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duardo Yokoi\01 - Projetos Eduardo\Shopee\Expansão 2DD Sellers\Reajuste TAC abr22\Lote MG Interior\"/>
    </mc:Choice>
  </mc:AlternateContent>
  <xr:revisionPtr revIDLastSave="0" documentId="13_ncr:1_{ED8ECC67-512F-404E-A8ED-55EB12625B33}" xr6:coauthVersionLast="47" xr6:coauthVersionMax="47" xr10:uidLastSave="{00000000-0000-0000-0000-000000000000}"/>
  <bookViews>
    <workbookView xWindow="-120" yWindow="-120" windowWidth="20730" windowHeight="11040" xr2:uid="{7F486671-8821-4E33-8D9D-ED9FB34422BF}"/>
  </bookViews>
  <sheets>
    <sheet name="Template" sheetId="2" r:id="rId1"/>
    <sheet name="Tabela SEQ" sheetId="3" r:id="rId2"/>
    <sheet name="Padrão EPP" sheetId="4" r:id="rId3"/>
    <sheet name="Padrão REE" sheetId="5" r:id="rId4"/>
  </sheets>
  <definedNames>
    <definedName name="_xlnm._FilterDatabase" localSheetId="3" hidden="1">'Padrão REE'!$A$1:$H$3673</definedName>
    <definedName name="_xlnm._FilterDatabase" localSheetId="0" hidden="1">Template!$A$2:$AJ$5953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5953" i="2" l="1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L3" i="2"/>
  <c r="E3673" i="5"/>
  <c r="D3673" i="5"/>
  <c r="C3673" i="5"/>
  <c r="B3673" i="5"/>
  <c r="E3672" i="5"/>
  <c r="D3672" i="5"/>
  <c r="C3672" i="5"/>
  <c r="B3672" i="5"/>
  <c r="E3671" i="5"/>
  <c r="D3671" i="5"/>
  <c r="C3671" i="5"/>
  <c r="B3671" i="5"/>
  <c r="E3670" i="5"/>
  <c r="D3670" i="5"/>
  <c r="C3670" i="5"/>
  <c r="B3670" i="5"/>
  <c r="E3669" i="5"/>
  <c r="D3669" i="5"/>
  <c r="C3669" i="5"/>
  <c r="B3669" i="5"/>
  <c r="E3668" i="5"/>
  <c r="D3668" i="5"/>
  <c r="C3668" i="5"/>
  <c r="B3668" i="5"/>
  <c r="E3667" i="5"/>
  <c r="D3667" i="5"/>
  <c r="C3667" i="5"/>
  <c r="B3667" i="5"/>
  <c r="E3666" i="5"/>
  <c r="D3666" i="5"/>
  <c r="C3666" i="5"/>
  <c r="B3666" i="5"/>
  <c r="E3665" i="5"/>
  <c r="D3665" i="5"/>
  <c r="C3665" i="5"/>
  <c r="B3665" i="5"/>
  <c r="E3664" i="5"/>
  <c r="D3664" i="5"/>
  <c r="C3664" i="5"/>
  <c r="B3664" i="5"/>
  <c r="E3663" i="5"/>
  <c r="D3663" i="5"/>
  <c r="C3663" i="5"/>
  <c r="B3663" i="5"/>
  <c r="E3662" i="5"/>
  <c r="D3662" i="5"/>
  <c r="C3662" i="5"/>
  <c r="B3662" i="5"/>
  <c r="E3661" i="5"/>
  <c r="D3661" i="5"/>
  <c r="C3661" i="5"/>
  <c r="B3661" i="5"/>
  <c r="E3660" i="5"/>
  <c r="D3660" i="5"/>
  <c r="C3660" i="5"/>
  <c r="B3660" i="5"/>
  <c r="E3659" i="5"/>
  <c r="D3659" i="5"/>
  <c r="C3659" i="5"/>
  <c r="B3659" i="5"/>
  <c r="E3658" i="5"/>
  <c r="D3658" i="5"/>
  <c r="C3658" i="5"/>
  <c r="B3658" i="5"/>
  <c r="E3657" i="5"/>
  <c r="D3657" i="5"/>
  <c r="C3657" i="5"/>
  <c r="B3657" i="5"/>
  <c r="E3656" i="5"/>
  <c r="D3656" i="5"/>
  <c r="C3656" i="5"/>
  <c r="B3656" i="5"/>
  <c r="E3655" i="5"/>
  <c r="D3655" i="5"/>
  <c r="C3655" i="5"/>
  <c r="B3655" i="5"/>
  <c r="E3654" i="5"/>
  <c r="D3654" i="5"/>
  <c r="C3654" i="5"/>
  <c r="B3654" i="5"/>
  <c r="E3653" i="5"/>
  <c r="D3653" i="5"/>
  <c r="C3653" i="5"/>
  <c r="B3653" i="5"/>
  <c r="E3652" i="5"/>
  <c r="D3652" i="5"/>
  <c r="C3652" i="5"/>
  <c r="B3652" i="5"/>
  <c r="E3651" i="5"/>
  <c r="D3651" i="5"/>
  <c r="C3651" i="5"/>
  <c r="B3651" i="5"/>
  <c r="E3650" i="5"/>
  <c r="D3650" i="5"/>
  <c r="C3650" i="5"/>
  <c r="B3650" i="5"/>
  <c r="E3649" i="5"/>
  <c r="D3649" i="5"/>
  <c r="C3649" i="5"/>
  <c r="B3649" i="5"/>
  <c r="E3648" i="5"/>
  <c r="D3648" i="5"/>
  <c r="C3648" i="5"/>
  <c r="B3648" i="5"/>
  <c r="E3647" i="5"/>
  <c r="D3647" i="5"/>
  <c r="C3647" i="5"/>
  <c r="B3647" i="5"/>
  <c r="E3646" i="5"/>
  <c r="D3646" i="5"/>
  <c r="C3646" i="5"/>
  <c r="B3646" i="5"/>
  <c r="E3645" i="5"/>
  <c r="D3645" i="5"/>
  <c r="C3645" i="5"/>
  <c r="B3645" i="5"/>
  <c r="E3644" i="5"/>
  <c r="D3644" i="5"/>
  <c r="C3644" i="5"/>
  <c r="B3644" i="5"/>
  <c r="E3643" i="5"/>
  <c r="D3643" i="5"/>
  <c r="C3643" i="5"/>
  <c r="B3643" i="5"/>
  <c r="E3642" i="5"/>
  <c r="D3642" i="5"/>
  <c r="C3642" i="5"/>
  <c r="B3642" i="5"/>
  <c r="E3641" i="5"/>
  <c r="D3641" i="5"/>
  <c r="C3641" i="5"/>
  <c r="B3641" i="5"/>
  <c r="E3640" i="5"/>
  <c r="D3640" i="5"/>
  <c r="C3640" i="5"/>
  <c r="B3640" i="5"/>
  <c r="E3639" i="5"/>
  <c r="D3639" i="5"/>
  <c r="C3639" i="5"/>
  <c r="B3639" i="5"/>
  <c r="E3638" i="5"/>
  <c r="D3638" i="5"/>
  <c r="C3638" i="5"/>
  <c r="B3638" i="5"/>
  <c r="E3637" i="5"/>
  <c r="D3637" i="5"/>
  <c r="C3637" i="5"/>
  <c r="B3637" i="5"/>
  <c r="E3636" i="5"/>
  <c r="D3636" i="5"/>
  <c r="C3636" i="5"/>
  <c r="B3636" i="5"/>
  <c r="E3635" i="5"/>
  <c r="D3635" i="5"/>
  <c r="C3635" i="5"/>
  <c r="B3635" i="5"/>
  <c r="E3634" i="5"/>
  <c r="D3634" i="5"/>
  <c r="C3634" i="5"/>
  <c r="B3634" i="5"/>
  <c r="E3633" i="5"/>
  <c r="D3633" i="5"/>
  <c r="C3633" i="5"/>
  <c r="B3633" i="5"/>
  <c r="E3632" i="5"/>
  <c r="D3632" i="5"/>
  <c r="C3632" i="5"/>
  <c r="B3632" i="5"/>
  <c r="E3631" i="5"/>
  <c r="D3631" i="5"/>
  <c r="C3631" i="5"/>
  <c r="B3631" i="5"/>
  <c r="E3630" i="5"/>
  <c r="D3630" i="5"/>
  <c r="C3630" i="5"/>
  <c r="B3630" i="5"/>
  <c r="E3629" i="5"/>
  <c r="D3629" i="5"/>
  <c r="C3629" i="5"/>
  <c r="B3629" i="5"/>
  <c r="E3628" i="5"/>
  <c r="D3628" i="5"/>
  <c r="C3628" i="5"/>
  <c r="B3628" i="5"/>
  <c r="E3627" i="5"/>
  <c r="D3627" i="5"/>
  <c r="C3627" i="5"/>
  <c r="B3627" i="5"/>
  <c r="E3626" i="5"/>
  <c r="D3626" i="5"/>
  <c r="C3626" i="5"/>
  <c r="B3626" i="5"/>
  <c r="E3625" i="5"/>
  <c r="D3625" i="5"/>
  <c r="C3625" i="5"/>
  <c r="B3625" i="5"/>
  <c r="E3624" i="5"/>
  <c r="D3624" i="5"/>
  <c r="C3624" i="5"/>
  <c r="B3624" i="5"/>
  <c r="E3623" i="5"/>
  <c r="D3623" i="5"/>
  <c r="C3623" i="5"/>
  <c r="B3623" i="5"/>
  <c r="E3622" i="5"/>
  <c r="D3622" i="5"/>
  <c r="C3622" i="5"/>
  <c r="B3622" i="5"/>
  <c r="E3621" i="5"/>
  <c r="D3621" i="5"/>
  <c r="C3621" i="5"/>
  <c r="B3621" i="5"/>
  <c r="E3620" i="5"/>
  <c r="D3620" i="5"/>
  <c r="C3620" i="5"/>
  <c r="B3620" i="5"/>
  <c r="E3619" i="5"/>
  <c r="D3619" i="5"/>
  <c r="C3619" i="5"/>
  <c r="B3619" i="5"/>
  <c r="E3618" i="5"/>
  <c r="D3618" i="5"/>
  <c r="C3618" i="5"/>
  <c r="B3618" i="5"/>
  <c r="E3617" i="5"/>
  <c r="D3617" i="5"/>
  <c r="C3617" i="5"/>
  <c r="B3617" i="5"/>
  <c r="E3616" i="5"/>
  <c r="D3616" i="5"/>
  <c r="C3616" i="5"/>
  <c r="B3616" i="5"/>
  <c r="E3615" i="5"/>
  <c r="D3615" i="5"/>
  <c r="C3615" i="5"/>
  <c r="B3615" i="5"/>
  <c r="E3614" i="5"/>
  <c r="D3614" i="5"/>
  <c r="C3614" i="5"/>
  <c r="B3614" i="5"/>
  <c r="E3613" i="5"/>
  <c r="D3613" i="5"/>
  <c r="C3613" i="5"/>
  <c r="B3613" i="5"/>
  <c r="E3612" i="5"/>
  <c r="D3612" i="5"/>
  <c r="C3612" i="5"/>
  <c r="B3612" i="5"/>
  <c r="E3611" i="5"/>
  <c r="D3611" i="5"/>
  <c r="C3611" i="5"/>
  <c r="B3611" i="5"/>
  <c r="E3610" i="5"/>
  <c r="D3610" i="5"/>
  <c r="C3610" i="5"/>
  <c r="B3610" i="5"/>
  <c r="E3609" i="5"/>
  <c r="D3609" i="5"/>
  <c r="C3609" i="5"/>
  <c r="B3609" i="5"/>
  <c r="E3608" i="5"/>
  <c r="D3608" i="5"/>
  <c r="C3608" i="5"/>
  <c r="B3608" i="5"/>
  <c r="E3607" i="5"/>
  <c r="D3607" i="5"/>
  <c r="C3607" i="5"/>
  <c r="B3607" i="5"/>
  <c r="E3606" i="5"/>
  <c r="D3606" i="5"/>
  <c r="C3606" i="5"/>
  <c r="B3606" i="5"/>
  <c r="E3605" i="5"/>
  <c r="D3605" i="5"/>
  <c r="C3605" i="5"/>
  <c r="B3605" i="5"/>
  <c r="E3604" i="5"/>
  <c r="D3604" i="5"/>
  <c r="C3604" i="5"/>
  <c r="B3604" i="5"/>
  <c r="E3603" i="5"/>
  <c r="D3603" i="5"/>
  <c r="C3603" i="5"/>
  <c r="B3603" i="5"/>
  <c r="E3602" i="5"/>
  <c r="D3602" i="5"/>
  <c r="C3602" i="5"/>
  <c r="B3602" i="5"/>
  <c r="E3601" i="5"/>
  <c r="D3601" i="5"/>
  <c r="C3601" i="5"/>
  <c r="B3601" i="5"/>
  <c r="E3600" i="5"/>
  <c r="D3600" i="5"/>
  <c r="C3600" i="5"/>
  <c r="B3600" i="5"/>
  <c r="E3599" i="5"/>
  <c r="D3599" i="5"/>
  <c r="C3599" i="5"/>
  <c r="B3599" i="5"/>
  <c r="E3598" i="5"/>
  <c r="D3598" i="5"/>
  <c r="C3598" i="5"/>
  <c r="B3598" i="5"/>
  <c r="E3597" i="5"/>
  <c r="D3597" i="5"/>
  <c r="C3597" i="5"/>
  <c r="B3597" i="5"/>
  <c r="E3596" i="5"/>
  <c r="D3596" i="5"/>
  <c r="C3596" i="5"/>
  <c r="B3596" i="5"/>
  <c r="E3595" i="5"/>
  <c r="D3595" i="5"/>
  <c r="C3595" i="5"/>
  <c r="B3595" i="5"/>
  <c r="E3594" i="5"/>
  <c r="D3594" i="5"/>
  <c r="C3594" i="5"/>
  <c r="B3594" i="5"/>
  <c r="E3593" i="5"/>
  <c r="D3593" i="5"/>
  <c r="C3593" i="5"/>
  <c r="B3593" i="5"/>
  <c r="E3592" i="5"/>
  <c r="D3592" i="5"/>
  <c r="C3592" i="5"/>
  <c r="B3592" i="5"/>
  <c r="E3591" i="5"/>
  <c r="D3591" i="5"/>
  <c r="C3591" i="5"/>
  <c r="B3591" i="5"/>
  <c r="E3590" i="5"/>
  <c r="D3590" i="5"/>
  <c r="C3590" i="5"/>
  <c r="B3590" i="5"/>
  <c r="E3589" i="5"/>
  <c r="D3589" i="5"/>
  <c r="C3589" i="5"/>
  <c r="B3589" i="5"/>
  <c r="E3588" i="5"/>
  <c r="D3588" i="5"/>
  <c r="C3588" i="5"/>
  <c r="B3588" i="5"/>
  <c r="E3587" i="5"/>
  <c r="D3587" i="5"/>
  <c r="C3587" i="5"/>
  <c r="B3587" i="5"/>
  <c r="E3586" i="5"/>
  <c r="D3586" i="5"/>
  <c r="C3586" i="5"/>
  <c r="B3586" i="5"/>
  <c r="E3585" i="5"/>
  <c r="D3585" i="5"/>
  <c r="C3585" i="5"/>
  <c r="B3585" i="5"/>
  <c r="E3584" i="5"/>
  <c r="D3584" i="5"/>
  <c r="C3584" i="5"/>
  <c r="B3584" i="5"/>
  <c r="E3583" i="5"/>
  <c r="D3583" i="5"/>
  <c r="C3583" i="5"/>
  <c r="B3583" i="5"/>
  <c r="E3582" i="5"/>
  <c r="D3582" i="5"/>
  <c r="C3582" i="5"/>
  <c r="B3582" i="5"/>
  <c r="E3581" i="5"/>
  <c r="D3581" i="5"/>
  <c r="C3581" i="5"/>
  <c r="B3581" i="5"/>
  <c r="E3580" i="5"/>
  <c r="D3580" i="5"/>
  <c r="C3580" i="5"/>
  <c r="B3580" i="5"/>
  <c r="E3579" i="5"/>
  <c r="D3579" i="5"/>
  <c r="C3579" i="5"/>
  <c r="B3579" i="5"/>
  <c r="E3578" i="5"/>
  <c r="D3578" i="5"/>
  <c r="C3578" i="5"/>
  <c r="B3578" i="5"/>
  <c r="E3577" i="5"/>
  <c r="D3577" i="5"/>
  <c r="C3577" i="5"/>
  <c r="B3577" i="5"/>
  <c r="E3576" i="5"/>
  <c r="D3576" i="5"/>
  <c r="C3576" i="5"/>
  <c r="B3576" i="5"/>
  <c r="E3575" i="5"/>
  <c r="D3575" i="5"/>
  <c r="C3575" i="5"/>
  <c r="B3575" i="5"/>
  <c r="E3574" i="5"/>
  <c r="D3574" i="5"/>
  <c r="C3574" i="5"/>
  <c r="B3574" i="5"/>
  <c r="E3573" i="5"/>
  <c r="D3573" i="5"/>
  <c r="C3573" i="5"/>
  <c r="B3573" i="5"/>
  <c r="E3572" i="5"/>
  <c r="D3572" i="5"/>
  <c r="C3572" i="5"/>
  <c r="B3572" i="5"/>
  <c r="E3571" i="5"/>
  <c r="D3571" i="5"/>
  <c r="C3571" i="5"/>
  <c r="B3571" i="5"/>
  <c r="E3570" i="5"/>
  <c r="D3570" i="5"/>
  <c r="C3570" i="5"/>
  <c r="B3570" i="5"/>
  <c r="E3569" i="5"/>
  <c r="D3569" i="5"/>
  <c r="C3569" i="5"/>
  <c r="B3569" i="5"/>
  <c r="E3568" i="5"/>
  <c r="D3568" i="5"/>
  <c r="C3568" i="5"/>
  <c r="B3568" i="5"/>
  <c r="E3567" i="5"/>
  <c r="D3567" i="5"/>
  <c r="C3567" i="5"/>
  <c r="B3567" i="5"/>
  <c r="E3566" i="5"/>
  <c r="D3566" i="5"/>
  <c r="C3566" i="5"/>
  <c r="B3566" i="5"/>
  <c r="E3565" i="5"/>
  <c r="D3565" i="5"/>
  <c r="C3565" i="5"/>
  <c r="B3565" i="5"/>
  <c r="E3564" i="5"/>
  <c r="D3564" i="5"/>
  <c r="C3564" i="5"/>
  <c r="B3564" i="5"/>
  <c r="E3563" i="5"/>
  <c r="D3563" i="5"/>
  <c r="C3563" i="5"/>
  <c r="B3563" i="5"/>
  <c r="E3562" i="5"/>
  <c r="D3562" i="5"/>
  <c r="C3562" i="5"/>
  <c r="B3562" i="5"/>
  <c r="E3561" i="5"/>
  <c r="D3561" i="5"/>
  <c r="C3561" i="5"/>
  <c r="B3561" i="5"/>
  <c r="E3560" i="5"/>
  <c r="D3560" i="5"/>
  <c r="C3560" i="5"/>
  <c r="B3560" i="5"/>
  <c r="E3559" i="5"/>
  <c r="D3559" i="5"/>
  <c r="C3559" i="5"/>
  <c r="B3559" i="5"/>
  <c r="E3558" i="5"/>
  <c r="D3558" i="5"/>
  <c r="C3558" i="5"/>
  <c r="B3558" i="5"/>
  <c r="E3557" i="5"/>
  <c r="D3557" i="5"/>
  <c r="C3557" i="5"/>
  <c r="B3557" i="5"/>
  <c r="E3556" i="5"/>
  <c r="D3556" i="5"/>
  <c r="C3556" i="5"/>
  <c r="B3556" i="5"/>
  <c r="E3555" i="5"/>
  <c r="D3555" i="5"/>
  <c r="C3555" i="5"/>
  <c r="B3555" i="5"/>
  <c r="E3554" i="5"/>
  <c r="D3554" i="5"/>
  <c r="C3554" i="5"/>
  <c r="B3554" i="5"/>
  <c r="E3553" i="5"/>
  <c r="D3553" i="5"/>
  <c r="C3553" i="5"/>
  <c r="B3553" i="5"/>
  <c r="E3552" i="5"/>
  <c r="D3552" i="5"/>
  <c r="C3552" i="5"/>
  <c r="B3552" i="5"/>
  <c r="E3551" i="5"/>
  <c r="D3551" i="5"/>
  <c r="C3551" i="5"/>
  <c r="B3551" i="5"/>
  <c r="E3550" i="5"/>
  <c r="D3550" i="5"/>
  <c r="C3550" i="5"/>
  <c r="B3550" i="5"/>
  <c r="E3549" i="5"/>
  <c r="D3549" i="5"/>
  <c r="C3549" i="5"/>
  <c r="B3549" i="5"/>
  <c r="E3548" i="5"/>
  <c r="D3548" i="5"/>
  <c r="C3548" i="5"/>
  <c r="B3548" i="5"/>
  <c r="E3547" i="5"/>
  <c r="D3547" i="5"/>
  <c r="C3547" i="5"/>
  <c r="B3547" i="5"/>
  <c r="E3546" i="5"/>
  <c r="D3546" i="5"/>
  <c r="C3546" i="5"/>
  <c r="B3546" i="5"/>
  <c r="E3545" i="5"/>
  <c r="D3545" i="5"/>
  <c r="C3545" i="5"/>
  <c r="B3545" i="5"/>
  <c r="E3544" i="5"/>
  <c r="D3544" i="5"/>
  <c r="C3544" i="5"/>
  <c r="B3544" i="5"/>
  <c r="E3543" i="5"/>
  <c r="D3543" i="5"/>
  <c r="C3543" i="5"/>
  <c r="B3543" i="5"/>
  <c r="E3542" i="5"/>
  <c r="D3542" i="5"/>
  <c r="C3542" i="5"/>
  <c r="B3542" i="5"/>
  <c r="E3541" i="5"/>
  <c r="D3541" i="5"/>
  <c r="C3541" i="5"/>
  <c r="B3541" i="5"/>
  <c r="E3540" i="5"/>
  <c r="D3540" i="5"/>
  <c r="C3540" i="5"/>
  <c r="B3540" i="5"/>
  <c r="E3539" i="5"/>
  <c r="D3539" i="5"/>
  <c r="C3539" i="5"/>
  <c r="B3539" i="5"/>
  <c r="E3538" i="5"/>
  <c r="D3538" i="5"/>
  <c r="C3538" i="5"/>
  <c r="B3538" i="5"/>
  <c r="E3537" i="5"/>
  <c r="D3537" i="5"/>
  <c r="C3537" i="5"/>
  <c r="B3537" i="5"/>
  <c r="E3536" i="5"/>
  <c r="D3536" i="5"/>
  <c r="C3536" i="5"/>
  <c r="B3536" i="5"/>
  <c r="E3535" i="5"/>
  <c r="D3535" i="5"/>
  <c r="C3535" i="5"/>
  <c r="B3535" i="5"/>
  <c r="E3534" i="5"/>
  <c r="D3534" i="5"/>
  <c r="C3534" i="5"/>
  <c r="B3534" i="5"/>
  <c r="E3533" i="5"/>
  <c r="D3533" i="5"/>
  <c r="C3533" i="5"/>
  <c r="B3533" i="5"/>
  <c r="E3532" i="5"/>
  <c r="D3532" i="5"/>
  <c r="C3532" i="5"/>
  <c r="B3532" i="5"/>
  <c r="E3531" i="5"/>
  <c r="D3531" i="5"/>
  <c r="C3531" i="5"/>
  <c r="B3531" i="5"/>
  <c r="E3530" i="5"/>
  <c r="D3530" i="5"/>
  <c r="C3530" i="5"/>
  <c r="B3530" i="5"/>
  <c r="E3529" i="5"/>
  <c r="D3529" i="5"/>
  <c r="C3529" i="5"/>
  <c r="B3529" i="5"/>
  <c r="E3528" i="5"/>
  <c r="D3528" i="5"/>
  <c r="C3528" i="5"/>
  <c r="B3528" i="5"/>
  <c r="E3527" i="5"/>
  <c r="D3527" i="5"/>
  <c r="C3527" i="5"/>
  <c r="B3527" i="5"/>
  <c r="E3526" i="5"/>
  <c r="D3526" i="5"/>
  <c r="C3526" i="5"/>
  <c r="B3526" i="5"/>
  <c r="E3525" i="5"/>
  <c r="D3525" i="5"/>
  <c r="C3525" i="5"/>
  <c r="B3525" i="5"/>
  <c r="E3524" i="5"/>
  <c r="D3524" i="5"/>
  <c r="C3524" i="5"/>
  <c r="B3524" i="5"/>
  <c r="E3523" i="5"/>
  <c r="D3523" i="5"/>
  <c r="C3523" i="5"/>
  <c r="B3523" i="5"/>
  <c r="E3522" i="5"/>
  <c r="D3522" i="5"/>
  <c r="C3522" i="5"/>
  <c r="B3522" i="5"/>
  <c r="E3521" i="5"/>
  <c r="D3521" i="5"/>
  <c r="C3521" i="5"/>
  <c r="B3521" i="5"/>
  <c r="E3520" i="5"/>
  <c r="D3520" i="5"/>
  <c r="C3520" i="5"/>
  <c r="B3520" i="5"/>
  <c r="E3519" i="5"/>
  <c r="D3519" i="5"/>
  <c r="C3519" i="5"/>
  <c r="B3519" i="5"/>
  <c r="E3518" i="5"/>
  <c r="D3518" i="5"/>
  <c r="C3518" i="5"/>
  <c r="B3518" i="5"/>
  <c r="E3517" i="5"/>
  <c r="D3517" i="5"/>
  <c r="C3517" i="5"/>
  <c r="B3517" i="5"/>
  <c r="E3516" i="5"/>
  <c r="D3516" i="5"/>
  <c r="C3516" i="5"/>
  <c r="B3516" i="5"/>
  <c r="E3515" i="5"/>
  <c r="D3515" i="5"/>
  <c r="C3515" i="5"/>
  <c r="B3515" i="5"/>
  <c r="E3514" i="5"/>
  <c r="D3514" i="5"/>
  <c r="C3514" i="5"/>
  <c r="B3514" i="5"/>
  <c r="E3513" i="5"/>
  <c r="D3513" i="5"/>
  <c r="C3513" i="5"/>
  <c r="B3513" i="5"/>
  <c r="E3512" i="5"/>
  <c r="D3512" i="5"/>
  <c r="C3512" i="5"/>
  <c r="B3512" i="5"/>
  <c r="E3511" i="5"/>
  <c r="D3511" i="5"/>
  <c r="C3511" i="5"/>
  <c r="B3511" i="5"/>
  <c r="E3510" i="5"/>
  <c r="D3510" i="5"/>
  <c r="C3510" i="5"/>
  <c r="B3510" i="5"/>
  <c r="E3509" i="5"/>
  <c r="D3509" i="5"/>
  <c r="C3509" i="5"/>
  <c r="B3509" i="5"/>
  <c r="E3508" i="5"/>
  <c r="D3508" i="5"/>
  <c r="C3508" i="5"/>
  <c r="B3508" i="5"/>
  <c r="E3507" i="5"/>
  <c r="D3507" i="5"/>
  <c r="C3507" i="5"/>
  <c r="B3507" i="5"/>
  <c r="E3506" i="5"/>
  <c r="D3506" i="5"/>
  <c r="C3506" i="5"/>
  <c r="B3506" i="5"/>
  <c r="E3505" i="5"/>
  <c r="D3505" i="5"/>
  <c r="C3505" i="5"/>
  <c r="B3505" i="5"/>
  <c r="E3504" i="5"/>
  <c r="D3504" i="5"/>
  <c r="C3504" i="5"/>
  <c r="B3504" i="5"/>
  <c r="E3503" i="5"/>
  <c r="D3503" i="5"/>
  <c r="C3503" i="5"/>
  <c r="B3503" i="5"/>
  <c r="E3502" i="5"/>
  <c r="D3502" i="5"/>
  <c r="C3502" i="5"/>
  <c r="B3502" i="5"/>
  <c r="E3501" i="5"/>
  <c r="D3501" i="5"/>
  <c r="C3501" i="5"/>
  <c r="B3501" i="5"/>
  <c r="E3500" i="5"/>
  <c r="D3500" i="5"/>
  <c r="C3500" i="5"/>
  <c r="B3500" i="5"/>
  <c r="E3499" i="5"/>
  <c r="D3499" i="5"/>
  <c r="C3499" i="5"/>
  <c r="B3499" i="5"/>
  <c r="E3498" i="5"/>
  <c r="D3498" i="5"/>
  <c r="C3498" i="5"/>
  <c r="B3498" i="5"/>
  <c r="E3497" i="5"/>
  <c r="D3497" i="5"/>
  <c r="C3497" i="5"/>
  <c r="B3497" i="5"/>
  <c r="E3496" i="5"/>
  <c r="D3496" i="5"/>
  <c r="C3496" i="5"/>
  <c r="B3496" i="5"/>
  <c r="E3495" i="5"/>
  <c r="D3495" i="5"/>
  <c r="C3495" i="5"/>
  <c r="B3495" i="5"/>
  <c r="E3494" i="5"/>
  <c r="D3494" i="5"/>
  <c r="C3494" i="5"/>
  <c r="B3494" i="5"/>
  <c r="E3493" i="5"/>
  <c r="D3493" i="5"/>
  <c r="C3493" i="5"/>
  <c r="B3493" i="5"/>
  <c r="E3492" i="5"/>
  <c r="D3492" i="5"/>
  <c r="C3492" i="5"/>
  <c r="B3492" i="5"/>
  <c r="E3491" i="5"/>
  <c r="D3491" i="5"/>
  <c r="C3491" i="5"/>
  <c r="B3491" i="5"/>
  <c r="E3490" i="5"/>
  <c r="D3490" i="5"/>
  <c r="C3490" i="5"/>
  <c r="B3490" i="5"/>
  <c r="E3489" i="5"/>
  <c r="D3489" i="5"/>
  <c r="C3489" i="5"/>
  <c r="B3489" i="5"/>
  <c r="E3488" i="5"/>
  <c r="D3488" i="5"/>
  <c r="C3488" i="5"/>
  <c r="B3488" i="5"/>
  <c r="E3487" i="5"/>
  <c r="D3487" i="5"/>
  <c r="C3487" i="5"/>
  <c r="B3487" i="5"/>
  <c r="E3486" i="5"/>
  <c r="D3486" i="5"/>
  <c r="C3486" i="5"/>
  <c r="B3486" i="5"/>
  <c r="E3485" i="5"/>
  <c r="D3485" i="5"/>
  <c r="C3485" i="5"/>
  <c r="B3485" i="5"/>
  <c r="E3484" i="5"/>
  <c r="D3484" i="5"/>
  <c r="C3484" i="5"/>
  <c r="B3484" i="5"/>
  <c r="E3483" i="5"/>
  <c r="D3483" i="5"/>
  <c r="C3483" i="5"/>
  <c r="B3483" i="5"/>
  <c r="E3482" i="5"/>
  <c r="D3482" i="5"/>
  <c r="C3482" i="5"/>
  <c r="B3482" i="5"/>
  <c r="E3481" i="5"/>
  <c r="D3481" i="5"/>
  <c r="C3481" i="5"/>
  <c r="B3481" i="5"/>
  <c r="E3480" i="5"/>
  <c r="D3480" i="5"/>
  <c r="C3480" i="5"/>
  <c r="B3480" i="5"/>
  <c r="E3479" i="5"/>
  <c r="D3479" i="5"/>
  <c r="C3479" i="5"/>
  <c r="B3479" i="5"/>
  <c r="E3478" i="5"/>
  <c r="D3478" i="5"/>
  <c r="C3478" i="5"/>
  <c r="B3478" i="5"/>
  <c r="E3477" i="5"/>
  <c r="D3477" i="5"/>
  <c r="C3477" i="5"/>
  <c r="B3477" i="5"/>
  <c r="E3476" i="5"/>
  <c r="D3476" i="5"/>
  <c r="C3476" i="5"/>
  <c r="B3476" i="5"/>
  <c r="E3475" i="5"/>
  <c r="D3475" i="5"/>
  <c r="C3475" i="5"/>
  <c r="B3475" i="5"/>
  <c r="E3474" i="5"/>
  <c r="D3474" i="5"/>
  <c r="C3474" i="5"/>
  <c r="B3474" i="5"/>
  <c r="E3473" i="5"/>
  <c r="D3473" i="5"/>
  <c r="C3473" i="5"/>
  <c r="B3473" i="5"/>
  <c r="E3472" i="5"/>
  <c r="D3472" i="5"/>
  <c r="C3472" i="5"/>
  <c r="B3472" i="5"/>
  <c r="E3471" i="5"/>
  <c r="D3471" i="5"/>
  <c r="C3471" i="5"/>
  <c r="B3471" i="5"/>
  <c r="E3470" i="5"/>
  <c r="D3470" i="5"/>
  <c r="C3470" i="5"/>
  <c r="B3470" i="5"/>
  <c r="E3469" i="5"/>
  <c r="D3469" i="5"/>
  <c r="C3469" i="5"/>
  <c r="B3469" i="5"/>
  <c r="E3468" i="5"/>
  <c r="D3468" i="5"/>
  <c r="C3468" i="5"/>
  <c r="B3468" i="5"/>
  <c r="E3467" i="5"/>
  <c r="D3467" i="5"/>
  <c r="C3467" i="5"/>
  <c r="B3467" i="5"/>
  <c r="E3466" i="5"/>
  <c r="D3466" i="5"/>
  <c r="C3466" i="5"/>
  <c r="B3466" i="5"/>
  <c r="E3465" i="5"/>
  <c r="D3465" i="5"/>
  <c r="C3465" i="5"/>
  <c r="B3465" i="5"/>
  <c r="E3464" i="5"/>
  <c r="D3464" i="5"/>
  <c r="C3464" i="5"/>
  <c r="B3464" i="5"/>
  <c r="E3463" i="5"/>
  <c r="D3463" i="5"/>
  <c r="C3463" i="5"/>
  <c r="B3463" i="5"/>
  <c r="E3462" i="5"/>
  <c r="D3462" i="5"/>
  <c r="C3462" i="5"/>
  <c r="B3462" i="5"/>
  <c r="E3461" i="5"/>
  <c r="D3461" i="5"/>
  <c r="C3461" i="5"/>
  <c r="B3461" i="5"/>
  <c r="E3460" i="5"/>
  <c r="D3460" i="5"/>
  <c r="C3460" i="5"/>
  <c r="B3460" i="5"/>
  <c r="E3459" i="5"/>
  <c r="D3459" i="5"/>
  <c r="C3459" i="5"/>
  <c r="B3459" i="5"/>
  <c r="E3458" i="5"/>
  <c r="D3458" i="5"/>
  <c r="C3458" i="5"/>
  <c r="B3458" i="5"/>
  <c r="E3457" i="5"/>
  <c r="D3457" i="5"/>
  <c r="C3457" i="5"/>
  <c r="B3457" i="5"/>
  <c r="E3456" i="5"/>
  <c r="D3456" i="5"/>
  <c r="C3456" i="5"/>
  <c r="B3456" i="5"/>
  <c r="E3455" i="5"/>
  <c r="D3455" i="5"/>
  <c r="C3455" i="5"/>
  <c r="B3455" i="5"/>
  <c r="E3454" i="5"/>
  <c r="D3454" i="5"/>
  <c r="C3454" i="5"/>
  <c r="B3454" i="5"/>
  <c r="E3453" i="5"/>
  <c r="D3453" i="5"/>
  <c r="C3453" i="5"/>
  <c r="B3453" i="5"/>
  <c r="E3452" i="5"/>
  <c r="D3452" i="5"/>
  <c r="C3452" i="5"/>
  <c r="B3452" i="5"/>
  <c r="E3451" i="5"/>
  <c r="D3451" i="5"/>
  <c r="C3451" i="5"/>
  <c r="B3451" i="5"/>
  <c r="E3450" i="5"/>
  <c r="D3450" i="5"/>
  <c r="C3450" i="5"/>
  <c r="B3450" i="5"/>
  <c r="E3449" i="5"/>
  <c r="D3449" i="5"/>
  <c r="C3449" i="5"/>
  <c r="B3449" i="5"/>
  <c r="E3448" i="5"/>
  <c r="D3448" i="5"/>
  <c r="C3448" i="5"/>
  <c r="B3448" i="5"/>
  <c r="E3447" i="5"/>
  <c r="D3447" i="5"/>
  <c r="C3447" i="5"/>
  <c r="B3447" i="5"/>
  <c r="E3446" i="5"/>
  <c r="D3446" i="5"/>
  <c r="C3446" i="5"/>
  <c r="B3446" i="5"/>
  <c r="E3445" i="5"/>
  <c r="D3445" i="5"/>
  <c r="C3445" i="5"/>
  <c r="B3445" i="5"/>
  <c r="E3444" i="5"/>
  <c r="D3444" i="5"/>
  <c r="C3444" i="5"/>
  <c r="B3444" i="5"/>
  <c r="E3443" i="5"/>
  <c r="D3443" i="5"/>
  <c r="C3443" i="5"/>
  <c r="B3443" i="5"/>
  <c r="E3442" i="5"/>
  <c r="D3442" i="5"/>
  <c r="C3442" i="5"/>
  <c r="B3442" i="5"/>
  <c r="E3441" i="5"/>
  <c r="D3441" i="5"/>
  <c r="C3441" i="5"/>
  <c r="B3441" i="5"/>
  <c r="E3440" i="5"/>
  <c r="D3440" i="5"/>
  <c r="C3440" i="5"/>
  <c r="B3440" i="5"/>
  <c r="E3439" i="5"/>
  <c r="D3439" i="5"/>
  <c r="C3439" i="5"/>
  <c r="B3439" i="5"/>
  <c r="E3438" i="5"/>
  <c r="D3438" i="5"/>
  <c r="C3438" i="5"/>
  <c r="B3438" i="5"/>
  <c r="E3437" i="5"/>
  <c r="D3437" i="5"/>
  <c r="C3437" i="5"/>
  <c r="B3437" i="5"/>
  <c r="E3436" i="5"/>
  <c r="D3436" i="5"/>
  <c r="C3436" i="5"/>
  <c r="B3436" i="5"/>
  <c r="E3435" i="5"/>
  <c r="D3435" i="5"/>
  <c r="C3435" i="5"/>
  <c r="B3435" i="5"/>
  <c r="E3434" i="5"/>
  <c r="D3434" i="5"/>
  <c r="C3434" i="5"/>
  <c r="B3434" i="5"/>
  <c r="E3433" i="5"/>
  <c r="D3433" i="5"/>
  <c r="C3433" i="5"/>
  <c r="B3433" i="5"/>
  <c r="E3432" i="5"/>
  <c r="D3432" i="5"/>
  <c r="C3432" i="5"/>
  <c r="B3432" i="5"/>
  <c r="E3431" i="5"/>
  <c r="D3431" i="5"/>
  <c r="C3431" i="5"/>
  <c r="B3431" i="5"/>
  <c r="E3430" i="5"/>
  <c r="D3430" i="5"/>
  <c r="C3430" i="5"/>
  <c r="B3430" i="5"/>
  <c r="E3429" i="5"/>
  <c r="D3429" i="5"/>
  <c r="C3429" i="5"/>
  <c r="B3429" i="5"/>
  <c r="E3428" i="5"/>
  <c r="D3428" i="5"/>
  <c r="C3428" i="5"/>
  <c r="B3428" i="5"/>
  <c r="E3427" i="5"/>
  <c r="D3427" i="5"/>
  <c r="C3427" i="5"/>
  <c r="B3427" i="5"/>
  <c r="E3426" i="5"/>
  <c r="D3426" i="5"/>
  <c r="C3426" i="5"/>
  <c r="B3426" i="5"/>
  <c r="E3425" i="5"/>
  <c r="D3425" i="5"/>
  <c r="C3425" i="5"/>
  <c r="B3425" i="5"/>
  <c r="E3424" i="5"/>
  <c r="D3424" i="5"/>
  <c r="C3424" i="5"/>
  <c r="B3424" i="5"/>
  <c r="E3423" i="5"/>
  <c r="D3423" i="5"/>
  <c r="C3423" i="5"/>
  <c r="B3423" i="5"/>
  <c r="E3422" i="5"/>
  <c r="D3422" i="5"/>
  <c r="C3422" i="5"/>
  <c r="B3422" i="5"/>
  <c r="E3421" i="5"/>
  <c r="D3421" i="5"/>
  <c r="C3421" i="5"/>
  <c r="B3421" i="5"/>
  <c r="E3420" i="5"/>
  <c r="D3420" i="5"/>
  <c r="C3420" i="5"/>
  <c r="B3420" i="5"/>
  <c r="E3419" i="5"/>
  <c r="D3419" i="5"/>
  <c r="C3419" i="5"/>
  <c r="B3419" i="5"/>
  <c r="E3418" i="5"/>
  <c r="D3418" i="5"/>
  <c r="C3418" i="5"/>
  <c r="B3418" i="5"/>
  <c r="E3417" i="5"/>
  <c r="D3417" i="5"/>
  <c r="C3417" i="5"/>
  <c r="B3417" i="5"/>
  <c r="E3416" i="5"/>
  <c r="D3416" i="5"/>
  <c r="C3416" i="5"/>
  <c r="B3416" i="5"/>
  <c r="E3415" i="5"/>
  <c r="D3415" i="5"/>
  <c r="C3415" i="5"/>
  <c r="B3415" i="5"/>
  <c r="E3414" i="5"/>
  <c r="D3414" i="5"/>
  <c r="C3414" i="5"/>
  <c r="B3414" i="5"/>
  <c r="E3413" i="5"/>
  <c r="D3413" i="5"/>
  <c r="C3413" i="5"/>
  <c r="B3413" i="5"/>
  <c r="E3412" i="5"/>
  <c r="D3412" i="5"/>
  <c r="C3412" i="5"/>
  <c r="B3412" i="5"/>
  <c r="E3411" i="5"/>
  <c r="D3411" i="5"/>
  <c r="C3411" i="5"/>
  <c r="B3411" i="5"/>
  <c r="E3410" i="5"/>
  <c r="D3410" i="5"/>
  <c r="C3410" i="5"/>
  <c r="B3410" i="5"/>
  <c r="E3409" i="5"/>
  <c r="D3409" i="5"/>
  <c r="C3409" i="5"/>
  <c r="B3409" i="5"/>
  <c r="E3408" i="5"/>
  <c r="D3408" i="5"/>
  <c r="C3408" i="5"/>
  <c r="B3408" i="5"/>
  <c r="E3407" i="5"/>
  <c r="D3407" i="5"/>
  <c r="C3407" i="5"/>
  <c r="B3407" i="5"/>
  <c r="E3406" i="5"/>
  <c r="D3406" i="5"/>
  <c r="C3406" i="5"/>
  <c r="B3406" i="5"/>
  <c r="E3405" i="5"/>
  <c r="D3405" i="5"/>
  <c r="C3405" i="5"/>
  <c r="B3405" i="5"/>
  <c r="E3404" i="5"/>
  <c r="D3404" i="5"/>
  <c r="C3404" i="5"/>
  <c r="B3404" i="5"/>
  <c r="E3403" i="5"/>
  <c r="D3403" i="5"/>
  <c r="C3403" i="5"/>
  <c r="B3403" i="5"/>
  <c r="E3402" i="5"/>
  <c r="D3402" i="5"/>
  <c r="C3402" i="5"/>
  <c r="B3402" i="5"/>
  <c r="E3401" i="5"/>
  <c r="D3401" i="5"/>
  <c r="C3401" i="5"/>
  <c r="B3401" i="5"/>
  <c r="E3400" i="5"/>
  <c r="D3400" i="5"/>
  <c r="C3400" i="5"/>
  <c r="B3400" i="5"/>
  <c r="E3399" i="5"/>
  <c r="D3399" i="5"/>
  <c r="C3399" i="5"/>
  <c r="B3399" i="5"/>
  <c r="E3398" i="5"/>
  <c r="D3398" i="5"/>
  <c r="C3398" i="5"/>
  <c r="B3398" i="5"/>
  <c r="E3397" i="5"/>
  <c r="D3397" i="5"/>
  <c r="C3397" i="5"/>
  <c r="B3397" i="5"/>
  <c r="E3396" i="5"/>
  <c r="D3396" i="5"/>
  <c r="C3396" i="5"/>
  <c r="B3396" i="5"/>
  <c r="E3395" i="5"/>
  <c r="D3395" i="5"/>
  <c r="C3395" i="5"/>
  <c r="B3395" i="5"/>
  <c r="E3394" i="5"/>
  <c r="D3394" i="5"/>
  <c r="C3394" i="5"/>
  <c r="B3394" i="5"/>
  <c r="E3393" i="5"/>
  <c r="D3393" i="5"/>
  <c r="C3393" i="5"/>
  <c r="B3393" i="5"/>
  <c r="E3392" i="5"/>
  <c r="D3392" i="5"/>
  <c r="C3392" i="5"/>
  <c r="B3392" i="5"/>
  <c r="E3391" i="5"/>
  <c r="D3391" i="5"/>
  <c r="C3391" i="5"/>
  <c r="B3391" i="5"/>
  <c r="E3390" i="5"/>
  <c r="D3390" i="5"/>
  <c r="C3390" i="5"/>
  <c r="B3390" i="5"/>
  <c r="E3389" i="5"/>
  <c r="D3389" i="5"/>
  <c r="C3389" i="5"/>
  <c r="B3389" i="5"/>
  <c r="E3388" i="5"/>
  <c r="D3388" i="5"/>
  <c r="C3388" i="5"/>
  <c r="B3388" i="5"/>
  <c r="E3387" i="5"/>
  <c r="D3387" i="5"/>
  <c r="C3387" i="5"/>
  <c r="B3387" i="5"/>
  <c r="E3386" i="5"/>
  <c r="D3386" i="5"/>
  <c r="C3386" i="5"/>
  <c r="B3386" i="5"/>
  <c r="E3385" i="5"/>
  <c r="D3385" i="5"/>
  <c r="C3385" i="5"/>
  <c r="B3385" i="5"/>
  <c r="E3384" i="5"/>
  <c r="D3384" i="5"/>
  <c r="C3384" i="5"/>
  <c r="B3384" i="5"/>
  <c r="E3383" i="5"/>
  <c r="D3383" i="5"/>
  <c r="C3383" i="5"/>
  <c r="B3383" i="5"/>
  <c r="E3382" i="5"/>
  <c r="D3382" i="5"/>
  <c r="C3382" i="5"/>
  <c r="B3382" i="5"/>
  <c r="E3381" i="5"/>
  <c r="D3381" i="5"/>
  <c r="C3381" i="5"/>
  <c r="B3381" i="5"/>
  <c r="E3380" i="5"/>
  <c r="D3380" i="5"/>
  <c r="C3380" i="5"/>
  <c r="B3380" i="5"/>
  <c r="E3379" i="5"/>
  <c r="D3379" i="5"/>
  <c r="C3379" i="5"/>
  <c r="B3379" i="5"/>
  <c r="E3378" i="5"/>
  <c r="D3378" i="5"/>
  <c r="C3378" i="5"/>
  <c r="B3378" i="5"/>
  <c r="E3377" i="5"/>
  <c r="D3377" i="5"/>
  <c r="C3377" i="5"/>
  <c r="B3377" i="5"/>
  <c r="E3376" i="5"/>
  <c r="D3376" i="5"/>
  <c r="C3376" i="5"/>
  <c r="B3376" i="5"/>
  <c r="E3375" i="5"/>
  <c r="D3375" i="5"/>
  <c r="C3375" i="5"/>
  <c r="B3375" i="5"/>
  <c r="E3374" i="5"/>
  <c r="D3374" i="5"/>
  <c r="C3374" i="5"/>
  <c r="B3374" i="5"/>
  <c r="E3373" i="5"/>
  <c r="D3373" i="5"/>
  <c r="C3373" i="5"/>
  <c r="B3373" i="5"/>
  <c r="E3372" i="5"/>
  <c r="D3372" i="5"/>
  <c r="C3372" i="5"/>
  <c r="B3372" i="5"/>
  <c r="E3371" i="5"/>
  <c r="D3371" i="5"/>
  <c r="C3371" i="5"/>
  <c r="B3371" i="5"/>
  <c r="E3370" i="5"/>
  <c r="D3370" i="5"/>
  <c r="C3370" i="5"/>
  <c r="B3370" i="5"/>
  <c r="E3369" i="5"/>
  <c r="D3369" i="5"/>
  <c r="C3369" i="5"/>
  <c r="B3369" i="5"/>
  <c r="E3368" i="5"/>
  <c r="D3368" i="5"/>
  <c r="C3368" i="5"/>
  <c r="B3368" i="5"/>
  <c r="E3367" i="5"/>
  <c r="D3367" i="5"/>
  <c r="C3367" i="5"/>
  <c r="B3367" i="5"/>
  <c r="E3366" i="5"/>
  <c r="D3366" i="5"/>
  <c r="C3366" i="5"/>
  <c r="B3366" i="5"/>
  <c r="E3365" i="5"/>
  <c r="D3365" i="5"/>
  <c r="C3365" i="5"/>
  <c r="B3365" i="5"/>
  <c r="E3364" i="5"/>
  <c r="D3364" i="5"/>
  <c r="C3364" i="5"/>
  <c r="B3364" i="5"/>
  <c r="E3363" i="5"/>
  <c r="D3363" i="5"/>
  <c r="C3363" i="5"/>
  <c r="B3363" i="5"/>
  <c r="E3362" i="5"/>
  <c r="D3362" i="5"/>
  <c r="C3362" i="5"/>
  <c r="B3362" i="5"/>
  <c r="E3361" i="5"/>
  <c r="D3361" i="5"/>
  <c r="C3361" i="5"/>
  <c r="B3361" i="5"/>
  <c r="E3360" i="5"/>
  <c r="D3360" i="5"/>
  <c r="C3360" i="5"/>
  <c r="B3360" i="5"/>
  <c r="E3359" i="5"/>
  <c r="D3359" i="5"/>
  <c r="C3359" i="5"/>
  <c r="B3359" i="5"/>
  <c r="E3358" i="5"/>
  <c r="D3358" i="5"/>
  <c r="C3358" i="5"/>
  <c r="B3358" i="5"/>
  <c r="E3357" i="5"/>
  <c r="D3357" i="5"/>
  <c r="C3357" i="5"/>
  <c r="B3357" i="5"/>
  <c r="E3356" i="5"/>
  <c r="D3356" i="5"/>
  <c r="C3356" i="5"/>
  <c r="B3356" i="5"/>
  <c r="E3355" i="5"/>
  <c r="D3355" i="5"/>
  <c r="C3355" i="5"/>
  <c r="B3355" i="5"/>
  <c r="E3354" i="5"/>
  <c r="D3354" i="5"/>
  <c r="C3354" i="5"/>
  <c r="B3354" i="5"/>
  <c r="E3353" i="5"/>
  <c r="D3353" i="5"/>
  <c r="C3353" i="5"/>
  <c r="B3353" i="5"/>
  <c r="E3352" i="5"/>
  <c r="D3352" i="5"/>
  <c r="C3352" i="5"/>
  <c r="B3352" i="5"/>
  <c r="E3351" i="5"/>
  <c r="D3351" i="5"/>
  <c r="C3351" i="5"/>
  <c r="B3351" i="5"/>
  <c r="E3350" i="5"/>
  <c r="D3350" i="5"/>
  <c r="C3350" i="5"/>
  <c r="B3350" i="5"/>
  <c r="E3349" i="5"/>
  <c r="D3349" i="5"/>
  <c r="C3349" i="5"/>
  <c r="B3349" i="5"/>
  <c r="E3348" i="5"/>
  <c r="D3348" i="5"/>
  <c r="C3348" i="5"/>
  <c r="B3348" i="5"/>
  <c r="E3347" i="5"/>
  <c r="D3347" i="5"/>
  <c r="C3347" i="5"/>
  <c r="B3347" i="5"/>
  <c r="E3346" i="5"/>
  <c r="D3346" i="5"/>
  <c r="C3346" i="5"/>
  <c r="B3346" i="5"/>
  <c r="E3345" i="5"/>
  <c r="D3345" i="5"/>
  <c r="C3345" i="5"/>
  <c r="B3345" i="5"/>
  <c r="E3344" i="5"/>
  <c r="D3344" i="5"/>
  <c r="C3344" i="5"/>
  <c r="B3344" i="5"/>
  <c r="E3343" i="5"/>
  <c r="D3343" i="5"/>
  <c r="C3343" i="5"/>
  <c r="B3343" i="5"/>
  <c r="E3342" i="5"/>
  <c r="D3342" i="5"/>
  <c r="C3342" i="5"/>
  <c r="B3342" i="5"/>
  <c r="E3341" i="5"/>
  <c r="D3341" i="5"/>
  <c r="C3341" i="5"/>
  <c r="B3341" i="5"/>
  <c r="E3340" i="5"/>
  <c r="D3340" i="5"/>
  <c r="C3340" i="5"/>
  <c r="B3340" i="5"/>
  <c r="E3339" i="5"/>
  <c r="D3339" i="5"/>
  <c r="C3339" i="5"/>
  <c r="B3339" i="5"/>
  <c r="E3338" i="5"/>
  <c r="D3338" i="5"/>
  <c r="C3338" i="5"/>
  <c r="B3338" i="5"/>
  <c r="E3337" i="5"/>
  <c r="D3337" i="5"/>
  <c r="C3337" i="5"/>
  <c r="B3337" i="5"/>
  <c r="E3336" i="5"/>
  <c r="D3336" i="5"/>
  <c r="C3336" i="5"/>
  <c r="B3336" i="5"/>
  <c r="E3335" i="5"/>
  <c r="D3335" i="5"/>
  <c r="C3335" i="5"/>
  <c r="B3335" i="5"/>
  <c r="E3334" i="5"/>
  <c r="D3334" i="5"/>
  <c r="C3334" i="5"/>
  <c r="B3334" i="5"/>
  <c r="E3333" i="5"/>
  <c r="D3333" i="5"/>
  <c r="C3333" i="5"/>
  <c r="B3333" i="5"/>
  <c r="E3332" i="5"/>
  <c r="D3332" i="5"/>
  <c r="C3332" i="5"/>
  <c r="B3332" i="5"/>
  <c r="E3331" i="5"/>
  <c r="D3331" i="5"/>
  <c r="C3331" i="5"/>
  <c r="B3331" i="5"/>
  <c r="E3330" i="5"/>
  <c r="D3330" i="5"/>
  <c r="C3330" i="5"/>
  <c r="B3330" i="5"/>
  <c r="E3329" i="5"/>
  <c r="D3329" i="5"/>
  <c r="C3329" i="5"/>
  <c r="B3329" i="5"/>
  <c r="E3328" i="5"/>
  <c r="D3328" i="5"/>
  <c r="C3328" i="5"/>
  <c r="B3328" i="5"/>
  <c r="E3327" i="5"/>
  <c r="D3327" i="5"/>
  <c r="C3327" i="5"/>
  <c r="B3327" i="5"/>
  <c r="E3326" i="5"/>
  <c r="D3326" i="5"/>
  <c r="C3326" i="5"/>
  <c r="B3326" i="5"/>
  <c r="E3325" i="5"/>
  <c r="D3325" i="5"/>
  <c r="C3325" i="5"/>
  <c r="B3325" i="5"/>
  <c r="E3324" i="5"/>
  <c r="D3324" i="5"/>
  <c r="C3324" i="5"/>
  <c r="B3324" i="5"/>
  <c r="E3323" i="5"/>
  <c r="D3323" i="5"/>
  <c r="C3323" i="5"/>
  <c r="B3323" i="5"/>
  <c r="E3322" i="5"/>
  <c r="D3322" i="5"/>
  <c r="C3322" i="5"/>
  <c r="B3322" i="5"/>
  <c r="E3321" i="5"/>
  <c r="D3321" i="5"/>
  <c r="C3321" i="5"/>
  <c r="B3321" i="5"/>
  <c r="E3320" i="5"/>
  <c r="D3320" i="5"/>
  <c r="C3320" i="5"/>
  <c r="B3320" i="5"/>
  <c r="E3319" i="5"/>
  <c r="D3319" i="5"/>
  <c r="C3319" i="5"/>
  <c r="B3319" i="5"/>
  <c r="E3318" i="5"/>
  <c r="D3318" i="5"/>
  <c r="C3318" i="5"/>
  <c r="B3318" i="5"/>
  <c r="E3317" i="5"/>
  <c r="D3317" i="5"/>
  <c r="C3317" i="5"/>
  <c r="B3317" i="5"/>
  <c r="E3316" i="5"/>
  <c r="D3316" i="5"/>
  <c r="C3316" i="5"/>
  <c r="B3316" i="5"/>
  <c r="E3315" i="5"/>
  <c r="D3315" i="5"/>
  <c r="C3315" i="5"/>
  <c r="B3315" i="5"/>
  <c r="E3314" i="5"/>
  <c r="D3314" i="5"/>
  <c r="C3314" i="5"/>
  <c r="B3314" i="5"/>
  <c r="E3313" i="5"/>
  <c r="D3313" i="5"/>
  <c r="C3313" i="5"/>
  <c r="B3313" i="5"/>
  <c r="E3312" i="5"/>
  <c r="D3312" i="5"/>
  <c r="C3312" i="5"/>
  <c r="B3312" i="5"/>
  <c r="E3311" i="5"/>
  <c r="D3311" i="5"/>
  <c r="C3311" i="5"/>
  <c r="B3311" i="5"/>
  <c r="E3310" i="5"/>
  <c r="D3310" i="5"/>
  <c r="C3310" i="5"/>
  <c r="B3310" i="5"/>
  <c r="E3309" i="5"/>
  <c r="D3309" i="5"/>
  <c r="C3309" i="5"/>
  <c r="B3309" i="5"/>
  <c r="E3308" i="5"/>
  <c r="D3308" i="5"/>
  <c r="C3308" i="5"/>
  <c r="B3308" i="5"/>
  <c r="E3307" i="5"/>
  <c r="D3307" i="5"/>
  <c r="C3307" i="5"/>
  <c r="B3307" i="5"/>
  <c r="E3306" i="5"/>
  <c r="D3306" i="5"/>
  <c r="C3306" i="5"/>
  <c r="B3306" i="5"/>
  <c r="E3305" i="5"/>
  <c r="D3305" i="5"/>
  <c r="C3305" i="5"/>
  <c r="B3305" i="5"/>
  <c r="E3304" i="5"/>
  <c r="D3304" i="5"/>
  <c r="C3304" i="5"/>
  <c r="B3304" i="5"/>
  <c r="E3303" i="5"/>
  <c r="D3303" i="5"/>
  <c r="C3303" i="5"/>
  <c r="B3303" i="5"/>
  <c r="E3302" i="5"/>
  <c r="D3302" i="5"/>
  <c r="C3302" i="5"/>
  <c r="B3302" i="5"/>
  <c r="E3301" i="5"/>
  <c r="D3301" i="5"/>
  <c r="C3301" i="5"/>
  <c r="B3301" i="5"/>
  <c r="E3300" i="5"/>
  <c r="D3300" i="5"/>
  <c r="C3300" i="5"/>
  <c r="B3300" i="5"/>
  <c r="E3299" i="5"/>
  <c r="D3299" i="5"/>
  <c r="C3299" i="5"/>
  <c r="B3299" i="5"/>
  <c r="E3298" i="5"/>
  <c r="D3298" i="5"/>
  <c r="C3298" i="5"/>
  <c r="B3298" i="5"/>
  <c r="E3297" i="5"/>
  <c r="D3297" i="5"/>
  <c r="C3297" i="5"/>
  <c r="B3297" i="5"/>
  <c r="E3296" i="5"/>
  <c r="D3296" i="5"/>
  <c r="C3296" i="5"/>
  <c r="B3296" i="5"/>
  <c r="E3295" i="5"/>
  <c r="D3295" i="5"/>
  <c r="C3295" i="5"/>
  <c r="B3295" i="5"/>
  <c r="E3294" i="5"/>
  <c r="D3294" i="5"/>
  <c r="C3294" i="5"/>
  <c r="B3294" i="5"/>
  <c r="E3293" i="5"/>
  <c r="D3293" i="5"/>
  <c r="C3293" i="5"/>
  <c r="B3293" i="5"/>
  <c r="E3292" i="5"/>
  <c r="D3292" i="5"/>
  <c r="C3292" i="5"/>
  <c r="B3292" i="5"/>
  <c r="E3291" i="5"/>
  <c r="D3291" i="5"/>
  <c r="C3291" i="5"/>
  <c r="B3291" i="5"/>
  <c r="E3290" i="5"/>
  <c r="D3290" i="5"/>
  <c r="C3290" i="5"/>
  <c r="B3290" i="5"/>
  <c r="E3289" i="5"/>
  <c r="D3289" i="5"/>
  <c r="C3289" i="5"/>
  <c r="B3289" i="5"/>
  <c r="E3288" i="5"/>
  <c r="D3288" i="5"/>
  <c r="C3288" i="5"/>
  <c r="B3288" i="5"/>
  <c r="E3287" i="5"/>
  <c r="D3287" i="5"/>
  <c r="C3287" i="5"/>
  <c r="B3287" i="5"/>
  <c r="E3286" i="5"/>
  <c r="D3286" i="5"/>
  <c r="C3286" i="5"/>
  <c r="B3286" i="5"/>
  <c r="E3285" i="5"/>
  <c r="D3285" i="5"/>
  <c r="C3285" i="5"/>
  <c r="B3285" i="5"/>
  <c r="E3284" i="5"/>
  <c r="D3284" i="5"/>
  <c r="C3284" i="5"/>
  <c r="B3284" i="5"/>
  <c r="E3283" i="5"/>
  <c r="D3283" i="5"/>
  <c r="C3283" i="5"/>
  <c r="B3283" i="5"/>
  <c r="E3282" i="5"/>
  <c r="D3282" i="5"/>
  <c r="C3282" i="5"/>
  <c r="B3282" i="5"/>
  <c r="E3281" i="5"/>
  <c r="D3281" i="5"/>
  <c r="C3281" i="5"/>
  <c r="B3281" i="5"/>
  <c r="E3280" i="5"/>
  <c r="D3280" i="5"/>
  <c r="C3280" i="5"/>
  <c r="B3280" i="5"/>
  <c r="E3279" i="5"/>
  <c r="D3279" i="5"/>
  <c r="C3279" i="5"/>
  <c r="B3279" i="5"/>
  <c r="E3278" i="5"/>
  <c r="D3278" i="5"/>
  <c r="C3278" i="5"/>
  <c r="B3278" i="5"/>
  <c r="E3277" i="5"/>
  <c r="D3277" i="5"/>
  <c r="C3277" i="5"/>
  <c r="B3277" i="5"/>
  <c r="E3276" i="5"/>
  <c r="D3276" i="5"/>
  <c r="C3276" i="5"/>
  <c r="B3276" i="5"/>
  <c r="E3275" i="5"/>
  <c r="D3275" i="5"/>
  <c r="C3275" i="5"/>
  <c r="B3275" i="5"/>
  <c r="E3274" i="5"/>
  <c r="D3274" i="5"/>
  <c r="C3274" i="5"/>
  <c r="B3274" i="5"/>
  <c r="E3273" i="5"/>
  <c r="D3273" i="5"/>
  <c r="C3273" i="5"/>
  <c r="B3273" i="5"/>
  <c r="E3272" i="5"/>
  <c r="D3272" i="5"/>
  <c r="C3272" i="5"/>
  <c r="B3272" i="5"/>
  <c r="E3271" i="5"/>
  <c r="D3271" i="5"/>
  <c r="C3271" i="5"/>
  <c r="B3271" i="5"/>
  <c r="E3270" i="5"/>
  <c r="D3270" i="5"/>
  <c r="C3270" i="5"/>
  <c r="B3270" i="5"/>
  <c r="E3269" i="5"/>
  <c r="D3269" i="5"/>
  <c r="C3269" i="5"/>
  <c r="B3269" i="5"/>
  <c r="E3268" i="5"/>
  <c r="D3268" i="5"/>
  <c r="C3268" i="5"/>
  <c r="B3268" i="5"/>
  <c r="E3267" i="5"/>
  <c r="D3267" i="5"/>
  <c r="C3267" i="5"/>
  <c r="B3267" i="5"/>
  <c r="E3266" i="5"/>
  <c r="D3266" i="5"/>
  <c r="C3266" i="5"/>
  <c r="B3266" i="5"/>
  <c r="E3265" i="5"/>
  <c r="D3265" i="5"/>
  <c r="C3265" i="5"/>
  <c r="B3265" i="5"/>
  <c r="E3264" i="5"/>
  <c r="D3264" i="5"/>
  <c r="C3264" i="5"/>
  <c r="B3264" i="5"/>
  <c r="E3263" i="5"/>
  <c r="D3263" i="5"/>
  <c r="C3263" i="5"/>
  <c r="B3263" i="5"/>
  <c r="E3262" i="5"/>
  <c r="D3262" i="5"/>
  <c r="C3262" i="5"/>
  <c r="B3262" i="5"/>
  <c r="E3261" i="5"/>
  <c r="D3261" i="5"/>
  <c r="C3261" i="5"/>
  <c r="B3261" i="5"/>
  <c r="E3260" i="5"/>
  <c r="D3260" i="5"/>
  <c r="C3260" i="5"/>
  <c r="B3260" i="5"/>
  <c r="E3259" i="5"/>
  <c r="D3259" i="5"/>
  <c r="C3259" i="5"/>
  <c r="B3259" i="5"/>
  <c r="E3258" i="5"/>
  <c r="D3258" i="5"/>
  <c r="C3258" i="5"/>
  <c r="B3258" i="5"/>
  <c r="E3257" i="5"/>
  <c r="D3257" i="5"/>
  <c r="C3257" i="5"/>
  <c r="B3257" i="5"/>
  <c r="E3256" i="5"/>
  <c r="D3256" i="5"/>
  <c r="C3256" i="5"/>
  <c r="B3256" i="5"/>
  <c r="E3255" i="5"/>
  <c r="D3255" i="5"/>
  <c r="C3255" i="5"/>
  <c r="B3255" i="5"/>
  <c r="E3254" i="5"/>
  <c r="D3254" i="5"/>
  <c r="C3254" i="5"/>
  <c r="B3254" i="5"/>
  <c r="E3253" i="5"/>
  <c r="D3253" i="5"/>
  <c r="C3253" i="5"/>
  <c r="B3253" i="5"/>
  <c r="E3252" i="5"/>
  <c r="D3252" i="5"/>
  <c r="C3252" i="5"/>
  <c r="B3252" i="5"/>
  <c r="E3251" i="5"/>
  <c r="D3251" i="5"/>
  <c r="C3251" i="5"/>
  <c r="B3251" i="5"/>
  <c r="E3250" i="5"/>
  <c r="D3250" i="5"/>
  <c r="C3250" i="5"/>
  <c r="B3250" i="5"/>
  <c r="E3249" i="5"/>
  <c r="D3249" i="5"/>
  <c r="C3249" i="5"/>
  <c r="B3249" i="5"/>
  <c r="E3248" i="5"/>
  <c r="D3248" i="5"/>
  <c r="C3248" i="5"/>
  <c r="B3248" i="5"/>
  <c r="E3247" i="5"/>
  <c r="D3247" i="5"/>
  <c r="C3247" i="5"/>
  <c r="B3247" i="5"/>
  <c r="E3246" i="5"/>
  <c r="D3246" i="5"/>
  <c r="C3246" i="5"/>
  <c r="B3246" i="5"/>
  <c r="E3245" i="5"/>
  <c r="D3245" i="5"/>
  <c r="C3245" i="5"/>
  <c r="B3245" i="5"/>
  <c r="E3244" i="5"/>
  <c r="D3244" i="5"/>
  <c r="C3244" i="5"/>
  <c r="B3244" i="5"/>
  <c r="E3243" i="5"/>
  <c r="D3243" i="5"/>
  <c r="C3243" i="5"/>
  <c r="B3243" i="5"/>
  <c r="E3242" i="5"/>
  <c r="D3242" i="5"/>
  <c r="C3242" i="5"/>
  <c r="B3242" i="5"/>
  <c r="E3241" i="5"/>
  <c r="D3241" i="5"/>
  <c r="C3241" i="5"/>
  <c r="B3241" i="5"/>
  <c r="E3240" i="5"/>
  <c r="D3240" i="5"/>
  <c r="C3240" i="5"/>
  <c r="B3240" i="5"/>
  <c r="E3239" i="5"/>
  <c r="D3239" i="5"/>
  <c r="C3239" i="5"/>
  <c r="B3239" i="5"/>
  <c r="E3238" i="5"/>
  <c r="D3238" i="5"/>
  <c r="C3238" i="5"/>
  <c r="B3238" i="5"/>
  <c r="E3237" i="5"/>
  <c r="D3237" i="5"/>
  <c r="C3237" i="5"/>
  <c r="B3237" i="5"/>
  <c r="E3236" i="5"/>
  <c r="D3236" i="5"/>
  <c r="C3236" i="5"/>
  <c r="B3236" i="5"/>
  <c r="E3235" i="5"/>
  <c r="D3235" i="5"/>
  <c r="C3235" i="5"/>
  <c r="B3235" i="5"/>
  <c r="E3234" i="5"/>
  <c r="D3234" i="5"/>
  <c r="C3234" i="5"/>
  <c r="B3234" i="5"/>
  <c r="E3233" i="5"/>
  <c r="D3233" i="5"/>
  <c r="C3233" i="5"/>
  <c r="B3233" i="5"/>
  <c r="E3232" i="5"/>
  <c r="D3232" i="5"/>
  <c r="C3232" i="5"/>
  <c r="B3232" i="5"/>
  <c r="E3231" i="5"/>
  <c r="D3231" i="5"/>
  <c r="C3231" i="5"/>
  <c r="B3231" i="5"/>
  <c r="E3230" i="5"/>
  <c r="D3230" i="5"/>
  <c r="C3230" i="5"/>
  <c r="B3230" i="5"/>
  <c r="E3229" i="5"/>
  <c r="D3229" i="5"/>
  <c r="C3229" i="5"/>
  <c r="B3229" i="5"/>
  <c r="E3228" i="5"/>
  <c r="D3228" i="5"/>
  <c r="C3228" i="5"/>
  <c r="B3228" i="5"/>
  <c r="E3227" i="5"/>
  <c r="D3227" i="5"/>
  <c r="C3227" i="5"/>
  <c r="B3227" i="5"/>
  <c r="E3226" i="5"/>
  <c r="D3226" i="5"/>
  <c r="C3226" i="5"/>
  <c r="B3226" i="5"/>
  <c r="E3225" i="5"/>
  <c r="D3225" i="5"/>
  <c r="C3225" i="5"/>
  <c r="B3225" i="5"/>
  <c r="E3224" i="5"/>
  <c r="D3224" i="5"/>
  <c r="C3224" i="5"/>
  <c r="B3224" i="5"/>
  <c r="E3223" i="5"/>
  <c r="D3223" i="5"/>
  <c r="C3223" i="5"/>
  <c r="B3223" i="5"/>
  <c r="E3222" i="5"/>
  <c r="D3222" i="5"/>
  <c r="C3222" i="5"/>
  <c r="B3222" i="5"/>
  <c r="E3221" i="5"/>
  <c r="D3221" i="5"/>
  <c r="C3221" i="5"/>
  <c r="B3221" i="5"/>
  <c r="E3220" i="5"/>
  <c r="D3220" i="5"/>
  <c r="C3220" i="5"/>
  <c r="B3220" i="5"/>
  <c r="E3219" i="5"/>
  <c r="D3219" i="5"/>
  <c r="C3219" i="5"/>
  <c r="B3219" i="5"/>
  <c r="E3218" i="5"/>
  <c r="D3218" i="5"/>
  <c r="C3218" i="5"/>
  <c r="B3218" i="5"/>
  <c r="E3217" i="5"/>
  <c r="D3217" i="5"/>
  <c r="C3217" i="5"/>
  <c r="B3217" i="5"/>
  <c r="E3216" i="5"/>
  <c r="D3216" i="5"/>
  <c r="C3216" i="5"/>
  <c r="B3216" i="5"/>
  <c r="E3215" i="5"/>
  <c r="D3215" i="5"/>
  <c r="C3215" i="5"/>
  <c r="B3215" i="5"/>
  <c r="E3214" i="5"/>
  <c r="D3214" i="5"/>
  <c r="C3214" i="5"/>
  <c r="B3214" i="5"/>
  <c r="E3213" i="5"/>
  <c r="D3213" i="5"/>
  <c r="C3213" i="5"/>
  <c r="B3213" i="5"/>
  <c r="E3212" i="5"/>
  <c r="D3212" i="5"/>
  <c r="C3212" i="5"/>
  <c r="B3212" i="5"/>
  <c r="E3211" i="5"/>
  <c r="D3211" i="5"/>
  <c r="C3211" i="5"/>
  <c r="B3211" i="5"/>
  <c r="E3210" i="5"/>
  <c r="D3210" i="5"/>
  <c r="C3210" i="5"/>
  <c r="B3210" i="5"/>
  <c r="E3209" i="5"/>
  <c r="D3209" i="5"/>
  <c r="C3209" i="5"/>
  <c r="B3209" i="5"/>
  <c r="E3208" i="5"/>
  <c r="D3208" i="5"/>
  <c r="C3208" i="5"/>
  <c r="B3208" i="5"/>
  <c r="E3207" i="5"/>
  <c r="D3207" i="5"/>
  <c r="C3207" i="5"/>
  <c r="B3207" i="5"/>
  <c r="E3206" i="5"/>
  <c r="D3206" i="5"/>
  <c r="C3206" i="5"/>
  <c r="B3206" i="5"/>
  <c r="E3205" i="5"/>
  <c r="D3205" i="5"/>
  <c r="C3205" i="5"/>
  <c r="B3205" i="5"/>
  <c r="E3204" i="5"/>
  <c r="D3204" i="5"/>
  <c r="C3204" i="5"/>
  <c r="B3204" i="5"/>
  <c r="E3203" i="5"/>
  <c r="D3203" i="5"/>
  <c r="C3203" i="5"/>
  <c r="B3203" i="5"/>
  <c r="E3202" i="5"/>
  <c r="D3202" i="5"/>
  <c r="C3202" i="5"/>
  <c r="B3202" i="5"/>
  <c r="E3201" i="5"/>
  <c r="D3201" i="5"/>
  <c r="C3201" i="5"/>
  <c r="B3201" i="5"/>
  <c r="E3200" i="5"/>
  <c r="D3200" i="5"/>
  <c r="C3200" i="5"/>
  <c r="B3200" i="5"/>
  <c r="E3199" i="5"/>
  <c r="D3199" i="5"/>
  <c r="C3199" i="5"/>
  <c r="B3199" i="5"/>
  <c r="E3198" i="5"/>
  <c r="D3198" i="5"/>
  <c r="C3198" i="5"/>
  <c r="B3198" i="5"/>
  <c r="E3197" i="5"/>
  <c r="D3197" i="5"/>
  <c r="C3197" i="5"/>
  <c r="B3197" i="5"/>
  <c r="E3196" i="5"/>
  <c r="D3196" i="5"/>
  <c r="C3196" i="5"/>
  <c r="B3196" i="5"/>
  <c r="E3195" i="5"/>
  <c r="D3195" i="5"/>
  <c r="C3195" i="5"/>
  <c r="B3195" i="5"/>
  <c r="E3194" i="5"/>
  <c r="D3194" i="5"/>
  <c r="C3194" i="5"/>
  <c r="B3194" i="5"/>
  <c r="E3193" i="5"/>
  <c r="D3193" i="5"/>
  <c r="C3193" i="5"/>
  <c r="B3193" i="5"/>
  <c r="E3192" i="5"/>
  <c r="D3192" i="5"/>
  <c r="C3192" i="5"/>
  <c r="B3192" i="5"/>
  <c r="E3191" i="5"/>
  <c r="D3191" i="5"/>
  <c r="C3191" i="5"/>
  <c r="B3191" i="5"/>
  <c r="E3190" i="5"/>
  <c r="D3190" i="5"/>
  <c r="C3190" i="5"/>
  <c r="B3190" i="5"/>
  <c r="E3189" i="5"/>
  <c r="D3189" i="5"/>
  <c r="C3189" i="5"/>
  <c r="B3189" i="5"/>
  <c r="E3188" i="5"/>
  <c r="D3188" i="5"/>
  <c r="C3188" i="5"/>
  <c r="B3188" i="5"/>
  <c r="E3187" i="5"/>
  <c r="D3187" i="5"/>
  <c r="C3187" i="5"/>
  <c r="B3187" i="5"/>
  <c r="E3186" i="5"/>
  <c r="D3186" i="5"/>
  <c r="C3186" i="5"/>
  <c r="B3186" i="5"/>
  <c r="E3185" i="5"/>
  <c r="D3185" i="5"/>
  <c r="C3185" i="5"/>
  <c r="B3185" i="5"/>
  <c r="E3184" i="5"/>
  <c r="D3184" i="5"/>
  <c r="C3184" i="5"/>
  <c r="B3184" i="5"/>
  <c r="E3183" i="5"/>
  <c r="D3183" i="5"/>
  <c r="C3183" i="5"/>
  <c r="B3183" i="5"/>
  <c r="E3182" i="5"/>
  <c r="D3182" i="5"/>
  <c r="C3182" i="5"/>
  <c r="B3182" i="5"/>
  <c r="E3181" i="5"/>
  <c r="D3181" i="5"/>
  <c r="C3181" i="5"/>
  <c r="B3181" i="5"/>
  <c r="E3180" i="5"/>
  <c r="D3180" i="5"/>
  <c r="C3180" i="5"/>
  <c r="B3180" i="5"/>
  <c r="E3179" i="5"/>
  <c r="D3179" i="5"/>
  <c r="C3179" i="5"/>
  <c r="B3179" i="5"/>
  <c r="E3178" i="5"/>
  <c r="D3178" i="5"/>
  <c r="C3178" i="5"/>
  <c r="B3178" i="5"/>
  <c r="E3177" i="5"/>
  <c r="D3177" i="5"/>
  <c r="C3177" i="5"/>
  <c r="B3177" i="5"/>
  <c r="E3176" i="5"/>
  <c r="D3176" i="5"/>
  <c r="C3176" i="5"/>
  <c r="B3176" i="5"/>
  <c r="E3175" i="5"/>
  <c r="D3175" i="5"/>
  <c r="C3175" i="5"/>
  <c r="B3175" i="5"/>
  <c r="E3174" i="5"/>
  <c r="D3174" i="5"/>
  <c r="C3174" i="5"/>
  <c r="B3174" i="5"/>
  <c r="E3173" i="5"/>
  <c r="D3173" i="5"/>
  <c r="C3173" i="5"/>
  <c r="B3173" i="5"/>
  <c r="E3172" i="5"/>
  <c r="D3172" i="5"/>
  <c r="C3172" i="5"/>
  <c r="B3172" i="5"/>
  <c r="E3171" i="5"/>
  <c r="D3171" i="5"/>
  <c r="C3171" i="5"/>
  <c r="B3171" i="5"/>
  <c r="E3170" i="5"/>
  <c r="D3170" i="5"/>
  <c r="C3170" i="5"/>
  <c r="B3170" i="5"/>
  <c r="E3169" i="5"/>
  <c r="D3169" i="5"/>
  <c r="C3169" i="5"/>
  <c r="B3169" i="5"/>
  <c r="E3168" i="5"/>
  <c r="D3168" i="5"/>
  <c r="C3168" i="5"/>
  <c r="B3168" i="5"/>
  <c r="E3167" i="5"/>
  <c r="D3167" i="5"/>
  <c r="C3167" i="5"/>
  <c r="B3167" i="5"/>
  <c r="E3166" i="5"/>
  <c r="D3166" i="5"/>
  <c r="C3166" i="5"/>
  <c r="B3166" i="5"/>
  <c r="E3165" i="5"/>
  <c r="D3165" i="5"/>
  <c r="C3165" i="5"/>
  <c r="B3165" i="5"/>
  <c r="E3164" i="5"/>
  <c r="D3164" i="5"/>
  <c r="C3164" i="5"/>
  <c r="B3164" i="5"/>
  <c r="E3163" i="5"/>
  <c r="D3163" i="5"/>
  <c r="C3163" i="5"/>
  <c r="B3163" i="5"/>
  <c r="E3162" i="5"/>
  <c r="D3162" i="5"/>
  <c r="C3162" i="5"/>
  <c r="B3162" i="5"/>
  <c r="E3161" i="5"/>
  <c r="D3161" i="5"/>
  <c r="C3161" i="5"/>
  <c r="B3161" i="5"/>
  <c r="E3160" i="5"/>
  <c r="D3160" i="5"/>
  <c r="C3160" i="5"/>
  <c r="B3160" i="5"/>
  <c r="E3159" i="5"/>
  <c r="D3159" i="5"/>
  <c r="C3159" i="5"/>
  <c r="B3159" i="5"/>
  <c r="E3158" i="5"/>
  <c r="D3158" i="5"/>
  <c r="C3158" i="5"/>
  <c r="B3158" i="5"/>
  <c r="E3157" i="5"/>
  <c r="D3157" i="5"/>
  <c r="C3157" i="5"/>
  <c r="B3157" i="5"/>
  <c r="E3156" i="5"/>
  <c r="D3156" i="5"/>
  <c r="C3156" i="5"/>
  <c r="B3156" i="5"/>
  <c r="E3155" i="5"/>
  <c r="D3155" i="5"/>
  <c r="C3155" i="5"/>
  <c r="B3155" i="5"/>
  <c r="E3154" i="5"/>
  <c r="D3154" i="5"/>
  <c r="C3154" i="5"/>
  <c r="B3154" i="5"/>
  <c r="E3153" i="5"/>
  <c r="D3153" i="5"/>
  <c r="C3153" i="5"/>
  <c r="B3153" i="5"/>
  <c r="E3152" i="5"/>
  <c r="D3152" i="5"/>
  <c r="C3152" i="5"/>
  <c r="B3152" i="5"/>
  <c r="E3151" i="5"/>
  <c r="D3151" i="5"/>
  <c r="C3151" i="5"/>
  <c r="B3151" i="5"/>
  <c r="E3150" i="5"/>
  <c r="D3150" i="5"/>
  <c r="C3150" i="5"/>
  <c r="B3150" i="5"/>
  <c r="E3149" i="5"/>
  <c r="D3149" i="5"/>
  <c r="C3149" i="5"/>
  <c r="B3149" i="5"/>
  <c r="E3148" i="5"/>
  <c r="D3148" i="5"/>
  <c r="C3148" i="5"/>
  <c r="B3148" i="5"/>
  <c r="E3147" i="5"/>
  <c r="D3147" i="5"/>
  <c r="C3147" i="5"/>
  <c r="B3147" i="5"/>
  <c r="E3146" i="5"/>
  <c r="D3146" i="5"/>
  <c r="C3146" i="5"/>
  <c r="B3146" i="5"/>
  <c r="E3145" i="5"/>
  <c r="D3145" i="5"/>
  <c r="C3145" i="5"/>
  <c r="B3145" i="5"/>
  <c r="E3144" i="5"/>
  <c r="D3144" i="5"/>
  <c r="C3144" i="5"/>
  <c r="B3144" i="5"/>
  <c r="E3143" i="5"/>
  <c r="D3143" i="5"/>
  <c r="C3143" i="5"/>
  <c r="B3143" i="5"/>
  <c r="E3142" i="5"/>
  <c r="D3142" i="5"/>
  <c r="C3142" i="5"/>
  <c r="B3142" i="5"/>
  <c r="E3141" i="5"/>
  <c r="D3141" i="5"/>
  <c r="C3141" i="5"/>
  <c r="B3141" i="5"/>
  <c r="E3140" i="5"/>
  <c r="D3140" i="5"/>
  <c r="C3140" i="5"/>
  <c r="B3140" i="5"/>
  <c r="E3139" i="5"/>
  <c r="D3139" i="5"/>
  <c r="C3139" i="5"/>
  <c r="B3139" i="5"/>
  <c r="E3138" i="5"/>
  <c r="D3138" i="5"/>
  <c r="C3138" i="5"/>
  <c r="B3138" i="5"/>
  <c r="E3137" i="5"/>
  <c r="D3137" i="5"/>
  <c r="C3137" i="5"/>
  <c r="B3137" i="5"/>
  <c r="E3136" i="5"/>
  <c r="D3136" i="5"/>
  <c r="C3136" i="5"/>
  <c r="B3136" i="5"/>
  <c r="E3135" i="5"/>
  <c r="D3135" i="5"/>
  <c r="C3135" i="5"/>
  <c r="B3135" i="5"/>
  <c r="E3134" i="5"/>
  <c r="D3134" i="5"/>
  <c r="C3134" i="5"/>
  <c r="B3134" i="5"/>
  <c r="E3133" i="5"/>
  <c r="D3133" i="5"/>
  <c r="C3133" i="5"/>
  <c r="B3133" i="5"/>
  <c r="E3132" i="5"/>
  <c r="D3132" i="5"/>
  <c r="C3132" i="5"/>
  <c r="B3132" i="5"/>
  <c r="E3131" i="5"/>
  <c r="D3131" i="5"/>
  <c r="C3131" i="5"/>
  <c r="B3131" i="5"/>
  <c r="E3130" i="5"/>
  <c r="D3130" i="5"/>
  <c r="C3130" i="5"/>
  <c r="B3130" i="5"/>
  <c r="E3129" i="5"/>
  <c r="D3129" i="5"/>
  <c r="C3129" i="5"/>
  <c r="B3129" i="5"/>
  <c r="E3128" i="5"/>
  <c r="D3128" i="5"/>
  <c r="C3128" i="5"/>
  <c r="B3128" i="5"/>
  <c r="E3127" i="5"/>
  <c r="D3127" i="5"/>
  <c r="C3127" i="5"/>
  <c r="B3127" i="5"/>
  <c r="E3126" i="5"/>
  <c r="D3126" i="5"/>
  <c r="C3126" i="5"/>
  <c r="B3126" i="5"/>
  <c r="E3125" i="5"/>
  <c r="D3125" i="5"/>
  <c r="C3125" i="5"/>
  <c r="B3125" i="5"/>
  <c r="E3124" i="5"/>
  <c r="D3124" i="5"/>
  <c r="C3124" i="5"/>
  <c r="B3124" i="5"/>
  <c r="E3123" i="5"/>
  <c r="D3123" i="5"/>
  <c r="C3123" i="5"/>
  <c r="B3123" i="5"/>
  <c r="E3122" i="5"/>
  <c r="D3122" i="5"/>
  <c r="C3122" i="5"/>
  <c r="B3122" i="5"/>
  <c r="E3121" i="5"/>
  <c r="D3121" i="5"/>
  <c r="C3121" i="5"/>
  <c r="B3121" i="5"/>
  <c r="E3120" i="5"/>
  <c r="D3120" i="5"/>
  <c r="C3120" i="5"/>
  <c r="B3120" i="5"/>
  <c r="E3119" i="5"/>
  <c r="D3119" i="5"/>
  <c r="C3119" i="5"/>
  <c r="B3119" i="5"/>
  <c r="E3118" i="5"/>
  <c r="D3118" i="5"/>
  <c r="C3118" i="5"/>
  <c r="B3118" i="5"/>
  <c r="E3117" i="5"/>
  <c r="D3117" i="5"/>
  <c r="C3117" i="5"/>
  <c r="B3117" i="5"/>
  <c r="E3116" i="5"/>
  <c r="D3116" i="5"/>
  <c r="C3116" i="5"/>
  <c r="B3116" i="5"/>
  <c r="E3115" i="5"/>
  <c r="D3115" i="5"/>
  <c r="C3115" i="5"/>
  <c r="B3115" i="5"/>
  <c r="E3114" i="5"/>
  <c r="D3114" i="5"/>
  <c r="C3114" i="5"/>
  <c r="B3114" i="5"/>
  <c r="E3113" i="5"/>
  <c r="D3113" i="5"/>
  <c r="C3113" i="5"/>
  <c r="B3113" i="5"/>
  <c r="E3112" i="5"/>
  <c r="D3112" i="5"/>
  <c r="C3112" i="5"/>
  <c r="B3112" i="5"/>
  <c r="E3111" i="5"/>
  <c r="D3111" i="5"/>
  <c r="C3111" i="5"/>
  <c r="B3111" i="5"/>
  <c r="E3110" i="5"/>
  <c r="D3110" i="5"/>
  <c r="C3110" i="5"/>
  <c r="B3110" i="5"/>
  <c r="E3109" i="5"/>
  <c r="D3109" i="5"/>
  <c r="C3109" i="5"/>
  <c r="B3109" i="5"/>
  <c r="E3108" i="5"/>
  <c r="D3108" i="5"/>
  <c r="C3108" i="5"/>
  <c r="B3108" i="5"/>
  <c r="E3107" i="5"/>
  <c r="D3107" i="5"/>
  <c r="C3107" i="5"/>
  <c r="B3107" i="5"/>
  <c r="E3106" i="5"/>
  <c r="D3106" i="5"/>
  <c r="C3106" i="5"/>
  <c r="B3106" i="5"/>
  <c r="E3105" i="5"/>
  <c r="D3105" i="5"/>
  <c r="C3105" i="5"/>
  <c r="B3105" i="5"/>
  <c r="E3104" i="5"/>
  <c r="D3104" i="5"/>
  <c r="C3104" i="5"/>
  <c r="B3104" i="5"/>
  <c r="E3103" i="5"/>
  <c r="D3103" i="5"/>
  <c r="C3103" i="5"/>
  <c r="B3103" i="5"/>
  <c r="E3102" i="5"/>
  <c r="D3102" i="5"/>
  <c r="C3102" i="5"/>
  <c r="B3102" i="5"/>
  <c r="E3101" i="5"/>
  <c r="D3101" i="5"/>
  <c r="C3101" i="5"/>
  <c r="B3101" i="5"/>
  <c r="E3100" i="5"/>
  <c r="D3100" i="5"/>
  <c r="C3100" i="5"/>
  <c r="B3100" i="5"/>
  <c r="E3099" i="5"/>
  <c r="D3099" i="5"/>
  <c r="C3099" i="5"/>
  <c r="B3099" i="5"/>
  <c r="E3098" i="5"/>
  <c r="D3098" i="5"/>
  <c r="C3098" i="5"/>
  <c r="B3098" i="5"/>
  <c r="E3097" i="5"/>
  <c r="D3097" i="5"/>
  <c r="C3097" i="5"/>
  <c r="B3097" i="5"/>
  <c r="E3096" i="5"/>
  <c r="D3096" i="5"/>
  <c r="C3096" i="5"/>
  <c r="B3096" i="5"/>
  <c r="E3095" i="5"/>
  <c r="D3095" i="5"/>
  <c r="C3095" i="5"/>
  <c r="B3095" i="5"/>
  <c r="E3094" i="5"/>
  <c r="D3094" i="5"/>
  <c r="C3094" i="5"/>
  <c r="B3094" i="5"/>
  <c r="E3093" i="5"/>
  <c r="D3093" i="5"/>
  <c r="C3093" i="5"/>
  <c r="B3093" i="5"/>
  <c r="E3092" i="5"/>
  <c r="D3092" i="5"/>
  <c r="C3092" i="5"/>
  <c r="B3092" i="5"/>
  <c r="E3091" i="5"/>
  <c r="D3091" i="5"/>
  <c r="C3091" i="5"/>
  <c r="B3091" i="5"/>
  <c r="E3090" i="5"/>
  <c r="D3090" i="5"/>
  <c r="C3090" i="5"/>
  <c r="B3090" i="5"/>
  <c r="E3089" i="5"/>
  <c r="D3089" i="5"/>
  <c r="C3089" i="5"/>
  <c r="B3089" i="5"/>
  <c r="E3088" i="5"/>
  <c r="D3088" i="5"/>
  <c r="C3088" i="5"/>
  <c r="B3088" i="5"/>
  <c r="E3087" i="5"/>
  <c r="D3087" i="5"/>
  <c r="C3087" i="5"/>
  <c r="B3087" i="5"/>
  <c r="E3086" i="5"/>
  <c r="D3086" i="5"/>
  <c r="C3086" i="5"/>
  <c r="B3086" i="5"/>
  <c r="E3085" i="5"/>
  <c r="D3085" i="5"/>
  <c r="C3085" i="5"/>
  <c r="B3085" i="5"/>
  <c r="E3084" i="5"/>
  <c r="D3084" i="5"/>
  <c r="C3084" i="5"/>
  <c r="B3084" i="5"/>
  <c r="E3083" i="5"/>
  <c r="D3083" i="5"/>
  <c r="C3083" i="5"/>
  <c r="B3083" i="5"/>
  <c r="E3082" i="5"/>
  <c r="D3082" i="5"/>
  <c r="C3082" i="5"/>
  <c r="B3082" i="5"/>
  <c r="E3081" i="5"/>
  <c r="D3081" i="5"/>
  <c r="C3081" i="5"/>
  <c r="B3081" i="5"/>
  <c r="E3080" i="5"/>
  <c r="D3080" i="5"/>
  <c r="C3080" i="5"/>
  <c r="B3080" i="5"/>
  <c r="E3079" i="5"/>
  <c r="D3079" i="5"/>
  <c r="C3079" i="5"/>
  <c r="B3079" i="5"/>
  <c r="E3078" i="5"/>
  <c r="D3078" i="5"/>
  <c r="C3078" i="5"/>
  <c r="B3078" i="5"/>
  <c r="E3077" i="5"/>
  <c r="D3077" i="5"/>
  <c r="C3077" i="5"/>
  <c r="B3077" i="5"/>
  <c r="E3076" i="5"/>
  <c r="D3076" i="5"/>
  <c r="C3076" i="5"/>
  <c r="B3076" i="5"/>
  <c r="E3075" i="5"/>
  <c r="D3075" i="5"/>
  <c r="C3075" i="5"/>
  <c r="B3075" i="5"/>
  <c r="E3074" i="5"/>
  <c r="D3074" i="5"/>
  <c r="C3074" i="5"/>
  <c r="B3074" i="5"/>
  <c r="E3073" i="5"/>
  <c r="D3073" i="5"/>
  <c r="C3073" i="5"/>
  <c r="B3073" i="5"/>
  <c r="E3072" i="5"/>
  <c r="D3072" i="5"/>
  <c r="C3072" i="5"/>
  <c r="B3072" i="5"/>
  <c r="E3071" i="5"/>
  <c r="D3071" i="5"/>
  <c r="C3071" i="5"/>
  <c r="B3071" i="5"/>
  <c r="E3070" i="5"/>
  <c r="D3070" i="5"/>
  <c r="C3070" i="5"/>
  <c r="B3070" i="5"/>
  <c r="E3069" i="5"/>
  <c r="D3069" i="5"/>
  <c r="C3069" i="5"/>
  <c r="B3069" i="5"/>
  <c r="E3068" i="5"/>
  <c r="D3068" i="5"/>
  <c r="C3068" i="5"/>
  <c r="B3068" i="5"/>
  <c r="E3067" i="5"/>
  <c r="D3067" i="5"/>
  <c r="C3067" i="5"/>
  <c r="B3067" i="5"/>
  <c r="E3066" i="5"/>
  <c r="D3066" i="5"/>
  <c r="C3066" i="5"/>
  <c r="B3066" i="5"/>
  <c r="E3065" i="5"/>
  <c r="D3065" i="5"/>
  <c r="C3065" i="5"/>
  <c r="B3065" i="5"/>
  <c r="E3064" i="5"/>
  <c r="D3064" i="5"/>
  <c r="C3064" i="5"/>
  <c r="B3064" i="5"/>
  <c r="E3063" i="5"/>
  <c r="D3063" i="5"/>
  <c r="C3063" i="5"/>
  <c r="B3063" i="5"/>
  <c r="E3062" i="5"/>
  <c r="D3062" i="5"/>
  <c r="C3062" i="5"/>
  <c r="B3062" i="5"/>
  <c r="E3061" i="5"/>
  <c r="D3061" i="5"/>
  <c r="C3061" i="5"/>
  <c r="B3061" i="5"/>
  <c r="E3060" i="5"/>
  <c r="D3060" i="5"/>
  <c r="C3060" i="5"/>
  <c r="B3060" i="5"/>
  <c r="E3059" i="5"/>
  <c r="D3059" i="5"/>
  <c r="C3059" i="5"/>
  <c r="B3059" i="5"/>
  <c r="E3058" i="5"/>
  <c r="D3058" i="5"/>
  <c r="C3058" i="5"/>
  <c r="B3058" i="5"/>
  <c r="E3057" i="5"/>
  <c r="D3057" i="5"/>
  <c r="C3057" i="5"/>
  <c r="B3057" i="5"/>
  <c r="E3056" i="5"/>
  <c r="D3056" i="5"/>
  <c r="C3056" i="5"/>
  <c r="B3056" i="5"/>
  <c r="E3055" i="5"/>
  <c r="D3055" i="5"/>
  <c r="C3055" i="5"/>
  <c r="B3055" i="5"/>
  <c r="E3054" i="5"/>
  <c r="D3054" i="5"/>
  <c r="C3054" i="5"/>
  <c r="B3054" i="5"/>
  <c r="E3053" i="5"/>
  <c r="D3053" i="5"/>
  <c r="C3053" i="5"/>
  <c r="B3053" i="5"/>
  <c r="E3052" i="5"/>
  <c r="D3052" i="5"/>
  <c r="C3052" i="5"/>
  <c r="B3052" i="5"/>
  <c r="E3051" i="5"/>
  <c r="D3051" i="5"/>
  <c r="C3051" i="5"/>
  <c r="B3051" i="5"/>
  <c r="E3050" i="5"/>
  <c r="D3050" i="5"/>
  <c r="C3050" i="5"/>
  <c r="B3050" i="5"/>
  <c r="E3049" i="5"/>
  <c r="D3049" i="5"/>
  <c r="C3049" i="5"/>
  <c r="B3049" i="5"/>
  <c r="E3048" i="5"/>
  <c r="D3048" i="5"/>
  <c r="C3048" i="5"/>
  <c r="B3048" i="5"/>
  <c r="E3047" i="5"/>
  <c r="D3047" i="5"/>
  <c r="C3047" i="5"/>
  <c r="B3047" i="5"/>
  <c r="E3046" i="5"/>
  <c r="D3046" i="5"/>
  <c r="C3046" i="5"/>
  <c r="B3046" i="5"/>
  <c r="E3045" i="5"/>
  <c r="D3045" i="5"/>
  <c r="C3045" i="5"/>
  <c r="B3045" i="5"/>
  <c r="E3044" i="5"/>
  <c r="D3044" i="5"/>
  <c r="C3044" i="5"/>
  <c r="B3044" i="5"/>
  <c r="E3043" i="5"/>
  <c r="D3043" i="5"/>
  <c r="C3043" i="5"/>
  <c r="B3043" i="5"/>
  <c r="E3042" i="5"/>
  <c r="D3042" i="5"/>
  <c r="C3042" i="5"/>
  <c r="B3042" i="5"/>
  <c r="E3041" i="5"/>
  <c r="D3041" i="5"/>
  <c r="C3041" i="5"/>
  <c r="B3041" i="5"/>
  <c r="E3040" i="5"/>
  <c r="D3040" i="5"/>
  <c r="C3040" i="5"/>
  <c r="B3040" i="5"/>
  <c r="E3039" i="5"/>
  <c r="D3039" i="5"/>
  <c r="C3039" i="5"/>
  <c r="B3039" i="5"/>
  <c r="E3038" i="5"/>
  <c r="D3038" i="5"/>
  <c r="C3038" i="5"/>
  <c r="B3038" i="5"/>
  <c r="E3037" i="5"/>
  <c r="D3037" i="5"/>
  <c r="C3037" i="5"/>
  <c r="B3037" i="5"/>
  <c r="E3036" i="5"/>
  <c r="D3036" i="5"/>
  <c r="C3036" i="5"/>
  <c r="B3036" i="5"/>
  <c r="E3035" i="5"/>
  <c r="D3035" i="5"/>
  <c r="C3035" i="5"/>
  <c r="B3035" i="5"/>
  <c r="E3034" i="5"/>
  <c r="D3034" i="5"/>
  <c r="C3034" i="5"/>
  <c r="B3034" i="5"/>
  <c r="E3033" i="5"/>
  <c r="D3033" i="5"/>
  <c r="C3033" i="5"/>
  <c r="B3033" i="5"/>
  <c r="E3032" i="5"/>
  <c r="D3032" i="5"/>
  <c r="C3032" i="5"/>
  <c r="B3032" i="5"/>
  <c r="E3031" i="5"/>
  <c r="D3031" i="5"/>
  <c r="C3031" i="5"/>
  <c r="B3031" i="5"/>
  <c r="E3030" i="5"/>
  <c r="D3030" i="5"/>
  <c r="C3030" i="5"/>
  <c r="B3030" i="5"/>
  <c r="E3029" i="5"/>
  <c r="D3029" i="5"/>
  <c r="C3029" i="5"/>
  <c r="B3029" i="5"/>
  <c r="E3028" i="5"/>
  <c r="D3028" i="5"/>
  <c r="C3028" i="5"/>
  <c r="B3028" i="5"/>
  <c r="E3027" i="5"/>
  <c r="D3027" i="5"/>
  <c r="C3027" i="5"/>
  <c r="B3027" i="5"/>
  <c r="E3026" i="5"/>
  <c r="D3026" i="5"/>
  <c r="C3026" i="5"/>
  <c r="B3026" i="5"/>
  <c r="E3025" i="5"/>
  <c r="D3025" i="5"/>
  <c r="C3025" i="5"/>
  <c r="B3025" i="5"/>
  <c r="E3024" i="5"/>
  <c r="D3024" i="5"/>
  <c r="C3024" i="5"/>
  <c r="B3024" i="5"/>
  <c r="E3023" i="5"/>
  <c r="D3023" i="5"/>
  <c r="C3023" i="5"/>
  <c r="B3023" i="5"/>
  <c r="E3022" i="5"/>
  <c r="D3022" i="5"/>
  <c r="C3022" i="5"/>
  <c r="B3022" i="5"/>
  <c r="E3021" i="5"/>
  <c r="D3021" i="5"/>
  <c r="C3021" i="5"/>
  <c r="B3021" i="5"/>
  <c r="E3020" i="5"/>
  <c r="D3020" i="5"/>
  <c r="C3020" i="5"/>
  <c r="B3020" i="5"/>
  <c r="E3019" i="5"/>
  <c r="D3019" i="5"/>
  <c r="C3019" i="5"/>
  <c r="B3019" i="5"/>
  <c r="E3018" i="5"/>
  <c r="D3018" i="5"/>
  <c r="C3018" i="5"/>
  <c r="B3018" i="5"/>
  <c r="E3017" i="5"/>
  <c r="D3017" i="5"/>
  <c r="C3017" i="5"/>
  <c r="B3017" i="5"/>
  <c r="E3016" i="5"/>
  <c r="D3016" i="5"/>
  <c r="C3016" i="5"/>
  <c r="B3016" i="5"/>
  <c r="E3015" i="5"/>
  <c r="D3015" i="5"/>
  <c r="C3015" i="5"/>
  <c r="B3015" i="5"/>
  <c r="E3014" i="5"/>
  <c r="D3014" i="5"/>
  <c r="C3014" i="5"/>
  <c r="B3014" i="5"/>
  <c r="E3013" i="5"/>
  <c r="D3013" i="5"/>
  <c r="C3013" i="5"/>
  <c r="B3013" i="5"/>
  <c r="E3012" i="5"/>
  <c r="D3012" i="5"/>
  <c r="C3012" i="5"/>
  <c r="B3012" i="5"/>
  <c r="E3011" i="5"/>
  <c r="D3011" i="5"/>
  <c r="C3011" i="5"/>
  <c r="B3011" i="5"/>
  <c r="E3010" i="5"/>
  <c r="D3010" i="5"/>
  <c r="C3010" i="5"/>
  <c r="B3010" i="5"/>
  <c r="E3009" i="5"/>
  <c r="D3009" i="5"/>
  <c r="C3009" i="5"/>
  <c r="B3009" i="5"/>
  <c r="E3008" i="5"/>
  <c r="D3008" i="5"/>
  <c r="C3008" i="5"/>
  <c r="B3008" i="5"/>
  <c r="E3007" i="5"/>
  <c r="D3007" i="5"/>
  <c r="C3007" i="5"/>
  <c r="B3007" i="5"/>
  <c r="E3006" i="5"/>
  <c r="D3006" i="5"/>
  <c r="C3006" i="5"/>
  <c r="B3006" i="5"/>
  <c r="E3005" i="5"/>
  <c r="D3005" i="5"/>
  <c r="C3005" i="5"/>
  <c r="B3005" i="5"/>
  <c r="E3004" i="5"/>
  <c r="D3004" i="5"/>
  <c r="C3004" i="5"/>
  <c r="B3004" i="5"/>
  <c r="E3003" i="5"/>
  <c r="D3003" i="5"/>
  <c r="C3003" i="5"/>
  <c r="B3003" i="5"/>
  <c r="E3002" i="5"/>
  <c r="D3002" i="5"/>
  <c r="C3002" i="5"/>
  <c r="B3002" i="5"/>
  <c r="E3001" i="5"/>
  <c r="D3001" i="5"/>
  <c r="C3001" i="5"/>
  <c r="B3001" i="5"/>
  <c r="E3000" i="5"/>
  <c r="D3000" i="5"/>
  <c r="C3000" i="5"/>
  <c r="B3000" i="5"/>
  <c r="E2999" i="5"/>
  <c r="D2999" i="5"/>
  <c r="C2999" i="5"/>
  <c r="B2999" i="5"/>
  <c r="E2998" i="5"/>
  <c r="D2998" i="5"/>
  <c r="C2998" i="5"/>
  <c r="B2998" i="5"/>
  <c r="E2997" i="5"/>
  <c r="D2997" i="5"/>
  <c r="C2997" i="5"/>
  <c r="B2997" i="5"/>
  <c r="E2996" i="5"/>
  <c r="D2996" i="5"/>
  <c r="C2996" i="5"/>
  <c r="B2996" i="5"/>
  <c r="E2995" i="5"/>
  <c r="D2995" i="5"/>
  <c r="C2995" i="5"/>
  <c r="B2995" i="5"/>
  <c r="E2994" i="5"/>
  <c r="D2994" i="5"/>
  <c r="C2994" i="5"/>
  <c r="B2994" i="5"/>
  <c r="E2993" i="5"/>
  <c r="D2993" i="5"/>
  <c r="C2993" i="5"/>
  <c r="B2993" i="5"/>
  <c r="E2992" i="5"/>
  <c r="D2992" i="5"/>
  <c r="C2992" i="5"/>
  <c r="B2992" i="5"/>
  <c r="E2991" i="5"/>
  <c r="D2991" i="5"/>
  <c r="C2991" i="5"/>
  <c r="B2991" i="5"/>
  <c r="E2990" i="5"/>
  <c r="D2990" i="5"/>
  <c r="C2990" i="5"/>
  <c r="B2990" i="5"/>
  <c r="E2989" i="5"/>
  <c r="D2989" i="5"/>
  <c r="C2989" i="5"/>
  <c r="B2989" i="5"/>
  <c r="E2988" i="5"/>
  <c r="D2988" i="5"/>
  <c r="C2988" i="5"/>
  <c r="B2988" i="5"/>
  <c r="E2987" i="5"/>
  <c r="D2987" i="5"/>
  <c r="C2987" i="5"/>
  <c r="B2987" i="5"/>
  <c r="E2986" i="5"/>
  <c r="D2986" i="5"/>
  <c r="C2986" i="5"/>
  <c r="B2986" i="5"/>
  <c r="E2985" i="5"/>
  <c r="D2985" i="5"/>
  <c r="C2985" i="5"/>
  <c r="B2985" i="5"/>
  <c r="E2984" i="5"/>
  <c r="D2984" i="5"/>
  <c r="C2984" i="5"/>
  <c r="B2984" i="5"/>
  <c r="E2983" i="5"/>
  <c r="D2983" i="5"/>
  <c r="C2983" i="5"/>
  <c r="B2983" i="5"/>
  <c r="E2982" i="5"/>
  <c r="D2982" i="5"/>
  <c r="C2982" i="5"/>
  <c r="B2982" i="5"/>
  <c r="E2981" i="5"/>
  <c r="D2981" i="5"/>
  <c r="C2981" i="5"/>
  <c r="B2981" i="5"/>
  <c r="E2980" i="5"/>
  <c r="D2980" i="5"/>
  <c r="C2980" i="5"/>
  <c r="B2980" i="5"/>
  <c r="E2979" i="5"/>
  <c r="D2979" i="5"/>
  <c r="C2979" i="5"/>
  <c r="B2979" i="5"/>
  <c r="E2978" i="5"/>
  <c r="D2978" i="5"/>
  <c r="C2978" i="5"/>
  <c r="B2978" i="5"/>
  <c r="E2977" i="5"/>
  <c r="D2977" i="5"/>
  <c r="C2977" i="5"/>
  <c r="B2977" i="5"/>
  <c r="E2976" i="5"/>
  <c r="D2976" i="5"/>
  <c r="C2976" i="5"/>
  <c r="B2976" i="5"/>
  <c r="E2975" i="5"/>
  <c r="D2975" i="5"/>
  <c r="C2975" i="5"/>
  <c r="B2975" i="5"/>
  <c r="E2974" i="5"/>
  <c r="D2974" i="5"/>
  <c r="C2974" i="5"/>
  <c r="B2974" i="5"/>
  <c r="E2973" i="5"/>
  <c r="D2973" i="5"/>
  <c r="C2973" i="5"/>
  <c r="B2973" i="5"/>
  <c r="E2972" i="5"/>
  <c r="D2972" i="5"/>
  <c r="C2972" i="5"/>
  <c r="B2972" i="5"/>
  <c r="E2971" i="5"/>
  <c r="D2971" i="5"/>
  <c r="C2971" i="5"/>
  <c r="B2971" i="5"/>
  <c r="E2970" i="5"/>
  <c r="D2970" i="5"/>
  <c r="C2970" i="5"/>
  <c r="B2970" i="5"/>
  <c r="E2969" i="5"/>
  <c r="D2969" i="5"/>
  <c r="C2969" i="5"/>
  <c r="B2969" i="5"/>
  <c r="E2968" i="5"/>
  <c r="D2968" i="5"/>
  <c r="C2968" i="5"/>
  <c r="B2968" i="5"/>
  <c r="E2967" i="5"/>
  <c r="D2967" i="5"/>
  <c r="C2967" i="5"/>
  <c r="B2967" i="5"/>
  <c r="E2966" i="5"/>
  <c r="D2966" i="5"/>
  <c r="C2966" i="5"/>
  <c r="B2966" i="5"/>
  <c r="E2965" i="5"/>
  <c r="D2965" i="5"/>
  <c r="C2965" i="5"/>
  <c r="B2965" i="5"/>
  <c r="E2964" i="5"/>
  <c r="D2964" i="5"/>
  <c r="C2964" i="5"/>
  <c r="B2964" i="5"/>
  <c r="E2963" i="5"/>
  <c r="D2963" i="5"/>
  <c r="C2963" i="5"/>
  <c r="B2963" i="5"/>
  <c r="E2962" i="5"/>
  <c r="D2962" i="5"/>
  <c r="C2962" i="5"/>
  <c r="B2962" i="5"/>
  <c r="E2961" i="5"/>
  <c r="D2961" i="5"/>
  <c r="C2961" i="5"/>
  <c r="B2961" i="5"/>
  <c r="E2960" i="5"/>
  <c r="D2960" i="5"/>
  <c r="C2960" i="5"/>
  <c r="B2960" i="5"/>
  <c r="E2959" i="5"/>
  <c r="D2959" i="5"/>
  <c r="C2959" i="5"/>
  <c r="B2959" i="5"/>
  <c r="E2958" i="5"/>
  <c r="D2958" i="5"/>
  <c r="C2958" i="5"/>
  <c r="B2958" i="5"/>
  <c r="E2957" i="5"/>
  <c r="D2957" i="5"/>
  <c r="C2957" i="5"/>
  <c r="B2957" i="5"/>
  <c r="E2956" i="5"/>
  <c r="D2956" i="5"/>
  <c r="C2956" i="5"/>
  <c r="B2956" i="5"/>
  <c r="E2955" i="5"/>
  <c r="D2955" i="5"/>
  <c r="C2955" i="5"/>
  <c r="B2955" i="5"/>
  <c r="E2954" i="5"/>
  <c r="D2954" i="5"/>
  <c r="C2954" i="5"/>
  <c r="B2954" i="5"/>
  <c r="E2953" i="5"/>
  <c r="D2953" i="5"/>
  <c r="C2953" i="5"/>
  <c r="B2953" i="5"/>
  <c r="E2952" i="5"/>
  <c r="D2952" i="5"/>
  <c r="C2952" i="5"/>
  <c r="B2952" i="5"/>
  <c r="E2951" i="5"/>
  <c r="D2951" i="5"/>
  <c r="C2951" i="5"/>
  <c r="B2951" i="5"/>
  <c r="E2950" i="5"/>
  <c r="D2950" i="5"/>
  <c r="C2950" i="5"/>
  <c r="B2950" i="5"/>
  <c r="E2949" i="5"/>
  <c r="D2949" i="5"/>
  <c r="C2949" i="5"/>
  <c r="B2949" i="5"/>
  <c r="E2948" i="5"/>
  <c r="D2948" i="5"/>
  <c r="C2948" i="5"/>
  <c r="B2948" i="5"/>
  <c r="E2947" i="5"/>
  <c r="D2947" i="5"/>
  <c r="C2947" i="5"/>
  <c r="B2947" i="5"/>
  <c r="E2946" i="5"/>
  <c r="D2946" i="5"/>
  <c r="C2946" i="5"/>
  <c r="B2946" i="5"/>
  <c r="E2945" i="5"/>
  <c r="D2945" i="5"/>
  <c r="C2945" i="5"/>
  <c r="B2945" i="5"/>
  <c r="E2944" i="5"/>
  <c r="D2944" i="5"/>
  <c r="C2944" i="5"/>
  <c r="B2944" i="5"/>
  <c r="E2943" i="5"/>
  <c r="D2943" i="5"/>
  <c r="C2943" i="5"/>
  <c r="B2943" i="5"/>
  <c r="E2942" i="5"/>
  <c r="D2942" i="5"/>
  <c r="C2942" i="5"/>
  <c r="B2942" i="5"/>
  <c r="E2941" i="5"/>
  <c r="D2941" i="5"/>
  <c r="C2941" i="5"/>
  <c r="B2941" i="5"/>
  <c r="E2940" i="5"/>
  <c r="D2940" i="5"/>
  <c r="C2940" i="5"/>
  <c r="B2940" i="5"/>
  <c r="E2939" i="5"/>
  <c r="D2939" i="5"/>
  <c r="C2939" i="5"/>
  <c r="B2939" i="5"/>
  <c r="E2938" i="5"/>
  <c r="D2938" i="5"/>
  <c r="C2938" i="5"/>
  <c r="B2938" i="5"/>
  <c r="E2937" i="5"/>
  <c r="D2937" i="5"/>
  <c r="C2937" i="5"/>
  <c r="B2937" i="5"/>
  <c r="E2936" i="5"/>
  <c r="D2936" i="5"/>
  <c r="C2936" i="5"/>
  <c r="B2936" i="5"/>
  <c r="E2935" i="5"/>
  <c r="D2935" i="5"/>
  <c r="C2935" i="5"/>
  <c r="B2935" i="5"/>
  <c r="E2934" i="5"/>
  <c r="D2934" i="5"/>
  <c r="C2934" i="5"/>
  <c r="B2934" i="5"/>
  <c r="E2933" i="5"/>
  <c r="D2933" i="5"/>
  <c r="C2933" i="5"/>
  <c r="B2933" i="5"/>
  <c r="E2932" i="5"/>
  <c r="D2932" i="5"/>
  <c r="C2932" i="5"/>
  <c r="B2932" i="5"/>
  <c r="E2931" i="5"/>
  <c r="D2931" i="5"/>
  <c r="C2931" i="5"/>
  <c r="B2931" i="5"/>
  <c r="E2930" i="5"/>
  <c r="D2930" i="5"/>
  <c r="C2930" i="5"/>
  <c r="B2930" i="5"/>
  <c r="E2929" i="5"/>
  <c r="D2929" i="5"/>
  <c r="C2929" i="5"/>
  <c r="B2929" i="5"/>
  <c r="E2928" i="5"/>
  <c r="D2928" i="5"/>
  <c r="C2928" i="5"/>
  <c r="B2928" i="5"/>
  <c r="E2927" i="5"/>
  <c r="D2927" i="5"/>
  <c r="C2927" i="5"/>
  <c r="B2927" i="5"/>
  <c r="E2926" i="5"/>
  <c r="D2926" i="5"/>
  <c r="C2926" i="5"/>
  <c r="B2926" i="5"/>
  <c r="E2925" i="5"/>
  <c r="D2925" i="5"/>
  <c r="C2925" i="5"/>
  <c r="B2925" i="5"/>
  <c r="E2924" i="5"/>
  <c r="D2924" i="5"/>
  <c r="C2924" i="5"/>
  <c r="B2924" i="5"/>
  <c r="E2923" i="5"/>
  <c r="D2923" i="5"/>
  <c r="C2923" i="5"/>
  <c r="B2923" i="5"/>
  <c r="E2922" i="5"/>
  <c r="D2922" i="5"/>
  <c r="C2922" i="5"/>
  <c r="B2922" i="5"/>
  <c r="E2921" i="5"/>
  <c r="D2921" i="5"/>
  <c r="C2921" i="5"/>
  <c r="B2921" i="5"/>
  <c r="E2920" i="5"/>
  <c r="D2920" i="5"/>
  <c r="C2920" i="5"/>
  <c r="B2920" i="5"/>
  <c r="E2919" i="5"/>
  <c r="D2919" i="5"/>
  <c r="C2919" i="5"/>
  <c r="B2919" i="5"/>
  <c r="E2918" i="5"/>
  <c r="D2918" i="5"/>
  <c r="C2918" i="5"/>
  <c r="B2918" i="5"/>
  <c r="E2917" i="5"/>
  <c r="D2917" i="5"/>
  <c r="C2917" i="5"/>
  <c r="B2917" i="5"/>
  <c r="E2916" i="5"/>
  <c r="D2916" i="5"/>
  <c r="C2916" i="5"/>
  <c r="B2916" i="5"/>
  <c r="E2915" i="5"/>
  <c r="D2915" i="5"/>
  <c r="C2915" i="5"/>
  <c r="B2915" i="5"/>
  <c r="E2914" i="5"/>
  <c r="D2914" i="5"/>
  <c r="C2914" i="5"/>
  <c r="B2914" i="5"/>
  <c r="E2913" i="5"/>
  <c r="D2913" i="5"/>
  <c r="C2913" i="5"/>
  <c r="B2913" i="5"/>
  <c r="E2912" i="5"/>
  <c r="D2912" i="5"/>
  <c r="C2912" i="5"/>
  <c r="B2912" i="5"/>
  <c r="E2911" i="5"/>
  <c r="D2911" i="5"/>
  <c r="C2911" i="5"/>
  <c r="B2911" i="5"/>
  <c r="E2910" i="5"/>
  <c r="D2910" i="5"/>
  <c r="C2910" i="5"/>
  <c r="B2910" i="5"/>
  <c r="E2909" i="5"/>
  <c r="D2909" i="5"/>
  <c r="C2909" i="5"/>
  <c r="B2909" i="5"/>
  <c r="E2908" i="5"/>
  <c r="D2908" i="5"/>
  <c r="C2908" i="5"/>
  <c r="B2908" i="5"/>
  <c r="E2907" i="5"/>
  <c r="D2907" i="5"/>
  <c r="C2907" i="5"/>
  <c r="B2907" i="5"/>
  <c r="E2906" i="5"/>
  <c r="D2906" i="5"/>
  <c r="C2906" i="5"/>
  <c r="B2906" i="5"/>
  <c r="E2905" i="5"/>
  <c r="D2905" i="5"/>
  <c r="C2905" i="5"/>
  <c r="B2905" i="5"/>
  <c r="E2904" i="5"/>
  <c r="D2904" i="5"/>
  <c r="C2904" i="5"/>
  <c r="B2904" i="5"/>
  <c r="E2903" i="5"/>
  <c r="D2903" i="5"/>
  <c r="C2903" i="5"/>
  <c r="B2903" i="5"/>
  <c r="E2902" i="5"/>
  <c r="D2902" i="5"/>
  <c r="C2902" i="5"/>
  <c r="B2902" i="5"/>
  <c r="E2901" i="5"/>
  <c r="D2901" i="5"/>
  <c r="C2901" i="5"/>
  <c r="B2901" i="5"/>
  <c r="E2900" i="5"/>
  <c r="D2900" i="5"/>
  <c r="C2900" i="5"/>
  <c r="B2900" i="5"/>
  <c r="E2899" i="5"/>
  <c r="D2899" i="5"/>
  <c r="C2899" i="5"/>
  <c r="B2899" i="5"/>
  <c r="E2898" i="5"/>
  <c r="D2898" i="5"/>
  <c r="C2898" i="5"/>
  <c r="B2898" i="5"/>
  <c r="E2897" i="5"/>
  <c r="D2897" i="5"/>
  <c r="C2897" i="5"/>
  <c r="B2897" i="5"/>
  <c r="E2896" i="5"/>
  <c r="D2896" i="5"/>
  <c r="C2896" i="5"/>
  <c r="B2896" i="5"/>
  <c r="E2895" i="5"/>
  <c r="D2895" i="5"/>
  <c r="C2895" i="5"/>
  <c r="B2895" i="5"/>
  <c r="E2894" i="5"/>
  <c r="D2894" i="5"/>
  <c r="C2894" i="5"/>
  <c r="B2894" i="5"/>
  <c r="E2893" i="5"/>
  <c r="D2893" i="5"/>
  <c r="C2893" i="5"/>
  <c r="B2893" i="5"/>
  <c r="E2892" i="5"/>
  <c r="D2892" i="5"/>
  <c r="C2892" i="5"/>
  <c r="B2892" i="5"/>
  <c r="E2891" i="5"/>
  <c r="D2891" i="5"/>
  <c r="C2891" i="5"/>
  <c r="B2891" i="5"/>
  <c r="E2890" i="5"/>
  <c r="D2890" i="5"/>
  <c r="C2890" i="5"/>
  <c r="B2890" i="5"/>
  <c r="E2889" i="5"/>
  <c r="D2889" i="5"/>
  <c r="C2889" i="5"/>
  <c r="B2889" i="5"/>
  <c r="E2888" i="5"/>
  <c r="D2888" i="5"/>
  <c r="C2888" i="5"/>
  <c r="B2888" i="5"/>
  <c r="E2887" i="5"/>
  <c r="D2887" i="5"/>
  <c r="C2887" i="5"/>
  <c r="B2887" i="5"/>
  <c r="E2886" i="5"/>
  <c r="D2886" i="5"/>
  <c r="C2886" i="5"/>
  <c r="B2886" i="5"/>
  <c r="E2885" i="5"/>
  <c r="D2885" i="5"/>
  <c r="C2885" i="5"/>
  <c r="B2885" i="5"/>
  <c r="E2884" i="5"/>
  <c r="D2884" i="5"/>
  <c r="C2884" i="5"/>
  <c r="B2884" i="5"/>
  <c r="E2883" i="5"/>
  <c r="D2883" i="5"/>
  <c r="C2883" i="5"/>
  <c r="B2883" i="5"/>
  <c r="E2882" i="5"/>
  <c r="D2882" i="5"/>
  <c r="C2882" i="5"/>
  <c r="B2882" i="5"/>
  <c r="E2881" i="5"/>
  <c r="D2881" i="5"/>
  <c r="C2881" i="5"/>
  <c r="B2881" i="5"/>
  <c r="E2880" i="5"/>
  <c r="D2880" i="5"/>
  <c r="C2880" i="5"/>
  <c r="B2880" i="5"/>
  <c r="E2879" i="5"/>
  <c r="D2879" i="5"/>
  <c r="C2879" i="5"/>
  <c r="B2879" i="5"/>
  <c r="E2878" i="5"/>
  <c r="D2878" i="5"/>
  <c r="C2878" i="5"/>
  <c r="B2878" i="5"/>
  <c r="E2877" i="5"/>
  <c r="D2877" i="5"/>
  <c r="C2877" i="5"/>
  <c r="B2877" i="5"/>
  <c r="E2876" i="5"/>
  <c r="D2876" i="5"/>
  <c r="C2876" i="5"/>
  <c r="B2876" i="5"/>
  <c r="E2875" i="5"/>
  <c r="D2875" i="5"/>
  <c r="C2875" i="5"/>
  <c r="B2875" i="5"/>
  <c r="E2874" i="5"/>
  <c r="D2874" i="5"/>
  <c r="C2874" i="5"/>
  <c r="B2874" i="5"/>
  <c r="E2873" i="5"/>
  <c r="D2873" i="5"/>
  <c r="C2873" i="5"/>
  <c r="B2873" i="5"/>
  <c r="E2872" i="5"/>
  <c r="D2872" i="5"/>
  <c r="C2872" i="5"/>
  <c r="B2872" i="5"/>
  <c r="E2871" i="5"/>
  <c r="D2871" i="5"/>
  <c r="C2871" i="5"/>
  <c r="B2871" i="5"/>
  <c r="E2870" i="5"/>
  <c r="D2870" i="5"/>
  <c r="C2870" i="5"/>
  <c r="B2870" i="5"/>
  <c r="E2869" i="5"/>
  <c r="D2869" i="5"/>
  <c r="C2869" i="5"/>
  <c r="B2869" i="5"/>
  <c r="E2868" i="5"/>
  <c r="D2868" i="5"/>
  <c r="C2868" i="5"/>
  <c r="B2868" i="5"/>
  <c r="E2867" i="5"/>
  <c r="D2867" i="5"/>
  <c r="C2867" i="5"/>
  <c r="B2867" i="5"/>
  <c r="E2866" i="5"/>
  <c r="D2866" i="5"/>
  <c r="C2866" i="5"/>
  <c r="B2866" i="5"/>
  <c r="E2865" i="5"/>
  <c r="D2865" i="5"/>
  <c r="C2865" i="5"/>
  <c r="B2865" i="5"/>
  <c r="E2864" i="5"/>
  <c r="D2864" i="5"/>
  <c r="C2864" i="5"/>
  <c r="B2864" i="5"/>
  <c r="E2863" i="5"/>
  <c r="D2863" i="5"/>
  <c r="C2863" i="5"/>
  <c r="B2863" i="5"/>
  <c r="E2862" i="5"/>
  <c r="D2862" i="5"/>
  <c r="C2862" i="5"/>
  <c r="B2862" i="5"/>
  <c r="E2861" i="5"/>
  <c r="D2861" i="5"/>
  <c r="C2861" i="5"/>
  <c r="B2861" i="5"/>
  <c r="E2860" i="5"/>
  <c r="D2860" i="5"/>
  <c r="C2860" i="5"/>
  <c r="B2860" i="5"/>
  <c r="E2859" i="5"/>
  <c r="D2859" i="5"/>
  <c r="C2859" i="5"/>
  <c r="B2859" i="5"/>
  <c r="E2858" i="5"/>
  <c r="D2858" i="5"/>
  <c r="C2858" i="5"/>
  <c r="B2858" i="5"/>
  <c r="E2857" i="5"/>
  <c r="D2857" i="5"/>
  <c r="C2857" i="5"/>
  <c r="B2857" i="5"/>
  <c r="E2856" i="5"/>
  <c r="D2856" i="5"/>
  <c r="C2856" i="5"/>
  <c r="B2856" i="5"/>
  <c r="E2855" i="5"/>
  <c r="D2855" i="5"/>
  <c r="C2855" i="5"/>
  <c r="B2855" i="5"/>
  <c r="E2854" i="5"/>
  <c r="D2854" i="5"/>
  <c r="C2854" i="5"/>
  <c r="B2854" i="5"/>
  <c r="E2853" i="5"/>
  <c r="D2853" i="5"/>
  <c r="C2853" i="5"/>
  <c r="B2853" i="5"/>
  <c r="E2852" i="5"/>
  <c r="D2852" i="5"/>
  <c r="C2852" i="5"/>
  <c r="B2852" i="5"/>
  <c r="E2851" i="5"/>
  <c r="D2851" i="5"/>
  <c r="C2851" i="5"/>
  <c r="B2851" i="5"/>
  <c r="E2850" i="5"/>
  <c r="D2850" i="5"/>
  <c r="C2850" i="5"/>
  <c r="B2850" i="5"/>
  <c r="E2849" i="5"/>
  <c r="D2849" i="5"/>
  <c r="C2849" i="5"/>
  <c r="B2849" i="5"/>
  <c r="E2848" i="5"/>
  <c r="D2848" i="5"/>
  <c r="C2848" i="5"/>
  <c r="B2848" i="5"/>
  <c r="E2847" i="5"/>
  <c r="D2847" i="5"/>
  <c r="C2847" i="5"/>
  <c r="B2847" i="5"/>
  <c r="E2846" i="5"/>
  <c r="D2846" i="5"/>
  <c r="C2846" i="5"/>
  <c r="B2846" i="5"/>
  <c r="E2845" i="5"/>
  <c r="D2845" i="5"/>
  <c r="C2845" i="5"/>
  <c r="B2845" i="5"/>
  <c r="E2844" i="5"/>
  <c r="D2844" i="5"/>
  <c r="C2844" i="5"/>
  <c r="B2844" i="5"/>
  <c r="E2843" i="5"/>
  <c r="D2843" i="5"/>
  <c r="C2843" i="5"/>
  <c r="B2843" i="5"/>
  <c r="E2842" i="5"/>
  <c r="D2842" i="5"/>
  <c r="C2842" i="5"/>
  <c r="B2842" i="5"/>
  <c r="E2841" i="5"/>
  <c r="D2841" i="5"/>
  <c r="C2841" i="5"/>
  <c r="B2841" i="5"/>
  <c r="E2840" i="5"/>
  <c r="D2840" i="5"/>
  <c r="C2840" i="5"/>
  <c r="B2840" i="5"/>
  <c r="E2839" i="5"/>
  <c r="D2839" i="5"/>
  <c r="C2839" i="5"/>
  <c r="B2839" i="5"/>
  <c r="E2838" i="5"/>
  <c r="D2838" i="5"/>
  <c r="C2838" i="5"/>
  <c r="B2838" i="5"/>
  <c r="E2837" i="5"/>
  <c r="D2837" i="5"/>
  <c r="C2837" i="5"/>
  <c r="B2837" i="5"/>
  <c r="E2836" i="5"/>
  <c r="D2836" i="5"/>
  <c r="C2836" i="5"/>
  <c r="B2836" i="5"/>
  <c r="E2835" i="5"/>
  <c r="D2835" i="5"/>
  <c r="C2835" i="5"/>
  <c r="B2835" i="5"/>
  <c r="E2834" i="5"/>
  <c r="D2834" i="5"/>
  <c r="C2834" i="5"/>
  <c r="B2834" i="5"/>
  <c r="E2833" i="5"/>
  <c r="D2833" i="5"/>
  <c r="C2833" i="5"/>
  <c r="B2833" i="5"/>
  <c r="E2832" i="5"/>
  <c r="D2832" i="5"/>
  <c r="C2832" i="5"/>
  <c r="B2832" i="5"/>
  <c r="E2831" i="5"/>
  <c r="D2831" i="5"/>
  <c r="C2831" i="5"/>
  <c r="B2831" i="5"/>
  <c r="E2830" i="5"/>
  <c r="D2830" i="5"/>
  <c r="C2830" i="5"/>
  <c r="B2830" i="5"/>
  <c r="E2829" i="5"/>
  <c r="D2829" i="5"/>
  <c r="C2829" i="5"/>
  <c r="B2829" i="5"/>
  <c r="E2828" i="5"/>
  <c r="D2828" i="5"/>
  <c r="C2828" i="5"/>
  <c r="B2828" i="5"/>
  <c r="E2827" i="5"/>
  <c r="D2827" i="5"/>
  <c r="C2827" i="5"/>
  <c r="B2827" i="5"/>
  <c r="E2826" i="5"/>
  <c r="D2826" i="5"/>
  <c r="C2826" i="5"/>
  <c r="B2826" i="5"/>
  <c r="E2825" i="5"/>
  <c r="D2825" i="5"/>
  <c r="C2825" i="5"/>
  <c r="B2825" i="5"/>
  <c r="E2824" i="5"/>
  <c r="D2824" i="5"/>
  <c r="C2824" i="5"/>
  <c r="B2824" i="5"/>
  <c r="E2823" i="5"/>
  <c r="D2823" i="5"/>
  <c r="C2823" i="5"/>
  <c r="B2823" i="5"/>
  <c r="E2822" i="5"/>
  <c r="D2822" i="5"/>
  <c r="C2822" i="5"/>
  <c r="B2822" i="5"/>
  <c r="E2821" i="5"/>
  <c r="D2821" i="5"/>
  <c r="C2821" i="5"/>
  <c r="B2821" i="5"/>
  <c r="E2820" i="5"/>
  <c r="D2820" i="5"/>
  <c r="C2820" i="5"/>
  <c r="B2820" i="5"/>
  <c r="E2819" i="5"/>
  <c r="D2819" i="5"/>
  <c r="C2819" i="5"/>
  <c r="B2819" i="5"/>
  <c r="E2818" i="5"/>
  <c r="D2818" i="5"/>
  <c r="C2818" i="5"/>
  <c r="B2818" i="5"/>
  <c r="E2817" i="5"/>
  <c r="D2817" i="5"/>
  <c r="C2817" i="5"/>
  <c r="B2817" i="5"/>
  <c r="E2816" i="5"/>
  <c r="D2816" i="5"/>
  <c r="C2816" i="5"/>
  <c r="B2816" i="5"/>
  <c r="E2815" i="5"/>
  <c r="D2815" i="5"/>
  <c r="C2815" i="5"/>
  <c r="B2815" i="5"/>
  <c r="E2814" i="5"/>
  <c r="D2814" i="5"/>
  <c r="C2814" i="5"/>
  <c r="B2814" i="5"/>
  <c r="E2813" i="5"/>
  <c r="D2813" i="5"/>
  <c r="C2813" i="5"/>
  <c r="B2813" i="5"/>
  <c r="E2812" i="5"/>
  <c r="D2812" i="5"/>
  <c r="C2812" i="5"/>
  <c r="B2812" i="5"/>
  <c r="E2811" i="5"/>
  <c r="D2811" i="5"/>
  <c r="C2811" i="5"/>
  <c r="B2811" i="5"/>
  <c r="E2810" i="5"/>
  <c r="D2810" i="5"/>
  <c r="C2810" i="5"/>
  <c r="B2810" i="5"/>
  <c r="E2809" i="5"/>
  <c r="D2809" i="5"/>
  <c r="C2809" i="5"/>
  <c r="B2809" i="5"/>
  <c r="E2808" i="5"/>
  <c r="D2808" i="5"/>
  <c r="C2808" i="5"/>
  <c r="B2808" i="5"/>
  <c r="E2807" i="5"/>
  <c r="D2807" i="5"/>
  <c r="C2807" i="5"/>
  <c r="B2807" i="5"/>
  <c r="E2806" i="5"/>
  <c r="D2806" i="5"/>
  <c r="C2806" i="5"/>
  <c r="B2806" i="5"/>
  <c r="E2805" i="5"/>
  <c r="D2805" i="5"/>
  <c r="C2805" i="5"/>
  <c r="B2805" i="5"/>
  <c r="E2804" i="5"/>
  <c r="D2804" i="5"/>
  <c r="C2804" i="5"/>
  <c r="B2804" i="5"/>
  <c r="E2803" i="5"/>
  <c r="D2803" i="5"/>
  <c r="C2803" i="5"/>
  <c r="B2803" i="5"/>
  <c r="E2802" i="5"/>
  <c r="D2802" i="5"/>
  <c r="C2802" i="5"/>
  <c r="B2802" i="5"/>
  <c r="E2801" i="5"/>
  <c r="D2801" i="5"/>
  <c r="C2801" i="5"/>
  <c r="B2801" i="5"/>
  <c r="E2800" i="5"/>
  <c r="D2800" i="5"/>
  <c r="C2800" i="5"/>
  <c r="B2800" i="5"/>
  <c r="E2799" i="5"/>
  <c r="D2799" i="5"/>
  <c r="C2799" i="5"/>
  <c r="B2799" i="5"/>
  <c r="E2798" i="5"/>
  <c r="D2798" i="5"/>
  <c r="C2798" i="5"/>
  <c r="B2798" i="5"/>
  <c r="E2797" i="5"/>
  <c r="D2797" i="5"/>
  <c r="C2797" i="5"/>
  <c r="B2797" i="5"/>
  <c r="E2796" i="5"/>
  <c r="D2796" i="5"/>
  <c r="C2796" i="5"/>
  <c r="B2796" i="5"/>
  <c r="E2795" i="5"/>
  <c r="D2795" i="5"/>
  <c r="C2795" i="5"/>
  <c r="B2795" i="5"/>
  <c r="E2794" i="5"/>
  <c r="D2794" i="5"/>
  <c r="C2794" i="5"/>
  <c r="B2794" i="5"/>
  <c r="E2793" i="5"/>
  <c r="D2793" i="5"/>
  <c r="C2793" i="5"/>
  <c r="B2793" i="5"/>
  <c r="E2792" i="5"/>
  <c r="D2792" i="5"/>
  <c r="C2792" i="5"/>
  <c r="B2792" i="5"/>
  <c r="E2791" i="5"/>
  <c r="D2791" i="5"/>
  <c r="C2791" i="5"/>
  <c r="B2791" i="5"/>
  <c r="E2790" i="5"/>
  <c r="D2790" i="5"/>
  <c r="C2790" i="5"/>
  <c r="B2790" i="5"/>
  <c r="E2789" i="5"/>
  <c r="D2789" i="5"/>
  <c r="C2789" i="5"/>
  <c r="B2789" i="5"/>
  <c r="E2788" i="5"/>
  <c r="D2788" i="5"/>
  <c r="C2788" i="5"/>
  <c r="B2788" i="5"/>
  <c r="E2787" i="5"/>
  <c r="D2787" i="5"/>
  <c r="C2787" i="5"/>
  <c r="B2787" i="5"/>
  <c r="E2786" i="5"/>
  <c r="D2786" i="5"/>
  <c r="C2786" i="5"/>
  <c r="B2786" i="5"/>
  <c r="E2785" i="5"/>
  <c r="D2785" i="5"/>
  <c r="C2785" i="5"/>
  <c r="B2785" i="5"/>
  <c r="E2784" i="5"/>
  <c r="D2784" i="5"/>
  <c r="C2784" i="5"/>
  <c r="B2784" i="5"/>
  <c r="E2783" i="5"/>
  <c r="D2783" i="5"/>
  <c r="C2783" i="5"/>
  <c r="B2783" i="5"/>
  <c r="E2782" i="5"/>
  <c r="D2782" i="5"/>
  <c r="C2782" i="5"/>
  <c r="B2782" i="5"/>
  <c r="E2781" i="5"/>
  <c r="D2781" i="5"/>
  <c r="C2781" i="5"/>
  <c r="B2781" i="5"/>
  <c r="E2780" i="5"/>
  <c r="D2780" i="5"/>
  <c r="C2780" i="5"/>
  <c r="B2780" i="5"/>
  <c r="E2779" i="5"/>
  <c r="D2779" i="5"/>
  <c r="C2779" i="5"/>
  <c r="B2779" i="5"/>
  <c r="E2778" i="5"/>
  <c r="D2778" i="5"/>
  <c r="C2778" i="5"/>
  <c r="B2778" i="5"/>
  <c r="E2777" i="5"/>
  <c r="D2777" i="5"/>
  <c r="C2777" i="5"/>
  <c r="B2777" i="5"/>
  <c r="E2776" i="5"/>
  <c r="D2776" i="5"/>
  <c r="C2776" i="5"/>
  <c r="B2776" i="5"/>
  <c r="E2775" i="5"/>
  <c r="D2775" i="5"/>
  <c r="C2775" i="5"/>
  <c r="B2775" i="5"/>
  <c r="E2774" i="5"/>
  <c r="D2774" i="5"/>
  <c r="C2774" i="5"/>
  <c r="B2774" i="5"/>
  <c r="E2773" i="5"/>
  <c r="D2773" i="5"/>
  <c r="C2773" i="5"/>
  <c r="B2773" i="5"/>
  <c r="E2772" i="5"/>
  <c r="D2772" i="5"/>
  <c r="C2772" i="5"/>
  <c r="B2772" i="5"/>
  <c r="E2771" i="5"/>
  <c r="D2771" i="5"/>
  <c r="C2771" i="5"/>
  <c r="B2771" i="5"/>
  <c r="E2770" i="5"/>
  <c r="D2770" i="5"/>
  <c r="C2770" i="5"/>
  <c r="B2770" i="5"/>
  <c r="E2769" i="5"/>
  <c r="D2769" i="5"/>
  <c r="C2769" i="5"/>
  <c r="B2769" i="5"/>
  <c r="E2768" i="5"/>
  <c r="D2768" i="5"/>
  <c r="C2768" i="5"/>
  <c r="B2768" i="5"/>
  <c r="E2767" i="5"/>
  <c r="D2767" i="5"/>
  <c r="C2767" i="5"/>
  <c r="B2767" i="5"/>
  <c r="E2766" i="5"/>
  <c r="D2766" i="5"/>
  <c r="C2766" i="5"/>
  <c r="B2766" i="5"/>
  <c r="E2765" i="5"/>
  <c r="D2765" i="5"/>
  <c r="C2765" i="5"/>
  <c r="B2765" i="5"/>
  <c r="E2764" i="5"/>
  <c r="D2764" i="5"/>
  <c r="C2764" i="5"/>
  <c r="B2764" i="5"/>
  <c r="E2763" i="5"/>
  <c r="D2763" i="5"/>
  <c r="C2763" i="5"/>
  <c r="B2763" i="5"/>
  <c r="E2762" i="5"/>
  <c r="D2762" i="5"/>
  <c r="C2762" i="5"/>
  <c r="B2762" i="5"/>
  <c r="E2761" i="5"/>
  <c r="D2761" i="5"/>
  <c r="C2761" i="5"/>
  <c r="B2761" i="5"/>
  <c r="E2760" i="5"/>
  <c r="D2760" i="5"/>
  <c r="C2760" i="5"/>
  <c r="B2760" i="5"/>
  <c r="E2759" i="5"/>
  <c r="D2759" i="5"/>
  <c r="C2759" i="5"/>
  <c r="B2759" i="5"/>
  <c r="E2758" i="5"/>
  <c r="D2758" i="5"/>
  <c r="C2758" i="5"/>
  <c r="B2758" i="5"/>
  <c r="E2757" i="5"/>
  <c r="D2757" i="5"/>
  <c r="C2757" i="5"/>
  <c r="B2757" i="5"/>
  <c r="E2756" i="5"/>
  <c r="D2756" i="5"/>
  <c r="C2756" i="5"/>
  <c r="B2756" i="5"/>
  <c r="E2755" i="5"/>
  <c r="D2755" i="5"/>
  <c r="C2755" i="5"/>
  <c r="B2755" i="5"/>
  <c r="E2754" i="5"/>
  <c r="D2754" i="5"/>
  <c r="C2754" i="5"/>
  <c r="B2754" i="5"/>
  <c r="E2753" i="5"/>
  <c r="D2753" i="5"/>
  <c r="C2753" i="5"/>
  <c r="B2753" i="5"/>
  <c r="E2752" i="5"/>
  <c r="D2752" i="5"/>
  <c r="C2752" i="5"/>
  <c r="B2752" i="5"/>
  <c r="E2751" i="5"/>
  <c r="D2751" i="5"/>
  <c r="C2751" i="5"/>
  <c r="B2751" i="5"/>
  <c r="E2750" i="5"/>
  <c r="D2750" i="5"/>
  <c r="C2750" i="5"/>
  <c r="B2750" i="5"/>
  <c r="E2749" i="5"/>
  <c r="D2749" i="5"/>
  <c r="C2749" i="5"/>
  <c r="B2749" i="5"/>
  <c r="E2748" i="5"/>
  <c r="D2748" i="5"/>
  <c r="C2748" i="5"/>
  <c r="B2748" i="5"/>
  <c r="E2747" i="5"/>
  <c r="D2747" i="5"/>
  <c r="C2747" i="5"/>
  <c r="B2747" i="5"/>
  <c r="E2746" i="5"/>
  <c r="D2746" i="5"/>
  <c r="C2746" i="5"/>
  <c r="B2746" i="5"/>
  <c r="E2745" i="5"/>
  <c r="D2745" i="5"/>
  <c r="C2745" i="5"/>
  <c r="B2745" i="5"/>
  <c r="E2744" i="5"/>
  <c r="D2744" i="5"/>
  <c r="C2744" i="5"/>
  <c r="B2744" i="5"/>
  <c r="E2743" i="5"/>
  <c r="D2743" i="5"/>
  <c r="C2743" i="5"/>
  <c r="B2743" i="5"/>
  <c r="E2742" i="5"/>
  <c r="D2742" i="5"/>
  <c r="C2742" i="5"/>
  <c r="B2742" i="5"/>
  <c r="E2741" i="5"/>
  <c r="D2741" i="5"/>
  <c r="C2741" i="5"/>
  <c r="B2741" i="5"/>
  <c r="E2740" i="5"/>
  <c r="D2740" i="5"/>
  <c r="C2740" i="5"/>
  <c r="B2740" i="5"/>
  <c r="E2739" i="5"/>
  <c r="D2739" i="5"/>
  <c r="C2739" i="5"/>
  <c r="B2739" i="5"/>
  <c r="E2738" i="5"/>
  <c r="D2738" i="5"/>
  <c r="C2738" i="5"/>
  <c r="B2738" i="5"/>
  <c r="E2737" i="5"/>
  <c r="D2737" i="5"/>
  <c r="C2737" i="5"/>
  <c r="B2737" i="5"/>
  <c r="E2736" i="5"/>
  <c r="D2736" i="5"/>
  <c r="C2736" i="5"/>
  <c r="B2736" i="5"/>
  <c r="E2735" i="5"/>
  <c r="D2735" i="5"/>
  <c r="C2735" i="5"/>
  <c r="B2735" i="5"/>
  <c r="E2734" i="5"/>
  <c r="D2734" i="5"/>
  <c r="C2734" i="5"/>
  <c r="B2734" i="5"/>
  <c r="E2733" i="5"/>
  <c r="D2733" i="5"/>
  <c r="C2733" i="5"/>
  <c r="B2733" i="5"/>
  <c r="E2732" i="5"/>
  <c r="D2732" i="5"/>
  <c r="C2732" i="5"/>
  <c r="B2732" i="5"/>
  <c r="E2731" i="5"/>
  <c r="D2731" i="5"/>
  <c r="C2731" i="5"/>
  <c r="B2731" i="5"/>
  <c r="E2730" i="5"/>
  <c r="D2730" i="5"/>
  <c r="C2730" i="5"/>
  <c r="B2730" i="5"/>
  <c r="E2729" i="5"/>
  <c r="D2729" i="5"/>
  <c r="C2729" i="5"/>
  <c r="B2729" i="5"/>
  <c r="E2728" i="5"/>
  <c r="D2728" i="5"/>
  <c r="C2728" i="5"/>
  <c r="B2728" i="5"/>
  <c r="E2727" i="5"/>
  <c r="D2727" i="5"/>
  <c r="C2727" i="5"/>
  <c r="B2727" i="5"/>
  <c r="E2726" i="5"/>
  <c r="D2726" i="5"/>
  <c r="C2726" i="5"/>
  <c r="B2726" i="5"/>
  <c r="E2725" i="5"/>
  <c r="D2725" i="5"/>
  <c r="C2725" i="5"/>
  <c r="B2725" i="5"/>
  <c r="E2724" i="5"/>
  <c r="D2724" i="5"/>
  <c r="C2724" i="5"/>
  <c r="B2724" i="5"/>
  <c r="E2723" i="5"/>
  <c r="D2723" i="5"/>
  <c r="C2723" i="5"/>
  <c r="B2723" i="5"/>
  <c r="E2722" i="5"/>
  <c r="D2722" i="5"/>
  <c r="C2722" i="5"/>
  <c r="B2722" i="5"/>
  <c r="E2721" i="5"/>
  <c r="D2721" i="5"/>
  <c r="C2721" i="5"/>
  <c r="B2721" i="5"/>
  <c r="E2720" i="5"/>
  <c r="D2720" i="5"/>
  <c r="C2720" i="5"/>
  <c r="B2720" i="5"/>
  <c r="E2719" i="5"/>
  <c r="D2719" i="5"/>
  <c r="C2719" i="5"/>
  <c r="B2719" i="5"/>
  <c r="E2718" i="5"/>
  <c r="D2718" i="5"/>
  <c r="C2718" i="5"/>
  <c r="B2718" i="5"/>
  <c r="E2717" i="5"/>
  <c r="D2717" i="5"/>
  <c r="C2717" i="5"/>
  <c r="B2717" i="5"/>
  <c r="E2716" i="5"/>
  <c r="D2716" i="5"/>
  <c r="C2716" i="5"/>
  <c r="B2716" i="5"/>
  <c r="E2715" i="5"/>
  <c r="D2715" i="5"/>
  <c r="C2715" i="5"/>
  <c r="B2715" i="5"/>
  <c r="E2714" i="5"/>
  <c r="D2714" i="5"/>
  <c r="C2714" i="5"/>
  <c r="B2714" i="5"/>
  <c r="E2713" i="5"/>
  <c r="D2713" i="5"/>
  <c r="C2713" i="5"/>
  <c r="B2713" i="5"/>
  <c r="E2712" i="5"/>
  <c r="D2712" i="5"/>
  <c r="C2712" i="5"/>
  <c r="B2712" i="5"/>
  <c r="E2711" i="5"/>
  <c r="D2711" i="5"/>
  <c r="C2711" i="5"/>
  <c r="B2711" i="5"/>
  <c r="E2710" i="5"/>
  <c r="D2710" i="5"/>
  <c r="C2710" i="5"/>
  <c r="B2710" i="5"/>
  <c r="E2709" i="5"/>
  <c r="D2709" i="5"/>
  <c r="C2709" i="5"/>
  <c r="B2709" i="5"/>
  <c r="E2708" i="5"/>
  <c r="D2708" i="5"/>
  <c r="C2708" i="5"/>
  <c r="B2708" i="5"/>
  <c r="E2707" i="5"/>
  <c r="D2707" i="5"/>
  <c r="C2707" i="5"/>
  <c r="B2707" i="5"/>
  <c r="E2706" i="5"/>
  <c r="D2706" i="5"/>
  <c r="C2706" i="5"/>
  <c r="B2706" i="5"/>
  <c r="E2705" i="5"/>
  <c r="D2705" i="5"/>
  <c r="C2705" i="5"/>
  <c r="B2705" i="5"/>
  <c r="E2704" i="5"/>
  <c r="D2704" i="5"/>
  <c r="C2704" i="5"/>
  <c r="B2704" i="5"/>
  <c r="E2703" i="5"/>
  <c r="D2703" i="5"/>
  <c r="C2703" i="5"/>
  <c r="B2703" i="5"/>
  <c r="E2702" i="5"/>
  <c r="D2702" i="5"/>
  <c r="C2702" i="5"/>
  <c r="B2702" i="5"/>
  <c r="E2701" i="5"/>
  <c r="D2701" i="5"/>
  <c r="C2701" i="5"/>
  <c r="B2701" i="5"/>
  <c r="E2700" i="5"/>
  <c r="D2700" i="5"/>
  <c r="C2700" i="5"/>
  <c r="B2700" i="5"/>
  <c r="E2699" i="5"/>
  <c r="D2699" i="5"/>
  <c r="C2699" i="5"/>
  <c r="B2699" i="5"/>
  <c r="E2698" i="5"/>
  <c r="D2698" i="5"/>
  <c r="C2698" i="5"/>
  <c r="B2698" i="5"/>
  <c r="E2697" i="5"/>
  <c r="D2697" i="5"/>
  <c r="C2697" i="5"/>
  <c r="B2697" i="5"/>
  <c r="E2696" i="5"/>
  <c r="D2696" i="5"/>
  <c r="C2696" i="5"/>
  <c r="B2696" i="5"/>
  <c r="E2695" i="5"/>
  <c r="D2695" i="5"/>
  <c r="C2695" i="5"/>
  <c r="B2695" i="5"/>
  <c r="E2694" i="5"/>
  <c r="D2694" i="5"/>
  <c r="C2694" i="5"/>
  <c r="B2694" i="5"/>
  <c r="E2693" i="5"/>
  <c r="D2693" i="5"/>
  <c r="C2693" i="5"/>
  <c r="B2693" i="5"/>
  <c r="E2692" i="5"/>
  <c r="D2692" i="5"/>
  <c r="C2692" i="5"/>
  <c r="B2692" i="5"/>
  <c r="E2691" i="5"/>
  <c r="D2691" i="5"/>
  <c r="C2691" i="5"/>
  <c r="B2691" i="5"/>
  <c r="E2690" i="5"/>
  <c r="D2690" i="5"/>
  <c r="C2690" i="5"/>
  <c r="B2690" i="5"/>
  <c r="E2689" i="5"/>
  <c r="D2689" i="5"/>
  <c r="C2689" i="5"/>
  <c r="B2689" i="5"/>
  <c r="E2688" i="5"/>
  <c r="D2688" i="5"/>
  <c r="C2688" i="5"/>
  <c r="B2688" i="5"/>
  <c r="E2687" i="5"/>
  <c r="D2687" i="5"/>
  <c r="C2687" i="5"/>
  <c r="B2687" i="5"/>
  <c r="E2686" i="5"/>
  <c r="D2686" i="5"/>
  <c r="C2686" i="5"/>
  <c r="B2686" i="5"/>
  <c r="E2685" i="5"/>
  <c r="D2685" i="5"/>
  <c r="C2685" i="5"/>
  <c r="B2685" i="5"/>
  <c r="E2684" i="5"/>
  <c r="D2684" i="5"/>
  <c r="C2684" i="5"/>
  <c r="B2684" i="5"/>
  <c r="E2683" i="5"/>
  <c r="D2683" i="5"/>
  <c r="C2683" i="5"/>
  <c r="B2683" i="5"/>
  <c r="E2682" i="5"/>
  <c r="D2682" i="5"/>
  <c r="C2682" i="5"/>
  <c r="B2682" i="5"/>
  <c r="E2681" i="5"/>
  <c r="D2681" i="5"/>
  <c r="C2681" i="5"/>
  <c r="B2681" i="5"/>
  <c r="E2680" i="5"/>
  <c r="D2680" i="5"/>
  <c r="C2680" i="5"/>
  <c r="B2680" i="5"/>
  <c r="E2679" i="5"/>
  <c r="D2679" i="5"/>
  <c r="C2679" i="5"/>
  <c r="B2679" i="5"/>
  <c r="E2678" i="5"/>
  <c r="D2678" i="5"/>
  <c r="C2678" i="5"/>
  <c r="B2678" i="5"/>
  <c r="E2677" i="5"/>
  <c r="D2677" i="5"/>
  <c r="C2677" i="5"/>
  <c r="B2677" i="5"/>
  <c r="E2676" i="5"/>
  <c r="D2676" i="5"/>
  <c r="C2676" i="5"/>
  <c r="B2676" i="5"/>
  <c r="E2675" i="5"/>
  <c r="D2675" i="5"/>
  <c r="C2675" i="5"/>
  <c r="B2675" i="5"/>
  <c r="E2674" i="5"/>
  <c r="D2674" i="5"/>
  <c r="C2674" i="5"/>
  <c r="B2674" i="5"/>
  <c r="E2673" i="5"/>
  <c r="D2673" i="5"/>
  <c r="C2673" i="5"/>
  <c r="B2673" i="5"/>
  <c r="E2672" i="5"/>
  <c r="D2672" i="5"/>
  <c r="C2672" i="5"/>
  <c r="B2672" i="5"/>
  <c r="E2671" i="5"/>
  <c r="D2671" i="5"/>
  <c r="C2671" i="5"/>
  <c r="B2671" i="5"/>
  <c r="E2670" i="5"/>
  <c r="D2670" i="5"/>
  <c r="C2670" i="5"/>
  <c r="B2670" i="5"/>
  <c r="E2669" i="5"/>
  <c r="D2669" i="5"/>
  <c r="C2669" i="5"/>
  <c r="B2669" i="5"/>
  <c r="E2668" i="5"/>
  <c r="D2668" i="5"/>
  <c r="C2668" i="5"/>
  <c r="B2668" i="5"/>
  <c r="E2667" i="5"/>
  <c r="D2667" i="5"/>
  <c r="C2667" i="5"/>
  <c r="B2667" i="5"/>
  <c r="E2666" i="5"/>
  <c r="D2666" i="5"/>
  <c r="C2666" i="5"/>
  <c r="B2666" i="5"/>
  <c r="E2665" i="5"/>
  <c r="D2665" i="5"/>
  <c r="C2665" i="5"/>
  <c r="B2665" i="5"/>
  <c r="E2664" i="5"/>
  <c r="D2664" i="5"/>
  <c r="C2664" i="5"/>
  <c r="B2664" i="5"/>
  <c r="E2663" i="5"/>
  <c r="D2663" i="5"/>
  <c r="C2663" i="5"/>
  <c r="B2663" i="5"/>
  <c r="E2662" i="5"/>
  <c r="D2662" i="5"/>
  <c r="C2662" i="5"/>
  <c r="B2662" i="5"/>
  <c r="E2661" i="5"/>
  <c r="D2661" i="5"/>
  <c r="C2661" i="5"/>
  <c r="B2661" i="5"/>
  <c r="E2660" i="5"/>
  <c r="D2660" i="5"/>
  <c r="C2660" i="5"/>
  <c r="B2660" i="5"/>
  <c r="E2659" i="5"/>
  <c r="D2659" i="5"/>
  <c r="C2659" i="5"/>
  <c r="B2659" i="5"/>
  <c r="E2658" i="5"/>
  <c r="D2658" i="5"/>
  <c r="C2658" i="5"/>
  <c r="B2658" i="5"/>
  <c r="E2657" i="5"/>
  <c r="D2657" i="5"/>
  <c r="C2657" i="5"/>
  <c r="B2657" i="5"/>
  <c r="E2656" i="5"/>
  <c r="D2656" i="5"/>
  <c r="C2656" i="5"/>
  <c r="B2656" i="5"/>
  <c r="E2655" i="5"/>
  <c r="D2655" i="5"/>
  <c r="C2655" i="5"/>
  <c r="B2655" i="5"/>
  <c r="E2654" i="5"/>
  <c r="D2654" i="5"/>
  <c r="C2654" i="5"/>
  <c r="B2654" i="5"/>
  <c r="E2653" i="5"/>
  <c r="D2653" i="5"/>
  <c r="C2653" i="5"/>
  <c r="B2653" i="5"/>
  <c r="E2652" i="5"/>
  <c r="D2652" i="5"/>
  <c r="C2652" i="5"/>
  <c r="B2652" i="5"/>
  <c r="E2651" i="5"/>
  <c r="D2651" i="5"/>
  <c r="C2651" i="5"/>
  <c r="B2651" i="5"/>
  <c r="E2650" i="5"/>
  <c r="D2650" i="5"/>
  <c r="C2650" i="5"/>
  <c r="B2650" i="5"/>
  <c r="E2649" i="5"/>
  <c r="D2649" i="5"/>
  <c r="C2649" i="5"/>
  <c r="B2649" i="5"/>
  <c r="E2648" i="5"/>
  <c r="D2648" i="5"/>
  <c r="C2648" i="5"/>
  <c r="B2648" i="5"/>
  <c r="E2647" i="5"/>
  <c r="D2647" i="5"/>
  <c r="C2647" i="5"/>
  <c r="B2647" i="5"/>
  <c r="E2646" i="5"/>
  <c r="D2646" i="5"/>
  <c r="C2646" i="5"/>
  <c r="B2646" i="5"/>
  <c r="E2645" i="5"/>
  <c r="D2645" i="5"/>
  <c r="C2645" i="5"/>
  <c r="B2645" i="5"/>
  <c r="E2644" i="5"/>
  <c r="D2644" i="5"/>
  <c r="C2644" i="5"/>
  <c r="B2644" i="5"/>
  <c r="E2643" i="5"/>
  <c r="D2643" i="5"/>
  <c r="C2643" i="5"/>
  <c r="B2643" i="5"/>
  <c r="E2642" i="5"/>
  <c r="D2642" i="5"/>
  <c r="C2642" i="5"/>
  <c r="B2642" i="5"/>
  <c r="E2641" i="5"/>
  <c r="D2641" i="5"/>
  <c r="C2641" i="5"/>
  <c r="B2641" i="5"/>
  <c r="E2640" i="5"/>
  <c r="D2640" i="5"/>
  <c r="C2640" i="5"/>
  <c r="B2640" i="5"/>
  <c r="E2639" i="5"/>
  <c r="D2639" i="5"/>
  <c r="C2639" i="5"/>
  <c r="B2639" i="5"/>
  <c r="E2638" i="5"/>
  <c r="D2638" i="5"/>
  <c r="C2638" i="5"/>
  <c r="B2638" i="5"/>
  <c r="E2637" i="5"/>
  <c r="D2637" i="5"/>
  <c r="C2637" i="5"/>
  <c r="B2637" i="5"/>
  <c r="E2636" i="5"/>
  <c r="D2636" i="5"/>
  <c r="C2636" i="5"/>
  <c r="B2636" i="5"/>
  <c r="E2635" i="5"/>
  <c r="D2635" i="5"/>
  <c r="C2635" i="5"/>
  <c r="B2635" i="5"/>
  <c r="E2634" i="5"/>
  <c r="D2634" i="5"/>
  <c r="C2634" i="5"/>
  <c r="B2634" i="5"/>
  <c r="E2633" i="5"/>
  <c r="D2633" i="5"/>
  <c r="C2633" i="5"/>
  <c r="B2633" i="5"/>
  <c r="E2632" i="5"/>
  <c r="D2632" i="5"/>
  <c r="C2632" i="5"/>
  <c r="B2632" i="5"/>
  <c r="E2631" i="5"/>
  <c r="D2631" i="5"/>
  <c r="C2631" i="5"/>
  <c r="B2631" i="5"/>
  <c r="E2630" i="5"/>
  <c r="D2630" i="5"/>
  <c r="C2630" i="5"/>
  <c r="B2630" i="5"/>
  <c r="E2629" i="5"/>
  <c r="D2629" i="5"/>
  <c r="C2629" i="5"/>
  <c r="B2629" i="5"/>
  <c r="E2628" i="5"/>
  <c r="D2628" i="5"/>
  <c r="C2628" i="5"/>
  <c r="B2628" i="5"/>
  <c r="E2627" i="5"/>
  <c r="D2627" i="5"/>
  <c r="C2627" i="5"/>
  <c r="B2627" i="5"/>
  <c r="E2626" i="5"/>
  <c r="D2626" i="5"/>
  <c r="C2626" i="5"/>
  <c r="B2626" i="5"/>
  <c r="E2625" i="5"/>
  <c r="D2625" i="5"/>
  <c r="C2625" i="5"/>
  <c r="B2625" i="5"/>
  <c r="E2624" i="5"/>
  <c r="D2624" i="5"/>
  <c r="C2624" i="5"/>
  <c r="B2624" i="5"/>
  <c r="E2623" i="5"/>
  <c r="D2623" i="5"/>
  <c r="C2623" i="5"/>
  <c r="B2623" i="5"/>
  <c r="E2622" i="5"/>
  <c r="D2622" i="5"/>
  <c r="C2622" i="5"/>
  <c r="B2622" i="5"/>
  <c r="E2621" i="5"/>
  <c r="D2621" i="5"/>
  <c r="C2621" i="5"/>
  <c r="B2621" i="5"/>
  <c r="E2620" i="5"/>
  <c r="D2620" i="5"/>
  <c r="C2620" i="5"/>
  <c r="B2620" i="5"/>
  <c r="E2619" i="5"/>
  <c r="D2619" i="5"/>
  <c r="C2619" i="5"/>
  <c r="B2619" i="5"/>
  <c r="E2618" i="5"/>
  <c r="D2618" i="5"/>
  <c r="C2618" i="5"/>
  <c r="B2618" i="5"/>
  <c r="E2617" i="5"/>
  <c r="D2617" i="5"/>
  <c r="C2617" i="5"/>
  <c r="B2617" i="5"/>
  <c r="E2616" i="5"/>
  <c r="D2616" i="5"/>
  <c r="C2616" i="5"/>
  <c r="B2616" i="5"/>
  <c r="E2615" i="5"/>
  <c r="D2615" i="5"/>
  <c r="C2615" i="5"/>
  <c r="B2615" i="5"/>
  <c r="E2614" i="5"/>
  <c r="D2614" i="5"/>
  <c r="C2614" i="5"/>
  <c r="B2614" i="5"/>
  <c r="E2613" i="5"/>
  <c r="D2613" i="5"/>
  <c r="C2613" i="5"/>
  <c r="B2613" i="5"/>
  <c r="E2612" i="5"/>
  <c r="D2612" i="5"/>
  <c r="C2612" i="5"/>
  <c r="B2612" i="5"/>
  <c r="E2611" i="5"/>
  <c r="D2611" i="5"/>
  <c r="C2611" i="5"/>
  <c r="B2611" i="5"/>
  <c r="E2610" i="5"/>
  <c r="D2610" i="5"/>
  <c r="C2610" i="5"/>
  <c r="B2610" i="5"/>
  <c r="E2609" i="5"/>
  <c r="D2609" i="5"/>
  <c r="C2609" i="5"/>
  <c r="B2609" i="5"/>
  <c r="E2608" i="5"/>
  <c r="D2608" i="5"/>
  <c r="C2608" i="5"/>
  <c r="B2608" i="5"/>
  <c r="E2607" i="5"/>
  <c r="D2607" i="5"/>
  <c r="C2607" i="5"/>
  <c r="B2607" i="5"/>
  <c r="E2606" i="5"/>
  <c r="D2606" i="5"/>
  <c r="C2606" i="5"/>
  <c r="B2606" i="5"/>
  <c r="E2605" i="5"/>
  <c r="D2605" i="5"/>
  <c r="C2605" i="5"/>
  <c r="B2605" i="5"/>
  <c r="E2604" i="5"/>
  <c r="D2604" i="5"/>
  <c r="C2604" i="5"/>
  <c r="B2604" i="5"/>
  <c r="E2603" i="5"/>
  <c r="D2603" i="5"/>
  <c r="C2603" i="5"/>
  <c r="B2603" i="5"/>
  <c r="E2602" i="5"/>
  <c r="D2602" i="5"/>
  <c r="C2602" i="5"/>
  <c r="B2602" i="5"/>
  <c r="E2601" i="5"/>
  <c r="D2601" i="5"/>
  <c r="C2601" i="5"/>
  <c r="B2601" i="5"/>
  <c r="E2600" i="5"/>
  <c r="D2600" i="5"/>
  <c r="C2600" i="5"/>
  <c r="B2600" i="5"/>
  <c r="E2599" i="5"/>
  <c r="D2599" i="5"/>
  <c r="C2599" i="5"/>
  <c r="B2599" i="5"/>
  <c r="E2598" i="5"/>
  <c r="D2598" i="5"/>
  <c r="C2598" i="5"/>
  <c r="B2598" i="5"/>
  <c r="E2597" i="5"/>
  <c r="D2597" i="5"/>
  <c r="C2597" i="5"/>
  <c r="B2597" i="5"/>
  <c r="E2596" i="5"/>
  <c r="D2596" i="5"/>
  <c r="C2596" i="5"/>
  <c r="B2596" i="5"/>
  <c r="E2595" i="5"/>
  <c r="D2595" i="5"/>
  <c r="C2595" i="5"/>
  <c r="B2595" i="5"/>
  <c r="E2594" i="5"/>
  <c r="D2594" i="5"/>
  <c r="C2594" i="5"/>
  <c r="B2594" i="5"/>
  <c r="E2593" i="5"/>
  <c r="D2593" i="5"/>
  <c r="C2593" i="5"/>
  <c r="B2593" i="5"/>
  <c r="E2592" i="5"/>
  <c r="D2592" i="5"/>
  <c r="C2592" i="5"/>
  <c r="B2592" i="5"/>
  <c r="E2591" i="5"/>
  <c r="D2591" i="5"/>
  <c r="C2591" i="5"/>
  <c r="B2591" i="5"/>
  <c r="E2590" i="5"/>
  <c r="D2590" i="5"/>
  <c r="C2590" i="5"/>
  <c r="B2590" i="5"/>
  <c r="E2589" i="5"/>
  <c r="D2589" i="5"/>
  <c r="C2589" i="5"/>
  <c r="B2589" i="5"/>
  <c r="E2588" i="5"/>
  <c r="D2588" i="5"/>
  <c r="C2588" i="5"/>
  <c r="B2588" i="5"/>
  <c r="E2587" i="5"/>
  <c r="D2587" i="5"/>
  <c r="C2587" i="5"/>
  <c r="B2587" i="5"/>
  <c r="E2586" i="5"/>
  <c r="D2586" i="5"/>
  <c r="C2586" i="5"/>
  <c r="B2586" i="5"/>
  <c r="E2585" i="5"/>
  <c r="D2585" i="5"/>
  <c r="C2585" i="5"/>
  <c r="B2585" i="5"/>
  <c r="E2584" i="5"/>
  <c r="D2584" i="5"/>
  <c r="C2584" i="5"/>
  <c r="B2584" i="5"/>
  <c r="E2583" i="5"/>
  <c r="D2583" i="5"/>
  <c r="C2583" i="5"/>
  <c r="B2583" i="5"/>
  <c r="E2582" i="5"/>
  <c r="D2582" i="5"/>
  <c r="C2582" i="5"/>
  <c r="B2582" i="5"/>
  <c r="E2581" i="5"/>
  <c r="D2581" i="5"/>
  <c r="C2581" i="5"/>
  <c r="B2581" i="5"/>
  <c r="E2580" i="5"/>
  <c r="D2580" i="5"/>
  <c r="C2580" i="5"/>
  <c r="B2580" i="5"/>
  <c r="E2579" i="5"/>
  <c r="D2579" i="5"/>
  <c r="C2579" i="5"/>
  <c r="B2579" i="5"/>
  <c r="E2578" i="5"/>
  <c r="D2578" i="5"/>
  <c r="C2578" i="5"/>
  <c r="B2578" i="5"/>
  <c r="E2577" i="5"/>
  <c r="D2577" i="5"/>
  <c r="C2577" i="5"/>
  <c r="B2577" i="5"/>
  <c r="E2576" i="5"/>
  <c r="D2576" i="5"/>
  <c r="C2576" i="5"/>
  <c r="B2576" i="5"/>
  <c r="E2575" i="5"/>
  <c r="D2575" i="5"/>
  <c r="C2575" i="5"/>
  <c r="B2575" i="5"/>
  <c r="E2574" i="5"/>
  <c r="D2574" i="5"/>
  <c r="C2574" i="5"/>
  <c r="B2574" i="5"/>
  <c r="E2573" i="5"/>
  <c r="D2573" i="5"/>
  <c r="C2573" i="5"/>
  <c r="B2573" i="5"/>
  <c r="E2572" i="5"/>
  <c r="D2572" i="5"/>
  <c r="C2572" i="5"/>
  <c r="B2572" i="5"/>
  <c r="E2571" i="5"/>
  <c r="D2571" i="5"/>
  <c r="C2571" i="5"/>
  <c r="B2571" i="5"/>
  <c r="E2570" i="5"/>
  <c r="D2570" i="5"/>
  <c r="C2570" i="5"/>
  <c r="B2570" i="5"/>
  <c r="E2569" i="5"/>
  <c r="D2569" i="5"/>
  <c r="C2569" i="5"/>
  <c r="B2569" i="5"/>
  <c r="E2568" i="5"/>
  <c r="D2568" i="5"/>
  <c r="C2568" i="5"/>
  <c r="B2568" i="5"/>
  <c r="E2567" i="5"/>
  <c r="D2567" i="5"/>
  <c r="C2567" i="5"/>
  <c r="B2567" i="5"/>
  <c r="E2566" i="5"/>
  <c r="D2566" i="5"/>
  <c r="C2566" i="5"/>
  <c r="B2566" i="5"/>
  <c r="E2565" i="5"/>
  <c r="D2565" i="5"/>
  <c r="C2565" i="5"/>
  <c r="B2565" i="5"/>
  <c r="E2564" i="5"/>
  <c r="D2564" i="5"/>
  <c r="C2564" i="5"/>
  <c r="B2564" i="5"/>
  <c r="E2563" i="5"/>
  <c r="D2563" i="5"/>
  <c r="C2563" i="5"/>
  <c r="B2563" i="5"/>
  <c r="E2562" i="5"/>
  <c r="D2562" i="5"/>
  <c r="C2562" i="5"/>
  <c r="B2562" i="5"/>
  <c r="E2561" i="5"/>
  <c r="D2561" i="5"/>
  <c r="C2561" i="5"/>
  <c r="B2561" i="5"/>
  <c r="E2560" i="5"/>
  <c r="D2560" i="5"/>
  <c r="C2560" i="5"/>
  <c r="B2560" i="5"/>
  <c r="E2559" i="5"/>
  <c r="D2559" i="5"/>
  <c r="C2559" i="5"/>
  <c r="B2559" i="5"/>
  <c r="E2558" i="5"/>
  <c r="D2558" i="5"/>
  <c r="C2558" i="5"/>
  <c r="B2558" i="5"/>
  <c r="E2557" i="5"/>
  <c r="D2557" i="5"/>
  <c r="C2557" i="5"/>
  <c r="B2557" i="5"/>
  <c r="E2556" i="5"/>
  <c r="D2556" i="5"/>
  <c r="C2556" i="5"/>
  <c r="B2556" i="5"/>
  <c r="E2555" i="5"/>
  <c r="D2555" i="5"/>
  <c r="C2555" i="5"/>
  <c r="B2555" i="5"/>
  <c r="E2554" i="5"/>
  <c r="D2554" i="5"/>
  <c r="C2554" i="5"/>
  <c r="B2554" i="5"/>
  <c r="E2553" i="5"/>
  <c r="D2553" i="5"/>
  <c r="C2553" i="5"/>
  <c r="B2553" i="5"/>
  <c r="E2552" i="5"/>
  <c r="D2552" i="5"/>
  <c r="C2552" i="5"/>
  <c r="B2552" i="5"/>
  <c r="E2551" i="5"/>
  <c r="D2551" i="5"/>
  <c r="C2551" i="5"/>
  <c r="B2551" i="5"/>
  <c r="E2550" i="5"/>
  <c r="D2550" i="5"/>
  <c r="C2550" i="5"/>
  <c r="B2550" i="5"/>
  <c r="E2549" i="5"/>
  <c r="D2549" i="5"/>
  <c r="C2549" i="5"/>
  <c r="B2549" i="5"/>
  <c r="E2548" i="5"/>
  <c r="D2548" i="5"/>
  <c r="C2548" i="5"/>
  <c r="B2548" i="5"/>
  <c r="E2547" i="5"/>
  <c r="D2547" i="5"/>
  <c r="C2547" i="5"/>
  <c r="B2547" i="5"/>
  <c r="E2546" i="5"/>
  <c r="D2546" i="5"/>
  <c r="C2546" i="5"/>
  <c r="B2546" i="5"/>
  <c r="E2545" i="5"/>
  <c r="D2545" i="5"/>
  <c r="C2545" i="5"/>
  <c r="B2545" i="5"/>
  <c r="E2544" i="5"/>
  <c r="D2544" i="5"/>
  <c r="C2544" i="5"/>
  <c r="B2544" i="5"/>
  <c r="E2543" i="5"/>
  <c r="D2543" i="5"/>
  <c r="C2543" i="5"/>
  <c r="B2543" i="5"/>
  <c r="E2542" i="5"/>
  <c r="D2542" i="5"/>
  <c r="C2542" i="5"/>
  <c r="B2542" i="5"/>
  <c r="E2541" i="5"/>
  <c r="D2541" i="5"/>
  <c r="C2541" i="5"/>
  <c r="B2541" i="5"/>
  <c r="E2540" i="5"/>
  <c r="D2540" i="5"/>
  <c r="C2540" i="5"/>
  <c r="B2540" i="5"/>
  <c r="E2539" i="5"/>
  <c r="D2539" i="5"/>
  <c r="C2539" i="5"/>
  <c r="B2539" i="5"/>
  <c r="E2538" i="5"/>
  <c r="D2538" i="5"/>
  <c r="C2538" i="5"/>
  <c r="B2538" i="5"/>
  <c r="E2537" i="5"/>
  <c r="D2537" i="5"/>
  <c r="C2537" i="5"/>
  <c r="B2537" i="5"/>
  <c r="E2536" i="5"/>
  <c r="D2536" i="5"/>
  <c r="C2536" i="5"/>
  <c r="B2536" i="5"/>
  <c r="E2535" i="5"/>
  <c r="D2535" i="5"/>
  <c r="C2535" i="5"/>
  <c r="B2535" i="5"/>
  <c r="E2534" i="5"/>
  <c r="D2534" i="5"/>
  <c r="C2534" i="5"/>
  <c r="B2534" i="5"/>
  <c r="E2533" i="5"/>
  <c r="D2533" i="5"/>
  <c r="C2533" i="5"/>
  <c r="B2533" i="5"/>
  <c r="E2532" i="5"/>
  <c r="D2532" i="5"/>
  <c r="C2532" i="5"/>
  <c r="B2532" i="5"/>
  <c r="E2531" i="5"/>
  <c r="D2531" i="5"/>
  <c r="C2531" i="5"/>
  <c r="B2531" i="5"/>
  <c r="E2530" i="5"/>
  <c r="D2530" i="5"/>
  <c r="C2530" i="5"/>
  <c r="B2530" i="5"/>
  <c r="E2529" i="5"/>
  <c r="D2529" i="5"/>
  <c r="C2529" i="5"/>
  <c r="B2529" i="5"/>
  <c r="E2528" i="5"/>
  <c r="D2528" i="5"/>
  <c r="C2528" i="5"/>
  <c r="B2528" i="5"/>
  <c r="E2527" i="5"/>
  <c r="D2527" i="5"/>
  <c r="C2527" i="5"/>
  <c r="B2527" i="5"/>
  <c r="E2526" i="5"/>
  <c r="D2526" i="5"/>
  <c r="C2526" i="5"/>
  <c r="B2526" i="5"/>
  <c r="E2525" i="5"/>
  <c r="D2525" i="5"/>
  <c r="C2525" i="5"/>
  <c r="B2525" i="5"/>
  <c r="E2524" i="5"/>
  <c r="D2524" i="5"/>
  <c r="C2524" i="5"/>
  <c r="B2524" i="5"/>
  <c r="E2523" i="5"/>
  <c r="D2523" i="5"/>
  <c r="C2523" i="5"/>
  <c r="B2523" i="5"/>
  <c r="E2522" i="5"/>
  <c r="D2522" i="5"/>
  <c r="C2522" i="5"/>
  <c r="B2522" i="5"/>
  <c r="E2521" i="5"/>
  <c r="D2521" i="5"/>
  <c r="C2521" i="5"/>
  <c r="B2521" i="5"/>
  <c r="E2520" i="5"/>
  <c r="D2520" i="5"/>
  <c r="C2520" i="5"/>
  <c r="B2520" i="5"/>
  <c r="E2519" i="5"/>
  <c r="D2519" i="5"/>
  <c r="C2519" i="5"/>
  <c r="B2519" i="5"/>
  <c r="E2518" i="5"/>
  <c r="D2518" i="5"/>
  <c r="C2518" i="5"/>
  <c r="B2518" i="5"/>
  <c r="E2517" i="5"/>
  <c r="D2517" i="5"/>
  <c r="C2517" i="5"/>
  <c r="B2517" i="5"/>
  <c r="E2516" i="5"/>
  <c r="D2516" i="5"/>
  <c r="C2516" i="5"/>
  <c r="B2516" i="5"/>
  <c r="E2515" i="5"/>
  <c r="D2515" i="5"/>
  <c r="C2515" i="5"/>
  <c r="B2515" i="5"/>
  <c r="E2514" i="5"/>
  <c r="D2514" i="5"/>
  <c r="C2514" i="5"/>
  <c r="B2514" i="5"/>
  <c r="E2513" i="5"/>
  <c r="D2513" i="5"/>
  <c r="C2513" i="5"/>
  <c r="B2513" i="5"/>
  <c r="E2512" i="5"/>
  <c r="D2512" i="5"/>
  <c r="C2512" i="5"/>
  <c r="B2512" i="5"/>
  <c r="E2511" i="5"/>
  <c r="D2511" i="5"/>
  <c r="C2511" i="5"/>
  <c r="B2511" i="5"/>
  <c r="E2510" i="5"/>
  <c r="D2510" i="5"/>
  <c r="C2510" i="5"/>
  <c r="B2510" i="5"/>
  <c r="E2509" i="5"/>
  <c r="D2509" i="5"/>
  <c r="C2509" i="5"/>
  <c r="B2509" i="5"/>
  <c r="E2508" i="5"/>
  <c r="D2508" i="5"/>
  <c r="C2508" i="5"/>
  <c r="B2508" i="5"/>
  <c r="E2507" i="5"/>
  <c r="D2507" i="5"/>
  <c r="C2507" i="5"/>
  <c r="B2507" i="5"/>
  <c r="E2506" i="5"/>
  <c r="D2506" i="5"/>
  <c r="C2506" i="5"/>
  <c r="B2506" i="5"/>
  <c r="E2505" i="5"/>
  <c r="D2505" i="5"/>
  <c r="C2505" i="5"/>
  <c r="B2505" i="5"/>
  <c r="E2504" i="5"/>
  <c r="D2504" i="5"/>
  <c r="C2504" i="5"/>
  <c r="B2504" i="5"/>
  <c r="E2503" i="5"/>
  <c r="D2503" i="5"/>
  <c r="C2503" i="5"/>
  <c r="B2503" i="5"/>
  <c r="E2502" i="5"/>
  <c r="D2502" i="5"/>
  <c r="C2502" i="5"/>
  <c r="B2502" i="5"/>
  <c r="E2501" i="5"/>
  <c r="D2501" i="5"/>
  <c r="C2501" i="5"/>
  <c r="B2501" i="5"/>
  <c r="E2500" i="5"/>
  <c r="D2500" i="5"/>
  <c r="C2500" i="5"/>
  <c r="B2500" i="5"/>
  <c r="E2499" i="5"/>
  <c r="D2499" i="5"/>
  <c r="C2499" i="5"/>
  <c r="B2499" i="5"/>
  <c r="E2498" i="5"/>
  <c r="D2498" i="5"/>
  <c r="C2498" i="5"/>
  <c r="B2498" i="5"/>
  <c r="E2497" i="5"/>
  <c r="D2497" i="5"/>
  <c r="C2497" i="5"/>
  <c r="B2497" i="5"/>
  <c r="E2496" i="5"/>
  <c r="D2496" i="5"/>
  <c r="C2496" i="5"/>
  <c r="B2496" i="5"/>
  <c r="E2495" i="5"/>
  <c r="D2495" i="5"/>
  <c r="C2495" i="5"/>
  <c r="B2495" i="5"/>
  <c r="E2494" i="5"/>
  <c r="D2494" i="5"/>
  <c r="C2494" i="5"/>
  <c r="B2494" i="5"/>
  <c r="E2493" i="5"/>
  <c r="D2493" i="5"/>
  <c r="C2493" i="5"/>
  <c r="B2493" i="5"/>
  <c r="E2492" i="5"/>
  <c r="D2492" i="5"/>
  <c r="C2492" i="5"/>
  <c r="B2492" i="5"/>
  <c r="E2491" i="5"/>
  <c r="D2491" i="5"/>
  <c r="C2491" i="5"/>
  <c r="B2491" i="5"/>
  <c r="E2490" i="5"/>
  <c r="D2490" i="5"/>
  <c r="C2490" i="5"/>
  <c r="B2490" i="5"/>
  <c r="E2489" i="5"/>
  <c r="D2489" i="5"/>
  <c r="C2489" i="5"/>
  <c r="B2489" i="5"/>
  <c r="E2488" i="5"/>
  <c r="D2488" i="5"/>
  <c r="C2488" i="5"/>
  <c r="B2488" i="5"/>
  <c r="E2487" i="5"/>
  <c r="D2487" i="5"/>
  <c r="C2487" i="5"/>
  <c r="B2487" i="5"/>
  <c r="E2486" i="5"/>
  <c r="D2486" i="5"/>
  <c r="C2486" i="5"/>
  <c r="B2486" i="5"/>
  <c r="E2485" i="5"/>
  <c r="D2485" i="5"/>
  <c r="C2485" i="5"/>
  <c r="B2485" i="5"/>
  <c r="E2484" i="5"/>
  <c r="D2484" i="5"/>
  <c r="C2484" i="5"/>
  <c r="B2484" i="5"/>
  <c r="E2483" i="5"/>
  <c r="D2483" i="5"/>
  <c r="C2483" i="5"/>
  <c r="B2483" i="5"/>
  <c r="E2482" i="5"/>
  <c r="D2482" i="5"/>
  <c r="C2482" i="5"/>
  <c r="B2482" i="5"/>
  <c r="E2481" i="5"/>
  <c r="D2481" i="5"/>
  <c r="C2481" i="5"/>
  <c r="B2481" i="5"/>
  <c r="E2480" i="5"/>
  <c r="D2480" i="5"/>
  <c r="C2480" i="5"/>
  <c r="B2480" i="5"/>
  <c r="E2479" i="5"/>
  <c r="D2479" i="5"/>
  <c r="C2479" i="5"/>
  <c r="B2479" i="5"/>
  <c r="E2478" i="5"/>
  <c r="D2478" i="5"/>
  <c r="C2478" i="5"/>
  <c r="B2478" i="5"/>
  <c r="E2477" i="5"/>
  <c r="D2477" i="5"/>
  <c r="C2477" i="5"/>
  <c r="B2477" i="5"/>
  <c r="E2476" i="5"/>
  <c r="D2476" i="5"/>
  <c r="C2476" i="5"/>
  <c r="B2476" i="5"/>
  <c r="E2475" i="5"/>
  <c r="D2475" i="5"/>
  <c r="C2475" i="5"/>
  <c r="B2475" i="5"/>
  <c r="E2474" i="5"/>
  <c r="D2474" i="5"/>
  <c r="C2474" i="5"/>
  <c r="B2474" i="5"/>
  <c r="E2473" i="5"/>
  <c r="D2473" i="5"/>
  <c r="C2473" i="5"/>
  <c r="B2473" i="5"/>
  <c r="E2472" i="5"/>
  <c r="D2472" i="5"/>
  <c r="C2472" i="5"/>
  <c r="B2472" i="5"/>
  <c r="E2471" i="5"/>
  <c r="D2471" i="5"/>
  <c r="C2471" i="5"/>
  <c r="B2471" i="5"/>
  <c r="E2470" i="5"/>
  <c r="D2470" i="5"/>
  <c r="C2470" i="5"/>
  <c r="B2470" i="5"/>
  <c r="E2469" i="5"/>
  <c r="D2469" i="5"/>
  <c r="C2469" i="5"/>
  <c r="B2469" i="5"/>
  <c r="E2468" i="5"/>
  <c r="D2468" i="5"/>
  <c r="C2468" i="5"/>
  <c r="B2468" i="5"/>
  <c r="E2467" i="5"/>
  <c r="D2467" i="5"/>
  <c r="C2467" i="5"/>
  <c r="B2467" i="5"/>
  <c r="E2466" i="5"/>
  <c r="D2466" i="5"/>
  <c r="C2466" i="5"/>
  <c r="B2466" i="5"/>
  <c r="E2465" i="5"/>
  <c r="D2465" i="5"/>
  <c r="C2465" i="5"/>
  <c r="B2465" i="5"/>
  <c r="E2464" i="5"/>
  <c r="D2464" i="5"/>
  <c r="C2464" i="5"/>
  <c r="B2464" i="5"/>
  <c r="E2463" i="5"/>
  <c r="D2463" i="5"/>
  <c r="C2463" i="5"/>
  <c r="B2463" i="5"/>
  <c r="E2462" i="5"/>
  <c r="D2462" i="5"/>
  <c r="C2462" i="5"/>
  <c r="B2462" i="5"/>
  <c r="E2461" i="5"/>
  <c r="D2461" i="5"/>
  <c r="C2461" i="5"/>
  <c r="B2461" i="5"/>
  <c r="E2460" i="5"/>
  <c r="D2460" i="5"/>
  <c r="C2460" i="5"/>
  <c r="B2460" i="5"/>
  <c r="E2459" i="5"/>
  <c r="D2459" i="5"/>
  <c r="C2459" i="5"/>
  <c r="B2459" i="5"/>
  <c r="E2458" i="5"/>
  <c r="D2458" i="5"/>
  <c r="C2458" i="5"/>
  <c r="B2458" i="5"/>
  <c r="E2457" i="5"/>
  <c r="D2457" i="5"/>
  <c r="C2457" i="5"/>
  <c r="B2457" i="5"/>
  <c r="E2456" i="5"/>
  <c r="D2456" i="5"/>
  <c r="C2456" i="5"/>
  <c r="B2456" i="5"/>
  <c r="E2455" i="5"/>
  <c r="D2455" i="5"/>
  <c r="C2455" i="5"/>
  <c r="B2455" i="5"/>
  <c r="E2454" i="5"/>
  <c r="D2454" i="5"/>
  <c r="C2454" i="5"/>
  <c r="B2454" i="5"/>
  <c r="E2453" i="5"/>
  <c r="D2453" i="5"/>
  <c r="C2453" i="5"/>
  <c r="B2453" i="5"/>
  <c r="E2452" i="5"/>
  <c r="D2452" i="5"/>
  <c r="C2452" i="5"/>
  <c r="B2452" i="5"/>
  <c r="E2451" i="5"/>
  <c r="D2451" i="5"/>
  <c r="C2451" i="5"/>
  <c r="B2451" i="5"/>
  <c r="E2450" i="5"/>
  <c r="D2450" i="5"/>
  <c r="C2450" i="5"/>
  <c r="B2450" i="5"/>
  <c r="E2449" i="5"/>
  <c r="D2449" i="5"/>
  <c r="C2449" i="5"/>
  <c r="B2449" i="5"/>
  <c r="E2448" i="5"/>
  <c r="D2448" i="5"/>
  <c r="C2448" i="5"/>
  <c r="B2448" i="5"/>
  <c r="E2447" i="5"/>
  <c r="D2447" i="5"/>
  <c r="C2447" i="5"/>
  <c r="B2447" i="5"/>
  <c r="E2446" i="5"/>
  <c r="D2446" i="5"/>
  <c r="C2446" i="5"/>
  <c r="B2446" i="5"/>
  <c r="E2445" i="5"/>
  <c r="D2445" i="5"/>
  <c r="C2445" i="5"/>
  <c r="B2445" i="5"/>
  <c r="E2444" i="5"/>
  <c r="D2444" i="5"/>
  <c r="C2444" i="5"/>
  <c r="B2444" i="5"/>
  <c r="E2443" i="5"/>
  <c r="D2443" i="5"/>
  <c r="C2443" i="5"/>
  <c r="B2443" i="5"/>
  <c r="E2442" i="5"/>
  <c r="D2442" i="5"/>
  <c r="C2442" i="5"/>
  <c r="B2442" i="5"/>
  <c r="E2441" i="5"/>
  <c r="D2441" i="5"/>
  <c r="C2441" i="5"/>
  <c r="B2441" i="5"/>
  <c r="E2440" i="5"/>
  <c r="D2440" i="5"/>
  <c r="C2440" i="5"/>
  <c r="B2440" i="5"/>
  <c r="E2439" i="5"/>
  <c r="D2439" i="5"/>
  <c r="C2439" i="5"/>
  <c r="B2439" i="5"/>
  <c r="E2438" i="5"/>
  <c r="D2438" i="5"/>
  <c r="C2438" i="5"/>
  <c r="B2438" i="5"/>
  <c r="E2437" i="5"/>
  <c r="D2437" i="5"/>
  <c r="C2437" i="5"/>
  <c r="B2437" i="5"/>
  <c r="E2436" i="5"/>
  <c r="D2436" i="5"/>
  <c r="C2436" i="5"/>
  <c r="B2436" i="5"/>
  <c r="E2435" i="5"/>
  <c r="D2435" i="5"/>
  <c r="C2435" i="5"/>
  <c r="B2435" i="5"/>
  <c r="E2434" i="5"/>
  <c r="D2434" i="5"/>
  <c r="C2434" i="5"/>
  <c r="B2434" i="5"/>
  <c r="E2433" i="5"/>
  <c r="D2433" i="5"/>
  <c r="C2433" i="5"/>
  <c r="B2433" i="5"/>
  <c r="E2432" i="5"/>
  <c r="D2432" i="5"/>
  <c r="C2432" i="5"/>
  <c r="B2432" i="5"/>
  <c r="E2431" i="5"/>
  <c r="D2431" i="5"/>
  <c r="C2431" i="5"/>
  <c r="B2431" i="5"/>
  <c r="E2430" i="5"/>
  <c r="D2430" i="5"/>
  <c r="C2430" i="5"/>
  <c r="B2430" i="5"/>
  <c r="E2429" i="5"/>
  <c r="D2429" i="5"/>
  <c r="C2429" i="5"/>
  <c r="B2429" i="5"/>
  <c r="E2428" i="5"/>
  <c r="D2428" i="5"/>
  <c r="C2428" i="5"/>
  <c r="B2428" i="5"/>
  <c r="E2427" i="5"/>
  <c r="D2427" i="5"/>
  <c r="C2427" i="5"/>
  <c r="B2427" i="5"/>
  <c r="E2426" i="5"/>
  <c r="D2426" i="5"/>
  <c r="C2426" i="5"/>
  <c r="B2426" i="5"/>
  <c r="E2425" i="5"/>
  <c r="D2425" i="5"/>
  <c r="C2425" i="5"/>
  <c r="B2425" i="5"/>
  <c r="E2424" i="5"/>
  <c r="D2424" i="5"/>
  <c r="C2424" i="5"/>
  <c r="B2424" i="5"/>
  <c r="E2423" i="5"/>
  <c r="D2423" i="5"/>
  <c r="C2423" i="5"/>
  <c r="B2423" i="5"/>
  <c r="E2422" i="5"/>
  <c r="D2422" i="5"/>
  <c r="C2422" i="5"/>
  <c r="B2422" i="5"/>
  <c r="E2421" i="5"/>
  <c r="D2421" i="5"/>
  <c r="C2421" i="5"/>
  <c r="B2421" i="5"/>
  <c r="E2420" i="5"/>
  <c r="D2420" i="5"/>
  <c r="C2420" i="5"/>
  <c r="B2420" i="5"/>
  <c r="E2419" i="5"/>
  <c r="D2419" i="5"/>
  <c r="C2419" i="5"/>
  <c r="B2419" i="5"/>
  <c r="E2418" i="5"/>
  <c r="D2418" i="5"/>
  <c r="C2418" i="5"/>
  <c r="B2418" i="5"/>
  <c r="E2417" i="5"/>
  <c r="D2417" i="5"/>
  <c r="C2417" i="5"/>
  <c r="B2417" i="5"/>
  <c r="E2416" i="5"/>
  <c r="D2416" i="5"/>
  <c r="C2416" i="5"/>
  <c r="B2416" i="5"/>
  <c r="E2415" i="5"/>
  <c r="D2415" i="5"/>
  <c r="C2415" i="5"/>
  <c r="B2415" i="5"/>
  <c r="E2414" i="5"/>
  <c r="D2414" i="5"/>
  <c r="C2414" i="5"/>
  <c r="B2414" i="5"/>
  <c r="E2413" i="5"/>
  <c r="D2413" i="5"/>
  <c r="C2413" i="5"/>
  <c r="B2413" i="5"/>
  <c r="E2412" i="5"/>
  <c r="D2412" i="5"/>
  <c r="C2412" i="5"/>
  <c r="B2412" i="5"/>
  <c r="E2411" i="5"/>
  <c r="D2411" i="5"/>
  <c r="C2411" i="5"/>
  <c r="B2411" i="5"/>
  <c r="E2410" i="5"/>
  <c r="D2410" i="5"/>
  <c r="C2410" i="5"/>
  <c r="B2410" i="5"/>
  <c r="E2409" i="5"/>
  <c r="D2409" i="5"/>
  <c r="C2409" i="5"/>
  <c r="B2409" i="5"/>
  <c r="E2408" i="5"/>
  <c r="D2408" i="5"/>
  <c r="C2408" i="5"/>
  <c r="B2408" i="5"/>
  <c r="E2407" i="5"/>
  <c r="D2407" i="5"/>
  <c r="C2407" i="5"/>
  <c r="B2407" i="5"/>
  <c r="E2406" i="5"/>
  <c r="D2406" i="5"/>
  <c r="C2406" i="5"/>
  <c r="B2406" i="5"/>
  <c r="E2405" i="5"/>
  <c r="D2405" i="5"/>
  <c r="C2405" i="5"/>
  <c r="B2405" i="5"/>
  <c r="E2404" i="5"/>
  <c r="D2404" i="5"/>
  <c r="C2404" i="5"/>
  <c r="B2404" i="5"/>
  <c r="E2403" i="5"/>
  <c r="D2403" i="5"/>
  <c r="C2403" i="5"/>
  <c r="B2403" i="5"/>
  <c r="E2402" i="5"/>
  <c r="D2402" i="5"/>
  <c r="C2402" i="5"/>
  <c r="B2402" i="5"/>
  <c r="E2401" i="5"/>
  <c r="D2401" i="5"/>
  <c r="C2401" i="5"/>
  <c r="B2401" i="5"/>
  <c r="E2400" i="5"/>
  <c r="D2400" i="5"/>
  <c r="C2400" i="5"/>
  <c r="B2400" i="5"/>
  <c r="E2399" i="5"/>
  <c r="D2399" i="5"/>
  <c r="C2399" i="5"/>
  <c r="B2399" i="5"/>
  <c r="E2398" i="5"/>
  <c r="D2398" i="5"/>
  <c r="C2398" i="5"/>
  <c r="B2398" i="5"/>
  <c r="E2397" i="5"/>
  <c r="D2397" i="5"/>
  <c r="C2397" i="5"/>
  <c r="B2397" i="5"/>
  <c r="E2396" i="5"/>
  <c r="D2396" i="5"/>
  <c r="C2396" i="5"/>
  <c r="B2396" i="5"/>
  <c r="E2395" i="5"/>
  <c r="D2395" i="5"/>
  <c r="C2395" i="5"/>
  <c r="B2395" i="5"/>
  <c r="E2394" i="5"/>
  <c r="D2394" i="5"/>
  <c r="C2394" i="5"/>
  <c r="B2394" i="5"/>
  <c r="E2393" i="5"/>
  <c r="D2393" i="5"/>
  <c r="C2393" i="5"/>
  <c r="B2393" i="5"/>
  <c r="E2392" i="5"/>
  <c r="D2392" i="5"/>
  <c r="C2392" i="5"/>
  <c r="B2392" i="5"/>
  <c r="E2391" i="5"/>
  <c r="D2391" i="5"/>
  <c r="C2391" i="5"/>
  <c r="B2391" i="5"/>
  <c r="E2390" i="5"/>
  <c r="D2390" i="5"/>
  <c r="C2390" i="5"/>
  <c r="B2390" i="5"/>
  <c r="E2389" i="5"/>
  <c r="D2389" i="5"/>
  <c r="C2389" i="5"/>
  <c r="B2389" i="5"/>
  <c r="E2388" i="5"/>
  <c r="D2388" i="5"/>
  <c r="C2388" i="5"/>
  <c r="B2388" i="5"/>
  <c r="E2387" i="5"/>
  <c r="D2387" i="5"/>
  <c r="C2387" i="5"/>
  <c r="B2387" i="5"/>
  <c r="E2386" i="5"/>
  <c r="D2386" i="5"/>
  <c r="C2386" i="5"/>
  <c r="B2386" i="5"/>
  <c r="E2385" i="5"/>
  <c r="D2385" i="5"/>
  <c r="C2385" i="5"/>
  <c r="B2385" i="5"/>
  <c r="E2384" i="5"/>
  <c r="D2384" i="5"/>
  <c r="C2384" i="5"/>
  <c r="B2384" i="5"/>
  <c r="E2383" i="5"/>
  <c r="D2383" i="5"/>
  <c r="C2383" i="5"/>
  <c r="B2383" i="5"/>
  <c r="E2382" i="5"/>
  <c r="D2382" i="5"/>
  <c r="C2382" i="5"/>
  <c r="B2382" i="5"/>
  <c r="E2381" i="5"/>
  <c r="D2381" i="5"/>
  <c r="C2381" i="5"/>
  <c r="B2381" i="5"/>
  <c r="E2380" i="5"/>
  <c r="D2380" i="5"/>
  <c r="C2380" i="5"/>
  <c r="B2380" i="5"/>
  <c r="E2379" i="5"/>
  <c r="D2379" i="5"/>
  <c r="C2379" i="5"/>
  <c r="B2379" i="5"/>
  <c r="E2378" i="5"/>
  <c r="D2378" i="5"/>
  <c r="C2378" i="5"/>
  <c r="B2378" i="5"/>
  <c r="E2377" i="5"/>
  <c r="D2377" i="5"/>
  <c r="C2377" i="5"/>
  <c r="B2377" i="5"/>
  <c r="E2376" i="5"/>
  <c r="D2376" i="5"/>
  <c r="C2376" i="5"/>
  <c r="B2376" i="5"/>
  <c r="E2375" i="5"/>
  <c r="D2375" i="5"/>
  <c r="C2375" i="5"/>
  <c r="B2375" i="5"/>
  <c r="E2374" i="5"/>
  <c r="D2374" i="5"/>
  <c r="C2374" i="5"/>
  <c r="B2374" i="5"/>
  <c r="E2373" i="5"/>
  <c r="D2373" i="5"/>
  <c r="C2373" i="5"/>
  <c r="B2373" i="5"/>
  <c r="E2372" i="5"/>
  <c r="D2372" i="5"/>
  <c r="C2372" i="5"/>
  <c r="B2372" i="5"/>
  <c r="E2371" i="5"/>
  <c r="D2371" i="5"/>
  <c r="C2371" i="5"/>
  <c r="B2371" i="5"/>
  <c r="E2370" i="5"/>
  <c r="D2370" i="5"/>
  <c r="C2370" i="5"/>
  <c r="B2370" i="5"/>
  <c r="E2369" i="5"/>
  <c r="D2369" i="5"/>
  <c r="C2369" i="5"/>
  <c r="B2369" i="5"/>
  <c r="E2368" i="5"/>
  <c r="D2368" i="5"/>
  <c r="C2368" i="5"/>
  <c r="B2368" i="5"/>
  <c r="E2367" i="5"/>
  <c r="D2367" i="5"/>
  <c r="C2367" i="5"/>
  <c r="B2367" i="5"/>
  <c r="E2366" i="5"/>
  <c r="D2366" i="5"/>
  <c r="C2366" i="5"/>
  <c r="B2366" i="5"/>
  <c r="E2365" i="5"/>
  <c r="D2365" i="5"/>
  <c r="C2365" i="5"/>
  <c r="B2365" i="5"/>
  <c r="E2364" i="5"/>
  <c r="D2364" i="5"/>
  <c r="C2364" i="5"/>
  <c r="B2364" i="5"/>
  <c r="E2363" i="5"/>
  <c r="D2363" i="5"/>
  <c r="C2363" i="5"/>
  <c r="B2363" i="5"/>
  <c r="E2362" i="5"/>
  <c r="D2362" i="5"/>
  <c r="C2362" i="5"/>
  <c r="B2362" i="5"/>
  <c r="E2361" i="5"/>
  <c r="D2361" i="5"/>
  <c r="C2361" i="5"/>
  <c r="B2361" i="5"/>
  <c r="E2360" i="5"/>
  <c r="D2360" i="5"/>
  <c r="C2360" i="5"/>
  <c r="B2360" i="5"/>
  <c r="E2359" i="5"/>
  <c r="D2359" i="5"/>
  <c r="C2359" i="5"/>
  <c r="B2359" i="5"/>
  <c r="E2358" i="5"/>
  <c r="D2358" i="5"/>
  <c r="C2358" i="5"/>
  <c r="B2358" i="5"/>
  <c r="E2357" i="5"/>
  <c r="D2357" i="5"/>
  <c r="C2357" i="5"/>
  <c r="B2357" i="5"/>
  <c r="E2356" i="5"/>
  <c r="D2356" i="5"/>
  <c r="C2356" i="5"/>
  <c r="B2356" i="5"/>
  <c r="E2355" i="5"/>
  <c r="D2355" i="5"/>
  <c r="C2355" i="5"/>
  <c r="B2355" i="5"/>
  <c r="E2354" i="5"/>
  <c r="D2354" i="5"/>
  <c r="C2354" i="5"/>
  <c r="B2354" i="5"/>
  <c r="E2353" i="5"/>
  <c r="D2353" i="5"/>
  <c r="C2353" i="5"/>
  <c r="B2353" i="5"/>
  <c r="E2352" i="5"/>
  <c r="D2352" i="5"/>
  <c r="C2352" i="5"/>
  <c r="B2352" i="5"/>
  <c r="E2351" i="5"/>
  <c r="D2351" i="5"/>
  <c r="C2351" i="5"/>
  <c r="B2351" i="5"/>
  <c r="E2350" i="5"/>
  <c r="D2350" i="5"/>
  <c r="C2350" i="5"/>
  <c r="B2350" i="5"/>
  <c r="E2349" i="5"/>
  <c r="D2349" i="5"/>
  <c r="C2349" i="5"/>
  <c r="B2349" i="5"/>
  <c r="E2348" i="5"/>
  <c r="D2348" i="5"/>
  <c r="C2348" i="5"/>
  <c r="B2348" i="5"/>
  <c r="E2347" i="5"/>
  <c r="D2347" i="5"/>
  <c r="C2347" i="5"/>
  <c r="B2347" i="5"/>
  <c r="E2346" i="5"/>
  <c r="D2346" i="5"/>
  <c r="C2346" i="5"/>
  <c r="B2346" i="5"/>
  <c r="E2345" i="5"/>
  <c r="D2345" i="5"/>
  <c r="C2345" i="5"/>
  <c r="B2345" i="5"/>
  <c r="E2344" i="5"/>
  <c r="D2344" i="5"/>
  <c r="C2344" i="5"/>
  <c r="B2344" i="5"/>
  <c r="E2343" i="5"/>
  <c r="D2343" i="5"/>
  <c r="C2343" i="5"/>
  <c r="B2343" i="5"/>
  <c r="E2342" i="5"/>
  <c r="D2342" i="5"/>
  <c r="C2342" i="5"/>
  <c r="B2342" i="5"/>
  <c r="E2341" i="5"/>
  <c r="D2341" i="5"/>
  <c r="C2341" i="5"/>
  <c r="B2341" i="5"/>
  <c r="E2340" i="5"/>
  <c r="D2340" i="5"/>
  <c r="C2340" i="5"/>
  <c r="B2340" i="5"/>
  <c r="E2339" i="5"/>
  <c r="D2339" i="5"/>
  <c r="C2339" i="5"/>
  <c r="B2339" i="5"/>
  <c r="E2338" i="5"/>
  <c r="D2338" i="5"/>
  <c r="C2338" i="5"/>
  <c r="B2338" i="5"/>
  <c r="E2337" i="5"/>
  <c r="D2337" i="5"/>
  <c r="C2337" i="5"/>
  <c r="B2337" i="5"/>
  <c r="E2336" i="5"/>
  <c r="D2336" i="5"/>
  <c r="C2336" i="5"/>
  <c r="B2336" i="5"/>
  <c r="E2335" i="5"/>
  <c r="D2335" i="5"/>
  <c r="C2335" i="5"/>
  <c r="B2335" i="5"/>
  <c r="E2334" i="5"/>
  <c r="D2334" i="5"/>
  <c r="C2334" i="5"/>
  <c r="B2334" i="5"/>
  <c r="E2333" i="5"/>
  <c r="D2333" i="5"/>
  <c r="C2333" i="5"/>
  <c r="B2333" i="5"/>
  <c r="E2332" i="5"/>
  <c r="D2332" i="5"/>
  <c r="C2332" i="5"/>
  <c r="B2332" i="5"/>
  <c r="E2331" i="5"/>
  <c r="D2331" i="5"/>
  <c r="C2331" i="5"/>
  <c r="B2331" i="5"/>
  <c r="E2330" i="5"/>
  <c r="D2330" i="5"/>
  <c r="C2330" i="5"/>
  <c r="B2330" i="5"/>
  <c r="E2329" i="5"/>
  <c r="D2329" i="5"/>
  <c r="C2329" i="5"/>
  <c r="B2329" i="5"/>
  <c r="E2328" i="5"/>
  <c r="D2328" i="5"/>
  <c r="C2328" i="5"/>
  <c r="B2328" i="5"/>
  <c r="E2327" i="5"/>
  <c r="D2327" i="5"/>
  <c r="C2327" i="5"/>
  <c r="B2327" i="5"/>
  <c r="E2326" i="5"/>
  <c r="D2326" i="5"/>
  <c r="C2326" i="5"/>
  <c r="B2326" i="5"/>
  <c r="E2325" i="5"/>
  <c r="D2325" i="5"/>
  <c r="C2325" i="5"/>
  <c r="B2325" i="5"/>
  <c r="E2324" i="5"/>
  <c r="D2324" i="5"/>
  <c r="C2324" i="5"/>
  <c r="B2324" i="5"/>
  <c r="E2323" i="5"/>
  <c r="D2323" i="5"/>
  <c r="C2323" i="5"/>
  <c r="B2323" i="5"/>
  <c r="E2322" i="5"/>
  <c r="D2322" i="5"/>
  <c r="C2322" i="5"/>
  <c r="B2322" i="5"/>
  <c r="E2321" i="5"/>
  <c r="D2321" i="5"/>
  <c r="C2321" i="5"/>
  <c r="B2321" i="5"/>
  <c r="E2320" i="5"/>
  <c r="D2320" i="5"/>
  <c r="C2320" i="5"/>
  <c r="B2320" i="5"/>
  <c r="E2319" i="5"/>
  <c r="D2319" i="5"/>
  <c r="C2319" i="5"/>
  <c r="B2319" i="5"/>
  <c r="E2318" i="5"/>
  <c r="D2318" i="5"/>
  <c r="C2318" i="5"/>
  <c r="B2318" i="5"/>
  <c r="E2317" i="5"/>
  <c r="D2317" i="5"/>
  <c r="C2317" i="5"/>
  <c r="B2317" i="5"/>
  <c r="E2316" i="5"/>
  <c r="D2316" i="5"/>
  <c r="C2316" i="5"/>
  <c r="B2316" i="5"/>
  <c r="E2315" i="5"/>
  <c r="D2315" i="5"/>
  <c r="C2315" i="5"/>
  <c r="B2315" i="5"/>
  <c r="E2314" i="5"/>
  <c r="D2314" i="5"/>
  <c r="C2314" i="5"/>
  <c r="B2314" i="5"/>
  <c r="E2313" i="5"/>
  <c r="D2313" i="5"/>
  <c r="C2313" i="5"/>
  <c r="B2313" i="5"/>
  <c r="E2312" i="5"/>
  <c r="D2312" i="5"/>
  <c r="C2312" i="5"/>
  <c r="B2312" i="5"/>
  <c r="E2311" i="5"/>
  <c r="D2311" i="5"/>
  <c r="C2311" i="5"/>
  <c r="B2311" i="5"/>
  <c r="E2310" i="5"/>
  <c r="D2310" i="5"/>
  <c r="C2310" i="5"/>
  <c r="B2310" i="5"/>
  <c r="E2309" i="5"/>
  <c r="D2309" i="5"/>
  <c r="C2309" i="5"/>
  <c r="B2309" i="5"/>
  <c r="E2308" i="5"/>
  <c r="D2308" i="5"/>
  <c r="C2308" i="5"/>
  <c r="B2308" i="5"/>
  <c r="E2307" i="5"/>
  <c r="D2307" i="5"/>
  <c r="C2307" i="5"/>
  <c r="B2307" i="5"/>
  <c r="E2306" i="5"/>
  <c r="D2306" i="5"/>
  <c r="C2306" i="5"/>
  <c r="B2306" i="5"/>
  <c r="E2305" i="5"/>
  <c r="D2305" i="5"/>
  <c r="C2305" i="5"/>
  <c r="B2305" i="5"/>
  <c r="E2304" i="5"/>
  <c r="D2304" i="5"/>
  <c r="C2304" i="5"/>
  <c r="B2304" i="5"/>
  <c r="E2303" i="5"/>
  <c r="D2303" i="5"/>
  <c r="C2303" i="5"/>
  <c r="B2303" i="5"/>
  <c r="E2302" i="5"/>
  <c r="D2302" i="5"/>
  <c r="C2302" i="5"/>
  <c r="B2302" i="5"/>
  <c r="E2301" i="5"/>
  <c r="D2301" i="5"/>
  <c r="C2301" i="5"/>
  <c r="B2301" i="5"/>
  <c r="E2300" i="5"/>
  <c r="D2300" i="5"/>
  <c r="C2300" i="5"/>
  <c r="B2300" i="5"/>
  <c r="E2299" i="5"/>
  <c r="D2299" i="5"/>
  <c r="C2299" i="5"/>
  <c r="B2299" i="5"/>
  <c r="E2298" i="5"/>
  <c r="D2298" i="5"/>
  <c r="C2298" i="5"/>
  <c r="B2298" i="5"/>
  <c r="E2297" i="5"/>
  <c r="D2297" i="5"/>
  <c r="C2297" i="5"/>
  <c r="B2297" i="5"/>
  <c r="E2296" i="5"/>
  <c r="D2296" i="5"/>
  <c r="C2296" i="5"/>
  <c r="B2296" i="5"/>
  <c r="E2295" i="5"/>
  <c r="D2295" i="5"/>
  <c r="C2295" i="5"/>
  <c r="B2295" i="5"/>
  <c r="E2294" i="5"/>
  <c r="D2294" i="5"/>
  <c r="C2294" i="5"/>
  <c r="B2294" i="5"/>
  <c r="E2293" i="5"/>
  <c r="D2293" i="5"/>
  <c r="C2293" i="5"/>
  <c r="B2293" i="5"/>
  <c r="E2292" i="5"/>
  <c r="D2292" i="5"/>
  <c r="C2292" i="5"/>
  <c r="B2292" i="5"/>
  <c r="E2291" i="5"/>
  <c r="D2291" i="5"/>
  <c r="C2291" i="5"/>
  <c r="B2291" i="5"/>
  <c r="E2290" i="5"/>
  <c r="D2290" i="5"/>
  <c r="C2290" i="5"/>
  <c r="B2290" i="5"/>
  <c r="E2289" i="5"/>
  <c r="D2289" i="5"/>
  <c r="C2289" i="5"/>
  <c r="B2289" i="5"/>
  <c r="E2288" i="5"/>
  <c r="D2288" i="5"/>
  <c r="C2288" i="5"/>
  <c r="B2288" i="5"/>
  <c r="E2287" i="5"/>
  <c r="D2287" i="5"/>
  <c r="C2287" i="5"/>
  <c r="B2287" i="5"/>
  <c r="E2286" i="5"/>
  <c r="D2286" i="5"/>
  <c r="C2286" i="5"/>
  <c r="B2286" i="5"/>
  <c r="E2285" i="5"/>
  <c r="D2285" i="5"/>
  <c r="C2285" i="5"/>
  <c r="B2285" i="5"/>
  <c r="E2284" i="5"/>
  <c r="D2284" i="5"/>
  <c r="C2284" i="5"/>
  <c r="B2284" i="5"/>
  <c r="E2283" i="5"/>
  <c r="D2283" i="5"/>
  <c r="C2283" i="5"/>
  <c r="B2283" i="5"/>
  <c r="E2282" i="5"/>
  <c r="D2282" i="5"/>
  <c r="C2282" i="5"/>
  <c r="B2282" i="5"/>
  <c r="E2281" i="5"/>
  <c r="D2281" i="5"/>
  <c r="C2281" i="5"/>
  <c r="B2281" i="5"/>
  <c r="E2280" i="5"/>
  <c r="D2280" i="5"/>
  <c r="C2280" i="5"/>
  <c r="B2280" i="5"/>
  <c r="E2279" i="5"/>
  <c r="D2279" i="5"/>
  <c r="C2279" i="5"/>
  <c r="B2279" i="5"/>
  <c r="E2278" i="5"/>
  <c r="D2278" i="5"/>
  <c r="C2278" i="5"/>
  <c r="B2278" i="5"/>
  <c r="E2277" i="5"/>
  <c r="D2277" i="5"/>
  <c r="C2277" i="5"/>
  <c r="B2277" i="5"/>
  <c r="E2276" i="5"/>
  <c r="D2276" i="5"/>
  <c r="C2276" i="5"/>
  <c r="B2276" i="5"/>
  <c r="E2275" i="5"/>
  <c r="D2275" i="5"/>
  <c r="C2275" i="5"/>
  <c r="B2275" i="5"/>
  <c r="E2274" i="5"/>
  <c r="D2274" i="5"/>
  <c r="C2274" i="5"/>
  <c r="B2274" i="5"/>
  <c r="E2273" i="5"/>
  <c r="D2273" i="5"/>
  <c r="C2273" i="5"/>
  <c r="B2273" i="5"/>
  <c r="E2272" i="5"/>
  <c r="D2272" i="5"/>
  <c r="C2272" i="5"/>
  <c r="B2272" i="5"/>
  <c r="E2271" i="5"/>
  <c r="D2271" i="5"/>
  <c r="C2271" i="5"/>
  <c r="B2271" i="5"/>
  <c r="E2270" i="5"/>
  <c r="D2270" i="5"/>
  <c r="C2270" i="5"/>
  <c r="B2270" i="5"/>
  <c r="E2269" i="5"/>
  <c r="D2269" i="5"/>
  <c r="C2269" i="5"/>
  <c r="B2269" i="5"/>
  <c r="E2268" i="5"/>
  <c r="D2268" i="5"/>
  <c r="C2268" i="5"/>
  <c r="B2268" i="5"/>
  <c r="E2267" i="5"/>
  <c r="D2267" i="5"/>
  <c r="C2267" i="5"/>
  <c r="B2267" i="5"/>
  <c r="E2266" i="5"/>
  <c r="D2266" i="5"/>
  <c r="C2266" i="5"/>
  <c r="B2266" i="5"/>
  <c r="E2265" i="5"/>
  <c r="D2265" i="5"/>
  <c r="C2265" i="5"/>
  <c r="B2265" i="5"/>
  <c r="E2264" i="5"/>
  <c r="D2264" i="5"/>
  <c r="C2264" i="5"/>
  <c r="B2264" i="5"/>
  <c r="E2263" i="5"/>
  <c r="D2263" i="5"/>
  <c r="C2263" i="5"/>
  <c r="B2263" i="5"/>
  <c r="E2262" i="5"/>
  <c r="D2262" i="5"/>
  <c r="C2262" i="5"/>
  <c r="B2262" i="5"/>
  <c r="E2261" i="5"/>
  <c r="D2261" i="5"/>
  <c r="C2261" i="5"/>
  <c r="B2261" i="5"/>
  <c r="E2260" i="5"/>
  <c r="D2260" i="5"/>
  <c r="C2260" i="5"/>
  <c r="B2260" i="5"/>
  <c r="E2259" i="5"/>
  <c r="D2259" i="5"/>
  <c r="C2259" i="5"/>
  <c r="B2259" i="5"/>
  <c r="E2258" i="5"/>
  <c r="D2258" i="5"/>
  <c r="C2258" i="5"/>
  <c r="B2258" i="5"/>
  <c r="E2257" i="5"/>
  <c r="D2257" i="5"/>
  <c r="C2257" i="5"/>
  <c r="B2257" i="5"/>
  <c r="E2256" i="5"/>
  <c r="D2256" i="5"/>
  <c r="C2256" i="5"/>
  <c r="B2256" i="5"/>
  <c r="E2255" i="5"/>
  <c r="D2255" i="5"/>
  <c r="C2255" i="5"/>
  <c r="B2255" i="5"/>
  <c r="E2254" i="5"/>
  <c r="D2254" i="5"/>
  <c r="C2254" i="5"/>
  <c r="B2254" i="5"/>
  <c r="E2253" i="5"/>
  <c r="D2253" i="5"/>
  <c r="C2253" i="5"/>
  <c r="B2253" i="5"/>
  <c r="E2252" i="5"/>
  <c r="D2252" i="5"/>
  <c r="C2252" i="5"/>
  <c r="B2252" i="5"/>
  <c r="E2251" i="5"/>
  <c r="D2251" i="5"/>
  <c r="C2251" i="5"/>
  <c r="B2251" i="5"/>
  <c r="E2250" i="5"/>
  <c r="D2250" i="5"/>
  <c r="C2250" i="5"/>
  <c r="B2250" i="5"/>
  <c r="E2249" i="5"/>
  <c r="D2249" i="5"/>
  <c r="C2249" i="5"/>
  <c r="B2249" i="5"/>
  <c r="E2248" i="5"/>
  <c r="D2248" i="5"/>
  <c r="C2248" i="5"/>
  <c r="B2248" i="5"/>
  <c r="E2247" i="5"/>
  <c r="D2247" i="5"/>
  <c r="C2247" i="5"/>
  <c r="B2247" i="5"/>
  <c r="E2246" i="5"/>
  <c r="D2246" i="5"/>
  <c r="C2246" i="5"/>
  <c r="B2246" i="5"/>
  <c r="E2245" i="5"/>
  <c r="D2245" i="5"/>
  <c r="C2245" i="5"/>
  <c r="B2245" i="5"/>
  <c r="E2244" i="5"/>
  <c r="D2244" i="5"/>
  <c r="C2244" i="5"/>
  <c r="B2244" i="5"/>
  <c r="E2243" i="5"/>
  <c r="D2243" i="5"/>
  <c r="C2243" i="5"/>
  <c r="B2243" i="5"/>
  <c r="E2242" i="5"/>
  <c r="D2242" i="5"/>
  <c r="C2242" i="5"/>
  <c r="B2242" i="5"/>
  <c r="E2241" i="5"/>
  <c r="D2241" i="5"/>
  <c r="C2241" i="5"/>
  <c r="B2241" i="5"/>
  <c r="E2240" i="5"/>
  <c r="D2240" i="5"/>
  <c r="C2240" i="5"/>
  <c r="B2240" i="5"/>
  <c r="E2239" i="5"/>
  <c r="D2239" i="5"/>
  <c r="C2239" i="5"/>
  <c r="B2239" i="5"/>
  <c r="E2238" i="5"/>
  <c r="D2238" i="5"/>
  <c r="C2238" i="5"/>
  <c r="B2238" i="5"/>
  <c r="E2237" i="5"/>
  <c r="D2237" i="5"/>
  <c r="C2237" i="5"/>
  <c r="B2237" i="5"/>
  <c r="E2236" i="5"/>
  <c r="D2236" i="5"/>
  <c r="C2236" i="5"/>
  <c r="B2236" i="5"/>
  <c r="E2235" i="5"/>
  <c r="D2235" i="5"/>
  <c r="C2235" i="5"/>
  <c r="B2235" i="5"/>
  <c r="E2234" i="5"/>
  <c r="D2234" i="5"/>
  <c r="C2234" i="5"/>
  <c r="B2234" i="5"/>
  <c r="E2233" i="5"/>
  <c r="D2233" i="5"/>
  <c r="C2233" i="5"/>
  <c r="B2233" i="5"/>
  <c r="E2232" i="5"/>
  <c r="D2232" i="5"/>
  <c r="C2232" i="5"/>
  <c r="B2232" i="5"/>
  <c r="E2231" i="5"/>
  <c r="D2231" i="5"/>
  <c r="C2231" i="5"/>
  <c r="B2231" i="5"/>
  <c r="E2230" i="5"/>
  <c r="D2230" i="5"/>
  <c r="C2230" i="5"/>
  <c r="B2230" i="5"/>
  <c r="E2229" i="5"/>
  <c r="D2229" i="5"/>
  <c r="C2229" i="5"/>
  <c r="B2229" i="5"/>
  <c r="E2228" i="5"/>
  <c r="D2228" i="5"/>
  <c r="C2228" i="5"/>
  <c r="B2228" i="5"/>
  <c r="E2227" i="5"/>
  <c r="D2227" i="5"/>
  <c r="C2227" i="5"/>
  <c r="B2227" i="5"/>
  <c r="E2226" i="5"/>
  <c r="D2226" i="5"/>
  <c r="C2226" i="5"/>
  <c r="B2226" i="5"/>
  <c r="E2225" i="5"/>
  <c r="D2225" i="5"/>
  <c r="C2225" i="5"/>
  <c r="B2225" i="5"/>
  <c r="E2224" i="5"/>
  <c r="D2224" i="5"/>
  <c r="C2224" i="5"/>
  <c r="B2224" i="5"/>
  <c r="E2223" i="5"/>
  <c r="D2223" i="5"/>
  <c r="C2223" i="5"/>
  <c r="B2223" i="5"/>
  <c r="E2222" i="5"/>
  <c r="D2222" i="5"/>
  <c r="C2222" i="5"/>
  <c r="B2222" i="5"/>
  <c r="E2221" i="5"/>
  <c r="D2221" i="5"/>
  <c r="C2221" i="5"/>
  <c r="B2221" i="5"/>
  <c r="E2220" i="5"/>
  <c r="D2220" i="5"/>
  <c r="C2220" i="5"/>
  <c r="B2220" i="5"/>
  <c r="E2219" i="5"/>
  <c r="D2219" i="5"/>
  <c r="C2219" i="5"/>
  <c r="B2219" i="5"/>
  <c r="E2218" i="5"/>
  <c r="D2218" i="5"/>
  <c r="C2218" i="5"/>
  <c r="B2218" i="5"/>
  <c r="E2217" i="5"/>
  <c r="D2217" i="5"/>
  <c r="C2217" i="5"/>
  <c r="B2217" i="5"/>
  <c r="E2216" i="5"/>
  <c r="D2216" i="5"/>
  <c r="C2216" i="5"/>
  <c r="B2216" i="5"/>
  <c r="E2215" i="5"/>
  <c r="D2215" i="5"/>
  <c r="C2215" i="5"/>
  <c r="B2215" i="5"/>
  <c r="E2214" i="5"/>
  <c r="D2214" i="5"/>
  <c r="C2214" i="5"/>
  <c r="B2214" i="5"/>
  <c r="E2213" i="5"/>
  <c r="D2213" i="5"/>
  <c r="C2213" i="5"/>
  <c r="B2213" i="5"/>
  <c r="E2212" i="5"/>
  <c r="D2212" i="5"/>
  <c r="C2212" i="5"/>
  <c r="B2212" i="5"/>
  <c r="E2211" i="5"/>
  <c r="D2211" i="5"/>
  <c r="C2211" i="5"/>
  <c r="B2211" i="5"/>
  <c r="E2210" i="5"/>
  <c r="D2210" i="5"/>
  <c r="C2210" i="5"/>
  <c r="B2210" i="5"/>
  <c r="E2209" i="5"/>
  <c r="D2209" i="5"/>
  <c r="C2209" i="5"/>
  <c r="B2209" i="5"/>
  <c r="E2208" i="5"/>
  <c r="D2208" i="5"/>
  <c r="C2208" i="5"/>
  <c r="B2208" i="5"/>
  <c r="E2207" i="5"/>
  <c r="D2207" i="5"/>
  <c r="C2207" i="5"/>
  <c r="B2207" i="5"/>
  <c r="E2206" i="5"/>
  <c r="D2206" i="5"/>
  <c r="C2206" i="5"/>
  <c r="B2206" i="5"/>
  <c r="E2205" i="5"/>
  <c r="D2205" i="5"/>
  <c r="C2205" i="5"/>
  <c r="B2205" i="5"/>
  <c r="E2204" i="5"/>
  <c r="D2204" i="5"/>
  <c r="C2204" i="5"/>
  <c r="B2204" i="5"/>
  <c r="E2203" i="5"/>
  <c r="D2203" i="5"/>
  <c r="C2203" i="5"/>
  <c r="B2203" i="5"/>
  <c r="E2202" i="5"/>
  <c r="D2202" i="5"/>
  <c r="C2202" i="5"/>
  <c r="B2202" i="5"/>
  <c r="E2201" i="5"/>
  <c r="D2201" i="5"/>
  <c r="C2201" i="5"/>
  <c r="B2201" i="5"/>
  <c r="E2200" i="5"/>
  <c r="D2200" i="5"/>
  <c r="C2200" i="5"/>
  <c r="B2200" i="5"/>
  <c r="E2199" i="5"/>
  <c r="D2199" i="5"/>
  <c r="C2199" i="5"/>
  <c r="B2199" i="5"/>
  <c r="E2198" i="5"/>
  <c r="D2198" i="5"/>
  <c r="C2198" i="5"/>
  <c r="B2198" i="5"/>
  <c r="E2197" i="5"/>
  <c r="D2197" i="5"/>
  <c r="C2197" i="5"/>
  <c r="B2197" i="5"/>
  <c r="E2196" i="5"/>
  <c r="D2196" i="5"/>
  <c r="C2196" i="5"/>
  <c r="B2196" i="5"/>
  <c r="E2195" i="5"/>
  <c r="D2195" i="5"/>
  <c r="C2195" i="5"/>
  <c r="B2195" i="5"/>
  <c r="E2194" i="5"/>
  <c r="D2194" i="5"/>
  <c r="C2194" i="5"/>
  <c r="B2194" i="5"/>
  <c r="E2193" i="5"/>
  <c r="D2193" i="5"/>
  <c r="C2193" i="5"/>
  <c r="B2193" i="5"/>
  <c r="E2192" i="5"/>
  <c r="D2192" i="5"/>
  <c r="C2192" i="5"/>
  <c r="B2192" i="5"/>
  <c r="E2191" i="5"/>
  <c r="D2191" i="5"/>
  <c r="C2191" i="5"/>
  <c r="B2191" i="5"/>
  <c r="E2190" i="5"/>
  <c r="D2190" i="5"/>
  <c r="C2190" i="5"/>
  <c r="B2190" i="5"/>
  <c r="E2189" i="5"/>
  <c r="D2189" i="5"/>
  <c r="C2189" i="5"/>
  <c r="B2189" i="5"/>
  <c r="E2188" i="5"/>
  <c r="D2188" i="5"/>
  <c r="C2188" i="5"/>
  <c r="B2188" i="5"/>
  <c r="E2187" i="5"/>
  <c r="D2187" i="5"/>
  <c r="C2187" i="5"/>
  <c r="B2187" i="5"/>
  <c r="E2186" i="5"/>
  <c r="D2186" i="5"/>
  <c r="C2186" i="5"/>
  <c r="B2186" i="5"/>
  <c r="E2185" i="5"/>
  <c r="D2185" i="5"/>
  <c r="C2185" i="5"/>
  <c r="B2185" i="5"/>
  <c r="E2184" i="5"/>
  <c r="D2184" i="5"/>
  <c r="C2184" i="5"/>
  <c r="B2184" i="5"/>
  <c r="E2183" i="5"/>
  <c r="D2183" i="5"/>
  <c r="C2183" i="5"/>
  <c r="B2183" i="5"/>
  <c r="E2182" i="5"/>
  <c r="D2182" i="5"/>
  <c r="C2182" i="5"/>
  <c r="B2182" i="5"/>
  <c r="E2181" i="5"/>
  <c r="D2181" i="5"/>
  <c r="C2181" i="5"/>
  <c r="B2181" i="5"/>
  <c r="E2180" i="5"/>
  <c r="D2180" i="5"/>
  <c r="C2180" i="5"/>
  <c r="B2180" i="5"/>
  <c r="E2179" i="5"/>
  <c r="D2179" i="5"/>
  <c r="C2179" i="5"/>
  <c r="B2179" i="5"/>
  <c r="E2178" i="5"/>
  <c r="D2178" i="5"/>
  <c r="C2178" i="5"/>
  <c r="B2178" i="5"/>
  <c r="E2177" i="5"/>
  <c r="D2177" i="5"/>
  <c r="C2177" i="5"/>
  <c r="B2177" i="5"/>
  <c r="E2176" i="5"/>
  <c r="D2176" i="5"/>
  <c r="C2176" i="5"/>
  <c r="B2176" i="5"/>
  <c r="E2175" i="5"/>
  <c r="D2175" i="5"/>
  <c r="C2175" i="5"/>
  <c r="B2175" i="5"/>
  <c r="E2174" i="5"/>
  <c r="D2174" i="5"/>
  <c r="C2174" i="5"/>
  <c r="B2174" i="5"/>
  <c r="E2173" i="5"/>
  <c r="D2173" i="5"/>
  <c r="C2173" i="5"/>
  <c r="B2173" i="5"/>
  <c r="E2172" i="5"/>
  <c r="D2172" i="5"/>
  <c r="C2172" i="5"/>
  <c r="B2172" i="5"/>
  <c r="E2171" i="5"/>
  <c r="D2171" i="5"/>
  <c r="C2171" i="5"/>
  <c r="B2171" i="5"/>
  <c r="E2170" i="5"/>
  <c r="D2170" i="5"/>
  <c r="C2170" i="5"/>
  <c r="B2170" i="5"/>
  <c r="E2169" i="5"/>
  <c r="D2169" i="5"/>
  <c r="C2169" i="5"/>
  <c r="B2169" i="5"/>
  <c r="E2168" i="5"/>
  <c r="D2168" i="5"/>
  <c r="C2168" i="5"/>
  <c r="B2168" i="5"/>
  <c r="E2167" i="5"/>
  <c r="D2167" i="5"/>
  <c r="C2167" i="5"/>
  <c r="B2167" i="5"/>
  <c r="E2166" i="5"/>
  <c r="D2166" i="5"/>
  <c r="C2166" i="5"/>
  <c r="B2166" i="5"/>
  <c r="E2165" i="5"/>
  <c r="D2165" i="5"/>
  <c r="C2165" i="5"/>
  <c r="B2165" i="5"/>
  <c r="E2164" i="5"/>
  <c r="D2164" i="5"/>
  <c r="C2164" i="5"/>
  <c r="B2164" i="5"/>
  <c r="E2163" i="5"/>
  <c r="D2163" i="5"/>
  <c r="C2163" i="5"/>
  <c r="B2163" i="5"/>
  <c r="E2162" i="5"/>
  <c r="D2162" i="5"/>
  <c r="C2162" i="5"/>
  <c r="B2162" i="5"/>
  <c r="E2161" i="5"/>
  <c r="D2161" i="5"/>
  <c r="C2161" i="5"/>
  <c r="B2161" i="5"/>
  <c r="E2160" i="5"/>
  <c r="D2160" i="5"/>
  <c r="C2160" i="5"/>
  <c r="B2160" i="5"/>
  <c r="E2159" i="5"/>
  <c r="D2159" i="5"/>
  <c r="C2159" i="5"/>
  <c r="B2159" i="5"/>
  <c r="E2158" i="5"/>
  <c r="D2158" i="5"/>
  <c r="C2158" i="5"/>
  <c r="B2158" i="5"/>
  <c r="E2157" i="5"/>
  <c r="D2157" i="5"/>
  <c r="C2157" i="5"/>
  <c r="B2157" i="5"/>
  <c r="E2156" i="5"/>
  <c r="D2156" i="5"/>
  <c r="C2156" i="5"/>
  <c r="B2156" i="5"/>
  <c r="E2155" i="5"/>
  <c r="D2155" i="5"/>
  <c r="C2155" i="5"/>
  <c r="B2155" i="5"/>
  <c r="E2154" i="5"/>
  <c r="D2154" i="5"/>
  <c r="C2154" i="5"/>
  <c r="B2154" i="5"/>
  <c r="E2153" i="5"/>
  <c r="D2153" i="5"/>
  <c r="C2153" i="5"/>
  <c r="B2153" i="5"/>
  <c r="E2152" i="5"/>
  <c r="D2152" i="5"/>
  <c r="C2152" i="5"/>
  <c r="B2152" i="5"/>
  <c r="E2151" i="5"/>
  <c r="D2151" i="5"/>
  <c r="C2151" i="5"/>
  <c r="B2151" i="5"/>
  <c r="E2150" i="5"/>
  <c r="D2150" i="5"/>
  <c r="C2150" i="5"/>
  <c r="B2150" i="5"/>
  <c r="E2149" i="5"/>
  <c r="D2149" i="5"/>
  <c r="C2149" i="5"/>
  <c r="B2149" i="5"/>
  <c r="E2148" i="5"/>
  <c r="D2148" i="5"/>
  <c r="C2148" i="5"/>
  <c r="B2148" i="5"/>
  <c r="E2147" i="5"/>
  <c r="D2147" i="5"/>
  <c r="C2147" i="5"/>
  <c r="B2147" i="5"/>
  <c r="E2146" i="5"/>
  <c r="D2146" i="5"/>
  <c r="C2146" i="5"/>
  <c r="B2146" i="5"/>
  <c r="E2145" i="5"/>
  <c r="D2145" i="5"/>
  <c r="C2145" i="5"/>
  <c r="B2145" i="5"/>
  <c r="E2144" i="5"/>
  <c r="D2144" i="5"/>
  <c r="C2144" i="5"/>
  <c r="B2144" i="5"/>
  <c r="E2143" i="5"/>
  <c r="D2143" i="5"/>
  <c r="C2143" i="5"/>
  <c r="B2143" i="5"/>
  <c r="E2142" i="5"/>
  <c r="D2142" i="5"/>
  <c r="C2142" i="5"/>
  <c r="B2142" i="5"/>
  <c r="E2141" i="5"/>
  <c r="D2141" i="5"/>
  <c r="C2141" i="5"/>
  <c r="B2141" i="5"/>
  <c r="E2140" i="5"/>
  <c r="D2140" i="5"/>
  <c r="C2140" i="5"/>
  <c r="B2140" i="5"/>
  <c r="E2139" i="5"/>
  <c r="D2139" i="5"/>
  <c r="C2139" i="5"/>
  <c r="B2139" i="5"/>
  <c r="E2138" i="5"/>
  <c r="D2138" i="5"/>
  <c r="C2138" i="5"/>
  <c r="B2138" i="5"/>
  <c r="E2137" i="5"/>
  <c r="D2137" i="5"/>
  <c r="C2137" i="5"/>
  <c r="B2137" i="5"/>
  <c r="E2136" i="5"/>
  <c r="D2136" i="5"/>
  <c r="C2136" i="5"/>
  <c r="B2136" i="5"/>
  <c r="E2135" i="5"/>
  <c r="D2135" i="5"/>
  <c r="C2135" i="5"/>
  <c r="B2135" i="5"/>
  <c r="E2134" i="5"/>
  <c r="D2134" i="5"/>
  <c r="C2134" i="5"/>
  <c r="B2134" i="5"/>
  <c r="E2133" i="5"/>
  <c r="D2133" i="5"/>
  <c r="C2133" i="5"/>
  <c r="B2133" i="5"/>
  <c r="E2132" i="5"/>
  <c r="D2132" i="5"/>
  <c r="C2132" i="5"/>
  <c r="B2132" i="5"/>
  <c r="E2131" i="5"/>
  <c r="D2131" i="5"/>
  <c r="C2131" i="5"/>
  <c r="B2131" i="5"/>
  <c r="E2130" i="5"/>
  <c r="D2130" i="5"/>
  <c r="C2130" i="5"/>
  <c r="B2130" i="5"/>
  <c r="E2129" i="5"/>
  <c r="D2129" i="5"/>
  <c r="C2129" i="5"/>
  <c r="B2129" i="5"/>
  <c r="E2128" i="5"/>
  <c r="D2128" i="5"/>
  <c r="C2128" i="5"/>
  <c r="B2128" i="5"/>
  <c r="E2127" i="5"/>
  <c r="D2127" i="5"/>
  <c r="C2127" i="5"/>
  <c r="B2127" i="5"/>
  <c r="E2126" i="5"/>
  <c r="D2126" i="5"/>
  <c r="C2126" i="5"/>
  <c r="B2126" i="5"/>
  <c r="E2125" i="5"/>
  <c r="D2125" i="5"/>
  <c r="C2125" i="5"/>
  <c r="B2125" i="5"/>
  <c r="E2124" i="5"/>
  <c r="D2124" i="5"/>
  <c r="C2124" i="5"/>
  <c r="B2124" i="5"/>
  <c r="E2123" i="5"/>
  <c r="D2123" i="5"/>
  <c r="C2123" i="5"/>
  <c r="B2123" i="5"/>
  <c r="E2122" i="5"/>
  <c r="D2122" i="5"/>
  <c r="C2122" i="5"/>
  <c r="B2122" i="5"/>
  <c r="E2121" i="5"/>
  <c r="D2121" i="5"/>
  <c r="C2121" i="5"/>
  <c r="B2121" i="5"/>
  <c r="E2120" i="5"/>
  <c r="D2120" i="5"/>
  <c r="C2120" i="5"/>
  <c r="B2120" i="5"/>
  <c r="E2119" i="5"/>
  <c r="D2119" i="5"/>
  <c r="C2119" i="5"/>
  <c r="B2119" i="5"/>
  <c r="E2118" i="5"/>
  <c r="D2118" i="5"/>
  <c r="C2118" i="5"/>
  <c r="B2118" i="5"/>
  <c r="E2117" i="5"/>
  <c r="D2117" i="5"/>
  <c r="C2117" i="5"/>
  <c r="B2117" i="5"/>
  <c r="E2116" i="5"/>
  <c r="D2116" i="5"/>
  <c r="C2116" i="5"/>
  <c r="B2116" i="5"/>
  <c r="E2115" i="5"/>
  <c r="D2115" i="5"/>
  <c r="C2115" i="5"/>
  <c r="B2115" i="5"/>
  <c r="E2114" i="5"/>
  <c r="D2114" i="5"/>
  <c r="C2114" i="5"/>
  <c r="B2114" i="5"/>
  <c r="E2113" i="5"/>
  <c r="D2113" i="5"/>
  <c r="C2113" i="5"/>
  <c r="B2113" i="5"/>
  <c r="E2112" i="5"/>
  <c r="D2112" i="5"/>
  <c r="C2112" i="5"/>
  <c r="B2112" i="5"/>
  <c r="E2111" i="5"/>
  <c r="D2111" i="5"/>
  <c r="C2111" i="5"/>
  <c r="B2111" i="5"/>
  <c r="E2110" i="5"/>
  <c r="D2110" i="5"/>
  <c r="C2110" i="5"/>
  <c r="B2110" i="5"/>
  <c r="E2109" i="5"/>
  <c r="D2109" i="5"/>
  <c r="C2109" i="5"/>
  <c r="B2109" i="5"/>
  <c r="E2108" i="5"/>
  <c r="D2108" i="5"/>
  <c r="C2108" i="5"/>
  <c r="B2108" i="5"/>
  <c r="E2107" i="5"/>
  <c r="D2107" i="5"/>
  <c r="C2107" i="5"/>
  <c r="B2107" i="5"/>
  <c r="E2106" i="5"/>
  <c r="D2106" i="5"/>
  <c r="C2106" i="5"/>
  <c r="B2106" i="5"/>
  <c r="E2105" i="5"/>
  <c r="D2105" i="5"/>
  <c r="C2105" i="5"/>
  <c r="B2105" i="5"/>
  <c r="E2104" i="5"/>
  <c r="D2104" i="5"/>
  <c r="C2104" i="5"/>
  <c r="B2104" i="5"/>
  <c r="E2103" i="5"/>
  <c r="D2103" i="5"/>
  <c r="C2103" i="5"/>
  <c r="B2103" i="5"/>
  <c r="E2102" i="5"/>
  <c r="D2102" i="5"/>
  <c r="C2102" i="5"/>
  <c r="B2102" i="5"/>
  <c r="E2101" i="5"/>
  <c r="D2101" i="5"/>
  <c r="C2101" i="5"/>
  <c r="B2101" i="5"/>
  <c r="E2100" i="5"/>
  <c r="D2100" i="5"/>
  <c r="C2100" i="5"/>
  <c r="B2100" i="5"/>
  <c r="E2099" i="5"/>
  <c r="D2099" i="5"/>
  <c r="C2099" i="5"/>
  <c r="B2099" i="5"/>
  <c r="E2098" i="5"/>
  <c r="D2098" i="5"/>
  <c r="C2098" i="5"/>
  <c r="B2098" i="5"/>
  <c r="E2097" i="5"/>
  <c r="D2097" i="5"/>
  <c r="C2097" i="5"/>
  <c r="B2097" i="5"/>
  <c r="E2096" i="5"/>
  <c r="D2096" i="5"/>
  <c r="C2096" i="5"/>
  <c r="B2096" i="5"/>
  <c r="E2095" i="5"/>
  <c r="D2095" i="5"/>
  <c r="C2095" i="5"/>
  <c r="B2095" i="5"/>
  <c r="E2094" i="5"/>
  <c r="D2094" i="5"/>
  <c r="C2094" i="5"/>
  <c r="B2094" i="5"/>
  <c r="E2093" i="5"/>
  <c r="D2093" i="5"/>
  <c r="C2093" i="5"/>
  <c r="B2093" i="5"/>
  <c r="E2092" i="5"/>
  <c r="D2092" i="5"/>
  <c r="C2092" i="5"/>
  <c r="B2092" i="5"/>
  <c r="E2091" i="5"/>
  <c r="D2091" i="5"/>
  <c r="C2091" i="5"/>
  <c r="B2091" i="5"/>
  <c r="E2090" i="5"/>
  <c r="D2090" i="5"/>
  <c r="C2090" i="5"/>
  <c r="B2090" i="5"/>
  <c r="E2089" i="5"/>
  <c r="D2089" i="5"/>
  <c r="C2089" i="5"/>
  <c r="B2089" i="5"/>
  <c r="E2088" i="5"/>
  <c r="D2088" i="5"/>
  <c r="C2088" i="5"/>
  <c r="B2088" i="5"/>
  <c r="E2087" i="5"/>
  <c r="D2087" i="5"/>
  <c r="C2087" i="5"/>
  <c r="B2087" i="5"/>
  <c r="E2086" i="5"/>
  <c r="D2086" i="5"/>
  <c r="C2086" i="5"/>
  <c r="B2086" i="5"/>
  <c r="E2085" i="5"/>
  <c r="D2085" i="5"/>
  <c r="C2085" i="5"/>
  <c r="B2085" i="5"/>
  <c r="E2084" i="5"/>
  <c r="D2084" i="5"/>
  <c r="C2084" i="5"/>
  <c r="B2084" i="5"/>
  <c r="E2083" i="5"/>
  <c r="D2083" i="5"/>
  <c r="C2083" i="5"/>
  <c r="B2083" i="5"/>
  <c r="E2082" i="5"/>
  <c r="D2082" i="5"/>
  <c r="C2082" i="5"/>
  <c r="B2082" i="5"/>
  <c r="E2081" i="5"/>
  <c r="D2081" i="5"/>
  <c r="C2081" i="5"/>
  <c r="B2081" i="5"/>
  <c r="E2080" i="5"/>
  <c r="D2080" i="5"/>
  <c r="C2080" i="5"/>
  <c r="B2080" i="5"/>
  <c r="E2079" i="5"/>
  <c r="D2079" i="5"/>
  <c r="C2079" i="5"/>
  <c r="B2079" i="5"/>
  <c r="E2078" i="5"/>
  <c r="D2078" i="5"/>
  <c r="C2078" i="5"/>
  <c r="B2078" i="5"/>
  <c r="E2077" i="5"/>
  <c r="D2077" i="5"/>
  <c r="C2077" i="5"/>
  <c r="B2077" i="5"/>
  <c r="E2076" i="5"/>
  <c r="D2076" i="5"/>
  <c r="C2076" i="5"/>
  <c r="B2076" i="5"/>
  <c r="E2075" i="5"/>
  <c r="D2075" i="5"/>
  <c r="C2075" i="5"/>
  <c r="B2075" i="5"/>
  <c r="E2074" i="5"/>
  <c r="D2074" i="5"/>
  <c r="C2074" i="5"/>
  <c r="B2074" i="5"/>
  <c r="E2073" i="5"/>
  <c r="D2073" i="5"/>
  <c r="C2073" i="5"/>
  <c r="B2073" i="5"/>
  <c r="E2072" i="5"/>
  <c r="D2072" i="5"/>
  <c r="C2072" i="5"/>
  <c r="B2072" i="5"/>
  <c r="E2071" i="5"/>
  <c r="D2071" i="5"/>
  <c r="C2071" i="5"/>
  <c r="B2071" i="5"/>
  <c r="E2070" i="5"/>
  <c r="D2070" i="5"/>
  <c r="C2070" i="5"/>
  <c r="B2070" i="5"/>
  <c r="E2069" i="5"/>
  <c r="D2069" i="5"/>
  <c r="C2069" i="5"/>
  <c r="B2069" i="5"/>
  <c r="E2068" i="5"/>
  <c r="D2068" i="5"/>
  <c r="C2068" i="5"/>
  <c r="B2068" i="5"/>
  <c r="E2067" i="5"/>
  <c r="D2067" i="5"/>
  <c r="C2067" i="5"/>
  <c r="B2067" i="5"/>
  <c r="E2066" i="5"/>
  <c r="D2066" i="5"/>
  <c r="C2066" i="5"/>
  <c r="B2066" i="5"/>
  <c r="E2065" i="5"/>
  <c r="D2065" i="5"/>
  <c r="C2065" i="5"/>
  <c r="B2065" i="5"/>
  <c r="E2064" i="5"/>
  <c r="D2064" i="5"/>
  <c r="C2064" i="5"/>
  <c r="B2064" i="5"/>
  <c r="E2063" i="5"/>
  <c r="D2063" i="5"/>
  <c r="C2063" i="5"/>
  <c r="B2063" i="5"/>
  <c r="E2062" i="5"/>
  <c r="D2062" i="5"/>
  <c r="C2062" i="5"/>
  <c r="B2062" i="5"/>
  <c r="E2061" i="5"/>
  <c r="D2061" i="5"/>
  <c r="C2061" i="5"/>
  <c r="B2061" i="5"/>
  <c r="E2060" i="5"/>
  <c r="D2060" i="5"/>
  <c r="C2060" i="5"/>
  <c r="B2060" i="5"/>
  <c r="E2059" i="5"/>
  <c r="D2059" i="5"/>
  <c r="C2059" i="5"/>
  <c r="B2059" i="5"/>
  <c r="E2058" i="5"/>
  <c r="D2058" i="5"/>
  <c r="C2058" i="5"/>
  <c r="B2058" i="5"/>
  <c r="E2057" i="5"/>
  <c r="D2057" i="5"/>
  <c r="C2057" i="5"/>
  <c r="B2057" i="5"/>
  <c r="E2056" i="5"/>
  <c r="D2056" i="5"/>
  <c r="C2056" i="5"/>
  <c r="B2056" i="5"/>
  <c r="E2055" i="5"/>
  <c r="D2055" i="5"/>
  <c r="C2055" i="5"/>
  <c r="B2055" i="5"/>
  <c r="E2054" i="5"/>
  <c r="D2054" i="5"/>
  <c r="C2054" i="5"/>
  <c r="B2054" i="5"/>
  <c r="E2053" i="5"/>
  <c r="D2053" i="5"/>
  <c r="C2053" i="5"/>
  <c r="B2053" i="5"/>
  <c r="E2052" i="5"/>
  <c r="D2052" i="5"/>
  <c r="C2052" i="5"/>
  <c r="B2052" i="5"/>
  <c r="E2051" i="5"/>
  <c r="D2051" i="5"/>
  <c r="C2051" i="5"/>
  <c r="B2051" i="5"/>
  <c r="E2050" i="5"/>
  <c r="D2050" i="5"/>
  <c r="C2050" i="5"/>
  <c r="B2050" i="5"/>
  <c r="E2049" i="5"/>
  <c r="D2049" i="5"/>
  <c r="C2049" i="5"/>
  <c r="B2049" i="5"/>
  <c r="E2048" i="5"/>
  <c r="D2048" i="5"/>
  <c r="C2048" i="5"/>
  <c r="B2048" i="5"/>
  <c r="E2047" i="5"/>
  <c r="D2047" i="5"/>
  <c r="C2047" i="5"/>
  <c r="B2047" i="5"/>
  <c r="E2046" i="5"/>
  <c r="D2046" i="5"/>
  <c r="C2046" i="5"/>
  <c r="B2046" i="5"/>
  <c r="E2045" i="5"/>
  <c r="D2045" i="5"/>
  <c r="C2045" i="5"/>
  <c r="B2045" i="5"/>
  <c r="E2044" i="5"/>
  <c r="D2044" i="5"/>
  <c r="C2044" i="5"/>
  <c r="B2044" i="5"/>
  <c r="E2043" i="5"/>
  <c r="D2043" i="5"/>
  <c r="C2043" i="5"/>
  <c r="B2043" i="5"/>
  <c r="E2042" i="5"/>
  <c r="D2042" i="5"/>
  <c r="C2042" i="5"/>
  <c r="B2042" i="5"/>
  <c r="E2041" i="5"/>
  <c r="D2041" i="5"/>
  <c r="C2041" i="5"/>
  <c r="B2041" i="5"/>
  <c r="E2040" i="5"/>
  <c r="D2040" i="5"/>
  <c r="C2040" i="5"/>
  <c r="B2040" i="5"/>
  <c r="E2039" i="5"/>
  <c r="D2039" i="5"/>
  <c r="C2039" i="5"/>
  <c r="B2039" i="5"/>
  <c r="E2038" i="5"/>
  <c r="D2038" i="5"/>
  <c r="C2038" i="5"/>
  <c r="B2038" i="5"/>
  <c r="E2037" i="5"/>
  <c r="D2037" i="5"/>
  <c r="C2037" i="5"/>
  <c r="B2037" i="5"/>
  <c r="E2036" i="5"/>
  <c r="D2036" i="5"/>
  <c r="C2036" i="5"/>
  <c r="B2036" i="5"/>
  <c r="E2035" i="5"/>
  <c r="D2035" i="5"/>
  <c r="C2035" i="5"/>
  <c r="B2035" i="5"/>
  <c r="E2034" i="5"/>
  <c r="D2034" i="5"/>
  <c r="C2034" i="5"/>
  <c r="B2034" i="5"/>
  <c r="E2033" i="5"/>
  <c r="D2033" i="5"/>
  <c r="C2033" i="5"/>
  <c r="B2033" i="5"/>
  <c r="E2032" i="5"/>
  <c r="D2032" i="5"/>
  <c r="C2032" i="5"/>
  <c r="B2032" i="5"/>
  <c r="E2031" i="5"/>
  <c r="D2031" i="5"/>
  <c r="C2031" i="5"/>
  <c r="B2031" i="5"/>
  <c r="E2030" i="5"/>
  <c r="D2030" i="5"/>
  <c r="C2030" i="5"/>
  <c r="B2030" i="5"/>
  <c r="E2029" i="5"/>
  <c r="D2029" i="5"/>
  <c r="C2029" i="5"/>
  <c r="B2029" i="5"/>
  <c r="E2028" i="5"/>
  <c r="D2028" i="5"/>
  <c r="C2028" i="5"/>
  <c r="B2028" i="5"/>
  <c r="E2027" i="5"/>
  <c r="D2027" i="5"/>
  <c r="C2027" i="5"/>
  <c r="B2027" i="5"/>
  <c r="E2026" i="5"/>
  <c r="D2026" i="5"/>
  <c r="C2026" i="5"/>
  <c r="B2026" i="5"/>
  <c r="E2025" i="5"/>
  <c r="D2025" i="5"/>
  <c r="C2025" i="5"/>
  <c r="B2025" i="5"/>
  <c r="E2024" i="5"/>
  <c r="D2024" i="5"/>
  <c r="C2024" i="5"/>
  <c r="B2024" i="5"/>
  <c r="E2023" i="5"/>
  <c r="D2023" i="5"/>
  <c r="C2023" i="5"/>
  <c r="B2023" i="5"/>
  <c r="E2022" i="5"/>
  <c r="D2022" i="5"/>
  <c r="C2022" i="5"/>
  <c r="B2022" i="5"/>
  <c r="E2021" i="5"/>
  <c r="D2021" i="5"/>
  <c r="C2021" i="5"/>
  <c r="B2021" i="5"/>
  <c r="E2020" i="5"/>
  <c r="D2020" i="5"/>
  <c r="C2020" i="5"/>
  <c r="B2020" i="5"/>
  <c r="E2019" i="5"/>
  <c r="D2019" i="5"/>
  <c r="C2019" i="5"/>
  <c r="B2019" i="5"/>
  <c r="E2018" i="5"/>
  <c r="D2018" i="5"/>
  <c r="C2018" i="5"/>
  <c r="B2018" i="5"/>
  <c r="E2017" i="5"/>
  <c r="D2017" i="5"/>
  <c r="C2017" i="5"/>
  <c r="B2017" i="5"/>
  <c r="E2016" i="5"/>
  <c r="D2016" i="5"/>
  <c r="C2016" i="5"/>
  <c r="B2016" i="5"/>
  <c r="E2015" i="5"/>
  <c r="D2015" i="5"/>
  <c r="C2015" i="5"/>
  <c r="B2015" i="5"/>
  <c r="E2014" i="5"/>
  <c r="D2014" i="5"/>
  <c r="C2014" i="5"/>
  <c r="B2014" i="5"/>
  <c r="E2013" i="5"/>
  <c r="D2013" i="5"/>
  <c r="C2013" i="5"/>
  <c r="B2013" i="5"/>
  <c r="E2012" i="5"/>
  <c r="D2012" i="5"/>
  <c r="C2012" i="5"/>
  <c r="B2012" i="5"/>
  <c r="E2011" i="5"/>
  <c r="D2011" i="5"/>
  <c r="C2011" i="5"/>
  <c r="B2011" i="5"/>
  <c r="E2010" i="5"/>
  <c r="D2010" i="5"/>
  <c r="C2010" i="5"/>
  <c r="B2010" i="5"/>
  <c r="E2009" i="5"/>
  <c r="D2009" i="5"/>
  <c r="C2009" i="5"/>
  <c r="B2009" i="5"/>
  <c r="E2008" i="5"/>
  <c r="D2008" i="5"/>
  <c r="C2008" i="5"/>
  <c r="B2008" i="5"/>
  <c r="E2007" i="5"/>
  <c r="D2007" i="5"/>
  <c r="C2007" i="5"/>
  <c r="B2007" i="5"/>
  <c r="E2006" i="5"/>
  <c r="D2006" i="5"/>
  <c r="C2006" i="5"/>
  <c r="B2006" i="5"/>
  <c r="E2005" i="5"/>
  <c r="D2005" i="5"/>
  <c r="C2005" i="5"/>
  <c r="B2005" i="5"/>
  <c r="E2004" i="5"/>
  <c r="D2004" i="5"/>
  <c r="C2004" i="5"/>
  <c r="B2004" i="5"/>
  <c r="E2003" i="5"/>
  <c r="D2003" i="5"/>
  <c r="C2003" i="5"/>
  <c r="B2003" i="5"/>
  <c r="E2002" i="5"/>
  <c r="D2002" i="5"/>
  <c r="C2002" i="5"/>
  <c r="B2002" i="5"/>
  <c r="E2001" i="5"/>
  <c r="D2001" i="5"/>
  <c r="C2001" i="5"/>
  <c r="B2001" i="5"/>
  <c r="E2000" i="5"/>
  <c r="D2000" i="5"/>
  <c r="C2000" i="5"/>
  <c r="B2000" i="5"/>
  <c r="E1999" i="5"/>
  <c r="D1999" i="5"/>
  <c r="C1999" i="5"/>
  <c r="B1999" i="5"/>
  <c r="E1998" i="5"/>
  <c r="D1998" i="5"/>
  <c r="C1998" i="5"/>
  <c r="B1998" i="5"/>
  <c r="E1997" i="5"/>
  <c r="D1997" i="5"/>
  <c r="C1997" i="5"/>
  <c r="B1997" i="5"/>
  <c r="E1996" i="5"/>
  <c r="D1996" i="5"/>
  <c r="C1996" i="5"/>
  <c r="B1996" i="5"/>
  <c r="E1995" i="5"/>
  <c r="D1995" i="5"/>
  <c r="C1995" i="5"/>
  <c r="B1995" i="5"/>
  <c r="E1994" i="5"/>
  <c r="D1994" i="5"/>
  <c r="C1994" i="5"/>
  <c r="B1994" i="5"/>
  <c r="E1993" i="5"/>
  <c r="D1993" i="5"/>
  <c r="C1993" i="5"/>
  <c r="B1993" i="5"/>
  <c r="E1992" i="5"/>
  <c r="D1992" i="5"/>
  <c r="C1992" i="5"/>
  <c r="B1992" i="5"/>
  <c r="E1991" i="5"/>
  <c r="D1991" i="5"/>
  <c r="C1991" i="5"/>
  <c r="B1991" i="5"/>
  <c r="E1990" i="5"/>
  <c r="D1990" i="5"/>
  <c r="C1990" i="5"/>
  <c r="B1990" i="5"/>
  <c r="E1989" i="5"/>
  <c r="D1989" i="5"/>
  <c r="C1989" i="5"/>
  <c r="B1989" i="5"/>
  <c r="E1988" i="5"/>
  <c r="D1988" i="5"/>
  <c r="C1988" i="5"/>
  <c r="B1988" i="5"/>
  <c r="E1987" i="5"/>
  <c r="D1987" i="5"/>
  <c r="C1987" i="5"/>
  <c r="B1987" i="5"/>
  <c r="E1986" i="5"/>
  <c r="D1986" i="5"/>
  <c r="C1986" i="5"/>
  <c r="B1986" i="5"/>
  <c r="E1985" i="5"/>
  <c r="D1985" i="5"/>
  <c r="C1985" i="5"/>
  <c r="B1985" i="5"/>
  <c r="E1984" i="5"/>
  <c r="D1984" i="5"/>
  <c r="C1984" i="5"/>
  <c r="B1984" i="5"/>
  <c r="E1983" i="5"/>
  <c r="D1983" i="5"/>
  <c r="C1983" i="5"/>
  <c r="B1983" i="5"/>
  <c r="E1982" i="5"/>
  <c r="D1982" i="5"/>
  <c r="C1982" i="5"/>
  <c r="B1982" i="5"/>
  <c r="E1981" i="5"/>
  <c r="D1981" i="5"/>
  <c r="C1981" i="5"/>
  <c r="B1981" i="5"/>
  <c r="E1980" i="5"/>
  <c r="D1980" i="5"/>
  <c r="C1980" i="5"/>
  <c r="B1980" i="5"/>
  <c r="E1979" i="5"/>
  <c r="D1979" i="5"/>
  <c r="C1979" i="5"/>
  <c r="B1979" i="5"/>
  <c r="E1978" i="5"/>
  <c r="D1978" i="5"/>
  <c r="C1978" i="5"/>
  <c r="B1978" i="5"/>
  <c r="E1977" i="5"/>
  <c r="D1977" i="5"/>
  <c r="C1977" i="5"/>
  <c r="B1977" i="5"/>
  <c r="E1976" i="5"/>
  <c r="D1976" i="5"/>
  <c r="C1976" i="5"/>
  <c r="B1976" i="5"/>
  <c r="E1975" i="5"/>
  <c r="D1975" i="5"/>
  <c r="C1975" i="5"/>
  <c r="B1975" i="5"/>
  <c r="E1974" i="5"/>
  <c r="D1974" i="5"/>
  <c r="C1974" i="5"/>
  <c r="B1974" i="5"/>
  <c r="E1973" i="5"/>
  <c r="D1973" i="5"/>
  <c r="C1973" i="5"/>
  <c r="B1973" i="5"/>
  <c r="E1972" i="5"/>
  <c r="D1972" i="5"/>
  <c r="C1972" i="5"/>
  <c r="B1972" i="5"/>
  <c r="E1971" i="5"/>
  <c r="D1971" i="5"/>
  <c r="C1971" i="5"/>
  <c r="B1971" i="5"/>
  <c r="E1970" i="5"/>
  <c r="D1970" i="5"/>
  <c r="C1970" i="5"/>
  <c r="B1970" i="5"/>
  <c r="E1969" i="5"/>
  <c r="D1969" i="5"/>
  <c r="C1969" i="5"/>
  <c r="B1969" i="5"/>
  <c r="E1968" i="5"/>
  <c r="D1968" i="5"/>
  <c r="C1968" i="5"/>
  <c r="B1968" i="5"/>
  <c r="E1967" i="5"/>
  <c r="D1967" i="5"/>
  <c r="C1967" i="5"/>
  <c r="B1967" i="5"/>
  <c r="E1966" i="5"/>
  <c r="D1966" i="5"/>
  <c r="C1966" i="5"/>
  <c r="B1966" i="5"/>
  <c r="E1965" i="5"/>
  <c r="D1965" i="5"/>
  <c r="C1965" i="5"/>
  <c r="B1965" i="5"/>
  <c r="E1964" i="5"/>
  <c r="D1964" i="5"/>
  <c r="C1964" i="5"/>
  <c r="B1964" i="5"/>
  <c r="E1963" i="5"/>
  <c r="D1963" i="5"/>
  <c r="C1963" i="5"/>
  <c r="B1963" i="5"/>
  <c r="E1962" i="5"/>
  <c r="D1962" i="5"/>
  <c r="C1962" i="5"/>
  <c r="B1962" i="5"/>
  <c r="E1961" i="5"/>
  <c r="D1961" i="5"/>
  <c r="C1961" i="5"/>
  <c r="B1961" i="5"/>
  <c r="E1960" i="5"/>
  <c r="D1960" i="5"/>
  <c r="C1960" i="5"/>
  <c r="B1960" i="5"/>
  <c r="E1959" i="5"/>
  <c r="D1959" i="5"/>
  <c r="C1959" i="5"/>
  <c r="B1959" i="5"/>
  <c r="E1958" i="5"/>
  <c r="D1958" i="5"/>
  <c r="C1958" i="5"/>
  <c r="B1958" i="5"/>
  <c r="E1957" i="5"/>
  <c r="D1957" i="5"/>
  <c r="C1957" i="5"/>
  <c r="B1957" i="5"/>
  <c r="E1956" i="5"/>
  <c r="D1956" i="5"/>
  <c r="C1956" i="5"/>
  <c r="B1956" i="5"/>
  <c r="E1955" i="5"/>
  <c r="D1955" i="5"/>
  <c r="C1955" i="5"/>
  <c r="B1955" i="5"/>
  <c r="E1954" i="5"/>
  <c r="D1954" i="5"/>
  <c r="C1954" i="5"/>
  <c r="B1954" i="5"/>
  <c r="E1953" i="5"/>
  <c r="D1953" i="5"/>
  <c r="C1953" i="5"/>
  <c r="B1953" i="5"/>
  <c r="E1952" i="5"/>
  <c r="D1952" i="5"/>
  <c r="C1952" i="5"/>
  <c r="B1952" i="5"/>
  <c r="E1951" i="5"/>
  <c r="D1951" i="5"/>
  <c r="C1951" i="5"/>
  <c r="B1951" i="5"/>
  <c r="E1950" i="5"/>
  <c r="D1950" i="5"/>
  <c r="C1950" i="5"/>
  <c r="B1950" i="5"/>
  <c r="E1949" i="5"/>
  <c r="D1949" i="5"/>
  <c r="C1949" i="5"/>
  <c r="B1949" i="5"/>
  <c r="E1948" i="5"/>
  <c r="D1948" i="5"/>
  <c r="C1948" i="5"/>
  <c r="B1948" i="5"/>
  <c r="E1947" i="5"/>
  <c r="D1947" i="5"/>
  <c r="C1947" i="5"/>
  <c r="B1947" i="5"/>
  <c r="E1946" i="5"/>
  <c r="D1946" i="5"/>
  <c r="C1946" i="5"/>
  <c r="B1946" i="5"/>
  <c r="E1945" i="5"/>
  <c r="D1945" i="5"/>
  <c r="C1945" i="5"/>
  <c r="B1945" i="5"/>
  <c r="E1944" i="5"/>
  <c r="D1944" i="5"/>
  <c r="C1944" i="5"/>
  <c r="B1944" i="5"/>
  <c r="E1943" i="5"/>
  <c r="D1943" i="5"/>
  <c r="C1943" i="5"/>
  <c r="B1943" i="5"/>
  <c r="E1942" i="5"/>
  <c r="D1942" i="5"/>
  <c r="C1942" i="5"/>
  <c r="B1942" i="5"/>
  <c r="E1941" i="5"/>
  <c r="D1941" i="5"/>
  <c r="C1941" i="5"/>
  <c r="B1941" i="5"/>
  <c r="E1940" i="5"/>
  <c r="D1940" i="5"/>
  <c r="C1940" i="5"/>
  <c r="B1940" i="5"/>
  <c r="E1939" i="5"/>
  <c r="D1939" i="5"/>
  <c r="C1939" i="5"/>
  <c r="B1939" i="5"/>
  <c r="E1938" i="5"/>
  <c r="D1938" i="5"/>
  <c r="C1938" i="5"/>
  <c r="B1938" i="5"/>
  <c r="E1937" i="5"/>
  <c r="D1937" i="5"/>
  <c r="C1937" i="5"/>
  <c r="B1937" i="5"/>
  <c r="E1936" i="5"/>
  <c r="D1936" i="5"/>
  <c r="C1936" i="5"/>
  <c r="B1936" i="5"/>
  <c r="E1935" i="5"/>
  <c r="D1935" i="5"/>
  <c r="C1935" i="5"/>
  <c r="B1935" i="5"/>
  <c r="E1934" i="5"/>
  <c r="D1934" i="5"/>
  <c r="C1934" i="5"/>
  <c r="B1934" i="5"/>
  <c r="E1933" i="5"/>
  <c r="D1933" i="5"/>
  <c r="C1933" i="5"/>
  <c r="B1933" i="5"/>
  <c r="E1932" i="5"/>
  <c r="D1932" i="5"/>
  <c r="C1932" i="5"/>
  <c r="B1932" i="5"/>
  <c r="E1931" i="5"/>
  <c r="D1931" i="5"/>
  <c r="C1931" i="5"/>
  <c r="B1931" i="5"/>
  <c r="E1930" i="5"/>
  <c r="D1930" i="5"/>
  <c r="C1930" i="5"/>
  <c r="B1930" i="5"/>
  <c r="E1929" i="5"/>
  <c r="D1929" i="5"/>
  <c r="C1929" i="5"/>
  <c r="B1929" i="5"/>
  <c r="E1928" i="5"/>
  <c r="D1928" i="5"/>
  <c r="C1928" i="5"/>
  <c r="B1928" i="5"/>
  <c r="E1927" i="5"/>
  <c r="D1927" i="5"/>
  <c r="C1927" i="5"/>
  <c r="B1927" i="5"/>
  <c r="E1926" i="5"/>
  <c r="D1926" i="5"/>
  <c r="C1926" i="5"/>
  <c r="B1926" i="5"/>
  <c r="E1925" i="5"/>
  <c r="D1925" i="5"/>
  <c r="C1925" i="5"/>
  <c r="B1925" i="5"/>
  <c r="E1924" i="5"/>
  <c r="D1924" i="5"/>
  <c r="C1924" i="5"/>
  <c r="B1924" i="5"/>
  <c r="E1923" i="5"/>
  <c r="D1923" i="5"/>
  <c r="C1923" i="5"/>
  <c r="B1923" i="5"/>
  <c r="E1922" i="5"/>
  <c r="D1922" i="5"/>
  <c r="C1922" i="5"/>
  <c r="B1922" i="5"/>
  <c r="E1921" i="5"/>
  <c r="D1921" i="5"/>
  <c r="C1921" i="5"/>
  <c r="B1921" i="5"/>
  <c r="E1920" i="5"/>
  <c r="D1920" i="5"/>
  <c r="C1920" i="5"/>
  <c r="B1920" i="5"/>
  <c r="E1919" i="5"/>
  <c r="D1919" i="5"/>
  <c r="C1919" i="5"/>
  <c r="B1919" i="5"/>
  <c r="E1918" i="5"/>
  <c r="D1918" i="5"/>
  <c r="C1918" i="5"/>
  <c r="B1918" i="5"/>
  <c r="E1917" i="5"/>
  <c r="D1917" i="5"/>
  <c r="C1917" i="5"/>
  <c r="B1917" i="5"/>
  <c r="E1916" i="5"/>
  <c r="D1916" i="5"/>
  <c r="C1916" i="5"/>
  <c r="B1916" i="5"/>
  <c r="E1915" i="5"/>
  <c r="D1915" i="5"/>
  <c r="C1915" i="5"/>
  <c r="B1915" i="5"/>
  <c r="E1914" i="5"/>
  <c r="D1914" i="5"/>
  <c r="C1914" i="5"/>
  <c r="B1914" i="5"/>
  <c r="E1913" i="5"/>
  <c r="D1913" i="5"/>
  <c r="C1913" i="5"/>
  <c r="B1913" i="5"/>
  <c r="E1912" i="5"/>
  <c r="D1912" i="5"/>
  <c r="C1912" i="5"/>
  <c r="B1912" i="5"/>
  <c r="E1911" i="5"/>
  <c r="D1911" i="5"/>
  <c r="C1911" i="5"/>
  <c r="B1911" i="5"/>
  <c r="E1910" i="5"/>
  <c r="D1910" i="5"/>
  <c r="C1910" i="5"/>
  <c r="B1910" i="5"/>
  <c r="E1909" i="5"/>
  <c r="D1909" i="5"/>
  <c r="C1909" i="5"/>
  <c r="B1909" i="5"/>
  <c r="E1908" i="5"/>
  <c r="D1908" i="5"/>
  <c r="C1908" i="5"/>
  <c r="B1908" i="5"/>
  <c r="E1907" i="5"/>
  <c r="D1907" i="5"/>
  <c r="C1907" i="5"/>
  <c r="B1907" i="5"/>
  <c r="E1906" i="5"/>
  <c r="D1906" i="5"/>
  <c r="C1906" i="5"/>
  <c r="B1906" i="5"/>
  <c r="E1905" i="5"/>
  <c r="D1905" i="5"/>
  <c r="C1905" i="5"/>
  <c r="B1905" i="5"/>
  <c r="E1904" i="5"/>
  <c r="D1904" i="5"/>
  <c r="C1904" i="5"/>
  <c r="B1904" i="5"/>
  <c r="E1903" i="5"/>
  <c r="D1903" i="5"/>
  <c r="C1903" i="5"/>
  <c r="B1903" i="5"/>
  <c r="E1902" i="5"/>
  <c r="D1902" i="5"/>
  <c r="C1902" i="5"/>
  <c r="B1902" i="5"/>
  <c r="E1901" i="5"/>
  <c r="D1901" i="5"/>
  <c r="C1901" i="5"/>
  <c r="B1901" i="5"/>
  <c r="E1900" i="5"/>
  <c r="D1900" i="5"/>
  <c r="C1900" i="5"/>
  <c r="B1900" i="5"/>
  <c r="E1899" i="5"/>
  <c r="D1899" i="5"/>
  <c r="C1899" i="5"/>
  <c r="B1899" i="5"/>
  <c r="E1898" i="5"/>
  <c r="D1898" i="5"/>
  <c r="C1898" i="5"/>
  <c r="B1898" i="5"/>
  <c r="E1897" i="5"/>
  <c r="D1897" i="5"/>
  <c r="C1897" i="5"/>
  <c r="B1897" i="5"/>
  <c r="E1896" i="5"/>
  <c r="D1896" i="5"/>
  <c r="C1896" i="5"/>
  <c r="B1896" i="5"/>
  <c r="E1895" i="5"/>
  <c r="D1895" i="5"/>
  <c r="C1895" i="5"/>
  <c r="B1895" i="5"/>
  <c r="E1894" i="5"/>
  <c r="D1894" i="5"/>
  <c r="C1894" i="5"/>
  <c r="B1894" i="5"/>
  <c r="E1893" i="5"/>
  <c r="D1893" i="5"/>
  <c r="C1893" i="5"/>
  <c r="B1893" i="5"/>
  <c r="E1892" i="5"/>
  <c r="D1892" i="5"/>
  <c r="C1892" i="5"/>
  <c r="B1892" i="5"/>
  <c r="E1891" i="5"/>
  <c r="D1891" i="5"/>
  <c r="C1891" i="5"/>
  <c r="B1891" i="5"/>
  <c r="E1890" i="5"/>
  <c r="D1890" i="5"/>
  <c r="C1890" i="5"/>
  <c r="B1890" i="5"/>
  <c r="E1889" i="5"/>
  <c r="D1889" i="5"/>
  <c r="C1889" i="5"/>
  <c r="B1889" i="5"/>
  <c r="E1888" i="5"/>
  <c r="D1888" i="5"/>
  <c r="C1888" i="5"/>
  <c r="B1888" i="5"/>
  <c r="E1887" i="5"/>
  <c r="D1887" i="5"/>
  <c r="C1887" i="5"/>
  <c r="B1887" i="5"/>
  <c r="E1886" i="5"/>
  <c r="D1886" i="5"/>
  <c r="C1886" i="5"/>
  <c r="B1886" i="5"/>
  <c r="E1885" i="5"/>
  <c r="D1885" i="5"/>
  <c r="C1885" i="5"/>
  <c r="B1885" i="5"/>
  <c r="E1884" i="5"/>
  <c r="D1884" i="5"/>
  <c r="C1884" i="5"/>
  <c r="B1884" i="5"/>
  <c r="E1883" i="5"/>
  <c r="D1883" i="5"/>
  <c r="C1883" i="5"/>
  <c r="B1883" i="5"/>
  <c r="E1882" i="5"/>
  <c r="D1882" i="5"/>
  <c r="C1882" i="5"/>
  <c r="B1882" i="5"/>
  <c r="E1881" i="5"/>
  <c r="D1881" i="5"/>
  <c r="C1881" i="5"/>
  <c r="B1881" i="5"/>
  <c r="E1880" i="5"/>
  <c r="D1880" i="5"/>
  <c r="C1880" i="5"/>
  <c r="B1880" i="5"/>
  <c r="E1879" i="5"/>
  <c r="D1879" i="5"/>
  <c r="C1879" i="5"/>
  <c r="B1879" i="5"/>
  <c r="E1878" i="5"/>
  <c r="D1878" i="5"/>
  <c r="C1878" i="5"/>
  <c r="B1878" i="5"/>
  <c r="E1877" i="5"/>
  <c r="D1877" i="5"/>
  <c r="C1877" i="5"/>
  <c r="B1877" i="5"/>
  <c r="E1876" i="5"/>
  <c r="D1876" i="5"/>
  <c r="C1876" i="5"/>
  <c r="B1876" i="5"/>
  <c r="E1875" i="5"/>
  <c r="D1875" i="5"/>
  <c r="C1875" i="5"/>
  <c r="B1875" i="5"/>
  <c r="E1874" i="5"/>
  <c r="D1874" i="5"/>
  <c r="C1874" i="5"/>
  <c r="B1874" i="5"/>
  <c r="E1873" i="5"/>
  <c r="D1873" i="5"/>
  <c r="C1873" i="5"/>
  <c r="B1873" i="5"/>
  <c r="E1872" i="5"/>
  <c r="D1872" i="5"/>
  <c r="C1872" i="5"/>
  <c r="B1872" i="5"/>
  <c r="E1871" i="5"/>
  <c r="D1871" i="5"/>
  <c r="C1871" i="5"/>
  <c r="B1871" i="5"/>
  <c r="E1870" i="5"/>
  <c r="D1870" i="5"/>
  <c r="C1870" i="5"/>
  <c r="B1870" i="5"/>
  <c r="E1869" i="5"/>
  <c r="D1869" i="5"/>
  <c r="C1869" i="5"/>
  <c r="B1869" i="5"/>
  <c r="E1868" i="5"/>
  <c r="D1868" i="5"/>
  <c r="C1868" i="5"/>
  <c r="B1868" i="5"/>
  <c r="E1867" i="5"/>
  <c r="D1867" i="5"/>
  <c r="C1867" i="5"/>
  <c r="B1867" i="5"/>
  <c r="E1866" i="5"/>
  <c r="D1866" i="5"/>
  <c r="C1866" i="5"/>
  <c r="B1866" i="5"/>
  <c r="E1865" i="5"/>
  <c r="D1865" i="5"/>
  <c r="C1865" i="5"/>
  <c r="B1865" i="5"/>
  <c r="E1864" i="5"/>
  <c r="D1864" i="5"/>
  <c r="C1864" i="5"/>
  <c r="B1864" i="5"/>
  <c r="E1863" i="5"/>
  <c r="D1863" i="5"/>
  <c r="C1863" i="5"/>
  <c r="B1863" i="5"/>
  <c r="E1862" i="5"/>
  <c r="D1862" i="5"/>
  <c r="C1862" i="5"/>
  <c r="B1862" i="5"/>
  <c r="E1861" i="5"/>
  <c r="D1861" i="5"/>
  <c r="C1861" i="5"/>
  <c r="B1861" i="5"/>
  <c r="E1860" i="5"/>
  <c r="D1860" i="5"/>
  <c r="C1860" i="5"/>
  <c r="B1860" i="5"/>
  <c r="E1859" i="5"/>
  <c r="D1859" i="5"/>
  <c r="C1859" i="5"/>
  <c r="B1859" i="5"/>
  <c r="E1858" i="5"/>
  <c r="D1858" i="5"/>
  <c r="C1858" i="5"/>
  <c r="B1858" i="5"/>
  <c r="E1857" i="5"/>
  <c r="D1857" i="5"/>
  <c r="C1857" i="5"/>
  <c r="B1857" i="5"/>
  <c r="E1856" i="5"/>
  <c r="D1856" i="5"/>
  <c r="C1856" i="5"/>
  <c r="B1856" i="5"/>
  <c r="E1855" i="5"/>
  <c r="D1855" i="5"/>
  <c r="C1855" i="5"/>
  <c r="B1855" i="5"/>
  <c r="E1854" i="5"/>
  <c r="D1854" i="5"/>
  <c r="C1854" i="5"/>
  <c r="B1854" i="5"/>
  <c r="E1853" i="5"/>
  <c r="D1853" i="5"/>
  <c r="C1853" i="5"/>
  <c r="B1853" i="5"/>
  <c r="E1852" i="5"/>
  <c r="D1852" i="5"/>
  <c r="C1852" i="5"/>
  <c r="B1852" i="5"/>
  <c r="E1851" i="5"/>
  <c r="D1851" i="5"/>
  <c r="C1851" i="5"/>
  <c r="B1851" i="5"/>
  <c r="E1850" i="5"/>
  <c r="D1850" i="5"/>
  <c r="C1850" i="5"/>
  <c r="B1850" i="5"/>
  <c r="E1849" i="5"/>
  <c r="D1849" i="5"/>
  <c r="C1849" i="5"/>
  <c r="B1849" i="5"/>
  <c r="E1848" i="5"/>
  <c r="D1848" i="5"/>
  <c r="C1848" i="5"/>
  <c r="B1848" i="5"/>
  <c r="E1847" i="5"/>
  <c r="D1847" i="5"/>
  <c r="C1847" i="5"/>
  <c r="B1847" i="5"/>
  <c r="E1846" i="5"/>
  <c r="D1846" i="5"/>
  <c r="C1846" i="5"/>
  <c r="B1846" i="5"/>
  <c r="E1845" i="5"/>
  <c r="D1845" i="5"/>
  <c r="C1845" i="5"/>
  <c r="B1845" i="5"/>
  <c r="E1844" i="5"/>
  <c r="D1844" i="5"/>
  <c r="C1844" i="5"/>
  <c r="B1844" i="5"/>
  <c r="E1843" i="5"/>
  <c r="D1843" i="5"/>
  <c r="C1843" i="5"/>
  <c r="B1843" i="5"/>
  <c r="E1842" i="5"/>
  <c r="D1842" i="5"/>
  <c r="C1842" i="5"/>
  <c r="B1842" i="5"/>
  <c r="E1841" i="5"/>
  <c r="D1841" i="5"/>
  <c r="C1841" i="5"/>
  <c r="B1841" i="5"/>
  <c r="E1840" i="5"/>
  <c r="D1840" i="5"/>
  <c r="C1840" i="5"/>
  <c r="B1840" i="5"/>
  <c r="E1839" i="5"/>
  <c r="D1839" i="5"/>
  <c r="C1839" i="5"/>
  <c r="B1839" i="5"/>
  <c r="E1838" i="5"/>
  <c r="D1838" i="5"/>
  <c r="C1838" i="5"/>
  <c r="B1838" i="5"/>
  <c r="E1837" i="5"/>
  <c r="D1837" i="5"/>
  <c r="C1837" i="5"/>
  <c r="B1837" i="5"/>
  <c r="E1836" i="5"/>
  <c r="D1836" i="5"/>
  <c r="C1836" i="5"/>
  <c r="B1836" i="5"/>
  <c r="E1835" i="5"/>
  <c r="D1835" i="5"/>
  <c r="C1835" i="5"/>
  <c r="B1835" i="5"/>
  <c r="E1834" i="5"/>
  <c r="D1834" i="5"/>
  <c r="C1834" i="5"/>
  <c r="B1834" i="5"/>
  <c r="E1833" i="5"/>
  <c r="D1833" i="5"/>
  <c r="C1833" i="5"/>
  <c r="B1833" i="5"/>
  <c r="E1832" i="5"/>
  <c r="D1832" i="5"/>
  <c r="C1832" i="5"/>
  <c r="B1832" i="5"/>
  <c r="E1831" i="5"/>
  <c r="D1831" i="5"/>
  <c r="C1831" i="5"/>
  <c r="B1831" i="5"/>
  <c r="E1830" i="5"/>
  <c r="D1830" i="5"/>
  <c r="C1830" i="5"/>
  <c r="B1830" i="5"/>
  <c r="E1829" i="5"/>
  <c r="D1829" i="5"/>
  <c r="C1829" i="5"/>
  <c r="B1829" i="5"/>
  <c r="E1828" i="5"/>
  <c r="D1828" i="5"/>
  <c r="C1828" i="5"/>
  <c r="B1828" i="5"/>
  <c r="E1827" i="5"/>
  <c r="D1827" i="5"/>
  <c r="C1827" i="5"/>
  <c r="B1827" i="5"/>
  <c r="E1826" i="5"/>
  <c r="D1826" i="5"/>
  <c r="C1826" i="5"/>
  <c r="B1826" i="5"/>
  <c r="E1825" i="5"/>
  <c r="D1825" i="5"/>
  <c r="C1825" i="5"/>
  <c r="B1825" i="5"/>
  <c r="E1824" i="5"/>
  <c r="D1824" i="5"/>
  <c r="C1824" i="5"/>
  <c r="B1824" i="5"/>
  <c r="E1823" i="5"/>
  <c r="D1823" i="5"/>
  <c r="C1823" i="5"/>
  <c r="B1823" i="5"/>
  <c r="E1822" i="5"/>
  <c r="D1822" i="5"/>
  <c r="C1822" i="5"/>
  <c r="B1822" i="5"/>
  <c r="E1821" i="5"/>
  <c r="D1821" i="5"/>
  <c r="C1821" i="5"/>
  <c r="B1821" i="5"/>
  <c r="E1820" i="5"/>
  <c r="D1820" i="5"/>
  <c r="C1820" i="5"/>
  <c r="B1820" i="5"/>
  <c r="E1819" i="5"/>
  <c r="D1819" i="5"/>
  <c r="C1819" i="5"/>
  <c r="B1819" i="5"/>
  <c r="E1818" i="5"/>
  <c r="D1818" i="5"/>
  <c r="C1818" i="5"/>
  <c r="B1818" i="5"/>
  <c r="E1817" i="5"/>
  <c r="D1817" i="5"/>
  <c r="C1817" i="5"/>
  <c r="B1817" i="5"/>
  <c r="E1816" i="5"/>
  <c r="D1816" i="5"/>
  <c r="C1816" i="5"/>
  <c r="B1816" i="5"/>
  <c r="E1815" i="5"/>
  <c r="D1815" i="5"/>
  <c r="C1815" i="5"/>
  <c r="B1815" i="5"/>
  <c r="E1814" i="5"/>
  <c r="D1814" i="5"/>
  <c r="C1814" i="5"/>
  <c r="B1814" i="5"/>
  <c r="E1813" i="5"/>
  <c r="D1813" i="5"/>
  <c r="C1813" i="5"/>
  <c r="B1813" i="5"/>
  <c r="E1812" i="5"/>
  <c r="D1812" i="5"/>
  <c r="C1812" i="5"/>
  <c r="B1812" i="5"/>
  <c r="E1811" i="5"/>
  <c r="D1811" i="5"/>
  <c r="C1811" i="5"/>
  <c r="B1811" i="5"/>
  <c r="E1810" i="5"/>
  <c r="D1810" i="5"/>
  <c r="C1810" i="5"/>
  <c r="B1810" i="5"/>
  <c r="E1809" i="5"/>
  <c r="D1809" i="5"/>
  <c r="C1809" i="5"/>
  <c r="B1809" i="5"/>
  <c r="E1808" i="5"/>
  <c r="D1808" i="5"/>
  <c r="C1808" i="5"/>
  <c r="B1808" i="5"/>
  <c r="E1807" i="5"/>
  <c r="D1807" i="5"/>
  <c r="C1807" i="5"/>
  <c r="B1807" i="5"/>
  <c r="E1806" i="5"/>
  <c r="D1806" i="5"/>
  <c r="C1806" i="5"/>
  <c r="B1806" i="5"/>
  <c r="E1805" i="5"/>
  <c r="D1805" i="5"/>
  <c r="C1805" i="5"/>
  <c r="B1805" i="5"/>
  <c r="E1804" i="5"/>
  <c r="D1804" i="5"/>
  <c r="C1804" i="5"/>
  <c r="B1804" i="5"/>
  <c r="E1803" i="5"/>
  <c r="D1803" i="5"/>
  <c r="C1803" i="5"/>
  <c r="B1803" i="5"/>
  <c r="E1802" i="5"/>
  <c r="D1802" i="5"/>
  <c r="C1802" i="5"/>
  <c r="B1802" i="5"/>
  <c r="E1801" i="5"/>
  <c r="D1801" i="5"/>
  <c r="C1801" i="5"/>
  <c r="B1801" i="5"/>
  <c r="E1800" i="5"/>
  <c r="D1800" i="5"/>
  <c r="C1800" i="5"/>
  <c r="B1800" i="5"/>
  <c r="E1799" i="5"/>
  <c r="D1799" i="5"/>
  <c r="C1799" i="5"/>
  <c r="B1799" i="5"/>
  <c r="E1798" i="5"/>
  <c r="D1798" i="5"/>
  <c r="C1798" i="5"/>
  <c r="B1798" i="5"/>
  <c r="E1797" i="5"/>
  <c r="D1797" i="5"/>
  <c r="C1797" i="5"/>
  <c r="B1797" i="5"/>
  <c r="E1796" i="5"/>
  <c r="D1796" i="5"/>
  <c r="C1796" i="5"/>
  <c r="B1796" i="5"/>
  <c r="E1795" i="5"/>
  <c r="D1795" i="5"/>
  <c r="C1795" i="5"/>
  <c r="B1795" i="5"/>
  <c r="E1794" i="5"/>
  <c r="D1794" i="5"/>
  <c r="C1794" i="5"/>
  <c r="B1794" i="5"/>
  <c r="E1793" i="5"/>
  <c r="D1793" i="5"/>
  <c r="C1793" i="5"/>
  <c r="B1793" i="5"/>
  <c r="E1792" i="5"/>
  <c r="D1792" i="5"/>
  <c r="C1792" i="5"/>
  <c r="B1792" i="5"/>
  <c r="E1791" i="5"/>
  <c r="D1791" i="5"/>
  <c r="C1791" i="5"/>
  <c r="B1791" i="5"/>
  <c r="E1790" i="5"/>
  <c r="D1790" i="5"/>
  <c r="C1790" i="5"/>
  <c r="B1790" i="5"/>
  <c r="E1789" i="5"/>
  <c r="D1789" i="5"/>
  <c r="C1789" i="5"/>
  <c r="B1789" i="5"/>
  <c r="E1788" i="5"/>
  <c r="D1788" i="5"/>
  <c r="C1788" i="5"/>
  <c r="B1788" i="5"/>
  <c r="E1787" i="5"/>
  <c r="D1787" i="5"/>
  <c r="C1787" i="5"/>
  <c r="B1787" i="5"/>
  <c r="E1786" i="5"/>
  <c r="D1786" i="5"/>
  <c r="C1786" i="5"/>
  <c r="B1786" i="5"/>
  <c r="E1785" i="5"/>
  <c r="D1785" i="5"/>
  <c r="C1785" i="5"/>
  <c r="B1785" i="5"/>
  <c r="E1784" i="5"/>
  <c r="D1784" i="5"/>
  <c r="C1784" i="5"/>
  <c r="B1784" i="5"/>
  <c r="E1783" i="5"/>
  <c r="D1783" i="5"/>
  <c r="C1783" i="5"/>
  <c r="B1783" i="5"/>
  <c r="E1782" i="5"/>
  <c r="D1782" i="5"/>
  <c r="C1782" i="5"/>
  <c r="B1782" i="5"/>
  <c r="E1781" i="5"/>
  <c r="D1781" i="5"/>
  <c r="C1781" i="5"/>
  <c r="B1781" i="5"/>
  <c r="E1780" i="5"/>
  <c r="D1780" i="5"/>
  <c r="C1780" i="5"/>
  <c r="B1780" i="5"/>
  <c r="E1779" i="5"/>
  <c r="D1779" i="5"/>
  <c r="C1779" i="5"/>
  <c r="B1779" i="5"/>
  <c r="E1778" i="5"/>
  <c r="D1778" i="5"/>
  <c r="C1778" i="5"/>
  <c r="B1778" i="5"/>
  <c r="E1777" i="5"/>
  <c r="D1777" i="5"/>
  <c r="C1777" i="5"/>
  <c r="B1777" i="5"/>
  <c r="E1776" i="5"/>
  <c r="D1776" i="5"/>
  <c r="C1776" i="5"/>
  <c r="B1776" i="5"/>
  <c r="E1775" i="5"/>
  <c r="D1775" i="5"/>
  <c r="C1775" i="5"/>
  <c r="B1775" i="5"/>
  <c r="E1774" i="5"/>
  <c r="D1774" i="5"/>
  <c r="C1774" i="5"/>
  <c r="B1774" i="5"/>
  <c r="E1773" i="5"/>
  <c r="D1773" i="5"/>
  <c r="C1773" i="5"/>
  <c r="B1773" i="5"/>
  <c r="E1772" i="5"/>
  <c r="D1772" i="5"/>
  <c r="C1772" i="5"/>
  <c r="B1772" i="5"/>
  <c r="E1771" i="5"/>
  <c r="D1771" i="5"/>
  <c r="C1771" i="5"/>
  <c r="B1771" i="5"/>
  <c r="E1770" i="5"/>
  <c r="D1770" i="5"/>
  <c r="C1770" i="5"/>
  <c r="B1770" i="5"/>
  <c r="E1769" i="5"/>
  <c r="D1769" i="5"/>
  <c r="C1769" i="5"/>
  <c r="B1769" i="5"/>
  <c r="E1768" i="5"/>
  <c r="D1768" i="5"/>
  <c r="C1768" i="5"/>
  <c r="B1768" i="5"/>
  <c r="E1767" i="5"/>
  <c r="D1767" i="5"/>
  <c r="C1767" i="5"/>
  <c r="B1767" i="5"/>
  <c r="E1766" i="5"/>
  <c r="D1766" i="5"/>
  <c r="C1766" i="5"/>
  <c r="B1766" i="5"/>
  <c r="E1765" i="5"/>
  <c r="D1765" i="5"/>
  <c r="C1765" i="5"/>
  <c r="B1765" i="5"/>
  <c r="E1764" i="5"/>
  <c r="D1764" i="5"/>
  <c r="C1764" i="5"/>
  <c r="B1764" i="5"/>
  <c r="E1763" i="5"/>
  <c r="D1763" i="5"/>
  <c r="C1763" i="5"/>
  <c r="B1763" i="5"/>
  <c r="E1762" i="5"/>
  <c r="D1762" i="5"/>
  <c r="C1762" i="5"/>
  <c r="B1762" i="5"/>
  <c r="E1761" i="5"/>
  <c r="D1761" i="5"/>
  <c r="C1761" i="5"/>
  <c r="B1761" i="5"/>
  <c r="E1760" i="5"/>
  <c r="D1760" i="5"/>
  <c r="C1760" i="5"/>
  <c r="B1760" i="5"/>
  <c r="E1759" i="5"/>
  <c r="D1759" i="5"/>
  <c r="C1759" i="5"/>
  <c r="B1759" i="5"/>
  <c r="E1758" i="5"/>
  <c r="D1758" i="5"/>
  <c r="C1758" i="5"/>
  <c r="B1758" i="5"/>
  <c r="E1757" i="5"/>
  <c r="D1757" i="5"/>
  <c r="C1757" i="5"/>
  <c r="B1757" i="5"/>
  <c r="E1756" i="5"/>
  <c r="D1756" i="5"/>
  <c r="C1756" i="5"/>
  <c r="B1756" i="5"/>
  <c r="E1755" i="5"/>
  <c r="D1755" i="5"/>
  <c r="C1755" i="5"/>
  <c r="B1755" i="5"/>
  <c r="E1754" i="5"/>
  <c r="D1754" i="5"/>
  <c r="C1754" i="5"/>
  <c r="B1754" i="5"/>
  <c r="E1753" i="5"/>
  <c r="D1753" i="5"/>
  <c r="C1753" i="5"/>
  <c r="B1753" i="5"/>
  <c r="E1752" i="5"/>
  <c r="D1752" i="5"/>
  <c r="C1752" i="5"/>
  <c r="B1752" i="5"/>
  <c r="E1751" i="5"/>
  <c r="D1751" i="5"/>
  <c r="C1751" i="5"/>
  <c r="B1751" i="5"/>
  <c r="E1750" i="5"/>
  <c r="D1750" i="5"/>
  <c r="C1750" i="5"/>
  <c r="B1750" i="5"/>
  <c r="E1749" i="5"/>
  <c r="D1749" i="5"/>
  <c r="C1749" i="5"/>
  <c r="B1749" i="5"/>
  <c r="E1748" i="5"/>
  <c r="D1748" i="5"/>
  <c r="C1748" i="5"/>
  <c r="B1748" i="5"/>
  <c r="E1747" i="5"/>
  <c r="D1747" i="5"/>
  <c r="C1747" i="5"/>
  <c r="B1747" i="5"/>
  <c r="E1746" i="5"/>
  <c r="D1746" i="5"/>
  <c r="C1746" i="5"/>
  <c r="B1746" i="5"/>
  <c r="E1745" i="5"/>
  <c r="D1745" i="5"/>
  <c r="C1745" i="5"/>
  <c r="B1745" i="5"/>
  <c r="E1744" i="5"/>
  <c r="D1744" i="5"/>
  <c r="C1744" i="5"/>
  <c r="B1744" i="5"/>
  <c r="E1743" i="5"/>
  <c r="D1743" i="5"/>
  <c r="C1743" i="5"/>
  <c r="B1743" i="5"/>
  <c r="E1742" i="5"/>
  <c r="D1742" i="5"/>
  <c r="C1742" i="5"/>
  <c r="B1742" i="5"/>
  <c r="E1741" i="5"/>
  <c r="D1741" i="5"/>
  <c r="C1741" i="5"/>
  <c r="B1741" i="5"/>
  <c r="E1740" i="5"/>
  <c r="D1740" i="5"/>
  <c r="C1740" i="5"/>
  <c r="B1740" i="5"/>
  <c r="E1739" i="5"/>
  <c r="D1739" i="5"/>
  <c r="C1739" i="5"/>
  <c r="B1739" i="5"/>
  <c r="E1738" i="5"/>
  <c r="D1738" i="5"/>
  <c r="C1738" i="5"/>
  <c r="B1738" i="5"/>
  <c r="E1737" i="5"/>
  <c r="D1737" i="5"/>
  <c r="C1737" i="5"/>
  <c r="B1737" i="5"/>
  <c r="E1736" i="5"/>
  <c r="D1736" i="5"/>
  <c r="C1736" i="5"/>
  <c r="B1736" i="5"/>
  <c r="E1735" i="5"/>
  <c r="D1735" i="5"/>
  <c r="C1735" i="5"/>
  <c r="B1735" i="5"/>
  <c r="E1734" i="5"/>
  <c r="D1734" i="5"/>
  <c r="C1734" i="5"/>
  <c r="B1734" i="5"/>
  <c r="E1733" i="5"/>
  <c r="D1733" i="5"/>
  <c r="C1733" i="5"/>
  <c r="B1733" i="5"/>
  <c r="E1732" i="5"/>
  <c r="D1732" i="5"/>
  <c r="C1732" i="5"/>
  <c r="B1732" i="5"/>
  <c r="E1731" i="5"/>
  <c r="D1731" i="5"/>
  <c r="C1731" i="5"/>
  <c r="B1731" i="5"/>
  <c r="E1730" i="5"/>
  <c r="D1730" i="5"/>
  <c r="C1730" i="5"/>
  <c r="B1730" i="5"/>
  <c r="E1729" i="5"/>
  <c r="D1729" i="5"/>
  <c r="C1729" i="5"/>
  <c r="B1729" i="5"/>
  <c r="E1728" i="5"/>
  <c r="D1728" i="5"/>
  <c r="C1728" i="5"/>
  <c r="B1728" i="5"/>
  <c r="E1727" i="5"/>
  <c r="D1727" i="5"/>
  <c r="C1727" i="5"/>
  <c r="B1727" i="5"/>
  <c r="E1726" i="5"/>
  <c r="D1726" i="5"/>
  <c r="C1726" i="5"/>
  <c r="B1726" i="5"/>
  <c r="E1725" i="5"/>
  <c r="D1725" i="5"/>
  <c r="C1725" i="5"/>
  <c r="B1725" i="5"/>
  <c r="E1724" i="5"/>
  <c r="D1724" i="5"/>
  <c r="C1724" i="5"/>
  <c r="B1724" i="5"/>
  <c r="E1723" i="5"/>
  <c r="D1723" i="5"/>
  <c r="C1723" i="5"/>
  <c r="B1723" i="5"/>
  <c r="E1722" i="5"/>
  <c r="D1722" i="5"/>
  <c r="C1722" i="5"/>
  <c r="B1722" i="5"/>
  <c r="E1721" i="5"/>
  <c r="D1721" i="5"/>
  <c r="C1721" i="5"/>
  <c r="B1721" i="5"/>
  <c r="E1720" i="5"/>
  <c r="D1720" i="5"/>
  <c r="C1720" i="5"/>
  <c r="B1720" i="5"/>
  <c r="E1719" i="5"/>
  <c r="D1719" i="5"/>
  <c r="C1719" i="5"/>
  <c r="B1719" i="5"/>
  <c r="E1718" i="5"/>
  <c r="D1718" i="5"/>
  <c r="C1718" i="5"/>
  <c r="B1718" i="5"/>
  <c r="E1717" i="5"/>
  <c r="D1717" i="5"/>
  <c r="C1717" i="5"/>
  <c r="B1717" i="5"/>
  <c r="E1716" i="5"/>
  <c r="D1716" i="5"/>
  <c r="C1716" i="5"/>
  <c r="B1716" i="5"/>
  <c r="E1715" i="5"/>
  <c r="D1715" i="5"/>
  <c r="C1715" i="5"/>
  <c r="B1715" i="5"/>
  <c r="E1714" i="5"/>
  <c r="D1714" i="5"/>
  <c r="C1714" i="5"/>
  <c r="B1714" i="5"/>
  <c r="E1713" i="5"/>
  <c r="D1713" i="5"/>
  <c r="C1713" i="5"/>
  <c r="B1713" i="5"/>
  <c r="E1712" i="5"/>
  <c r="D1712" i="5"/>
  <c r="C1712" i="5"/>
  <c r="B1712" i="5"/>
  <c r="E1711" i="5"/>
  <c r="D1711" i="5"/>
  <c r="C1711" i="5"/>
  <c r="B1711" i="5"/>
  <c r="E1710" i="5"/>
  <c r="D1710" i="5"/>
  <c r="C1710" i="5"/>
  <c r="B1710" i="5"/>
  <c r="E1709" i="5"/>
  <c r="D1709" i="5"/>
  <c r="C1709" i="5"/>
  <c r="B1709" i="5"/>
  <c r="E1708" i="5"/>
  <c r="D1708" i="5"/>
  <c r="C1708" i="5"/>
  <c r="B1708" i="5"/>
  <c r="E1707" i="5"/>
  <c r="D1707" i="5"/>
  <c r="C1707" i="5"/>
  <c r="B1707" i="5"/>
  <c r="E1706" i="5"/>
  <c r="D1706" i="5"/>
  <c r="C1706" i="5"/>
  <c r="B1706" i="5"/>
  <c r="E1705" i="5"/>
  <c r="D1705" i="5"/>
  <c r="C1705" i="5"/>
  <c r="B1705" i="5"/>
  <c r="E1704" i="5"/>
  <c r="D1704" i="5"/>
  <c r="C1704" i="5"/>
  <c r="B1704" i="5"/>
  <c r="E1703" i="5"/>
  <c r="D1703" i="5"/>
  <c r="C1703" i="5"/>
  <c r="B1703" i="5"/>
  <c r="E1702" i="5"/>
  <c r="D1702" i="5"/>
  <c r="C1702" i="5"/>
  <c r="B1702" i="5"/>
  <c r="E1701" i="5"/>
  <c r="D1701" i="5"/>
  <c r="C1701" i="5"/>
  <c r="B1701" i="5"/>
  <c r="E1700" i="5"/>
  <c r="D1700" i="5"/>
  <c r="C1700" i="5"/>
  <c r="B1700" i="5"/>
  <c r="E1699" i="5"/>
  <c r="D1699" i="5"/>
  <c r="C1699" i="5"/>
  <c r="B1699" i="5"/>
  <c r="E1698" i="5"/>
  <c r="D1698" i="5"/>
  <c r="C1698" i="5"/>
  <c r="B1698" i="5"/>
  <c r="E1697" i="5"/>
  <c r="D1697" i="5"/>
  <c r="C1697" i="5"/>
  <c r="B1697" i="5"/>
  <c r="E1696" i="5"/>
  <c r="D1696" i="5"/>
  <c r="C1696" i="5"/>
  <c r="B1696" i="5"/>
  <c r="E1695" i="5"/>
  <c r="D1695" i="5"/>
  <c r="C1695" i="5"/>
  <c r="B1695" i="5"/>
  <c r="E1694" i="5"/>
  <c r="D1694" i="5"/>
  <c r="C1694" i="5"/>
  <c r="B1694" i="5"/>
  <c r="E1693" i="5"/>
  <c r="D1693" i="5"/>
  <c r="C1693" i="5"/>
  <c r="B1693" i="5"/>
  <c r="E1692" i="5"/>
  <c r="D1692" i="5"/>
  <c r="C1692" i="5"/>
  <c r="B1692" i="5"/>
  <c r="E1691" i="5"/>
  <c r="D1691" i="5"/>
  <c r="C1691" i="5"/>
  <c r="B1691" i="5"/>
  <c r="E1690" i="5"/>
  <c r="D1690" i="5"/>
  <c r="C1690" i="5"/>
  <c r="B1690" i="5"/>
  <c r="E1689" i="5"/>
  <c r="D1689" i="5"/>
  <c r="C1689" i="5"/>
  <c r="B1689" i="5"/>
  <c r="E1688" i="5"/>
  <c r="D1688" i="5"/>
  <c r="C1688" i="5"/>
  <c r="B1688" i="5"/>
  <c r="E1687" i="5"/>
  <c r="D1687" i="5"/>
  <c r="C1687" i="5"/>
  <c r="B1687" i="5"/>
  <c r="E1686" i="5"/>
  <c r="D1686" i="5"/>
  <c r="C1686" i="5"/>
  <c r="B1686" i="5"/>
  <c r="E1685" i="5"/>
  <c r="D1685" i="5"/>
  <c r="C1685" i="5"/>
  <c r="B1685" i="5"/>
  <c r="E1684" i="5"/>
  <c r="D1684" i="5"/>
  <c r="C1684" i="5"/>
  <c r="B1684" i="5"/>
  <c r="E1683" i="5"/>
  <c r="D1683" i="5"/>
  <c r="C1683" i="5"/>
  <c r="B1683" i="5"/>
  <c r="E1682" i="5"/>
  <c r="D1682" i="5"/>
  <c r="C1682" i="5"/>
  <c r="B1682" i="5"/>
  <c r="E1681" i="5"/>
  <c r="D1681" i="5"/>
  <c r="C1681" i="5"/>
  <c r="B1681" i="5"/>
  <c r="E1680" i="5"/>
  <c r="D1680" i="5"/>
  <c r="C1680" i="5"/>
  <c r="B1680" i="5"/>
  <c r="E1679" i="5"/>
  <c r="D1679" i="5"/>
  <c r="C1679" i="5"/>
  <c r="B1679" i="5"/>
  <c r="E1678" i="5"/>
  <c r="D1678" i="5"/>
  <c r="C1678" i="5"/>
  <c r="B1678" i="5"/>
  <c r="E1677" i="5"/>
  <c r="D1677" i="5"/>
  <c r="C1677" i="5"/>
  <c r="B1677" i="5"/>
  <c r="E1676" i="5"/>
  <c r="D1676" i="5"/>
  <c r="C1676" i="5"/>
  <c r="B1676" i="5"/>
  <c r="E1675" i="5"/>
  <c r="D1675" i="5"/>
  <c r="C1675" i="5"/>
  <c r="B1675" i="5"/>
  <c r="E1674" i="5"/>
  <c r="D1674" i="5"/>
  <c r="C1674" i="5"/>
  <c r="B1674" i="5"/>
  <c r="E1673" i="5"/>
  <c r="D1673" i="5"/>
  <c r="C1673" i="5"/>
  <c r="B1673" i="5"/>
  <c r="E1672" i="5"/>
  <c r="D1672" i="5"/>
  <c r="C1672" i="5"/>
  <c r="B1672" i="5"/>
  <c r="E1671" i="5"/>
  <c r="D1671" i="5"/>
  <c r="C1671" i="5"/>
  <c r="B1671" i="5"/>
  <c r="E1670" i="5"/>
  <c r="D1670" i="5"/>
  <c r="C1670" i="5"/>
  <c r="B1670" i="5"/>
  <c r="E1669" i="5"/>
  <c r="D1669" i="5"/>
  <c r="C1669" i="5"/>
  <c r="B1669" i="5"/>
  <c r="E1668" i="5"/>
  <c r="D1668" i="5"/>
  <c r="C1668" i="5"/>
  <c r="B1668" i="5"/>
  <c r="E1667" i="5"/>
  <c r="D1667" i="5"/>
  <c r="C1667" i="5"/>
  <c r="B1667" i="5"/>
  <c r="E1666" i="5"/>
  <c r="D1666" i="5"/>
  <c r="C1666" i="5"/>
  <c r="B1666" i="5"/>
  <c r="E1665" i="5"/>
  <c r="D1665" i="5"/>
  <c r="C1665" i="5"/>
  <c r="B1665" i="5"/>
  <c r="E1664" i="5"/>
  <c r="D1664" i="5"/>
  <c r="C1664" i="5"/>
  <c r="B1664" i="5"/>
  <c r="E1663" i="5"/>
  <c r="D1663" i="5"/>
  <c r="C1663" i="5"/>
  <c r="B1663" i="5"/>
  <c r="E1662" i="5"/>
  <c r="D1662" i="5"/>
  <c r="C1662" i="5"/>
  <c r="B1662" i="5"/>
  <c r="E1661" i="5"/>
  <c r="D1661" i="5"/>
  <c r="C1661" i="5"/>
  <c r="B1661" i="5"/>
  <c r="E1660" i="5"/>
  <c r="D1660" i="5"/>
  <c r="C1660" i="5"/>
  <c r="B1660" i="5"/>
  <c r="E1659" i="5"/>
  <c r="D1659" i="5"/>
  <c r="C1659" i="5"/>
  <c r="B1659" i="5"/>
  <c r="E1658" i="5"/>
  <c r="D1658" i="5"/>
  <c r="C1658" i="5"/>
  <c r="B1658" i="5"/>
  <c r="E1657" i="5"/>
  <c r="D1657" i="5"/>
  <c r="C1657" i="5"/>
  <c r="B1657" i="5"/>
  <c r="E1656" i="5"/>
  <c r="D1656" i="5"/>
  <c r="C1656" i="5"/>
  <c r="B1656" i="5"/>
  <c r="E1655" i="5"/>
  <c r="D1655" i="5"/>
  <c r="C1655" i="5"/>
  <c r="B1655" i="5"/>
  <c r="E1654" i="5"/>
  <c r="D1654" i="5"/>
  <c r="C1654" i="5"/>
  <c r="B1654" i="5"/>
  <c r="E1653" i="5"/>
  <c r="D1653" i="5"/>
  <c r="C1653" i="5"/>
  <c r="B1653" i="5"/>
  <c r="E1652" i="5"/>
  <c r="D1652" i="5"/>
  <c r="C1652" i="5"/>
  <c r="B1652" i="5"/>
  <c r="E1651" i="5"/>
  <c r="D1651" i="5"/>
  <c r="C1651" i="5"/>
  <c r="B1651" i="5"/>
  <c r="E1650" i="5"/>
  <c r="D1650" i="5"/>
  <c r="C1650" i="5"/>
  <c r="B1650" i="5"/>
  <c r="E1649" i="5"/>
  <c r="D1649" i="5"/>
  <c r="C1649" i="5"/>
  <c r="B1649" i="5"/>
  <c r="E1648" i="5"/>
  <c r="D1648" i="5"/>
  <c r="C1648" i="5"/>
  <c r="B1648" i="5"/>
  <c r="E1647" i="5"/>
  <c r="D1647" i="5"/>
  <c r="C1647" i="5"/>
  <c r="B1647" i="5"/>
  <c r="E1646" i="5"/>
  <c r="D1646" i="5"/>
  <c r="C1646" i="5"/>
  <c r="B1646" i="5"/>
  <c r="E1645" i="5"/>
  <c r="D1645" i="5"/>
  <c r="C1645" i="5"/>
  <c r="B1645" i="5"/>
  <c r="E1644" i="5"/>
  <c r="D1644" i="5"/>
  <c r="C1644" i="5"/>
  <c r="B1644" i="5"/>
  <c r="E1643" i="5"/>
  <c r="D1643" i="5"/>
  <c r="C1643" i="5"/>
  <c r="B1643" i="5"/>
  <c r="E1642" i="5"/>
  <c r="D1642" i="5"/>
  <c r="C1642" i="5"/>
  <c r="B1642" i="5"/>
  <c r="E1641" i="5"/>
  <c r="D1641" i="5"/>
  <c r="C1641" i="5"/>
  <c r="B1641" i="5"/>
  <c r="E1640" i="5"/>
  <c r="D1640" i="5"/>
  <c r="C1640" i="5"/>
  <c r="B1640" i="5"/>
  <c r="E1639" i="5"/>
  <c r="D1639" i="5"/>
  <c r="C1639" i="5"/>
  <c r="B1639" i="5"/>
  <c r="E1638" i="5"/>
  <c r="D1638" i="5"/>
  <c r="C1638" i="5"/>
  <c r="B1638" i="5"/>
  <c r="E1637" i="5"/>
  <c r="D1637" i="5"/>
  <c r="C1637" i="5"/>
  <c r="B1637" i="5"/>
  <c r="E1636" i="5"/>
  <c r="D1636" i="5"/>
  <c r="C1636" i="5"/>
  <c r="B1636" i="5"/>
  <c r="E1635" i="5"/>
  <c r="D1635" i="5"/>
  <c r="C1635" i="5"/>
  <c r="B1635" i="5"/>
  <c r="E1634" i="5"/>
  <c r="D1634" i="5"/>
  <c r="C1634" i="5"/>
  <c r="B1634" i="5"/>
  <c r="E1633" i="5"/>
  <c r="D1633" i="5"/>
  <c r="C1633" i="5"/>
  <c r="B1633" i="5"/>
  <c r="E1632" i="5"/>
  <c r="D1632" i="5"/>
  <c r="C1632" i="5"/>
  <c r="B1632" i="5"/>
  <c r="E1631" i="5"/>
  <c r="D1631" i="5"/>
  <c r="C1631" i="5"/>
  <c r="B1631" i="5"/>
  <c r="E1630" i="5"/>
  <c r="D1630" i="5"/>
  <c r="C1630" i="5"/>
  <c r="B1630" i="5"/>
  <c r="E1629" i="5"/>
  <c r="D1629" i="5"/>
  <c r="C1629" i="5"/>
  <c r="B1629" i="5"/>
  <c r="E1628" i="5"/>
  <c r="D1628" i="5"/>
  <c r="C1628" i="5"/>
  <c r="B1628" i="5"/>
  <c r="E1627" i="5"/>
  <c r="D1627" i="5"/>
  <c r="C1627" i="5"/>
  <c r="B1627" i="5"/>
  <c r="E1626" i="5"/>
  <c r="D1626" i="5"/>
  <c r="C1626" i="5"/>
  <c r="B1626" i="5"/>
  <c r="E1625" i="5"/>
  <c r="D1625" i="5"/>
  <c r="C1625" i="5"/>
  <c r="B1625" i="5"/>
  <c r="E1624" i="5"/>
  <c r="D1624" i="5"/>
  <c r="C1624" i="5"/>
  <c r="B1624" i="5"/>
  <c r="E1623" i="5"/>
  <c r="D1623" i="5"/>
  <c r="C1623" i="5"/>
  <c r="B1623" i="5"/>
  <c r="E1622" i="5"/>
  <c r="D1622" i="5"/>
  <c r="C1622" i="5"/>
  <c r="B1622" i="5"/>
  <c r="E1621" i="5"/>
  <c r="D1621" i="5"/>
  <c r="C1621" i="5"/>
  <c r="B1621" i="5"/>
  <c r="E1620" i="5"/>
  <c r="D1620" i="5"/>
  <c r="C1620" i="5"/>
  <c r="B1620" i="5"/>
  <c r="E1619" i="5"/>
  <c r="D1619" i="5"/>
  <c r="C1619" i="5"/>
  <c r="B1619" i="5"/>
  <c r="E1618" i="5"/>
  <c r="D1618" i="5"/>
  <c r="C1618" i="5"/>
  <c r="B1618" i="5"/>
  <c r="E1617" i="5"/>
  <c r="D1617" i="5"/>
  <c r="C1617" i="5"/>
  <c r="B1617" i="5"/>
  <c r="E1616" i="5"/>
  <c r="D1616" i="5"/>
  <c r="C1616" i="5"/>
  <c r="B1616" i="5"/>
  <c r="E1615" i="5"/>
  <c r="D1615" i="5"/>
  <c r="C1615" i="5"/>
  <c r="B1615" i="5"/>
  <c r="E1614" i="5"/>
  <c r="D1614" i="5"/>
  <c r="C1614" i="5"/>
  <c r="B1614" i="5"/>
  <c r="E1613" i="5"/>
  <c r="D1613" i="5"/>
  <c r="C1613" i="5"/>
  <c r="B1613" i="5"/>
  <c r="E1612" i="5"/>
  <c r="D1612" i="5"/>
  <c r="C1612" i="5"/>
  <c r="B1612" i="5"/>
  <c r="E1611" i="5"/>
  <c r="D1611" i="5"/>
  <c r="C1611" i="5"/>
  <c r="B1611" i="5"/>
  <c r="E1610" i="5"/>
  <c r="D1610" i="5"/>
  <c r="C1610" i="5"/>
  <c r="B1610" i="5"/>
  <c r="E1609" i="5"/>
  <c r="D1609" i="5"/>
  <c r="C1609" i="5"/>
  <c r="B1609" i="5"/>
  <c r="E1608" i="5"/>
  <c r="D1608" i="5"/>
  <c r="C1608" i="5"/>
  <c r="B1608" i="5"/>
  <c r="E1607" i="5"/>
  <c r="D1607" i="5"/>
  <c r="C1607" i="5"/>
  <c r="B1607" i="5"/>
  <c r="E1606" i="5"/>
  <c r="D1606" i="5"/>
  <c r="C1606" i="5"/>
  <c r="B1606" i="5"/>
  <c r="E1605" i="5"/>
  <c r="D1605" i="5"/>
  <c r="C1605" i="5"/>
  <c r="B1605" i="5"/>
  <c r="E1604" i="5"/>
  <c r="D1604" i="5"/>
  <c r="C1604" i="5"/>
  <c r="B1604" i="5"/>
  <c r="E1603" i="5"/>
  <c r="D1603" i="5"/>
  <c r="C1603" i="5"/>
  <c r="B1603" i="5"/>
  <c r="E1602" i="5"/>
  <c r="D1602" i="5"/>
  <c r="C1602" i="5"/>
  <c r="B1602" i="5"/>
  <c r="E1601" i="5"/>
  <c r="D1601" i="5"/>
  <c r="C1601" i="5"/>
  <c r="B1601" i="5"/>
  <c r="E1600" i="5"/>
  <c r="D1600" i="5"/>
  <c r="C1600" i="5"/>
  <c r="B1600" i="5"/>
  <c r="E1599" i="5"/>
  <c r="D1599" i="5"/>
  <c r="C1599" i="5"/>
  <c r="B1599" i="5"/>
  <c r="E1598" i="5"/>
  <c r="D1598" i="5"/>
  <c r="C1598" i="5"/>
  <c r="B1598" i="5"/>
  <c r="E1597" i="5"/>
  <c r="D1597" i="5"/>
  <c r="C1597" i="5"/>
  <c r="B1597" i="5"/>
  <c r="E1596" i="5"/>
  <c r="D1596" i="5"/>
  <c r="C1596" i="5"/>
  <c r="B1596" i="5"/>
  <c r="E1595" i="5"/>
  <c r="D1595" i="5"/>
  <c r="C1595" i="5"/>
  <c r="B1595" i="5"/>
  <c r="E1594" i="5"/>
  <c r="D1594" i="5"/>
  <c r="C1594" i="5"/>
  <c r="B1594" i="5"/>
  <c r="E1593" i="5"/>
  <c r="D1593" i="5"/>
  <c r="C1593" i="5"/>
  <c r="B1593" i="5"/>
  <c r="E1592" i="5"/>
  <c r="D1592" i="5"/>
  <c r="C1592" i="5"/>
  <c r="B1592" i="5"/>
  <c r="E1591" i="5"/>
  <c r="D1591" i="5"/>
  <c r="C1591" i="5"/>
  <c r="B1591" i="5"/>
  <c r="E1590" i="5"/>
  <c r="D1590" i="5"/>
  <c r="C1590" i="5"/>
  <c r="B1590" i="5"/>
  <c r="E1589" i="5"/>
  <c r="D1589" i="5"/>
  <c r="C1589" i="5"/>
  <c r="B1589" i="5"/>
  <c r="E1588" i="5"/>
  <c r="D1588" i="5"/>
  <c r="C1588" i="5"/>
  <c r="B1588" i="5"/>
  <c r="E1587" i="5"/>
  <c r="D1587" i="5"/>
  <c r="C1587" i="5"/>
  <c r="B1587" i="5"/>
  <c r="E1586" i="5"/>
  <c r="D1586" i="5"/>
  <c r="C1586" i="5"/>
  <c r="B1586" i="5"/>
  <c r="E1585" i="5"/>
  <c r="D1585" i="5"/>
  <c r="C1585" i="5"/>
  <c r="B1585" i="5"/>
  <c r="E1584" i="5"/>
  <c r="D1584" i="5"/>
  <c r="C1584" i="5"/>
  <c r="B1584" i="5"/>
  <c r="E1583" i="5"/>
  <c r="D1583" i="5"/>
  <c r="C1583" i="5"/>
  <c r="B1583" i="5"/>
  <c r="E1582" i="5"/>
  <c r="D1582" i="5"/>
  <c r="C1582" i="5"/>
  <c r="B1582" i="5"/>
  <c r="E1581" i="5"/>
  <c r="D1581" i="5"/>
  <c r="C1581" i="5"/>
  <c r="B1581" i="5"/>
  <c r="E1580" i="5"/>
  <c r="D1580" i="5"/>
  <c r="C1580" i="5"/>
  <c r="B1580" i="5"/>
  <c r="E1579" i="5"/>
  <c r="D1579" i="5"/>
  <c r="C1579" i="5"/>
  <c r="B1579" i="5"/>
  <c r="E1578" i="5"/>
  <c r="D1578" i="5"/>
  <c r="C1578" i="5"/>
  <c r="B1578" i="5"/>
  <c r="E1577" i="5"/>
  <c r="D1577" i="5"/>
  <c r="C1577" i="5"/>
  <c r="B1577" i="5"/>
  <c r="E1576" i="5"/>
  <c r="D1576" i="5"/>
  <c r="C1576" i="5"/>
  <c r="B1576" i="5"/>
  <c r="E1575" i="5"/>
  <c r="D1575" i="5"/>
  <c r="C1575" i="5"/>
  <c r="B1575" i="5"/>
  <c r="E1574" i="5"/>
  <c r="D1574" i="5"/>
  <c r="C1574" i="5"/>
  <c r="B1574" i="5"/>
  <c r="E1573" i="5"/>
  <c r="D1573" i="5"/>
  <c r="C1573" i="5"/>
  <c r="B1573" i="5"/>
  <c r="E1572" i="5"/>
  <c r="D1572" i="5"/>
  <c r="C1572" i="5"/>
  <c r="B1572" i="5"/>
  <c r="E1571" i="5"/>
  <c r="D1571" i="5"/>
  <c r="C1571" i="5"/>
  <c r="B1571" i="5"/>
  <c r="E1570" i="5"/>
  <c r="D1570" i="5"/>
  <c r="C1570" i="5"/>
  <c r="B1570" i="5"/>
  <c r="E1569" i="5"/>
  <c r="D1569" i="5"/>
  <c r="C1569" i="5"/>
  <c r="B1569" i="5"/>
  <c r="E1568" i="5"/>
  <c r="D1568" i="5"/>
  <c r="C1568" i="5"/>
  <c r="B1568" i="5"/>
  <c r="E1567" i="5"/>
  <c r="D1567" i="5"/>
  <c r="C1567" i="5"/>
  <c r="B1567" i="5"/>
  <c r="E1566" i="5"/>
  <c r="D1566" i="5"/>
  <c r="C1566" i="5"/>
  <c r="B1566" i="5"/>
  <c r="E1565" i="5"/>
  <c r="D1565" i="5"/>
  <c r="C1565" i="5"/>
  <c r="B1565" i="5"/>
  <c r="E1564" i="5"/>
  <c r="D1564" i="5"/>
  <c r="C1564" i="5"/>
  <c r="B1564" i="5"/>
  <c r="E1563" i="5"/>
  <c r="D1563" i="5"/>
  <c r="C1563" i="5"/>
  <c r="B1563" i="5"/>
  <c r="E1562" i="5"/>
  <c r="D1562" i="5"/>
  <c r="C1562" i="5"/>
  <c r="B1562" i="5"/>
  <c r="E1561" i="5"/>
  <c r="D1561" i="5"/>
  <c r="C1561" i="5"/>
  <c r="B1561" i="5"/>
  <c r="E1560" i="5"/>
  <c r="D1560" i="5"/>
  <c r="C1560" i="5"/>
  <c r="B1560" i="5"/>
  <c r="E1559" i="5"/>
  <c r="D1559" i="5"/>
  <c r="C1559" i="5"/>
  <c r="B1559" i="5"/>
  <c r="E1558" i="5"/>
  <c r="D1558" i="5"/>
  <c r="C1558" i="5"/>
  <c r="B1558" i="5"/>
  <c r="E1557" i="5"/>
  <c r="D1557" i="5"/>
  <c r="C1557" i="5"/>
  <c r="B1557" i="5"/>
  <c r="E1556" i="5"/>
  <c r="D1556" i="5"/>
  <c r="C1556" i="5"/>
  <c r="B1556" i="5"/>
  <c r="E1555" i="5"/>
  <c r="D1555" i="5"/>
  <c r="C1555" i="5"/>
  <c r="B1555" i="5"/>
  <c r="E1554" i="5"/>
  <c r="D1554" i="5"/>
  <c r="C1554" i="5"/>
  <c r="B1554" i="5"/>
  <c r="E1553" i="5"/>
  <c r="D1553" i="5"/>
  <c r="C1553" i="5"/>
  <c r="B1553" i="5"/>
  <c r="E1552" i="5"/>
  <c r="D1552" i="5"/>
  <c r="C1552" i="5"/>
  <c r="B1552" i="5"/>
  <c r="E1551" i="5"/>
  <c r="D1551" i="5"/>
  <c r="C1551" i="5"/>
  <c r="B1551" i="5"/>
  <c r="E1550" i="5"/>
  <c r="D1550" i="5"/>
  <c r="C1550" i="5"/>
  <c r="B1550" i="5"/>
  <c r="E1549" i="5"/>
  <c r="D1549" i="5"/>
  <c r="C1549" i="5"/>
  <c r="B1549" i="5"/>
  <c r="E1548" i="5"/>
  <c r="D1548" i="5"/>
  <c r="C1548" i="5"/>
  <c r="B1548" i="5"/>
  <c r="E1547" i="5"/>
  <c r="D1547" i="5"/>
  <c r="C1547" i="5"/>
  <c r="B1547" i="5"/>
  <c r="E1546" i="5"/>
  <c r="D1546" i="5"/>
  <c r="C1546" i="5"/>
  <c r="B1546" i="5"/>
  <c r="E1545" i="5"/>
  <c r="D1545" i="5"/>
  <c r="C1545" i="5"/>
  <c r="B1545" i="5"/>
  <c r="E1544" i="5"/>
  <c r="D1544" i="5"/>
  <c r="C1544" i="5"/>
  <c r="B1544" i="5"/>
  <c r="E1543" i="5"/>
  <c r="D1543" i="5"/>
  <c r="C1543" i="5"/>
  <c r="B1543" i="5"/>
  <c r="E1542" i="5"/>
  <c r="D1542" i="5"/>
  <c r="C1542" i="5"/>
  <c r="B1542" i="5"/>
  <c r="E1541" i="5"/>
  <c r="D1541" i="5"/>
  <c r="C1541" i="5"/>
  <c r="B1541" i="5"/>
  <c r="E1540" i="5"/>
  <c r="D1540" i="5"/>
  <c r="C1540" i="5"/>
  <c r="B1540" i="5"/>
  <c r="E1539" i="5"/>
  <c r="D1539" i="5"/>
  <c r="C1539" i="5"/>
  <c r="B1539" i="5"/>
  <c r="E1538" i="5"/>
  <c r="D1538" i="5"/>
  <c r="C1538" i="5"/>
  <c r="B1538" i="5"/>
  <c r="E1537" i="5"/>
  <c r="D1537" i="5"/>
  <c r="C1537" i="5"/>
  <c r="B1537" i="5"/>
  <c r="E1536" i="5"/>
  <c r="D1536" i="5"/>
  <c r="C1536" i="5"/>
  <c r="B1536" i="5"/>
  <c r="E1535" i="5"/>
  <c r="D1535" i="5"/>
  <c r="C1535" i="5"/>
  <c r="B1535" i="5"/>
  <c r="E1534" i="5"/>
  <c r="D1534" i="5"/>
  <c r="C1534" i="5"/>
  <c r="B1534" i="5"/>
  <c r="E1533" i="5"/>
  <c r="D1533" i="5"/>
  <c r="C1533" i="5"/>
  <c r="B1533" i="5"/>
  <c r="E1532" i="5"/>
  <c r="D1532" i="5"/>
  <c r="C1532" i="5"/>
  <c r="B1532" i="5"/>
  <c r="E1531" i="5"/>
  <c r="D1531" i="5"/>
  <c r="C1531" i="5"/>
  <c r="B1531" i="5"/>
  <c r="E1530" i="5"/>
  <c r="D1530" i="5"/>
  <c r="C1530" i="5"/>
  <c r="B1530" i="5"/>
  <c r="E1529" i="5"/>
  <c r="D1529" i="5"/>
  <c r="C1529" i="5"/>
  <c r="B1529" i="5"/>
  <c r="E1528" i="5"/>
  <c r="D1528" i="5"/>
  <c r="C1528" i="5"/>
  <c r="B1528" i="5"/>
  <c r="E1527" i="5"/>
  <c r="D1527" i="5"/>
  <c r="C1527" i="5"/>
  <c r="B1527" i="5"/>
  <c r="E1526" i="5"/>
  <c r="D1526" i="5"/>
  <c r="C1526" i="5"/>
  <c r="B1526" i="5"/>
  <c r="E1525" i="5"/>
  <c r="D1525" i="5"/>
  <c r="C1525" i="5"/>
  <c r="B1525" i="5"/>
  <c r="E1524" i="5"/>
  <c r="D1524" i="5"/>
  <c r="C1524" i="5"/>
  <c r="B1524" i="5"/>
  <c r="E1523" i="5"/>
  <c r="D1523" i="5"/>
  <c r="C1523" i="5"/>
  <c r="B1523" i="5"/>
  <c r="E1522" i="5"/>
  <c r="D1522" i="5"/>
  <c r="C1522" i="5"/>
  <c r="B1522" i="5"/>
  <c r="E1521" i="5"/>
  <c r="D1521" i="5"/>
  <c r="C1521" i="5"/>
  <c r="B1521" i="5"/>
  <c r="E1520" i="5"/>
  <c r="D1520" i="5"/>
  <c r="C1520" i="5"/>
  <c r="B1520" i="5"/>
  <c r="E1519" i="5"/>
  <c r="D1519" i="5"/>
  <c r="C1519" i="5"/>
  <c r="B1519" i="5"/>
  <c r="E1518" i="5"/>
  <c r="D1518" i="5"/>
  <c r="C1518" i="5"/>
  <c r="B1518" i="5"/>
  <c r="E1517" i="5"/>
  <c r="D1517" i="5"/>
  <c r="C1517" i="5"/>
  <c r="B1517" i="5"/>
  <c r="E1516" i="5"/>
  <c r="D1516" i="5"/>
  <c r="C1516" i="5"/>
  <c r="B1516" i="5"/>
  <c r="E1515" i="5"/>
  <c r="D1515" i="5"/>
  <c r="C1515" i="5"/>
  <c r="B1515" i="5"/>
  <c r="E1514" i="5"/>
  <c r="D1514" i="5"/>
  <c r="C1514" i="5"/>
  <c r="B1514" i="5"/>
  <c r="E1513" i="5"/>
  <c r="D1513" i="5"/>
  <c r="C1513" i="5"/>
  <c r="B1513" i="5"/>
  <c r="E1512" i="5"/>
  <c r="D1512" i="5"/>
  <c r="C1512" i="5"/>
  <c r="B1512" i="5"/>
  <c r="E1511" i="5"/>
  <c r="D1511" i="5"/>
  <c r="C1511" i="5"/>
  <c r="B1511" i="5"/>
  <c r="E1510" i="5"/>
  <c r="D1510" i="5"/>
  <c r="C1510" i="5"/>
  <c r="B1510" i="5"/>
  <c r="E1509" i="5"/>
  <c r="D1509" i="5"/>
  <c r="C1509" i="5"/>
  <c r="B1509" i="5"/>
  <c r="E1508" i="5"/>
  <c r="D1508" i="5"/>
  <c r="C1508" i="5"/>
  <c r="B1508" i="5"/>
  <c r="E1507" i="5"/>
  <c r="D1507" i="5"/>
  <c r="C1507" i="5"/>
  <c r="B1507" i="5"/>
  <c r="E1506" i="5"/>
  <c r="D1506" i="5"/>
  <c r="C1506" i="5"/>
  <c r="B1506" i="5"/>
  <c r="E1505" i="5"/>
  <c r="D1505" i="5"/>
  <c r="C1505" i="5"/>
  <c r="B1505" i="5"/>
  <c r="E1504" i="5"/>
  <c r="D1504" i="5"/>
  <c r="C1504" i="5"/>
  <c r="B1504" i="5"/>
  <c r="E1503" i="5"/>
  <c r="D1503" i="5"/>
  <c r="C1503" i="5"/>
  <c r="B1503" i="5"/>
  <c r="E1502" i="5"/>
  <c r="D1502" i="5"/>
  <c r="C1502" i="5"/>
  <c r="B1502" i="5"/>
  <c r="E1501" i="5"/>
  <c r="D1501" i="5"/>
  <c r="C1501" i="5"/>
  <c r="B1501" i="5"/>
  <c r="E1500" i="5"/>
  <c r="D1500" i="5"/>
  <c r="C1500" i="5"/>
  <c r="B1500" i="5"/>
  <c r="E1499" i="5"/>
  <c r="D1499" i="5"/>
  <c r="C1499" i="5"/>
  <c r="B1499" i="5"/>
  <c r="E1498" i="5"/>
  <c r="D1498" i="5"/>
  <c r="C1498" i="5"/>
  <c r="B1498" i="5"/>
  <c r="E1497" i="5"/>
  <c r="D1497" i="5"/>
  <c r="C1497" i="5"/>
  <c r="B1497" i="5"/>
  <c r="E1496" i="5"/>
  <c r="D1496" i="5"/>
  <c r="C1496" i="5"/>
  <c r="B1496" i="5"/>
  <c r="E1495" i="5"/>
  <c r="D1495" i="5"/>
  <c r="C1495" i="5"/>
  <c r="B1495" i="5"/>
  <c r="E1494" i="5"/>
  <c r="D1494" i="5"/>
  <c r="C1494" i="5"/>
  <c r="B1494" i="5"/>
  <c r="E1493" i="5"/>
  <c r="D1493" i="5"/>
  <c r="C1493" i="5"/>
  <c r="B1493" i="5"/>
  <c r="E1492" i="5"/>
  <c r="D1492" i="5"/>
  <c r="C1492" i="5"/>
  <c r="B1492" i="5"/>
  <c r="E1491" i="5"/>
  <c r="D1491" i="5"/>
  <c r="C1491" i="5"/>
  <c r="B1491" i="5"/>
  <c r="E1490" i="5"/>
  <c r="D1490" i="5"/>
  <c r="C1490" i="5"/>
  <c r="B1490" i="5"/>
  <c r="E1489" i="5"/>
  <c r="D1489" i="5"/>
  <c r="C1489" i="5"/>
  <c r="B1489" i="5"/>
  <c r="E1488" i="5"/>
  <c r="D1488" i="5"/>
  <c r="C1488" i="5"/>
  <c r="B1488" i="5"/>
  <c r="E1487" i="5"/>
  <c r="D1487" i="5"/>
  <c r="C1487" i="5"/>
  <c r="B1487" i="5"/>
  <c r="E1486" i="5"/>
  <c r="D1486" i="5"/>
  <c r="C1486" i="5"/>
  <c r="B1486" i="5"/>
  <c r="E1485" i="5"/>
  <c r="D1485" i="5"/>
  <c r="C1485" i="5"/>
  <c r="B1485" i="5"/>
  <c r="E1484" i="5"/>
  <c r="D1484" i="5"/>
  <c r="C1484" i="5"/>
  <c r="B1484" i="5"/>
  <c r="E1483" i="5"/>
  <c r="D1483" i="5"/>
  <c r="C1483" i="5"/>
  <c r="B1483" i="5"/>
  <c r="E1482" i="5"/>
  <c r="D1482" i="5"/>
  <c r="C1482" i="5"/>
  <c r="B1482" i="5"/>
  <c r="E1481" i="5"/>
  <c r="D1481" i="5"/>
  <c r="C1481" i="5"/>
  <c r="B1481" i="5"/>
  <c r="E1480" i="5"/>
  <c r="D1480" i="5"/>
  <c r="C1480" i="5"/>
  <c r="B1480" i="5"/>
  <c r="E1479" i="5"/>
  <c r="D1479" i="5"/>
  <c r="C1479" i="5"/>
  <c r="B1479" i="5"/>
  <c r="E1478" i="5"/>
  <c r="D1478" i="5"/>
  <c r="C1478" i="5"/>
  <c r="B1478" i="5"/>
  <c r="E1477" i="5"/>
  <c r="D1477" i="5"/>
  <c r="C1477" i="5"/>
  <c r="B1477" i="5"/>
  <c r="E1476" i="5"/>
  <c r="D1476" i="5"/>
  <c r="C1476" i="5"/>
  <c r="B1476" i="5"/>
  <c r="E1475" i="5"/>
  <c r="D1475" i="5"/>
  <c r="C1475" i="5"/>
  <c r="B1475" i="5"/>
  <c r="E1474" i="5"/>
  <c r="D1474" i="5"/>
  <c r="C1474" i="5"/>
  <c r="B1474" i="5"/>
  <c r="E1473" i="5"/>
  <c r="D1473" i="5"/>
  <c r="C1473" i="5"/>
  <c r="B1473" i="5"/>
  <c r="E1472" i="5"/>
  <c r="D1472" i="5"/>
  <c r="C1472" i="5"/>
  <c r="B1472" i="5"/>
  <c r="E1471" i="5"/>
  <c r="D1471" i="5"/>
  <c r="C1471" i="5"/>
  <c r="B1471" i="5"/>
  <c r="E1470" i="5"/>
  <c r="D1470" i="5"/>
  <c r="C1470" i="5"/>
  <c r="B1470" i="5"/>
  <c r="E1469" i="5"/>
  <c r="D1469" i="5"/>
  <c r="C1469" i="5"/>
  <c r="B1469" i="5"/>
  <c r="E1468" i="5"/>
  <c r="D1468" i="5"/>
  <c r="C1468" i="5"/>
  <c r="B1468" i="5"/>
  <c r="E1467" i="5"/>
  <c r="D1467" i="5"/>
  <c r="C1467" i="5"/>
  <c r="B1467" i="5"/>
  <c r="E1466" i="5"/>
  <c r="D1466" i="5"/>
  <c r="C1466" i="5"/>
  <c r="B1466" i="5"/>
  <c r="E1465" i="5"/>
  <c r="D1465" i="5"/>
  <c r="C1465" i="5"/>
  <c r="B1465" i="5"/>
  <c r="E1464" i="5"/>
  <c r="D1464" i="5"/>
  <c r="C1464" i="5"/>
  <c r="B1464" i="5"/>
  <c r="E1463" i="5"/>
  <c r="D1463" i="5"/>
  <c r="C1463" i="5"/>
  <c r="B1463" i="5"/>
  <c r="E1462" i="5"/>
  <c r="D1462" i="5"/>
  <c r="C1462" i="5"/>
  <c r="B1462" i="5"/>
  <c r="E1461" i="5"/>
  <c r="D1461" i="5"/>
  <c r="C1461" i="5"/>
  <c r="B1461" i="5"/>
  <c r="E1460" i="5"/>
  <c r="D1460" i="5"/>
  <c r="C1460" i="5"/>
  <c r="B1460" i="5"/>
  <c r="E1459" i="5"/>
  <c r="D1459" i="5"/>
  <c r="C1459" i="5"/>
  <c r="B1459" i="5"/>
  <c r="E1458" i="5"/>
  <c r="D1458" i="5"/>
  <c r="C1458" i="5"/>
  <c r="B1458" i="5"/>
  <c r="E1457" i="5"/>
  <c r="D1457" i="5"/>
  <c r="C1457" i="5"/>
  <c r="B1457" i="5"/>
  <c r="E1456" i="5"/>
  <c r="D1456" i="5"/>
  <c r="C1456" i="5"/>
  <c r="B1456" i="5"/>
  <c r="E1455" i="5"/>
  <c r="D1455" i="5"/>
  <c r="C1455" i="5"/>
  <c r="B1455" i="5"/>
  <c r="E1454" i="5"/>
  <c r="D1454" i="5"/>
  <c r="C1454" i="5"/>
  <c r="B1454" i="5"/>
  <c r="E1453" i="5"/>
  <c r="D1453" i="5"/>
  <c r="C1453" i="5"/>
  <c r="B1453" i="5"/>
  <c r="E1452" i="5"/>
  <c r="D1452" i="5"/>
  <c r="C1452" i="5"/>
  <c r="B1452" i="5"/>
  <c r="E1451" i="5"/>
  <c r="D1451" i="5"/>
  <c r="C1451" i="5"/>
  <c r="B1451" i="5"/>
  <c r="E1450" i="5"/>
  <c r="D1450" i="5"/>
  <c r="C1450" i="5"/>
  <c r="B1450" i="5"/>
  <c r="E1449" i="5"/>
  <c r="D1449" i="5"/>
  <c r="C1449" i="5"/>
  <c r="B1449" i="5"/>
  <c r="E1448" i="5"/>
  <c r="D1448" i="5"/>
  <c r="C1448" i="5"/>
  <c r="B1448" i="5"/>
  <c r="E1447" i="5"/>
  <c r="D1447" i="5"/>
  <c r="C1447" i="5"/>
  <c r="B1447" i="5"/>
  <c r="E1446" i="5"/>
  <c r="D1446" i="5"/>
  <c r="C1446" i="5"/>
  <c r="B1446" i="5"/>
  <c r="E1445" i="5"/>
  <c r="D1445" i="5"/>
  <c r="C1445" i="5"/>
  <c r="B1445" i="5"/>
  <c r="E1444" i="5"/>
  <c r="D1444" i="5"/>
  <c r="C1444" i="5"/>
  <c r="B1444" i="5"/>
  <c r="E1443" i="5"/>
  <c r="D1443" i="5"/>
  <c r="C1443" i="5"/>
  <c r="B1443" i="5"/>
  <c r="E1442" i="5"/>
  <c r="D1442" i="5"/>
  <c r="C1442" i="5"/>
  <c r="B1442" i="5"/>
  <c r="E1441" i="5"/>
  <c r="D1441" i="5"/>
  <c r="C1441" i="5"/>
  <c r="B1441" i="5"/>
  <c r="E1440" i="5"/>
  <c r="D1440" i="5"/>
  <c r="C1440" i="5"/>
  <c r="B1440" i="5"/>
  <c r="E1439" i="5"/>
  <c r="D1439" i="5"/>
  <c r="C1439" i="5"/>
  <c r="B1439" i="5"/>
  <c r="E1438" i="5"/>
  <c r="D1438" i="5"/>
  <c r="C1438" i="5"/>
  <c r="B1438" i="5"/>
  <c r="E1437" i="5"/>
  <c r="D1437" i="5"/>
  <c r="C1437" i="5"/>
  <c r="B1437" i="5"/>
  <c r="E1436" i="5"/>
  <c r="D1436" i="5"/>
  <c r="C1436" i="5"/>
  <c r="B1436" i="5"/>
  <c r="E1435" i="5"/>
  <c r="D1435" i="5"/>
  <c r="C1435" i="5"/>
  <c r="B1435" i="5"/>
  <c r="E1434" i="5"/>
  <c r="D1434" i="5"/>
  <c r="C1434" i="5"/>
  <c r="B1434" i="5"/>
  <c r="E1433" i="5"/>
  <c r="D1433" i="5"/>
  <c r="C1433" i="5"/>
  <c r="B1433" i="5"/>
  <c r="E1432" i="5"/>
  <c r="D1432" i="5"/>
  <c r="C1432" i="5"/>
  <c r="B1432" i="5"/>
  <c r="E1431" i="5"/>
  <c r="D1431" i="5"/>
  <c r="C1431" i="5"/>
  <c r="B1431" i="5"/>
  <c r="E1430" i="5"/>
  <c r="D1430" i="5"/>
  <c r="C1430" i="5"/>
  <c r="B1430" i="5"/>
  <c r="E1429" i="5"/>
  <c r="D1429" i="5"/>
  <c r="C1429" i="5"/>
  <c r="B1429" i="5"/>
  <c r="E1428" i="5"/>
  <c r="D1428" i="5"/>
  <c r="C1428" i="5"/>
  <c r="B1428" i="5"/>
  <c r="E1427" i="5"/>
  <c r="D1427" i="5"/>
  <c r="C1427" i="5"/>
  <c r="B1427" i="5"/>
  <c r="E1426" i="5"/>
  <c r="D1426" i="5"/>
  <c r="C1426" i="5"/>
  <c r="B1426" i="5"/>
  <c r="E1425" i="5"/>
  <c r="D1425" i="5"/>
  <c r="C1425" i="5"/>
  <c r="B1425" i="5"/>
  <c r="E1424" i="5"/>
  <c r="D1424" i="5"/>
  <c r="C1424" i="5"/>
  <c r="B1424" i="5"/>
  <c r="E1423" i="5"/>
  <c r="D1423" i="5"/>
  <c r="C1423" i="5"/>
  <c r="B1423" i="5"/>
  <c r="E1422" i="5"/>
  <c r="D1422" i="5"/>
  <c r="C1422" i="5"/>
  <c r="B1422" i="5"/>
  <c r="E1421" i="5"/>
  <c r="D1421" i="5"/>
  <c r="C1421" i="5"/>
  <c r="B1421" i="5"/>
  <c r="E1420" i="5"/>
  <c r="D1420" i="5"/>
  <c r="C1420" i="5"/>
  <c r="B1420" i="5"/>
  <c r="E1419" i="5"/>
  <c r="D1419" i="5"/>
  <c r="C1419" i="5"/>
  <c r="B1419" i="5"/>
  <c r="E1418" i="5"/>
  <c r="D1418" i="5"/>
  <c r="C1418" i="5"/>
  <c r="B1418" i="5"/>
  <c r="E1417" i="5"/>
  <c r="D1417" i="5"/>
  <c r="C1417" i="5"/>
  <c r="B1417" i="5"/>
  <c r="E1416" i="5"/>
  <c r="D1416" i="5"/>
  <c r="C1416" i="5"/>
  <c r="B1416" i="5"/>
  <c r="E1415" i="5"/>
  <c r="D1415" i="5"/>
  <c r="C1415" i="5"/>
  <c r="B1415" i="5"/>
  <c r="E1414" i="5"/>
  <c r="D1414" i="5"/>
  <c r="C1414" i="5"/>
  <c r="B1414" i="5"/>
  <c r="E1413" i="5"/>
  <c r="D1413" i="5"/>
  <c r="C1413" i="5"/>
  <c r="B1413" i="5"/>
  <c r="E1412" i="5"/>
  <c r="D1412" i="5"/>
  <c r="C1412" i="5"/>
  <c r="B1412" i="5"/>
  <c r="E1411" i="5"/>
  <c r="D1411" i="5"/>
  <c r="C1411" i="5"/>
  <c r="B1411" i="5"/>
  <c r="E1410" i="5"/>
  <c r="D1410" i="5"/>
  <c r="C1410" i="5"/>
  <c r="B1410" i="5"/>
  <c r="E1409" i="5"/>
  <c r="D1409" i="5"/>
  <c r="C1409" i="5"/>
  <c r="B1409" i="5"/>
  <c r="E1408" i="5"/>
  <c r="D1408" i="5"/>
  <c r="C1408" i="5"/>
  <c r="B1408" i="5"/>
  <c r="E1407" i="5"/>
  <c r="D1407" i="5"/>
  <c r="C1407" i="5"/>
  <c r="B1407" i="5"/>
  <c r="E1406" i="5"/>
  <c r="D1406" i="5"/>
  <c r="C1406" i="5"/>
  <c r="B1406" i="5"/>
  <c r="E1405" i="5"/>
  <c r="D1405" i="5"/>
  <c r="C1405" i="5"/>
  <c r="B1405" i="5"/>
  <c r="E1404" i="5"/>
  <c r="D1404" i="5"/>
  <c r="C1404" i="5"/>
  <c r="B1404" i="5"/>
  <c r="E1403" i="5"/>
  <c r="D1403" i="5"/>
  <c r="C1403" i="5"/>
  <c r="B1403" i="5"/>
  <c r="E1402" i="5"/>
  <c r="D1402" i="5"/>
  <c r="C1402" i="5"/>
  <c r="B1402" i="5"/>
  <c r="E1401" i="5"/>
  <c r="D1401" i="5"/>
  <c r="C1401" i="5"/>
  <c r="B1401" i="5"/>
  <c r="E1400" i="5"/>
  <c r="D1400" i="5"/>
  <c r="C1400" i="5"/>
  <c r="B1400" i="5"/>
  <c r="E1399" i="5"/>
  <c r="D1399" i="5"/>
  <c r="C1399" i="5"/>
  <c r="B1399" i="5"/>
  <c r="E1398" i="5"/>
  <c r="D1398" i="5"/>
  <c r="C1398" i="5"/>
  <c r="B1398" i="5"/>
  <c r="E1397" i="5"/>
  <c r="D1397" i="5"/>
  <c r="C1397" i="5"/>
  <c r="B1397" i="5"/>
  <c r="E1396" i="5"/>
  <c r="D1396" i="5"/>
  <c r="C1396" i="5"/>
  <c r="B1396" i="5"/>
  <c r="E1395" i="5"/>
  <c r="D1395" i="5"/>
  <c r="C1395" i="5"/>
  <c r="B1395" i="5"/>
  <c r="E1394" i="5"/>
  <c r="D1394" i="5"/>
  <c r="C1394" i="5"/>
  <c r="B1394" i="5"/>
  <c r="E1393" i="5"/>
  <c r="D1393" i="5"/>
  <c r="C1393" i="5"/>
  <c r="B1393" i="5"/>
  <c r="E1392" i="5"/>
  <c r="D1392" i="5"/>
  <c r="C1392" i="5"/>
  <c r="B1392" i="5"/>
  <c r="E1391" i="5"/>
  <c r="D1391" i="5"/>
  <c r="C1391" i="5"/>
  <c r="B1391" i="5"/>
  <c r="E1390" i="5"/>
  <c r="D1390" i="5"/>
  <c r="C1390" i="5"/>
  <c r="B1390" i="5"/>
  <c r="E1389" i="5"/>
  <c r="D1389" i="5"/>
  <c r="C1389" i="5"/>
  <c r="B1389" i="5"/>
  <c r="E1388" i="5"/>
  <c r="D1388" i="5"/>
  <c r="C1388" i="5"/>
  <c r="B1388" i="5"/>
  <c r="E1387" i="5"/>
  <c r="D1387" i="5"/>
  <c r="C1387" i="5"/>
  <c r="B1387" i="5"/>
  <c r="E1386" i="5"/>
  <c r="D1386" i="5"/>
  <c r="C1386" i="5"/>
  <c r="B1386" i="5"/>
  <c r="E1385" i="5"/>
  <c r="D1385" i="5"/>
  <c r="C1385" i="5"/>
  <c r="B1385" i="5"/>
  <c r="E1384" i="5"/>
  <c r="D1384" i="5"/>
  <c r="C1384" i="5"/>
  <c r="B1384" i="5"/>
  <c r="E1383" i="5"/>
  <c r="D1383" i="5"/>
  <c r="C1383" i="5"/>
  <c r="B1383" i="5"/>
  <c r="E1382" i="5"/>
  <c r="D1382" i="5"/>
  <c r="C1382" i="5"/>
  <c r="B1382" i="5"/>
  <c r="E1381" i="5"/>
  <c r="D1381" i="5"/>
  <c r="C1381" i="5"/>
  <c r="B1381" i="5"/>
  <c r="E1380" i="5"/>
  <c r="D1380" i="5"/>
  <c r="C1380" i="5"/>
  <c r="B1380" i="5"/>
  <c r="E1379" i="5"/>
  <c r="D1379" i="5"/>
  <c r="C1379" i="5"/>
  <c r="B1379" i="5"/>
  <c r="E1378" i="5"/>
  <c r="D1378" i="5"/>
  <c r="C1378" i="5"/>
  <c r="B1378" i="5"/>
  <c r="E1377" i="5"/>
  <c r="D1377" i="5"/>
  <c r="C1377" i="5"/>
  <c r="B1377" i="5"/>
  <c r="E1376" i="5"/>
  <c r="D1376" i="5"/>
  <c r="C1376" i="5"/>
  <c r="B1376" i="5"/>
  <c r="E1375" i="5"/>
  <c r="D1375" i="5"/>
  <c r="C1375" i="5"/>
  <c r="B1375" i="5"/>
  <c r="E1374" i="5"/>
  <c r="D1374" i="5"/>
  <c r="C1374" i="5"/>
  <c r="B1374" i="5"/>
  <c r="E1373" i="5"/>
  <c r="D1373" i="5"/>
  <c r="C1373" i="5"/>
  <c r="B1373" i="5"/>
  <c r="E1372" i="5"/>
  <c r="D1372" i="5"/>
  <c r="C1372" i="5"/>
  <c r="B1372" i="5"/>
  <c r="E1371" i="5"/>
  <c r="D1371" i="5"/>
  <c r="C1371" i="5"/>
  <c r="B1371" i="5"/>
  <c r="E1370" i="5"/>
  <c r="D1370" i="5"/>
  <c r="C1370" i="5"/>
  <c r="B1370" i="5"/>
  <c r="E1369" i="5"/>
  <c r="D1369" i="5"/>
  <c r="C1369" i="5"/>
  <c r="B1369" i="5"/>
  <c r="E1368" i="5"/>
  <c r="D1368" i="5"/>
  <c r="C1368" i="5"/>
  <c r="B1368" i="5"/>
  <c r="E1367" i="5"/>
  <c r="D1367" i="5"/>
  <c r="C1367" i="5"/>
  <c r="B1367" i="5"/>
  <c r="E1366" i="5"/>
  <c r="D1366" i="5"/>
  <c r="C1366" i="5"/>
  <c r="B1366" i="5"/>
  <c r="E1365" i="5"/>
  <c r="D1365" i="5"/>
  <c r="C1365" i="5"/>
  <c r="B1365" i="5"/>
  <c r="E1364" i="5"/>
  <c r="D1364" i="5"/>
  <c r="C1364" i="5"/>
  <c r="B1364" i="5"/>
  <c r="E1363" i="5"/>
  <c r="D1363" i="5"/>
  <c r="C1363" i="5"/>
  <c r="B1363" i="5"/>
  <c r="E1362" i="5"/>
  <c r="D1362" i="5"/>
  <c r="C1362" i="5"/>
  <c r="B1362" i="5"/>
  <c r="E1361" i="5"/>
  <c r="D1361" i="5"/>
  <c r="C1361" i="5"/>
  <c r="B1361" i="5"/>
  <c r="E1360" i="5"/>
  <c r="D1360" i="5"/>
  <c r="C1360" i="5"/>
  <c r="B1360" i="5"/>
  <c r="E1359" i="5"/>
  <c r="D1359" i="5"/>
  <c r="C1359" i="5"/>
  <c r="B1359" i="5"/>
  <c r="E1358" i="5"/>
  <c r="D1358" i="5"/>
  <c r="C1358" i="5"/>
  <c r="B1358" i="5"/>
  <c r="E1357" i="5"/>
  <c r="D1357" i="5"/>
  <c r="C1357" i="5"/>
  <c r="B1357" i="5"/>
  <c r="E1356" i="5"/>
  <c r="D1356" i="5"/>
  <c r="C1356" i="5"/>
  <c r="B1356" i="5"/>
  <c r="E1355" i="5"/>
  <c r="D1355" i="5"/>
  <c r="C1355" i="5"/>
  <c r="B1355" i="5"/>
  <c r="E1354" i="5"/>
  <c r="D1354" i="5"/>
  <c r="C1354" i="5"/>
  <c r="B1354" i="5"/>
  <c r="E1353" i="5"/>
  <c r="D1353" i="5"/>
  <c r="C1353" i="5"/>
  <c r="B1353" i="5"/>
  <c r="E1352" i="5"/>
  <c r="D1352" i="5"/>
  <c r="C1352" i="5"/>
  <c r="B1352" i="5"/>
  <c r="E1351" i="5"/>
  <c r="D1351" i="5"/>
  <c r="C1351" i="5"/>
  <c r="B1351" i="5"/>
  <c r="E1350" i="5"/>
  <c r="D1350" i="5"/>
  <c r="C1350" i="5"/>
  <c r="B1350" i="5"/>
  <c r="E1349" i="5"/>
  <c r="D1349" i="5"/>
  <c r="C1349" i="5"/>
  <c r="B1349" i="5"/>
  <c r="E1348" i="5"/>
  <c r="D1348" i="5"/>
  <c r="C1348" i="5"/>
  <c r="B1348" i="5"/>
  <c r="E1347" i="5"/>
  <c r="D1347" i="5"/>
  <c r="C1347" i="5"/>
  <c r="B1347" i="5"/>
  <c r="E1346" i="5"/>
  <c r="D1346" i="5"/>
  <c r="C1346" i="5"/>
  <c r="B1346" i="5"/>
  <c r="E1345" i="5"/>
  <c r="D1345" i="5"/>
  <c r="C1345" i="5"/>
  <c r="B1345" i="5"/>
  <c r="E1344" i="5"/>
  <c r="D1344" i="5"/>
  <c r="C1344" i="5"/>
  <c r="B1344" i="5"/>
  <c r="E1343" i="5"/>
  <c r="D1343" i="5"/>
  <c r="C1343" i="5"/>
  <c r="B1343" i="5"/>
  <c r="E1342" i="5"/>
  <c r="D1342" i="5"/>
  <c r="C1342" i="5"/>
  <c r="B1342" i="5"/>
  <c r="E1341" i="5"/>
  <c r="D1341" i="5"/>
  <c r="C1341" i="5"/>
  <c r="B1341" i="5"/>
  <c r="E1340" i="5"/>
  <c r="D1340" i="5"/>
  <c r="C1340" i="5"/>
  <c r="B1340" i="5"/>
  <c r="E1339" i="5"/>
  <c r="D1339" i="5"/>
  <c r="C1339" i="5"/>
  <c r="B1339" i="5"/>
  <c r="E1338" i="5"/>
  <c r="D1338" i="5"/>
  <c r="C1338" i="5"/>
  <c r="B1338" i="5"/>
  <c r="E1337" i="5"/>
  <c r="D1337" i="5"/>
  <c r="C1337" i="5"/>
  <c r="B1337" i="5"/>
  <c r="E1336" i="5"/>
  <c r="D1336" i="5"/>
  <c r="C1336" i="5"/>
  <c r="B1336" i="5"/>
  <c r="E1335" i="5"/>
  <c r="D1335" i="5"/>
  <c r="C1335" i="5"/>
  <c r="B1335" i="5"/>
  <c r="E1334" i="5"/>
  <c r="D1334" i="5"/>
  <c r="C1334" i="5"/>
  <c r="B1334" i="5"/>
  <c r="E1333" i="5"/>
  <c r="D1333" i="5"/>
  <c r="C1333" i="5"/>
  <c r="B1333" i="5"/>
  <c r="E1332" i="5"/>
  <c r="D1332" i="5"/>
  <c r="C1332" i="5"/>
  <c r="B1332" i="5"/>
  <c r="E1331" i="5"/>
  <c r="D1331" i="5"/>
  <c r="C1331" i="5"/>
  <c r="B1331" i="5"/>
  <c r="E1330" i="5"/>
  <c r="D1330" i="5"/>
  <c r="C1330" i="5"/>
  <c r="B1330" i="5"/>
  <c r="E1329" i="5"/>
  <c r="D1329" i="5"/>
  <c r="C1329" i="5"/>
  <c r="B1329" i="5"/>
  <c r="E1328" i="5"/>
  <c r="D1328" i="5"/>
  <c r="C1328" i="5"/>
  <c r="B1328" i="5"/>
  <c r="E1327" i="5"/>
  <c r="D1327" i="5"/>
  <c r="C1327" i="5"/>
  <c r="B1327" i="5"/>
  <c r="E1326" i="5"/>
  <c r="D1326" i="5"/>
  <c r="C1326" i="5"/>
  <c r="B1326" i="5"/>
  <c r="E1325" i="5"/>
  <c r="D1325" i="5"/>
  <c r="C1325" i="5"/>
  <c r="B1325" i="5"/>
  <c r="E1324" i="5"/>
  <c r="D1324" i="5"/>
  <c r="C1324" i="5"/>
  <c r="B1324" i="5"/>
  <c r="E1323" i="5"/>
  <c r="D1323" i="5"/>
  <c r="C1323" i="5"/>
  <c r="B1323" i="5"/>
  <c r="E1322" i="5"/>
  <c r="D1322" i="5"/>
  <c r="C1322" i="5"/>
  <c r="B1322" i="5"/>
  <c r="E1321" i="5"/>
  <c r="D1321" i="5"/>
  <c r="C1321" i="5"/>
  <c r="B1321" i="5"/>
  <c r="E1320" i="5"/>
  <c r="D1320" i="5"/>
  <c r="C1320" i="5"/>
  <c r="B1320" i="5"/>
  <c r="E1319" i="5"/>
  <c r="D1319" i="5"/>
  <c r="C1319" i="5"/>
  <c r="B1319" i="5"/>
  <c r="E1318" i="5"/>
  <c r="D1318" i="5"/>
  <c r="C1318" i="5"/>
  <c r="B1318" i="5"/>
  <c r="E1317" i="5"/>
  <c r="D1317" i="5"/>
  <c r="C1317" i="5"/>
  <c r="B1317" i="5"/>
  <c r="E1316" i="5"/>
  <c r="D1316" i="5"/>
  <c r="C1316" i="5"/>
  <c r="B1316" i="5"/>
  <c r="E1315" i="5"/>
  <c r="D1315" i="5"/>
  <c r="C1315" i="5"/>
  <c r="B1315" i="5"/>
  <c r="E1314" i="5"/>
  <c r="D1314" i="5"/>
  <c r="C1314" i="5"/>
  <c r="B1314" i="5"/>
  <c r="E1313" i="5"/>
  <c r="D1313" i="5"/>
  <c r="C1313" i="5"/>
  <c r="B1313" i="5"/>
  <c r="E1312" i="5"/>
  <c r="D1312" i="5"/>
  <c r="C1312" i="5"/>
  <c r="B1312" i="5"/>
  <c r="E1311" i="5"/>
  <c r="D1311" i="5"/>
  <c r="C1311" i="5"/>
  <c r="B1311" i="5"/>
  <c r="E1310" i="5"/>
  <c r="D1310" i="5"/>
  <c r="C1310" i="5"/>
  <c r="B1310" i="5"/>
  <c r="E1309" i="5"/>
  <c r="D1309" i="5"/>
  <c r="C1309" i="5"/>
  <c r="B1309" i="5"/>
  <c r="E1308" i="5"/>
  <c r="D1308" i="5"/>
  <c r="C1308" i="5"/>
  <c r="B1308" i="5"/>
  <c r="E1307" i="5"/>
  <c r="D1307" i="5"/>
  <c r="C1307" i="5"/>
  <c r="B1307" i="5"/>
  <c r="E1306" i="5"/>
  <c r="D1306" i="5"/>
  <c r="C1306" i="5"/>
  <c r="B1306" i="5"/>
  <c r="E1305" i="5"/>
  <c r="D1305" i="5"/>
  <c r="C1305" i="5"/>
  <c r="B1305" i="5"/>
  <c r="E1304" i="5"/>
  <c r="D1304" i="5"/>
  <c r="C1304" i="5"/>
  <c r="B1304" i="5"/>
  <c r="E1303" i="5"/>
  <c r="D1303" i="5"/>
  <c r="C1303" i="5"/>
  <c r="B1303" i="5"/>
  <c r="E1302" i="5"/>
  <c r="D1302" i="5"/>
  <c r="C1302" i="5"/>
  <c r="B1302" i="5"/>
  <c r="E1301" i="5"/>
  <c r="D1301" i="5"/>
  <c r="C1301" i="5"/>
  <c r="B1301" i="5"/>
  <c r="E1300" i="5"/>
  <c r="D1300" i="5"/>
  <c r="C1300" i="5"/>
  <c r="B1300" i="5"/>
  <c r="E1299" i="5"/>
  <c r="D1299" i="5"/>
  <c r="C1299" i="5"/>
  <c r="B1299" i="5"/>
  <c r="E1298" i="5"/>
  <c r="D1298" i="5"/>
  <c r="C1298" i="5"/>
  <c r="B1298" i="5"/>
  <c r="E1297" i="5"/>
  <c r="D1297" i="5"/>
  <c r="C1297" i="5"/>
  <c r="B1297" i="5"/>
  <c r="E1296" i="5"/>
  <c r="D1296" i="5"/>
  <c r="C1296" i="5"/>
  <c r="B1296" i="5"/>
  <c r="E1295" i="5"/>
  <c r="D1295" i="5"/>
  <c r="C1295" i="5"/>
  <c r="B1295" i="5"/>
  <c r="E1294" i="5"/>
  <c r="D1294" i="5"/>
  <c r="C1294" i="5"/>
  <c r="B1294" i="5"/>
  <c r="E1293" i="5"/>
  <c r="D1293" i="5"/>
  <c r="C1293" i="5"/>
  <c r="B1293" i="5"/>
  <c r="E1292" i="5"/>
  <c r="D1292" i="5"/>
  <c r="C1292" i="5"/>
  <c r="B1292" i="5"/>
  <c r="E1291" i="5"/>
  <c r="D1291" i="5"/>
  <c r="C1291" i="5"/>
  <c r="B1291" i="5"/>
  <c r="E1290" i="5"/>
  <c r="D1290" i="5"/>
  <c r="C1290" i="5"/>
  <c r="B1290" i="5"/>
  <c r="E1289" i="5"/>
  <c r="D1289" i="5"/>
  <c r="C1289" i="5"/>
  <c r="B1289" i="5"/>
  <c r="E1288" i="5"/>
  <c r="D1288" i="5"/>
  <c r="C1288" i="5"/>
  <c r="B1288" i="5"/>
  <c r="E1287" i="5"/>
  <c r="D1287" i="5"/>
  <c r="C1287" i="5"/>
  <c r="B1287" i="5"/>
  <c r="E1286" i="5"/>
  <c r="D1286" i="5"/>
  <c r="C1286" i="5"/>
  <c r="B1286" i="5"/>
  <c r="E1285" i="5"/>
  <c r="D1285" i="5"/>
  <c r="C1285" i="5"/>
  <c r="B1285" i="5"/>
  <c r="E1284" i="5"/>
  <c r="D1284" i="5"/>
  <c r="C1284" i="5"/>
  <c r="B1284" i="5"/>
  <c r="E1283" i="5"/>
  <c r="D1283" i="5"/>
  <c r="C1283" i="5"/>
  <c r="B1283" i="5"/>
  <c r="E1282" i="5"/>
  <c r="D1282" i="5"/>
  <c r="C1282" i="5"/>
  <c r="B1282" i="5"/>
  <c r="E1281" i="5"/>
  <c r="D1281" i="5"/>
  <c r="C1281" i="5"/>
  <c r="B1281" i="5"/>
  <c r="E1280" i="5"/>
  <c r="D1280" i="5"/>
  <c r="C1280" i="5"/>
  <c r="B1280" i="5"/>
  <c r="E1279" i="5"/>
  <c r="D1279" i="5"/>
  <c r="C1279" i="5"/>
  <c r="B1279" i="5"/>
  <c r="E1278" i="5"/>
  <c r="D1278" i="5"/>
  <c r="C1278" i="5"/>
  <c r="B1278" i="5"/>
  <c r="E1277" i="5"/>
  <c r="D1277" i="5"/>
  <c r="C1277" i="5"/>
  <c r="B1277" i="5"/>
  <c r="E1276" i="5"/>
  <c r="D1276" i="5"/>
  <c r="C1276" i="5"/>
  <c r="B1276" i="5"/>
  <c r="E1275" i="5"/>
  <c r="D1275" i="5"/>
  <c r="C1275" i="5"/>
  <c r="B1275" i="5"/>
  <c r="E1274" i="5"/>
  <c r="D1274" i="5"/>
  <c r="C1274" i="5"/>
  <c r="B1274" i="5"/>
  <c r="E1273" i="5"/>
  <c r="D1273" i="5"/>
  <c r="C1273" i="5"/>
  <c r="B1273" i="5"/>
  <c r="E1272" i="5"/>
  <c r="D1272" i="5"/>
  <c r="C1272" i="5"/>
  <c r="B1272" i="5"/>
  <c r="E1271" i="5"/>
  <c r="D1271" i="5"/>
  <c r="C1271" i="5"/>
  <c r="B1271" i="5"/>
  <c r="E1270" i="5"/>
  <c r="D1270" i="5"/>
  <c r="C1270" i="5"/>
  <c r="B1270" i="5"/>
  <c r="E1269" i="5"/>
  <c r="D1269" i="5"/>
  <c r="C1269" i="5"/>
  <c r="B1269" i="5"/>
  <c r="E1268" i="5"/>
  <c r="D1268" i="5"/>
  <c r="C1268" i="5"/>
  <c r="B1268" i="5"/>
  <c r="E1267" i="5"/>
  <c r="D1267" i="5"/>
  <c r="C1267" i="5"/>
  <c r="B1267" i="5"/>
  <c r="E1266" i="5"/>
  <c r="D1266" i="5"/>
  <c r="C1266" i="5"/>
  <c r="B1266" i="5"/>
  <c r="E1265" i="5"/>
  <c r="D1265" i="5"/>
  <c r="C1265" i="5"/>
  <c r="B1265" i="5"/>
  <c r="E1264" i="5"/>
  <c r="D1264" i="5"/>
  <c r="C1264" i="5"/>
  <c r="B1264" i="5"/>
  <c r="E1263" i="5"/>
  <c r="D1263" i="5"/>
  <c r="C1263" i="5"/>
  <c r="B1263" i="5"/>
  <c r="E1262" i="5"/>
  <c r="D1262" i="5"/>
  <c r="C1262" i="5"/>
  <c r="B1262" i="5"/>
  <c r="E1261" i="5"/>
  <c r="D1261" i="5"/>
  <c r="C1261" i="5"/>
  <c r="B1261" i="5"/>
  <c r="E1260" i="5"/>
  <c r="D1260" i="5"/>
  <c r="C1260" i="5"/>
  <c r="B1260" i="5"/>
  <c r="E1259" i="5"/>
  <c r="D1259" i="5"/>
  <c r="C1259" i="5"/>
  <c r="B1259" i="5"/>
  <c r="E1258" i="5"/>
  <c r="D1258" i="5"/>
  <c r="C1258" i="5"/>
  <c r="B1258" i="5"/>
  <c r="E1257" i="5"/>
  <c r="D1257" i="5"/>
  <c r="C1257" i="5"/>
  <c r="B1257" i="5"/>
  <c r="E1256" i="5"/>
  <c r="D1256" i="5"/>
  <c r="C1256" i="5"/>
  <c r="B1256" i="5"/>
  <c r="E1255" i="5"/>
  <c r="D1255" i="5"/>
  <c r="C1255" i="5"/>
  <c r="B1255" i="5"/>
  <c r="E1254" i="5"/>
  <c r="D1254" i="5"/>
  <c r="C1254" i="5"/>
  <c r="B1254" i="5"/>
  <c r="E1253" i="5"/>
  <c r="D1253" i="5"/>
  <c r="C1253" i="5"/>
  <c r="B1253" i="5"/>
  <c r="E1252" i="5"/>
  <c r="D1252" i="5"/>
  <c r="C1252" i="5"/>
  <c r="B1252" i="5"/>
  <c r="E1251" i="5"/>
  <c r="D1251" i="5"/>
  <c r="C1251" i="5"/>
  <c r="B1251" i="5"/>
  <c r="E1250" i="5"/>
  <c r="D1250" i="5"/>
  <c r="C1250" i="5"/>
  <c r="B1250" i="5"/>
  <c r="E1249" i="5"/>
  <c r="D1249" i="5"/>
  <c r="C1249" i="5"/>
  <c r="B1249" i="5"/>
  <c r="E1248" i="5"/>
  <c r="D1248" i="5"/>
  <c r="C1248" i="5"/>
  <c r="B1248" i="5"/>
  <c r="E1247" i="5"/>
  <c r="D1247" i="5"/>
  <c r="C1247" i="5"/>
  <c r="B1247" i="5"/>
  <c r="E1246" i="5"/>
  <c r="D1246" i="5"/>
  <c r="C1246" i="5"/>
  <c r="B1246" i="5"/>
  <c r="E1245" i="5"/>
  <c r="D1245" i="5"/>
  <c r="C1245" i="5"/>
  <c r="B1245" i="5"/>
  <c r="E1244" i="5"/>
  <c r="D1244" i="5"/>
  <c r="C1244" i="5"/>
  <c r="B1244" i="5"/>
  <c r="E1243" i="5"/>
  <c r="D1243" i="5"/>
  <c r="C1243" i="5"/>
  <c r="B1243" i="5"/>
  <c r="E1242" i="5"/>
  <c r="D1242" i="5"/>
  <c r="C1242" i="5"/>
  <c r="B1242" i="5"/>
  <c r="E1241" i="5"/>
  <c r="D1241" i="5"/>
  <c r="C1241" i="5"/>
  <c r="B1241" i="5"/>
  <c r="E1240" i="5"/>
  <c r="D1240" i="5"/>
  <c r="C1240" i="5"/>
  <c r="B1240" i="5"/>
  <c r="E1239" i="5"/>
  <c r="D1239" i="5"/>
  <c r="C1239" i="5"/>
  <c r="B1239" i="5"/>
  <c r="E1238" i="5"/>
  <c r="D1238" i="5"/>
  <c r="C1238" i="5"/>
  <c r="B1238" i="5"/>
  <c r="E1237" i="5"/>
  <c r="D1237" i="5"/>
  <c r="C1237" i="5"/>
  <c r="B1237" i="5"/>
  <c r="E1236" i="5"/>
  <c r="D1236" i="5"/>
  <c r="C1236" i="5"/>
  <c r="B1236" i="5"/>
  <c r="E1235" i="5"/>
  <c r="D1235" i="5"/>
  <c r="C1235" i="5"/>
  <c r="B1235" i="5"/>
  <c r="E1234" i="5"/>
  <c r="D1234" i="5"/>
  <c r="C1234" i="5"/>
  <c r="B1234" i="5"/>
  <c r="E1233" i="5"/>
  <c r="D1233" i="5"/>
  <c r="C1233" i="5"/>
  <c r="B1233" i="5"/>
  <c r="E1232" i="5"/>
  <c r="D1232" i="5"/>
  <c r="C1232" i="5"/>
  <c r="B1232" i="5"/>
  <c r="E1231" i="5"/>
  <c r="D1231" i="5"/>
  <c r="C1231" i="5"/>
  <c r="B1231" i="5"/>
  <c r="E1230" i="5"/>
  <c r="D1230" i="5"/>
  <c r="C1230" i="5"/>
  <c r="B1230" i="5"/>
  <c r="E1229" i="5"/>
  <c r="D1229" i="5"/>
  <c r="C1229" i="5"/>
  <c r="B1229" i="5"/>
  <c r="E1228" i="5"/>
  <c r="D1228" i="5"/>
  <c r="C1228" i="5"/>
  <c r="B1228" i="5"/>
  <c r="E1227" i="5"/>
  <c r="D1227" i="5"/>
  <c r="C1227" i="5"/>
  <c r="B1227" i="5"/>
  <c r="E1226" i="5"/>
  <c r="D1226" i="5"/>
  <c r="C1226" i="5"/>
  <c r="B1226" i="5"/>
  <c r="E1225" i="5"/>
  <c r="D1225" i="5"/>
  <c r="C1225" i="5"/>
  <c r="B1225" i="5"/>
  <c r="E1224" i="5"/>
  <c r="D1224" i="5"/>
  <c r="C1224" i="5"/>
  <c r="B1224" i="5"/>
  <c r="E1223" i="5"/>
  <c r="D1223" i="5"/>
  <c r="C1223" i="5"/>
  <c r="B1223" i="5"/>
  <c r="E1222" i="5"/>
  <c r="D1222" i="5"/>
  <c r="C1222" i="5"/>
  <c r="B1222" i="5"/>
  <c r="E1221" i="5"/>
  <c r="D1221" i="5"/>
  <c r="C1221" i="5"/>
  <c r="B1221" i="5"/>
  <c r="E1220" i="5"/>
  <c r="D1220" i="5"/>
  <c r="C1220" i="5"/>
  <c r="B1220" i="5"/>
  <c r="E1219" i="5"/>
  <c r="D1219" i="5"/>
  <c r="C1219" i="5"/>
  <c r="B1219" i="5"/>
  <c r="E1218" i="5"/>
  <c r="D1218" i="5"/>
  <c r="C1218" i="5"/>
  <c r="B1218" i="5"/>
  <c r="E1217" i="5"/>
  <c r="D1217" i="5"/>
  <c r="C1217" i="5"/>
  <c r="B1217" i="5"/>
  <c r="E1216" i="5"/>
  <c r="D1216" i="5"/>
  <c r="C1216" i="5"/>
  <c r="B1216" i="5"/>
  <c r="E1215" i="5"/>
  <c r="D1215" i="5"/>
  <c r="C1215" i="5"/>
  <c r="B1215" i="5"/>
  <c r="E1214" i="5"/>
  <c r="D1214" i="5"/>
  <c r="C1214" i="5"/>
  <c r="B1214" i="5"/>
  <c r="E1213" i="5"/>
  <c r="D1213" i="5"/>
  <c r="C1213" i="5"/>
  <c r="B1213" i="5"/>
  <c r="E1212" i="5"/>
  <c r="D1212" i="5"/>
  <c r="C1212" i="5"/>
  <c r="B1212" i="5"/>
  <c r="E1211" i="5"/>
  <c r="D1211" i="5"/>
  <c r="C1211" i="5"/>
  <c r="B1211" i="5"/>
  <c r="E1210" i="5"/>
  <c r="D1210" i="5"/>
  <c r="C1210" i="5"/>
  <c r="B1210" i="5"/>
  <c r="E1209" i="5"/>
  <c r="D1209" i="5"/>
  <c r="C1209" i="5"/>
  <c r="B1209" i="5"/>
  <c r="E1208" i="5"/>
  <c r="D1208" i="5"/>
  <c r="C1208" i="5"/>
  <c r="B1208" i="5"/>
  <c r="E1207" i="5"/>
  <c r="D1207" i="5"/>
  <c r="C1207" i="5"/>
  <c r="B1207" i="5"/>
  <c r="E1206" i="5"/>
  <c r="D1206" i="5"/>
  <c r="C1206" i="5"/>
  <c r="B1206" i="5"/>
  <c r="E1205" i="5"/>
  <c r="D1205" i="5"/>
  <c r="C1205" i="5"/>
  <c r="B1205" i="5"/>
  <c r="E1204" i="5"/>
  <c r="D1204" i="5"/>
  <c r="C1204" i="5"/>
  <c r="B1204" i="5"/>
  <c r="E1203" i="5"/>
  <c r="D1203" i="5"/>
  <c r="C1203" i="5"/>
  <c r="B1203" i="5"/>
  <c r="E1202" i="5"/>
  <c r="D1202" i="5"/>
  <c r="C1202" i="5"/>
  <c r="B1202" i="5"/>
  <c r="E1201" i="5"/>
  <c r="D1201" i="5"/>
  <c r="C1201" i="5"/>
  <c r="B1201" i="5"/>
  <c r="E1200" i="5"/>
  <c r="D1200" i="5"/>
  <c r="C1200" i="5"/>
  <c r="B1200" i="5"/>
  <c r="E1199" i="5"/>
  <c r="D1199" i="5"/>
  <c r="C1199" i="5"/>
  <c r="B1199" i="5"/>
  <c r="E1198" i="5"/>
  <c r="D1198" i="5"/>
  <c r="C1198" i="5"/>
  <c r="B1198" i="5"/>
  <c r="E1197" i="5"/>
  <c r="D1197" i="5"/>
  <c r="C1197" i="5"/>
  <c r="B1197" i="5"/>
  <c r="E1196" i="5"/>
  <c r="D1196" i="5"/>
  <c r="C1196" i="5"/>
  <c r="B1196" i="5"/>
  <c r="E1195" i="5"/>
  <c r="D1195" i="5"/>
  <c r="C1195" i="5"/>
  <c r="B1195" i="5"/>
  <c r="E1194" i="5"/>
  <c r="D1194" i="5"/>
  <c r="C1194" i="5"/>
  <c r="B1194" i="5"/>
  <c r="E1193" i="5"/>
  <c r="D1193" i="5"/>
  <c r="C1193" i="5"/>
  <c r="B1193" i="5"/>
  <c r="E1192" i="5"/>
  <c r="D1192" i="5"/>
  <c r="C1192" i="5"/>
  <c r="B1192" i="5"/>
  <c r="E1191" i="5"/>
  <c r="D1191" i="5"/>
  <c r="C1191" i="5"/>
  <c r="B1191" i="5"/>
  <c r="E1190" i="5"/>
  <c r="D1190" i="5"/>
  <c r="C1190" i="5"/>
  <c r="B1190" i="5"/>
  <c r="E1189" i="5"/>
  <c r="D1189" i="5"/>
  <c r="C1189" i="5"/>
  <c r="B1189" i="5"/>
  <c r="E1188" i="5"/>
  <c r="D1188" i="5"/>
  <c r="C1188" i="5"/>
  <c r="B1188" i="5"/>
  <c r="E1187" i="5"/>
  <c r="D1187" i="5"/>
  <c r="C1187" i="5"/>
  <c r="B1187" i="5"/>
  <c r="E1186" i="5"/>
  <c r="D1186" i="5"/>
  <c r="C1186" i="5"/>
  <c r="B1186" i="5"/>
  <c r="E1185" i="5"/>
  <c r="D1185" i="5"/>
  <c r="C1185" i="5"/>
  <c r="B1185" i="5"/>
  <c r="E1184" i="5"/>
  <c r="D1184" i="5"/>
  <c r="C1184" i="5"/>
  <c r="B1184" i="5"/>
  <c r="E1183" i="5"/>
  <c r="D1183" i="5"/>
  <c r="C1183" i="5"/>
  <c r="B1183" i="5"/>
  <c r="E1182" i="5"/>
  <c r="D1182" i="5"/>
  <c r="C1182" i="5"/>
  <c r="B1182" i="5"/>
  <c r="E1181" i="5"/>
  <c r="D1181" i="5"/>
  <c r="C1181" i="5"/>
  <c r="B1181" i="5"/>
  <c r="E1180" i="5"/>
  <c r="D1180" i="5"/>
  <c r="C1180" i="5"/>
  <c r="B1180" i="5"/>
  <c r="E1179" i="5"/>
  <c r="D1179" i="5"/>
  <c r="C1179" i="5"/>
  <c r="B1179" i="5"/>
  <c r="E1178" i="5"/>
  <c r="D1178" i="5"/>
  <c r="C1178" i="5"/>
  <c r="B1178" i="5"/>
  <c r="E1177" i="5"/>
  <c r="D1177" i="5"/>
  <c r="C1177" i="5"/>
  <c r="B1177" i="5"/>
  <c r="E1176" i="5"/>
  <c r="D1176" i="5"/>
  <c r="C1176" i="5"/>
  <c r="B1176" i="5"/>
  <c r="E1175" i="5"/>
  <c r="D1175" i="5"/>
  <c r="C1175" i="5"/>
  <c r="B1175" i="5"/>
  <c r="E1174" i="5"/>
  <c r="D1174" i="5"/>
  <c r="C1174" i="5"/>
  <c r="B1174" i="5"/>
  <c r="E1173" i="5"/>
  <c r="D1173" i="5"/>
  <c r="C1173" i="5"/>
  <c r="B1173" i="5"/>
  <c r="E1172" i="5"/>
  <c r="D1172" i="5"/>
  <c r="C1172" i="5"/>
  <c r="B1172" i="5"/>
  <c r="E1171" i="5"/>
  <c r="D1171" i="5"/>
  <c r="C1171" i="5"/>
  <c r="B1171" i="5"/>
  <c r="E1170" i="5"/>
  <c r="D1170" i="5"/>
  <c r="C1170" i="5"/>
  <c r="B1170" i="5"/>
  <c r="E1169" i="5"/>
  <c r="D1169" i="5"/>
  <c r="C1169" i="5"/>
  <c r="B1169" i="5"/>
  <c r="E1168" i="5"/>
  <c r="D1168" i="5"/>
  <c r="C1168" i="5"/>
  <c r="B1168" i="5"/>
  <c r="E1167" i="5"/>
  <c r="D1167" i="5"/>
  <c r="C1167" i="5"/>
  <c r="B1167" i="5"/>
  <c r="E1166" i="5"/>
  <c r="D1166" i="5"/>
  <c r="C1166" i="5"/>
  <c r="B1166" i="5"/>
  <c r="E1165" i="5"/>
  <c r="D1165" i="5"/>
  <c r="C1165" i="5"/>
  <c r="B1165" i="5"/>
  <c r="E1164" i="5"/>
  <c r="D1164" i="5"/>
  <c r="C1164" i="5"/>
  <c r="B1164" i="5"/>
  <c r="E1163" i="5"/>
  <c r="D1163" i="5"/>
  <c r="C1163" i="5"/>
  <c r="B1163" i="5"/>
  <c r="E1162" i="5"/>
  <c r="D1162" i="5"/>
  <c r="C1162" i="5"/>
  <c r="B1162" i="5"/>
  <c r="E1161" i="5"/>
  <c r="D1161" i="5"/>
  <c r="C1161" i="5"/>
  <c r="B1161" i="5"/>
  <c r="E1160" i="5"/>
  <c r="D1160" i="5"/>
  <c r="C1160" i="5"/>
  <c r="B1160" i="5"/>
  <c r="E1159" i="5"/>
  <c r="D1159" i="5"/>
  <c r="C1159" i="5"/>
  <c r="B1159" i="5"/>
  <c r="E1158" i="5"/>
  <c r="D1158" i="5"/>
  <c r="C1158" i="5"/>
  <c r="B1158" i="5"/>
  <c r="E1157" i="5"/>
  <c r="D1157" i="5"/>
  <c r="C1157" i="5"/>
  <c r="B1157" i="5"/>
  <c r="E1156" i="5"/>
  <c r="D1156" i="5"/>
  <c r="C1156" i="5"/>
  <c r="B1156" i="5"/>
  <c r="E1155" i="5"/>
  <c r="D1155" i="5"/>
  <c r="C1155" i="5"/>
  <c r="B1155" i="5"/>
  <c r="E1154" i="5"/>
  <c r="D1154" i="5"/>
  <c r="C1154" i="5"/>
  <c r="B1154" i="5"/>
  <c r="E1153" i="5"/>
  <c r="D1153" i="5"/>
  <c r="C1153" i="5"/>
  <c r="B1153" i="5"/>
  <c r="E1152" i="5"/>
  <c r="D1152" i="5"/>
  <c r="C1152" i="5"/>
  <c r="B1152" i="5"/>
  <c r="E1151" i="5"/>
  <c r="D1151" i="5"/>
  <c r="C1151" i="5"/>
  <c r="B1151" i="5"/>
  <c r="E1150" i="5"/>
  <c r="D1150" i="5"/>
  <c r="C1150" i="5"/>
  <c r="B1150" i="5"/>
  <c r="E1149" i="5"/>
  <c r="D1149" i="5"/>
  <c r="C1149" i="5"/>
  <c r="B1149" i="5"/>
  <c r="E1148" i="5"/>
  <c r="D1148" i="5"/>
  <c r="C1148" i="5"/>
  <c r="B1148" i="5"/>
  <c r="E1147" i="5"/>
  <c r="D1147" i="5"/>
  <c r="C1147" i="5"/>
  <c r="B1147" i="5"/>
  <c r="E1146" i="5"/>
  <c r="D1146" i="5"/>
  <c r="C1146" i="5"/>
  <c r="B1146" i="5"/>
  <c r="E1145" i="5"/>
  <c r="D1145" i="5"/>
  <c r="C1145" i="5"/>
  <c r="B1145" i="5"/>
  <c r="E1144" i="5"/>
  <c r="D1144" i="5"/>
  <c r="C1144" i="5"/>
  <c r="B1144" i="5"/>
  <c r="E1143" i="5"/>
  <c r="D1143" i="5"/>
  <c r="C1143" i="5"/>
  <c r="B1143" i="5"/>
  <c r="E1142" i="5"/>
  <c r="D1142" i="5"/>
  <c r="C1142" i="5"/>
  <c r="B1142" i="5"/>
  <c r="E1141" i="5"/>
  <c r="D1141" i="5"/>
  <c r="C1141" i="5"/>
  <c r="B1141" i="5"/>
  <c r="E1140" i="5"/>
  <c r="D1140" i="5"/>
  <c r="C1140" i="5"/>
  <c r="B1140" i="5"/>
  <c r="E1139" i="5"/>
  <c r="D1139" i="5"/>
  <c r="C1139" i="5"/>
  <c r="B1139" i="5"/>
  <c r="E1138" i="5"/>
  <c r="D1138" i="5"/>
  <c r="C1138" i="5"/>
  <c r="B1138" i="5"/>
  <c r="E1137" i="5"/>
  <c r="D1137" i="5"/>
  <c r="C1137" i="5"/>
  <c r="B1137" i="5"/>
  <c r="E1136" i="5"/>
  <c r="D1136" i="5"/>
  <c r="C1136" i="5"/>
  <c r="B1136" i="5"/>
  <c r="E1135" i="5"/>
  <c r="D1135" i="5"/>
  <c r="C1135" i="5"/>
  <c r="B1135" i="5"/>
  <c r="E1134" i="5"/>
  <c r="D1134" i="5"/>
  <c r="C1134" i="5"/>
  <c r="B1134" i="5"/>
  <c r="E1133" i="5"/>
  <c r="D1133" i="5"/>
  <c r="C1133" i="5"/>
  <c r="B1133" i="5"/>
  <c r="E1132" i="5"/>
  <c r="D1132" i="5"/>
  <c r="C1132" i="5"/>
  <c r="B1132" i="5"/>
  <c r="E1131" i="5"/>
  <c r="D1131" i="5"/>
  <c r="C1131" i="5"/>
  <c r="B1131" i="5"/>
  <c r="E1130" i="5"/>
  <c r="D1130" i="5"/>
  <c r="C1130" i="5"/>
  <c r="B1130" i="5"/>
  <c r="E1129" i="5"/>
  <c r="D1129" i="5"/>
  <c r="C1129" i="5"/>
  <c r="B1129" i="5"/>
  <c r="E1128" i="5"/>
  <c r="D1128" i="5"/>
  <c r="C1128" i="5"/>
  <c r="B1128" i="5"/>
  <c r="E1127" i="5"/>
  <c r="D1127" i="5"/>
  <c r="C1127" i="5"/>
  <c r="B1127" i="5"/>
  <c r="E1126" i="5"/>
  <c r="D1126" i="5"/>
  <c r="C1126" i="5"/>
  <c r="B1126" i="5"/>
  <c r="E1125" i="5"/>
  <c r="D1125" i="5"/>
  <c r="C1125" i="5"/>
  <c r="B1125" i="5"/>
  <c r="E1124" i="5"/>
  <c r="D1124" i="5"/>
  <c r="C1124" i="5"/>
  <c r="B1124" i="5"/>
  <c r="E1123" i="5"/>
  <c r="D1123" i="5"/>
  <c r="C1123" i="5"/>
  <c r="B1123" i="5"/>
  <c r="E1122" i="5"/>
  <c r="D1122" i="5"/>
  <c r="C1122" i="5"/>
  <c r="B1122" i="5"/>
  <c r="E1121" i="5"/>
  <c r="D1121" i="5"/>
  <c r="C1121" i="5"/>
  <c r="B1121" i="5"/>
  <c r="E1120" i="5"/>
  <c r="D1120" i="5"/>
  <c r="C1120" i="5"/>
  <c r="B1120" i="5"/>
  <c r="E1119" i="5"/>
  <c r="D1119" i="5"/>
  <c r="C1119" i="5"/>
  <c r="B1119" i="5"/>
  <c r="E1118" i="5"/>
  <c r="D1118" i="5"/>
  <c r="C1118" i="5"/>
  <c r="B1118" i="5"/>
  <c r="E1117" i="5"/>
  <c r="D1117" i="5"/>
  <c r="C1117" i="5"/>
  <c r="B1117" i="5"/>
  <c r="E1116" i="5"/>
  <c r="D1116" i="5"/>
  <c r="C1116" i="5"/>
  <c r="B1116" i="5"/>
  <c r="E1115" i="5"/>
  <c r="D1115" i="5"/>
  <c r="C1115" i="5"/>
  <c r="B1115" i="5"/>
  <c r="E1114" i="5"/>
  <c r="D1114" i="5"/>
  <c r="C1114" i="5"/>
  <c r="B1114" i="5"/>
  <c r="E1113" i="5"/>
  <c r="D1113" i="5"/>
  <c r="C1113" i="5"/>
  <c r="B1113" i="5"/>
  <c r="E1112" i="5"/>
  <c r="D1112" i="5"/>
  <c r="C1112" i="5"/>
  <c r="B1112" i="5"/>
  <c r="E1111" i="5"/>
  <c r="D1111" i="5"/>
  <c r="C1111" i="5"/>
  <c r="B1111" i="5"/>
  <c r="E1110" i="5"/>
  <c r="D1110" i="5"/>
  <c r="C1110" i="5"/>
  <c r="B1110" i="5"/>
  <c r="E1109" i="5"/>
  <c r="D1109" i="5"/>
  <c r="C1109" i="5"/>
  <c r="B1109" i="5"/>
  <c r="E1108" i="5"/>
  <c r="D1108" i="5"/>
  <c r="C1108" i="5"/>
  <c r="B1108" i="5"/>
  <c r="E1107" i="5"/>
  <c r="D1107" i="5"/>
  <c r="C1107" i="5"/>
  <c r="B1107" i="5"/>
  <c r="E1106" i="5"/>
  <c r="D1106" i="5"/>
  <c r="C1106" i="5"/>
  <c r="B1106" i="5"/>
  <c r="E1105" i="5"/>
  <c r="D1105" i="5"/>
  <c r="C1105" i="5"/>
  <c r="B1105" i="5"/>
  <c r="E1104" i="5"/>
  <c r="D1104" i="5"/>
  <c r="C1104" i="5"/>
  <c r="B1104" i="5"/>
  <c r="E1103" i="5"/>
  <c r="D1103" i="5"/>
  <c r="C1103" i="5"/>
  <c r="B1103" i="5"/>
  <c r="E1102" i="5"/>
  <c r="D1102" i="5"/>
  <c r="C1102" i="5"/>
  <c r="B1102" i="5"/>
  <c r="E1101" i="5"/>
  <c r="D1101" i="5"/>
  <c r="C1101" i="5"/>
  <c r="B1101" i="5"/>
  <c r="E1100" i="5"/>
  <c r="D1100" i="5"/>
  <c r="C1100" i="5"/>
  <c r="B1100" i="5"/>
  <c r="E1099" i="5"/>
  <c r="D1099" i="5"/>
  <c r="C1099" i="5"/>
  <c r="B1099" i="5"/>
  <c r="E1098" i="5"/>
  <c r="D1098" i="5"/>
  <c r="C1098" i="5"/>
  <c r="B1098" i="5"/>
  <c r="E1097" i="5"/>
  <c r="D1097" i="5"/>
  <c r="C1097" i="5"/>
  <c r="B1097" i="5"/>
  <c r="E1096" i="5"/>
  <c r="D1096" i="5"/>
  <c r="C1096" i="5"/>
  <c r="B1096" i="5"/>
  <c r="E1095" i="5"/>
  <c r="D1095" i="5"/>
  <c r="C1095" i="5"/>
  <c r="B1095" i="5"/>
  <c r="E1094" i="5"/>
  <c r="D1094" i="5"/>
  <c r="C1094" i="5"/>
  <c r="B1094" i="5"/>
  <c r="E1093" i="5"/>
  <c r="D1093" i="5"/>
  <c r="C1093" i="5"/>
  <c r="B1093" i="5"/>
  <c r="E1092" i="5"/>
  <c r="D1092" i="5"/>
  <c r="C1092" i="5"/>
  <c r="B1092" i="5"/>
  <c r="E1091" i="5"/>
  <c r="D1091" i="5"/>
  <c r="C1091" i="5"/>
  <c r="B1091" i="5"/>
  <c r="E1090" i="5"/>
  <c r="D1090" i="5"/>
  <c r="C1090" i="5"/>
  <c r="B1090" i="5"/>
  <c r="E1089" i="5"/>
  <c r="D1089" i="5"/>
  <c r="C1089" i="5"/>
  <c r="B1089" i="5"/>
  <c r="E1088" i="5"/>
  <c r="D1088" i="5"/>
  <c r="C1088" i="5"/>
  <c r="B1088" i="5"/>
  <c r="E1087" i="5"/>
  <c r="D1087" i="5"/>
  <c r="C1087" i="5"/>
  <c r="B1087" i="5"/>
  <c r="E1086" i="5"/>
  <c r="D1086" i="5"/>
  <c r="C1086" i="5"/>
  <c r="B1086" i="5"/>
  <c r="E1085" i="5"/>
  <c r="D1085" i="5"/>
  <c r="C1085" i="5"/>
  <c r="B1085" i="5"/>
  <c r="E1084" i="5"/>
  <c r="D1084" i="5"/>
  <c r="C1084" i="5"/>
  <c r="B1084" i="5"/>
  <c r="E1083" i="5"/>
  <c r="D1083" i="5"/>
  <c r="C1083" i="5"/>
  <c r="B1083" i="5"/>
  <c r="E1082" i="5"/>
  <c r="D1082" i="5"/>
  <c r="C1082" i="5"/>
  <c r="B1082" i="5"/>
  <c r="E1081" i="5"/>
  <c r="D1081" i="5"/>
  <c r="C1081" i="5"/>
  <c r="B1081" i="5"/>
  <c r="E1080" i="5"/>
  <c r="D1080" i="5"/>
  <c r="C1080" i="5"/>
  <c r="B1080" i="5"/>
  <c r="E1079" i="5"/>
  <c r="D1079" i="5"/>
  <c r="C1079" i="5"/>
  <c r="B1079" i="5"/>
  <c r="E1078" i="5"/>
  <c r="D1078" i="5"/>
  <c r="C1078" i="5"/>
  <c r="B1078" i="5"/>
  <c r="E1077" i="5"/>
  <c r="D1077" i="5"/>
  <c r="C1077" i="5"/>
  <c r="B1077" i="5"/>
  <c r="E1076" i="5"/>
  <c r="D1076" i="5"/>
  <c r="C1076" i="5"/>
  <c r="B1076" i="5"/>
  <c r="E1075" i="5"/>
  <c r="D1075" i="5"/>
  <c r="C1075" i="5"/>
  <c r="B1075" i="5"/>
  <c r="E1074" i="5"/>
  <c r="D1074" i="5"/>
  <c r="C1074" i="5"/>
  <c r="B1074" i="5"/>
  <c r="E1073" i="5"/>
  <c r="D1073" i="5"/>
  <c r="C1073" i="5"/>
  <c r="B1073" i="5"/>
  <c r="E1072" i="5"/>
  <c r="D1072" i="5"/>
  <c r="C1072" i="5"/>
  <c r="B1072" i="5"/>
  <c r="E1071" i="5"/>
  <c r="D1071" i="5"/>
  <c r="C1071" i="5"/>
  <c r="B1071" i="5"/>
  <c r="E1070" i="5"/>
  <c r="D1070" i="5"/>
  <c r="C1070" i="5"/>
  <c r="B1070" i="5"/>
  <c r="E1069" i="5"/>
  <c r="D1069" i="5"/>
  <c r="C1069" i="5"/>
  <c r="B1069" i="5"/>
  <c r="E1068" i="5"/>
  <c r="D1068" i="5"/>
  <c r="C1068" i="5"/>
  <c r="B1068" i="5"/>
  <c r="E1067" i="5"/>
  <c r="D1067" i="5"/>
  <c r="C1067" i="5"/>
  <c r="B1067" i="5"/>
  <c r="E1066" i="5"/>
  <c r="D1066" i="5"/>
  <c r="C1066" i="5"/>
  <c r="B1066" i="5"/>
  <c r="E1065" i="5"/>
  <c r="D1065" i="5"/>
  <c r="C1065" i="5"/>
  <c r="B1065" i="5"/>
  <c r="E1064" i="5"/>
  <c r="D1064" i="5"/>
  <c r="C1064" i="5"/>
  <c r="B1064" i="5"/>
  <c r="E1063" i="5"/>
  <c r="D1063" i="5"/>
  <c r="C1063" i="5"/>
  <c r="B1063" i="5"/>
  <c r="E1062" i="5"/>
  <c r="D1062" i="5"/>
  <c r="C1062" i="5"/>
  <c r="B1062" i="5"/>
  <c r="E1061" i="5"/>
  <c r="D1061" i="5"/>
  <c r="C1061" i="5"/>
  <c r="B1061" i="5"/>
  <c r="E1060" i="5"/>
  <c r="D1060" i="5"/>
  <c r="C1060" i="5"/>
  <c r="B1060" i="5"/>
  <c r="E1059" i="5"/>
  <c r="D1059" i="5"/>
  <c r="C1059" i="5"/>
  <c r="B1059" i="5"/>
  <c r="E1058" i="5"/>
  <c r="D1058" i="5"/>
  <c r="C1058" i="5"/>
  <c r="B1058" i="5"/>
  <c r="E1057" i="5"/>
  <c r="D1057" i="5"/>
  <c r="C1057" i="5"/>
  <c r="B1057" i="5"/>
  <c r="E1056" i="5"/>
  <c r="D1056" i="5"/>
  <c r="C1056" i="5"/>
  <c r="B1056" i="5"/>
  <c r="E1055" i="5"/>
  <c r="D1055" i="5"/>
  <c r="C1055" i="5"/>
  <c r="B1055" i="5"/>
  <c r="E1054" i="5"/>
  <c r="D1054" i="5"/>
  <c r="C1054" i="5"/>
  <c r="B1054" i="5"/>
  <c r="E1053" i="5"/>
  <c r="D1053" i="5"/>
  <c r="C1053" i="5"/>
  <c r="B1053" i="5"/>
  <c r="E1052" i="5"/>
  <c r="D1052" i="5"/>
  <c r="C1052" i="5"/>
  <c r="B1052" i="5"/>
  <c r="E1051" i="5"/>
  <c r="D1051" i="5"/>
  <c r="C1051" i="5"/>
  <c r="B1051" i="5"/>
  <c r="E1050" i="5"/>
  <c r="D1050" i="5"/>
  <c r="C1050" i="5"/>
  <c r="B1050" i="5"/>
  <c r="E1049" i="5"/>
  <c r="D1049" i="5"/>
  <c r="C1049" i="5"/>
  <c r="B1049" i="5"/>
  <c r="E1048" i="5"/>
  <c r="D1048" i="5"/>
  <c r="C1048" i="5"/>
  <c r="B1048" i="5"/>
  <c r="E1047" i="5"/>
  <c r="D1047" i="5"/>
  <c r="C1047" i="5"/>
  <c r="B1047" i="5"/>
  <c r="E1046" i="5"/>
  <c r="D1046" i="5"/>
  <c r="C1046" i="5"/>
  <c r="B1046" i="5"/>
  <c r="E1045" i="5"/>
  <c r="D1045" i="5"/>
  <c r="C1045" i="5"/>
  <c r="B1045" i="5"/>
  <c r="E1044" i="5"/>
  <c r="D1044" i="5"/>
  <c r="C1044" i="5"/>
  <c r="B1044" i="5"/>
  <c r="E1043" i="5"/>
  <c r="D1043" i="5"/>
  <c r="C1043" i="5"/>
  <c r="B1043" i="5"/>
  <c r="E1042" i="5"/>
  <c r="D1042" i="5"/>
  <c r="C1042" i="5"/>
  <c r="B1042" i="5"/>
  <c r="E1041" i="5"/>
  <c r="D1041" i="5"/>
  <c r="C1041" i="5"/>
  <c r="B1041" i="5"/>
  <c r="E1040" i="5"/>
  <c r="D1040" i="5"/>
  <c r="C1040" i="5"/>
  <c r="B1040" i="5"/>
  <c r="E1039" i="5"/>
  <c r="D1039" i="5"/>
  <c r="C1039" i="5"/>
  <c r="B1039" i="5"/>
  <c r="E1038" i="5"/>
  <c r="D1038" i="5"/>
  <c r="C1038" i="5"/>
  <c r="B1038" i="5"/>
  <c r="E1037" i="5"/>
  <c r="D1037" i="5"/>
  <c r="C1037" i="5"/>
  <c r="B1037" i="5"/>
  <c r="E1036" i="5"/>
  <c r="D1036" i="5"/>
  <c r="C1036" i="5"/>
  <c r="B1036" i="5"/>
  <c r="E1035" i="5"/>
  <c r="D1035" i="5"/>
  <c r="C1035" i="5"/>
  <c r="B1035" i="5"/>
  <c r="E1034" i="5"/>
  <c r="D1034" i="5"/>
  <c r="C1034" i="5"/>
  <c r="B1034" i="5"/>
  <c r="E1033" i="5"/>
  <c r="D1033" i="5"/>
  <c r="C1033" i="5"/>
  <c r="B1033" i="5"/>
  <c r="E1032" i="5"/>
  <c r="D1032" i="5"/>
  <c r="C1032" i="5"/>
  <c r="B1032" i="5"/>
  <c r="E1031" i="5"/>
  <c r="D1031" i="5"/>
  <c r="C1031" i="5"/>
  <c r="B1031" i="5"/>
  <c r="E1030" i="5"/>
  <c r="D1030" i="5"/>
  <c r="C1030" i="5"/>
  <c r="B1030" i="5"/>
  <c r="E1029" i="5"/>
  <c r="D1029" i="5"/>
  <c r="C1029" i="5"/>
  <c r="B1029" i="5"/>
  <c r="E1028" i="5"/>
  <c r="D1028" i="5"/>
  <c r="C1028" i="5"/>
  <c r="B1028" i="5"/>
  <c r="E1027" i="5"/>
  <c r="D1027" i="5"/>
  <c r="C1027" i="5"/>
  <c r="B1027" i="5"/>
  <c r="E1026" i="5"/>
  <c r="D1026" i="5"/>
  <c r="C1026" i="5"/>
  <c r="B1026" i="5"/>
  <c r="E1025" i="5"/>
  <c r="D1025" i="5"/>
  <c r="C1025" i="5"/>
  <c r="B1025" i="5"/>
  <c r="E1024" i="5"/>
  <c r="D1024" i="5"/>
  <c r="C1024" i="5"/>
  <c r="B1024" i="5"/>
  <c r="E1023" i="5"/>
  <c r="D1023" i="5"/>
  <c r="C1023" i="5"/>
  <c r="B1023" i="5"/>
  <c r="E1022" i="5"/>
  <c r="D1022" i="5"/>
  <c r="C1022" i="5"/>
  <c r="B1022" i="5"/>
  <c r="E1021" i="5"/>
  <c r="D1021" i="5"/>
  <c r="C1021" i="5"/>
  <c r="B1021" i="5"/>
  <c r="E1020" i="5"/>
  <c r="D1020" i="5"/>
  <c r="C1020" i="5"/>
  <c r="B1020" i="5"/>
  <c r="E1019" i="5"/>
  <c r="D1019" i="5"/>
  <c r="C1019" i="5"/>
  <c r="B1019" i="5"/>
  <c r="E1018" i="5"/>
  <c r="D1018" i="5"/>
  <c r="C1018" i="5"/>
  <c r="B1018" i="5"/>
  <c r="E1017" i="5"/>
  <c r="D1017" i="5"/>
  <c r="C1017" i="5"/>
  <c r="B1017" i="5"/>
  <c r="E1016" i="5"/>
  <c r="D1016" i="5"/>
  <c r="C1016" i="5"/>
  <c r="B1016" i="5"/>
  <c r="E1015" i="5"/>
  <c r="D1015" i="5"/>
  <c r="C1015" i="5"/>
  <c r="B1015" i="5"/>
  <c r="E1014" i="5"/>
  <c r="D1014" i="5"/>
  <c r="C1014" i="5"/>
  <c r="B1014" i="5"/>
  <c r="E1013" i="5"/>
  <c r="D1013" i="5"/>
  <c r="C1013" i="5"/>
  <c r="B1013" i="5"/>
  <c r="E1012" i="5"/>
  <c r="D1012" i="5"/>
  <c r="C1012" i="5"/>
  <c r="B1012" i="5"/>
  <c r="E1011" i="5"/>
  <c r="D1011" i="5"/>
  <c r="C1011" i="5"/>
  <c r="B1011" i="5"/>
  <c r="E1010" i="5"/>
  <c r="D1010" i="5"/>
  <c r="C1010" i="5"/>
  <c r="B1010" i="5"/>
  <c r="E1009" i="5"/>
  <c r="D1009" i="5"/>
  <c r="C1009" i="5"/>
  <c r="B1009" i="5"/>
  <c r="E1008" i="5"/>
  <c r="D1008" i="5"/>
  <c r="C1008" i="5"/>
  <c r="B1008" i="5"/>
  <c r="E1007" i="5"/>
  <c r="D1007" i="5"/>
  <c r="C1007" i="5"/>
  <c r="B1007" i="5"/>
  <c r="E1006" i="5"/>
  <c r="D1006" i="5"/>
  <c r="C1006" i="5"/>
  <c r="B1006" i="5"/>
  <c r="E1005" i="5"/>
  <c r="D1005" i="5"/>
  <c r="C1005" i="5"/>
  <c r="B1005" i="5"/>
  <c r="E1004" i="5"/>
  <c r="D1004" i="5"/>
  <c r="C1004" i="5"/>
  <c r="B1004" i="5"/>
  <c r="E1003" i="5"/>
  <c r="D1003" i="5"/>
  <c r="C1003" i="5"/>
  <c r="B1003" i="5"/>
  <c r="E1002" i="5"/>
  <c r="D1002" i="5"/>
  <c r="C1002" i="5"/>
  <c r="B1002" i="5"/>
  <c r="E1001" i="5"/>
  <c r="D1001" i="5"/>
  <c r="C1001" i="5"/>
  <c r="B1001" i="5"/>
  <c r="E1000" i="5"/>
  <c r="D1000" i="5"/>
  <c r="C1000" i="5"/>
  <c r="B1000" i="5"/>
  <c r="E999" i="5"/>
  <c r="D999" i="5"/>
  <c r="C999" i="5"/>
  <c r="B999" i="5"/>
  <c r="E998" i="5"/>
  <c r="D998" i="5"/>
  <c r="C998" i="5"/>
  <c r="B998" i="5"/>
  <c r="E997" i="5"/>
  <c r="D997" i="5"/>
  <c r="C997" i="5"/>
  <c r="B997" i="5"/>
  <c r="E996" i="5"/>
  <c r="D996" i="5"/>
  <c r="C996" i="5"/>
  <c r="B996" i="5"/>
  <c r="E995" i="5"/>
  <c r="D995" i="5"/>
  <c r="C995" i="5"/>
  <c r="B995" i="5"/>
  <c r="E994" i="5"/>
  <c r="D994" i="5"/>
  <c r="C994" i="5"/>
  <c r="B994" i="5"/>
  <c r="E993" i="5"/>
  <c r="D993" i="5"/>
  <c r="C993" i="5"/>
  <c r="B993" i="5"/>
  <c r="E992" i="5"/>
  <c r="D992" i="5"/>
  <c r="C992" i="5"/>
  <c r="B992" i="5"/>
  <c r="E991" i="5"/>
  <c r="D991" i="5"/>
  <c r="C991" i="5"/>
  <c r="B991" i="5"/>
  <c r="E990" i="5"/>
  <c r="D990" i="5"/>
  <c r="C990" i="5"/>
  <c r="B990" i="5"/>
  <c r="E989" i="5"/>
  <c r="D989" i="5"/>
  <c r="C989" i="5"/>
  <c r="B989" i="5"/>
  <c r="E988" i="5"/>
  <c r="D988" i="5"/>
  <c r="C988" i="5"/>
  <c r="B988" i="5"/>
  <c r="E987" i="5"/>
  <c r="D987" i="5"/>
  <c r="C987" i="5"/>
  <c r="B987" i="5"/>
  <c r="E986" i="5"/>
  <c r="D986" i="5"/>
  <c r="C986" i="5"/>
  <c r="B986" i="5"/>
  <c r="E985" i="5"/>
  <c r="D985" i="5"/>
  <c r="C985" i="5"/>
  <c r="B985" i="5"/>
  <c r="E984" i="5"/>
  <c r="D984" i="5"/>
  <c r="C984" i="5"/>
  <c r="B984" i="5"/>
  <c r="E983" i="5"/>
  <c r="D983" i="5"/>
  <c r="C983" i="5"/>
  <c r="B983" i="5"/>
  <c r="E982" i="5"/>
  <c r="D982" i="5"/>
  <c r="C982" i="5"/>
  <c r="B982" i="5"/>
  <c r="E981" i="5"/>
  <c r="D981" i="5"/>
  <c r="C981" i="5"/>
  <c r="B981" i="5"/>
  <c r="E980" i="5"/>
  <c r="D980" i="5"/>
  <c r="C980" i="5"/>
  <c r="B980" i="5"/>
  <c r="E979" i="5"/>
  <c r="D979" i="5"/>
  <c r="C979" i="5"/>
  <c r="B979" i="5"/>
  <c r="E978" i="5"/>
  <c r="D978" i="5"/>
  <c r="C978" i="5"/>
  <c r="B978" i="5"/>
  <c r="E977" i="5"/>
  <c r="D977" i="5"/>
  <c r="C977" i="5"/>
  <c r="B977" i="5"/>
  <c r="E976" i="5"/>
  <c r="D976" i="5"/>
  <c r="C976" i="5"/>
  <c r="B976" i="5"/>
  <c r="E975" i="5"/>
  <c r="D975" i="5"/>
  <c r="C975" i="5"/>
  <c r="B975" i="5"/>
  <c r="E974" i="5"/>
  <c r="D974" i="5"/>
  <c r="C974" i="5"/>
  <c r="B974" i="5"/>
  <c r="E973" i="5"/>
  <c r="D973" i="5"/>
  <c r="C973" i="5"/>
  <c r="B973" i="5"/>
  <c r="E972" i="5"/>
  <c r="D972" i="5"/>
  <c r="C972" i="5"/>
  <c r="B972" i="5"/>
  <c r="E971" i="5"/>
  <c r="D971" i="5"/>
  <c r="C971" i="5"/>
  <c r="B971" i="5"/>
  <c r="E970" i="5"/>
  <c r="D970" i="5"/>
  <c r="C970" i="5"/>
  <c r="B970" i="5"/>
  <c r="E969" i="5"/>
  <c r="D969" i="5"/>
  <c r="C969" i="5"/>
  <c r="B969" i="5"/>
  <c r="E968" i="5"/>
  <c r="D968" i="5"/>
  <c r="C968" i="5"/>
  <c r="B968" i="5"/>
  <c r="E967" i="5"/>
  <c r="D967" i="5"/>
  <c r="C967" i="5"/>
  <c r="B967" i="5"/>
  <c r="E966" i="5"/>
  <c r="D966" i="5"/>
  <c r="C966" i="5"/>
  <c r="B966" i="5"/>
  <c r="E965" i="5"/>
  <c r="D965" i="5"/>
  <c r="C965" i="5"/>
  <c r="B965" i="5"/>
  <c r="E964" i="5"/>
  <c r="D964" i="5"/>
  <c r="C964" i="5"/>
  <c r="B964" i="5"/>
  <c r="E963" i="5"/>
  <c r="D963" i="5"/>
  <c r="C963" i="5"/>
  <c r="B963" i="5"/>
  <c r="E962" i="5"/>
  <c r="D962" i="5"/>
  <c r="C962" i="5"/>
  <c r="B962" i="5"/>
  <c r="E961" i="5"/>
  <c r="D961" i="5"/>
  <c r="C961" i="5"/>
  <c r="B961" i="5"/>
  <c r="E960" i="5"/>
  <c r="D960" i="5"/>
  <c r="C960" i="5"/>
  <c r="B960" i="5"/>
  <c r="E959" i="5"/>
  <c r="D959" i="5"/>
  <c r="C959" i="5"/>
  <c r="B959" i="5"/>
  <c r="E958" i="5"/>
  <c r="D958" i="5"/>
  <c r="C958" i="5"/>
  <c r="B958" i="5"/>
  <c r="E957" i="5"/>
  <c r="D957" i="5"/>
  <c r="C957" i="5"/>
  <c r="B957" i="5"/>
  <c r="E956" i="5"/>
  <c r="D956" i="5"/>
  <c r="C956" i="5"/>
  <c r="B956" i="5"/>
  <c r="E955" i="5"/>
  <c r="D955" i="5"/>
  <c r="C955" i="5"/>
  <c r="B955" i="5"/>
  <c r="E954" i="5"/>
  <c r="D954" i="5"/>
  <c r="C954" i="5"/>
  <c r="B954" i="5"/>
  <c r="E953" i="5"/>
  <c r="D953" i="5"/>
  <c r="C953" i="5"/>
  <c r="B953" i="5"/>
  <c r="E952" i="5"/>
  <c r="D952" i="5"/>
  <c r="C952" i="5"/>
  <c r="B952" i="5"/>
  <c r="E951" i="5"/>
  <c r="D951" i="5"/>
  <c r="C951" i="5"/>
  <c r="B951" i="5"/>
  <c r="E950" i="5"/>
  <c r="D950" i="5"/>
  <c r="C950" i="5"/>
  <c r="B950" i="5"/>
  <c r="E949" i="5"/>
  <c r="D949" i="5"/>
  <c r="C949" i="5"/>
  <c r="B949" i="5"/>
  <c r="E948" i="5"/>
  <c r="D948" i="5"/>
  <c r="C948" i="5"/>
  <c r="B948" i="5"/>
  <c r="E947" i="5"/>
  <c r="D947" i="5"/>
  <c r="C947" i="5"/>
  <c r="B947" i="5"/>
  <c r="E946" i="5"/>
  <c r="D946" i="5"/>
  <c r="C946" i="5"/>
  <c r="B946" i="5"/>
  <c r="E945" i="5"/>
  <c r="D945" i="5"/>
  <c r="C945" i="5"/>
  <c r="B945" i="5"/>
  <c r="E944" i="5"/>
  <c r="D944" i="5"/>
  <c r="C944" i="5"/>
  <c r="B944" i="5"/>
  <c r="E943" i="5"/>
  <c r="D943" i="5"/>
  <c r="C943" i="5"/>
  <c r="B943" i="5"/>
  <c r="E942" i="5"/>
  <c r="D942" i="5"/>
  <c r="C942" i="5"/>
  <c r="B942" i="5"/>
  <c r="E941" i="5"/>
  <c r="D941" i="5"/>
  <c r="C941" i="5"/>
  <c r="B941" i="5"/>
  <c r="E940" i="5"/>
  <c r="D940" i="5"/>
  <c r="C940" i="5"/>
  <c r="B940" i="5"/>
  <c r="E939" i="5"/>
  <c r="D939" i="5"/>
  <c r="C939" i="5"/>
  <c r="B939" i="5"/>
  <c r="E938" i="5"/>
  <c r="D938" i="5"/>
  <c r="C938" i="5"/>
  <c r="B938" i="5"/>
  <c r="E937" i="5"/>
  <c r="D937" i="5"/>
  <c r="C937" i="5"/>
  <c r="B937" i="5"/>
  <c r="E936" i="5"/>
  <c r="D936" i="5"/>
  <c r="C936" i="5"/>
  <c r="B936" i="5"/>
  <c r="E935" i="5"/>
  <c r="D935" i="5"/>
  <c r="C935" i="5"/>
  <c r="B935" i="5"/>
  <c r="E934" i="5"/>
  <c r="D934" i="5"/>
  <c r="C934" i="5"/>
  <c r="B934" i="5"/>
  <c r="E933" i="5"/>
  <c r="D933" i="5"/>
  <c r="C933" i="5"/>
  <c r="B933" i="5"/>
  <c r="E932" i="5"/>
  <c r="D932" i="5"/>
  <c r="C932" i="5"/>
  <c r="B932" i="5"/>
  <c r="E931" i="5"/>
  <c r="D931" i="5"/>
  <c r="C931" i="5"/>
  <c r="B931" i="5"/>
  <c r="E930" i="5"/>
  <c r="D930" i="5"/>
  <c r="C930" i="5"/>
  <c r="B930" i="5"/>
  <c r="E929" i="5"/>
  <c r="D929" i="5"/>
  <c r="C929" i="5"/>
  <c r="B929" i="5"/>
  <c r="E928" i="5"/>
  <c r="D928" i="5"/>
  <c r="C928" i="5"/>
  <c r="B928" i="5"/>
  <c r="E927" i="5"/>
  <c r="D927" i="5"/>
  <c r="C927" i="5"/>
  <c r="B927" i="5"/>
  <c r="E926" i="5"/>
  <c r="D926" i="5"/>
  <c r="C926" i="5"/>
  <c r="B926" i="5"/>
  <c r="E925" i="5"/>
  <c r="D925" i="5"/>
  <c r="C925" i="5"/>
  <c r="B925" i="5"/>
  <c r="E924" i="5"/>
  <c r="D924" i="5"/>
  <c r="C924" i="5"/>
  <c r="B924" i="5"/>
  <c r="E923" i="5"/>
  <c r="D923" i="5"/>
  <c r="C923" i="5"/>
  <c r="B923" i="5"/>
  <c r="E922" i="5"/>
  <c r="D922" i="5"/>
  <c r="C922" i="5"/>
  <c r="B922" i="5"/>
  <c r="E921" i="5"/>
  <c r="D921" i="5"/>
  <c r="C921" i="5"/>
  <c r="B921" i="5"/>
  <c r="E920" i="5"/>
  <c r="D920" i="5"/>
  <c r="C920" i="5"/>
  <c r="B920" i="5"/>
  <c r="E919" i="5"/>
  <c r="D919" i="5"/>
  <c r="C919" i="5"/>
  <c r="B919" i="5"/>
  <c r="E918" i="5"/>
  <c r="D918" i="5"/>
  <c r="C918" i="5"/>
  <c r="B918" i="5"/>
  <c r="E917" i="5"/>
  <c r="D917" i="5"/>
  <c r="C917" i="5"/>
  <c r="B917" i="5"/>
  <c r="E916" i="5"/>
  <c r="D916" i="5"/>
  <c r="C916" i="5"/>
  <c r="B916" i="5"/>
  <c r="E915" i="5"/>
  <c r="D915" i="5"/>
  <c r="C915" i="5"/>
  <c r="B915" i="5"/>
  <c r="E914" i="5"/>
  <c r="D914" i="5"/>
  <c r="C914" i="5"/>
  <c r="B914" i="5"/>
  <c r="E913" i="5"/>
  <c r="D913" i="5"/>
  <c r="C913" i="5"/>
  <c r="B913" i="5"/>
  <c r="E912" i="5"/>
  <c r="D912" i="5"/>
  <c r="C912" i="5"/>
  <c r="B912" i="5"/>
  <c r="E911" i="5"/>
  <c r="D911" i="5"/>
  <c r="C911" i="5"/>
  <c r="B911" i="5"/>
  <c r="E910" i="5"/>
  <c r="D910" i="5"/>
  <c r="C910" i="5"/>
  <c r="B910" i="5"/>
  <c r="E909" i="5"/>
  <c r="D909" i="5"/>
  <c r="C909" i="5"/>
  <c r="B909" i="5"/>
  <c r="E908" i="5"/>
  <c r="D908" i="5"/>
  <c r="C908" i="5"/>
  <c r="B908" i="5"/>
  <c r="E907" i="5"/>
  <c r="D907" i="5"/>
  <c r="C907" i="5"/>
  <c r="B907" i="5"/>
  <c r="E906" i="5"/>
  <c r="D906" i="5"/>
  <c r="C906" i="5"/>
  <c r="B906" i="5"/>
  <c r="E905" i="5"/>
  <c r="D905" i="5"/>
  <c r="C905" i="5"/>
  <c r="B905" i="5"/>
  <c r="E904" i="5"/>
  <c r="D904" i="5"/>
  <c r="C904" i="5"/>
  <c r="B904" i="5"/>
  <c r="E903" i="5"/>
  <c r="D903" i="5"/>
  <c r="C903" i="5"/>
  <c r="B903" i="5"/>
  <c r="E902" i="5"/>
  <c r="D902" i="5"/>
  <c r="C902" i="5"/>
  <c r="B902" i="5"/>
  <c r="E901" i="5"/>
  <c r="D901" i="5"/>
  <c r="C901" i="5"/>
  <c r="B901" i="5"/>
  <c r="E900" i="5"/>
  <c r="D900" i="5"/>
  <c r="C900" i="5"/>
  <c r="B900" i="5"/>
  <c r="E899" i="5"/>
  <c r="D899" i="5"/>
  <c r="C899" i="5"/>
  <c r="B899" i="5"/>
  <c r="E898" i="5"/>
  <c r="D898" i="5"/>
  <c r="C898" i="5"/>
  <c r="B898" i="5"/>
  <c r="E897" i="5"/>
  <c r="D897" i="5"/>
  <c r="C897" i="5"/>
  <c r="B897" i="5"/>
  <c r="E896" i="5"/>
  <c r="D896" i="5"/>
  <c r="C896" i="5"/>
  <c r="B896" i="5"/>
  <c r="E895" i="5"/>
  <c r="D895" i="5"/>
  <c r="C895" i="5"/>
  <c r="B895" i="5"/>
  <c r="E894" i="5"/>
  <c r="D894" i="5"/>
  <c r="C894" i="5"/>
  <c r="B894" i="5"/>
  <c r="E893" i="5"/>
  <c r="D893" i="5"/>
  <c r="C893" i="5"/>
  <c r="B893" i="5"/>
  <c r="E892" i="5"/>
  <c r="D892" i="5"/>
  <c r="C892" i="5"/>
  <c r="B892" i="5"/>
  <c r="E891" i="5"/>
  <c r="D891" i="5"/>
  <c r="C891" i="5"/>
  <c r="B891" i="5"/>
  <c r="E890" i="5"/>
  <c r="D890" i="5"/>
  <c r="C890" i="5"/>
  <c r="B890" i="5"/>
  <c r="E889" i="5"/>
  <c r="D889" i="5"/>
  <c r="C889" i="5"/>
  <c r="B889" i="5"/>
  <c r="E888" i="5"/>
  <c r="D888" i="5"/>
  <c r="C888" i="5"/>
  <c r="B888" i="5"/>
  <c r="E887" i="5"/>
  <c r="D887" i="5"/>
  <c r="C887" i="5"/>
  <c r="B887" i="5"/>
  <c r="E886" i="5"/>
  <c r="D886" i="5"/>
  <c r="C886" i="5"/>
  <c r="B886" i="5"/>
  <c r="E885" i="5"/>
  <c r="D885" i="5"/>
  <c r="C885" i="5"/>
  <c r="B885" i="5"/>
  <c r="E884" i="5"/>
  <c r="D884" i="5"/>
  <c r="C884" i="5"/>
  <c r="B884" i="5"/>
  <c r="E883" i="5"/>
  <c r="D883" i="5"/>
  <c r="C883" i="5"/>
  <c r="B883" i="5"/>
  <c r="E882" i="5"/>
  <c r="D882" i="5"/>
  <c r="C882" i="5"/>
  <c r="B882" i="5"/>
  <c r="E881" i="5"/>
  <c r="D881" i="5"/>
  <c r="C881" i="5"/>
  <c r="B881" i="5"/>
  <c r="E880" i="5"/>
  <c r="D880" i="5"/>
  <c r="C880" i="5"/>
  <c r="B880" i="5"/>
  <c r="E879" i="5"/>
  <c r="D879" i="5"/>
  <c r="C879" i="5"/>
  <c r="B879" i="5"/>
  <c r="E878" i="5"/>
  <c r="D878" i="5"/>
  <c r="C878" i="5"/>
  <c r="B878" i="5"/>
  <c r="E877" i="5"/>
  <c r="D877" i="5"/>
  <c r="C877" i="5"/>
  <c r="B877" i="5"/>
  <c r="E876" i="5"/>
  <c r="D876" i="5"/>
  <c r="C876" i="5"/>
  <c r="B876" i="5"/>
  <c r="E875" i="5"/>
  <c r="D875" i="5"/>
  <c r="C875" i="5"/>
  <c r="B875" i="5"/>
  <c r="E874" i="5"/>
  <c r="D874" i="5"/>
  <c r="C874" i="5"/>
  <c r="B874" i="5"/>
  <c r="E873" i="5"/>
  <c r="D873" i="5"/>
  <c r="C873" i="5"/>
  <c r="B873" i="5"/>
  <c r="E872" i="5"/>
  <c r="D872" i="5"/>
  <c r="C872" i="5"/>
  <c r="B872" i="5"/>
  <c r="E871" i="5"/>
  <c r="D871" i="5"/>
  <c r="C871" i="5"/>
  <c r="B871" i="5"/>
  <c r="E870" i="5"/>
  <c r="D870" i="5"/>
  <c r="C870" i="5"/>
  <c r="B870" i="5"/>
  <c r="E869" i="5"/>
  <c r="D869" i="5"/>
  <c r="C869" i="5"/>
  <c r="B869" i="5"/>
  <c r="E868" i="5"/>
  <c r="D868" i="5"/>
  <c r="C868" i="5"/>
  <c r="B868" i="5"/>
  <c r="E867" i="5"/>
  <c r="D867" i="5"/>
  <c r="C867" i="5"/>
  <c r="B867" i="5"/>
  <c r="E866" i="5"/>
  <c r="D866" i="5"/>
  <c r="C866" i="5"/>
  <c r="B866" i="5"/>
  <c r="E865" i="5"/>
  <c r="D865" i="5"/>
  <c r="C865" i="5"/>
  <c r="B865" i="5"/>
  <c r="E864" i="5"/>
  <c r="D864" i="5"/>
  <c r="C864" i="5"/>
  <c r="B864" i="5"/>
  <c r="E863" i="5"/>
  <c r="D863" i="5"/>
  <c r="C863" i="5"/>
  <c r="B863" i="5"/>
  <c r="E862" i="5"/>
  <c r="D862" i="5"/>
  <c r="C862" i="5"/>
  <c r="B862" i="5"/>
  <c r="E861" i="5"/>
  <c r="D861" i="5"/>
  <c r="C861" i="5"/>
  <c r="B861" i="5"/>
  <c r="E860" i="5"/>
  <c r="D860" i="5"/>
  <c r="C860" i="5"/>
  <c r="B860" i="5"/>
  <c r="E859" i="5"/>
  <c r="D859" i="5"/>
  <c r="C859" i="5"/>
  <c r="B859" i="5"/>
  <c r="E858" i="5"/>
  <c r="D858" i="5"/>
  <c r="C858" i="5"/>
  <c r="B858" i="5"/>
  <c r="E857" i="5"/>
  <c r="D857" i="5"/>
  <c r="C857" i="5"/>
  <c r="B857" i="5"/>
  <c r="E856" i="5"/>
  <c r="D856" i="5"/>
  <c r="C856" i="5"/>
  <c r="B856" i="5"/>
  <c r="E855" i="5"/>
  <c r="D855" i="5"/>
  <c r="C855" i="5"/>
  <c r="B855" i="5"/>
  <c r="E854" i="5"/>
  <c r="D854" i="5"/>
  <c r="C854" i="5"/>
  <c r="B854" i="5"/>
  <c r="E853" i="5"/>
  <c r="D853" i="5"/>
  <c r="C853" i="5"/>
  <c r="B853" i="5"/>
  <c r="E852" i="5"/>
  <c r="D852" i="5"/>
  <c r="C852" i="5"/>
  <c r="B852" i="5"/>
  <c r="E851" i="5"/>
  <c r="D851" i="5"/>
  <c r="C851" i="5"/>
  <c r="B851" i="5"/>
  <c r="E850" i="5"/>
  <c r="D850" i="5"/>
  <c r="C850" i="5"/>
  <c r="B850" i="5"/>
  <c r="E849" i="5"/>
  <c r="D849" i="5"/>
  <c r="C849" i="5"/>
  <c r="B849" i="5"/>
  <c r="E848" i="5"/>
  <c r="D848" i="5"/>
  <c r="C848" i="5"/>
  <c r="B848" i="5"/>
  <c r="E847" i="5"/>
  <c r="D847" i="5"/>
  <c r="C847" i="5"/>
  <c r="B847" i="5"/>
  <c r="E846" i="5"/>
  <c r="D846" i="5"/>
  <c r="C846" i="5"/>
  <c r="B846" i="5"/>
  <c r="E845" i="5"/>
  <c r="D845" i="5"/>
  <c r="C845" i="5"/>
  <c r="B845" i="5"/>
  <c r="E844" i="5"/>
  <c r="D844" i="5"/>
  <c r="C844" i="5"/>
  <c r="B844" i="5"/>
  <c r="E843" i="5"/>
  <c r="D843" i="5"/>
  <c r="C843" i="5"/>
  <c r="B843" i="5"/>
  <c r="E842" i="5"/>
  <c r="D842" i="5"/>
  <c r="C842" i="5"/>
  <c r="B842" i="5"/>
  <c r="E841" i="5"/>
  <c r="D841" i="5"/>
  <c r="C841" i="5"/>
  <c r="B841" i="5"/>
  <c r="E840" i="5"/>
  <c r="D840" i="5"/>
  <c r="C840" i="5"/>
  <c r="B840" i="5"/>
  <c r="E839" i="5"/>
  <c r="D839" i="5"/>
  <c r="C839" i="5"/>
  <c r="B839" i="5"/>
  <c r="E838" i="5"/>
  <c r="D838" i="5"/>
  <c r="C838" i="5"/>
  <c r="B838" i="5"/>
  <c r="E837" i="5"/>
  <c r="D837" i="5"/>
  <c r="C837" i="5"/>
  <c r="B837" i="5"/>
  <c r="E836" i="5"/>
  <c r="D836" i="5"/>
  <c r="C836" i="5"/>
  <c r="B836" i="5"/>
  <c r="E835" i="5"/>
  <c r="D835" i="5"/>
  <c r="C835" i="5"/>
  <c r="B835" i="5"/>
  <c r="E834" i="5"/>
  <c r="D834" i="5"/>
  <c r="C834" i="5"/>
  <c r="B834" i="5"/>
  <c r="E833" i="5"/>
  <c r="D833" i="5"/>
  <c r="C833" i="5"/>
  <c r="B833" i="5"/>
  <c r="E832" i="5"/>
  <c r="D832" i="5"/>
  <c r="C832" i="5"/>
  <c r="B832" i="5"/>
  <c r="E831" i="5"/>
  <c r="D831" i="5"/>
  <c r="C831" i="5"/>
  <c r="B831" i="5"/>
  <c r="E830" i="5"/>
  <c r="D830" i="5"/>
  <c r="C830" i="5"/>
  <c r="B830" i="5"/>
  <c r="E829" i="5"/>
  <c r="D829" i="5"/>
  <c r="C829" i="5"/>
  <c r="B829" i="5"/>
  <c r="E828" i="5"/>
  <c r="D828" i="5"/>
  <c r="C828" i="5"/>
  <c r="B828" i="5"/>
  <c r="E827" i="5"/>
  <c r="D827" i="5"/>
  <c r="C827" i="5"/>
  <c r="B827" i="5"/>
  <c r="E826" i="5"/>
  <c r="D826" i="5"/>
  <c r="C826" i="5"/>
  <c r="B826" i="5"/>
  <c r="E825" i="5"/>
  <c r="D825" i="5"/>
  <c r="C825" i="5"/>
  <c r="B825" i="5"/>
  <c r="E824" i="5"/>
  <c r="D824" i="5"/>
  <c r="C824" i="5"/>
  <c r="B824" i="5"/>
  <c r="E823" i="5"/>
  <c r="D823" i="5"/>
  <c r="C823" i="5"/>
  <c r="B823" i="5"/>
  <c r="E822" i="5"/>
  <c r="D822" i="5"/>
  <c r="C822" i="5"/>
  <c r="B822" i="5"/>
  <c r="E821" i="5"/>
  <c r="D821" i="5"/>
  <c r="C821" i="5"/>
  <c r="B821" i="5"/>
  <c r="E820" i="5"/>
  <c r="D820" i="5"/>
  <c r="C820" i="5"/>
  <c r="B820" i="5"/>
  <c r="E819" i="5"/>
  <c r="D819" i="5"/>
  <c r="C819" i="5"/>
  <c r="B819" i="5"/>
  <c r="E818" i="5"/>
  <c r="D818" i="5"/>
  <c r="C818" i="5"/>
  <c r="B818" i="5"/>
  <c r="E817" i="5"/>
  <c r="D817" i="5"/>
  <c r="C817" i="5"/>
  <c r="B817" i="5"/>
  <c r="E816" i="5"/>
  <c r="D816" i="5"/>
  <c r="C816" i="5"/>
  <c r="B816" i="5"/>
  <c r="E815" i="5"/>
  <c r="D815" i="5"/>
  <c r="C815" i="5"/>
  <c r="B815" i="5"/>
  <c r="E814" i="5"/>
  <c r="D814" i="5"/>
  <c r="C814" i="5"/>
  <c r="B814" i="5"/>
  <c r="E813" i="5"/>
  <c r="D813" i="5"/>
  <c r="C813" i="5"/>
  <c r="B813" i="5"/>
  <c r="E812" i="5"/>
  <c r="D812" i="5"/>
  <c r="C812" i="5"/>
  <c r="B812" i="5"/>
  <c r="E811" i="5"/>
  <c r="D811" i="5"/>
  <c r="C811" i="5"/>
  <c r="B811" i="5"/>
  <c r="E810" i="5"/>
  <c r="D810" i="5"/>
  <c r="C810" i="5"/>
  <c r="B810" i="5"/>
  <c r="E809" i="5"/>
  <c r="D809" i="5"/>
  <c r="C809" i="5"/>
  <c r="B809" i="5"/>
  <c r="E808" i="5"/>
  <c r="D808" i="5"/>
  <c r="C808" i="5"/>
  <c r="B808" i="5"/>
  <c r="E807" i="5"/>
  <c r="D807" i="5"/>
  <c r="C807" i="5"/>
  <c r="B807" i="5"/>
  <c r="E806" i="5"/>
  <c r="D806" i="5"/>
  <c r="C806" i="5"/>
  <c r="B806" i="5"/>
  <c r="E805" i="5"/>
  <c r="D805" i="5"/>
  <c r="C805" i="5"/>
  <c r="B805" i="5"/>
  <c r="E804" i="5"/>
  <c r="D804" i="5"/>
  <c r="C804" i="5"/>
  <c r="B804" i="5"/>
  <c r="E803" i="5"/>
  <c r="D803" i="5"/>
  <c r="C803" i="5"/>
  <c r="B803" i="5"/>
  <c r="E802" i="5"/>
  <c r="D802" i="5"/>
  <c r="C802" i="5"/>
  <c r="B802" i="5"/>
  <c r="E801" i="5"/>
  <c r="D801" i="5"/>
  <c r="C801" i="5"/>
  <c r="B801" i="5"/>
  <c r="E800" i="5"/>
  <c r="D800" i="5"/>
  <c r="C800" i="5"/>
  <c r="B800" i="5"/>
  <c r="E799" i="5"/>
  <c r="D799" i="5"/>
  <c r="C799" i="5"/>
  <c r="B799" i="5"/>
  <c r="E798" i="5"/>
  <c r="D798" i="5"/>
  <c r="C798" i="5"/>
  <c r="B798" i="5"/>
  <c r="E797" i="5"/>
  <c r="D797" i="5"/>
  <c r="C797" i="5"/>
  <c r="B797" i="5"/>
  <c r="E796" i="5"/>
  <c r="D796" i="5"/>
  <c r="C796" i="5"/>
  <c r="B796" i="5"/>
  <c r="E795" i="5"/>
  <c r="D795" i="5"/>
  <c r="C795" i="5"/>
  <c r="B795" i="5"/>
  <c r="E794" i="5"/>
  <c r="D794" i="5"/>
  <c r="C794" i="5"/>
  <c r="B794" i="5"/>
  <c r="E793" i="5"/>
  <c r="D793" i="5"/>
  <c r="C793" i="5"/>
  <c r="B793" i="5"/>
  <c r="E792" i="5"/>
  <c r="D792" i="5"/>
  <c r="C792" i="5"/>
  <c r="B792" i="5"/>
  <c r="E791" i="5"/>
  <c r="D791" i="5"/>
  <c r="C791" i="5"/>
  <c r="B791" i="5"/>
  <c r="E790" i="5"/>
  <c r="D790" i="5"/>
  <c r="C790" i="5"/>
  <c r="B790" i="5"/>
  <c r="E789" i="5"/>
  <c r="D789" i="5"/>
  <c r="C789" i="5"/>
  <c r="B789" i="5"/>
  <c r="E788" i="5"/>
  <c r="D788" i="5"/>
  <c r="C788" i="5"/>
  <c r="B788" i="5"/>
  <c r="E787" i="5"/>
  <c r="D787" i="5"/>
  <c r="C787" i="5"/>
  <c r="B787" i="5"/>
  <c r="E786" i="5"/>
  <c r="D786" i="5"/>
  <c r="C786" i="5"/>
  <c r="B786" i="5"/>
  <c r="E785" i="5"/>
  <c r="D785" i="5"/>
  <c r="C785" i="5"/>
  <c r="B785" i="5"/>
  <c r="E784" i="5"/>
  <c r="D784" i="5"/>
  <c r="C784" i="5"/>
  <c r="B784" i="5"/>
  <c r="E783" i="5"/>
  <c r="D783" i="5"/>
  <c r="C783" i="5"/>
  <c r="B783" i="5"/>
  <c r="E782" i="5"/>
  <c r="D782" i="5"/>
  <c r="C782" i="5"/>
  <c r="B782" i="5"/>
  <c r="E781" i="5"/>
  <c r="D781" i="5"/>
  <c r="C781" i="5"/>
  <c r="B781" i="5"/>
  <c r="E780" i="5"/>
  <c r="D780" i="5"/>
  <c r="C780" i="5"/>
  <c r="B780" i="5"/>
  <c r="E779" i="5"/>
  <c r="D779" i="5"/>
  <c r="C779" i="5"/>
  <c r="B779" i="5"/>
  <c r="E778" i="5"/>
  <c r="D778" i="5"/>
  <c r="C778" i="5"/>
  <c r="B778" i="5"/>
  <c r="E777" i="5"/>
  <c r="D777" i="5"/>
  <c r="C777" i="5"/>
  <c r="B777" i="5"/>
  <c r="E776" i="5"/>
  <c r="D776" i="5"/>
  <c r="C776" i="5"/>
  <c r="B776" i="5"/>
  <c r="E775" i="5"/>
  <c r="D775" i="5"/>
  <c r="C775" i="5"/>
  <c r="B775" i="5"/>
  <c r="E774" i="5"/>
  <c r="D774" i="5"/>
  <c r="C774" i="5"/>
  <c r="B774" i="5"/>
  <c r="E773" i="5"/>
  <c r="D773" i="5"/>
  <c r="C773" i="5"/>
  <c r="B773" i="5"/>
  <c r="E772" i="5"/>
  <c r="D772" i="5"/>
  <c r="C772" i="5"/>
  <c r="B772" i="5"/>
  <c r="E771" i="5"/>
  <c r="D771" i="5"/>
  <c r="C771" i="5"/>
  <c r="B771" i="5"/>
  <c r="E770" i="5"/>
  <c r="D770" i="5"/>
  <c r="C770" i="5"/>
  <c r="B770" i="5"/>
  <c r="E769" i="5"/>
  <c r="D769" i="5"/>
  <c r="C769" i="5"/>
  <c r="B769" i="5"/>
  <c r="E768" i="5"/>
  <c r="D768" i="5"/>
  <c r="C768" i="5"/>
  <c r="B768" i="5"/>
  <c r="E767" i="5"/>
  <c r="D767" i="5"/>
  <c r="C767" i="5"/>
  <c r="B767" i="5"/>
  <c r="E766" i="5"/>
  <c r="D766" i="5"/>
  <c r="C766" i="5"/>
  <c r="B766" i="5"/>
  <c r="E765" i="5"/>
  <c r="D765" i="5"/>
  <c r="C765" i="5"/>
  <c r="B765" i="5"/>
  <c r="E764" i="5"/>
  <c r="D764" i="5"/>
  <c r="C764" i="5"/>
  <c r="B764" i="5"/>
  <c r="E763" i="5"/>
  <c r="D763" i="5"/>
  <c r="C763" i="5"/>
  <c r="B763" i="5"/>
  <c r="E762" i="5"/>
  <c r="D762" i="5"/>
  <c r="C762" i="5"/>
  <c r="B762" i="5"/>
  <c r="E761" i="5"/>
  <c r="D761" i="5"/>
  <c r="C761" i="5"/>
  <c r="B761" i="5"/>
  <c r="E760" i="5"/>
  <c r="D760" i="5"/>
  <c r="C760" i="5"/>
  <c r="B760" i="5"/>
  <c r="E759" i="5"/>
  <c r="D759" i="5"/>
  <c r="C759" i="5"/>
  <c r="B759" i="5"/>
  <c r="E758" i="5"/>
  <c r="D758" i="5"/>
  <c r="C758" i="5"/>
  <c r="B758" i="5"/>
  <c r="E757" i="5"/>
  <c r="D757" i="5"/>
  <c r="C757" i="5"/>
  <c r="B757" i="5"/>
  <c r="E756" i="5"/>
  <c r="D756" i="5"/>
  <c r="C756" i="5"/>
  <c r="B756" i="5"/>
  <c r="E755" i="5"/>
  <c r="D755" i="5"/>
  <c r="C755" i="5"/>
  <c r="B755" i="5"/>
  <c r="E754" i="5"/>
  <c r="D754" i="5"/>
  <c r="C754" i="5"/>
  <c r="B754" i="5"/>
  <c r="E753" i="5"/>
  <c r="D753" i="5"/>
  <c r="C753" i="5"/>
  <c r="B753" i="5"/>
  <c r="E752" i="5"/>
  <c r="D752" i="5"/>
  <c r="C752" i="5"/>
  <c r="B752" i="5"/>
  <c r="E751" i="5"/>
  <c r="D751" i="5"/>
  <c r="C751" i="5"/>
  <c r="B751" i="5"/>
  <c r="E750" i="5"/>
  <c r="D750" i="5"/>
  <c r="C750" i="5"/>
  <c r="B750" i="5"/>
  <c r="E749" i="5"/>
  <c r="D749" i="5"/>
  <c r="C749" i="5"/>
  <c r="B749" i="5"/>
  <c r="E748" i="5"/>
  <c r="D748" i="5"/>
  <c r="C748" i="5"/>
  <c r="B748" i="5"/>
  <c r="E747" i="5"/>
  <c r="D747" i="5"/>
  <c r="C747" i="5"/>
  <c r="B747" i="5"/>
  <c r="E746" i="5"/>
  <c r="D746" i="5"/>
  <c r="C746" i="5"/>
  <c r="B746" i="5"/>
  <c r="E745" i="5"/>
  <c r="D745" i="5"/>
  <c r="C745" i="5"/>
  <c r="B745" i="5"/>
  <c r="E744" i="5"/>
  <c r="D744" i="5"/>
  <c r="C744" i="5"/>
  <c r="B744" i="5"/>
  <c r="E743" i="5"/>
  <c r="D743" i="5"/>
  <c r="C743" i="5"/>
  <c r="B743" i="5"/>
  <c r="E742" i="5"/>
  <c r="D742" i="5"/>
  <c r="C742" i="5"/>
  <c r="B742" i="5"/>
  <c r="E741" i="5"/>
  <c r="D741" i="5"/>
  <c r="C741" i="5"/>
  <c r="B741" i="5"/>
  <c r="E740" i="5"/>
  <c r="D740" i="5"/>
  <c r="C740" i="5"/>
  <c r="B740" i="5"/>
  <c r="E739" i="5"/>
  <c r="D739" i="5"/>
  <c r="C739" i="5"/>
  <c r="B739" i="5"/>
  <c r="E738" i="5"/>
  <c r="D738" i="5"/>
  <c r="C738" i="5"/>
  <c r="B738" i="5"/>
  <c r="E737" i="5"/>
  <c r="D737" i="5"/>
  <c r="C737" i="5"/>
  <c r="B737" i="5"/>
  <c r="E736" i="5"/>
  <c r="D736" i="5"/>
  <c r="C736" i="5"/>
  <c r="B736" i="5"/>
  <c r="E735" i="5"/>
  <c r="D735" i="5"/>
  <c r="C735" i="5"/>
  <c r="B735" i="5"/>
  <c r="E734" i="5"/>
  <c r="D734" i="5"/>
  <c r="C734" i="5"/>
  <c r="B734" i="5"/>
  <c r="E733" i="5"/>
  <c r="D733" i="5"/>
  <c r="C733" i="5"/>
  <c r="B733" i="5"/>
  <c r="E732" i="5"/>
  <c r="D732" i="5"/>
  <c r="C732" i="5"/>
  <c r="B732" i="5"/>
  <c r="E731" i="5"/>
  <c r="D731" i="5"/>
  <c r="C731" i="5"/>
  <c r="B731" i="5"/>
  <c r="E730" i="5"/>
  <c r="D730" i="5"/>
  <c r="C730" i="5"/>
  <c r="B730" i="5"/>
  <c r="E729" i="5"/>
  <c r="D729" i="5"/>
  <c r="C729" i="5"/>
  <c r="B729" i="5"/>
  <c r="E728" i="5"/>
  <c r="D728" i="5"/>
  <c r="C728" i="5"/>
  <c r="B728" i="5"/>
  <c r="E727" i="5"/>
  <c r="D727" i="5"/>
  <c r="C727" i="5"/>
  <c r="B727" i="5"/>
  <c r="E726" i="5"/>
  <c r="D726" i="5"/>
  <c r="C726" i="5"/>
  <c r="B726" i="5"/>
  <c r="E725" i="5"/>
  <c r="D725" i="5"/>
  <c r="C725" i="5"/>
  <c r="B725" i="5"/>
  <c r="E724" i="5"/>
  <c r="D724" i="5"/>
  <c r="C724" i="5"/>
  <c r="B724" i="5"/>
  <c r="E723" i="5"/>
  <c r="D723" i="5"/>
  <c r="C723" i="5"/>
  <c r="B723" i="5"/>
  <c r="E722" i="5"/>
  <c r="D722" i="5"/>
  <c r="C722" i="5"/>
  <c r="B722" i="5"/>
  <c r="E721" i="5"/>
  <c r="D721" i="5"/>
  <c r="C721" i="5"/>
  <c r="B721" i="5"/>
  <c r="E720" i="5"/>
  <c r="D720" i="5"/>
  <c r="C720" i="5"/>
  <c r="B720" i="5"/>
  <c r="E719" i="5"/>
  <c r="D719" i="5"/>
  <c r="C719" i="5"/>
  <c r="B719" i="5"/>
  <c r="E718" i="5"/>
  <c r="D718" i="5"/>
  <c r="C718" i="5"/>
  <c r="B718" i="5"/>
  <c r="E717" i="5"/>
  <c r="D717" i="5"/>
  <c r="C717" i="5"/>
  <c r="B717" i="5"/>
  <c r="E716" i="5"/>
  <c r="D716" i="5"/>
  <c r="C716" i="5"/>
  <c r="B716" i="5"/>
  <c r="E715" i="5"/>
  <c r="D715" i="5"/>
  <c r="C715" i="5"/>
  <c r="B715" i="5"/>
  <c r="E714" i="5"/>
  <c r="D714" i="5"/>
  <c r="C714" i="5"/>
  <c r="B714" i="5"/>
  <c r="E713" i="5"/>
  <c r="D713" i="5"/>
  <c r="C713" i="5"/>
  <c r="B713" i="5"/>
  <c r="E712" i="5"/>
  <c r="D712" i="5"/>
  <c r="C712" i="5"/>
  <c r="B712" i="5"/>
  <c r="E711" i="5"/>
  <c r="D711" i="5"/>
  <c r="C711" i="5"/>
  <c r="B711" i="5"/>
  <c r="E710" i="5"/>
  <c r="D710" i="5"/>
  <c r="C710" i="5"/>
  <c r="B710" i="5"/>
  <c r="E709" i="5"/>
  <c r="D709" i="5"/>
  <c r="C709" i="5"/>
  <c r="B709" i="5"/>
  <c r="E708" i="5"/>
  <c r="D708" i="5"/>
  <c r="C708" i="5"/>
  <c r="B708" i="5"/>
  <c r="E707" i="5"/>
  <c r="D707" i="5"/>
  <c r="C707" i="5"/>
  <c r="B707" i="5"/>
  <c r="E706" i="5"/>
  <c r="D706" i="5"/>
  <c r="C706" i="5"/>
  <c r="B706" i="5"/>
  <c r="E705" i="5"/>
  <c r="D705" i="5"/>
  <c r="C705" i="5"/>
  <c r="B705" i="5"/>
  <c r="E704" i="5"/>
  <c r="D704" i="5"/>
  <c r="C704" i="5"/>
  <c r="B704" i="5"/>
  <c r="E703" i="5"/>
  <c r="D703" i="5"/>
  <c r="C703" i="5"/>
  <c r="B703" i="5"/>
  <c r="E702" i="5"/>
  <c r="D702" i="5"/>
  <c r="C702" i="5"/>
  <c r="B702" i="5"/>
  <c r="E701" i="5"/>
  <c r="D701" i="5"/>
  <c r="C701" i="5"/>
  <c r="B701" i="5"/>
  <c r="E700" i="5"/>
  <c r="D700" i="5"/>
  <c r="C700" i="5"/>
  <c r="B700" i="5"/>
  <c r="E699" i="5"/>
  <c r="D699" i="5"/>
  <c r="C699" i="5"/>
  <c r="B699" i="5"/>
  <c r="E698" i="5"/>
  <c r="D698" i="5"/>
  <c r="C698" i="5"/>
  <c r="B698" i="5"/>
  <c r="E697" i="5"/>
  <c r="D697" i="5"/>
  <c r="C697" i="5"/>
  <c r="B697" i="5"/>
  <c r="E696" i="5"/>
  <c r="D696" i="5"/>
  <c r="C696" i="5"/>
  <c r="B696" i="5"/>
  <c r="E695" i="5"/>
  <c r="D695" i="5"/>
  <c r="C695" i="5"/>
  <c r="B695" i="5"/>
  <c r="E694" i="5"/>
  <c r="D694" i="5"/>
  <c r="C694" i="5"/>
  <c r="B694" i="5"/>
  <c r="E693" i="5"/>
  <c r="D693" i="5"/>
  <c r="C693" i="5"/>
  <c r="B693" i="5"/>
  <c r="E692" i="5"/>
  <c r="D692" i="5"/>
  <c r="C692" i="5"/>
  <c r="B692" i="5"/>
  <c r="E691" i="5"/>
  <c r="D691" i="5"/>
  <c r="C691" i="5"/>
  <c r="B691" i="5"/>
  <c r="E690" i="5"/>
  <c r="D690" i="5"/>
  <c r="C690" i="5"/>
  <c r="B690" i="5"/>
  <c r="E689" i="5"/>
  <c r="D689" i="5"/>
  <c r="C689" i="5"/>
  <c r="B689" i="5"/>
  <c r="E688" i="5"/>
  <c r="D688" i="5"/>
  <c r="C688" i="5"/>
  <c r="B688" i="5"/>
  <c r="E687" i="5"/>
  <c r="D687" i="5"/>
  <c r="C687" i="5"/>
  <c r="B687" i="5"/>
  <c r="E686" i="5"/>
  <c r="D686" i="5"/>
  <c r="C686" i="5"/>
  <c r="B686" i="5"/>
  <c r="E685" i="5"/>
  <c r="D685" i="5"/>
  <c r="C685" i="5"/>
  <c r="B685" i="5"/>
  <c r="E684" i="5"/>
  <c r="D684" i="5"/>
  <c r="C684" i="5"/>
  <c r="B684" i="5"/>
  <c r="E683" i="5"/>
  <c r="D683" i="5"/>
  <c r="C683" i="5"/>
  <c r="B683" i="5"/>
  <c r="E682" i="5"/>
  <c r="D682" i="5"/>
  <c r="C682" i="5"/>
  <c r="B682" i="5"/>
  <c r="E681" i="5"/>
  <c r="D681" i="5"/>
  <c r="C681" i="5"/>
  <c r="B681" i="5"/>
  <c r="E680" i="5"/>
  <c r="D680" i="5"/>
  <c r="C680" i="5"/>
  <c r="B680" i="5"/>
  <c r="E679" i="5"/>
  <c r="D679" i="5"/>
  <c r="C679" i="5"/>
  <c r="B679" i="5"/>
  <c r="E678" i="5"/>
  <c r="D678" i="5"/>
  <c r="C678" i="5"/>
  <c r="B678" i="5"/>
  <c r="E677" i="5"/>
  <c r="D677" i="5"/>
  <c r="C677" i="5"/>
  <c r="B677" i="5"/>
  <c r="E676" i="5"/>
  <c r="D676" i="5"/>
  <c r="C676" i="5"/>
  <c r="B676" i="5"/>
  <c r="E675" i="5"/>
  <c r="D675" i="5"/>
  <c r="C675" i="5"/>
  <c r="B675" i="5"/>
  <c r="E674" i="5"/>
  <c r="D674" i="5"/>
  <c r="C674" i="5"/>
  <c r="B674" i="5"/>
  <c r="E673" i="5"/>
  <c r="D673" i="5"/>
  <c r="C673" i="5"/>
  <c r="B673" i="5"/>
  <c r="E672" i="5"/>
  <c r="D672" i="5"/>
  <c r="C672" i="5"/>
  <c r="B672" i="5"/>
  <c r="E671" i="5"/>
  <c r="D671" i="5"/>
  <c r="C671" i="5"/>
  <c r="B671" i="5"/>
  <c r="E670" i="5"/>
  <c r="D670" i="5"/>
  <c r="C670" i="5"/>
  <c r="B670" i="5"/>
  <c r="E669" i="5"/>
  <c r="D669" i="5"/>
  <c r="C669" i="5"/>
  <c r="B669" i="5"/>
  <c r="E668" i="5"/>
  <c r="D668" i="5"/>
  <c r="C668" i="5"/>
  <c r="B668" i="5"/>
  <c r="E667" i="5"/>
  <c r="D667" i="5"/>
  <c r="C667" i="5"/>
  <c r="B667" i="5"/>
  <c r="E666" i="5"/>
  <c r="D666" i="5"/>
  <c r="C666" i="5"/>
  <c r="B666" i="5"/>
  <c r="E665" i="5"/>
  <c r="D665" i="5"/>
  <c r="C665" i="5"/>
  <c r="B665" i="5"/>
  <c r="E664" i="5"/>
  <c r="D664" i="5"/>
  <c r="C664" i="5"/>
  <c r="B664" i="5"/>
  <c r="E663" i="5"/>
  <c r="D663" i="5"/>
  <c r="C663" i="5"/>
  <c r="B663" i="5"/>
  <c r="E662" i="5"/>
  <c r="D662" i="5"/>
  <c r="C662" i="5"/>
  <c r="B662" i="5"/>
  <c r="E661" i="5"/>
  <c r="D661" i="5"/>
  <c r="C661" i="5"/>
  <c r="B661" i="5"/>
  <c r="E660" i="5"/>
  <c r="D660" i="5"/>
  <c r="C660" i="5"/>
  <c r="B660" i="5"/>
  <c r="E659" i="5"/>
  <c r="D659" i="5"/>
  <c r="C659" i="5"/>
  <c r="B659" i="5"/>
  <c r="E658" i="5"/>
  <c r="D658" i="5"/>
  <c r="C658" i="5"/>
  <c r="B658" i="5"/>
  <c r="E657" i="5"/>
  <c r="D657" i="5"/>
  <c r="C657" i="5"/>
  <c r="B657" i="5"/>
  <c r="E656" i="5"/>
  <c r="D656" i="5"/>
  <c r="C656" i="5"/>
  <c r="B656" i="5"/>
  <c r="E655" i="5"/>
  <c r="D655" i="5"/>
  <c r="C655" i="5"/>
  <c r="B655" i="5"/>
  <c r="E654" i="5"/>
  <c r="D654" i="5"/>
  <c r="C654" i="5"/>
  <c r="B654" i="5"/>
  <c r="E653" i="5"/>
  <c r="D653" i="5"/>
  <c r="C653" i="5"/>
  <c r="B653" i="5"/>
  <c r="E652" i="5"/>
  <c r="D652" i="5"/>
  <c r="C652" i="5"/>
  <c r="B652" i="5"/>
  <c r="E651" i="5"/>
  <c r="D651" i="5"/>
  <c r="C651" i="5"/>
  <c r="B651" i="5"/>
  <c r="E650" i="5"/>
  <c r="D650" i="5"/>
  <c r="C650" i="5"/>
  <c r="B650" i="5"/>
  <c r="E649" i="5"/>
  <c r="D649" i="5"/>
  <c r="C649" i="5"/>
  <c r="B649" i="5"/>
  <c r="E648" i="5"/>
  <c r="D648" i="5"/>
  <c r="C648" i="5"/>
  <c r="B648" i="5"/>
  <c r="E647" i="5"/>
  <c r="D647" i="5"/>
  <c r="C647" i="5"/>
  <c r="B647" i="5"/>
  <c r="E646" i="5"/>
  <c r="D646" i="5"/>
  <c r="C646" i="5"/>
  <c r="B646" i="5"/>
  <c r="E645" i="5"/>
  <c r="D645" i="5"/>
  <c r="C645" i="5"/>
  <c r="B645" i="5"/>
  <c r="E644" i="5"/>
  <c r="D644" i="5"/>
  <c r="C644" i="5"/>
  <c r="B644" i="5"/>
  <c r="E643" i="5"/>
  <c r="D643" i="5"/>
  <c r="C643" i="5"/>
  <c r="B643" i="5"/>
  <c r="E642" i="5"/>
  <c r="D642" i="5"/>
  <c r="C642" i="5"/>
  <c r="B642" i="5"/>
  <c r="E641" i="5"/>
  <c r="D641" i="5"/>
  <c r="C641" i="5"/>
  <c r="B641" i="5"/>
  <c r="E640" i="5"/>
  <c r="D640" i="5"/>
  <c r="C640" i="5"/>
  <c r="B640" i="5"/>
  <c r="E639" i="5"/>
  <c r="D639" i="5"/>
  <c r="C639" i="5"/>
  <c r="B639" i="5"/>
  <c r="E638" i="5"/>
  <c r="D638" i="5"/>
  <c r="C638" i="5"/>
  <c r="B638" i="5"/>
  <c r="E637" i="5"/>
  <c r="D637" i="5"/>
  <c r="C637" i="5"/>
  <c r="B637" i="5"/>
  <c r="E636" i="5"/>
  <c r="D636" i="5"/>
  <c r="C636" i="5"/>
  <c r="B636" i="5"/>
  <c r="E635" i="5"/>
  <c r="D635" i="5"/>
  <c r="C635" i="5"/>
  <c r="B635" i="5"/>
  <c r="E634" i="5"/>
  <c r="D634" i="5"/>
  <c r="C634" i="5"/>
  <c r="B634" i="5"/>
  <c r="E633" i="5"/>
  <c r="D633" i="5"/>
  <c r="C633" i="5"/>
  <c r="B633" i="5"/>
  <c r="E632" i="5"/>
  <c r="D632" i="5"/>
  <c r="C632" i="5"/>
  <c r="B632" i="5"/>
  <c r="E631" i="5"/>
  <c r="D631" i="5"/>
  <c r="C631" i="5"/>
  <c r="B631" i="5"/>
  <c r="E630" i="5"/>
  <c r="D630" i="5"/>
  <c r="C630" i="5"/>
  <c r="B630" i="5"/>
  <c r="E629" i="5"/>
  <c r="D629" i="5"/>
  <c r="C629" i="5"/>
  <c r="B629" i="5"/>
  <c r="E628" i="5"/>
  <c r="D628" i="5"/>
  <c r="C628" i="5"/>
  <c r="B628" i="5"/>
  <c r="E627" i="5"/>
  <c r="D627" i="5"/>
  <c r="C627" i="5"/>
  <c r="B627" i="5"/>
  <c r="E626" i="5"/>
  <c r="D626" i="5"/>
  <c r="C626" i="5"/>
  <c r="B626" i="5"/>
  <c r="E625" i="5"/>
  <c r="D625" i="5"/>
  <c r="C625" i="5"/>
  <c r="B625" i="5"/>
  <c r="E624" i="5"/>
  <c r="D624" i="5"/>
  <c r="C624" i="5"/>
  <c r="B624" i="5"/>
  <c r="E623" i="5"/>
  <c r="D623" i="5"/>
  <c r="C623" i="5"/>
  <c r="B623" i="5"/>
  <c r="E622" i="5"/>
  <c r="D622" i="5"/>
  <c r="C622" i="5"/>
  <c r="B622" i="5"/>
  <c r="E621" i="5"/>
  <c r="D621" i="5"/>
  <c r="C621" i="5"/>
  <c r="B621" i="5"/>
  <c r="E620" i="5"/>
  <c r="D620" i="5"/>
  <c r="C620" i="5"/>
  <c r="B620" i="5"/>
  <c r="E619" i="5"/>
  <c r="D619" i="5"/>
  <c r="C619" i="5"/>
  <c r="B619" i="5"/>
  <c r="E618" i="5"/>
  <c r="D618" i="5"/>
  <c r="C618" i="5"/>
  <c r="B618" i="5"/>
  <c r="E617" i="5"/>
  <c r="D617" i="5"/>
  <c r="C617" i="5"/>
  <c r="B617" i="5"/>
  <c r="E616" i="5"/>
  <c r="D616" i="5"/>
  <c r="C616" i="5"/>
  <c r="B616" i="5"/>
  <c r="E615" i="5"/>
  <c r="D615" i="5"/>
  <c r="C615" i="5"/>
  <c r="B615" i="5"/>
  <c r="E614" i="5"/>
  <c r="D614" i="5"/>
  <c r="C614" i="5"/>
  <c r="B614" i="5"/>
  <c r="E613" i="5"/>
  <c r="D613" i="5"/>
  <c r="C613" i="5"/>
  <c r="B613" i="5"/>
  <c r="E612" i="5"/>
  <c r="D612" i="5"/>
  <c r="C612" i="5"/>
  <c r="B612" i="5"/>
  <c r="E611" i="5"/>
  <c r="D611" i="5"/>
  <c r="C611" i="5"/>
  <c r="B611" i="5"/>
  <c r="E610" i="5"/>
  <c r="D610" i="5"/>
  <c r="C610" i="5"/>
  <c r="B610" i="5"/>
  <c r="E609" i="5"/>
  <c r="D609" i="5"/>
  <c r="C609" i="5"/>
  <c r="B609" i="5"/>
  <c r="E608" i="5"/>
  <c r="D608" i="5"/>
  <c r="C608" i="5"/>
  <c r="B608" i="5"/>
  <c r="E607" i="5"/>
  <c r="D607" i="5"/>
  <c r="C607" i="5"/>
  <c r="B607" i="5"/>
  <c r="E606" i="5"/>
  <c r="D606" i="5"/>
  <c r="C606" i="5"/>
  <c r="B606" i="5"/>
  <c r="E605" i="5"/>
  <c r="D605" i="5"/>
  <c r="C605" i="5"/>
  <c r="B605" i="5"/>
  <c r="E604" i="5"/>
  <c r="D604" i="5"/>
  <c r="C604" i="5"/>
  <c r="B604" i="5"/>
  <c r="E603" i="5"/>
  <c r="D603" i="5"/>
  <c r="C603" i="5"/>
  <c r="B603" i="5"/>
  <c r="E602" i="5"/>
  <c r="D602" i="5"/>
  <c r="C602" i="5"/>
  <c r="B602" i="5"/>
  <c r="E601" i="5"/>
  <c r="D601" i="5"/>
  <c r="C601" i="5"/>
  <c r="B601" i="5"/>
  <c r="E600" i="5"/>
  <c r="D600" i="5"/>
  <c r="C600" i="5"/>
  <c r="B600" i="5"/>
  <c r="E599" i="5"/>
  <c r="D599" i="5"/>
  <c r="C599" i="5"/>
  <c r="B599" i="5"/>
  <c r="E598" i="5"/>
  <c r="D598" i="5"/>
  <c r="C598" i="5"/>
  <c r="B598" i="5"/>
  <c r="E597" i="5"/>
  <c r="D597" i="5"/>
  <c r="C597" i="5"/>
  <c r="B597" i="5"/>
  <c r="E596" i="5"/>
  <c r="D596" i="5"/>
  <c r="C596" i="5"/>
  <c r="B596" i="5"/>
  <c r="E595" i="5"/>
  <c r="D595" i="5"/>
  <c r="C595" i="5"/>
  <c r="B595" i="5"/>
  <c r="E594" i="5"/>
  <c r="D594" i="5"/>
  <c r="C594" i="5"/>
  <c r="B594" i="5"/>
  <c r="E593" i="5"/>
  <c r="D593" i="5"/>
  <c r="C593" i="5"/>
  <c r="B593" i="5"/>
  <c r="E592" i="5"/>
  <c r="D592" i="5"/>
  <c r="C592" i="5"/>
  <c r="B592" i="5"/>
  <c r="E591" i="5"/>
  <c r="D591" i="5"/>
  <c r="C591" i="5"/>
  <c r="B591" i="5"/>
  <c r="E590" i="5"/>
  <c r="D590" i="5"/>
  <c r="C590" i="5"/>
  <c r="B590" i="5"/>
  <c r="E589" i="5"/>
  <c r="D589" i="5"/>
  <c r="C589" i="5"/>
  <c r="B589" i="5"/>
  <c r="E588" i="5"/>
  <c r="D588" i="5"/>
  <c r="C588" i="5"/>
  <c r="B588" i="5"/>
  <c r="E587" i="5"/>
  <c r="D587" i="5"/>
  <c r="C587" i="5"/>
  <c r="B587" i="5"/>
  <c r="E586" i="5"/>
  <c r="D586" i="5"/>
  <c r="C586" i="5"/>
  <c r="B586" i="5"/>
  <c r="E585" i="5"/>
  <c r="D585" i="5"/>
  <c r="C585" i="5"/>
  <c r="B585" i="5"/>
  <c r="E584" i="5"/>
  <c r="D584" i="5"/>
  <c r="C584" i="5"/>
  <c r="B584" i="5"/>
  <c r="E583" i="5"/>
  <c r="D583" i="5"/>
  <c r="C583" i="5"/>
  <c r="B583" i="5"/>
  <c r="E582" i="5"/>
  <c r="D582" i="5"/>
  <c r="C582" i="5"/>
  <c r="B582" i="5"/>
  <c r="E581" i="5"/>
  <c r="D581" i="5"/>
  <c r="C581" i="5"/>
  <c r="B581" i="5"/>
  <c r="E580" i="5"/>
  <c r="D580" i="5"/>
  <c r="C580" i="5"/>
  <c r="B580" i="5"/>
  <c r="E579" i="5"/>
  <c r="D579" i="5"/>
  <c r="C579" i="5"/>
  <c r="B579" i="5"/>
  <c r="E578" i="5"/>
  <c r="D578" i="5"/>
  <c r="C578" i="5"/>
  <c r="B578" i="5"/>
  <c r="E577" i="5"/>
  <c r="D577" i="5"/>
  <c r="C577" i="5"/>
  <c r="B577" i="5"/>
  <c r="E576" i="5"/>
  <c r="D576" i="5"/>
  <c r="C576" i="5"/>
  <c r="B576" i="5"/>
  <c r="E575" i="5"/>
  <c r="D575" i="5"/>
  <c r="C575" i="5"/>
  <c r="B575" i="5"/>
  <c r="E574" i="5"/>
  <c r="D574" i="5"/>
  <c r="C574" i="5"/>
  <c r="B574" i="5"/>
  <c r="E573" i="5"/>
  <c r="D573" i="5"/>
  <c r="C573" i="5"/>
  <c r="B573" i="5"/>
  <c r="E572" i="5"/>
  <c r="D572" i="5"/>
  <c r="C572" i="5"/>
  <c r="B572" i="5"/>
  <c r="E571" i="5"/>
  <c r="D571" i="5"/>
  <c r="C571" i="5"/>
  <c r="B571" i="5"/>
  <c r="E570" i="5"/>
  <c r="D570" i="5"/>
  <c r="C570" i="5"/>
  <c r="B570" i="5"/>
  <c r="E569" i="5"/>
  <c r="D569" i="5"/>
  <c r="C569" i="5"/>
  <c r="B569" i="5"/>
  <c r="E568" i="5"/>
  <c r="D568" i="5"/>
  <c r="C568" i="5"/>
  <c r="B568" i="5"/>
  <c r="E567" i="5"/>
  <c r="D567" i="5"/>
  <c r="C567" i="5"/>
  <c r="B567" i="5"/>
  <c r="E566" i="5"/>
  <c r="D566" i="5"/>
  <c r="C566" i="5"/>
  <c r="B566" i="5"/>
  <c r="E565" i="5"/>
  <c r="D565" i="5"/>
  <c r="C565" i="5"/>
  <c r="B565" i="5"/>
  <c r="E564" i="5"/>
  <c r="D564" i="5"/>
  <c r="C564" i="5"/>
  <c r="B564" i="5"/>
  <c r="E563" i="5"/>
  <c r="D563" i="5"/>
  <c r="C563" i="5"/>
  <c r="B563" i="5"/>
  <c r="E562" i="5"/>
  <c r="D562" i="5"/>
  <c r="C562" i="5"/>
  <c r="B562" i="5"/>
  <c r="E561" i="5"/>
  <c r="D561" i="5"/>
  <c r="C561" i="5"/>
  <c r="B561" i="5"/>
  <c r="E560" i="5"/>
  <c r="D560" i="5"/>
  <c r="C560" i="5"/>
  <c r="B560" i="5"/>
  <c r="E559" i="5"/>
  <c r="D559" i="5"/>
  <c r="C559" i="5"/>
  <c r="B559" i="5"/>
  <c r="E558" i="5"/>
  <c r="D558" i="5"/>
  <c r="C558" i="5"/>
  <c r="B558" i="5"/>
  <c r="E557" i="5"/>
  <c r="D557" i="5"/>
  <c r="C557" i="5"/>
  <c r="B557" i="5"/>
  <c r="E556" i="5"/>
  <c r="D556" i="5"/>
  <c r="C556" i="5"/>
  <c r="B556" i="5"/>
  <c r="E555" i="5"/>
  <c r="D555" i="5"/>
  <c r="C555" i="5"/>
  <c r="B555" i="5"/>
  <c r="E554" i="5"/>
  <c r="D554" i="5"/>
  <c r="C554" i="5"/>
  <c r="B554" i="5"/>
  <c r="E553" i="5"/>
  <c r="D553" i="5"/>
  <c r="C553" i="5"/>
  <c r="B553" i="5"/>
  <c r="E552" i="5"/>
  <c r="D552" i="5"/>
  <c r="C552" i="5"/>
  <c r="B552" i="5"/>
  <c r="E551" i="5"/>
  <c r="D551" i="5"/>
  <c r="C551" i="5"/>
  <c r="B551" i="5"/>
  <c r="E550" i="5"/>
  <c r="D550" i="5"/>
  <c r="C550" i="5"/>
  <c r="B550" i="5"/>
  <c r="E549" i="5"/>
  <c r="D549" i="5"/>
  <c r="C549" i="5"/>
  <c r="B549" i="5"/>
  <c r="E548" i="5"/>
  <c r="D548" i="5"/>
  <c r="C548" i="5"/>
  <c r="B548" i="5"/>
  <c r="E547" i="5"/>
  <c r="D547" i="5"/>
  <c r="C547" i="5"/>
  <c r="B547" i="5"/>
  <c r="E546" i="5"/>
  <c r="D546" i="5"/>
  <c r="C546" i="5"/>
  <c r="B546" i="5"/>
  <c r="E545" i="5"/>
  <c r="D545" i="5"/>
  <c r="C545" i="5"/>
  <c r="B545" i="5"/>
  <c r="E544" i="5"/>
  <c r="D544" i="5"/>
  <c r="C544" i="5"/>
  <c r="B544" i="5"/>
  <c r="E543" i="5"/>
  <c r="D543" i="5"/>
  <c r="C543" i="5"/>
  <c r="B543" i="5"/>
  <c r="E542" i="5"/>
  <c r="D542" i="5"/>
  <c r="C542" i="5"/>
  <c r="B542" i="5"/>
  <c r="E541" i="5"/>
  <c r="D541" i="5"/>
  <c r="C541" i="5"/>
  <c r="B541" i="5"/>
  <c r="E540" i="5"/>
  <c r="D540" i="5"/>
  <c r="C540" i="5"/>
  <c r="B540" i="5"/>
  <c r="E539" i="5"/>
  <c r="D539" i="5"/>
  <c r="C539" i="5"/>
  <c r="B539" i="5"/>
  <c r="E538" i="5"/>
  <c r="D538" i="5"/>
  <c r="C538" i="5"/>
  <c r="B538" i="5"/>
  <c r="E537" i="5"/>
  <c r="D537" i="5"/>
  <c r="C537" i="5"/>
  <c r="B537" i="5"/>
  <c r="E536" i="5"/>
  <c r="D536" i="5"/>
  <c r="C536" i="5"/>
  <c r="B536" i="5"/>
  <c r="E535" i="5"/>
  <c r="D535" i="5"/>
  <c r="C535" i="5"/>
  <c r="B535" i="5"/>
  <c r="E534" i="5"/>
  <c r="D534" i="5"/>
  <c r="C534" i="5"/>
  <c r="B534" i="5"/>
  <c r="E533" i="5"/>
  <c r="D533" i="5"/>
  <c r="C533" i="5"/>
  <c r="B533" i="5"/>
  <c r="E532" i="5"/>
  <c r="D532" i="5"/>
  <c r="C532" i="5"/>
  <c r="B532" i="5"/>
  <c r="E531" i="5"/>
  <c r="D531" i="5"/>
  <c r="C531" i="5"/>
  <c r="B531" i="5"/>
  <c r="E530" i="5"/>
  <c r="D530" i="5"/>
  <c r="C530" i="5"/>
  <c r="B530" i="5"/>
  <c r="E529" i="5"/>
  <c r="D529" i="5"/>
  <c r="C529" i="5"/>
  <c r="B529" i="5"/>
  <c r="E528" i="5"/>
  <c r="D528" i="5"/>
  <c r="C528" i="5"/>
  <c r="B528" i="5"/>
  <c r="E527" i="5"/>
  <c r="D527" i="5"/>
  <c r="C527" i="5"/>
  <c r="B527" i="5"/>
  <c r="E526" i="5"/>
  <c r="D526" i="5"/>
  <c r="C526" i="5"/>
  <c r="B526" i="5"/>
  <c r="E525" i="5"/>
  <c r="D525" i="5"/>
  <c r="C525" i="5"/>
  <c r="B525" i="5"/>
  <c r="E524" i="5"/>
  <c r="D524" i="5"/>
  <c r="C524" i="5"/>
  <c r="B524" i="5"/>
  <c r="E523" i="5"/>
  <c r="D523" i="5"/>
  <c r="C523" i="5"/>
  <c r="B523" i="5"/>
  <c r="E522" i="5"/>
  <c r="D522" i="5"/>
  <c r="C522" i="5"/>
  <c r="B522" i="5"/>
  <c r="E521" i="5"/>
  <c r="D521" i="5"/>
  <c r="C521" i="5"/>
  <c r="B521" i="5"/>
  <c r="E520" i="5"/>
  <c r="D520" i="5"/>
  <c r="C520" i="5"/>
  <c r="B520" i="5"/>
  <c r="E519" i="5"/>
  <c r="D519" i="5"/>
  <c r="C519" i="5"/>
  <c r="B519" i="5"/>
  <c r="E518" i="5"/>
  <c r="D518" i="5"/>
  <c r="C518" i="5"/>
  <c r="B518" i="5"/>
  <c r="E517" i="5"/>
  <c r="D517" i="5"/>
  <c r="C517" i="5"/>
  <c r="B517" i="5"/>
  <c r="E516" i="5"/>
  <c r="D516" i="5"/>
  <c r="C516" i="5"/>
  <c r="B516" i="5"/>
  <c r="E515" i="5"/>
  <c r="D515" i="5"/>
  <c r="C515" i="5"/>
  <c r="B515" i="5"/>
  <c r="E514" i="5"/>
  <c r="D514" i="5"/>
  <c r="C514" i="5"/>
  <c r="B514" i="5"/>
  <c r="E513" i="5"/>
  <c r="D513" i="5"/>
  <c r="C513" i="5"/>
  <c r="B513" i="5"/>
  <c r="E512" i="5"/>
  <c r="D512" i="5"/>
  <c r="C512" i="5"/>
  <c r="B512" i="5"/>
  <c r="E511" i="5"/>
  <c r="D511" i="5"/>
  <c r="C511" i="5"/>
  <c r="B511" i="5"/>
  <c r="E510" i="5"/>
  <c r="D510" i="5"/>
  <c r="C510" i="5"/>
  <c r="B510" i="5"/>
  <c r="E509" i="5"/>
  <c r="D509" i="5"/>
  <c r="C509" i="5"/>
  <c r="B509" i="5"/>
  <c r="E508" i="5"/>
  <c r="D508" i="5"/>
  <c r="C508" i="5"/>
  <c r="B508" i="5"/>
  <c r="E507" i="5"/>
  <c r="D507" i="5"/>
  <c r="C507" i="5"/>
  <c r="B507" i="5"/>
  <c r="E506" i="5"/>
  <c r="D506" i="5"/>
  <c r="C506" i="5"/>
  <c r="B506" i="5"/>
  <c r="E505" i="5"/>
  <c r="D505" i="5"/>
  <c r="C505" i="5"/>
  <c r="B505" i="5"/>
  <c r="E504" i="5"/>
  <c r="D504" i="5"/>
  <c r="C504" i="5"/>
  <c r="B504" i="5"/>
  <c r="E503" i="5"/>
  <c r="D503" i="5"/>
  <c r="C503" i="5"/>
  <c r="B503" i="5"/>
  <c r="E502" i="5"/>
  <c r="D502" i="5"/>
  <c r="C502" i="5"/>
  <c r="B502" i="5"/>
  <c r="E501" i="5"/>
  <c r="D501" i="5"/>
  <c r="C501" i="5"/>
  <c r="B501" i="5"/>
  <c r="E500" i="5"/>
  <c r="D500" i="5"/>
  <c r="C500" i="5"/>
  <c r="B500" i="5"/>
  <c r="E499" i="5"/>
  <c r="D499" i="5"/>
  <c r="C499" i="5"/>
  <c r="B499" i="5"/>
  <c r="E498" i="5"/>
  <c r="D498" i="5"/>
  <c r="C498" i="5"/>
  <c r="B498" i="5"/>
  <c r="E497" i="5"/>
  <c r="D497" i="5"/>
  <c r="C497" i="5"/>
  <c r="B497" i="5"/>
  <c r="E496" i="5"/>
  <c r="D496" i="5"/>
  <c r="C496" i="5"/>
  <c r="B496" i="5"/>
  <c r="E495" i="5"/>
  <c r="D495" i="5"/>
  <c r="C495" i="5"/>
  <c r="B495" i="5"/>
  <c r="E494" i="5"/>
  <c r="D494" i="5"/>
  <c r="C494" i="5"/>
  <c r="B494" i="5"/>
  <c r="E493" i="5"/>
  <c r="D493" i="5"/>
  <c r="C493" i="5"/>
  <c r="B493" i="5"/>
  <c r="E492" i="5"/>
  <c r="D492" i="5"/>
  <c r="C492" i="5"/>
  <c r="B492" i="5"/>
  <c r="E491" i="5"/>
  <c r="D491" i="5"/>
  <c r="C491" i="5"/>
  <c r="B491" i="5"/>
  <c r="E490" i="5"/>
  <c r="D490" i="5"/>
  <c r="C490" i="5"/>
  <c r="B490" i="5"/>
  <c r="E489" i="5"/>
  <c r="D489" i="5"/>
  <c r="C489" i="5"/>
  <c r="B489" i="5"/>
  <c r="E488" i="5"/>
  <c r="D488" i="5"/>
  <c r="C488" i="5"/>
  <c r="B488" i="5"/>
  <c r="E487" i="5"/>
  <c r="D487" i="5"/>
  <c r="C487" i="5"/>
  <c r="B487" i="5"/>
  <c r="E486" i="5"/>
  <c r="D486" i="5"/>
  <c r="C486" i="5"/>
  <c r="B486" i="5"/>
  <c r="E485" i="5"/>
  <c r="D485" i="5"/>
  <c r="C485" i="5"/>
  <c r="B485" i="5"/>
  <c r="E484" i="5"/>
  <c r="D484" i="5"/>
  <c r="C484" i="5"/>
  <c r="B484" i="5"/>
  <c r="E483" i="5"/>
  <c r="D483" i="5"/>
  <c r="C483" i="5"/>
  <c r="B483" i="5"/>
  <c r="E482" i="5"/>
  <c r="D482" i="5"/>
  <c r="C482" i="5"/>
  <c r="B482" i="5"/>
  <c r="E481" i="5"/>
  <c r="D481" i="5"/>
  <c r="C481" i="5"/>
  <c r="B481" i="5"/>
  <c r="E480" i="5"/>
  <c r="D480" i="5"/>
  <c r="C480" i="5"/>
  <c r="B480" i="5"/>
  <c r="E479" i="5"/>
  <c r="D479" i="5"/>
  <c r="C479" i="5"/>
  <c r="B479" i="5"/>
  <c r="E478" i="5"/>
  <c r="D478" i="5"/>
  <c r="C478" i="5"/>
  <c r="B478" i="5"/>
  <c r="E477" i="5"/>
  <c r="D477" i="5"/>
  <c r="C477" i="5"/>
  <c r="B477" i="5"/>
  <c r="E476" i="5"/>
  <c r="D476" i="5"/>
  <c r="C476" i="5"/>
  <c r="B476" i="5"/>
  <c r="E475" i="5"/>
  <c r="D475" i="5"/>
  <c r="C475" i="5"/>
  <c r="B475" i="5"/>
  <c r="E474" i="5"/>
  <c r="D474" i="5"/>
  <c r="C474" i="5"/>
  <c r="B474" i="5"/>
  <c r="E473" i="5"/>
  <c r="D473" i="5"/>
  <c r="C473" i="5"/>
  <c r="B473" i="5"/>
  <c r="E472" i="5"/>
  <c r="D472" i="5"/>
  <c r="C472" i="5"/>
  <c r="B472" i="5"/>
  <c r="E471" i="5"/>
  <c r="D471" i="5"/>
  <c r="C471" i="5"/>
  <c r="B471" i="5"/>
  <c r="E470" i="5"/>
  <c r="D470" i="5"/>
  <c r="C470" i="5"/>
  <c r="B470" i="5"/>
  <c r="E469" i="5"/>
  <c r="D469" i="5"/>
  <c r="C469" i="5"/>
  <c r="B469" i="5"/>
  <c r="E468" i="5"/>
  <c r="D468" i="5"/>
  <c r="C468" i="5"/>
  <c r="B468" i="5"/>
  <c r="E467" i="5"/>
  <c r="D467" i="5"/>
  <c r="C467" i="5"/>
  <c r="B467" i="5"/>
  <c r="E466" i="5"/>
  <c r="D466" i="5"/>
  <c r="C466" i="5"/>
  <c r="B466" i="5"/>
  <c r="E465" i="5"/>
  <c r="D465" i="5"/>
  <c r="C465" i="5"/>
  <c r="B465" i="5"/>
  <c r="E464" i="5"/>
  <c r="D464" i="5"/>
  <c r="C464" i="5"/>
  <c r="B464" i="5"/>
  <c r="E463" i="5"/>
  <c r="D463" i="5"/>
  <c r="C463" i="5"/>
  <c r="B463" i="5"/>
  <c r="E462" i="5"/>
  <c r="D462" i="5"/>
  <c r="C462" i="5"/>
  <c r="B462" i="5"/>
  <c r="E461" i="5"/>
  <c r="D461" i="5"/>
  <c r="C461" i="5"/>
  <c r="B461" i="5"/>
  <c r="E460" i="5"/>
  <c r="D460" i="5"/>
  <c r="C460" i="5"/>
  <c r="B460" i="5"/>
  <c r="E459" i="5"/>
  <c r="D459" i="5"/>
  <c r="C459" i="5"/>
  <c r="B459" i="5"/>
  <c r="E458" i="5"/>
  <c r="D458" i="5"/>
  <c r="C458" i="5"/>
  <c r="B458" i="5"/>
  <c r="E457" i="5"/>
  <c r="D457" i="5"/>
  <c r="C457" i="5"/>
  <c r="B457" i="5"/>
  <c r="E456" i="5"/>
  <c r="D456" i="5"/>
  <c r="C456" i="5"/>
  <c r="B456" i="5"/>
  <c r="E455" i="5"/>
  <c r="D455" i="5"/>
  <c r="C455" i="5"/>
  <c r="B455" i="5"/>
  <c r="E454" i="5"/>
  <c r="D454" i="5"/>
  <c r="C454" i="5"/>
  <c r="B454" i="5"/>
  <c r="E453" i="5"/>
  <c r="D453" i="5"/>
  <c r="C453" i="5"/>
  <c r="B453" i="5"/>
  <c r="E452" i="5"/>
  <c r="D452" i="5"/>
  <c r="C452" i="5"/>
  <c r="B452" i="5"/>
  <c r="E451" i="5"/>
  <c r="D451" i="5"/>
  <c r="C451" i="5"/>
  <c r="B451" i="5"/>
  <c r="E450" i="5"/>
  <c r="D450" i="5"/>
  <c r="C450" i="5"/>
  <c r="B450" i="5"/>
  <c r="E449" i="5"/>
  <c r="D449" i="5"/>
  <c r="C449" i="5"/>
  <c r="B449" i="5"/>
  <c r="E448" i="5"/>
  <c r="D448" i="5"/>
  <c r="C448" i="5"/>
  <c r="B448" i="5"/>
  <c r="E447" i="5"/>
  <c r="D447" i="5"/>
  <c r="C447" i="5"/>
  <c r="B447" i="5"/>
  <c r="E446" i="5"/>
  <c r="D446" i="5"/>
  <c r="C446" i="5"/>
  <c r="B446" i="5"/>
  <c r="E445" i="5"/>
  <c r="D445" i="5"/>
  <c r="C445" i="5"/>
  <c r="B445" i="5"/>
  <c r="E444" i="5"/>
  <c r="D444" i="5"/>
  <c r="C444" i="5"/>
  <c r="B444" i="5"/>
  <c r="E443" i="5"/>
  <c r="D443" i="5"/>
  <c r="C443" i="5"/>
  <c r="B443" i="5"/>
  <c r="E442" i="5"/>
  <c r="D442" i="5"/>
  <c r="C442" i="5"/>
  <c r="B442" i="5"/>
  <c r="E441" i="5"/>
  <c r="D441" i="5"/>
  <c r="C441" i="5"/>
  <c r="B441" i="5"/>
  <c r="E440" i="5"/>
  <c r="D440" i="5"/>
  <c r="C440" i="5"/>
  <c r="B440" i="5"/>
  <c r="E439" i="5"/>
  <c r="D439" i="5"/>
  <c r="C439" i="5"/>
  <c r="B439" i="5"/>
  <c r="E438" i="5"/>
  <c r="D438" i="5"/>
  <c r="C438" i="5"/>
  <c r="B438" i="5"/>
  <c r="E437" i="5"/>
  <c r="D437" i="5"/>
  <c r="C437" i="5"/>
  <c r="B437" i="5"/>
  <c r="E436" i="5"/>
  <c r="D436" i="5"/>
  <c r="C436" i="5"/>
  <c r="B436" i="5"/>
  <c r="E435" i="5"/>
  <c r="D435" i="5"/>
  <c r="C435" i="5"/>
  <c r="B435" i="5"/>
  <c r="E434" i="5"/>
  <c r="D434" i="5"/>
  <c r="C434" i="5"/>
  <c r="B434" i="5"/>
  <c r="E433" i="5"/>
  <c r="D433" i="5"/>
  <c r="C433" i="5"/>
  <c r="B433" i="5"/>
  <c r="E432" i="5"/>
  <c r="D432" i="5"/>
  <c r="C432" i="5"/>
  <c r="B432" i="5"/>
  <c r="E431" i="5"/>
  <c r="D431" i="5"/>
  <c r="C431" i="5"/>
  <c r="B431" i="5"/>
  <c r="E430" i="5"/>
  <c r="D430" i="5"/>
  <c r="C430" i="5"/>
  <c r="B430" i="5"/>
  <c r="E429" i="5"/>
  <c r="D429" i="5"/>
  <c r="C429" i="5"/>
  <c r="B429" i="5"/>
  <c r="E428" i="5"/>
  <c r="D428" i="5"/>
  <c r="C428" i="5"/>
  <c r="B428" i="5"/>
  <c r="E427" i="5"/>
  <c r="D427" i="5"/>
  <c r="C427" i="5"/>
  <c r="B427" i="5"/>
  <c r="E426" i="5"/>
  <c r="D426" i="5"/>
  <c r="C426" i="5"/>
  <c r="B426" i="5"/>
  <c r="E425" i="5"/>
  <c r="D425" i="5"/>
  <c r="C425" i="5"/>
  <c r="B425" i="5"/>
  <c r="E424" i="5"/>
  <c r="D424" i="5"/>
  <c r="C424" i="5"/>
  <c r="B424" i="5"/>
  <c r="E423" i="5"/>
  <c r="D423" i="5"/>
  <c r="C423" i="5"/>
  <c r="B423" i="5"/>
  <c r="E422" i="5"/>
  <c r="D422" i="5"/>
  <c r="C422" i="5"/>
  <c r="B422" i="5"/>
  <c r="E421" i="5"/>
  <c r="D421" i="5"/>
  <c r="C421" i="5"/>
  <c r="B421" i="5"/>
  <c r="E420" i="5"/>
  <c r="D420" i="5"/>
  <c r="C420" i="5"/>
  <c r="B420" i="5"/>
  <c r="E419" i="5"/>
  <c r="D419" i="5"/>
  <c r="C419" i="5"/>
  <c r="B419" i="5"/>
  <c r="E418" i="5"/>
  <c r="D418" i="5"/>
  <c r="C418" i="5"/>
  <c r="B418" i="5"/>
  <c r="E417" i="5"/>
  <c r="D417" i="5"/>
  <c r="C417" i="5"/>
  <c r="B417" i="5"/>
  <c r="E416" i="5"/>
  <c r="D416" i="5"/>
  <c r="C416" i="5"/>
  <c r="B416" i="5"/>
  <c r="E415" i="5"/>
  <c r="D415" i="5"/>
  <c r="C415" i="5"/>
  <c r="B415" i="5"/>
  <c r="E414" i="5"/>
  <c r="D414" i="5"/>
  <c r="C414" i="5"/>
  <c r="B414" i="5"/>
  <c r="E413" i="5"/>
  <c r="D413" i="5"/>
  <c r="C413" i="5"/>
  <c r="B413" i="5"/>
  <c r="E412" i="5"/>
  <c r="D412" i="5"/>
  <c r="C412" i="5"/>
  <c r="B412" i="5"/>
  <c r="E411" i="5"/>
  <c r="D411" i="5"/>
  <c r="C411" i="5"/>
  <c r="B411" i="5"/>
  <c r="E410" i="5"/>
  <c r="D410" i="5"/>
  <c r="C410" i="5"/>
  <c r="B410" i="5"/>
  <c r="E409" i="5"/>
  <c r="D409" i="5"/>
  <c r="C409" i="5"/>
  <c r="B409" i="5"/>
  <c r="E408" i="5"/>
  <c r="D408" i="5"/>
  <c r="C408" i="5"/>
  <c r="B408" i="5"/>
  <c r="E407" i="5"/>
  <c r="D407" i="5"/>
  <c r="C407" i="5"/>
  <c r="B407" i="5"/>
  <c r="E406" i="5"/>
  <c r="D406" i="5"/>
  <c r="C406" i="5"/>
  <c r="B406" i="5"/>
  <c r="E405" i="5"/>
  <c r="D405" i="5"/>
  <c r="C405" i="5"/>
  <c r="B405" i="5"/>
  <c r="E404" i="5"/>
  <c r="D404" i="5"/>
  <c r="C404" i="5"/>
  <c r="B404" i="5"/>
  <c r="E403" i="5"/>
  <c r="D403" i="5"/>
  <c r="C403" i="5"/>
  <c r="B403" i="5"/>
  <c r="E402" i="5"/>
  <c r="D402" i="5"/>
  <c r="C402" i="5"/>
  <c r="B402" i="5"/>
  <c r="E401" i="5"/>
  <c r="D401" i="5"/>
  <c r="C401" i="5"/>
  <c r="B401" i="5"/>
  <c r="E400" i="5"/>
  <c r="D400" i="5"/>
  <c r="C400" i="5"/>
  <c r="B400" i="5"/>
  <c r="E399" i="5"/>
  <c r="D399" i="5"/>
  <c r="C399" i="5"/>
  <c r="B399" i="5"/>
  <c r="E398" i="5"/>
  <c r="D398" i="5"/>
  <c r="C398" i="5"/>
  <c r="B398" i="5"/>
  <c r="E397" i="5"/>
  <c r="D397" i="5"/>
  <c r="C397" i="5"/>
  <c r="B397" i="5"/>
  <c r="E396" i="5"/>
  <c r="D396" i="5"/>
  <c r="C396" i="5"/>
  <c r="B396" i="5"/>
  <c r="E395" i="5"/>
  <c r="D395" i="5"/>
  <c r="C395" i="5"/>
  <c r="B395" i="5"/>
  <c r="E394" i="5"/>
  <c r="D394" i="5"/>
  <c r="C394" i="5"/>
  <c r="B394" i="5"/>
  <c r="E393" i="5"/>
  <c r="D393" i="5"/>
  <c r="C393" i="5"/>
  <c r="B393" i="5"/>
  <c r="E392" i="5"/>
  <c r="D392" i="5"/>
  <c r="C392" i="5"/>
  <c r="B392" i="5"/>
  <c r="E391" i="5"/>
  <c r="D391" i="5"/>
  <c r="C391" i="5"/>
  <c r="B391" i="5"/>
  <c r="E390" i="5"/>
  <c r="D390" i="5"/>
  <c r="C390" i="5"/>
  <c r="B390" i="5"/>
  <c r="E389" i="5"/>
  <c r="D389" i="5"/>
  <c r="C389" i="5"/>
  <c r="B389" i="5"/>
  <c r="E388" i="5"/>
  <c r="D388" i="5"/>
  <c r="C388" i="5"/>
  <c r="B388" i="5"/>
  <c r="E387" i="5"/>
  <c r="D387" i="5"/>
  <c r="C387" i="5"/>
  <c r="B387" i="5"/>
  <c r="E386" i="5"/>
  <c r="D386" i="5"/>
  <c r="C386" i="5"/>
  <c r="B386" i="5"/>
  <c r="E385" i="5"/>
  <c r="D385" i="5"/>
  <c r="C385" i="5"/>
  <c r="B385" i="5"/>
  <c r="E384" i="5"/>
  <c r="D384" i="5"/>
  <c r="C384" i="5"/>
  <c r="B384" i="5"/>
  <c r="E383" i="5"/>
  <c r="D383" i="5"/>
  <c r="C383" i="5"/>
  <c r="B383" i="5"/>
  <c r="E382" i="5"/>
  <c r="D382" i="5"/>
  <c r="C382" i="5"/>
  <c r="B382" i="5"/>
  <c r="E381" i="5"/>
  <c r="D381" i="5"/>
  <c r="C381" i="5"/>
  <c r="B381" i="5"/>
  <c r="E380" i="5"/>
  <c r="D380" i="5"/>
  <c r="C380" i="5"/>
  <c r="B380" i="5"/>
  <c r="E379" i="5"/>
  <c r="D379" i="5"/>
  <c r="C379" i="5"/>
  <c r="B379" i="5"/>
  <c r="E378" i="5"/>
  <c r="D378" i="5"/>
  <c r="C378" i="5"/>
  <c r="B378" i="5"/>
  <c r="E377" i="5"/>
  <c r="D377" i="5"/>
  <c r="C377" i="5"/>
  <c r="B377" i="5"/>
  <c r="E376" i="5"/>
  <c r="D376" i="5"/>
  <c r="C376" i="5"/>
  <c r="B376" i="5"/>
  <c r="E375" i="5"/>
  <c r="D375" i="5"/>
  <c r="C375" i="5"/>
  <c r="B375" i="5"/>
  <c r="E374" i="5"/>
  <c r="D374" i="5"/>
  <c r="C374" i="5"/>
  <c r="B374" i="5"/>
  <c r="E373" i="5"/>
  <c r="D373" i="5"/>
  <c r="C373" i="5"/>
  <c r="B373" i="5"/>
  <c r="E372" i="5"/>
  <c r="D372" i="5"/>
  <c r="C372" i="5"/>
  <c r="B372" i="5"/>
  <c r="E371" i="5"/>
  <c r="D371" i="5"/>
  <c r="C371" i="5"/>
  <c r="B371" i="5"/>
  <c r="E370" i="5"/>
  <c r="D370" i="5"/>
  <c r="C370" i="5"/>
  <c r="B370" i="5"/>
  <c r="E369" i="5"/>
  <c r="D369" i="5"/>
  <c r="C369" i="5"/>
  <c r="B369" i="5"/>
  <c r="E368" i="5"/>
  <c r="D368" i="5"/>
  <c r="C368" i="5"/>
  <c r="B368" i="5"/>
  <c r="E367" i="5"/>
  <c r="D367" i="5"/>
  <c r="C367" i="5"/>
  <c r="B367" i="5"/>
  <c r="E366" i="5"/>
  <c r="D366" i="5"/>
  <c r="C366" i="5"/>
  <c r="B366" i="5"/>
  <c r="E365" i="5"/>
  <c r="D365" i="5"/>
  <c r="C365" i="5"/>
  <c r="B365" i="5"/>
  <c r="E364" i="5"/>
  <c r="D364" i="5"/>
  <c r="C364" i="5"/>
  <c r="B364" i="5"/>
  <c r="E363" i="5"/>
  <c r="D363" i="5"/>
  <c r="C363" i="5"/>
  <c r="B363" i="5"/>
  <c r="E362" i="5"/>
  <c r="D362" i="5"/>
  <c r="C362" i="5"/>
  <c r="B362" i="5"/>
  <c r="E361" i="5"/>
  <c r="D361" i="5"/>
  <c r="C361" i="5"/>
  <c r="B361" i="5"/>
  <c r="E360" i="5"/>
  <c r="D360" i="5"/>
  <c r="C360" i="5"/>
  <c r="B360" i="5"/>
  <c r="E359" i="5"/>
  <c r="D359" i="5"/>
  <c r="C359" i="5"/>
  <c r="B359" i="5"/>
  <c r="E358" i="5"/>
  <c r="D358" i="5"/>
  <c r="C358" i="5"/>
  <c r="B358" i="5"/>
  <c r="E357" i="5"/>
  <c r="D357" i="5"/>
  <c r="C357" i="5"/>
  <c r="B357" i="5"/>
  <c r="E356" i="5"/>
  <c r="D356" i="5"/>
  <c r="C356" i="5"/>
  <c r="B356" i="5"/>
  <c r="E355" i="5"/>
  <c r="D355" i="5"/>
  <c r="C355" i="5"/>
  <c r="B355" i="5"/>
  <c r="E354" i="5"/>
  <c r="D354" i="5"/>
  <c r="C354" i="5"/>
  <c r="B354" i="5"/>
  <c r="E353" i="5"/>
  <c r="D353" i="5"/>
  <c r="C353" i="5"/>
  <c r="B353" i="5"/>
  <c r="E352" i="5"/>
  <c r="D352" i="5"/>
  <c r="C352" i="5"/>
  <c r="B352" i="5"/>
  <c r="E351" i="5"/>
  <c r="D351" i="5"/>
  <c r="C351" i="5"/>
  <c r="B351" i="5"/>
  <c r="E350" i="5"/>
  <c r="D350" i="5"/>
  <c r="C350" i="5"/>
  <c r="B350" i="5"/>
  <c r="E349" i="5"/>
  <c r="D349" i="5"/>
  <c r="C349" i="5"/>
  <c r="B349" i="5"/>
  <c r="E348" i="5"/>
  <c r="D348" i="5"/>
  <c r="C348" i="5"/>
  <c r="B348" i="5"/>
  <c r="E347" i="5"/>
  <c r="D347" i="5"/>
  <c r="C347" i="5"/>
  <c r="B347" i="5"/>
  <c r="E346" i="5"/>
  <c r="D346" i="5"/>
  <c r="C346" i="5"/>
  <c r="B346" i="5"/>
  <c r="E345" i="5"/>
  <c r="D345" i="5"/>
  <c r="C345" i="5"/>
  <c r="B345" i="5"/>
  <c r="E344" i="5"/>
  <c r="D344" i="5"/>
  <c r="C344" i="5"/>
  <c r="B344" i="5"/>
  <c r="E343" i="5"/>
  <c r="D343" i="5"/>
  <c r="C343" i="5"/>
  <c r="B343" i="5"/>
  <c r="E342" i="5"/>
  <c r="D342" i="5"/>
  <c r="C342" i="5"/>
  <c r="B342" i="5"/>
  <c r="E341" i="5"/>
  <c r="D341" i="5"/>
  <c r="C341" i="5"/>
  <c r="B341" i="5"/>
  <c r="E340" i="5"/>
  <c r="D340" i="5"/>
  <c r="C340" i="5"/>
  <c r="B340" i="5"/>
  <c r="E339" i="5"/>
  <c r="D339" i="5"/>
  <c r="C339" i="5"/>
  <c r="B339" i="5"/>
  <c r="E338" i="5"/>
  <c r="D338" i="5"/>
  <c r="C338" i="5"/>
  <c r="B338" i="5"/>
  <c r="E337" i="5"/>
  <c r="D337" i="5"/>
  <c r="C337" i="5"/>
  <c r="B337" i="5"/>
  <c r="E336" i="5"/>
  <c r="D336" i="5"/>
  <c r="C336" i="5"/>
  <c r="B336" i="5"/>
  <c r="E335" i="5"/>
  <c r="D335" i="5"/>
  <c r="C335" i="5"/>
  <c r="B335" i="5"/>
  <c r="E334" i="5"/>
  <c r="D334" i="5"/>
  <c r="C334" i="5"/>
  <c r="B334" i="5"/>
  <c r="E333" i="5"/>
  <c r="D333" i="5"/>
  <c r="C333" i="5"/>
  <c r="B333" i="5"/>
  <c r="E332" i="5"/>
  <c r="D332" i="5"/>
  <c r="C332" i="5"/>
  <c r="B332" i="5"/>
  <c r="E331" i="5"/>
  <c r="D331" i="5"/>
  <c r="C331" i="5"/>
  <c r="B331" i="5"/>
  <c r="E330" i="5"/>
  <c r="D330" i="5"/>
  <c r="C330" i="5"/>
  <c r="B330" i="5"/>
  <c r="E329" i="5"/>
  <c r="D329" i="5"/>
  <c r="C329" i="5"/>
  <c r="B329" i="5"/>
  <c r="E328" i="5"/>
  <c r="D328" i="5"/>
  <c r="C328" i="5"/>
  <c r="B328" i="5"/>
  <c r="E327" i="5"/>
  <c r="D327" i="5"/>
  <c r="C327" i="5"/>
  <c r="B327" i="5"/>
  <c r="E326" i="5"/>
  <c r="D326" i="5"/>
  <c r="C326" i="5"/>
  <c r="B326" i="5"/>
  <c r="E325" i="5"/>
  <c r="D325" i="5"/>
  <c r="C325" i="5"/>
  <c r="B325" i="5"/>
  <c r="E324" i="5"/>
  <c r="D324" i="5"/>
  <c r="C324" i="5"/>
  <c r="B324" i="5"/>
  <c r="E323" i="5"/>
  <c r="D323" i="5"/>
  <c r="C323" i="5"/>
  <c r="B323" i="5"/>
  <c r="E322" i="5"/>
  <c r="D322" i="5"/>
  <c r="C322" i="5"/>
  <c r="B322" i="5"/>
  <c r="E321" i="5"/>
  <c r="D321" i="5"/>
  <c r="C321" i="5"/>
  <c r="B321" i="5"/>
  <c r="E320" i="5"/>
  <c r="D320" i="5"/>
  <c r="C320" i="5"/>
  <c r="B320" i="5"/>
  <c r="E319" i="5"/>
  <c r="D319" i="5"/>
  <c r="C319" i="5"/>
  <c r="B319" i="5"/>
  <c r="E318" i="5"/>
  <c r="D318" i="5"/>
  <c r="C318" i="5"/>
  <c r="B318" i="5"/>
  <c r="E317" i="5"/>
  <c r="D317" i="5"/>
  <c r="C317" i="5"/>
  <c r="B317" i="5"/>
  <c r="E316" i="5"/>
  <c r="D316" i="5"/>
  <c r="C316" i="5"/>
  <c r="B316" i="5"/>
  <c r="E315" i="5"/>
  <c r="D315" i="5"/>
  <c r="C315" i="5"/>
  <c r="B315" i="5"/>
  <c r="E314" i="5"/>
  <c r="D314" i="5"/>
  <c r="C314" i="5"/>
  <c r="B314" i="5"/>
  <c r="E313" i="5"/>
  <c r="D313" i="5"/>
  <c r="C313" i="5"/>
  <c r="B313" i="5"/>
  <c r="E312" i="5"/>
  <c r="D312" i="5"/>
  <c r="C312" i="5"/>
  <c r="B312" i="5"/>
  <c r="E311" i="5"/>
  <c r="D311" i="5"/>
  <c r="C311" i="5"/>
  <c r="B311" i="5"/>
  <c r="E310" i="5"/>
  <c r="D310" i="5"/>
  <c r="C310" i="5"/>
  <c r="B310" i="5"/>
  <c r="E309" i="5"/>
  <c r="D309" i="5"/>
  <c r="C309" i="5"/>
  <c r="B309" i="5"/>
  <c r="E308" i="5"/>
  <c r="D308" i="5"/>
  <c r="C308" i="5"/>
  <c r="B308" i="5"/>
  <c r="E307" i="5"/>
  <c r="D307" i="5"/>
  <c r="C307" i="5"/>
  <c r="B307" i="5"/>
  <c r="E306" i="5"/>
  <c r="D306" i="5"/>
  <c r="C306" i="5"/>
  <c r="B306" i="5"/>
  <c r="E305" i="5"/>
  <c r="D305" i="5"/>
  <c r="C305" i="5"/>
  <c r="B305" i="5"/>
  <c r="E304" i="5"/>
  <c r="D304" i="5"/>
  <c r="C304" i="5"/>
  <c r="B304" i="5"/>
  <c r="E303" i="5"/>
  <c r="D303" i="5"/>
  <c r="C303" i="5"/>
  <c r="B303" i="5"/>
  <c r="E302" i="5"/>
  <c r="D302" i="5"/>
  <c r="C302" i="5"/>
  <c r="B302" i="5"/>
  <c r="E301" i="5"/>
  <c r="D301" i="5"/>
  <c r="C301" i="5"/>
  <c r="B301" i="5"/>
  <c r="E300" i="5"/>
  <c r="D300" i="5"/>
  <c r="C300" i="5"/>
  <c r="B300" i="5"/>
  <c r="E299" i="5"/>
  <c r="D299" i="5"/>
  <c r="C299" i="5"/>
  <c r="B299" i="5"/>
  <c r="E298" i="5"/>
  <c r="D298" i="5"/>
  <c r="C298" i="5"/>
  <c r="B298" i="5"/>
  <c r="E297" i="5"/>
  <c r="D297" i="5"/>
  <c r="C297" i="5"/>
  <c r="B297" i="5"/>
  <c r="E296" i="5"/>
  <c r="D296" i="5"/>
  <c r="C296" i="5"/>
  <c r="B296" i="5"/>
  <c r="E295" i="5"/>
  <c r="D295" i="5"/>
  <c r="C295" i="5"/>
  <c r="B295" i="5"/>
  <c r="E294" i="5"/>
  <c r="D294" i="5"/>
  <c r="C294" i="5"/>
  <c r="B294" i="5"/>
  <c r="E293" i="5"/>
  <c r="D293" i="5"/>
  <c r="C293" i="5"/>
  <c r="B293" i="5"/>
  <c r="E292" i="5"/>
  <c r="D292" i="5"/>
  <c r="C292" i="5"/>
  <c r="B292" i="5"/>
  <c r="E291" i="5"/>
  <c r="D291" i="5"/>
  <c r="C291" i="5"/>
  <c r="B291" i="5"/>
  <c r="E290" i="5"/>
  <c r="D290" i="5"/>
  <c r="C290" i="5"/>
  <c r="B290" i="5"/>
  <c r="E289" i="5"/>
  <c r="D289" i="5"/>
  <c r="C289" i="5"/>
  <c r="B289" i="5"/>
  <c r="E288" i="5"/>
  <c r="D288" i="5"/>
  <c r="C288" i="5"/>
  <c r="B288" i="5"/>
  <c r="E287" i="5"/>
  <c r="D287" i="5"/>
  <c r="C287" i="5"/>
  <c r="B287" i="5"/>
  <c r="E286" i="5"/>
  <c r="D286" i="5"/>
  <c r="C286" i="5"/>
  <c r="B286" i="5"/>
  <c r="E285" i="5"/>
  <c r="D285" i="5"/>
  <c r="C285" i="5"/>
  <c r="B285" i="5"/>
  <c r="E284" i="5"/>
  <c r="D284" i="5"/>
  <c r="C284" i="5"/>
  <c r="B284" i="5"/>
  <c r="E283" i="5"/>
  <c r="D283" i="5"/>
  <c r="C283" i="5"/>
  <c r="B283" i="5"/>
  <c r="E282" i="5"/>
  <c r="D282" i="5"/>
  <c r="C282" i="5"/>
  <c r="B282" i="5"/>
  <c r="E281" i="5"/>
  <c r="D281" i="5"/>
  <c r="C281" i="5"/>
  <c r="B281" i="5"/>
  <c r="E280" i="5"/>
  <c r="D280" i="5"/>
  <c r="C280" i="5"/>
  <c r="B280" i="5"/>
  <c r="E279" i="5"/>
  <c r="D279" i="5"/>
  <c r="C279" i="5"/>
  <c r="B279" i="5"/>
  <c r="E278" i="5"/>
  <c r="D278" i="5"/>
  <c r="C278" i="5"/>
  <c r="B278" i="5"/>
  <c r="E277" i="5"/>
  <c r="D277" i="5"/>
  <c r="C277" i="5"/>
  <c r="B277" i="5"/>
  <c r="E276" i="5"/>
  <c r="D276" i="5"/>
  <c r="C276" i="5"/>
  <c r="B276" i="5"/>
  <c r="E275" i="5"/>
  <c r="D275" i="5"/>
  <c r="C275" i="5"/>
  <c r="B275" i="5"/>
  <c r="E274" i="5"/>
  <c r="D274" i="5"/>
  <c r="C274" i="5"/>
  <c r="B274" i="5"/>
  <c r="E273" i="5"/>
  <c r="D273" i="5"/>
  <c r="C273" i="5"/>
  <c r="B273" i="5"/>
  <c r="E272" i="5"/>
  <c r="D272" i="5"/>
  <c r="C272" i="5"/>
  <c r="B272" i="5"/>
  <c r="E271" i="5"/>
  <c r="D271" i="5"/>
  <c r="C271" i="5"/>
  <c r="B271" i="5"/>
  <c r="E270" i="5"/>
  <c r="D270" i="5"/>
  <c r="C270" i="5"/>
  <c r="B270" i="5"/>
  <c r="E269" i="5"/>
  <c r="D269" i="5"/>
  <c r="C269" i="5"/>
  <c r="B269" i="5"/>
  <c r="E268" i="5"/>
  <c r="D268" i="5"/>
  <c r="C268" i="5"/>
  <c r="B268" i="5"/>
  <c r="E267" i="5"/>
  <c r="D267" i="5"/>
  <c r="C267" i="5"/>
  <c r="B267" i="5"/>
  <c r="E266" i="5"/>
  <c r="D266" i="5"/>
  <c r="C266" i="5"/>
  <c r="B266" i="5"/>
  <c r="E265" i="5"/>
  <c r="D265" i="5"/>
  <c r="C265" i="5"/>
  <c r="B265" i="5"/>
  <c r="E264" i="5"/>
  <c r="D264" i="5"/>
  <c r="C264" i="5"/>
  <c r="B264" i="5"/>
  <c r="E263" i="5"/>
  <c r="D263" i="5"/>
  <c r="C263" i="5"/>
  <c r="B263" i="5"/>
  <c r="E262" i="5"/>
  <c r="D262" i="5"/>
  <c r="C262" i="5"/>
  <c r="B262" i="5"/>
  <c r="E261" i="5"/>
  <c r="D261" i="5"/>
  <c r="C261" i="5"/>
  <c r="B261" i="5"/>
  <c r="E260" i="5"/>
  <c r="D260" i="5"/>
  <c r="C260" i="5"/>
  <c r="B260" i="5"/>
  <c r="E259" i="5"/>
  <c r="D259" i="5"/>
  <c r="C259" i="5"/>
  <c r="B259" i="5"/>
  <c r="E258" i="5"/>
  <c r="D258" i="5"/>
  <c r="C258" i="5"/>
  <c r="B258" i="5"/>
  <c r="E257" i="5"/>
  <c r="D257" i="5"/>
  <c r="C257" i="5"/>
  <c r="B257" i="5"/>
  <c r="E256" i="5"/>
  <c r="D256" i="5"/>
  <c r="C256" i="5"/>
  <c r="B256" i="5"/>
  <c r="E255" i="5"/>
  <c r="D255" i="5"/>
  <c r="C255" i="5"/>
  <c r="B255" i="5"/>
  <c r="E254" i="5"/>
  <c r="D254" i="5"/>
  <c r="C254" i="5"/>
  <c r="B254" i="5"/>
  <c r="E253" i="5"/>
  <c r="D253" i="5"/>
  <c r="C253" i="5"/>
  <c r="B253" i="5"/>
  <c r="E252" i="5"/>
  <c r="D252" i="5"/>
  <c r="C252" i="5"/>
  <c r="B252" i="5"/>
  <c r="E251" i="5"/>
  <c r="D251" i="5"/>
  <c r="C251" i="5"/>
  <c r="B251" i="5"/>
  <c r="E250" i="5"/>
  <c r="D250" i="5"/>
  <c r="C250" i="5"/>
  <c r="B250" i="5"/>
  <c r="E249" i="5"/>
  <c r="D249" i="5"/>
  <c r="C249" i="5"/>
  <c r="B249" i="5"/>
  <c r="E248" i="5"/>
  <c r="D248" i="5"/>
  <c r="C248" i="5"/>
  <c r="B248" i="5"/>
  <c r="E247" i="5"/>
  <c r="D247" i="5"/>
  <c r="C247" i="5"/>
  <c r="B247" i="5"/>
  <c r="E246" i="5"/>
  <c r="D246" i="5"/>
  <c r="C246" i="5"/>
  <c r="B246" i="5"/>
  <c r="E245" i="5"/>
  <c r="D245" i="5"/>
  <c r="C245" i="5"/>
  <c r="B245" i="5"/>
  <c r="E244" i="5"/>
  <c r="D244" i="5"/>
  <c r="C244" i="5"/>
  <c r="B244" i="5"/>
  <c r="E243" i="5"/>
  <c r="D243" i="5"/>
  <c r="C243" i="5"/>
  <c r="B243" i="5"/>
  <c r="E242" i="5"/>
  <c r="D242" i="5"/>
  <c r="C242" i="5"/>
  <c r="B242" i="5"/>
  <c r="E241" i="5"/>
  <c r="D241" i="5"/>
  <c r="C241" i="5"/>
  <c r="B241" i="5"/>
  <c r="E240" i="5"/>
  <c r="D240" i="5"/>
  <c r="C240" i="5"/>
  <c r="B240" i="5"/>
  <c r="E239" i="5"/>
  <c r="D239" i="5"/>
  <c r="C239" i="5"/>
  <c r="B239" i="5"/>
  <c r="E238" i="5"/>
  <c r="D238" i="5"/>
  <c r="C238" i="5"/>
  <c r="B238" i="5"/>
  <c r="E237" i="5"/>
  <c r="D237" i="5"/>
  <c r="C237" i="5"/>
  <c r="B237" i="5"/>
  <c r="E236" i="5"/>
  <c r="D236" i="5"/>
  <c r="C236" i="5"/>
  <c r="B236" i="5"/>
  <c r="E235" i="5"/>
  <c r="D235" i="5"/>
  <c r="C235" i="5"/>
  <c r="B235" i="5"/>
  <c r="E234" i="5"/>
  <c r="D234" i="5"/>
  <c r="C234" i="5"/>
  <c r="B234" i="5"/>
  <c r="E233" i="5"/>
  <c r="D233" i="5"/>
  <c r="C233" i="5"/>
  <c r="B233" i="5"/>
  <c r="E232" i="5"/>
  <c r="D232" i="5"/>
  <c r="C232" i="5"/>
  <c r="B232" i="5"/>
  <c r="E231" i="5"/>
  <c r="D231" i="5"/>
  <c r="C231" i="5"/>
  <c r="B231" i="5"/>
  <c r="E230" i="5"/>
  <c r="D230" i="5"/>
  <c r="C230" i="5"/>
  <c r="B230" i="5"/>
  <c r="E229" i="5"/>
  <c r="D229" i="5"/>
  <c r="C229" i="5"/>
  <c r="B229" i="5"/>
  <c r="E228" i="5"/>
  <c r="D228" i="5"/>
  <c r="C228" i="5"/>
  <c r="B228" i="5"/>
  <c r="E227" i="5"/>
  <c r="D227" i="5"/>
  <c r="C227" i="5"/>
  <c r="B227" i="5"/>
  <c r="E226" i="5"/>
  <c r="D226" i="5"/>
  <c r="C226" i="5"/>
  <c r="B226" i="5"/>
  <c r="E225" i="5"/>
  <c r="D225" i="5"/>
  <c r="C225" i="5"/>
  <c r="B225" i="5"/>
  <c r="E224" i="5"/>
  <c r="D224" i="5"/>
  <c r="C224" i="5"/>
  <c r="B224" i="5"/>
  <c r="E223" i="5"/>
  <c r="D223" i="5"/>
  <c r="C223" i="5"/>
  <c r="B223" i="5"/>
  <c r="E222" i="5"/>
  <c r="D222" i="5"/>
  <c r="C222" i="5"/>
  <c r="B222" i="5"/>
  <c r="E221" i="5"/>
  <c r="D221" i="5"/>
  <c r="C221" i="5"/>
  <c r="B221" i="5"/>
  <c r="E220" i="5"/>
  <c r="D220" i="5"/>
  <c r="C220" i="5"/>
  <c r="B220" i="5"/>
  <c r="E219" i="5"/>
  <c r="D219" i="5"/>
  <c r="C219" i="5"/>
  <c r="B219" i="5"/>
  <c r="E218" i="5"/>
  <c r="D218" i="5"/>
  <c r="C218" i="5"/>
  <c r="B218" i="5"/>
  <c r="E217" i="5"/>
  <c r="D217" i="5"/>
  <c r="C217" i="5"/>
  <c r="B217" i="5"/>
  <c r="E216" i="5"/>
  <c r="D216" i="5"/>
  <c r="C216" i="5"/>
  <c r="B216" i="5"/>
  <c r="E215" i="5"/>
  <c r="D215" i="5"/>
  <c r="C215" i="5"/>
  <c r="B215" i="5"/>
  <c r="E214" i="5"/>
  <c r="D214" i="5"/>
  <c r="C214" i="5"/>
  <c r="B214" i="5"/>
  <c r="E213" i="5"/>
  <c r="D213" i="5"/>
  <c r="C213" i="5"/>
  <c r="B213" i="5"/>
  <c r="E212" i="5"/>
  <c r="D212" i="5"/>
  <c r="C212" i="5"/>
  <c r="B212" i="5"/>
  <c r="E211" i="5"/>
  <c r="D211" i="5"/>
  <c r="C211" i="5"/>
  <c r="B211" i="5"/>
  <c r="E210" i="5"/>
  <c r="D210" i="5"/>
  <c r="C210" i="5"/>
  <c r="B210" i="5"/>
  <c r="E209" i="5"/>
  <c r="D209" i="5"/>
  <c r="C209" i="5"/>
  <c r="B209" i="5"/>
  <c r="E208" i="5"/>
  <c r="D208" i="5"/>
  <c r="C208" i="5"/>
  <c r="B208" i="5"/>
  <c r="E207" i="5"/>
  <c r="D207" i="5"/>
  <c r="C207" i="5"/>
  <c r="B207" i="5"/>
  <c r="E206" i="5"/>
  <c r="D206" i="5"/>
  <c r="C206" i="5"/>
  <c r="B206" i="5"/>
  <c r="E205" i="5"/>
  <c r="D205" i="5"/>
  <c r="C205" i="5"/>
  <c r="B205" i="5"/>
  <c r="E204" i="5"/>
  <c r="D204" i="5"/>
  <c r="C204" i="5"/>
  <c r="B204" i="5"/>
  <c r="E203" i="5"/>
  <c r="D203" i="5"/>
  <c r="C203" i="5"/>
  <c r="B203" i="5"/>
  <c r="E202" i="5"/>
  <c r="D202" i="5"/>
  <c r="C202" i="5"/>
  <c r="B202" i="5"/>
  <c r="E201" i="5"/>
  <c r="D201" i="5"/>
  <c r="C201" i="5"/>
  <c r="B201" i="5"/>
  <c r="E200" i="5"/>
  <c r="D200" i="5"/>
  <c r="C200" i="5"/>
  <c r="B200" i="5"/>
  <c r="E199" i="5"/>
  <c r="D199" i="5"/>
  <c r="C199" i="5"/>
  <c r="B199" i="5"/>
  <c r="E198" i="5"/>
  <c r="D198" i="5"/>
  <c r="C198" i="5"/>
  <c r="B198" i="5"/>
  <c r="E197" i="5"/>
  <c r="D197" i="5"/>
  <c r="C197" i="5"/>
  <c r="B197" i="5"/>
  <c r="E196" i="5"/>
  <c r="D196" i="5"/>
  <c r="C196" i="5"/>
  <c r="B196" i="5"/>
  <c r="E195" i="5"/>
  <c r="D195" i="5"/>
  <c r="C195" i="5"/>
  <c r="B195" i="5"/>
  <c r="E194" i="5"/>
  <c r="D194" i="5"/>
  <c r="C194" i="5"/>
  <c r="B194" i="5"/>
  <c r="E193" i="5"/>
  <c r="D193" i="5"/>
  <c r="C193" i="5"/>
  <c r="B193" i="5"/>
  <c r="E192" i="5"/>
  <c r="D192" i="5"/>
  <c r="C192" i="5"/>
  <c r="B192" i="5"/>
  <c r="E191" i="5"/>
  <c r="D191" i="5"/>
  <c r="C191" i="5"/>
  <c r="B191" i="5"/>
  <c r="E190" i="5"/>
  <c r="D190" i="5"/>
  <c r="C190" i="5"/>
  <c r="B190" i="5"/>
  <c r="E189" i="5"/>
  <c r="D189" i="5"/>
  <c r="C189" i="5"/>
  <c r="B189" i="5"/>
  <c r="E188" i="5"/>
  <c r="D188" i="5"/>
  <c r="C188" i="5"/>
  <c r="B188" i="5"/>
  <c r="E187" i="5"/>
  <c r="D187" i="5"/>
  <c r="C187" i="5"/>
  <c r="B187" i="5"/>
  <c r="E186" i="5"/>
  <c r="D186" i="5"/>
  <c r="C186" i="5"/>
  <c r="B186" i="5"/>
  <c r="E185" i="5"/>
  <c r="D185" i="5"/>
  <c r="C185" i="5"/>
  <c r="B185" i="5"/>
  <c r="E184" i="5"/>
  <c r="D184" i="5"/>
  <c r="C184" i="5"/>
  <c r="B184" i="5"/>
  <c r="E183" i="5"/>
  <c r="D183" i="5"/>
  <c r="C183" i="5"/>
  <c r="B183" i="5"/>
  <c r="E182" i="5"/>
  <c r="D182" i="5"/>
  <c r="C182" i="5"/>
  <c r="B182" i="5"/>
  <c r="E181" i="5"/>
  <c r="D181" i="5"/>
  <c r="C181" i="5"/>
  <c r="B181" i="5"/>
  <c r="E180" i="5"/>
  <c r="D180" i="5"/>
  <c r="C180" i="5"/>
  <c r="B180" i="5"/>
  <c r="E179" i="5"/>
  <c r="D179" i="5"/>
  <c r="C179" i="5"/>
  <c r="B179" i="5"/>
  <c r="E178" i="5"/>
  <c r="D178" i="5"/>
  <c r="C178" i="5"/>
  <c r="B178" i="5"/>
  <c r="E177" i="5"/>
  <c r="D177" i="5"/>
  <c r="C177" i="5"/>
  <c r="B177" i="5"/>
  <c r="E176" i="5"/>
  <c r="D176" i="5"/>
  <c r="C176" i="5"/>
  <c r="B176" i="5"/>
  <c r="E175" i="5"/>
  <c r="D175" i="5"/>
  <c r="C175" i="5"/>
  <c r="B175" i="5"/>
  <c r="E174" i="5"/>
  <c r="D174" i="5"/>
  <c r="C174" i="5"/>
  <c r="B174" i="5"/>
  <c r="E173" i="5"/>
  <c r="D173" i="5"/>
  <c r="C173" i="5"/>
  <c r="B173" i="5"/>
  <c r="E172" i="5"/>
  <c r="D172" i="5"/>
  <c r="C172" i="5"/>
  <c r="B172" i="5"/>
  <c r="E171" i="5"/>
  <c r="D171" i="5"/>
  <c r="C171" i="5"/>
  <c r="B171" i="5"/>
  <c r="E170" i="5"/>
  <c r="D170" i="5"/>
  <c r="C170" i="5"/>
  <c r="B170" i="5"/>
  <c r="E169" i="5"/>
  <c r="D169" i="5"/>
  <c r="C169" i="5"/>
  <c r="B169" i="5"/>
  <c r="E168" i="5"/>
  <c r="D168" i="5"/>
  <c r="C168" i="5"/>
  <c r="B168" i="5"/>
  <c r="E167" i="5"/>
  <c r="D167" i="5"/>
  <c r="C167" i="5"/>
  <c r="B167" i="5"/>
  <c r="E166" i="5"/>
  <c r="D166" i="5"/>
  <c r="C166" i="5"/>
  <c r="B166" i="5"/>
  <c r="E165" i="5"/>
  <c r="D165" i="5"/>
  <c r="C165" i="5"/>
  <c r="B165" i="5"/>
  <c r="E164" i="5"/>
  <c r="D164" i="5"/>
  <c r="C164" i="5"/>
  <c r="B164" i="5"/>
  <c r="E163" i="5"/>
  <c r="D163" i="5"/>
  <c r="C163" i="5"/>
  <c r="B163" i="5"/>
  <c r="E162" i="5"/>
  <c r="D162" i="5"/>
  <c r="C162" i="5"/>
  <c r="B162" i="5"/>
  <c r="E161" i="5"/>
  <c r="D161" i="5"/>
  <c r="C161" i="5"/>
  <c r="B161" i="5"/>
  <c r="E160" i="5"/>
  <c r="D160" i="5"/>
  <c r="C160" i="5"/>
  <c r="B160" i="5"/>
  <c r="E159" i="5"/>
  <c r="D159" i="5"/>
  <c r="C159" i="5"/>
  <c r="B159" i="5"/>
  <c r="E158" i="5"/>
  <c r="D158" i="5"/>
  <c r="C158" i="5"/>
  <c r="B158" i="5"/>
  <c r="E157" i="5"/>
  <c r="D157" i="5"/>
  <c r="C157" i="5"/>
  <c r="B157" i="5"/>
  <c r="E156" i="5"/>
  <c r="D156" i="5"/>
  <c r="C156" i="5"/>
  <c r="B156" i="5"/>
  <c r="E155" i="5"/>
  <c r="D155" i="5"/>
  <c r="C155" i="5"/>
  <c r="B155" i="5"/>
  <c r="E154" i="5"/>
  <c r="D154" i="5"/>
  <c r="C154" i="5"/>
  <c r="B154" i="5"/>
  <c r="E153" i="5"/>
  <c r="D153" i="5"/>
  <c r="C153" i="5"/>
  <c r="B153" i="5"/>
  <c r="E152" i="5"/>
  <c r="D152" i="5"/>
  <c r="C152" i="5"/>
  <c r="B152" i="5"/>
  <c r="E151" i="5"/>
  <c r="D151" i="5"/>
  <c r="C151" i="5"/>
  <c r="B151" i="5"/>
  <c r="E150" i="5"/>
  <c r="D150" i="5"/>
  <c r="C150" i="5"/>
  <c r="B150" i="5"/>
  <c r="E149" i="5"/>
  <c r="D149" i="5"/>
  <c r="C149" i="5"/>
  <c r="B149" i="5"/>
  <c r="E148" i="5"/>
  <c r="D148" i="5"/>
  <c r="C148" i="5"/>
  <c r="B148" i="5"/>
  <c r="E147" i="5"/>
  <c r="D147" i="5"/>
  <c r="C147" i="5"/>
  <c r="B147" i="5"/>
  <c r="E146" i="5"/>
  <c r="D146" i="5"/>
  <c r="C146" i="5"/>
  <c r="B146" i="5"/>
  <c r="E145" i="5"/>
  <c r="D145" i="5"/>
  <c r="C145" i="5"/>
  <c r="B145" i="5"/>
  <c r="E144" i="5"/>
  <c r="D144" i="5"/>
  <c r="C144" i="5"/>
  <c r="B144" i="5"/>
  <c r="E143" i="5"/>
  <c r="D143" i="5"/>
  <c r="C143" i="5"/>
  <c r="B143" i="5"/>
  <c r="E142" i="5"/>
  <c r="D142" i="5"/>
  <c r="C142" i="5"/>
  <c r="B142" i="5"/>
  <c r="E141" i="5"/>
  <c r="D141" i="5"/>
  <c r="C141" i="5"/>
  <c r="B141" i="5"/>
  <c r="E140" i="5"/>
  <c r="D140" i="5"/>
  <c r="C140" i="5"/>
  <c r="B140" i="5"/>
  <c r="E139" i="5"/>
  <c r="D139" i="5"/>
  <c r="C139" i="5"/>
  <c r="B139" i="5"/>
  <c r="E138" i="5"/>
  <c r="D138" i="5"/>
  <c r="C138" i="5"/>
  <c r="B138" i="5"/>
  <c r="E137" i="5"/>
  <c r="D137" i="5"/>
  <c r="C137" i="5"/>
  <c r="B137" i="5"/>
  <c r="E136" i="5"/>
  <c r="D136" i="5"/>
  <c r="C136" i="5"/>
  <c r="B136" i="5"/>
  <c r="E135" i="5"/>
  <c r="D135" i="5"/>
  <c r="C135" i="5"/>
  <c r="B135" i="5"/>
  <c r="E134" i="5"/>
  <c r="D134" i="5"/>
  <c r="C134" i="5"/>
  <c r="B134" i="5"/>
  <c r="E133" i="5"/>
  <c r="D133" i="5"/>
  <c r="C133" i="5"/>
  <c r="B133" i="5"/>
  <c r="E132" i="5"/>
  <c r="D132" i="5"/>
  <c r="C132" i="5"/>
  <c r="B132" i="5"/>
  <c r="E131" i="5"/>
  <c r="D131" i="5"/>
  <c r="C131" i="5"/>
  <c r="B131" i="5"/>
  <c r="E130" i="5"/>
  <c r="D130" i="5"/>
  <c r="C130" i="5"/>
  <c r="B130" i="5"/>
  <c r="E129" i="5"/>
  <c r="D129" i="5"/>
  <c r="C129" i="5"/>
  <c r="B129" i="5"/>
  <c r="E128" i="5"/>
  <c r="D128" i="5"/>
  <c r="C128" i="5"/>
  <c r="B128" i="5"/>
  <c r="E127" i="5"/>
  <c r="D127" i="5"/>
  <c r="C127" i="5"/>
  <c r="B127" i="5"/>
  <c r="E126" i="5"/>
  <c r="D126" i="5"/>
  <c r="C126" i="5"/>
  <c r="B126" i="5"/>
  <c r="E125" i="5"/>
  <c r="D125" i="5"/>
  <c r="C125" i="5"/>
  <c r="B125" i="5"/>
  <c r="E124" i="5"/>
  <c r="D124" i="5"/>
  <c r="C124" i="5"/>
  <c r="B124" i="5"/>
  <c r="E123" i="5"/>
  <c r="D123" i="5"/>
  <c r="C123" i="5"/>
  <c r="B123" i="5"/>
  <c r="E122" i="5"/>
  <c r="D122" i="5"/>
  <c r="C122" i="5"/>
  <c r="B122" i="5"/>
  <c r="E121" i="5"/>
  <c r="D121" i="5"/>
  <c r="C121" i="5"/>
  <c r="B121" i="5"/>
  <c r="E120" i="5"/>
  <c r="D120" i="5"/>
  <c r="C120" i="5"/>
  <c r="B120" i="5"/>
  <c r="E119" i="5"/>
  <c r="D119" i="5"/>
  <c r="C119" i="5"/>
  <c r="B119" i="5"/>
  <c r="E118" i="5"/>
  <c r="D118" i="5"/>
  <c r="C118" i="5"/>
  <c r="B118" i="5"/>
  <c r="E117" i="5"/>
  <c r="D117" i="5"/>
  <c r="C117" i="5"/>
  <c r="B117" i="5"/>
  <c r="E116" i="5"/>
  <c r="D116" i="5"/>
  <c r="C116" i="5"/>
  <c r="B116" i="5"/>
  <c r="E115" i="5"/>
  <c r="D115" i="5"/>
  <c r="C115" i="5"/>
  <c r="B115" i="5"/>
  <c r="E114" i="5"/>
  <c r="D114" i="5"/>
  <c r="C114" i="5"/>
  <c r="B114" i="5"/>
  <c r="E113" i="5"/>
  <c r="D113" i="5"/>
  <c r="C113" i="5"/>
  <c r="B113" i="5"/>
  <c r="E112" i="5"/>
  <c r="D112" i="5"/>
  <c r="C112" i="5"/>
  <c r="B112" i="5"/>
  <c r="E111" i="5"/>
  <c r="D111" i="5"/>
  <c r="C111" i="5"/>
  <c r="B111" i="5"/>
  <c r="E110" i="5"/>
  <c r="D110" i="5"/>
  <c r="C110" i="5"/>
  <c r="B110" i="5"/>
  <c r="E109" i="5"/>
  <c r="D109" i="5"/>
  <c r="C109" i="5"/>
  <c r="B109" i="5"/>
  <c r="E108" i="5"/>
  <c r="D108" i="5"/>
  <c r="C108" i="5"/>
  <c r="B108" i="5"/>
  <c r="E107" i="5"/>
  <c r="D107" i="5"/>
  <c r="C107" i="5"/>
  <c r="B107" i="5"/>
  <c r="E106" i="5"/>
  <c r="D106" i="5"/>
  <c r="C106" i="5"/>
  <c r="B106" i="5"/>
  <c r="E105" i="5"/>
  <c r="D105" i="5"/>
  <c r="C105" i="5"/>
  <c r="B105" i="5"/>
  <c r="E104" i="5"/>
  <c r="D104" i="5"/>
  <c r="C104" i="5"/>
  <c r="B104" i="5"/>
  <c r="E103" i="5"/>
  <c r="D103" i="5"/>
  <c r="C103" i="5"/>
  <c r="B103" i="5"/>
  <c r="E102" i="5"/>
  <c r="D102" i="5"/>
  <c r="C102" i="5"/>
  <c r="B102" i="5"/>
  <c r="E101" i="5"/>
  <c r="D101" i="5"/>
  <c r="C101" i="5"/>
  <c r="B101" i="5"/>
  <c r="E100" i="5"/>
  <c r="D100" i="5"/>
  <c r="C100" i="5"/>
  <c r="B100" i="5"/>
  <c r="E99" i="5"/>
  <c r="D99" i="5"/>
  <c r="C99" i="5"/>
  <c r="B99" i="5"/>
  <c r="E98" i="5"/>
  <c r="D98" i="5"/>
  <c r="C98" i="5"/>
  <c r="B98" i="5"/>
  <c r="E97" i="5"/>
  <c r="D97" i="5"/>
  <c r="C97" i="5"/>
  <c r="B97" i="5"/>
  <c r="E96" i="5"/>
  <c r="D96" i="5"/>
  <c r="C96" i="5"/>
  <c r="B96" i="5"/>
  <c r="E95" i="5"/>
  <c r="D95" i="5"/>
  <c r="C95" i="5"/>
  <c r="B95" i="5"/>
  <c r="E94" i="5"/>
  <c r="D94" i="5"/>
  <c r="C94" i="5"/>
  <c r="B94" i="5"/>
  <c r="E93" i="5"/>
  <c r="D93" i="5"/>
  <c r="C93" i="5"/>
  <c r="B93" i="5"/>
  <c r="E92" i="5"/>
  <c r="D92" i="5"/>
  <c r="C92" i="5"/>
  <c r="B92" i="5"/>
  <c r="E91" i="5"/>
  <c r="D91" i="5"/>
  <c r="C91" i="5"/>
  <c r="B91" i="5"/>
  <c r="E90" i="5"/>
  <c r="D90" i="5"/>
  <c r="C90" i="5"/>
  <c r="B90" i="5"/>
  <c r="E89" i="5"/>
  <c r="D89" i="5"/>
  <c r="C89" i="5"/>
  <c r="B89" i="5"/>
  <c r="E88" i="5"/>
  <c r="D88" i="5"/>
  <c r="C88" i="5"/>
  <c r="B88" i="5"/>
  <c r="E87" i="5"/>
  <c r="D87" i="5"/>
  <c r="C87" i="5"/>
  <c r="B87" i="5"/>
  <c r="E86" i="5"/>
  <c r="D86" i="5"/>
  <c r="C86" i="5"/>
  <c r="B86" i="5"/>
  <c r="E85" i="5"/>
  <c r="D85" i="5"/>
  <c r="C85" i="5"/>
  <c r="B85" i="5"/>
  <c r="E84" i="5"/>
  <c r="D84" i="5"/>
  <c r="C84" i="5"/>
  <c r="B84" i="5"/>
  <c r="E83" i="5"/>
  <c r="D83" i="5"/>
  <c r="C83" i="5"/>
  <c r="B83" i="5"/>
  <c r="E82" i="5"/>
  <c r="D82" i="5"/>
  <c r="C82" i="5"/>
  <c r="B82" i="5"/>
  <c r="E81" i="5"/>
  <c r="D81" i="5"/>
  <c r="C81" i="5"/>
  <c r="B81" i="5"/>
  <c r="E80" i="5"/>
  <c r="D80" i="5"/>
  <c r="C80" i="5"/>
  <c r="B80" i="5"/>
  <c r="E79" i="5"/>
  <c r="D79" i="5"/>
  <c r="C79" i="5"/>
  <c r="B79" i="5"/>
  <c r="E78" i="5"/>
  <c r="D78" i="5"/>
  <c r="C78" i="5"/>
  <c r="B78" i="5"/>
  <c r="E77" i="5"/>
  <c r="D77" i="5"/>
  <c r="C77" i="5"/>
  <c r="B77" i="5"/>
  <c r="E76" i="5"/>
  <c r="D76" i="5"/>
  <c r="C76" i="5"/>
  <c r="B76" i="5"/>
  <c r="E75" i="5"/>
  <c r="D75" i="5"/>
  <c r="C75" i="5"/>
  <c r="B75" i="5"/>
  <c r="E74" i="5"/>
  <c r="D74" i="5"/>
  <c r="C74" i="5"/>
  <c r="B74" i="5"/>
  <c r="E73" i="5"/>
  <c r="D73" i="5"/>
  <c r="C73" i="5"/>
  <c r="B73" i="5"/>
  <c r="E72" i="5"/>
  <c r="D72" i="5"/>
  <c r="C72" i="5"/>
  <c r="B72" i="5"/>
  <c r="E71" i="5"/>
  <c r="D71" i="5"/>
  <c r="C71" i="5"/>
  <c r="B71" i="5"/>
  <c r="E70" i="5"/>
  <c r="D70" i="5"/>
  <c r="C70" i="5"/>
  <c r="B70" i="5"/>
  <c r="E69" i="5"/>
  <c r="D69" i="5"/>
  <c r="C69" i="5"/>
  <c r="B69" i="5"/>
  <c r="E68" i="5"/>
  <c r="D68" i="5"/>
  <c r="C68" i="5"/>
  <c r="B68" i="5"/>
  <c r="E67" i="5"/>
  <c r="D67" i="5"/>
  <c r="C67" i="5"/>
  <c r="B67" i="5"/>
  <c r="E66" i="5"/>
  <c r="D66" i="5"/>
  <c r="C66" i="5"/>
  <c r="B66" i="5"/>
  <c r="E65" i="5"/>
  <c r="D65" i="5"/>
  <c r="C65" i="5"/>
  <c r="B65" i="5"/>
  <c r="E64" i="5"/>
  <c r="D64" i="5"/>
  <c r="C64" i="5"/>
  <c r="B64" i="5"/>
  <c r="E63" i="5"/>
  <c r="D63" i="5"/>
  <c r="C63" i="5"/>
  <c r="B63" i="5"/>
  <c r="E62" i="5"/>
  <c r="D62" i="5"/>
  <c r="C62" i="5"/>
  <c r="B62" i="5"/>
  <c r="E61" i="5"/>
  <c r="D61" i="5"/>
  <c r="C61" i="5"/>
  <c r="B61" i="5"/>
  <c r="E60" i="5"/>
  <c r="D60" i="5"/>
  <c r="C60" i="5"/>
  <c r="B60" i="5"/>
  <c r="E59" i="5"/>
  <c r="D59" i="5"/>
  <c r="C59" i="5"/>
  <c r="B59" i="5"/>
  <c r="E58" i="5"/>
  <c r="D58" i="5"/>
  <c r="C58" i="5"/>
  <c r="B58" i="5"/>
  <c r="E57" i="5"/>
  <c r="D57" i="5"/>
  <c r="C57" i="5"/>
  <c r="B57" i="5"/>
  <c r="E56" i="5"/>
  <c r="D56" i="5"/>
  <c r="C56" i="5"/>
  <c r="B56" i="5"/>
  <c r="E55" i="5"/>
  <c r="D55" i="5"/>
  <c r="C55" i="5"/>
  <c r="B55" i="5"/>
  <c r="E54" i="5"/>
  <c r="D54" i="5"/>
  <c r="C54" i="5"/>
  <c r="B54" i="5"/>
  <c r="E53" i="5"/>
  <c r="D53" i="5"/>
  <c r="C53" i="5"/>
  <c r="B53" i="5"/>
  <c r="E52" i="5"/>
  <c r="D52" i="5"/>
  <c r="C52" i="5"/>
  <c r="B52" i="5"/>
  <c r="E51" i="5"/>
  <c r="D51" i="5"/>
  <c r="C51" i="5"/>
  <c r="B51" i="5"/>
  <c r="E50" i="5"/>
  <c r="D50" i="5"/>
  <c r="C50" i="5"/>
  <c r="B50" i="5"/>
  <c r="E49" i="5"/>
  <c r="D49" i="5"/>
  <c r="C49" i="5"/>
  <c r="B49" i="5"/>
  <c r="E48" i="5"/>
  <c r="D48" i="5"/>
  <c r="C48" i="5"/>
  <c r="B48" i="5"/>
  <c r="E47" i="5"/>
  <c r="D47" i="5"/>
  <c r="C47" i="5"/>
  <c r="B47" i="5"/>
  <c r="E46" i="5"/>
  <c r="D46" i="5"/>
  <c r="C46" i="5"/>
  <c r="B46" i="5"/>
  <c r="E45" i="5"/>
  <c r="D45" i="5"/>
  <c r="C45" i="5"/>
  <c r="B45" i="5"/>
  <c r="E44" i="5"/>
  <c r="D44" i="5"/>
  <c r="C44" i="5"/>
  <c r="B44" i="5"/>
  <c r="E43" i="5"/>
  <c r="D43" i="5"/>
  <c r="C43" i="5"/>
  <c r="B43" i="5"/>
  <c r="E42" i="5"/>
  <c r="D42" i="5"/>
  <c r="C42" i="5"/>
  <c r="B42" i="5"/>
  <c r="E41" i="5"/>
  <c r="D41" i="5"/>
  <c r="C41" i="5"/>
  <c r="B41" i="5"/>
  <c r="E40" i="5"/>
  <c r="D40" i="5"/>
  <c r="C40" i="5"/>
  <c r="B40" i="5"/>
  <c r="E39" i="5"/>
  <c r="D39" i="5"/>
  <c r="C39" i="5"/>
  <c r="B39" i="5"/>
  <c r="E38" i="5"/>
  <c r="D38" i="5"/>
  <c r="C38" i="5"/>
  <c r="B38" i="5"/>
  <c r="E37" i="5"/>
  <c r="D37" i="5"/>
  <c r="C37" i="5"/>
  <c r="B37" i="5"/>
  <c r="E36" i="5"/>
  <c r="D36" i="5"/>
  <c r="C36" i="5"/>
  <c r="B36" i="5"/>
  <c r="E35" i="5"/>
  <c r="D35" i="5"/>
  <c r="C35" i="5"/>
  <c r="B35" i="5"/>
  <c r="E34" i="5"/>
  <c r="D34" i="5"/>
  <c r="C34" i="5"/>
  <c r="B34" i="5"/>
  <c r="E33" i="5"/>
  <c r="D33" i="5"/>
  <c r="C33" i="5"/>
  <c r="B33" i="5"/>
  <c r="E32" i="5"/>
  <c r="D32" i="5"/>
  <c r="C32" i="5"/>
  <c r="B32" i="5"/>
  <c r="E31" i="5"/>
  <c r="D31" i="5"/>
  <c r="C31" i="5"/>
  <c r="B31" i="5"/>
  <c r="E30" i="5"/>
  <c r="D30" i="5"/>
  <c r="C30" i="5"/>
  <c r="B30" i="5"/>
  <c r="E29" i="5"/>
  <c r="D29" i="5"/>
  <c r="C29" i="5"/>
  <c r="B29" i="5"/>
  <c r="E28" i="5"/>
  <c r="D28" i="5"/>
  <c r="C28" i="5"/>
  <c r="B28" i="5"/>
  <c r="E27" i="5"/>
  <c r="D27" i="5"/>
  <c r="C27" i="5"/>
  <c r="B27" i="5"/>
  <c r="E26" i="5"/>
  <c r="D26" i="5"/>
  <c r="C26" i="5"/>
  <c r="B26" i="5"/>
  <c r="E25" i="5"/>
  <c r="D25" i="5"/>
  <c r="C25" i="5"/>
  <c r="B25" i="5"/>
  <c r="E24" i="5"/>
  <c r="D24" i="5"/>
  <c r="C24" i="5"/>
  <c r="B24" i="5"/>
  <c r="E23" i="5"/>
  <c r="D23" i="5"/>
  <c r="C23" i="5"/>
  <c r="B23" i="5"/>
  <c r="E22" i="5"/>
  <c r="D22" i="5"/>
  <c r="C22" i="5"/>
  <c r="B22" i="5"/>
  <c r="E21" i="5"/>
  <c r="D21" i="5"/>
  <c r="C21" i="5"/>
  <c r="B21" i="5"/>
  <c r="E20" i="5"/>
  <c r="D20" i="5"/>
  <c r="C20" i="5"/>
  <c r="B20" i="5"/>
  <c r="E19" i="5"/>
  <c r="D19" i="5"/>
  <c r="C19" i="5"/>
  <c r="B19" i="5"/>
  <c r="E18" i="5"/>
  <c r="D18" i="5"/>
  <c r="C18" i="5"/>
  <c r="B18" i="5"/>
  <c r="E17" i="5"/>
  <c r="D17" i="5"/>
  <c r="C17" i="5"/>
  <c r="B17" i="5"/>
  <c r="E16" i="5"/>
  <c r="D16" i="5"/>
  <c r="C16" i="5"/>
  <c r="B16" i="5"/>
  <c r="E15" i="5"/>
  <c r="D15" i="5"/>
  <c r="C15" i="5"/>
  <c r="B15" i="5"/>
  <c r="E14" i="5"/>
  <c r="D14" i="5"/>
  <c r="C14" i="5"/>
  <c r="B14" i="5"/>
  <c r="E13" i="5"/>
  <c r="D13" i="5"/>
  <c r="C13" i="5"/>
  <c r="B13" i="5"/>
  <c r="E12" i="5"/>
  <c r="D12" i="5"/>
  <c r="C12" i="5"/>
  <c r="B12" i="5"/>
  <c r="E11" i="5"/>
  <c r="D11" i="5"/>
  <c r="C11" i="5"/>
  <c r="B11" i="5"/>
  <c r="E10" i="5"/>
  <c r="D10" i="5"/>
  <c r="C10" i="5"/>
  <c r="B10" i="5"/>
  <c r="E9" i="5"/>
  <c r="D9" i="5"/>
  <c r="C9" i="5"/>
  <c r="B9" i="5"/>
  <c r="E8" i="5"/>
  <c r="D8" i="5"/>
  <c r="C8" i="5"/>
  <c r="B8" i="5"/>
  <c r="E7" i="5"/>
  <c r="D7" i="5"/>
  <c r="C7" i="5"/>
  <c r="B7" i="5"/>
  <c r="E6" i="5"/>
  <c r="D6" i="5"/>
  <c r="C6" i="5"/>
  <c r="B6" i="5"/>
  <c r="E5" i="5"/>
  <c r="D5" i="5"/>
  <c r="C5" i="5"/>
  <c r="B5" i="5"/>
  <c r="E4" i="5"/>
  <c r="D4" i="5"/>
  <c r="C4" i="5"/>
  <c r="B4" i="5"/>
  <c r="E3" i="5"/>
  <c r="D3" i="5"/>
  <c r="C3" i="5"/>
  <c r="B3" i="5"/>
  <c r="E2" i="5"/>
  <c r="D2" i="5"/>
  <c r="C2" i="5"/>
  <c r="B2" i="5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D10" i="3"/>
</calcChain>
</file>

<file path=xl/sharedStrings.xml><?xml version="1.0" encoding="utf-8"?>
<sst xmlns="http://schemas.openxmlformats.org/spreadsheetml/2006/main" count="49183" uniqueCount="5412">
  <si>
    <t>Faixa de peso atendida</t>
  </si>
  <si>
    <t>origem_cidade_estado</t>
  </si>
  <si>
    <t>nome_transportadora</t>
  </si>
  <si>
    <t>tipo operação (d2d ou lm)</t>
  </si>
  <si>
    <t>ini_CEP</t>
  </si>
  <si>
    <t>fim_CEP</t>
  </si>
  <si>
    <t>cidade</t>
  </si>
  <si>
    <t>sigla_tarifária</t>
  </si>
  <si>
    <t>estado</t>
  </si>
  <si>
    <t>área_risco</t>
  </si>
  <si>
    <t>Região</t>
  </si>
  <si>
    <t>custo extra (área de risco)</t>
  </si>
  <si>
    <t>gris</t>
  </si>
  <si>
    <t>adv</t>
  </si>
  <si>
    <t>lead_time</t>
  </si>
  <si>
    <t>Exc</t>
  </si>
  <si>
    <t>Sequoia</t>
  </si>
  <si>
    <t>LM</t>
  </si>
  <si>
    <t>SAO PAULO</t>
  </si>
  <si>
    <t>SP</t>
  </si>
  <si>
    <t>(0) Não</t>
  </si>
  <si>
    <t>CAPITAL</t>
  </si>
  <si>
    <t>(1) Sim</t>
  </si>
  <si>
    <t>OSASCO</t>
  </si>
  <si>
    <t>ALDEIA DE CARAPICUIBA</t>
  </si>
  <si>
    <t>BARUERI</t>
  </si>
  <si>
    <t>SANTANA DE PARNAIBA</t>
  </si>
  <si>
    <t>PIRAPORA DO BOM JESUS</t>
  </si>
  <si>
    <t>JANDIRA</t>
  </si>
  <si>
    <t>ITAPEVI</t>
  </si>
  <si>
    <t>COTIA</t>
  </si>
  <si>
    <t>VARGEM GRANDE PAULISTA</t>
  </si>
  <si>
    <t>TABOAO DA SERRA</t>
  </si>
  <si>
    <t>EMBU DAS ARTES</t>
  </si>
  <si>
    <t>ITAPECERICA DA SERRA</t>
  </si>
  <si>
    <t>SAO LOURENCO DA SERRA</t>
  </si>
  <si>
    <t>EMBU-GUACU</t>
  </si>
  <si>
    <t>JUQUITIBA</t>
  </si>
  <si>
    <t>GUARULHOS</t>
  </si>
  <si>
    <t>ARUJA</t>
  </si>
  <si>
    <t>SANTA ISABEL</t>
  </si>
  <si>
    <t>MAIRIPORA</t>
  </si>
  <si>
    <t>CAIEIRAS</t>
  </si>
  <si>
    <t>CAJAMAR</t>
  </si>
  <si>
    <t>FRANCO DA ROCHA</t>
  </si>
  <si>
    <t>FRANCISCO MORATO</t>
  </si>
  <si>
    <t>FERRAZ DE VASCONCELOS</t>
  </si>
  <si>
    <t>POA</t>
  </si>
  <si>
    <t>ITAQUAQUECETUBA</t>
  </si>
  <si>
    <t>SUZANO</t>
  </si>
  <si>
    <t>BIRITIBA-USSU (MOGI DAS CRUZES)</t>
  </si>
  <si>
    <t>GUARAREMA</t>
  </si>
  <si>
    <t>BIRITIBA MIRIM</t>
  </si>
  <si>
    <t>SALESOPOLIS</t>
  </si>
  <si>
    <t>SANTO ANDRE</t>
  </si>
  <si>
    <t>MAUA</t>
  </si>
  <si>
    <t>RIBEIRAO PIRES</t>
  </si>
  <si>
    <t>RIO GRANDE DA SERRA</t>
  </si>
  <si>
    <t>SAO CAETANO DO SUL</t>
  </si>
  <si>
    <t>SAO BERNARDO DO CAMPO</t>
  </si>
  <si>
    <t>DIADEMA</t>
  </si>
  <si>
    <t>CAIBURA (SANTOS)</t>
  </si>
  <si>
    <t>INTERIOR</t>
  </si>
  <si>
    <t>BERTIOGA</t>
  </si>
  <si>
    <t>INTERIOR II</t>
  </si>
  <si>
    <t>SAO VICENTE</t>
  </si>
  <si>
    <t>GUARUJA</t>
  </si>
  <si>
    <t>CUBATAO</t>
  </si>
  <si>
    <t>SAO SEBASTIAO DA SERRA (BROTAS)</t>
  </si>
  <si>
    <t>ILHABELA</t>
  </si>
  <si>
    <t>CARAGUATATUBA</t>
  </si>
  <si>
    <t>UBATUBA</t>
  </si>
  <si>
    <t>PRAIA GRANDE</t>
  </si>
  <si>
    <t>MONGAGUA</t>
  </si>
  <si>
    <t>ITANHAEM</t>
  </si>
  <si>
    <t>PERUIBE</t>
  </si>
  <si>
    <t>ITARIRI</t>
  </si>
  <si>
    <t>REDESPACHO</t>
  </si>
  <si>
    <t>PEDRO DE TOLEDO</t>
  </si>
  <si>
    <t>JUQUIA</t>
  </si>
  <si>
    <t>MIRACATU</t>
  </si>
  <si>
    <t>REGISTRO</t>
  </si>
  <si>
    <t>SETE BARRAS</t>
  </si>
  <si>
    <t>IGUAPE</t>
  </si>
  <si>
    <t>ILHA COMPRIDA</t>
  </si>
  <si>
    <t>PARIQUERA-ACU</t>
  </si>
  <si>
    <t>JACUPIRANGA</t>
  </si>
  <si>
    <t>CAJATI</t>
  </si>
  <si>
    <t>BARRA DO TURVO</t>
  </si>
  <si>
    <t>ELDORADO</t>
  </si>
  <si>
    <t>CANANEIA</t>
  </si>
  <si>
    <t>TAUBATE</t>
  </si>
  <si>
    <t>TREMEMBE</t>
  </si>
  <si>
    <t>LAGOINHA</t>
  </si>
  <si>
    <t>SAO LUIZ DO PARAITINGA</t>
  </si>
  <si>
    <t>REDENCAO DA SERRA</t>
  </si>
  <si>
    <t>NATIVIDADE DA SERRA</t>
  </si>
  <si>
    <t>SAO FRANCISCO XAVIER (SAO JOSE DOS CAMPOS)</t>
  </si>
  <si>
    <t>SAO FRANCISCO XAVIER</t>
  </si>
  <si>
    <t>MONTEIRO LOBATO</t>
  </si>
  <si>
    <t>PARAIBUNA</t>
  </si>
  <si>
    <t>JAMBEIRO</t>
  </si>
  <si>
    <t>CACAPAVA</t>
  </si>
  <si>
    <t>SAO SILVESTRE DE JACAREI</t>
  </si>
  <si>
    <t>IGARATA</t>
  </si>
  <si>
    <t>SANTA BRANCA</t>
  </si>
  <si>
    <t>PINDAMONHANGABA</t>
  </si>
  <si>
    <t>SANTO ANTONIO DO PINHAL</t>
  </si>
  <si>
    <t>CAMPOS DO JORDAO</t>
  </si>
  <si>
    <t>SAO BENTO DO SAPUCAI</t>
  </si>
  <si>
    <t>GUARATINGUETA</t>
  </si>
  <si>
    <t>POTIM</t>
  </si>
  <si>
    <t>CUNHA</t>
  </si>
  <si>
    <t>APARECIDA</t>
  </si>
  <si>
    <t>ROSEIRA</t>
  </si>
  <si>
    <t>LORENA</t>
  </si>
  <si>
    <t>CANAS</t>
  </si>
  <si>
    <t>PIQUETE</t>
  </si>
  <si>
    <t>CACHOEIRA PAULISTA</t>
  </si>
  <si>
    <t>SILVEIRAS</t>
  </si>
  <si>
    <t>CRUZEIRO</t>
  </si>
  <si>
    <t>LAVRINHAS</t>
  </si>
  <si>
    <t>QUELUZ</t>
  </si>
  <si>
    <t>AREIAS</t>
  </si>
  <si>
    <t>SAO JOSE DO BARREIRO</t>
  </si>
  <si>
    <t>BANANAL</t>
  </si>
  <si>
    <t>ARAPEI</t>
  </si>
  <si>
    <t>BRAGANCA PAULISTA</t>
  </si>
  <si>
    <t>TUIUTI</t>
  </si>
  <si>
    <t>VARGEM</t>
  </si>
  <si>
    <t>ATIBAIA</t>
  </si>
  <si>
    <t>BOM JESUS DOS PERDOES</t>
  </si>
  <si>
    <t>NAZARE PAULISTA</t>
  </si>
  <si>
    <t>PIRACAIA</t>
  </si>
  <si>
    <t>JOANOPOLIS</t>
  </si>
  <si>
    <t>PEDRA BELA</t>
  </si>
  <si>
    <t>PINHALZINHO</t>
  </si>
  <si>
    <t>CAMPINAS</t>
  </si>
  <si>
    <t>PAULINIA</t>
  </si>
  <si>
    <t>COSMOPOLIS</t>
  </si>
  <si>
    <t>ARTUR NOGUEIRA</t>
  </si>
  <si>
    <t>ENGENHEIRO COELHO</t>
  </si>
  <si>
    <t>SUMARE</t>
  </si>
  <si>
    <t>HORTOLANDIA</t>
  </si>
  <si>
    <t>MONTE MOR</t>
  </si>
  <si>
    <t>JUNDIAI</t>
  </si>
  <si>
    <t>VARZEA PAULISTA</t>
  </si>
  <si>
    <t>CAMPO LIMPO PAULISTA</t>
  </si>
  <si>
    <t>JARINU</t>
  </si>
  <si>
    <t>ITATIBA</t>
  </si>
  <si>
    <t>MORUNGABA</t>
  </si>
  <si>
    <t>VALINHOS</t>
  </si>
  <si>
    <t>VINHEDO</t>
  </si>
  <si>
    <t>LOUVEIRA</t>
  </si>
  <si>
    <t>ITUPEVA</t>
  </si>
  <si>
    <t>ITU</t>
  </si>
  <si>
    <t>CABREUVA</t>
  </si>
  <si>
    <t>SALTO</t>
  </si>
  <si>
    <t>INDAIATUBA</t>
  </si>
  <si>
    <t>ELIAS FAUSTO</t>
  </si>
  <si>
    <t>CAPIVARI</t>
  </si>
  <si>
    <t>RAFARD</t>
  </si>
  <si>
    <t>MOMBUCA</t>
  </si>
  <si>
    <t>NOVA ODESSA</t>
  </si>
  <si>
    <t>RIO DAS PEDRAS</t>
  </si>
  <si>
    <t>SANTA TERESINHA DE PIRACICABA</t>
  </si>
  <si>
    <t>SALTINHO</t>
  </si>
  <si>
    <t>SANTA BARBARA DOESTE</t>
  </si>
  <si>
    <t>AMERICANA</t>
  </si>
  <si>
    <t>LIMEIRA</t>
  </si>
  <si>
    <t>CORDEIROPOLIS</t>
  </si>
  <si>
    <t>IRACEMAPOLIS</t>
  </si>
  <si>
    <t>RIO CLARO</t>
  </si>
  <si>
    <t>SANTA GERTRUDES</t>
  </si>
  <si>
    <t>CHARQUEADA</t>
  </si>
  <si>
    <t>SAO PEDRO</t>
  </si>
  <si>
    <t>AGUAS DE SAO PEDRO</t>
  </si>
  <si>
    <t>ITIRAPINA</t>
  </si>
  <si>
    <t>IPEUNA</t>
  </si>
  <si>
    <t>CORUMBATAI</t>
  </si>
  <si>
    <t>ANALANDIA</t>
  </si>
  <si>
    <t>AGUA VERMELHA (SAO CARLOS)</t>
  </si>
  <si>
    <t>RIBEIRAO BONITO</t>
  </si>
  <si>
    <t>DOURADO</t>
  </si>
  <si>
    <t>LEME</t>
  </si>
  <si>
    <t>SANTA CRUZ DA CONCEICAO</t>
  </si>
  <si>
    <t>CACHOEIRA DE EMAS (PIRASSUNUNGA)</t>
  </si>
  <si>
    <t>SANTA CRUZ DAS PALMEIRAS</t>
  </si>
  <si>
    <t>PORTO FERREIRA</t>
  </si>
  <si>
    <t>SANTA RITA DO PASSA QUATRO</t>
  </si>
  <si>
    <t>DESCALVADO</t>
  </si>
  <si>
    <t>CASA BRANCA</t>
  </si>
  <si>
    <t>TAMBAU</t>
  </si>
  <si>
    <t>ITOBI</t>
  </si>
  <si>
    <t>SAO JOSE DO RIO PARDO</t>
  </si>
  <si>
    <t>SAO BENEDITO DAS AREIAS (MOCOCA)</t>
  </si>
  <si>
    <t>TAPIRATIBA</t>
  </si>
  <si>
    <t>CACONDE</t>
  </si>
  <si>
    <t>DIVINOLANDIA</t>
  </si>
  <si>
    <t>SAO SEBASTIAO DA GRAMA</t>
  </si>
  <si>
    <t>MOGI MIRIM</t>
  </si>
  <si>
    <t>MONTE ALEGRE DO SUL</t>
  </si>
  <si>
    <t>HOLAMBRA</t>
  </si>
  <si>
    <t>CONCHAL</t>
  </si>
  <si>
    <t>MOGI GUACU</t>
  </si>
  <si>
    <t>ESTIVA GERBI</t>
  </si>
  <si>
    <t>AGUAI</t>
  </si>
  <si>
    <t>SAO JOAO DA BOA VISTA</t>
  </si>
  <si>
    <t>VARGEM GRANDE DO SUL</t>
  </si>
  <si>
    <t>AGUAS DA PRATA</t>
  </si>
  <si>
    <t>AMPARO</t>
  </si>
  <si>
    <t>JAGUARIUNA</t>
  </si>
  <si>
    <t>PEDREIRA</t>
  </si>
  <si>
    <t>SERRA NEGRA</t>
  </si>
  <si>
    <t>AGUAS DE LINDOIA</t>
  </si>
  <si>
    <t>LINDOIA</t>
  </si>
  <si>
    <t>SOCORRO</t>
  </si>
  <si>
    <t>ESPIRITO SANTO DO PINHAL</t>
  </si>
  <si>
    <t>SANTO ANTONIO DO JARDIM</t>
  </si>
  <si>
    <t>BONFIM PAULISTA (RIBEIRAO PRETO)</t>
  </si>
  <si>
    <t>GUATAPARA</t>
  </si>
  <si>
    <t>DUMONT</t>
  </si>
  <si>
    <t>CRAVINHOS</t>
  </si>
  <si>
    <t>SERRANA</t>
  </si>
  <si>
    <t>SERTAOZINHO</t>
  </si>
  <si>
    <t>PONTAL</t>
  </si>
  <si>
    <t>SAO SIMAO</t>
  </si>
  <si>
    <t>LUIS ANTONIO</t>
  </si>
  <si>
    <t>SERRA AZUL</t>
  </si>
  <si>
    <t>CAJURU</t>
  </si>
  <si>
    <t>SANTA CRUZ DA ESPERANCA</t>
  </si>
  <si>
    <t>CASSIA DOS COQUEIROS</t>
  </si>
  <si>
    <t>SANTA ROSA DE VITERBO</t>
  </si>
  <si>
    <t>BATATAIS</t>
  </si>
  <si>
    <t>BRODOWSKI</t>
  </si>
  <si>
    <t>ALTINOPOLIS</t>
  </si>
  <si>
    <t>SANTO ANTONIO DA ALEGRIA</t>
  </si>
  <si>
    <t>FRANCA</t>
  </si>
  <si>
    <t>PATROCINIO PAULISTA</t>
  </si>
  <si>
    <t>ITIRAPUA</t>
  </si>
  <si>
    <t>RESTINGA</t>
  </si>
  <si>
    <t>SAO JOSE DA BELA VISTA</t>
  </si>
  <si>
    <t>RIBEIRAO CORRENTE</t>
  </si>
  <si>
    <t>JERIQUARA</t>
  </si>
  <si>
    <t>CRISTAIS PAULISTA</t>
  </si>
  <si>
    <t>PEDREGULHO</t>
  </si>
  <si>
    <t>RIFAINA</t>
  </si>
  <si>
    <t>ITUVERAVA</t>
  </si>
  <si>
    <t>MIGUELOPOLIS</t>
  </si>
  <si>
    <t>IGARAPAVA</t>
  </si>
  <si>
    <t>ARAMINA</t>
  </si>
  <si>
    <t>BURITIZAL</t>
  </si>
  <si>
    <t>GUARA</t>
  </si>
  <si>
    <t>SAO JOAQUIM DA BARRA</t>
  </si>
  <si>
    <t>IPUA</t>
  </si>
  <si>
    <t>ORLANDIA</t>
  </si>
  <si>
    <t>MORRO AGUDO</t>
  </si>
  <si>
    <t>SALES OLIVEIRA</t>
  </si>
  <si>
    <t>NUPORANGA</t>
  </si>
  <si>
    <t>JARDINOPOLIS</t>
  </si>
  <si>
    <t>BEBEDOURO</t>
  </si>
  <si>
    <t>TAIUVA</t>
  </si>
  <si>
    <t>TAIACU</t>
  </si>
  <si>
    <t>MONTE AZUL PAULISTA</t>
  </si>
  <si>
    <t>SEVERINIA</t>
  </si>
  <si>
    <t>VIRADOURO</t>
  </si>
  <si>
    <t>TERRA ROXA</t>
  </si>
  <si>
    <t>PITANGUEIRAS</t>
  </si>
  <si>
    <t>TAQUARAL</t>
  </si>
  <si>
    <t>COLINA</t>
  </si>
  <si>
    <t>JABORANDI</t>
  </si>
  <si>
    <t>ALBERTO MOREIRA (BARRETOS)</t>
  </si>
  <si>
    <t>GUAIRA</t>
  </si>
  <si>
    <t>COLOMBIA</t>
  </si>
  <si>
    <t>BUENO DE ANDRADA (ARARAQUARA)</t>
  </si>
  <si>
    <t>GAVIAO PEIXOTO</t>
  </si>
  <si>
    <t>IBATE</t>
  </si>
  <si>
    <t>AMERICO BRASILIENSE</t>
  </si>
  <si>
    <t>SANTA LUCIA</t>
  </si>
  <si>
    <t>RINCAO</t>
  </si>
  <si>
    <t>MOTUCA</t>
  </si>
  <si>
    <t>GUARIBA</t>
  </si>
  <si>
    <t>PRADOPOLIS</t>
  </si>
  <si>
    <t>BARRINHA</t>
  </si>
  <si>
    <t>JABOTICABAL</t>
  </si>
  <si>
    <t>ITAPOLIS</t>
  </si>
  <si>
    <t>TABATINGA</t>
  </si>
  <si>
    <t>NOVA EUROPA</t>
  </si>
  <si>
    <t>BOA ESPERANCA DO SUL</t>
  </si>
  <si>
    <t>TRABIJU</t>
  </si>
  <si>
    <t>IBITINGA</t>
  </si>
  <si>
    <t>BORBOREMA</t>
  </si>
  <si>
    <t>NOVO HORIZONTE</t>
  </si>
  <si>
    <t>SALES</t>
  </si>
  <si>
    <t>IRAPUA</t>
  </si>
  <si>
    <t>SAO JOSE DO RIO PRETO</t>
  </si>
  <si>
    <t>POTIRENDABA</t>
  </si>
  <si>
    <t>IPIGUA</t>
  </si>
  <si>
    <t>GUAPIACU</t>
  </si>
  <si>
    <t>BADY BASSITT</t>
  </si>
  <si>
    <t>NEVES PAULISTA</t>
  </si>
  <si>
    <t>MIRASSOLUNDIA</t>
  </si>
  <si>
    <t>BALSAMO</t>
  </si>
  <si>
    <t>MIRASSOLANDIA</t>
  </si>
  <si>
    <t>MONTE APRAZIVEL</t>
  </si>
  <si>
    <t>JACI</t>
  </si>
  <si>
    <t>POLONI</t>
  </si>
  <si>
    <t>TANABI</t>
  </si>
  <si>
    <t>SEBASTIANOPOLIS DO SUL</t>
  </si>
  <si>
    <t>NHANDEARA</t>
  </si>
  <si>
    <t>JOSE BONIFACIO</t>
  </si>
  <si>
    <t>NOVA ALIANCA</t>
  </si>
  <si>
    <t>MENDONCA</t>
  </si>
  <si>
    <t>UBARANA</t>
  </si>
  <si>
    <t>ADOLFO</t>
  </si>
  <si>
    <t>NIPOA</t>
  </si>
  <si>
    <t>UNIAO PAULISTA</t>
  </si>
  <si>
    <t>PLANALTO</t>
  </si>
  <si>
    <t>ZACARIAS</t>
  </si>
  <si>
    <t>MACAUBAL</t>
  </si>
  <si>
    <t>MONCOES</t>
  </si>
  <si>
    <t>TURIUBA</t>
  </si>
  <si>
    <t>LOURDES</t>
  </si>
  <si>
    <t>BURITAMA</t>
  </si>
  <si>
    <t>GENERAL SALGADO</t>
  </si>
  <si>
    <t>MAGDA</t>
  </si>
  <si>
    <t>NOVA CASTILHO</t>
  </si>
  <si>
    <t>SAO JOAO DE IRACEMA</t>
  </si>
  <si>
    <t>FLOREAL</t>
  </si>
  <si>
    <t>GASTAO VIDIGAL</t>
  </si>
  <si>
    <t>NOVA LUZITANIA</t>
  </si>
  <si>
    <t>AURIFLAMA</t>
  </si>
  <si>
    <t>GUZOLANDIA</t>
  </si>
  <si>
    <t>SUD MENNUCCI</t>
  </si>
  <si>
    <t>PEREIRA BARRETO</t>
  </si>
  <si>
    <t>SUZANAPOLIS</t>
  </si>
  <si>
    <t>ILHA SOLTEIRA</t>
  </si>
  <si>
    <t>ITAPURA</t>
  </si>
  <si>
    <t>RIBEIRO DOS SANTOS (OLIMPIA)</t>
  </si>
  <si>
    <t>CAJOBI</t>
  </si>
  <si>
    <t>GUARACI</t>
  </si>
  <si>
    <t>EMBAUBA</t>
  </si>
  <si>
    <t>ALTAIR</t>
  </si>
  <si>
    <t>NOVA GRANADA</t>
  </si>
  <si>
    <t>ONDA VERDE</t>
  </si>
  <si>
    <t>ICEM</t>
  </si>
  <si>
    <t>PALESTINA</t>
  </si>
  <si>
    <t>ORINDIUVA</t>
  </si>
  <si>
    <t>PAULO DE FARIA</t>
  </si>
  <si>
    <t>RIOLANDIA</t>
  </si>
  <si>
    <t>VOTUPORANGA</t>
  </si>
  <si>
    <t>VALENTIM GENTIL</t>
  </si>
  <si>
    <t>PARISI</t>
  </si>
  <si>
    <t>COSMORAMA</t>
  </si>
  <si>
    <t>ALVARES FLORENCE</t>
  </si>
  <si>
    <t>AMERICO DE CAMPOS</t>
  </si>
  <si>
    <t>PONTES GESTAL</t>
  </si>
  <si>
    <t>CARDOSO</t>
  </si>
  <si>
    <t>MIRA ESTRELA</t>
  </si>
  <si>
    <t>BRASITANIA (FERNANDOPOLIS)</t>
  </si>
  <si>
    <t>MACEDONIA</t>
  </si>
  <si>
    <t>MERIDIANO</t>
  </si>
  <si>
    <t>PEDRANOPOLIS</t>
  </si>
  <si>
    <t>SAO JOAO DAS DUAS PONTES</t>
  </si>
  <si>
    <t>ESTRELA D'OESTE</t>
  </si>
  <si>
    <t>POPULINA</t>
  </si>
  <si>
    <t>GUARANI D'OESTE</t>
  </si>
  <si>
    <t>OUROESTE</t>
  </si>
  <si>
    <t>INDIAPORA</t>
  </si>
  <si>
    <t>JALES</t>
  </si>
  <si>
    <t>SAO FRANCISCO</t>
  </si>
  <si>
    <t>VITORIA BRASIL</t>
  </si>
  <si>
    <t>DIRCE REIS</t>
  </si>
  <si>
    <t>PONTALINDA</t>
  </si>
  <si>
    <t>PALMEIRA D'OESTE</t>
  </si>
  <si>
    <t>MARINOPOLIS</t>
  </si>
  <si>
    <t>APARECIDA D'OESTE</t>
  </si>
  <si>
    <t>DOLCINOPOLIS</t>
  </si>
  <si>
    <t>PARANAPUA</t>
  </si>
  <si>
    <t>MESOPOLIS</t>
  </si>
  <si>
    <t>SANTA ALBERTINA</t>
  </si>
  <si>
    <t>TURMALINA</t>
  </si>
  <si>
    <t>URANIA</t>
  </si>
  <si>
    <t>ASPASIA</t>
  </si>
  <si>
    <t>SANTANA DA PONTE PENSA</t>
  </si>
  <si>
    <t>SANTA SALETE</t>
  </si>
  <si>
    <t>TRES FRONTEIRAS</t>
  </si>
  <si>
    <t>NOVA CANAA PAULISTA</t>
  </si>
  <si>
    <t>SANTA FE DO SUL</t>
  </si>
  <si>
    <t>SANTA RITA D'OESTE</t>
  </si>
  <si>
    <t>SANTA CLARA D'OESTE</t>
  </si>
  <si>
    <t>RUBINEIA</t>
  </si>
  <si>
    <t>CATANDUVA</t>
  </si>
  <si>
    <t>PIRANGI</t>
  </si>
  <si>
    <t>ELISIARIO</t>
  </si>
  <si>
    <t>PARAISO</t>
  </si>
  <si>
    <t>PALMARES PAULISTA</t>
  </si>
  <si>
    <t>PINDORAMA</t>
  </si>
  <si>
    <t>ITAJOBI</t>
  </si>
  <si>
    <t>MARAPOAMA</t>
  </si>
  <si>
    <t>URUPES</t>
  </si>
  <si>
    <t>IBIRA</t>
  </si>
  <si>
    <t>CATIGUA</t>
  </si>
  <si>
    <t>TABAPUA</t>
  </si>
  <si>
    <t>NOVAIS</t>
  </si>
  <si>
    <t>UCHOA</t>
  </si>
  <si>
    <t>CEDRAL</t>
  </si>
  <si>
    <t>GUARIROBA (TAQUARITINGA)</t>
  </si>
  <si>
    <t>VISTA ALEGRE DO ALTO</t>
  </si>
  <si>
    <t>FERNANDO PRESTES</t>
  </si>
  <si>
    <t>SANTA ADELIA</t>
  </si>
  <si>
    <t>ARIRANHA</t>
  </si>
  <si>
    <t>SANTA ERNESTINA</t>
  </si>
  <si>
    <t>DOBRADA</t>
  </si>
  <si>
    <t>MATAO</t>
  </si>
  <si>
    <t>ARACATUBA</t>
  </si>
  <si>
    <t>SANTO ANTONIO DO ARACANGUA</t>
  </si>
  <si>
    <t>BIRIGUI</t>
  </si>
  <si>
    <t>BILAC</t>
  </si>
  <si>
    <t>GABRIEL MONTEIRO</t>
  </si>
  <si>
    <t>PIACATU</t>
  </si>
  <si>
    <t>SANTOPOLIS DO AGUAPEI</t>
  </si>
  <si>
    <t>CLEMENTINA</t>
  </si>
  <si>
    <t>COROADOS</t>
  </si>
  <si>
    <t>BREJO ALEGRE</t>
  </si>
  <si>
    <t>GLICERIO</t>
  </si>
  <si>
    <t>BRAUNA</t>
  </si>
  <si>
    <t>PENAPOLIS</t>
  </si>
  <si>
    <t>ALTO ALEGRE</t>
  </si>
  <si>
    <t>LUIZIANIA</t>
  </si>
  <si>
    <t>BARBOSA</t>
  </si>
  <si>
    <t>AVANHANDAVA</t>
  </si>
  <si>
    <t>PROMISSAO</t>
  </si>
  <si>
    <t>LINS</t>
  </si>
  <si>
    <t>GUAICARA</t>
  </si>
  <si>
    <t>GETULINA</t>
  </si>
  <si>
    <t>GUAIMBE</t>
  </si>
  <si>
    <t>CAFELANDIA</t>
  </si>
  <si>
    <t>GUARANTA</t>
  </si>
  <si>
    <t>PIRAJUI</t>
  </si>
  <si>
    <t>BALBINOS</t>
  </si>
  <si>
    <t>SANTA MARIA DO GURUPA (PROMISSAO)</t>
  </si>
  <si>
    <t>PONGAI</t>
  </si>
  <si>
    <t>PRESIDENTE ALVES</t>
  </si>
  <si>
    <t>AVAI</t>
  </si>
  <si>
    <t>GUARARAPES</t>
  </si>
  <si>
    <t>RUBIACEA</t>
  </si>
  <si>
    <t>BENTO DE ABREU</t>
  </si>
  <si>
    <t>MIRANDOPOLIS</t>
  </si>
  <si>
    <t>LAVINIA</t>
  </si>
  <si>
    <t>VALPARAISO</t>
  </si>
  <si>
    <t>PLANALTO (ANDRADINA)</t>
  </si>
  <si>
    <t>CASTILHO</t>
  </si>
  <si>
    <t>NOVA INDEPENDENCIA</t>
  </si>
  <si>
    <t>MURUTINGA DO SUL</t>
  </si>
  <si>
    <t>GUARACAI</t>
  </si>
  <si>
    <t>TIBIRICA (BAURU)</t>
  </si>
  <si>
    <t>DOMELIA (AGUDOS)</t>
  </si>
  <si>
    <t>PAULISTANIA</t>
  </si>
  <si>
    <t>AREALVA</t>
  </si>
  <si>
    <t>IACANGA</t>
  </si>
  <si>
    <t>REGINOPOLIS</t>
  </si>
  <si>
    <t>JAU</t>
  </si>
  <si>
    <t>ITAPUI</t>
  </si>
  <si>
    <t>BOCAINA</t>
  </si>
  <si>
    <t>BARIRI</t>
  </si>
  <si>
    <t>ITAJU</t>
  </si>
  <si>
    <t>BORACEIA</t>
  </si>
  <si>
    <t>PEDERNEIRAS</t>
  </si>
  <si>
    <t>MACATUBA</t>
  </si>
  <si>
    <t>DOIS CORREGOS</t>
  </si>
  <si>
    <t>MINEIROS DO TIETE</t>
  </si>
  <si>
    <t>BARRA BONITA</t>
  </si>
  <si>
    <t>IGARACU DO TIETE</t>
  </si>
  <si>
    <t>TORRINHA</t>
  </si>
  <si>
    <t>SANTA MARIA DA SERRA</t>
  </si>
  <si>
    <t>BROTAS</t>
  </si>
  <si>
    <t>GARCA</t>
  </si>
  <si>
    <t>ALVARO DE CARVALHO</t>
  </si>
  <si>
    <t>LUPERCIO</t>
  </si>
  <si>
    <t>ALVINLANDIA</t>
  </si>
  <si>
    <t>UBIRAJARA</t>
  </si>
  <si>
    <t>GALIA</t>
  </si>
  <si>
    <t>FERNAO</t>
  </si>
  <si>
    <t>DUARTINA</t>
  </si>
  <si>
    <t>LUCIANOPOLIS</t>
  </si>
  <si>
    <t>CABRALIA PAULISTA</t>
  </si>
  <si>
    <t>PIRATININGA</t>
  </si>
  <si>
    <t>MARILIA</t>
  </si>
  <si>
    <t>OCAUCU</t>
  </si>
  <si>
    <t>JULIO MESQUITA</t>
  </si>
  <si>
    <t>VERA CRUZ</t>
  </si>
  <si>
    <t>ORIENTE</t>
  </si>
  <si>
    <t>POMPEIA</t>
  </si>
  <si>
    <t>QUEIROZ</t>
  </si>
  <si>
    <t>TUPA</t>
  </si>
  <si>
    <t>ARCO-IRIS</t>
  </si>
  <si>
    <t>HERCULANDIA</t>
  </si>
  <si>
    <t>QUINTANA</t>
  </si>
  <si>
    <t>IACRI</t>
  </si>
  <si>
    <t>BASTOS</t>
  </si>
  <si>
    <t>OSVALDO CRUZ</t>
  </si>
  <si>
    <t>SAGRES</t>
  </si>
  <si>
    <t>SALMOURAO</t>
  </si>
  <si>
    <t>PARAPUA</t>
  </si>
  <si>
    <t>RINOPOLIS</t>
  </si>
  <si>
    <t>INUBIA PAULISTA</t>
  </si>
  <si>
    <t>LUCELIA</t>
  </si>
  <si>
    <t>PRACINHA</t>
  </si>
  <si>
    <t>ADAMANTINA</t>
  </si>
  <si>
    <t>MARIAPOLIS</t>
  </si>
  <si>
    <t>FLORIDA PAULISTA</t>
  </si>
  <si>
    <t>PACAEMBU</t>
  </si>
  <si>
    <t>FLORA RICA</t>
  </si>
  <si>
    <t>IRAPURU</t>
  </si>
  <si>
    <t>JUNQUEIROPOLIS</t>
  </si>
  <si>
    <t>DRACENA</t>
  </si>
  <si>
    <t>OURO VERDE</t>
  </si>
  <si>
    <t>TUPI PAULISTA</t>
  </si>
  <si>
    <t>SANTA MERCEDES</t>
  </si>
  <si>
    <t>NOVA GUATAPORANGA</t>
  </si>
  <si>
    <t>MONTE CASTELO</t>
  </si>
  <si>
    <t>SAO JOAO DO PAU D'ALHO</t>
  </si>
  <si>
    <t>PANORAMA</t>
  </si>
  <si>
    <t>PAULICEIA</t>
  </si>
  <si>
    <t>SOROCABA</t>
  </si>
  <si>
    <t>VOTORANTIM</t>
  </si>
  <si>
    <t>MAIRINQUE</t>
  </si>
  <si>
    <t>ALUMINIO</t>
  </si>
  <si>
    <t>SAO ROQUE</t>
  </si>
  <si>
    <t>ARACARIGUAMA</t>
  </si>
  <si>
    <t>IBIUNA</t>
  </si>
  <si>
    <t>SALTO DE PIRAPORA</t>
  </si>
  <si>
    <t>PIEDADE</t>
  </si>
  <si>
    <t>TAPIRAI</t>
  </si>
  <si>
    <t>ARACOIABA DA SERRA</t>
  </si>
  <si>
    <t>CAPELA DO ALTO</t>
  </si>
  <si>
    <t>GRAMADINHO (ITAPETININGA)</t>
  </si>
  <si>
    <t>ALAMBARI</t>
  </si>
  <si>
    <t>SARAPUI</t>
  </si>
  <si>
    <t>SAO MIGUEL ARCANJO</t>
  </si>
  <si>
    <t>ANGATUBA</t>
  </si>
  <si>
    <t>CAMPINA DO MONTE ALEGRE</t>
  </si>
  <si>
    <t>GUAREI</t>
  </si>
  <si>
    <t>QUADRA</t>
  </si>
  <si>
    <t>PORANGABA</t>
  </si>
  <si>
    <t>TORRE DE PEDRA</t>
  </si>
  <si>
    <t>TATUI</t>
  </si>
  <si>
    <t>CESARIO LANGE</t>
  </si>
  <si>
    <t>BURI</t>
  </si>
  <si>
    <t>CAPAO BONITO</t>
  </si>
  <si>
    <t>GUAPIARA</t>
  </si>
  <si>
    <t>RIBEIRAO GRANDE</t>
  </si>
  <si>
    <t>APIAI</t>
  </si>
  <si>
    <t>BARRA DO CHAPEU</t>
  </si>
  <si>
    <t>IPORANGA</t>
  </si>
  <si>
    <t>ITAOCA</t>
  </si>
  <si>
    <t>RIBEIRA</t>
  </si>
  <si>
    <t>ITAPIRAPUA PAULISTA</t>
  </si>
  <si>
    <t>GUARIZINHO (ITAPEVA)</t>
  </si>
  <si>
    <t>TAQUARIVAI</t>
  </si>
  <si>
    <t>RIBEIRAO BRANCO</t>
  </si>
  <si>
    <t>NOVA CAMPINA</t>
  </si>
  <si>
    <t>ITABERA</t>
  </si>
  <si>
    <t>ITARARE</t>
  </si>
  <si>
    <t>RIVERSUL</t>
  </si>
  <si>
    <t>BOM SUCESSO DE ITARARE</t>
  </si>
  <si>
    <t>ITAPORANGA</t>
  </si>
  <si>
    <t>BARAO DE ANTONINA</t>
  </si>
  <si>
    <t>LARANJAL PAULISTA</t>
  </si>
  <si>
    <t>CERQUILHO</t>
  </si>
  <si>
    <t>TIETE</t>
  </si>
  <si>
    <t>JUMIRIM</t>
  </si>
  <si>
    <t>PORTO FELIZ</t>
  </si>
  <si>
    <t>BOITUVA</t>
  </si>
  <si>
    <t>IPERO</t>
  </si>
  <si>
    <t>PEREIRAS</t>
  </si>
  <si>
    <t>BOFETE</t>
  </si>
  <si>
    <t>BOTUCATU</t>
  </si>
  <si>
    <t>ANHEMBI</t>
  </si>
  <si>
    <t>PARDINHO</t>
  </si>
  <si>
    <t>SAO MANUEL</t>
  </si>
  <si>
    <t>PRATANIA</t>
  </si>
  <si>
    <t>AREIOPOLIS</t>
  </si>
  <si>
    <t>BOREBI</t>
  </si>
  <si>
    <t>ALFREDO GUEDES (LENCOIS PAULISTA)</t>
  </si>
  <si>
    <t>ITATINGA</t>
  </si>
  <si>
    <t>AVARE</t>
  </si>
  <si>
    <t>ARANDU</t>
  </si>
  <si>
    <t>PARANAPANEMA</t>
  </si>
  <si>
    <t>ITAIUBA (MONTE APRAZIVEL)</t>
  </si>
  <si>
    <t>TAQUARITUBA</t>
  </si>
  <si>
    <t>CORONEL MACEDO</t>
  </si>
  <si>
    <t>CERQUEIRA CESAR</t>
  </si>
  <si>
    <t>AGUAS DE SANTA BARBARA</t>
  </si>
  <si>
    <t>IARAS</t>
  </si>
  <si>
    <t>MANDURI</t>
  </si>
  <si>
    <t>OLEO</t>
  </si>
  <si>
    <t>TEJUPA</t>
  </si>
  <si>
    <t>SARUTAIA</t>
  </si>
  <si>
    <t>TIMBURI</t>
  </si>
  <si>
    <t>FARTURA</t>
  </si>
  <si>
    <t>TAGUAI</t>
  </si>
  <si>
    <t>CAPORANGA (SANTA CRUZ DO RIO PARDO)</t>
  </si>
  <si>
    <t>ESPIRITO SANTO DO TURVO</t>
  </si>
  <si>
    <t>SAO PEDRO DO TURVO</t>
  </si>
  <si>
    <t>IPAUSSU</t>
  </si>
  <si>
    <t>BERNARDINO DE CAMPOS</t>
  </si>
  <si>
    <t>IRAPE (CHAVANTES)</t>
  </si>
  <si>
    <t>CANITAR</t>
  </si>
  <si>
    <t>ENEIDA (PRESIDENTE PRUDENTE)</t>
  </si>
  <si>
    <t>ALVARES MACHADO</t>
  </si>
  <si>
    <t>ALFREDO MARCONDES</t>
  </si>
  <si>
    <t>SANTO EXPEDITO</t>
  </si>
  <si>
    <t>PIRAPOZINHO</t>
  </si>
  <si>
    <t>TARABAI</t>
  </si>
  <si>
    <t>NARANDIBA</t>
  </si>
  <si>
    <t>ESTRELA DO NORTE</t>
  </si>
  <si>
    <t>SANDOVALINA</t>
  </si>
  <si>
    <t>MIRANTE DO PARANAPANEMA</t>
  </si>
  <si>
    <t>ROSANA</t>
  </si>
  <si>
    <t>EUCLIDES DA CUNHA PAULISTA</t>
  </si>
  <si>
    <t>TEODORO SAMPAIO</t>
  </si>
  <si>
    <t>PRESIDENTE BERNARDES</t>
  </si>
  <si>
    <t>EMILIANOPOLIS</t>
  </si>
  <si>
    <t>SANTO ANASTACIO</t>
  </si>
  <si>
    <t>RIBEIRAO DOS INDIOS</t>
  </si>
  <si>
    <t>PRESIDENTE VENCESLAU</t>
  </si>
  <si>
    <t>PIQUEROBI</t>
  </si>
  <si>
    <t>MARABA PAULISTA</t>
  </si>
  <si>
    <t>CAIUA</t>
  </si>
  <si>
    <t>PRESIDENTE EPITACIO</t>
  </si>
  <si>
    <t>MARTINOPOLIS</t>
  </si>
  <si>
    <t>CAIABU</t>
  </si>
  <si>
    <t>INDIANA</t>
  </si>
  <si>
    <t>REGENTE FEIJO</t>
  </si>
  <si>
    <t>ANHUMAS</t>
  </si>
  <si>
    <t>TACIBA</t>
  </si>
  <si>
    <t>RANCHARIA</t>
  </si>
  <si>
    <t>IEPE</t>
  </si>
  <si>
    <t>NANTES</t>
  </si>
  <si>
    <t>JOAO RAMALHO</t>
  </si>
  <si>
    <t>PARAGUACU PAULISTA</t>
  </si>
  <si>
    <t>BORA</t>
  </si>
  <si>
    <t>LUTECIA</t>
  </si>
  <si>
    <t>OSCAR BRESSANE</t>
  </si>
  <si>
    <t>QUATA</t>
  </si>
  <si>
    <t>ASSISTENCIA (RIO CLARO)</t>
  </si>
  <si>
    <t>TARUMA</t>
  </si>
  <si>
    <t>ECHAPORA</t>
  </si>
  <si>
    <t>MARACAI</t>
  </si>
  <si>
    <t>CRUZALIA</t>
  </si>
  <si>
    <t>PEDRINHAS PAULISTA</t>
  </si>
  <si>
    <t>FLORINEA</t>
  </si>
  <si>
    <t>CANDIDO MOTA</t>
  </si>
  <si>
    <t>OURINHOS</t>
  </si>
  <si>
    <t>SALTO GRANDE</t>
  </si>
  <si>
    <t>RIBEIRAO DO SUL</t>
  </si>
  <si>
    <t>IBIRAREMA</t>
  </si>
  <si>
    <t>CAMPOS NOVOS PAULISTA</t>
  </si>
  <si>
    <t>PALMITAL</t>
  </si>
  <si>
    <t>PLATINA</t>
  </si>
  <si>
    <t>RIO DE JANEIRO</t>
  </si>
  <si>
    <t>RJ</t>
  </si>
  <si>
    <t>ITAGUAI</t>
  </si>
  <si>
    <t>MANGARATIBA</t>
  </si>
  <si>
    <t>VILA MURIQUI (MANGARATIBA)</t>
  </si>
  <si>
    <t>SEROPEDICA</t>
  </si>
  <si>
    <t>ILHA GRANDE (ANGRA DOS REIS)</t>
  </si>
  <si>
    <t>PARATY</t>
  </si>
  <si>
    <t>NITEROI</t>
  </si>
  <si>
    <t>SAO GONCALO</t>
  </si>
  <si>
    <t>ITABORAI</t>
  </si>
  <si>
    <t>TANGUA</t>
  </si>
  <si>
    <t>MARICA</t>
  </si>
  <si>
    <t>DUQUE DE CAXIAS</t>
  </si>
  <si>
    <t>SAO JOAO DE MERITI</t>
  </si>
  <si>
    <t>PETROPOLIS</t>
  </si>
  <si>
    <t>SAO JOSE DO VALE DO RIO PRETO</t>
  </si>
  <si>
    <t>BEMPOSTA (TRES RIOS)</t>
  </si>
  <si>
    <t>WERNECK (PARAIBA DO SUL)</t>
  </si>
  <si>
    <t>COMENDADOR LEVY GASPARIAN</t>
  </si>
  <si>
    <t>SAPUCAIA</t>
  </si>
  <si>
    <t>ANTA (SAPUCAIA)</t>
  </si>
  <si>
    <t>MAGE</t>
  </si>
  <si>
    <t>GUAPIMIRIM</t>
  </si>
  <si>
    <t>NHUNGUACU (TERESOPOLIS)</t>
  </si>
  <si>
    <t>NOVA IGUACU</t>
  </si>
  <si>
    <t>BELFORD ROXO</t>
  </si>
  <si>
    <t>QUEIMADOS</t>
  </si>
  <si>
    <t>JAPERI</t>
  </si>
  <si>
    <t>NILOPOLIS</t>
  </si>
  <si>
    <t>MESQUITA</t>
  </si>
  <si>
    <t>PARACAMBI</t>
  </si>
  <si>
    <t>ENGENHEIRO PAULO DE FRONTIN</t>
  </si>
  <si>
    <t>SACRA FAMILIA DO TINGUA (ENGENHEIRO PAULO DE FRONTIN)</t>
  </si>
  <si>
    <t>MENDES</t>
  </si>
  <si>
    <t>MIGUEL PEREIRA</t>
  </si>
  <si>
    <t>PATY DO ALFERES</t>
  </si>
  <si>
    <t>VARGEM ALEGRE (BARRA DO PIRAI)</t>
  </si>
  <si>
    <t>PIRAI</t>
  </si>
  <si>
    <t>MONUMENTO (PIRAI)</t>
  </si>
  <si>
    <t>PINHEIRAL</t>
  </si>
  <si>
    <t>VOLTA REDONDA</t>
  </si>
  <si>
    <t>BARRA MANSA</t>
  </si>
  <si>
    <t>QUATIS</t>
  </si>
  <si>
    <t>GETULUNDIA (RIO CLARO)</t>
  </si>
  <si>
    <t>PIRANGAI (RESENDE)</t>
  </si>
  <si>
    <t>PORTO REAL</t>
  </si>
  <si>
    <t>ITATIAIA</t>
  </si>
  <si>
    <t>PENEDO (ITATIAIA)</t>
  </si>
  <si>
    <t>VALENCA</t>
  </si>
  <si>
    <t>PENTAGNA (VALENCA)</t>
  </si>
  <si>
    <t>TABOAS (RIO DAS FLORES)</t>
  </si>
  <si>
    <t>VASSOURAS</t>
  </si>
  <si>
    <t>CACHOEIROS (MACAE)</t>
  </si>
  <si>
    <t>CARAPEBUS</t>
  </si>
  <si>
    <t>MORANGABA (CAMPOS DOS GOYTACAZES)</t>
  </si>
  <si>
    <t>CAMPOS DOS GOYTACAZES</t>
  </si>
  <si>
    <t>CARDOSO MOREIRA</t>
  </si>
  <si>
    <t>SAO JOAO DA BARRA</t>
  </si>
  <si>
    <t>BARCELOS (SAO JOAO DA BARRA)</t>
  </si>
  <si>
    <t>SAO FRANCISCO DE ITABAPOANA</t>
  </si>
  <si>
    <t>ITABAPOANA (SAO FRANCISCO DE ITABAPOANA)</t>
  </si>
  <si>
    <t>ITALVA</t>
  </si>
  <si>
    <t>ITAPERUNA</t>
  </si>
  <si>
    <t>ITAJARA (ITAPERUNA)</t>
  </si>
  <si>
    <t>PIRAPETINGA DE BOM JESUS (BOM JESUS DO ITABAPOANA)</t>
  </si>
  <si>
    <t>VARRE SAI</t>
  </si>
  <si>
    <t>BOM JESUS DO QUERENDO (NATIVIDADE)</t>
  </si>
  <si>
    <t>PURILUNDIA (PORCIUNCULA)</t>
  </si>
  <si>
    <t>SAO FIDELIS</t>
  </si>
  <si>
    <t>COLONIA (SAO FIDELIS)</t>
  </si>
  <si>
    <t>CAMBUCI</t>
  </si>
  <si>
    <t>TRES IRMAOS (CAMBUCI)</t>
  </si>
  <si>
    <t>SAO JOSE DE UBA</t>
  </si>
  <si>
    <t>PARAISO DO TOBIAS (MIRACEMA)</t>
  </si>
  <si>
    <t>SANTO ANTONIO DE PADUA</t>
  </si>
  <si>
    <t>SANTA CRUZ (SANTO ANTONIO DE PADUA)</t>
  </si>
  <si>
    <t>APERIBE</t>
  </si>
  <si>
    <t>SANTA RITA DA FLORESTA (CANTAGALO)</t>
  </si>
  <si>
    <t>CORDEIRO</t>
  </si>
  <si>
    <t>MACUCO</t>
  </si>
  <si>
    <t>IPITUNA (SAO SEBASTIAO DO ALTO)</t>
  </si>
  <si>
    <t>JAGUAREMBE (ITAOCARA)</t>
  </si>
  <si>
    <t>NOVA FRIBURGO</t>
  </si>
  <si>
    <t>SUMIDOURO</t>
  </si>
  <si>
    <t>CARMO</t>
  </si>
  <si>
    <t>DUAS BARRAS</t>
  </si>
  <si>
    <t>MONNERAT (DUAS BARRAS)</t>
  </si>
  <si>
    <t>BOM JARDIM</t>
  </si>
  <si>
    <t>CACHOEIRAS DE MACACU</t>
  </si>
  <si>
    <t>SUBAIO (CACHOEIRAS DE MACACU)</t>
  </si>
  <si>
    <t>QUISSAMA</t>
  </si>
  <si>
    <t>CONCEICAO DE MACABU</t>
  </si>
  <si>
    <t>TRAJANO DE MORAES</t>
  </si>
  <si>
    <t>SODRELANDIA (TRAJANO DE MORAES)</t>
  </si>
  <si>
    <t>SANTA MARIA MADALENA</t>
  </si>
  <si>
    <t>RIO BONITO</t>
  </si>
  <si>
    <t>SILVA JARDIM</t>
  </si>
  <si>
    <t>CASIMIRO DE ABREU</t>
  </si>
  <si>
    <t>BARRA DE SAO JOAO (CASIMIRO DE ABREU)</t>
  </si>
  <si>
    <t>RIO DAS OSTRAS</t>
  </si>
  <si>
    <t>TAMOIOS (CABO FRIO)</t>
  </si>
  <si>
    <t>ARRAIAL DO CABO</t>
  </si>
  <si>
    <t>SAO PEDRO DA ALDEIA</t>
  </si>
  <si>
    <t>ARMACAO DOS BUZIOS</t>
  </si>
  <si>
    <t>IGUABA GRANDE</t>
  </si>
  <si>
    <t>ARARUAMA</t>
  </si>
  <si>
    <t>SAMPAIO CORREIA (SAQUAREMA)</t>
  </si>
  <si>
    <t>SAQUAREMA</t>
  </si>
  <si>
    <t>VITORIA</t>
  </si>
  <si>
    <t>ES</t>
  </si>
  <si>
    <t>VILA VELHA</t>
  </si>
  <si>
    <t>ARACATIBA (VIANA)</t>
  </si>
  <si>
    <t>CARIACICA</t>
  </si>
  <si>
    <t>SERRA PELADA</t>
  </si>
  <si>
    <t>FUNDAO</t>
  </si>
  <si>
    <t>ARACRUZ</t>
  </si>
  <si>
    <t>GUARAPARI</t>
  </si>
  <si>
    <t>ANCHIETA</t>
  </si>
  <si>
    <t>ALFREDO CHAVES</t>
  </si>
  <si>
    <t>MARECHAL FLORIANO</t>
  </si>
  <si>
    <t>DOMINGOS MARTINS</t>
  </si>
  <si>
    <t>ICONHA</t>
  </si>
  <si>
    <t>PIUMA</t>
  </si>
  <si>
    <t>RIO NOVO DO SUL</t>
  </si>
  <si>
    <t>VARGEM ALTA</t>
  </si>
  <si>
    <t>CONDURU (CACHOEIRO DE ITAPEMIRIM)</t>
  </si>
  <si>
    <t>ITAPEMIRIM</t>
  </si>
  <si>
    <t>MARATAIZES</t>
  </si>
  <si>
    <t>PRESIDENTE KENNEDY</t>
  </si>
  <si>
    <t>CASTELO</t>
  </si>
  <si>
    <t>CONCEICAO DO CASTELO</t>
  </si>
  <si>
    <t>VENDA NOVA DO IMIGRANTE</t>
  </si>
  <si>
    <t>MUNIZ FREIRE</t>
  </si>
  <si>
    <t>IUNA</t>
  </si>
  <si>
    <t>IBATIBA</t>
  </si>
  <si>
    <t>IRUPI</t>
  </si>
  <si>
    <t>MIMOSO DO SUL</t>
  </si>
  <si>
    <t>APIACA</t>
  </si>
  <si>
    <t>BOM JESUS DO NORTE</t>
  </si>
  <si>
    <t>SAO JOSE DO CALCADO</t>
  </si>
  <si>
    <t>MUQUI</t>
  </si>
  <si>
    <t>ATILIO VIVACQUA</t>
  </si>
  <si>
    <t>ALEGRE</t>
  </si>
  <si>
    <t>IBITIRAMA</t>
  </si>
  <si>
    <t>JERONIMO MONTEIRO</t>
  </si>
  <si>
    <t>GUACUI</t>
  </si>
  <si>
    <t>DORES DO RIO PRETO</t>
  </si>
  <si>
    <t>DIVINO DE SAO LOURENCO</t>
  </si>
  <si>
    <t>AFONSO CLAUDIO</t>
  </si>
  <si>
    <t>LARANJA DA TERRA</t>
  </si>
  <si>
    <t>ITARANA</t>
  </si>
  <si>
    <t>BREJETUBA</t>
  </si>
  <si>
    <t>SANTA LEOPOLDINA</t>
  </si>
  <si>
    <t>SANTA MARIA DE JETIBA</t>
  </si>
  <si>
    <t>SANTA TERESA</t>
  </si>
  <si>
    <t>SAO ROQUE DO CANAA</t>
  </si>
  <si>
    <t>IBIRACU</t>
  </si>
  <si>
    <t>JOAO NEIVA</t>
  </si>
  <si>
    <t>ITAGUACU</t>
  </si>
  <si>
    <t>BAUNILHA (COLATINA)</t>
  </si>
  <si>
    <t>GOVERNADOR LINDENBERG</t>
  </si>
  <si>
    <t>MARILANDIA</t>
  </si>
  <si>
    <t>BAIXO GUANDU</t>
  </si>
  <si>
    <t>SAO DOMINGOS DO NORTE</t>
  </si>
  <si>
    <t>PANCAS</t>
  </si>
  <si>
    <t>ALTO RIO NOVO</t>
  </si>
  <si>
    <t>MANTENOPOLIS</t>
  </si>
  <si>
    <t>SAO GABRIEL DA PALHA</t>
  </si>
  <si>
    <t>VILA VALERIO</t>
  </si>
  <si>
    <t>AGUIA BRANCA</t>
  </si>
  <si>
    <t>BARRA DE SAO FRANCISCO</t>
  </si>
  <si>
    <t>AGUA DOCE DO NORTE</t>
  </si>
  <si>
    <t>NOVA VENECIA</t>
  </si>
  <si>
    <t>VILA PAVAO</t>
  </si>
  <si>
    <t>BOA ESPERANCA</t>
  </si>
  <si>
    <t>ECOPORANGA</t>
  </si>
  <si>
    <t>MUCURICI</t>
  </si>
  <si>
    <t>PONTO BELO</t>
  </si>
  <si>
    <t>MONTANHA</t>
  </si>
  <si>
    <t>LINHARES</t>
  </si>
  <si>
    <t>RIO BANANAL</t>
  </si>
  <si>
    <t>SOORETAMA</t>
  </si>
  <si>
    <t>SAO MATEUS</t>
  </si>
  <si>
    <t>JAGUARE</t>
  </si>
  <si>
    <t>CONCEICAO DA BARRA</t>
  </si>
  <si>
    <t>PEDRO CANARIO</t>
  </si>
  <si>
    <t>PINHEIROS</t>
  </si>
  <si>
    <t>BELO HORIZONTE</t>
  </si>
  <si>
    <t>MG</t>
  </si>
  <si>
    <t>CONTAGEM</t>
  </si>
  <si>
    <t>IBIRITE</t>
  </si>
  <si>
    <t>SARZEDO</t>
  </si>
  <si>
    <t>MARIO CAMPOS</t>
  </si>
  <si>
    <t>BETIM</t>
  </si>
  <si>
    <t>IGARAPE</t>
  </si>
  <si>
    <t>SAO JOAQUIM DE BICAS</t>
  </si>
  <si>
    <t>SANTA LUZIA (CARATINGA)</t>
  </si>
  <si>
    <t>VESPASIANO</t>
  </si>
  <si>
    <t>SAO JOSE DA LAPA</t>
  </si>
  <si>
    <t>LAGOA SANTA</t>
  </si>
  <si>
    <t>CONFINS</t>
  </si>
  <si>
    <t>PEDRO LEOPOLDO</t>
  </si>
  <si>
    <t>RIBEIRAO DAS NEVES</t>
  </si>
  <si>
    <t>TAQUARACU DE MINAS</t>
  </si>
  <si>
    <t>NOVA LIMA</t>
  </si>
  <si>
    <t>RIO ACIMA</t>
  </si>
  <si>
    <t>RAPOSOS</t>
  </si>
  <si>
    <t>RAVENA (SABARA)</t>
  </si>
  <si>
    <t>CAETE</t>
  </si>
  <si>
    <t>NOVA UNIAO</t>
  </si>
  <si>
    <t>ALTO DE SANTA HELENA (GOVERNADOR VALADARES)</t>
  </si>
  <si>
    <t>MATHIAS LOBATO</t>
  </si>
  <si>
    <t>FREI INOCENCIO</t>
  </si>
  <si>
    <t>NOVA MODICA</t>
  </si>
  <si>
    <t>PESCADOR</t>
  </si>
  <si>
    <t>MARILAC</t>
  </si>
  <si>
    <t>NAQUE</t>
  </si>
  <si>
    <t>PERIQUITO</t>
  </si>
  <si>
    <t>ITANHOMI</t>
  </si>
  <si>
    <t>CAPITAO ANDRADE</t>
  </si>
  <si>
    <t>TUMIRITINGA</t>
  </si>
  <si>
    <t>ENGENHEIRO CALDAS</t>
  </si>
  <si>
    <t>FERNANDES TOURINHO</t>
  </si>
  <si>
    <t>ALPERCATA</t>
  </si>
  <si>
    <t>TARUMIRIM</t>
  </si>
  <si>
    <t>SOBRALIA</t>
  </si>
  <si>
    <t>SAO JOAO DO ORIENTE</t>
  </si>
  <si>
    <t>ACUCENA</t>
  </si>
  <si>
    <t>DOM CAVATI</t>
  </si>
  <si>
    <t>IPATINGA</t>
  </si>
  <si>
    <t>CORONEL FABRICIANO</t>
  </si>
  <si>
    <t>ANTONIO DIAS</t>
  </si>
  <si>
    <t>SANTANA DO PARAISO</t>
  </si>
  <si>
    <t>TIMOTEO</t>
  </si>
  <si>
    <t>MARLIERIA</t>
  </si>
  <si>
    <t>JAGUARACU</t>
  </si>
  <si>
    <t>BRAUNAS</t>
  </si>
  <si>
    <t>IAPU</t>
  </si>
  <si>
    <t>BUGRE</t>
  </si>
  <si>
    <t>JOANESIA</t>
  </si>
  <si>
    <t>BELO ORIENTE</t>
  </si>
  <si>
    <t>IPABA</t>
  </si>
  <si>
    <t>VARGEM ALEGRE</t>
  </si>
  <si>
    <t>AIMORES</t>
  </si>
  <si>
    <t>ITUETA</t>
  </si>
  <si>
    <t>SANTA RITA DO ITUETO</t>
  </si>
  <si>
    <t>RESPLENDOR</t>
  </si>
  <si>
    <t>CONSELHEIRO PENA</t>
  </si>
  <si>
    <t>CUPARAQUE</t>
  </si>
  <si>
    <t>GOIABEIRA</t>
  </si>
  <si>
    <t>ALVARENGA</t>
  </si>
  <si>
    <t>GALILEIA</t>
  </si>
  <si>
    <t>SAO GERALDO DO BAIXIO</t>
  </si>
  <si>
    <t>CENTRAL DE MINAS</t>
  </si>
  <si>
    <t>DIVINO DAS LARANJEIRAS</t>
  </si>
  <si>
    <t>MENDES PIMENTEL</t>
  </si>
  <si>
    <t>SAO FELIX DE MINAS</t>
  </si>
  <si>
    <t>SAO JOAO DO MANTENINHA</t>
  </si>
  <si>
    <t>ITABIRINHA</t>
  </si>
  <si>
    <t>MANTENA</t>
  </si>
  <si>
    <t>NOVA BELEM</t>
  </si>
  <si>
    <t>PATROCINIO DE CARATINGA (CARATINGA)</t>
  </si>
  <si>
    <t>IMBE DE MINAS</t>
  </si>
  <si>
    <t>ENTRE FOLHAS</t>
  </si>
  <si>
    <t>PIEDADE DE CARATINGA</t>
  </si>
  <si>
    <t>SANTA RITA DE MINAS</t>
  </si>
  <si>
    <t>SANTA BARBARA DO LESTE</t>
  </si>
  <si>
    <t>INHAPIM</t>
  </si>
  <si>
    <t>SAO SEBASTIAO DO ANTA</t>
  </si>
  <si>
    <t>SAO DOMINGOS DAS DORES</t>
  </si>
  <si>
    <t>UBAPORANGA</t>
  </si>
  <si>
    <t>BOM JESUS DO GALHO</t>
  </si>
  <si>
    <t>CORREGO NOVO</t>
  </si>
  <si>
    <t>PINGO D'AGUA</t>
  </si>
  <si>
    <t>RAUL SOARES</t>
  </si>
  <si>
    <t>VERMELHO NOVO</t>
  </si>
  <si>
    <t>SAO PEDRO DOS FERROS</t>
  </si>
  <si>
    <t>PEDRA BONITA</t>
  </si>
  <si>
    <t>ABRE CAMPO</t>
  </si>
  <si>
    <t>MATIPO</t>
  </si>
  <si>
    <t>SERICITA</t>
  </si>
  <si>
    <t>RIO CASCA</t>
  </si>
  <si>
    <t>URUCANIA</t>
  </si>
  <si>
    <t>PIEDADE DE PONTE NOVA</t>
  </si>
  <si>
    <t>SANTA CRUZ DO ESCALVADO</t>
  </si>
  <si>
    <t>SANTO ANTONIO DO GRAMA</t>
  </si>
  <si>
    <t>JEQUERI</t>
  </si>
  <si>
    <t>OURO PRETO</t>
  </si>
  <si>
    <t>MARIANA</t>
  </si>
  <si>
    <t>ROSARIO DO PONTAL (PONTE NOVA)</t>
  </si>
  <si>
    <t>GUARACIABA</t>
  </si>
  <si>
    <t>DIOGO DE VASCONCELOS</t>
  </si>
  <si>
    <t>ACAIACA</t>
  </si>
  <si>
    <t>ORATORIOS</t>
  </si>
  <si>
    <t>DOM SILVERIO</t>
  </si>
  <si>
    <t>SEM-PEIXE</t>
  </si>
  <si>
    <t>RIO DOCE</t>
  </si>
  <si>
    <t>AMPARO DO SERRA</t>
  </si>
  <si>
    <t>BARRA LONGA</t>
  </si>
  <si>
    <t>ITABIRITO</t>
  </si>
  <si>
    <t>BRUMADINHO</t>
  </si>
  <si>
    <t>MOEDA</t>
  </si>
  <si>
    <t>BELO VALE</t>
  </si>
  <si>
    <t>PIEDADE DOS GERAIS</t>
  </si>
  <si>
    <t>CRUCILANDIA</t>
  </si>
  <si>
    <t>BONFIM</t>
  </si>
  <si>
    <t>RIO MANSO</t>
  </si>
  <si>
    <t>ITAGUARA</t>
  </si>
  <si>
    <t>ENTRE RIOS DE MINAS</t>
  </si>
  <si>
    <t>DESTERRO DE ENTRE RIOS</t>
  </si>
  <si>
    <t>SAO BRAS DO SUACUI</t>
  </si>
  <si>
    <t>JECEABA</t>
  </si>
  <si>
    <t>SANTO ANTONIO DOS CAMPOS (DIVINOPOLIS)</t>
  </si>
  <si>
    <t>BOA VISTA DE MINAS (NOVA SERRANA)</t>
  </si>
  <si>
    <t>CLAUDIO</t>
  </si>
  <si>
    <t>CARMOPOLIS DE MINAS</t>
  </si>
  <si>
    <t>PIRACEMA</t>
  </si>
  <si>
    <t>PASSA TEMPO</t>
  </si>
  <si>
    <t>OLIVEIRA</t>
  </si>
  <si>
    <t>SAO FRANCISCO DE PAULA</t>
  </si>
  <si>
    <t>SAO GONCALO DO PARA</t>
  </si>
  <si>
    <t>PERDIGAO</t>
  </si>
  <si>
    <t>CARMO DA MATA</t>
  </si>
  <si>
    <t>ITAPECERICA</t>
  </si>
  <si>
    <t>CAMACHO</t>
  </si>
  <si>
    <t>CARMO DO CAJURU</t>
  </si>
  <si>
    <t>SANTO ANTONIO DO MONTE</t>
  </si>
  <si>
    <t>PEDRA DO INDAIA</t>
  </si>
  <si>
    <t>SAO SEBASTIAO DO OESTE</t>
  </si>
  <si>
    <t>CORREGO FUNDO</t>
  </si>
  <si>
    <t>BAIOES (FORMIGA)</t>
  </si>
  <si>
    <t>JAPARAIBA</t>
  </si>
  <si>
    <t>PAINS</t>
  </si>
  <si>
    <t>PIMENTA</t>
  </si>
  <si>
    <t>ARCOS</t>
  </si>
  <si>
    <t>LAGOA DA PRATA</t>
  </si>
  <si>
    <t>LUZ</t>
  </si>
  <si>
    <t>BOM DESPACHO</t>
  </si>
  <si>
    <t>ARAUJOS</t>
  </si>
  <si>
    <t>MOEMA</t>
  </si>
  <si>
    <t>MARTINHO CAMPOS</t>
  </si>
  <si>
    <t>DORES DO INDAIA</t>
  </si>
  <si>
    <t>ESTRELA DO INDAIA</t>
  </si>
  <si>
    <t>SERRA DA SAUDADE</t>
  </si>
  <si>
    <t>ABAETE</t>
  </si>
  <si>
    <t>BIQUINHAS</t>
  </si>
  <si>
    <t>PAINEIRAS</t>
  </si>
  <si>
    <t>CEDRO DO ABAETE</t>
  </si>
  <si>
    <t>QUARTEL GERAL</t>
  </si>
  <si>
    <t>MORADA NOVA DE MINAS</t>
  </si>
  <si>
    <t>POMPEU</t>
  </si>
  <si>
    <t>PITANGUI</t>
  </si>
  <si>
    <t>ONCA DE PITANGUI</t>
  </si>
  <si>
    <t>LEANDRO FERREIRA</t>
  </si>
  <si>
    <t>CARIOCA (PARA DE MINAS)</t>
  </si>
  <si>
    <t>MARAVILHAS</t>
  </si>
  <si>
    <t>PEQUI</t>
  </si>
  <si>
    <t>CONCEICAO DO PARA</t>
  </si>
  <si>
    <t>PAPAGAIOS</t>
  </si>
  <si>
    <t>MATEUS LEME</t>
  </si>
  <si>
    <t>JUATUBA</t>
  </si>
  <si>
    <t>ITAUNA</t>
  </si>
  <si>
    <t>ITATIAIUCU</t>
  </si>
  <si>
    <t>FLORESTAL</t>
  </si>
  <si>
    <t>SAO JOSE DA VARGINHA</t>
  </si>
  <si>
    <t>IGARATINGA</t>
  </si>
  <si>
    <t>SILVA XAVIER (SETE LAGOAS)</t>
  </si>
  <si>
    <t>MATOZINHOS</t>
  </si>
  <si>
    <t>CAPIM BRANCO</t>
  </si>
  <si>
    <t>BALDIM</t>
  </si>
  <si>
    <t>FUNILANDIA</t>
  </si>
  <si>
    <t>PRUDENTE DE MORAIS</t>
  </si>
  <si>
    <t>ESMERALDAS</t>
  </si>
  <si>
    <t>FORTUNA DE MINAS</t>
  </si>
  <si>
    <t>INHAUMA</t>
  </si>
  <si>
    <t>CACHOEIRA DA PRATA</t>
  </si>
  <si>
    <t>JEQUITIBA</t>
  </si>
  <si>
    <t>CAETANOPOLIS</t>
  </si>
  <si>
    <t>PARAOPEBA</t>
  </si>
  <si>
    <t>ARACAI</t>
  </si>
  <si>
    <t>CORDISBURGO</t>
  </si>
  <si>
    <t>SANTANA DE PIRAPAMA</t>
  </si>
  <si>
    <t>CURVELO</t>
  </si>
  <si>
    <t>FERROS</t>
  </si>
  <si>
    <t>PASSABEM</t>
  </si>
  <si>
    <t>SAO SEBASTIAO DO RIO PRETO</t>
  </si>
  <si>
    <t>ITAMBE DO MATO DENTRO</t>
  </si>
  <si>
    <t>JABOTICATUBAS</t>
  </si>
  <si>
    <t>SANTANA DO RIACHO</t>
  </si>
  <si>
    <t>CONGONHAS DO NORTE</t>
  </si>
  <si>
    <t>CONCEICAO DO MATO DENTRO</t>
  </si>
  <si>
    <t>DOM JOAQUIM</t>
  </si>
  <si>
    <t>MORRO DO PILAR</t>
  </si>
  <si>
    <t>CARMESIA</t>
  </si>
  <si>
    <t>SANTO ANTONIO DO RIO ABAIXO</t>
  </si>
  <si>
    <t>DORES DE GUANHAES</t>
  </si>
  <si>
    <t>SENHORA DO CARMO (ITABIRA)</t>
  </si>
  <si>
    <t>BOM JESUS DO AMPARO</t>
  </si>
  <si>
    <t>SANTA MARIA DE ITABIRA</t>
  </si>
  <si>
    <t>NOVA ERA</t>
  </si>
  <si>
    <t>JOAO MONLEVADE</t>
  </si>
  <si>
    <t>SAO GONCALO DO RIO ABAIXO</t>
  </si>
  <si>
    <t>BELA VISTA DE MINAS</t>
  </si>
  <si>
    <t>RIO PIRACICABA</t>
  </si>
  <si>
    <t>ALVINOPOLIS</t>
  </si>
  <si>
    <t>SANTA BARBARA</t>
  </si>
  <si>
    <t>CATAS ALTAS</t>
  </si>
  <si>
    <t>BARAO DE COCAIS</t>
  </si>
  <si>
    <t>DIONISIO</t>
  </si>
  <si>
    <t>SAO JOSE DO GOIABAL</t>
  </si>
  <si>
    <t>SAO DOMINGOS DO PRATA</t>
  </si>
  <si>
    <t>SARANDIRA (JUIZ DE FORA)</t>
  </si>
  <si>
    <t>EWBANK DA CAMARA</t>
  </si>
  <si>
    <t>CHACARA</t>
  </si>
  <si>
    <t>MATIAS BARBOSA</t>
  </si>
  <si>
    <t>SIMAO PEREIRA</t>
  </si>
  <si>
    <t>BELMIRO BRAGA</t>
  </si>
  <si>
    <t>RIO PRETO</t>
  </si>
  <si>
    <t>SANTA BARBARA DO MONTE VERDE</t>
  </si>
  <si>
    <t>SANTA RITA DE JACUTINGA</t>
  </si>
  <si>
    <t>LIMA DUARTE</t>
  </si>
  <si>
    <t>OLARIA</t>
  </si>
  <si>
    <t>SANTANA DO GARAMBEU</t>
  </si>
  <si>
    <t>PEDRO TEIXEIRA</t>
  </si>
  <si>
    <t>RIO NOVO</t>
  </si>
  <si>
    <t>GOIANA</t>
  </si>
  <si>
    <t>CORONEL PACHECO</t>
  </si>
  <si>
    <t>PIAU</t>
  </si>
  <si>
    <t>GUARANI</t>
  </si>
  <si>
    <t>TABULEIRO</t>
  </si>
  <si>
    <t>PIRAUBA</t>
  </si>
  <si>
    <t>RIO POMBA</t>
  </si>
  <si>
    <t>SILVEIRANIA</t>
  </si>
  <si>
    <t>MERCES</t>
  </si>
  <si>
    <t>PAIVA</t>
  </si>
  <si>
    <t>PONTO CHIQUE DO MARTELO (BARBACENA)</t>
  </si>
  <si>
    <t>DESTERRO DO MELO</t>
  </si>
  <si>
    <t>BARROSO</t>
  </si>
  <si>
    <t>DORES DE CAMPOS</t>
  </si>
  <si>
    <t>SANTA BARBARA DO TUGURIO</t>
  </si>
  <si>
    <t>ANTONIO CARLOS</t>
  </si>
  <si>
    <t>IBERTIOGA</t>
  </si>
  <si>
    <t>PIEDADE DO RIO GRANDE</t>
  </si>
  <si>
    <t>BIAS FORTES</t>
  </si>
  <si>
    <t>SANTA RITA DE IBITIPOCA</t>
  </si>
  <si>
    <t>SANTOS DUMONT</t>
  </si>
  <si>
    <t>OLIVEIRA FORTES</t>
  </si>
  <si>
    <t>ARACITABA</t>
  </si>
  <si>
    <t>ALTO RIO DOCE</t>
  </si>
  <si>
    <t>CIPOTANEA</t>
  </si>
  <si>
    <t>RESSAQUINHA</t>
  </si>
  <si>
    <t>ALFREDO VASCONCELOS</t>
  </si>
  <si>
    <t>SENHORA DOS REMEDIOS</t>
  </si>
  <si>
    <t>CARANDAI</t>
  </si>
  <si>
    <t>CAPELA NOVA</t>
  </si>
  <si>
    <t>SAO MIGUEL DO CAJURU (SAO JOAO DEL REI)</t>
  </si>
  <si>
    <t>PRADOS</t>
  </si>
  <si>
    <t>TIRADENTES</t>
  </si>
  <si>
    <t>SANTA CRUZ DE MINAS</t>
  </si>
  <si>
    <t>CORONEL XAVIER CHAVES</t>
  </si>
  <si>
    <t>RITAPOLIS</t>
  </si>
  <si>
    <t>RESENDE COSTA</t>
  </si>
  <si>
    <t>LAGOA DOURADA</t>
  </si>
  <si>
    <t>SAO TIAGO</t>
  </si>
  <si>
    <t>CONCEICAO DA BARRA DE MINAS</t>
  </si>
  <si>
    <t>NAZARENO</t>
  </si>
  <si>
    <t>ITUTINGA</t>
  </si>
  <si>
    <t>ALMEIDAS (CONSELHEIRO LAFAIETE)</t>
  </si>
  <si>
    <t>LOBO LEITE (CONGONHAS)</t>
  </si>
  <si>
    <t>OURO BRANCO</t>
  </si>
  <si>
    <t>CASA GRANDE</t>
  </si>
  <si>
    <t>QUELUZITO</t>
  </si>
  <si>
    <t>CRISTIANO OTONI</t>
  </si>
  <si>
    <t>CARANAIBA</t>
  </si>
  <si>
    <t>SANTANA DOS MONTES</t>
  </si>
  <si>
    <t>ITAVERAVA</t>
  </si>
  <si>
    <t>CATAS ALTAS DA NORUEGA</t>
  </si>
  <si>
    <t>LAMIM</t>
  </si>
  <si>
    <t>RIO ESPERA</t>
  </si>
  <si>
    <t>SENHORA DE OLIVEIRA</t>
  </si>
  <si>
    <t>PIRANGA</t>
  </si>
  <si>
    <t>UBA</t>
  </si>
  <si>
    <t>RODEIRO</t>
  </si>
  <si>
    <t>TOCANTINS</t>
  </si>
  <si>
    <t>DORES DO TURVO</t>
  </si>
  <si>
    <t>GUIDOVAL</t>
  </si>
  <si>
    <t>VISCONDE DO RIO BRANCO</t>
  </si>
  <si>
    <t>GUIRICEMA</t>
  </si>
  <si>
    <t>SAO GERALDO</t>
  </si>
  <si>
    <t>SENADOR FIRMINO</t>
  </si>
  <si>
    <t>BRAS PIRES</t>
  </si>
  <si>
    <t>PAULA CANDIDO</t>
  </si>
  <si>
    <t>DIVINESIA</t>
  </si>
  <si>
    <t>COIMBRA</t>
  </si>
  <si>
    <t>ERVALIA</t>
  </si>
  <si>
    <t>CAJURI</t>
  </si>
  <si>
    <t>PORTO FIRME</t>
  </si>
  <si>
    <t>VICOSA</t>
  </si>
  <si>
    <t>TEIXEIRAS</t>
  </si>
  <si>
    <t>PEDRA DO ANTA</t>
  </si>
  <si>
    <t>SAO MIGUEL DO ANTA</t>
  </si>
  <si>
    <t>CANAA</t>
  </si>
  <si>
    <t>ARAPONGA</t>
  </si>
  <si>
    <t>BICAS</t>
  </si>
  <si>
    <t>ROCHEDO DE MINAS</t>
  </si>
  <si>
    <t>GUARARA</t>
  </si>
  <si>
    <t>MARIPA DE MINAS</t>
  </si>
  <si>
    <t>PEQUERI</t>
  </si>
  <si>
    <t>SANTANA DO DESERTO</t>
  </si>
  <si>
    <t>CHIADOR</t>
  </si>
  <si>
    <t>MAR DE ESPANHA</t>
  </si>
  <si>
    <t>SENADOR CORTES</t>
  </si>
  <si>
    <t>ALEM PARAIBA</t>
  </si>
  <si>
    <t>SANTO ANTONIO DO AVENTUREIRO</t>
  </si>
  <si>
    <t>SAO JOAO NEPOMUCENO</t>
  </si>
  <si>
    <t>DESCOBERTO</t>
  </si>
  <si>
    <t>RIBEIRO JUNQUEIRA (LEOPOLDINA)</t>
  </si>
  <si>
    <t>ARGIRITA</t>
  </si>
  <si>
    <t>VOLTA GRANDE</t>
  </si>
  <si>
    <t>ESTRELA DALVA</t>
  </si>
  <si>
    <t>PIRAPETINGA</t>
  </si>
  <si>
    <t>RECREIO</t>
  </si>
  <si>
    <t>PALMA</t>
  </si>
  <si>
    <t>LARANJAL</t>
  </si>
  <si>
    <t>ARACATI DE MINAS (CATAGUASES)</t>
  </si>
  <si>
    <t>ASTOLFO DUTRA</t>
  </si>
  <si>
    <t>DONA EUSEBIA</t>
  </si>
  <si>
    <t>ITAMARATI DE MINAS</t>
  </si>
  <si>
    <t>MIRAI</t>
  </si>
  <si>
    <t>SAO SEBASTIAO DA VARGEM ALEGRE</t>
  </si>
  <si>
    <t>SANTANA DE CATAGUASES</t>
  </si>
  <si>
    <t>CARANGOLA</t>
  </si>
  <si>
    <t>SAO FRANCISCO DO GLORIA</t>
  </si>
  <si>
    <t>FERVEDOURO</t>
  </si>
  <si>
    <t>DIVINO</t>
  </si>
  <si>
    <t>ORIZANIA</t>
  </si>
  <si>
    <t>ESPERA FELIZ</t>
  </si>
  <si>
    <t>CAIANA</t>
  </si>
  <si>
    <t>CAPARAO</t>
  </si>
  <si>
    <t>FARIA LEMOS</t>
  </si>
  <si>
    <t>TOMBOS</t>
  </si>
  <si>
    <t>PEDRA DOURADA</t>
  </si>
  <si>
    <t>ANTONIO PRADO DE MINAS</t>
  </si>
  <si>
    <t>EUGENOPOLIS</t>
  </si>
  <si>
    <t>PATROCINIO DO MURIAE</t>
  </si>
  <si>
    <t>BARAO DE MONTE ALTO</t>
  </si>
  <si>
    <t>ROSARIO DA LIMEIRA</t>
  </si>
  <si>
    <t>BELISARIO (MURIAE)</t>
  </si>
  <si>
    <t>MIRADOURO</t>
  </si>
  <si>
    <t>VIEIRAS</t>
  </si>
  <si>
    <t>REALEZA (MANHUACU)</t>
  </si>
  <si>
    <t>SANTA MARGARIDA</t>
  </si>
  <si>
    <t>SAO JOAO DO MANHUACU</t>
  </si>
  <si>
    <t>REDUTO</t>
  </si>
  <si>
    <t>LUISBURGO</t>
  </si>
  <si>
    <t>CAPUTIRA</t>
  </si>
  <si>
    <t>SIMONESIA</t>
  </si>
  <si>
    <t>SANTANA DO MANHUACU</t>
  </si>
  <si>
    <t>CONCEICAO DE IPANEMA</t>
  </si>
  <si>
    <t>IPANEMA</t>
  </si>
  <si>
    <t>TAPARUBA</t>
  </si>
  <si>
    <t>MUTUM</t>
  </si>
  <si>
    <t>POCRANE</t>
  </si>
  <si>
    <t>MANHUMIRIM</t>
  </si>
  <si>
    <t>MARTINS SOARES</t>
  </si>
  <si>
    <t>DURANDE</t>
  </si>
  <si>
    <t>ALTO JEQUITIBA</t>
  </si>
  <si>
    <t>ALTO CAPARAO</t>
  </si>
  <si>
    <t>LAJINHA</t>
  </si>
  <si>
    <t>CHALE</t>
  </si>
  <si>
    <t>SAO JOSE DO MANTIMENTO</t>
  </si>
  <si>
    <t>VARGINHA</t>
  </si>
  <si>
    <t>ELOI MENDES</t>
  </si>
  <si>
    <t>MONTE BELO</t>
  </si>
  <si>
    <t>PARAGUACU</t>
  </si>
  <si>
    <t>BARRANCO ALTO (ALFENAS)</t>
  </si>
  <si>
    <t>AREADO</t>
  </si>
  <si>
    <t>DIVISA NOVA</t>
  </si>
  <si>
    <t>SERRANIA</t>
  </si>
  <si>
    <t>FAMA</t>
  </si>
  <si>
    <t>ALTEROSA</t>
  </si>
  <si>
    <t>CONCEICAO DA APARECIDA</t>
  </si>
  <si>
    <t>CARMO DO RIO CLARO</t>
  </si>
  <si>
    <t>CAMPOS GERAIS</t>
  </si>
  <si>
    <t>CAMPO DO MEIO</t>
  </si>
  <si>
    <t>ILICINEA</t>
  </si>
  <si>
    <t>GUAPE</t>
  </si>
  <si>
    <t>TRES PONTAS</t>
  </si>
  <si>
    <t>SANTANA DA VARGEM</t>
  </si>
  <si>
    <t>LAVRAS NOVAS (OURO PRETO)</t>
  </si>
  <si>
    <t>ITUMIRIM</t>
  </si>
  <si>
    <t>INGAI</t>
  </si>
  <si>
    <t>IJACI</t>
  </si>
  <si>
    <t>BOM SUCESSO</t>
  </si>
  <si>
    <t>IBITURUNA</t>
  </si>
  <si>
    <t>CARMO DA CACHOEIRA</t>
  </si>
  <si>
    <t>COQUEIRAL</t>
  </si>
  <si>
    <t>LUMINARIAS</t>
  </si>
  <si>
    <t>CARRANCAS</t>
  </si>
  <si>
    <t>NEPOMUCENO</t>
  </si>
  <si>
    <t>PERDOES</t>
  </si>
  <si>
    <t>SANTO ANTONIO DO AMPARO</t>
  </si>
  <si>
    <t>RIBEIRAO VERMELHO</t>
  </si>
  <si>
    <t>CANA VERDE</t>
  </si>
  <si>
    <t>CAMPO BELO</t>
  </si>
  <si>
    <t>AGUANIL</t>
  </si>
  <si>
    <t>CRISTAIS</t>
  </si>
  <si>
    <t>SANTANA DO JACARE</t>
  </si>
  <si>
    <t>CANDEIAS</t>
  </si>
  <si>
    <t>ANDRELANDIA</t>
  </si>
  <si>
    <t>MADRE DE DEUS DE MINAS</t>
  </si>
  <si>
    <t>BOM JARDIM DE MINAS</t>
  </si>
  <si>
    <t>PASSA VINTE</t>
  </si>
  <si>
    <t>BOCAINA DE MINAS</t>
  </si>
  <si>
    <t>LIBERDADE</t>
  </si>
  <si>
    <t>ARANTINA</t>
  </si>
  <si>
    <t>SAO VICENTE DE MINAS</t>
  </si>
  <si>
    <t>CAMPANHA</t>
  </si>
  <si>
    <t>MONSENHOR PAULO</t>
  </si>
  <si>
    <t>SAO BENTO ABADE</t>
  </si>
  <si>
    <t>SAO THOME DAS LETRAS</t>
  </si>
  <si>
    <t>TRES CORACOES</t>
  </si>
  <si>
    <t>CAMBUQUIRA</t>
  </si>
  <si>
    <t>CONCEICAO DO RIO VERDE</t>
  </si>
  <si>
    <t>CAXAMBU</t>
  </si>
  <si>
    <t>BAEPENDI</t>
  </si>
  <si>
    <t>CRUZILIA</t>
  </si>
  <si>
    <t>MINDURI</t>
  </si>
  <si>
    <t>AIURUOCA</t>
  </si>
  <si>
    <t>SERRANOS</t>
  </si>
  <si>
    <t>SERITINGA</t>
  </si>
  <si>
    <t>CARVALHOS</t>
  </si>
  <si>
    <t>ALAGOA</t>
  </si>
  <si>
    <t>PASSA QUATRO</t>
  </si>
  <si>
    <t>ITANHANDU</t>
  </si>
  <si>
    <t>VIRGINIA</t>
  </si>
  <si>
    <t>ITAMONTE</t>
  </si>
  <si>
    <t>SAO SEBASTIAO DO RIO VERDE</t>
  </si>
  <si>
    <t>POUSO ALTO</t>
  </si>
  <si>
    <t>SAO LOURENCO</t>
  </si>
  <si>
    <t>CARMO DE MINAS</t>
  </si>
  <si>
    <t>DOM VICOSO</t>
  </si>
  <si>
    <t>CRISTINA</t>
  </si>
  <si>
    <t>SOLEDADE DE MINAS</t>
  </si>
  <si>
    <t>LAMBARI</t>
  </si>
  <si>
    <t>HELIODORA</t>
  </si>
  <si>
    <t>JESUANIA</t>
  </si>
  <si>
    <t>OLIMPIO NORONHA</t>
  </si>
  <si>
    <t>SAO GONCALO DO SAPUCAI</t>
  </si>
  <si>
    <t>TURVOLANDIA</t>
  </si>
  <si>
    <t>CORDISLANDIA</t>
  </si>
  <si>
    <t>SAO JOSE DO RIO MANSO (ITAJUBA)</t>
  </si>
  <si>
    <t>PIRANGUINHO</t>
  </si>
  <si>
    <t>SAO JOSE DO ALEGRE</t>
  </si>
  <si>
    <t>PIRANGUCU</t>
  </si>
  <si>
    <t>WENCESLAU BRAZ</t>
  </si>
  <si>
    <t>DELFIM MOREIRA</t>
  </si>
  <si>
    <t>MARMELOPOLIS</t>
  </si>
  <si>
    <t>MARIA DA FE</t>
  </si>
  <si>
    <t>PEDRALVA</t>
  </si>
  <si>
    <t>NATERCIA</t>
  </si>
  <si>
    <t>CONCEICAO DAS PEDRAS</t>
  </si>
  <si>
    <t>BRAZOPOLIS</t>
  </si>
  <si>
    <t>SANTA RITA DO SAPUCAI</t>
  </si>
  <si>
    <t>ESTIVA</t>
  </si>
  <si>
    <t>CACHOEIRA DE MINAS</t>
  </si>
  <si>
    <t>CONCEICAO DOS OUROS</t>
  </si>
  <si>
    <t>SAO JOSE DO PUNTANO (POUSO ALEGRE)</t>
  </si>
  <si>
    <t>TOCOS DO MOJI</t>
  </si>
  <si>
    <t>BORDA DA MATA</t>
  </si>
  <si>
    <t>ESPIRITO SANTO DO DOURADO</t>
  </si>
  <si>
    <t>SAO SEBASTIAO DA BELA VISTA</t>
  </si>
  <si>
    <t>SAO JOAO DA MATA</t>
  </si>
  <si>
    <t>OURO FINO</t>
  </si>
  <si>
    <t>INCONFIDENTES</t>
  </si>
  <si>
    <t>BUENO BRANDAO</t>
  </si>
  <si>
    <t>MONTE SIAO</t>
  </si>
  <si>
    <t>CAREACU</t>
  </si>
  <si>
    <t>CONGONHAL</t>
  </si>
  <si>
    <t>SENADOR JOSE BENTO</t>
  </si>
  <si>
    <t>IPUIUNA</t>
  </si>
  <si>
    <t>SILVIANOPOLIS</t>
  </si>
  <si>
    <t>JACUTINGA</t>
  </si>
  <si>
    <t>ALBERTINA</t>
  </si>
  <si>
    <t>CAMBUI</t>
  </si>
  <si>
    <t>CORREGO DO BOM JESUS</t>
  </si>
  <si>
    <t>BOM REPOUSO</t>
  </si>
  <si>
    <t>SENADOR AMARAL</t>
  </si>
  <si>
    <t>MUNHOZ</t>
  </si>
  <si>
    <t>TOLEDO</t>
  </si>
  <si>
    <t>EXTREMA</t>
  </si>
  <si>
    <t>CAMANDUCAIA</t>
  </si>
  <si>
    <t>ITAPEVA</t>
  </si>
  <si>
    <t>PARAISOPOLIS</t>
  </si>
  <si>
    <t>CONSOLACAO</t>
  </si>
  <si>
    <t>GONCALVES</t>
  </si>
  <si>
    <t>SAPUCAI-MIRIM</t>
  </si>
  <si>
    <t>POCOS DE CALDAS</t>
  </si>
  <si>
    <t>BOTELHOS</t>
  </si>
  <si>
    <t>CAMPESTRE</t>
  </si>
  <si>
    <t>BANDEIRA DO SUL</t>
  </si>
  <si>
    <t>MACHADO</t>
  </si>
  <si>
    <t>POCO FUNDO</t>
  </si>
  <si>
    <t>CARVALHOPOLIS</t>
  </si>
  <si>
    <t>SANTA RITA DE CALDAS</t>
  </si>
  <si>
    <t>CALDAS</t>
  </si>
  <si>
    <t>IBITIURA DE MINAS</t>
  </si>
  <si>
    <t>ANDRADAS</t>
  </si>
  <si>
    <t>GUAXUPE</t>
  </si>
  <si>
    <t>JURUAIA</t>
  </si>
  <si>
    <t>GUARANESIA</t>
  </si>
  <si>
    <t>SANTA CRUZ DO PRATA (GUARANESIA)</t>
  </si>
  <si>
    <t>ARCEBURGO</t>
  </si>
  <si>
    <t>SAO PEDRO DA UNIAO</t>
  </si>
  <si>
    <t>NOVA RESENDE</t>
  </si>
  <si>
    <t>CABO VERDE</t>
  </si>
  <si>
    <t>MUZAMBINHO</t>
  </si>
  <si>
    <t>PASSOS</t>
  </si>
  <si>
    <t>FORTALEZA DE MINAS</t>
  </si>
  <si>
    <t>DELFINOPOLIS</t>
  </si>
  <si>
    <t>SAO JOAO BATISTA DO GLORIA</t>
  </si>
  <si>
    <t>VARGEM BONITA</t>
  </si>
  <si>
    <t>PIUMHI</t>
  </si>
  <si>
    <t>DORESOPOLIS</t>
  </si>
  <si>
    <t>SAO ROQUE DE MINAS</t>
  </si>
  <si>
    <t>CAPITOLIO</t>
  </si>
  <si>
    <t>ALPINOPOLIS</t>
  </si>
  <si>
    <t>SAO JOSE DA BARRA</t>
  </si>
  <si>
    <t>BOM JESUS DA PENHA</t>
  </si>
  <si>
    <t>SAO SEBASTIAO DO PARAISO</t>
  </si>
  <si>
    <t>SAO TOMAS DE AQUINO</t>
  </si>
  <si>
    <t>JACUI</t>
  </si>
  <si>
    <t>MONTE SANTO DE MINAS</t>
  </si>
  <si>
    <t>PRATAPOLIS</t>
  </si>
  <si>
    <t>ITAMOGI</t>
  </si>
  <si>
    <t>ITAU DE MINAS</t>
  </si>
  <si>
    <t>CASSIA</t>
  </si>
  <si>
    <t>IBIRACI</t>
  </si>
  <si>
    <t>CAPETINGA</t>
  </si>
  <si>
    <t>CLARAVAL</t>
  </si>
  <si>
    <t>BAIXA (UBERABA)</t>
  </si>
  <si>
    <t>DELTA</t>
  </si>
  <si>
    <t>AGUA COMPRIDA</t>
  </si>
  <si>
    <t>CONCEICAO DAS ALAGOAS</t>
  </si>
  <si>
    <t>CAMPO FLORIDO</t>
  </si>
  <si>
    <t>PRATA</t>
  </si>
  <si>
    <t>VERISSIMO</t>
  </si>
  <si>
    <t>NOVA PONTE</t>
  </si>
  <si>
    <t>PERDIZES</t>
  </si>
  <si>
    <t>SANTA JULIANA</t>
  </si>
  <si>
    <t>PEDRINOPOLIS</t>
  </si>
  <si>
    <t>ARAXA</t>
  </si>
  <si>
    <t>TAPIRA</t>
  </si>
  <si>
    <t>SACRAMENTO</t>
  </si>
  <si>
    <t>CONQUISTA</t>
  </si>
  <si>
    <t>APARECIDA DE MINAS (FRUTAL)</t>
  </si>
  <si>
    <t>PIRAJUBA</t>
  </si>
  <si>
    <t>PLANURA</t>
  </si>
  <si>
    <t>FRONTEIRA</t>
  </si>
  <si>
    <t>ITAPAGIPE</t>
  </si>
  <si>
    <t>COMENDADOR GOMES</t>
  </si>
  <si>
    <t>SAO FRANCISCO DE SALES</t>
  </si>
  <si>
    <t>CAMPINA VERDE</t>
  </si>
  <si>
    <t>ITURAMA</t>
  </si>
  <si>
    <t>UNIAO DE MINAS</t>
  </si>
  <si>
    <t>CARNEIRINHO</t>
  </si>
  <si>
    <t>LIMEIRA DO OESTE</t>
  </si>
  <si>
    <t>ITUIUTABA</t>
  </si>
  <si>
    <t>GURINHATA</t>
  </si>
  <si>
    <t>SANTA VITORIA</t>
  </si>
  <si>
    <t>IPIACU</t>
  </si>
  <si>
    <t>CAPINOPOLIS</t>
  </si>
  <si>
    <t>CACHOEIRA DOURADA</t>
  </si>
  <si>
    <t>CANAPOLIS</t>
  </si>
  <si>
    <t>CENTRALINA</t>
  </si>
  <si>
    <t>TAPUIRAMA (UBERLANDIA)</t>
  </si>
  <si>
    <t>FLORESTINA (ARAGUARI)</t>
  </si>
  <si>
    <t>CASCALHO RICO</t>
  </si>
  <si>
    <t>ARAPORA</t>
  </si>
  <si>
    <t>GRUPIARA</t>
  </si>
  <si>
    <t>MONTE ALEGRE DE MINAS</t>
  </si>
  <si>
    <t>TUPACIGUARA</t>
  </si>
  <si>
    <t>INDIANOPOLIS</t>
  </si>
  <si>
    <t>MONTE CARMELO</t>
  </si>
  <si>
    <t>IRAI DE MINAS</t>
  </si>
  <si>
    <t>ROMARIA</t>
  </si>
  <si>
    <t>ESTRELA DO SUL</t>
  </si>
  <si>
    <t>DOURADOQUARA</t>
  </si>
  <si>
    <t>ABADIA DOS DOURADOS</t>
  </si>
  <si>
    <t>COROMANDEL</t>
  </si>
  <si>
    <t>GUARDA-MOR</t>
  </si>
  <si>
    <t>PARACATU</t>
  </si>
  <si>
    <t>UNAI</t>
  </si>
  <si>
    <t>CABECEIRA GRANDE</t>
  </si>
  <si>
    <t>URUANA DE MINAS</t>
  </si>
  <si>
    <t>RIACHINHO</t>
  </si>
  <si>
    <t>URUCUIA</t>
  </si>
  <si>
    <t>BONFINOPOLIS DE MINAS</t>
  </si>
  <si>
    <t>DOM BOSCO</t>
  </si>
  <si>
    <t>NATALANDIA</t>
  </si>
  <si>
    <t>BURITIS</t>
  </si>
  <si>
    <t>ARINOS</t>
  </si>
  <si>
    <t>CHAPADA GAUCHA</t>
  </si>
  <si>
    <t>FORMOSO</t>
  </si>
  <si>
    <t>PILAR (PATOS DE MINAS)</t>
  </si>
  <si>
    <t>LAGOA FORMOSA</t>
  </si>
  <si>
    <t>GUIMARANIA</t>
  </si>
  <si>
    <t>CRUZEIRO DA FORTALEZA</t>
  </si>
  <si>
    <t>PATROCINIO</t>
  </si>
  <si>
    <t>PRESIDENTE OLEGARIO</t>
  </si>
  <si>
    <t>LAGOA GRANDE</t>
  </si>
  <si>
    <t>SERRA DO SALITRE</t>
  </si>
  <si>
    <t>JOAO PINHEIRO</t>
  </si>
  <si>
    <t>BRASILANDIA DE MINAS</t>
  </si>
  <si>
    <t>VAZANTE</t>
  </si>
  <si>
    <t>LAGAMAR</t>
  </si>
  <si>
    <t>SAO GONCALO DO ABAETE</t>
  </si>
  <si>
    <t>VARJAO DE MINAS</t>
  </si>
  <si>
    <t>SAO GOTARDO</t>
  </si>
  <si>
    <t>SANTA ROSA DA SERRA</t>
  </si>
  <si>
    <t>RIO PARANAIBA</t>
  </si>
  <si>
    <t>CARMO DO PARANAIBA</t>
  </si>
  <si>
    <t>ARAPUA</t>
  </si>
  <si>
    <t>MATUTINA</t>
  </si>
  <si>
    <t>TIROS</t>
  </si>
  <si>
    <t>BAMBUI</t>
  </si>
  <si>
    <t>IGUATAMA</t>
  </si>
  <si>
    <t>MEDEIROS</t>
  </si>
  <si>
    <t>IBIA</t>
  </si>
  <si>
    <t>PRATINHA</t>
  </si>
  <si>
    <t>CAMPOS ALTOS</t>
  </si>
  <si>
    <t>CORREGO DANTA</t>
  </si>
  <si>
    <t>DIAMANTINA</t>
  </si>
  <si>
    <t>GOUVEIA</t>
  </si>
  <si>
    <t>DATAS</t>
  </si>
  <si>
    <t>PRESIDENTE KUBITSCHEK</t>
  </si>
  <si>
    <t>ALVORADA DE MINAS</t>
  </si>
  <si>
    <t>SERRO</t>
  </si>
  <si>
    <t>SANTO ANTONIO DO ITAMBE</t>
  </si>
  <si>
    <t>SERRA AZUL DE MINAS</t>
  </si>
  <si>
    <t>RIO VERMELHO</t>
  </si>
  <si>
    <t>FELICIO DOS SANTOS</t>
  </si>
  <si>
    <t>SAO GONCALO DO RIO PRETO</t>
  </si>
  <si>
    <t>COUTO DE MAGALHAES DE MINAS</t>
  </si>
  <si>
    <t>SENADOR MODESTINO GONCALVES</t>
  </si>
  <si>
    <t>CORINTO</t>
  </si>
  <si>
    <t>TRES MARIAS</t>
  </si>
  <si>
    <t>SANTO HIPOLITO</t>
  </si>
  <si>
    <t>MONJOLOS</t>
  </si>
  <si>
    <t>AUGUSTO DE LIMA</t>
  </si>
  <si>
    <t>BUENOPOLIS</t>
  </si>
  <si>
    <t>FELIXLANDIA</t>
  </si>
  <si>
    <t>JOAQUIM FELICIO</t>
  </si>
  <si>
    <t>INIMUTABA</t>
  </si>
  <si>
    <t>PRESIDENTE JUSCELINO</t>
  </si>
  <si>
    <t>MORRO DA GARCA</t>
  </si>
  <si>
    <t>LASSANCE</t>
  </si>
  <si>
    <t>VARZEA DA PALMA</t>
  </si>
  <si>
    <t>PIRAPORA</t>
  </si>
  <si>
    <t>BURITIZEIRO</t>
  </si>
  <si>
    <t>SAO ROMAO</t>
  </si>
  <si>
    <t>SANTA FE DE MINAS</t>
  </si>
  <si>
    <t>PINTOPOLIS</t>
  </si>
  <si>
    <t>ICARAI DE MINAS</t>
  </si>
  <si>
    <t>UBAI</t>
  </si>
  <si>
    <t>PONTO CHIQUE</t>
  </si>
  <si>
    <t>BRASILIA DE MINAS</t>
  </si>
  <si>
    <t>JAPONVAR</t>
  </si>
  <si>
    <t>LUISLANDIA</t>
  </si>
  <si>
    <t>CAMPO AZUL</t>
  </si>
  <si>
    <t>CORACAO DE JESUS</t>
  </si>
  <si>
    <t>IBIAI</t>
  </si>
  <si>
    <t>SAO JOAO DA LAGOA</t>
  </si>
  <si>
    <t>LAGOA DOS PATOS</t>
  </si>
  <si>
    <t>ENGENHEIRO NAVARRO</t>
  </si>
  <si>
    <t>SAO JOAO DO PACUI</t>
  </si>
  <si>
    <t>JEQUITAI</t>
  </si>
  <si>
    <t>MIRABELA</t>
  </si>
  <si>
    <t>PATIS</t>
  </si>
  <si>
    <t>CLARO DOS POCOES</t>
  </si>
  <si>
    <t>FRANCISCO DUMONT</t>
  </si>
  <si>
    <t>BOCAIUVA</t>
  </si>
  <si>
    <t>GUARACIAMA</t>
  </si>
  <si>
    <t>OLHOS-D'AGUA</t>
  </si>
  <si>
    <t>SAO PEDRO DA GARCA (MONTES CLAROS)</t>
  </si>
  <si>
    <t>SAO JOAO DA PONTE</t>
  </si>
  <si>
    <t>LONTRA</t>
  </si>
  <si>
    <t>VILA NOVA DOS POCOES (JANAUBA)</t>
  </si>
  <si>
    <t>VARZELANDIA</t>
  </si>
  <si>
    <t>IBIRACATU</t>
  </si>
  <si>
    <t>VERDELANDIA</t>
  </si>
  <si>
    <t>MANGA</t>
  </si>
  <si>
    <t>MIRAVANIA</t>
  </si>
  <si>
    <t>JUVENILIA</t>
  </si>
  <si>
    <t>ITACARAMBI</t>
  </si>
  <si>
    <t>CAPITAO ENEAS</t>
  </si>
  <si>
    <t>SAO JOAO DAS MISSOES</t>
  </si>
  <si>
    <t>MATIAS CARDOSO</t>
  </si>
  <si>
    <t>JANUARIA</t>
  </si>
  <si>
    <t>CONEGO MARINHO</t>
  </si>
  <si>
    <t>BONITO DE MINAS</t>
  </si>
  <si>
    <t>PEDRAS DE MARIA DA CRUZ</t>
  </si>
  <si>
    <t>MONTALVANIA</t>
  </si>
  <si>
    <t>MONTE AZUL</t>
  </si>
  <si>
    <t>GAMELEIRAS</t>
  </si>
  <si>
    <t>JAIBA</t>
  </si>
  <si>
    <t>ESPINOSA</t>
  </si>
  <si>
    <t>MAMONAS</t>
  </si>
  <si>
    <t>PAI PEDRO</t>
  </si>
  <si>
    <t>SERRANOPOLIS DE MINAS</t>
  </si>
  <si>
    <t>PORTEIRINHA</t>
  </si>
  <si>
    <t>NOVA PORTEIRINHA</t>
  </si>
  <si>
    <t>CATUTI</t>
  </si>
  <si>
    <t>MATO VERDE</t>
  </si>
  <si>
    <t>RIACHO DOS MACHADOS</t>
  </si>
  <si>
    <t>RIO PARDO DE MINAS</t>
  </si>
  <si>
    <t>VARGEM GRANDE DO RIO PARDO</t>
  </si>
  <si>
    <t>INDAIABIRA</t>
  </si>
  <si>
    <t>SANTO ANTONIO DO RETIRO</t>
  </si>
  <si>
    <t>SAO JOAO DO PARAISO</t>
  </si>
  <si>
    <t>MONTEZUMA</t>
  </si>
  <si>
    <t>TAIOBEIRAS</t>
  </si>
  <si>
    <t>NINHEIRA</t>
  </si>
  <si>
    <t>BERIZAL</t>
  </si>
  <si>
    <t>FRUTA DE LEITE</t>
  </si>
  <si>
    <t>SALINAS</t>
  </si>
  <si>
    <t>SANTA CRUZ DE SALINAS</t>
  </si>
  <si>
    <t>RUBELITA</t>
  </si>
  <si>
    <t>NOVORIZONTE</t>
  </si>
  <si>
    <t>CURRAL DE DENTRO</t>
  </si>
  <si>
    <t>GRAO MOGOL</t>
  </si>
  <si>
    <t>PADRE CARVALHO</t>
  </si>
  <si>
    <t>JOSENOPOLIS</t>
  </si>
  <si>
    <t>FRANCISCO SA</t>
  </si>
  <si>
    <t>JURAMENTO</t>
  </si>
  <si>
    <t>GLAUCILANDIA</t>
  </si>
  <si>
    <t>ITACAMBIRA</t>
  </si>
  <si>
    <t>BOTUMIRIM</t>
  </si>
  <si>
    <t>CRISTALIA</t>
  </si>
  <si>
    <t>ARACUAI</t>
  </si>
  <si>
    <t>ITINGA</t>
  </si>
  <si>
    <t>PONTO DOS VOLANTES</t>
  </si>
  <si>
    <t>MEDINA</t>
  </si>
  <si>
    <t>ITAOBIM</t>
  </si>
  <si>
    <t>COMERCINHO</t>
  </si>
  <si>
    <t>VIRGEM DA LAPA</t>
  </si>
  <si>
    <t>CORONEL MURTA</t>
  </si>
  <si>
    <t>BERILO</t>
  </si>
  <si>
    <t>JOSE GONCALVES DE MINAS</t>
  </si>
  <si>
    <t>FRANCISCO BADARO</t>
  </si>
  <si>
    <t>JENIPAPO DE MINAS</t>
  </si>
  <si>
    <t>CHAPADA DO NORTE</t>
  </si>
  <si>
    <t>MINAS NOVAS</t>
  </si>
  <si>
    <t>LEME DO PRADO</t>
  </si>
  <si>
    <t>VEREDINHA</t>
  </si>
  <si>
    <t>CARBONITA</t>
  </si>
  <si>
    <t>ITAMARANDIBA</t>
  </si>
  <si>
    <t>ARICANDUVA</t>
  </si>
  <si>
    <t>CAPELINHA</t>
  </si>
  <si>
    <t>ANGELANDIA</t>
  </si>
  <si>
    <t>SETUBINHA</t>
  </si>
  <si>
    <t>MALACACHETA</t>
  </si>
  <si>
    <t>FRANCISCOPOLIS</t>
  </si>
  <si>
    <t>PECANHA</t>
  </si>
  <si>
    <t>CANTAGALO</t>
  </si>
  <si>
    <t>SAO JOAO EVANGELISTA</t>
  </si>
  <si>
    <t>SAO JOSE DO JACURI</t>
  </si>
  <si>
    <t>FREI LAGONEGRO</t>
  </si>
  <si>
    <t>COROACI</t>
  </si>
  <si>
    <t>VIRGOLANDIA</t>
  </si>
  <si>
    <t>NACIP RAYDAN</t>
  </si>
  <si>
    <t>GONZAGA</t>
  </si>
  <si>
    <t>SAO GERALDO DA PIEDADE</t>
  </si>
  <si>
    <t>SANTA EFIGENIA DE MINAS</t>
  </si>
  <si>
    <t>SARDOA</t>
  </si>
  <si>
    <t>VIRGINOPOLIS</t>
  </si>
  <si>
    <t>DIVINOLANDIA DE MINAS</t>
  </si>
  <si>
    <t>GUANHAES</t>
  </si>
  <si>
    <t>SENHORA DO PORTO</t>
  </si>
  <si>
    <t>SABINOPOLIS</t>
  </si>
  <si>
    <t>MATERLANDIA</t>
  </si>
  <si>
    <t>PAULISTAS</t>
  </si>
  <si>
    <t>COLUNA</t>
  </si>
  <si>
    <t>JOSE RAYDAN</t>
  </si>
  <si>
    <t>SANTA MARIA DO SUACUI</t>
  </si>
  <si>
    <t>SAO PEDRO DO SUACUI</t>
  </si>
  <si>
    <t>SAO JOSE DA SAFIRA</t>
  </si>
  <si>
    <t>AGUA BOA</t>
  </si>
  <si>
    <t>SAO SEBASTIAO DO MARANHAO</t>
  </si>
  <si>
    <t>BELO ORIENTE (TEOFILO OTONI)</t>
  </si>
  <si>
    <t>CARAI</t>
  </si>
  <si>
    <t>PAVAO</t>
  </si>
  <si>
    <t>ITAIPE</t>
  </si>
  <si>
    <t>CATUJI</t>
  </si>
  <si>
    <t>NOVO ORIENTE DE MINAS</t>
  </si>
  <si>
    <t>PADRE PARAISO</t>
  </si>
  <si>
    <t>NOVO CRUZEIRO</t>
  </si>
  <si>
    <t>LADAINHA</t>
  </si>
  <si>
    <t>POTE</t>
  </si>
  <si>
    <t>ITAMBACURI</t>
  </si>
  <si>
    <t>CAMPANARIO</t>
  </si>
  <si>
    <t>JAMPRUCA</t>
  </si>
  <si>
    <t>FREI GASPAR</t>
  </si>
  <si>
    <t>SAO JOSE DO DIVINO</t>
  </si>
  <si>
    <t>ATALEIA</t>
  </si>
  <si>
    <t>OURO VERDE DE MINAS</t>
  </si>
  <si>
    <t>NANUQUE</t>
  </si>
  <si>
    <t>CARLOS CHAGAS</t>
  </si>
  <si>
    <t>SERRA DOS AIMORES</t>
  </si>
  <si>
    <t>FRONTEIRA DOS VALES</t>
  </si>
  <si>
    <t>MACHACALIS</t>
  </si>
  <si>
    <t>SANTA HELENA DE MINAS</t>
  </si>
  <si>
    <t>BERTOPOLIS</t>
  </si>
  <si>
    <t>UMBURATIBA</t>
  </si>
  <si>
    <t>AGUAS FORMOSAS</t>
  </si>
  <si>
    <t>CRISOLITA</t>
  </si>
  <si>
    <t>JOAIMA</t>
  </si>
  <si>
    <t>MONTE FORMOSO</t>
  </si>
  <si>
    <t>FELISBURGO</t>
  </si>
  <si>
    <t>ALMENARA</t>
  </si>
  <si>
    <t>DIVISOPOLIS</t>
  </si>
  <si>
    <t>MATA VERDE</t>
  </si>
  <si>
    <t>BANDEIRA</t>
  </si>
  <si>
    <t>JORDANIA</t>
  </si>
  <si>
    <t>SALTO DA DIVISA</t>
  </si>
  <si>
    <t>SANTA MARIA DO SALTO</t>
  </si>
  <si>
    <t>JACINTO</t>
  </si>
  <si>
    <t>SANTO ANTONIO DO JACINTO</t>
  </si>
  <si>
    <t>RIO DO PRADO</t>
  </si>
  <si>
    <t>PALMOPOLIS</t>
  </si>
  <si>
    <t>RUBIM</t>
  </si>
  <si>
    <t>JEQUITINHONHA</t>
  </si>
  <si>
    <t>PEDRA AZUL</t>
  </si>
  <si>
    <t>CACHOEIRA DE PAJEU</t>
  </si>
  <si>
    <t>AGUAS VERMELHAS</t>
  </si>
  <si>
    <t>DIVISA ALEGRE</t>
  </si>
  <si>
    <t>SALVADOR</t>
  </si>
  <si>
    <t>BA</t>
  </si>
  <si>
    <t>MADRE DE DEUS</t>
  </si>
  <si>
    <t>LAURO DE FREITAS</t>
  </si>
  <si>
    <t>CANTO DO SOL (CAMACARI)</t>
  </si>
  <si>
    <t>DIAS D'AVILA</t>
  </si>
  <si>
    <t>DIAS DAVILA</t>
  </si>
  <si>
    <t>SIMOES FILHO</t>
  </si>
  <si>
    <t>CABOTO (CANDEIAS)</t>
  </si>
  <si>
    <t>SAO SEBASTIAO DO PASSE</t>
  </si>
  <si>
    <t>SAO FRANCISCO DO CONDE</t>
  </si>
  <si>
    <t>FEIRA DE SANTANA</t>
  </si>
  <si>
    <t>TANQUINHO DO POCO</t>
  </si>
  <si>
    <t>ANTONIO CARDOSO</t>
  </si>
  <si>
    <t>SANTO ESTEVAO</t>
  </si>
  <si>
    <t>SANTO AMARO</t>
  </si>
  <si>
    <t>SAUBARA</t>
  </si>
  <si>
    <t>AMELIA RODRIGUES</t>
  </si>
  <si>
    <t>CONCEICAO DO JACUIPE</t>
  </si>
  <si>
    <t>CORACAO DE MARIA</t>
  </si>
  <si>
    <t>IRARA</t>
  </si>
  <si>
    <t>SANTANOPOLIS</t>
  </si>
  <si>
    <t>TERRA NOVA</t>
  </si>
  <si>
    <t>CACHOEIRA</t>
  </si>
  <si>
    <t>CONCEICAO DA FEIRA</t>
  </si>
  <si>
    <t>SAO GONCALO DOS CAMPOS</t>
  </si>
  <si>
    <t>MURITIBA</t>
  </si>
  <si>
    <t>CABACEIRAS DO PARAGUACU</t>
  </si>
  <si>
    <t>GOVERNADOR MANGABEIRA</t>
  </si>
  <si>
    <t>SAO FELIX</t>
  </si>
  <si>
    <t>CRUZ DAS ALMAS</t>
  </si>
  <si>
    <t>NAZARE</t>
  </si>
  <si>
    <t>MARAGOGIPE</t>
  </si>
  <si>
    <t>SALINAS DA MARGARIDA</t>
  </si>
  <si>
    <t>ITAPARICA</t>
  </si>
  <si>
    <t>JAGUARIPE</t>
  </si>
  <si>
    <t>ARATUIPE</t>
  </si>
  <si>
    <t>CASTRO ALVES</t>
  </si>
  <si>
    <t>RAFAEL JAMBEIRO</t>
  </si>
  <si>
    <t>SAPEACU</t>
  </si>
  <si>
    <t>CONCEICAO DO ALMEIDA</t>
  </si>
  <si>
    <t>SAO FELIPE</t>
  </si>
  <si>
    <t>DOM MACEDO COSTA</t>
  </si>
  <si>
    <t>VARZEDO</t>
  </si>
  <si>
    <t>SANTO ANTONIO DE JESUS</t>
  </si>
  <si>
    <t>MUNIZ FERREIRA</t>
  </si>
  <si>
    <t>SAO MIGUEL DAS MATAS</t>
  </si>
  <si>
    <t>SANTA TEREZINHA</t>
  </si>
  <si>
    <t>IPIRA</t>
  </si>
  <si>
    <t>PINTADAS</t>
  </si>
  <si>
    <t>BAIXA GRANDE</t>
  </si>
  <si>
    <t>MAIRI</t>
  </si>
  <si>
    <t>VARZEA DA ROCA</t>
  </si>
  <si>
    <t>RIACHAO DO JACUIPE</t>
  </si>
  <si>
    <t>NOVA FATIMA</t>
  </si>
  <si>
    <t>CAPELA DO ALTO ALEGRE</t>
  </si>
  <si>
    <t>GAVIAO</t>
  </si>
  <si>
    <t>PE DE SERRA</t>
  </si>
  <si>
    <t>SERRA PRETA</t>
  </si>
  <si>
    <t>ANGUERA</t>
  </si>
  <si>
    <t>IPECAETA</t>
  </si>
  <si>
    <t>VARZEA NOVA</t>
  </si>
  <si>
    <t>CAPIM GROSSO</t>
  </si>
  <si>
    <t>SAO JOSE DO JACUIPE</t>
  </si>
  <si>
    <t>JACOBINA</t>
  </si>
  <si>
    <t>SERROLANDIA</t>
  </si>
  <si>
    <t>QUIXABEIRA</t>
  </si>
  <si>
    <t>VARZEA DO POCO</t>
  </si>
  <si>
    <t>OUROLANDIA</t>
  </si>
  <si>
    <t>MIGUEL CALMON</t>
  </si>
  <si>
    <t>CAEM</t>
  </si>
  <si>
    <t>SAUDE</t>
  </si>
  <si>
    <t>MIRANGABA</t>
  </si>
  <si>
    <t>CALDEIRAO GRANDE</t>
  </si>
  <si>
    <t>PONTO NOVO</t>
  </si>
  <si>
    <t>PINDOBACU</t>
  </si>
  <si>
    <t>FILADELFIA</t>
  </si>
  <si>
    <t>ANTONIO GONCALVES</t>
  </si>
  <si>
    <t>CAMPO FORMOSO</t>
  </si>
  <si>
    <t>UMBURANAS</t>
  </si>
  <si>
    <t>MUNDO NOVO</t>
  </si>
  <si>
    <t>PIRITIBA</t>
  </si>
  <si>
    <t>TAPIRAMUTA</t>
  </si>
  <si>
    <t>MORRO DO CHAPEU</t>
  </si>
  <si>
    <t>CAFARNAUM</t>
  </si>
  <si>
    <t>MULUNGU DO MORRO</t>
  </si>
  <si>
    <t>CANARANA</t>
  </si>
  <si>
    <t>BARRO ALTO</t>
  </si>
  <si>
    <t>IRECE</t>
  </si>
  <si>
    <t>LAPAO</t>
  </si>
  <si>
    <t>AMERICA DOURADA</t>
  </si>
  <si>
    <t>SAO GABRIEL</t>
  </si>
  <si>
    <t>JOAO DOURADO</t>
  </si>
  <si>
    <t>JUSSARA</t>
  </si>
  <si>
    <t>PRESIDENTE DUTRA</t>
  </si>
  <si>
    <t>POCO CENTRAL</t>
  </si>
  <si>
    <t>UIBAI</t>
  </si>
  <si>
    <t>IBITITA</t>
  </si>
  <si>
    <t>IBIPEBA</t>
  </si>
  <si>
    <t>BARRA DO MENDES</t>
  </si>
  <si>
    <t>VEREDINHA (VITORIA DA CONQUISTA)</t>
  </si>
  <si>
    <t>BARRA DO CHOCA</t>
  </si>
  <si>
    <t>CAATIBA</t>
  </si>
  <si>
    <t>ITAMBE</t>
  </si>
  <si>
    <t>ENCRUZILHADA</t>
  </si>
  <si>
    <t>RIBEIRAO DO LARGO</t>
  </si>
  <si>
    <t>CANDIDO SALES</t>
  </si>
  <si>
    <t>BELO CAMPO</t>
  </si>
  <si>
    <t>TREMEDAL</t>
  </si>
  <si>
    <t>CARAIBAS</t>
  </si>
  <si>
    <t>ANAGE</t>
  </si>
  <si>
    <t>ITAJURU (JEQUIE)</t>
  </si>
  <si>
    <t>LAFAIETE COUTINHO</t>
  </si>
  <si>
    <t>AIQUARA</t>
  </si>
  <si>
    <t>JITAUNA</t>
  </si>
  <si>
    <t>ITAGI</t>
  </si>
  <si>
    <t>MANOEL VITORINO</t>
  </si>
  <si>
    <t>BOA NOVA</t>
  </si>
  <si>
    <t>MIRANTE</t>
  </si>
  <si>
    <t>POCOES</t>
  </si>
  <si>
    <t>BOM JESUS DA SERRA</t>
  </si>
  <si>
    <t>CAETANOS</t>
  </si>
  <si>
    <t>NOVA CANAA</t>
  </si>
  <si>
    <t>IGUAI</t>
  </si>
  <si>
    <t>IBICUI</t>
  </si>
  <si>
    <t>AMARGOSA</t>
  </si>
  <si>
    <t>ELISIO MEDRADO</t>
  </si>
  <si>
    <t>UBAIRA</t>
  </si>
  <si>
    <t>MILAGRES</t>
  </si>
  <si>
    <t>SANTA INES</t>
  </si>
  <si>
    <t>BREJOES</t>
  </si>
  <si>
    <t>CRAVOLANDIA</t>
  </si>
  <si>
    <t>ITAQUARA</t>
  </si>
  <si>
    <t>JAGUAQUARA</t>
  </si>
  <si>
    <t>ITIRUCU</t>
  </si>
  <si>
    <t>APUAREMA</t>
  </si>
  <si>
    <t>MARACAS</t>
  </si>
  <si>
    <t>LAJEDO DO TABOCAL</t>
  </si>
  <si>
    <t>IRAJUBA</t>
  </si>
  <si>
    <t>PLANALTINO</t>
  </si>
  <si>
    <t>NOVA ITARANA</t>
  </si>
  <si>
    <t>PRESIDENTE TANCREDO NEVES</t>
  </si>
  <si>
    <t>CAIRU</t>
  </si>
  <si>
    <t>TAPEROA</t>
  </si>
  <si>
    <t>ITUBERA</t>
  </si>
  <si>
    <t>PIRAI DO NORTE</t>
  </si>
  <si>
    <t>NILO PECANHA</t>
  </si>
  <si>
    <t>IGRAPIUNA</t>
  </si>
  <si>
    <t>CAMAMU</t>
  </si>
  <si>
    <t>GANDU</t>
  </si>
  <si>
    <t>NOVA IBIA</t>
  </si>
  <si>
    <t>ITAMARI</t>
  </si>
  <si>
    <t>WENCESLAU GUIMARAES</t>
  </si>
  <si>
    <t>TEOLANDIA</t>
  </si>
  <si>
    <t>JIQUIRICA</t>
  </si>
  <si>
    <t>MUTUIPE</t>
  </si>
  <si>
    <t>LAJE</t>
  </si>
  <si>
    <t>IBIRAPITANGA</t>
  </si>
  <si>
    <t>MARAU</t>
  </si>
  <si>
    <t>ITACARE</t>
  </si>
  <si>
    <t>GONGOGI</t>
  </si>
  <si>
    <t>UBAITABA</t>
  </si>
  <si>
    <t>UBATA</t>
  </si>
  <si>
    <t>BARRA DO ROCHA</t>
  </si>
  <si>
    <t>IPIAU</t>
  </si>
  <si>
    <t>IBIRATAIA</t>
  </si>
  <si>
    <t>ITAGIBA</t>
  </si>
  <si>
    <t>DARIO MEIRA</t>
  </si>
  <si>
    <t>ITABUNA</t>
  </si>
  <si>
    <t>BUERAREMA</t>
  </si>
  <si>
    <t>SAO JOSE DA VITORIA</t>
  </si>
  <si>
    <t>JUSSARI</t>
  </si>
  <si>
    <t>BARRO PRETO</t>
  </si>
  <si>
    <t>ITAJUIPE</t>
  </si>
  <si>
    <t>COARACI</t>
  </si>
  <si>
    <t>ALMADINA</t>
  </si>
  <si>
    <t>ITAPITANGA</t>
  </si>
  <si>
    <t>ILHEUS</t>
  </si>
  <si>
    <t>AURELINO LEAL</t>
  </si>
  <si>
    <t>URUCUCA</t>
  </si>
  <si>
    <t>UNA</t>
  </si>
  <si>
    <t>ARATACA</t>
  </si>
  <si>
    <t>ITAPETINGA</t>
  </si>
  <si>
    <t>ITORORO</t>
  </si>
  <si>
    <t>RIO DO MEIO (ITORORO)</t>
  </si>
  <si>
    <t>FIRMINO ALVES</t>
  </si>
  <si>
    <t>SANTA CRUZ DA VITORIA</t>
  </si>
  <si>
    <t>ITAJU DO COLONIA</t>
  </si>
  <si>
    <t>FLORESTA AZUL</t>
  </si>
  <si>
    <t>IBICARAI</t>
  </si>
  <si>
    <t>ITAPE</t>
  </si>
  <si>
    <t>MACARANI</t>
  </si>
  <si>
    <t>MAIQUINIQUE</t>
  </si>
  <si>
    <t>ITARANTIM</t>
  </si>
  <si>
    <t>POTIRAGUA</t>
  </si>
  <si>
    <t>BELMONTE</t>
  </si>
  <si>
    <t>SANTA CRUZ CABRALIA</t>
  </si>
  <si>
    <t>PORTO SEGURO</t>
  </si>
  <si>
    <t>CARAIVA (PORTO SEGURO)</t>
  </si>
  <si>
    <t>GABIARRA (EUNAPOLIS)</t>
  </si>
  <si>
    <t>JUCURUCU</t>
  </si>
  <si>
    <t>ITAMARAJU</t>
  </si>
  <si>
    <t>GUARATINGA</t>
  </si>
  <si>
    <t>ITABELA</t>
  </si>
  <si>
    <t>ITAGIMIRIM</t>
  </si>
  <si>
    <t>ITAPEBI</t>
  </si>
  <si>
    <t>CAIUBI (ITAPEBI)</t>
  </si>
  <si>
    <t>CANAVIEIRAS</t>
  </si>
  <si>
    <t>SANTA LUZIA</t>
  </si>
  <si>
    <t>MASCOTE</t>
  </si>
  <si>
    <t>CAMACAN</t>
  </si>
  <si>
    <t>PAU BRASIL</t>
  </si>
  <si>
    <t>CARAVELAS</t>
  </si>
  <si>
    <t>ALCOBACA</t>
  </si>
  <si>
    <t>NOVA VICOSA</t>
  </si>
  <si>
    <t>POSTO DA MATA (NOVA VICOSA)</t>
  </si>
  <si>
    <t>MUCURI</t>
  </si>
  <si>
    <t>IBIRAPUA</t>
  </si>
  <si>
    <t>LAJEDAO</t>
  </si>
  <si>
    <t>VEREDA</t>
  </si>
  <si>
    <t>MEDEIROS NETO</t>
  </si>
  <si>
    <t>NOVA LIDICE (MEDEIROS NETO)</t>
  </si>
  <si>
    <t>ITANHEM</t>
  </si>
  <si>
    <t>BATINGA (ITANHEM)</t>
  </si>
  <si>
    <t>PRADO</t>
  </si>
  <si>
    <t>CUMURUXATIBA (PRADO)</t>
  </si>
  <si>
    <t>SANTO ANTONIO (TEIXEIRA DE FREITAS)</t>
  </si>
  <si>
    <t>LIVRAMENTO DO BRUMADO</t>
  </si>
  <si>
    <t>BRUMADO</t>
  </si>
  <si>
    <t>MALHADA DE PEDRAS</t>
  </si>
  <si>
    <t>ARACATU</t>
  </si>
  <si>
    <t>LIVRAMENTO DE NOSSA SENHORA</t>
  </si>
  <si>
    <t>DOM BASILIO</t>
  </si>
  <si>
    <t>RIO DE CONTAS</t>
  </si>
  <si>
    <t>ERICO CARDOSO</t>
  </si>
  <si>
    <t>PARAMIRIM</t>
  </si>
  <si>
    <t>CONDEUBA</t>
  </si>
  <si>
    <t>GUAJERU</t>
  </si>
  <si>
    <t>RIO DO ANTONIO</t>
  </si>
  <si>
    <t>PRESIDENTE JANIO QUADROS</t>
  </si>
  <si>
    <t>MAETINGA</t>
  </si>
  <si>
    <t>PIRIPA</t>
  </si>
  <si>
    <t>CORDEIROS</t>
  </si>
  <si>
    <t>MORTUGABA</t>
  </si>
  <si>
    <t>CACULE</t>
  </si>
  <si>
    <t>JACARACI</t>
  </si>
  <si>
    <t>LICINIO DE ALMEIDA</t>
  </si>
  <si>
    <t>URANDI</t>
  </si>
  <si>
    <t>PINDAI</t>
  </si>
  <si>
    <t>CANDIBA</t>
  </si>
  <si>
    <t>IBIASSUCE</t>
  </si>
  <si>
    <t>CAETITE</t>
  </si>
  <si>
    <t>LAGOA REAL</t>
  </si>
  <si>
    <t>GUANAMBI</t>
  </si>
  <si>
    <t>IUIU</t>
  </si>
  <si>
    <t>MALHADA</t>
  </si>
  <si>
    <t>CARINHANHA</t>
  </si>
  <si>
    <t>FEIRA DA MATA</t>
  </si>
  <si>
    <t>SEBASTIAO LARANJEIRAS</t>
  </si>
  <si>
    <t>PALMAS DE MONTE ALTO</t>
  </si>
  <si>
    <t>RIACHO DE SANTANA</t>
  </si>
  <si>
    <t>MATINA</t>
  </si>
  <si>
    <t>IGAPORA</t>
  </si>
  <si>
    <t>MACAUBAS</t>
  </si>
  <si>
    <t>BOQUIRA</t>
  </si>
  <si>
    <t>IBIPITANGA</t>
  </si>
  <si>
    <t>RIO DO PIRES</t>
  </si>
  <si>
    <t>BOTUPORA</t>
  </si>
  <si>
    <t>CATURAMA</t>
  </si>
  <si>
    <t>TANQUE NOVO</t>
  </si>
  <si>
    <t>TANHACU</t>
  </si>
  <si>
    <t>CONTENDAS DO SINCORA</t>
  </si>
  <si>
    <t>ITUACU</t>
  </si>
  <si>
    <t>BARRA DA ESTIVA</t>
  </si>
  <si>
    <t>JUSSIAPE</t>
  </si>
  <si>
    <t>ABAIRA</t>
  </si>
  <si>
    <t>IBITIARA</t>
  </si>
  <si>
    <t>BONINAL</t>
  </si>
  <si>
    <t>MUCUGE</t>
  </si>
  <si>
    <t>IBICOARA</t>
  </si>
  <si>
    <t>PIATA</t>
  </si>
  <si>
    <t>IRAMAIA</t>
  </si>
  <si>
    <t>MARCIONILIO SOUZA</t>
  </si>
  <si>
    <t>ITAETE</t>
  </si>
  <si>
    <t>RUY BARBOSA</t>
  </si>
  <si>
    <t>MACAJUBA</t>
  </si>
  <si>
    <t>UTINGA</t>
  </si>
  <si>
    <t>BONITO</t>
  </si>
  <si>
    <t>LAJEDINHO</t>
  </si>
  <si>
    <t>ANDARAI</t>
  </si>
  <si>
    <t>NOVA REDENCAO</t>
  </si>
  <si>
    <t>IBIQUERA</t>
  </si>
  <si>
    <t>BOA VISTA DO TUPIM</t>
  </si>
  <si>
    <t>IACU</t>
  </si>
  <si>
    <t>ITATIM</t>
  </si>
  <si>
    <t>ITABERABA</t>
  </si>
  <si>
    <t>SEABRA</t>
  </si>
  <si>
    <t>PALMEIRAS</t>
  </si>
  <si>
    <t>LENCOIS</t>
  </si>
  <si>
    <t>WAGNER</t>
  </si>
  <si>
    <t>IRAQUARA</t>
  </si>
  <si>
    <t>SOUTO SOARES</t>
  </si>
  <si>
    <t>BARRA</t>
  </si>
  <si>
    <t>MUQUEM DO SAO FRANCISCO</t>
  </si>
  <si>
    <t>BURITIRAMA</t>
  </si>
  <si>
    <t>SANTA RITA DE CASSIA</t>
  </si>
  <si>
    <t>MANSIDAO</t>
  </si>
  <si>
    <t>REMANSO</t>
  </si>
  <si>
    <t>CAMPO ALEGRE DE LOURDES</t>
  </si>
  <si>
    <t>PILAO ARCADO</t>
  </si>
  <si>
    <t>CASA NOVA</t>
  </si>
  <si>
    <t>SENTO SE</t>
  </si>
  <si>
    <t>XIQUE-XIQUE</t>
  </si>
  <si>
    <t>ITAGUACU DA BAHIA</t>
  </si>
  <si>
    <t>GENTIO DO OURO</t>
  </si>
  <si>
    <t>PARATINGA</t>
  </si>
  <si>
    <t>IBOTIRAMA</t>
  </si>
  <si>
    <t>OLIVEIRA DOS BREJINHOS</t>
  </si>
  <si>
    <t>BROTAS DE MACAUBAS</t>
  </si>
  <si>
    <t>MORPARA</t>
  </si>
  <si>
    <t>IPUPIARA</t>
  </si>
  <si>
    <t>BOM JESUS DA LAPA</t>
  </si>
  <si>
    <t>SITIO DO MATO</t>
  </si>
  <si>
    <t>SERRA DO RAMALHO</t>
  </si>
  <si>
    <t>SANTA MARIA DA VITORIA</t>
  </si>
  <si>
    <t>CORRENTINA</t>
  </si>
  <si>
    <t>SAO FELIX DO CORIBE</t>
  </si>
  <si>
    <t>COCOS</t>
  </si>
  <si>
    <t>CORIBE</t>
  </si>
  <si>
    <t>SANTANA</t>
  </si>
  <si>
    <t>SERRA DOURADA</t>
  </si>
  <si>
    <t>BREJOLANDIA</t>
  </si>
  <si>
    <t>TABOCAS DO BREJO VELHO</t>
  </si>
  <si>
    <t>BARREIRAS</t>
  </si>
  <si>
    <t>SAO DESIDERIO</t>
  </si>
  <si>
    <t>BAIANOPOLIS</t>
  </si>
  <si>
    <t>CATOLANDIA</t>
  </si>
  <si>
    <t>LUIS EDUARDO MAGALHAES</t>
  </si>
  <si>
    <t>COTEGIPE</t>
  </si>
  <si>
    <t>WANDERLEY</t>
  </si>
  <si>
    <t>CRISTOPOLIS</t>
  </si>
  <si>
    <t>ANGICAL</t>
  </si>
  <si>
    <t>RIACHAO DAS NEVES</t>
  </si>
  <si>
    <t>FORMOSA DO RIO PRETO</t>
  </si>
  <si>
    <t>NARANDIBA (ALAGOINHAS)</t>
  </si>
  <si>
    <t>ARACAS</t>
  </si>
  <si>
    <t>CATU</t>
  </si>
  <si>
    <t>POJUCA</t>
  </si>
  <si>
    <t>ARAMARI</t>
  </si>
  <si>
    <t>PEDRAO</t>
  </si>
  <si>
    <t>OURICANGAS</t>
  </si>
  <si>
    <t>AGUA FRIA</t>
  </si>
  <si>
    <t>ENTRE RIOS</t>
  </si>
  <si>
    <t>MATA DE SAO JOAO</t>
  </si>
  <si>
    <t>ITANAGRA</t>
  </si>
  <si>
    <t>CONDE</t>
  </si>
  <si>
    <t>JANDAIRA</t>
  </si>
  <si>
    <t>RIO REAL</t>
  </si>
  <si>
    <t>APORA</t>
  </si>
  <si>
    <t>ACAJUTIBA</t>
  </si>
  <si>
    <t>ESPLANADA</t>
  </si>
  <si>
    <t>CARDEAL DA SILVA</t>
  </si>
  <si>
    <t>RIBEIRA DO POMBAL</t>
  </si>
  <si>
    <t>BANZAE</t>
  </si>
  <si>
    <t>CICERO DANTAS</t>
  </si>
  <si>
    <t>FATIMA</t>
  </si>
  <si>
    <t>ANTAS</t>
  </si>
  <si>
    <t>PARIPIRANGA</t>
  </si>
  <si>
    <t>ADUSTINA</t>
  </si>
  <si>
    <t>RIBEIRA DO AMPARO</t>
  </si>
  <si>
    <t>HELIOPOLIS</t>
  </si>
  <si>
    <t>CIPO</t>
  </si>
  <si>
    <t>NOVO TRIUNFO</t>
  </si>
  <si>
    <t>NOVA SOURE</t>
  </si>
  <si>
    <t>OLINDINA</t>
  </si>
  <si>
    <t>ITAPICURU</t>
  </si>
  <si>
    <t>CRISOPOLIS</t>
  </si>
  <si>
    <t>SATIRO DIAS</t>
  </si>
  <si>
    <t>INHAMBUPE</t>
  </si>
  <si>
    <t>EUCLIDES DA CUNHA</t>
  </si>
  <si>
    <t>CANUDOS</t>
  </si>
  <si>
    <t>JEREMOABO</t>
  </si>
  <si>
    <t>SITIO DO QUINTO</t>
  </si>
  <si>
    <t>SANTA BRIGIDA</t>
  </si>
  <si>
    <t>PEDRO ALEXANDRE</t>
  </si>
  <si>
    <t>CORONEL JOAO SA</t>
  </si>
  <si>
    <t>PAULO AFONSO</t>
  </si>
  <si>
    <t>GLORIA</t>
  </si>
  <si>
    <t>RODELAS</t>
  </si>
  <si>
    <t>MACURURE</t>
  </si>
  <si>
    <t>CHORROCHO</t>
  </si>
  <si>
    <t>ABARE</t>
  </si>
  <si>
    <t>SERRINHA</t>
  </si>
  <si>
    <t>BARROCAS</t>
  </si>
  <si>
    <t>CANDEAL</t>
  </si>
  <si>
    <t>LAMARAO</t>
  </si>
  <si>
    <t>ICHU</t>
  </si>
  <si>
    <t>CONCEICAO DO COITE</t>
  </si>
  <si>
    <t>RETIROLANDIA</t>
  </si>
  <si>
    <t>ARACI</t>
  </si>
  <si>
    <t>TEOFILANDIA</t>
  </si>
  <si>
    <t>BIRITINGA</t>
  </si>
  <si>
    <t>TUCANO</t>
  </si>
  <si>
    <t>MONTE SANTO</t>
  </si>
  <si>
    <t>QUIJINGUE</t>
  </si>
  <si>
    <t>CANSANCAO</t>
  </si>
  <si>
    <t>ITIUBA</t>
  </si>
  <si>
    <t>QUEIMADAS</t>
  </si>
  <si>
    <t>NORDESTINA</t>
  </si>
  <si>
    <t>SANTALUZ</t>
  </si>
  <si>
    <t>VALENTE</t>
  </si>
  <si>
    <t>SAO DOMINGOS</t>
  </si>
  <si>
    <t>JUAZEIRO</t>
  </si>
  <si>
    <t>MASSAROCA (JUAZEIRO)</t>
  </si>
  <si>
    <t>SOBRADINHO</t>
  </si>
  <si>
    <t>CURACA</t>
  </si>
  <si>
    <t>UAUA</t>
  </si>
  <si>
    <t>JAGUARARI</t>
  </si>
  <si>
    <t>SENHOR DO BONFIM</t>
  </si>
  <si>
    <t>ANDORINHA</t>
  </si>
  <si>
    <t>ARACAJU</t>
  </si>
  <si>
    <t>SE</t>
  </si>
  <si>
    <t>SAO CRISTOVAO</t>
  </si>
  <si>
    <t>ITAPORANGA D'AJUDA</t>
  </si>
  <si>
    <t>RIACHUELO</t>
  </si>
  <si>
    <t>BARRA DOS COQUEIROS</t>
  </si>
  <si>
    <t>NOSSA SENHORA DO SOCORRO</t>
  </si>
  <si>
    <t>LARANJEIRAS</t>
  </si>
  <si>
    <t>SANTO AMARO DAS BROTAS</t>
  </si>
  <si>
    <t>PIRAMBU</t>
  </si>
  <si>
    <t>ESTANCIA</t>
  </si>
  <si>
    <t>ARAUA</t>
  </si>
  <si>
    <t>SANTA LUZIA DO ITANHY</t>
  </si>
  <si>
    <t>INDIAROBA</t>
  </si>
  <si>
    <t>UMBAUBA</t>
  </si>
  <si>
    <t>CRISTINAPOLIS</t>
  </si>
  <si>
    <t>TOMAR DO GERU</t>
  </si>
  <si>
    <t>ITABAIANINHA</t>
  </si>
  <si>
    <t>TOBIAS BARRETO</t>
  </si>
  <si>
    <t>RIACHAO DO DANTAS</t>
  </si>
  <si>
    <t>PEDRINHAS</t>
  </si>
  <si>
    <t>BOQUIM</t>
  </si>
  <si>
    <t>SALGADO</t>
  </si>
  <si>
    <t>LAGARTO</t>
  </si>
  <si>
    <t>SIMAO DIAS</t>
  </si>
  <si>
    <t>POCO VERDE</t>
  </si>
  <si>
    <t>ITABAIANA</t>
  </si>
  <si>
    <t>PEDRA MOLE</t>
  </si>
  <si>
    <t>FREI PAULO</t>
  </si>
  <si>
    <t>PINHAO</t>
  </si>
  <si>
    <t>CAMPO DO BRITO</t>
  </si>
  <si>
    <t>RIBEIROPOLIS</t>
  </si>
  <si>
    <t>SAO MIGUEL DO ALEIXO</t>
  </si>
  <si>
    <t>NOSSA SENHORA APARECIDA</t>
  </si>
  <si>
    <t>CARIRA</t>
  </si>
  <si>
    <t>MOITA BONITA</t>
  </si>
  <si>
    <t>MACAMBIRA</t>
  </si>
  <si>
    <t>MALHADOR</t>
  </si>
  <si>
    <t>AREIA BRANCA</t>
  </si>
  <si>
    <t>NOSSA SENHORA DAS DORES</t>
  </si>
  <si>
    <t>SIRIRI</t>
  </si>
  <si>
    <t>SANTA ROSA DE LIMA</t>
  </si>
  <si>
    <t>DIVINA PASTORA</t>
  </si>
  <si>
    <t>CUMBE</t>
  </si>
  <si>
    <t>FEIRA NOVA</t>
  </si>
  <si>
    <t>NOSSA SENHORA DA GLORIA</t>
  </si>
  <si>
    <t>MONTE ALEGRE DE SERGIPE</t>
  </si>
  <si>
    <t>CAPELA</t>
  </si>
  <si>
    <t>CARMOPOLIS</t>
  </si>
  <si>
    <t>GENERAL MAYNARD</t>
  </si>
  <si>
    <t>ROSARIO DO CATETE</t>
  </si>
  <si>
    <t>MARUIM</t>
  </si>
  <si>
    <t>MURIBECA</t>
  </si>
  <si>
    <t>AQUIDABA</t>
  </si>
  <si>
    <t>PORTO DA FOLHA</t>
  </si>
  <si>
    <t>POCO REDONDO</t>
  </si>
  <si>
    <t>CANINDE DE SAO FRANCISCO</t>
  </si>
  <si>
    <t>GARARU</t>
  </si>
  <si>
    <t>GRACHO CARDOSO</t>
  </si>
  <si>
    <t>ITABI</t>
  </si>
  <si>
    <t>CANHOBA</t>
  </si>
  <si>
    <t>NOSSA SENHORA DE LOURDES</t>
  </si>
  <si>
    <t>PROPRIA</t>
  </si>
  <si>
    <t>TELHA</t>
  </si>
  <si>
    <t>AMPARO DE SAO FRANCISCO</t>
  </si>
  <si>
    <t>CEDRO DE SAO JOAO</t>
  </si>
  <si>
    <t>MALHADA DOS BOIS</t>
  </si>
  <si>
    <t>JAPOATA</t>
  </si>
  <si>
    <t>JAPARATUBA</t>
  </si>
  <si>
    <t>PACATUBA</t>
  </si>
  <si>
    <t>NEOPOLIS</t>
  </si>
  <si>
    <t>SANTANA DO SAO FRANCISCO</t>
  </si>
  <si>
    <t>ILHA DAS FLORES</t>
  </si>
  <si>
    <t>BREJO GRANDE</t>
  </si>
  <si>
    <t>RECIFE</t>
  </si>
  <si>
    <t>PE</t>
  </si>
  <si>
    <t>OLINDA</t>
  </si>
  <si>
    <t>PAULISTA</t>
  </si>
  <si>
    <t>CHA DE CRUZ (ABREU E LIMA)</t>
  </si>
  <si>
    <t>IGARASSU</t>
  </si>
  <si>
    <t>ARACOIABA</t>
  </si>
  <si>
    <t>ITAPISSUMA</t>
  </si>
  <si>
    <t>ILHA DE ITAMARACA</t>
  </si>
  <si>
    <t>FERNANDO DE NORONHA</t>
  </si>
  <si>
    <t>JABOATAO DOS GUARARAPES</t>
  </si>
  <si>
    <t>JUCARAL (CABO DE SANTO AGOSTINHO)</t>
  </si>
  <si>
    <t>NOSSA SENHORA DA LUZ (SAO LOURENCO DA MATA)</t>
  </si>
  <si>
    <t>CAMARAGIBE</t>
  </si>
  <si>
    <t>MORENO</t>
  </si>
  <si>
    <t>SERROTE DOS BOIS DE CIMA (CARUARU)</t>
  </si>
  <si>
    <t>RIACHO DAS ALMAS</t>
  </si>
  <si>
    <t>TORITAMA</t>
  </si>
  <si>
    <t>SAO CAITANO</t>
  </si>
  <si>
    <t>TACAIMBO</t>
  </si>
  <si>
    <t>SERRA DO VENTO (BELO JARDIM)</t>
  </si>
  <si>
    <t>BREJO DA MADRE DE DEUS</t>
  </si>
  <si>
    <t>JATAUBA</t>
  </si>
  <si>
    <t>PARA (SANTA CRUZ DO CAPIBARIBE)</t>
  </si>
  <si>
    <t>PESQUEIRA</t>
  </si>
  <si>
    <t>POCAO</t>
  </si>
  <si>
    <t>SANHARO</t>
  </si>
  <si>
    <t>ALAGOINHA</t>
  </si>
  <si>
    <t>VENTUROSA</t>
  </si>
  <si>
    <t>PEDRA</t>
  </si>
  <si>
    <t>SAO PEDRO (GARANHUNS)</t>
  </si>
  <si>
    <t>TEREZINHA</t>
  </si>
  <si>
    <t>PALMEIRINA</t>
  </si>
  <si>
    <t>CORRENTES</t>
  </si>
  <si>
    <t>LAGOA DO OURO</t>
  </si>
  <si>
    <t>BREJAO</t>
  </si>
  <si>
    <t>BOM CONSELHO</t>
  </si>
  <si>
    <t>AGUAS BELAS</t>
  </si>
  <si>
    <t>IATI</t>
  </si>
  <si>
    <t>SALOA</t>
  </si>
  <si>
    <t>PARANATAMA</t>
  </si>
  <si>
    <t>CAETES</t>
  </si>
  <si>
    <t>CAPOEIRAS</t>
  </si>
  <si>
    <t>SAO BENTO DO UNA</t>
  </si>
  <si>
    <t>CALCADO</t>
  </si>
  <si>
    <t>CACHOEIRINHA</t>
  </si>
  <si>
    <t>LAJEDO</t>
  </si>
  <si>
    <t>IBIRAJUBA</t>
  </si>
  <si>
    <t>JUPI</t>
  </si>
  <si>
    <t>JUCATI</t>
  </si>
  <si>
    <t>CATENDE</t>
  </si>
  <si>
    <t>MARAIAL</t>
  </si>
  <si>
    <t>JAQUEIRA</t>
  </si>
  <si>
    <t>SAO BENEDITO DO SUL</t>
  </si>
  <si>
    <t>QUIPAPA</t>
  </si>
  <si>
    <t>CANHOTINHO</t>
  </si>
  <si>
    <t>ANGELIM</t>
  </si>
  <si>
    <t>SAO JOAO</t>
  </si>
  <si>
    <t>BELEM DE MARIA</t>
  </si>
  <si>
    <t>LAGOA DOS GATOS</t>
  </si>
  <si>
    <t>CUPIRA</t>
  </si>
  <si>
    <t>PANELAS</t>
  </si>
  <si>
    <t>JUREMA</t>
  </si>
  <si>
    <t>ALTINHO</t>
  </si>
  <si>
    <t>AGRESTINA</t>
  </si>
  <si>
    <t>ESCADA</t>
  </si>
  <si>
    <t>PRIMAVERA</t>
  </si>
  <si>
    <t>AMARAJI</t>
  </si>
  <si>
    <t>RIBEIRAO</t>
  </si>
  <si>
    <t>CORTES</t>
  </si>
  <si>
    <t>GAMELEIRA</t>
  </si>
  <si>
    <t>JOAQUIM NABUCO</t>
  </si>
  <si>
    <t>PALMARES</t>
  </si>
  <si>
    <t>AGUA PRETA</t>
  </si>
  <si>
    <t>XEXEU</t>
  </si>
  <si>
    <t>BARREIROS</t>
  </si>
  <si>
    <t>SAO JOSE DA COROA GRANDE</t>
  </si>
  <si>
    <t>RIO FORMOSO</t>
  </si>
  <si>
    <t>TAMANDARE</t>
  </si>
  <si>
    <t>SIRINHAEM</t>
  </si>
  <si>
    <t>IPOJUCA</t>
  </si>
  <si>
    <t>PIRITUBA (VITORIA DE SANTO ANTAO)</t>
  </si>
  <si>
    <t>GLORIA DO GOITA</t>
  </si>
  <si>
    <t>POMBOS</t>
  </si>
  <si>
    <t>CHA GRANDE</t>
  </si>
  <si>
    <t>GRAVATA DO IBIAPINA</t>
  </si>
  <si>
    <t>PASSIRA</t>
  </si>
  <si>
    <t>CUMARU</t>
  </si>
  <si>
    <t>BEZERROS</t>
  </si>
  <si>
    <t>CAMOCIM DE SAO FELIX</t>
  </si>
  <si>
    <t>SAO JOAQUIM DO MONTE</t>
  </si>
  <si>
    <t>SALGADINHO</t>
  </si>
  <si>
    <t>BARRA DE GUABIRABA</t>
  </si>
  <si>
    <t>SAIRE</t>
  </si>
  <si>
    <t>LIMOEIRO</t>
  </si>
  <si>
    <t>JOAO ALFREDO</t>
  </si>
  <si>
    <t>MACHADOS</t>
  </si>
  <si>
    <t>OROBO</t>
  </si>
  <si>
    <t>SURUBIM</t>
  </si>
  <si>
    <t>CASINHAS</t>
  </si>
  <si>
    <t>VERTENTE DO LERIO</t>
  </si>
  <si>
    <t>SANTA MARIA DO CAMBUCA</t>
  </si>
  <si>
    <t>VERTENTES</t>
  </si>
  <si>
    <t>FREI MIGUELINHO</t>
  </si>
  <si>
    <t>TAQUARITINGA DO NORTE</t>
  </si>
  <si>
    <t>NAZARE DA MATA</t>
  </si>
  <si>
    <t>TRACUNHAEM</t>
  </si>
  <si>
    <t>CARAMURU (CARPINA)</t>
  </si>
  <si>
    <t>LAGOA DO CARRO</t>
  </si>
  <si>
    <t>PAUDALHO</t>
  </si>
  <si>
    <t>CHA DE ALEGRIA</t>
  </si>
  <si>
    <t>LAGOA DE ITAENGA</t>
  </si>
  <si>
    <t>BUENOS AIRES</t>
  </si>
  <si>
    <t>VICENCIA</t>
  </si>
  <si>
    <t>SAO VICENTE FERRER</t>
  </si>
  <si>
    <t>MACAPARANA</t>
  </si>
  <si>
    <t>TIMBAUBA</t>
  </si>
  <si>
    <t>FERREIROS</t>
  </si>
  <si>
    <t>ALIANCA</t>
  </si>
  <si>
    <t>CAMUTANGA</t>
  </si>
  <si>
    <t>CONDADO</t>
  </si>
  <si>
    <t>ITAQUITINGA</t>
  </si>
  <si>
    <t>SALGUEIRO</t>
  </si>
  <si>
    <t>VERDEJANTE</t>
  </si>
  <si>
    <t>CEDRO</t>
  </si>
  <si>
    <t>SERRITA</t>
  </si>
  <si>
    <t>MOREILANDIA</t>
  </si>
  <si>
    <t>GRANITO</t>
  </si>
  <si>
    <t>PARNAMIRIM</t>
  </si>
  <si>
    <t>OROCO</t>
  </si>
  <si>
    <t>CABROBO</t>
  </si>
  <si>
    <t>OURICURI</t>
  </si>
  <si>
    <t>SANTA FILOMENA</t>
  </si>
  <si>
    <t>SANTA CRUZ</t>
  </si>
  <si>
    <t>BODOCO</t>
  </si>
  <si>
    <t>EXU</t>
  </si>
  <si>
    <t>TRINDADE</t>
  </si>
  <si>
    <t>IPUBI</t>
  </si>
  <si>
    <t>ARARIPINA</t>
  </si>
  <si>
    <t>PETROLINA</t>
  </si>
  <si>
    <t>CRISTALIA (PETROLINA)</t>
  </si>
  <si>
    <t>DORMENTES</t>
  </si>
  <si>
    <t>AFRANIO</t>
  </si>
  <si>
    <t>SANTA MARIA DA BOA VISTA</t>
  </si>
  <si>
    <t>FLORESTA</t>
  </si>
  <si>
    <t>CARNAUBEIRA DA PENHA</t>
  </si>
  <si>
    <t>ITACURUBA</t>
  </si>
  <si>
    <t>BELEM DO SAO FRANCISCO</t>
  </si>
  <si>
    <t>PETROLANDIA</t>
  </si>
  <si>
    <t>JATOBA</t>
  </si>
  <si>
    <t>TACARATU</t>
  </si>
  <si>
    <t>ARCOVERDE</t>
  </si>
  <si>
    <t>BUIQUE</t>
  </si>
  <si>
    <t>TUPANATINGA</t>
  </si>
  <si>
    <t>ITAIBA</t>
  </si>
  <si>
    <t>INAJA</t>
  </si>
  <si>
    <t>MANARI</t>
  </si>
  <si>
    <t>IBIMIRIM</t>
  </si>
  <si>
    <t>SERTANIA</t>
  </si>
  <si>
    <t>CUSTODIA</t>
  </si>
  <si>
    <t>BETANIA</t>
  </si>
  <si>
    <t>SAO JOSE DO EGITO</t>
  </si>
  <si>
    <t>ITAPETIM</t>
  </si>
  <si>
    <t>BREJINHO</t>
  </si>
  <si>
    <t>TUPARETAMA</t>
  </si>
  <si>
    <t>TABIRA</t>
  </si>
  <si>
    <t>SOLIDAO</t>
  </si>
  <si>
    <t>AFOGADOS DA INGAZEIRA</t>
  </si>
  <si>
    <t>CARNAIBA</t>
  </si>
  <si>
    <t>QUIXABA</t>
  </si>
  <si>
    <t>INGAZEIRA</t>
  </si>
  <si>
    <t>IGUARACY</t>
  </si>
  <si>
    <t>FLORES</t>
  </si>
  <si>
    <t>TRIUNFO</t>
  </si>
  <si>
    <t>SANTA CRUZ DA BAIXA VERDE</t>
  </si>
  <si>
    <t>SERRA TALHADA</t>
  </si>
  <si>
    <t>CALUMBI</t>
  </si>
  <si>
    <t>SAO JOSE DO BELMONTE</t>
  </si>
  <si>
    <t>MIRANDIBA</t>
  </si>
  <si>
    <t>MACEIO</t>
  </si>
  <si>
    <t>AL</t>
  </si>
  <si>
    <t>RIO LARGO</t>
  </si>
  <si>
    <t>SATUBA</t>
  </si>
  <si>
    <t>SANTA LUZIA DO NORTE</t>
  </si>
  <si>
    <t>COQUEIRO SECO</t>
  </si>
  <si>
    <t>PILAR</t>
  </si>
  <si>
    <t>MARECHAL DEODORO</t>
  </si>
  <si>
    <t>BARRA DE SAO MIGUEL</t>
  </si>
  <si>
    <t>PENEDO</t>
  </si>
  <si>
    <t>PIACABUCU</t>
  </si>
  <si>
    <t>FELIZ DESERTO</t>
  </si>
  <si>
    <t>CORURIPE</t>
  </si>
  <si>
    <t>SAO MIGUEL DOS CAMPOS</t>
  </si>
  <si>
    <t>CAMPO ALEGRE</t>
  </si>
  <si>
    <t>JEQUIA DA PRAIA</t>
  </si>
  <si>
    <t>ROTEIRO</t>
  </si>
  <si>
    <t>LIMOEIRO DE ANADIA</t>
  </si>
  <si>
    <t>TEOTONIO VILELA</t>
  </si>
  <si>
    <t>JUNQUEIRO</t>
  </si>
  <si>
    <t>SAO SEBASTIAO</t>
  </si>
  <si>
    <t>IGREJA NOVA</t>
  </si>
  <si>
    <t>PORTO REAL DO COLEGIO</t>
  </si>
  <si>
    <t>LAGOA DO RANCHO (ARAPIRACA)</t>
  </si>
  <si>
    <t>CRAIBAS</t>
  </si>
  <si>
    <t>COITE DO NOIA</t>
  </si>
  <si>
    <t>LAGOA DA CANOA</t>
  </si>
  <si>
    <t>FEIRA GRANDE</t>
  </si>
  <si>
    <t>CAMPO GRANDE</t>
  </si>
  <si>
    <t>GIRAU DO PONCIANO</t>
  </si>
  <si>
    <t>TRAIPU</t>
  </si>
  <si>
    <t>SAO BRAS</t>
  </si>
  <si>
    <t>OLHO D'AGUA GRANDE</t>
  </si>
  <si>
    <t>PAO DE ACUCAR</t>
  </si>
  <si>
    <t>BATALHA</t>
  </si>
  <si>
    <t>JARAMATAIA</t>
  </si>
  <si>
    <t>JACARE DOS HOMENS</t>
  </si>
  <si>
    <t>BELO MONTE</t>
  </si>
  <si>
    <t>MONTEIROPOLIS</t>
  </si>
  <si>
    <t>OLHO D'AGUA DAS FLORES</t>
  </si>
  <si>
    <t>SAO JOSE DA TAPERA</t>
  </si>
  <si>
    <t>PIRANHAS</t>
  </si>
  <si>
    <t>OLHO D'AGUA DO CASADO</t>
  </si>
  <si>
    <t>PARICONHA</t>
  </si>
  <si>
    <t>DELMIRO GOUVEIA</t>
  </si>
  <si>
    <t>AGUA BRANCA</t>
  </si>
  <si>
    <t>SANTANA DO IPANEMA</t>
  </si>
  <si>
    <t>POCO DAS TRINCHEIRAS</t>
  </si>
  <si>
    <t>SENADOR RUI PALMEIRA</t>
  </si>
  <si>
    <t>MARAVILHA</t>
  </si>
  <si>
    <t>CANAPI</t>
  </si>
  <si>
    <t>CARNEIROS</t>
  </si>
  <si>
    <t>MATA GRANDE</t>
  </si>
  <si>
    <t>INHAPI</t>
  </si>
  <si>
    <t>OLIVENCA</t>
  </si>
  <si>
    <t>DOIS RIACHOS</t>
  </si>
  <si>
    <t>CACIMBINHAS</t>
  </si>
  <si>
    <t>MAJOR ISIDORO</t>
  </si>
  <si>
    <t>PALMEIRA DE FORA (PALMEIRA DOS INDIOS)</t>
  </si>
  <si>
    <t>MINADOR DO NEGRAO</t>
  </si>
  <si>
    <t>IGACI</t>
  </si>
  <si>
    <t>ESTRELA DE ALAGOAS</t>
  </si>
  <si>
    <t>BELEM</t>
  </si>
  <si>
    <t>TANQUE D'ARCA</t>
  </si>
  <si>
    <t>TAQUARANA</t>
  </si>
  <si>
    <t>ANADIA</t>
  </si>
  <si>
    <t>MARIBONDO</t>
  </si>
  <si>
    <t>BOCA DA MATA</t>
  </si>
  <si>
    <t>ATALAIA</t>
  </si>
  <si>
    <t>PINDOBA</t>
  </si>
  <si>
    <t>MAR VERMELHO</t>
  </si>
  <si>
    <t>PAULO JACINTO</t>
  </si>
  <si>
    <t>QUEBRANGULO</t>
  </si>
  <si>
    <t>CHA PRETA</t>
  </si>
  <si>
    <t>CAJUEIRO</t>
  </si>
  <si>
    <t>UNIAO DOS PALMARES</t>
  </si>
  <si>
    <t>MURICI</t>
  </si>
  <si>
    <t>BRANQUINHA</t>
  </si>
  <si>
    <t>SANTANA DO MUNDAU</t>
  </si>
  <si>
    <t>SAO JOSE DA LAJE</t>
  </si>
  <si>
    <t>IBATEGUARA</t>
  </si>
  <si>
    <t>PORTO CALVO</t>
  </si>
  <si>
    <t>MATRIZ DE CAMARAGIBE</t>
  </si>
  <si>
    <t>SAO LUIS DO QUITUNDE</t>
  </si>
  <si>
    <t>BARRA DE SANTO ANTONIO</t>
  </si>
  <si>
    <t>PASSO DE CAMARAGIBE</t>
  </si>
  <si>
    <t>PARIPUEIRA</t>
  </si>
  <si>
    <t>SAO MIGUEL DOS MILAGRES</t>
  </si>
  <si>
    <t>PORTO DE PEDRAS</t>
  </si>
  <si>
    <t>JAPARATINGA</t>
  </si>
  <si>
    <t>MARAGOGI</t>
  </si>
  <si>
    <t>JACUIPE</t>
  </si>
  <si>
    <t>JUNDIA</t>
  </si>
  <si>
    <t>NOVO LINO</t>
  </si>
  <si>
    <t>COLONIA LEOPOLDINA</t>
  </si>
  <si>
    <t>JOAQUIM GOMES</t>
  </si>
  <si>
    <t>MESSIAS</t>
  </si>
  <si>
    <t>FLEXEIRAS</t>
  </si>
  <si>
    <t>JOAO PESSOA</t>
  </si>
  <si>
    <t>PB</t>
  </si>
  <si>
    <t>CABEDELO</t>
  </si>
  <si>
    <t>PUXINANA</t>
  </si>
  <si>
    <t>LAGOA SECA</t>
  </si>
  <si>
    <t>SAO SEBASTIAO DE LAGOA DE ROCA</t>
  </si>
  <si>
    <t>MASSARANDUBA</t>
  </si>
  <si>
    <t>BOA VISTA</t>
  </si>
  <si>
    <t>ALAGOA NOVA</t>
  </si>
  <si>
    <t>MATINHAS</t>
  </si>
  <si>
    <t>ESPERANCA</t>
  </si>
  <si>
    <t>AREIAL</t>
  </si>
  <si>
    <t>MONTADAS</t>
  </si>
  <si>
    <t>POCINHOS</t>
  </si>
  <si>
    <t>SOLEDADE</t>
  </si>
  <si>
    <t>SAO VICENTE DO SERIDO</t>
  </si>
  <si>
    <t>OLIVEDOS</t>
  </si>
  <si>
    <t>CUBATI</t>
  </si>
  <si>
    <t>BARRA DE SANTA ROSA</t>
  </si>
  <si>
    <t>DAMIAO</t>
  </si>
  <si>
    <t>CUITE</t>
  </si>
  <si>
    <t>SOSSEGO</t>
  </si>
  <si>
    <t>NOVA FLORESTA</t>
  </si>
  <si>
    <t>PEDRA LAVRADA</t>
  </si>
  <si>
    <t>NOVA PALMEIRA</t>
  </si>
  <si>
    <t>PICUI</t>
  </si>
  <si>
    <t>BARAUNA</t>
  </si>
  <si>
    <t>FREI MARTINHO</t>
  </si>
  <si>
    <t>GUARABIRA</t>
  </si>
  <si>
    <t>CUITEGI</t>
  </si>
  <si>
    <t>PILOEZINHOS</t>
  </si>
  <si>
    <t>PIRPIRITUBA</t>
  </si>
  <si>
    <t>BANANEIRAS</t>
  </si>
  <si>
    <t>SOLANEA</t>
  </si>
  <si>
    <t>DONA INES</t>
  </si>
  <si>
    <t>CACIMBA DE DENTRO</t>
  </si>
  <si>
    <t>ARARUNA</t>
  </si>
  <si>
    <t>RIACHAO</t>
  </si>
  <si>
    <t>CASSERENGUE</t>
  </si>
  <si>
    <t>TACIMA</t>
  </si>
  <si>
    <t>LAGOA DE DENTRO</t>
  </si>
  <si>
    <t>CAICARA</t>
  </si>
  <si>
    <t>LOGRADOURO</t>
  </si>
  <si>
    <t>SERRA DA RAIZ</t>
  </si>
  <si>
    <t>DUAS ESTRADAS</t>
  </si>
  <si>
    <t>ARACAGI</t>
  </si>
  <si>
    <t>PEDRO REGIS</t>
  </si>
  <si>
    <t>ITAPOROROCA</t>
  </si>
  <si>
    <t>JACARAU</t>
  </si>
  <si>
    <t>MAMANGUAPE</t>
  </si>
  <si>
    <t>CAPIM</t>
  </si>
  <si>
    <t>CUITE DE MAMANGUAPE</t>
  </si>
  <si>
    <t>CURRAL DE CIMA</t>
  </si>
  <si>
    <t>MATARACA</t>
  </si>
  <si>
    <t>MARCACAO</t>
  </si>
  <si>
    <t>BAIA DA TRAICAO</t>
  </si>
  <si>
    <t>RIO TINTO</t>
  </si>
  <si>
    <t>FORTE VELHO (SANTA RITA)</t>
  </si>
  <si>
    <t>BAYEUX</t>
  </si>
  <si>
    <t>LUCENA</t>
  </si>
  <si>
    <t>ALHANDRA</t>
  </si>
  <si>
    <t>PITIMBU</t>
  </si>
  <si>
    <t>CAAPORA</t>
  </si>
  <si>
    <t>PEDRAS DE FOGO</t>
  </si>
  <si>
    <t>JURIPIRANGA</t>
  </si>
  <si>
    <t>SAO MIGUEL DE TAIPU</t>
  </si>
  <si>
    <t>CRUZ DO ESPIRITO SANTO</t>
  </si>
  <si>
    <t>SAO JOSE DOS RAMOS</t>
  </si>
  <si>
    <t>SAPE</t>
  </si>
  <si>
    <t>SOBRADO</t>
  </si>
  <si>
    <t>MARI</t>
  </si>
  <si>
    <t>RIACHAO DO POCO</t>
  </si>
  <si>
    <t>CALDAS BRANDAO</t>
  </si>
  <si>
    <t>MULUNGU</t>
  </si>
  <si>
    <t>GURINHEM</t>
  </si>
  <si>
    <t>SALGADO DE SAO FELIX</t>
  </si>
  <si>
    <t>MOGEIRO</t>
  </si>
  <si>
    <t>ITATUBA</t>
  </si>
  <si>
    <t>INGA</t>
  </si>
  <si>
    <t>RIACHAO DO BACAMARTE</t>
  </si>
  <si>
    <t>SERRA REDONDA</t>
  </si>
  <si>
    <t>JUAREZ TAVORA</t>
  </si>
  <si>
    <t>ALAGOA GRANDE</t>
  </si>
  <si>
    <t>PILOES</t>
  </si>
  <si>
    <t>SERRARIA</t>
  </si>
  <si>
    <t>ARARA</t>
  </si>
  <si>
    <t>AREIA</t>
  </si>
  <si>
    <t>REMIGIO</t>
  </si>
  <si>
    <t>ALGODAO DE JANDAIRA</t>
  </si>
  <si>
    <t>CAMPINA GRANDE</t>
  </si>
  <si>
    <t>BOQUEIRAO</t>
  </si>
  <si>
    <t>CATURITE</t>
  </si>
  <si>
    <t>BARRA DE SANTANA</t>
  </si>
  <si>
    <t>ALCANTIL</t>
  </si>
  <si>
    <t>SANTA CECILIA</t>
  </si>
  <si>
    <t>RIACHO DE SANTO ANTONIO</t>
  </si>
  <si>
    <t>CABACEIRAS</t>
  </si>
  <si>
    <t>SAO DOMINGOS DO CARIRI</t>
  </si>
  <si>
    <t>FAGUNDES</t>
  </si>
  <si>
    <t>AROEIRAS</t>
  </si>
  <si>
    <t>GADO BRAVO</t>
  </si>
  <si>
    <t>NATUBA</t>
  </si>
  <si>
    <t>UMBUZEIRO</t>
  </si>
  <si>
    <t>MONTEIRO</t>
  </si>
  <si>
    <t>SAO SEBASTIAO DO UMBUZEIRO</t>
  </si>
  <si>
    <t>ZABELE</t>
  </si>
  <si>
    <t>SAO JOAO DO TIGRE</t>
  </si>
  <si>
    <t>CAMALAU</t>
  </si>
  <si>
    <t>CONGO</t>
  </si>
  <si>
    <t>SUME</t>
  </si>
  <si>
    <t>OURO VELHO</t>
  </si>
  <si>
    <t>SAO JOSE DOS CORDEIROS</t>
  </si>
  <si>
    <t>PARARI</t>
  </si>
  <si>
    <t>SERRA BRANCA</t>
  </si>
  <si>
    <t>COXIXOLA</t>
  </si>
  <si>
    <t>SAO JOAO DO CARIRI</t>
  </si>
  <si>
    <t>CARAUBAS</t>
  </si>
  <si>
    <t>SAO JOSE DO SABUGI</t>
  </si>
  <si>
    <t>VARZEA</t>
  </si>
  <si>
    <t>SAO MAMEDE</t>
  </si>
  <si>
    <t>JUNCO DO SERIDO</t>
  </si>
  <si>
    <t>JUAZEIRINHO</t>
  </si>
  <si>
    <t>TENORIO</t>
  </si>
  <si>
    <t>GURJAO</t>
  </si>
  <si>
    <t>ASSUNCAO</t>
  </si>
  <si>
    <t>LIVRAMENTO</t>
  </si>
  <si>
    <t>DESTERRO</t>
  </si>
  <si>
    <t>CACIMBAS</t>
  </si>
  <si>
    <t>PATOS</t>
  </si>
  <si>
    <t>VISTA SERRANA</t>
  </si>
  <si>
    <t>MALTA</t>
  </si>
  <si>
    <t>CATINGUEIRA</t>
  </si>
  <si>
    <t>SANTA TERESINHA</t>
  </si>
  <si>
    <t>SAO JOSE DE ESPINHARAS</t>
  </si>
  <si>
    <t>SAO JOSE DO BONFIM</t>
  </si>
  <si>
    <t>CACIMBA DE AREIA</t>
  </si>
  <si>
    <t>AREIA DE BARAUNAS</t>
  </si>
  <si>
    <t>PASSAGEM</t>
  </si>
  <si>
    <t>TEIXEIRA</t>
  </si>
  <si>
    <t>MATUREIA</t>
  </si>
  <si>
    <t>MAE D'AGUA</t>
  </si>
  <si>
    <t>IMACULADA</t>
  </si>
  <si>
    <t>JURU</t>
  </si>
  <si>
    <t>TAVARES</t>
  </si>
  <si>
    <t>PRINCESA ISABEL</t>
  </si>
  <si>
    <t>SAO JOSE DE PRINCESA</t>
  </si>
  <si>
    <t>OLHO D'AGUA</t>
  </si>
  <si>
    <t>EMAS</t>
  </si>
  <si>
    <t>PIANCO</t>
  </si>
  <si>
    <t>COREMAS</t>
  </si>
  <si>
    <t>IGARACY</t>
  </si>
  <si>
    <t>AGUIAR</t>
  </si>
  <si>
    <t>SAO JOSE DE CAIANA</t>
  </si>
  <si>
    <t>PEDRA BRANCA</t>
  </si>
  <si>
    <t>SANTANA DOS GARROTES</t>
  </si>
  <si>
    <t>NOVA OLINDA</t>
  </si>
  <si>
    <t>CAMPO ALEGRE (SOUSA)</t>
  </si>
  <si>
    <t>SAO JOSE DA LAGOA TAPADA</t>
  </si>
  <si>
    <t>NAZAREZINHO</t>
  </si>
  <si>
    <t>MARIZOPOLIS</t>
  </si>
  <si>
    <t>LASTRO</t>
  </si>
  <si>
    <t>VIEIROPOLIS</t>
  </si>
  <si>
    <t>JERICO</t>
  </si>
  <si>
    <t>MATO GROSSO</t>
  </si>
  <si>
    <t>LAGOA</t>
  </si>
  <si>
    <t>POMBAL</t>
  </si>
  <si>
    <t>CAJAZEIRINHAS</t>
  </si>
  <si>
    <t>SAO BENTINHO</t>
  </si>
  <si>
    <t>SAO BENTO</t>
  </si>
  <si>
    <t>RIACHO DOS CAVALOS</t>
  </si>
  <si>
    <t>BREJO DOS SANTOS</t>
  </si>
  <si>
    <t>CATOLE DO ROCHA</t>
  </si>
  <si>
    <t>BREJO DO CRUZ</t>
  </si>
  <si>
    <t>SAO JOSE DO BREJO DO CRUZ</t>
  </si>
  <si>
    <t>BELEM DO BREJO DO CRUZ</t>
  </si>
  <si>
    <t>CAJAZEIRAS</t>
  </si>
  <si>
    <t>POCO DE JOSE DE MOURA</t>
  </si>
  <si>
    <t>SAO JOAO DO RIO DO PEIXE</t>
  </si>
  <si>
    <t>UIRAUNA</t>
  </si>
  <si>
    <t>BERNARDINO BATISTA</t>
  </si>
  <si>
    <t>SANTA HELENA</t>
  </si>
  <si>
    <t>JOCA CLAUDINO</t>
  </si>
  <si>
    <t>BOM JESUS</t>
  </si>
  <si>
    <t>POCO DANTAS</t>
  </si>
  <si>
    <t>CACHOEIRA DOS INDIOS</t>
  </si>
  <si>
    <t>SAO JOSE DE PIRANHAS</t>
  </si>
  <si>
    <t>CARRAPATEIRA</t>
  </si>
  <si>
    <t>MONTE HOREBE</t>
  </si>
  <si>
    <t>SERRA GRANDE</t>
  </si>
  <si>
    <t>BONITO DE SANTA FE</t>
  </si>
  <si>
    <t>CONCEICAO</t>
  </si>
  <si>
    <t>IBIARA</t>
  </si>
  <si>
    <t>SANTANA DE MANGUEIRA</t>
  </si>
  <si>
    <t>CURRAL VELHO</t>
  </si>
  <si>
    <t>BOA VENTURA</t>
  </si>
  <si>
    <t>DIAMANTE</t>
  </si>
  <si>
    <t>MANAIRA</t>
  </si>
  <si>
    <t>NATAL</t>
  </si>
  <si>
    <t>RN</t>
  </si>
  <si>
    <t>SAO JOSE DE MIPIBU</t>
  </si>
  <si>
    <t>NISIA FLORESTA</t>
  </si>
  <si>
    <t>SENADOR GEORGINO AVELINO</t>
  </si>
  <si>
    <t>ARES</t>
  </si>
  <si>
    <t>GOIANINHA</t>
  </si>
  <si>
    <t>TIBAU DO SUL</t>
  </si>
  <si>
    <t>ESPIRITO SANTO</t>
  </si>
  <si>
    <t>MONTE ALEGRE</t>
  </si>
  <si>
    <t>CANGUARETAMA</t>
  </si>
  <si>
    <t>VILA FLOR</t>
  </si>
  <si>
    <t>BAIA FORMOSA</t>
  </si>
  <si>
    <t>PEDRO VELHO</t>
  </si>
  <si>
    <t>MONTANHAS</t>
  </si>
  <si>
    <t>SAO BENTO DO TRAIRI</t>
  </si>
  <si>
    <t>JAPI</t>
  </si>
  <si>
    <t>SERRA DE SAO BENTO</t>
  </si>
  <si>
    <t>NOVA CRUZ</t>
  </si>
  <si>
    <t>MONTE DAS GAMELEIRAS</t>
  </si>
  <si>
    <t>PASSA E FICA</t>
  </si>
  <si>
    <t>CORONEL EZEQUIEL</t>
  </si>
  <si>
    <t>JACANA</t>
  </si>
  <si>
    <t>LAGOA D'ANTA</t>
  </si>
  <si>
    <t>CAMPO REDONDO</t>
  </si>
  <si>
    <t>LAJES PINTADAS</t>
  </si>
  <si>
    <t>TANGARA</t>
  </si>
  <si>
    <t>LAGOA DE PEDRAS</t>
  </si>
  <si>
    <t>SERRA CAIADA</t>
  </si>
  <si>
    <t>LAGOA SALGADA</t>
  </si>
  <si>
    <t>SENADOR ELOI DE SOUZA</t>
  </si>
  <si>
    <t>SANTO ANTONIO</t>
  </si>
  <si>
    <t>JANUARIO CICCO</t>
  </si>
  <si>
    <t>SAO JOSE DO CAMPESTRE</t>
  </si>
  <si>
    <t>MACAIBA</t>
  </si>
  <si>
    <t>SANTO ANTONIO DO POTENGI (SAO GONCALO DO AMARANTE)</t>
  </si>
  <si>
    <t>CAICO</t>
  </si>
  <si>
    <t>SAO JOAO DO SABUGI</t>
  </si>
  <si>
    <t>IPUEIRA</t>
  </si>
  <si>
    <t>SERRA NEGRA DO NORTE</t>
  </si>
  <si>
    <t>TIMBAUBA DOS BATISTAS</t>
  </si>
  <si>
    <t>JARDIM DE PIRANHAS</t>
  </si>
  <si>
    <t>SAO FERNANDO</t>
  </si>
  <si>
    <t>JUCURUTU</t>
  </si>
  <si>
    <t>FLORANIA</t>
  </si>
  <si>
    <t>TENENTE LAURENTINO CRUZ</t>
  </si>
  <si>
    <t>JARDIM DO SERIDO</t>
  </si>
  <si>
    <t>SANTANA DO SERIDO</t>
  </si>
  <si>
    <t>EQUADOR</t>
  </si>
  <si>
    <t>PARELHAS</t>
  </si>
  <si>
    <t>ACARI</t>
  </si>
  <si>
    <t>CARNAUBA DOS DANTAS</t>
  </si>
  <si>
    <t>CRUZETA</t>
  </si>
  <si>
    <t>SAO JOSE DO SERIDO</t>
  </si>
  <si>
    <t>CURRAIS NOVOS</t>
  </si>
  <si>
    <t>LAGOA NOVA</t>
  </si>
  <si>
    <t>CERRO CORA</t>
  </si>
  <si>
    <t>SAO TOME</t>
  </si>
  <si>
    <t>BARCELONA</t>
  </si>
  <si>
    <t>LAGOA DE VELHOS</t>
  </si>
  <si>
    <t>SITIO NOVO</t>
  </si>
  <si>
    <t>SAO PAULO DO POTENGI</t>
  </si>
  <si>
    <t>SANTA MARIA</t>
  </si>
  <si>
    <t>IELMO MARINHO</t>
  </si>
  <si>
    <t>MACAU</t>
  </si>
  <si>
    <t>PENDENCIAS</t>
  </si>
  <si>
    <t>ALTO DO RODRIGUES</t>
  </si>
  <si>
    <t>IPANGUACU</t>
  </si>
  <si>
    <t>AFONSO BEZERRA</t>
  </si>
  <si>
    <t>ITAJA</t>
  </si>
  <si>
    <t>ANGICOS</t>
  </si>
  <si>
    <t>FERNANDO PEDROZA</t>
  </si>
  <si>
    <t>SAO RAFAEL</t>
  </si>
  <si>
    <t>SANTANA DO MATOS</t>
  </si>
  <si>
    <t>BODO</t>
  </si>
  <si>
    <t>PEDRO AVELINO</t>
  </si>
  <si>
    <t>LAJES</t>
  </si>
  <si>
    <t>CAICARA DO RIO DO VENTO</t>
  </si>
  <si>
    <t>JARDIM DE ANGICOS</t>
  </si>
  <si>
    <t>PEDRA PRETA</t>
  </si>
  <si>
    <t>JOAO CAMARA</t>
  </si>
  <si>
    <t>BENTO FERNANDES</t>
  </si>
  <si>
    <t>POCO BRANCO</t>
  </si>
  <si>
    <t>TAIPU</t>
  </si>
  <si>
    <t>CEARA-MIRIM</t>
  </si>
  <si>
    <t>EXTREMOZ</t>
  </si>
  <si>
    <t>RIO DO FOGO</t>
  </si>
  <si>
    <t>MAXARANGUAPE</t>
  </si>
  <si>
    <t>PUREZA</t>
  </si>
  <si>
    <t>TOUROS</t>
  </si>
  <si>
    <t>SAO MIGUEL DO GOSTOSO</t>
  </si>
  <si>
    <t>PARAZINHO</t>
  </si>
  <si>
    <t>PEDRA GRANDE</t>
  </si>
  <si>
    <t>SAO BENTO DO NORTE</t>
  </si>
  <si>
    <t>CAICARA DO NORTE</t>
  </si>
  <si>
    <t>GALINHOS</t>
  </si>
  <si>
    <t>GUAMARE</t>
  </si>
  <si>
    <t>MOSSORO</t>
  </si>
  <si>
    <t>ACU</t>
  </si>
  <si>
    <t>PARAU</t>
  </si>
  <si>
    <t>SERRA DO MEL</t>
  </si>
  <si>
    <t>CARNAUBAIS</t>
  </si>
  <si>
    <t>PORTO DO MANGUE</t>
  </si>
  <si>
    <t>UPANEMA</t>
  </si>
  <si>
    <t>GROSSOS</t>
  </si>
  <si>
    <t>TIBAU</t>
  </si>
  <si>
    <t>AUGUSTO SEVERO</t>
  </si>
  <si>
    <t>TRIUNFO POTIGUAR</t>
  </si>
  <si>
    <t>JANDUIS</t>
  </si>
  <si>
    <t>APODI</t>
  </si>
  <si>
    <t>OLHO D'AGUA DO BORGES</t>
  </si>
  <si>
    <t>RAFAEL GODEIRO</t>
  </si>
  <si>
    <t>ALMINO AFONSO</t>
  </si>
  <si>
    <t>PATU</t>
  </si>
  <si>
    <t>MESSIAS TARGINO</t>
  </si>
  <si>
    <t>GOVERNADOR DIX-SEPT ROSADO</t>
  </si>
  <si>
    <t>FELIPE GUERRA</t>
  </si>
  <si>
    <t>MARTINS</t>
  </si>
  <si>
    <t>LUCRECIA</t>
  </si>
  <si>
    <t>SERRINHA DOS PINTOS</t>
  </si>
  <si>
    <t>PORTALEGRE</t>
  </si>
  <si>
    <t>RIACHO DA CRUZ</t>
  </si>
  <si>
    <t>RODOLFO FERNANDES</t>
  </si>
  <si>
    <t>TABOLEIRO GRANDE</t>
  </si>
  <si>
    <t>ITAU</t>
  </si>
  <si>
    <t>SEVERIANO MELO</t>
  </si>
  <si>
    <t>UMARIZAL</t>
  </si>
  <si>
    <t>ANTONIO MARTINS</t>
  </si>
  <si>
    <t>JOAO DIAS</t>
  </si>
  <si>
    <t>FRUTUOSO GOMES</t>
  </si>
  <si>
    <t>PAU DOS FERROS</t>
  </si>
  <si>
    <t>FRANCISCO DANTAS</t>
  </si>
  <si>
    <t>ENCANTO</t>
  </si>
  <si>
    <t>SAO FRANCISCO DO OESTE</t>
  </si>
  <si>
    <t>DOUTOR SEVERIANO</t>
  </si>
  <si>
    <t>SAO MIGUEL</t>
  </si>
  <si>
    <t>VENHA-VER</t>
  </si>
  <si>
    <t>CORONEL JOAO PESSOA</t>
  </si>
  <si>
    <t>LUIS GOMES</t>
  </si>
  <si>
    <t>MAJOR SALES</t>
  </si>
  <si>
    <t>PARANA</t>
  </si>
  <si>
    <t>TENENTE ANANIAS</t>
  </si>
  <si>
    <t>ALEXANDRIA</t>
  </si>
  <si>
    <t>MARCELINO VIEIRA</t>
  </si>
  <si>
    <t>JOSE DA PENHA</t>
  </si>
  <si>
    <t>RAFAEL FERNANDES</t>
  </si>
  <si>
    <t>AGUA NOVA</t>
  </si>
  <si>
    <t>FORTALEZA</t>
  </si>
  <si>
    <t>CE</t>
  </si>
  <si>
    <t>CAUCAIA</t>
  </si>
  <si>
    <t>AQUIRAZ</t>
  </si>
  <si>
    <t>EUSEBIO</t>
  </si>
  <si>
    <t>ITAITINGA</t>
  </si>
  <si>
    <t>GUAIUBA</t>
  </si>
  <si>
    <t>MARACANAU</t>
  </si>
  <si>
    <t>TANQUES (MARANGUAPE)</t>
  </si>
  <si>
    <t>MARANGUAPE</t>
  </si>
  <si>
    <t>SOBRAL</t>
  </si>
  <si>
    <t>FORQUILHA</t>
  </si>
  <si>
    <t>ALCANTARAS</t>
  </si>
  <si>
    <t>MERUOCA</t>
  </si>
  <si>
    <t>MASSAPE</t>
  </si>
  <si>
    <t>SANTANA DO ACARAU</t>
  </si>
  <si>
    <t>COREAU</t>
  </si>
  <si>
    <t>MUCAMBO</t>
  </si>
  <si>
    <t>PACUJA</t>
  </si>
  <si>
    <t>CARIRE</t>
  </si>
  <si>
    <t>GROAIRAS</t>
  </si>
  <si>
    <t>NOVA RUSSAS</t>
  </si>
  <si>
    <t>ARARENDA</t>
  </si>
  <si>
    <t>IPAPORANGA</t>
  </si>
  <si>
    <t>PORANGA</t>
  </si>
  <si>
    <t>IPUEIRAS</t>
  </si>
  <si>
    <t>IPU</t>
  </si>
  <si>
    <t>PIRES FERREIRA</t>
  </si>
  <si>
    <t>RERIUTABA</t>
  </si>
  <si>
    <t>VARJOTA</t>
  </si>
  <si>
    <t>HIDROLANDIA</t>
  </si>
  <si>
    <t>SANTA QUITERIA</t>
  </si>
  <si>
    <t>CATUNDA</t>
  </si>
  <si>
    <t>VICOSA DO CEARA</t>
  </si>
  <si>
    <t>TIANGUA</t>
  </si>
  <si>
    <t>FRECHEIRINHA</t>
  </si>
  <si>
    <t>UBAJARA</t>
  </si>
  <si>
    <t>IBIAPINA</t>
  </si>
  <si>
    <t>GRACA</t>
  </si>
  <si>
    <t>SAO BENEDITO</t>
  </si>
  <si>
    <t>CARNAUBAL</t>
  </si>
  <si>
    <t>GUARACIABA DO NORTE</t>
  </si>
  <si>
    <t>CROATA</t>
  </si>
  <si>
    <t>CAMOCIM</t>
  </si>
  <si>
    <t>BARROQUINHA</t>
  </si>
  <si>
    <t>CHAVAL</t>
  </si>
  <si>
    <t>GRANJA</t>
  </si>
  <si>
    <t>MARTINOPOLE</t>
  </si>
  <si>
    <t>URUOCA</t>
  </si>
  <si>
    <t>SENADOR SA</t>
  </si>
  <si>
    <t>MORAUJO</t>
  </si>
  <si>
    <t>ITAPIPOCA</t>
  </si>
  <si>
    <t>MIRAIMA</t>
  </si>
  <si>
    <t>AMONTADA</t>
  </si>
  <si>
    <t>MORRINHOS</t>
  </si>
  <si>
    <t>MARCO</t>
  </si>
  <si>
    <t>BELA CRUZ</t>
  </si>
  <si>
    <t>ACARAU</t>
  </si>
  <si>
    <t>ITAREMA</t>
  </si>
  <si>
    <t>CRUZ</t>
  </si>
  <si>
    <t>JIJOCA DE JERICOACOARA</t>
  </si>
  <si>
    <t>ITAPAJE</t>
  </si>
  <si>
    <t>TEJUCUOCA</t>
  </si>
  <si>
    <t>IRAUCUBA</t>
  </si>
  <si>
    <t>APUIARES</t>
  </si>
  <si>
    <t>PENTECOSTE</t>
  </si>
  <si>
    <t>URUBURETAMA</t>
  </si>
  <si>
    <t>TURURU</t>
  </si>
  <si>
    <t>UMIRIM</t>
  </si>
  <si>
    <t>SAO LUIS DO CURU</t>
  </si>
  <si>
    <t>SAO GONCALO DO AMARANTE</t>
  </si>
  <si>
    <t>PARACURU</t>
  </si>
  <si>
    <t>PARAIPABA</t>
  </si>
  <si>
    <t>TRAIRI</t>
  </si>
  <si>
    <t>CANINDE</t>
  </si>
  <si>
    <t>ITATIRA</t>
  </si>
  <si>
    <t>CARIDADE</t>
  </si>
  <si>
    <t>PARAMOTI</t>
  </si>
  <si>
    <t>GENERAL SAMPAIO</t>
  </si>
  <si>
    <t>ITAPIUNA</t>
  </si>
  <si>
    <t>CAPISTRANO</t>
  </si>
  <si>
    <t>OCARA</t>
  </si>
  <si>
    <t>BATURITE</t>
  </si>
  <si>
    <t>ARATUBA</t>
  </si>
  <si>
    <t>GUARAMIRANGA</t>
  </si>
  <si>
    <t>PACOTI</t>
  </si>
  <si>
    <t>PALMACIA</t>
  </si>
  <si>
    <t>ACARAPE</t>
  </si>
  <si>
    <t>REDENCAO</t>
  </si>
  <si>
    <t>BARREIRA</t>
  </si>
  <si>
    <t>ARACATI</t>
  </si>
  <si>
    <t>ICAPUI</t>
  </si>
  <si>
    <t>FORTIM</t>
  </si>
  <si>
    <t>ITAICABA</t>
  </si>
  <si>
    <t>JAGUARUANA</t>
  </si>
  <si>
    <t>BEBERIBE</t>
  </si>
  <si>
    <t>CASCAVEL</t>
  </si>
  <si>
    <t>PINDORETAMA</t>
  </si>
  <si>
    <t>PACAJUS</t>
  </si>
  <si>
    <t>CHOROZINHO</t>
  </si>
  <si>
    <t>HORIZONTE</t>
  </si>
  <si>
    <t>RUSSAS</t>
  </si>
  <si>
    <t>PALHANO</t>
  </si>
  <si>
    <t>QUIXERE</t>
  </si>
  <si>
    <t>LIMOEIRO DO NORTE</t>
  </si>
  <si>
    <t>MORADA NOVA</t>
  </si>
  <si>
    <t>IBICUITINGA</t>
  </si>
  <si>
    <t>TABULEIRO DO NORTE</t>
  </si>
  <si>
    <t>SAO JOAO DO JAGUARIBE</t>
  </si>
  <si>
    <t>ALTO SANTO</t>
  </si>
  <si>
    <t>IRACEMA</t>
  </si>
  <si>
    <t>POTIRETAMA</t>
  </si>
  <si>
    <t>PADRE CICERO (JUAZEIRO DO NORTE)</t>
  </si>
  <si>
    <t>DOM QUINTINO (CRATO)</t>
  </si>
  <si>
    <t>CRATO</t>
  </si>
  <si>
    <t>ASSARE</t>
  </si>
  <si>
    <t>TARRAFAS</t>
  </si>
  <si>
    <t>CAMPOS SALES</t>
  </si>
  <si>
    <t>SALITRE</t>
  </si>
  <si>
    <t>POTENGI</t>
  </si>
  <si>
    <t>ARARIPE</t>
  </si>
  <si>
    <t>BARBALHA</t>
  </si>
  <si>
    <t>FARIAS BRITO</t>
  </si>
  <si>
    <t>SANTANA DO CARIRI</t>
  </si>
  <si>
    <t>ALTANEIRA</t>
  </si>
  <si>
    <t>MISSAO VELHA</t>
  </si>
  <si>
    <t>MAURITI</t>
  </si>
  <si>
    <t>CARIRIACU</t>
  </si>
  <si>
    <t>GRANJEIRO</t>
  </si>
  <si>
    <t>ABAIARA</t>
  </si>
  <si>
    <t>BREJO SANTO</t>
  </si>
  <si>
    <t>PORTEIRAS</t>
  </si>
  <si>
    <t>JATI</t>
  </si>
  <si>
    <t>PENAFORTE</t>
  </si>
  <si>
    <t>JARDIM</t>
  </si>
  <si>
    <t>LAVRAS DA MANGABEIRA</t>
  </si>
  <si>
    <t>UMARI</t>
  </si>
  <si>
    <t>BAIXIO</t>
  </si>
  <si>
    <t>IPAUMIRIM</t>
  </si>
  <si>
    <t>AURORA</t>
  </si>
  <si>
    <t>BARRO</t>
  </si>
  <si>
    <t>ICO</t>
  </si>
  <si>
    <t>PEREIRO</t>
  </si>
  <si>
    <t>ERERE</t>
  </si>
  <si>
    <t>JAGUARIBE</t>
  </si>
  <si>
    <t>JAGUARETAMA</t>
  </si>
  <si>
    <t>JAGUARIBARA</t>
  </si>
  <si>
    <t>GADELHA (IGUATU)</t>
  </si>
  <si>
    <t>QUIXELO</t>
  </si>
  <si>
    <t>OROS</t>
  </si>
  <si>
    <t>CARIUS</t>
  </si>
  <si>
    <t>VARZEA ALEGRE</t>
  </si>
  <si>
    <t>ACOPIARA</t>
  </si>
  <si>
    <t>ANTONINA DO NORTE</t>
  </si>
  <si>
    <t>AIUABA</t>
  </si>
  <si>
    <t>JUCAS</t>
  </si>
  <si>
    <t>SABOEIRO</t>
  </si>
  <si>
    <t>CATARINA</t>
  </si>
  <si>
    <t>SENADOR POMPEU</t>
  </si>
  <si>
    <t>PIQUET CARNEIRO</t>
  </si>
  <si>
    <t>MOMBACA</t>
  </si>
  <si>
    <t>SOLONOPOLE</t>
  </si>
  <si>
    <t>MILHA</t>
  </si>
  <si>
    <t>INDEPENDENCIA</t>
  </si>
  <si>
    <t>DEPUTADO IRAPUAN PINHEIRO</t>
  </si>
  <si>
    <t>QUITERIANOPOLIS</t>
  </si>
  <si>
    <t>TAUA</t>
  </si>
  <si>
    <t>ARNEIROZ</t>
  </si>
  <si>
    <t>PARAMBU</t>
  </si>
  <si>
    <t>CRATEUS</t>
  </si>
  <si>
    <t>NOVO ORIENTE</t>
  </si>
  <si>
    <t>TAMBORIL</t>
  </si>
  <si>
    <t>MONSENHOR TABOSA</t>
  </si>
  <si>
    <t>QUIXERAMOBIM</t>
  </si>
  <si>
    <t>MADALENA</t>
  </si>
  <si>
    <t>BOA VIAGEM</t>
  </si>
  <si>
    <t>CIPO DOS ANJOS (QUIXADA)</t>
  </si>
  <si>
    <t>CHORO</t>
  </si>
  <si>
    <t>BANABUIU</t>
  </si>
  <si>
    <t>IBARETAMA</t>
  </si>
  <si>
    <t>TERESINA</t>
  </si>
  <si>
    <t>PI</t>
  </si>
  <si>
    <t>BARRAS</t>
  </si>
  <si>
    <t>CABECEIRAS DO PIAUI</t>
  </si>
  <si>
    <t>BOA HORA</t>
  </si>
  <si>
    <t>JOSE DE FREITAS</t>
  </si>
  <si>
    <t>UNIAO</t>
  </si>
  <si>
    <t>MIGUEL ALVES</t>
  </si>
  <si>
    <t>LAGOA ALEGRE</t>
  </si>
  <si>
    <t>NOSSA SENHORA DOS REMEDIOS</t>
  </si>
  <si>
    <t>PORTO</t>
  </si>
  <si>
    <t>CAMPO LARGO DO PIAUI</t>
  </si>
  <si>
    <t>MATIAS OLIMPIO</t>
  </si>
  <si>
    <t>SAO JOAO DO ARRAIAL</t>
  </si>
  <si>
    <t>LUZILANDIA</t>
  </si>
  <si>
    <t>JOCA MARQUES</t>
  </si>
  <si>
    <t>MADEIRO</t>
  </si>
  <si>
    <t>JOAQUIM PIRES</t>
  </si>
  <si>
    <t>MURICI DOS PORTELAS</t>
  </si>
  <si>
    <t>MORRO DO CHAPEU DO PIAUI</t>
  </si>
  <si>
    <t>ESPERANTINA</t>
  </si>
  <si>
    <t>PARNAIBA</t>
  </si>
  <si>
    <t>LUIS CORREIA</t>
  </si>
  <si>
    <t>CAJUEIRO DA PRAIA</t>
  </si>
  <si>
    <t>ILHA GRANDE</t>
  </si>
  <si>
    <t>BOM PRINCIPIO DO PIAUI</t>
  </si>
  <si>
    <t>CAXINGO</t>
  </si>
  <si>
    <t>BURITI DOS LOPES</t>
  </si>
  <si>
    <t>CARAUBAS DO PIAUI</t>
  </si>
  <si>
    <t>COCAL</t>
  </si>
  <si>
    <t>COCAL DOS ALVES</t>
  </si>
  <si>
    <t>PIRACURUCA</t>
  </si>
  <si>
    <t>SAO JOAO DA FRONTEIRA</t>
  </si>
  <si>
    <t>DOMINGOS MOURAO</t>
  </si>
  <si>
    <t>MILTON BRANDAO</t>
  </si>
  <si>
    <t>PEDRO II</t>
  </si>
  <si>
    <t>LAGOA DE SAO FRANCISCO</t>
  </si>
  <si>
    <t>PIRIPIRI</t>
  </si>
  <si>
    <t>BRASILEIRA</t>
  </si>
  <si>
    <t>CAPITAO DE CAMPOS</t>
  </si>
  <si>
    <t>JATOBA DO PIAUI</t>
  </si>
  <si>
    <t>COCAL DE TELHA</t>
  </si>
  <si>
    <t>CAMPO MAIOR</t>
  </si>
  <si>
    <t>BOQUEIRAO DO PIAUI</t>
  </si>
  <si>
    <t>SIGEFREDO PACHECO</t>
  </si>
  <si>
    <t>NOSSA SENHORA DE NAZARE</t>
  </si>
  <si>
    <t>ALTOS</t>
  </si>
  <si>
    <t>PAU D'ARCO DO PIAUI</t>
  </si>
  <si>
    <t>VALENCA DO PIAUI</t>
  </si>
  <si>
    <t>LAGOA DO SITIO</t>
  </si>
  <si>
    <t>AROAZES</t>
  </si>
  <si>
    <t>SANTA CRUZ DOS MILAGRES</t>
  </si>
  <si>
    <t>PIMENTEIRAS</t>
  </si>
  <si>
    <t>ELESBAO VELOSO</t>
  </si>
  <si>
    <t>SAO MIGUEL DO TAPUIO</t>
  </si>
  <si>
    <t>ASSUNCAO DO PIAUI</t>
  </si>
  <si>
    <t>COIVARAS</t>
  </si>
  <si>
    <t>CASTELO DO PIAUI</t>
  </si>
  <si>
    <t>JUAZEIRO DO PIAUI</t>
  </si>
  <si>
    <t>BURITI DOS MONTES</t>
  </si>
  <si>
    <t>SAO JOAO DA SERRA</t>
  </si>
  <si>
    <t>ALTO LONGA</t>
  </si>
  <si>
    <t>NOVO SANTO ANTONIO</t>
  </si>
  <si>
    <t>PRATA DO PIAUI</t>
  </si>
  <si>
    <t>SAO FELIX DO PIAUI</t>
  </si>
  <si>
    <t>SAO MIGUEL DA BAIXA GRANDE</t>
  </si>
  <si>
    <t>BENEDITINOS</t>
  </si>
  <si>
    <t>LAGOA DO PIAUI</t>
  </si>
  <si>
    <t>DEMERVAL LOBAO</t>
  </si>
  <si>
    <t>PASSAGEM FRANCA DO PIAUI</t>
  </si>
  <si>
    <t>AMARANTE</t>
  </si>
  <si>
    <t>ANGICAL DO PIAUI</t>
  </si>
  <si>
    <t>NAZARIA</t>
  </si>
  <si>
    <t>PALMEIRAIS</t>
  </si>
  <si>
    <t>SAO PEDRO DO PIAUI</t>
  </si>
  <si>
    <t>SAO GONCALO DO PIAUI</t>
  </si>
  <si>
    <t>SANTO ANTONIO DOS MILAGRES</t>
  </si>
  <si>
    <t>AGRICOLANDIA</t>
  </si>
  <si>
    <t>MIGUEL LEAO</t>
  </si>
  <si>
    <t>MONSENHOR GIL</t>
  </si>
  <si>
    <t>CURRALINHOS</t>
  </si>
  <si>
    <t>BARRO DURO</t>
  </si>
  <si>
    <t>LAGOINHA DO PIAUI</t>
  </si>
  <si>
    <t>OLHO D'AGUA DO PIAUI</t>
  </si>
  <si>
    <t>HUGO NAPOLEAO</t>
  </si>
  <si>
    <t>FRANCISCO AYRES</t>
  </si>
  <si>
    <t>ARRAIAL</t>
  </si>
  <si>
    <t>REGENERACAO</t>
  </si>
  <si>
    <t>JARDIM DO MULATO</t>
  </si>
  <si>
    <t>OEIRAS</t>
  </si>
  <si>
    <t>SAO JOAO DA VARJOTA</t>
  </si>
  <si>
    <t>TANQUE DO PIAUI</t>
  </si>
  <si>
    <t>CAJAZEIRAS DO PIAUI</t>
  </si>
  <si>
    <t>COLONIA DO PIAUI</t>
  </si>
  <si>
    <t>SANTA ROSA DO PIAUI</t>
  </si>
  <si>
    <t>FRANCINOPOLIS</t>
  </si>
  <si>
    <t>VARZEA GRANDE</t>
  </si>
  <si>
    <t>BARRA D'ALCANTARA</t>
  </si>
  <si>
    <t>NOVO ORIENTE DO PIAUI</t>
  </si>
  <si>
    <t>INHUMA</t>
  </si>
  <si>
    <t>IPIRANGA DO PIAUI</t>
  </si>
  <si>
    <t>SANTA CRUZ DO PIAUI</t>
  </si>
  <si>
    <t>WALL FERRAZ</t>
  </si>
  <si>
    <t>SAO FRANCISCO DO PIAUI</t>
  </si>
  <si>
    <t>SAO JOSE DO PEIXE</t>
  </si>
  <si>
    <t>SAO MIGUEL DO FIDALGO</t>
  </si>
  <si>
    <t>SANTO INACIO DO PIAUI</t>
  </si>
  <si>
    <t>FLORESTA DO PIAUI</t>
  </si>
  <si>
    <t>ITAINOPOLIS</t>
  </si>
  <si>
    <t>VERA MENDES</t>
  </si>
  <si>
    <t>ISAIAS COELHO</t>
  </si>
  <si>
    <t>MASSAPE DO PIAUI</t>
  </si>
  <si>
    <t>JAICOS</t>
  </si>
  <si>
    <t>CAMPO GRANDE DO PIAUI</t>
  </si>
  <si>
    <t>PATOS DO PIAUI</t>
  </si>
  <si>
    <t>SIMOES</t>
  </si>
  <si>
    <t>CARIDADE DO PIAUI</t>
  </si>
  <si>
    <t>CURRAL NOVO DO PIAUI</t>
  </si>
  <si>
    <t>PICOS</t>
  </si>
  <si>
    <t>SUSSUAPARA</t>
  </si>
  <si>
    <t>AROEIRAS DO ITAIM</t>
  </si>
  <si>
    <t>GEMINIANO</t>
  </si>
  <si>
    <t>SANTANA DO PIAUI</t>
  </si>
  <si>
    <t>PAQUETA</t>
  </si>
  <si>
    <t>DOM EXPEDITO LOPES</t>
  </si>
  <si>
    <t>SAO JOSE DO PIAUI</t>
  </si>
  <si>
    <t>SAO JOAO DA CANABRAVA</t>
  </si>
  <si>
    <t>SAO LUIS DO PIAUI</t>
  </si>
  <si>
    <t>SANTO ANTONIO DE LISBOA</t>
  </si>
  <si>
    <t>FRANCISCO SANTOS</t>
  </si>
  <si>
    <t>MONSENHOR HIPOLITO</t>
  </si>
  <si>
    <t>ALAGOINHA DO PIAUI</t>
  </si>
  <si>
    <t>PIO IX</t>
  </si>
  <si>
    <t>SAO JULIAO</t>
  </si>
  <si>
    <t>ALEGRETE DO PIAUI</t>
  </si>
  <si>
    <t>BELEM DO PIAUI</t>
  </si>
  <si>
    <t>PADRE MARCOS</t>
  </si>
  <si>
    <t>FRANCISCO MACEDO</t>
  </si>
  <si>
    <t>MARCOLANDIA</t>
  </si>
  <si>
    <t>VILA NOVA DO PIAUI</t>
  </si>
  <si>
    <t>FRONTEIRAS</t>
  </si>
  <si>
    <t>CALDEIRAO GRANDE DO PIAUI</t>
  </si>
  <si>
    <t>SIMPLICIO MENDES</t>
  </si>
  <si>
    <t>BELA VISTA DO PIAUI</t>
  </si>
  <si>
    <t>PAES LANDIM</t>
  </si>
  <si>
    <t>SOCORRO DO PIAUI</t>
  </si>
  <si>
    <t>RIBEIRA DO PIAUI</t>
  </si>
  <si>
    <t>PEDRO LAURENTINO</t>
  </si>
  <si>
    <t>CAMPINAS DO PIAUI</t>
  </si>
  <si>
    <t>CONCEICAO DO CANINDE</t>
  </si>
  <si>
    <t>SAO FRANCISCO DE ASSIS DO PIAUI</t>
  </si>
  <si>
    <t>ACAUA</t>
  </si>
  <si>
    <t>PAULISTANA</t>
  </si>
  <si>
    <t>BETANIA DO PIAUI</t>
  </si>
  <si>
    <t>JACOBINA DO PIAUI</t>
  </si>
  <si>
    <t>QUEIMADA NOVA</t>
  </si>
  <si>
    <t>SAO JOAO DO PIAUI</t>
  </si>
  <si>
    <t>CAPITAO GERVASIO OLIVEIRA</t>
  </si>
  <si>
    <t>NOVA SANTA RITA</t>
  </si>
  <si>
    <t>JOAO COSTA</t>
  </si>
  <si>
    <t>CAMPO ALEGRE DO FIDALGO</t>
  </si>
  <si>
    <t>LAGOA DO BARRO DO PIAUI</t>
  </si>
  <si>
    <t>SAO RAIMUNDO NONATO</t>
  </si>
  <si>
    <t>VARZEA BRANCA</t>
  </si>
  <si>
    <t>BONFIM DO PIAUI</t>
  </si>
  <si>
    <t>SAO LOURENCO DO PIAUI</t>
  </si>
  <si>
    <t>ANISIO DE ABREU</t>
  </si>
  <si>
    <t>SAO BRAZ DO PIAUI</t>
  </si>
  <si>
    <t>DIRCEU ARCOVERDE</t>
  </si>
  <si>
    <t>FARTURA DO PIAUI</t>
  </si>
  <si>
    <t>DOM INOCENCIO</t>
  </si>
  <si>
    <t>CORONEL JOSE DIAS</t>
  </si>
  <si>
    <t>CARACOL</t>
  </si>
  <si>
    <t>GUARIBAS</t>
  </si>
  <si>
    <t>FLORIANO</t>
  </si>
  <si>
    <t>FLORES DO PIAUI</t>
  </si>
  <si>
    <t>ITAUEIRA</t>
  </si>
  <si>
    <t>NAZARE DO PIAUI</t>
  </si>
  <si>
    <t>JERUMENHA</t>
  </si>
  <si>
    <t>CANAVIEIRA</t>
  </si>
  <si>
    <t>RIO GRANDE DO PIAUI</t>
  </si>
  <si>
    <t>PAVUSSU</t>
  </si>
  <si>
    <t>GUADALUPE</t>
  </si>
  <si>
    <t>MARCOS PARENTE</t>
  </si>
  <si>
    <t>LANDRI SALES</t>
  </si>
  <si>
    <t>ANTONIO ALMEIDA</t>
  </si>
  <si>
    <t>PORTO ALEGRE DO PIAUI</t>
  </si>
  <si>
    <t>URUCUI</t>
  </si>
  <si>
    <t>RIBEIRO GONCALVES</t>
  </si>
  <si>
    <t>BAIXA GRANDE DO RIBEIRO</t>
  </si>
  <si>
    <t>BERTOLINIA</t>
  </si>
  <si>
    <t>SEBASTIAO LEAL</t>
  </si>
  <si>
    <t>MANOEL EMIDIO</t>
  </si>
  <si>
    <t>ELISEU MARTINS</t>
  </si>
  <si>
    <t>COLONIA DO GURGUEIA</t>
  </si>
  <si>
    <t>CANTO DO BURITI</t>
  </si>
  <si>
    <t>TAMBORIL DO PIAUI</t>
  </si>
  <si>
    <t>BREJO DO PIAUI</t>
  </si>
  <si>
    <t>PAJEU DO PIAUI</t>
  </si>
  <si>
    <t>CURRAIS</t>
  </si>
  <si>
    <t>SANTA LUZ</t>
  </si>
  <si>
    <t>REDENCAO DO GURGUEIA</t>
  </si>
  <si>
    <t>CRISTINO CASTRO</t>
  </si>
  <si>
    <t>ALVORADA DO GURGUEIA</t>
  </si>
  <si>
    <t>PALMEIRA DO PIAUI</t>
  </si>
  <si>
    <t>GILBUES</t>
  </si>
  <si>
    <t>MONTE ALEGRE DO PIAUI</t>
  </si>
  <si>
    <t>CURIMATA</t>
  </si>
  <si>
    <t>JULIO BORGES</t>
  </si>
  <si>
    <t>AVELINO LOPES</t>
  </si>
  <si>
    <t>MORRO CABECA NO TEMPO</t>
  </si>
  <si>
    <t>PARNAGUA</t>
  </si>
  <si>
    <t>RIACHO FRIO</t>
  </si>
  <si>
    <t>CORRENTE</t>
  </si>
  <si>
    <t>SEBASTIAO BARROS</t>
  </si>
  <si>
    <t>BARREIRAS DO PIAUI</t>
  </si>
  <si>
    <t>SAO GONCALO DO GURGUEIA</t>
  </si>
  <si>
    <t>CRISTALANDIA DO PIAUI</t>
  </si>
  <si>
    <t>SAO LUIS GONZAGA DO MARANHAO</t>
  </si>
  <si>
    <t>MA</t>
  </si>
  <si>
    <t>SAO LUIS</t>
  </si>
  <si>
    <t>SAO JOSE DE RIBAMAR</t>
  </si>
  <si>
    <t>PACO DO LUMIAR</t>
  </si>
  <si>
    <t>RAPOSA</t>
  </si>
  <si>
    <t>BACABEIRA</t>
  </si>
  <si>
    <t>SANTA RITA</t>
  </si>
  <si>
    <t>AXIXA</t>
  </si>
  <si>
    <t>ROSARIO</t>
  </si>
  <si>
    <t>MORROS</t>
  </si>
  <si>
    <t>CACHOEIRA GRANDE</t>
  </si>
  <si>
    <t>ICATU</t>
  </si>
  <si>
    <t>HUMBERTO DE CAMPOS</t>
  </si>
  <si>
    <t>PRIMEIRA CRUZ</t>
  </si>
  <si>
    <t>SANTO AMARO DO MARANHAO</t>
  </si>
  <si>
    <t>PINHEIRO</t>
  </si>
  <si>
    <t>PRESIDENTE SARNEY</t>
  </si>
  <si>
    <t>PEDRO DO ROSARIO</t>
  </si>
  <si>
    <t>CAJARI</t>
  </si>
  <si>
    <t>PENALVA</t>
  </si>
  <si>
    <t>VIANA</t>
  </si>
  <si>
    <t>MATINHA</t>
  </si>
  <si>
    <t>OLINDA NOVA DO MARANHAO</t>
  </si>
  <si>
    <t>SAO JOAO BATISTA</t>
  </si>
  <si>
    <t>CAJAPIO</t>
  </si>
  <si>
    <t>BACURITUBA</t>
  </si>
  <si>
    <t>PALMEIRANDIA</t>
  </si>
  <si>
    <t>PERI MIRIM</t>
  </si>
  <si>
    <t>BEQUIMAO</t>
  </si>
  <si>
    <t>ALCANTARA</t>
  </si>
  <si>
    <t>GUIMARAES</t>
  </si>
  <si>
    <t>PORTO RICO DO MARANHAO</t>
  </si>
  <si>
    <t>MIRINZAL</t>
  </si>
  <si>
    <t>CENTRAL DO MARANHAO</t>
  </si>
  <si>
    <t>CURURUPU</t>
  </si>
  <si>
    <t>SERRANO DO MARANHAO</t>
  </si>
  <si>
    <t>BACURI</t>
  </si>
  <si>
    <t>SANTA LUZIA DO PARUA</t>
  </si>
  <si>
    <t>NOVA OLINDA DO MARANHAO</t>
  </si>
  <si>
    <t>APICUM-ACU</t>
  </si>
  <si>
    <t>TURILANDIA</t>
  </si>
  <si>
    <t>TURIACU</t>
  </si>
  <si>
    <t>PRESIDENTE MEDICI</t>
  </si>
  <si>
    <t>CANDIDO MENDES</t>
  </si>
  <si>
    <t>MARANHAOZINHO</t>
  </si>
  <si>
    <t>GOVERNADOR NUNES FREIRE</t>
  </si>
  <si>
    <t>GODOFREDO VIANA</t>
  </si>
  <si>
    <t>CENTRO DO GUILHERME</t>
  </si>
  <si>
    <t>MARACACUME</t>
  </si>
  <si>
    <t>LUIS DOMINGUES</t>
  </si>
  <si>
    <t>BOA VISTA DO GURUPI</t>
  </si>
  <si>
    <t>AMAPA DO MARANHAO</t>
  </si>
  <si>
    <t>JUNCO DO MARANHAO</t>
  </si>
  <si>
    <t>CARUTAPERA</t>
  </si>
  <si>
    <t>CENTRO NOVO DO MARANHAO</t>
  </si>
  <si>
    <t>ALTAMIRA DO MARANHAO</t>
  </si>
  <si>
    <t>BREJO DE AREIA</t>
  </si>
  <si>
    <t>VITORINO FREIRE</t>
  </si>
  <si>
    <t>BELA VISTA DO MARANHAO</t>
  </si>
  <si>
    <t>CONCEICAO DO LAGO-ACU</t>
  </si>
  <si>
    <t>IGARAPE DO MEIO</t>
  </si>
  <si>
    <t>VITORIA DO MEARIM</t>
  </si>
  <si>
    <t>MONCAO</t>
  </si>
  <si>
    <t>GOVERNADOR NEWTON BELLO</t>
  </si>
  <si>
    <t>ZE DOCA</t>
  </si>
  <si>
    <t>ARAGUANA</t>
  </si>
  <si>
    <t>PINDARE-MIRIM</t>
  </si>
  <si>
    <t>TUFILANDIA</t>
  </si>
  <si>
    <t>SAO JOAO DO CARU</t>
  </si>
  <si>
    <t>BURITICUPU</t>
  </si>
  <si>
    <t>BOM JESUS DAS SELVAS</t>
  </si>
  <si>
    <t>ALTO ALEGRE DO PINDARE</t>
  </si>
  <si>
    <t>CODO</t>
  </si>
  <si>
    <t>ALTO ALEGRE DO MARANHAO</t>
  </si>
  <si>
    <t>COROATA</t>
  </si>
  <si>
    <t>PERITORO</t>
  </si>
  <si>
    <t>TIMBIRAS</t>
  </si>
  <si>
    <t>VARGEM GRANDE</t>
  </si>
  <si>
    <t>SAO BENEDITO DO RIO PRETO</t>
  </si>
  <si>
    <t>NINA RODRIGUES</t>
  </si>
  <si>
    <t>PRESIDENTE VARGAS</t>
  </si>
  <si>
    <t>PIRAPEMAS</t>
  </si>
  <si>
    <t>CANTANHEDE</t>
  </si>
  <si>
    <t>MATOES DO NORTE</t>
  </si>
  <si>
    <t>SAO MATEUS DO MARANHAO</t>
  </si>
  <si>
    <t>ARARI</t>
  </si>
  <si>
    <t>ITAPECURU MIRIM</t>
  </si>
  <si>
    <t>ANAJATUBA</t>
  </si>
  <si>
    <t>MIRANDA DO NORTE</t>
  </si>
  <si>
    <t>CHAPADINHA</t>
  </si>
  <si>
    <t>AFONSO CUNHA</t>
  </si>
  <si>
    <t>MATA ROMA</t>
  </si>
  <si>
    <t>BURITI</t>
  </si>
  <si>
    <t>BREJO</t>
  </si>
  <si>
    <t>ANAPURUS</t>
  </si>
  <si>
    <t>URBANO SANTOS</t>
  </si>
  <si>
    <t>BELAGUA</t>
  </si>
  <si>
    <t>SANTA QUITERIA DO MARANHAO</t>
  </si>
  <si>
    <t>MILAGRES DO MARANHAO</t>
  </si>
  <si>
    <t>SAO BERNARDO</t>
  </si>
  <si>
    <t>SANTANA DO MARANHAO</t>
  </si>
  <si>
    <t>MAGALHAES DE ALMEIDA</t>
  </si>
  <si>
    <t>ARAIOSES</t>
  </si>
  <si>
    <t>AGUA DOCE DO MARANHAO</t>
  </si>
  <si>
    <t>TUTOIA</t>
  </si>
  <si>
    <t>PAULINO NEVES</t>
  </si>
  <si>
    <t>BARREIRINHAS</t>
  </si>
  <si>
    <t>CAXIAS</t>
  </si>
  <si>
    <t>ALDEIAS ALTAS</t>
  </si>
  <si>
    <t>SAO JOAO DO SOTER</t>
  </si>
  <si>
    <t>COELHO NETO</t>
  </si>
  <si>
    <t>DUQUE BACELAR</t>
  </si>
  <si>
    <t>TIMON</t>
  </si>
  <si>
    <t>PARNARAMA</t>
  </si>
  <si>
    <t>MATOES</t>
  </si>
  <si>
    <t>SAO FRANCISCO DO MARANHAO</t>
  </si>
  <si>
    <t>BARAO DE GRAJAU</t>
  </si>
  <si>
    <t>SAO JOAO DOS PATOS</t>
  </si>
  <si>
    <t>SUCUPIRA DO RIACHAO</t>
  </si>
  <si>
    <t>PARAIBANO</t>
  </si>
  <si>
    <t>PASSAGEM FRANCA</t>
  </si>
  <si>
    <t>LAGOA DO MATO</t>
  </si>
  <si>
    <t>BURITI BRAVO</t>
  </si>
  <si>
    <t>COLINAS</t>
  </si>
  <si>
    <t>FORTUNA</t>
  </si>
  <si>
    <t>BACABAL</t>
  </si>
  <si>
    <t>BOM LUGAR</t>
  </si>
  <si>
    <t>LAGO VERDE</t>
  </si>
  <si>
    <t>OLHO D'AGUA DAS CUNHAS</t>
  </si>
  <si>
    <t>PIO XII</t>
  </si>
  <si>
    <t>SATUBINHA</t>
  </si>
  <si>
    <t>LAGO DO JUNCO</t>
  </si>
  <si>
    <t>LAGO DOS RODRIGUES</t>
  </si>
  <si>
    <t>MARAJA DO SENA</t>
  </si>
  <si>
    <t>LAGO DA PEDRA</t>
  </si>
  <si>
    <t>PAULO RAMOS</t>
  </si>
  <si>
    <t>LAGOA GRANDE DO MARANHAO</t>
  </si>
  <si>
    <t>IGARAPE GRANDE</t>
  </si>
  <si>
    <t>BERNARDO DO MEARIM</t>
  </si>
  <si>
    <t>PEDREIRAS</t>
  </si>
  <si>
    <t>TRIZIDELA DO VALE</t>
  </si>
  <si>
    <t>LIMA CAMPOS</t>
  </si>
  <si>
    <t>SANTO ANTONIO DOS LOPES</t>
  </si>
  <si>
    <t>CAPINZAL DO NORTE</t>
  </si>
  <si>
    <t>POCAO DE PEDRAS</t>
  </si>
  <si>
    <t>ESPERANTINOPOLIS</t>
  </si>
  <si>
    <t>SAO RAIMUNDO DO DOCA BEZERRA</t>
  </si>
  <si>
    <t>JOSELANDIA</t>
  </si>
  <si>
    <t>SAO ROBERTO</t>
  </si>
  <si>
    <t>SAO JOSE DOS BASILIOS</t>
  </si>
  <si>
    <t>TUNTUM</t>
  </si>
  <si>
    <t>DOM PEDRO</t>
  </si>
  <si>
    <t>SANTA FILOMENA DO MARANHAO</t>
  </si>
  <si>
    <t>GOVERNADOR ARCHER</t>
  </si>
  <si>
    <t>GONCALVES DIAS</t>
  </si>
  <si>
    <t>GOVERNADOR EUGENIO BARROS</t>
  </si>
  <si>
    <t>SENADOR ALEXANDRE COSTA</t>
  </si>
  <si>
    <t>GRACA ARANHA</t>
  </si>
  <si>
    <t>SAO DOMINGOS DO MARANHAO</t>
  </si>
  <si>
    <t>GOVERNADOR LUIZ ROCHA</t>
  </si>
  <si>
    <t>BALSAS</t>
  </si>
  <si>
    <t>FORTALEZA DOS NOGUEIRAS</t>
  </si>
  <si>
    <t>NOVA COLINAS</t>
  </si>
  <si>
    <t>ALTO PARNAIBA</t>
  </si>
  <si>
    <t>TASSO FRAGOSO</t>
  </si>
  <si>
    <t>SAMBAIBA</t>
  </si>
  <si>
    <t>SAO RAIMUNDO DAS MANGABEIRAS</t>
  </si>
  <si>
    <t>MIRADOR</t>
  </si>
  <si>
    <t>SUCUPIRA DO NORTE</t>
  </si>
  <si>
    <t>PASTOS BONS</t>
  </si>
  <si>
    <t>NOVA IORQUE</t>
  </si>
  <si>
    <t>BENEDITO LEITE</t>
  </si>
  <si>
    <t>SAO DOMINGOS DO AZEITAO</t>
  </si>
  <si>
    <t>SAO FELIX DE BALSAS</t>
  </si>
  <si>
    <t>LORETO</t>
  </si>
  <si>
    <t>IMPERATRIZ</t>
  </si>
  <si>
    <t>SAO PEDRO DA AGUA BRANCA</t>
  </si>
  <si>
    <t>CIDELANDIA</t>
  </si>
  <si>
    <t>JOAO LISBOA</t>
  </si>
  <si>
    <t>AMARANTE DO MARANHAO</t>
  </si>
  <si>
    <t>VILA NOVA DOS MARTIRIOS</t>
  </si>
  <si>
    <t>DAVINOPOLIS</t>
  </si>
  <si>
    <t>GOVERNADOR EDISON LOBAO</t>
  </si>
  <si>
    <t>SAO FRANCISCO DO BREJAO</t>
  </si>
  <si>
    <t>ACAILANDIA</t>
  </si>
  <si>
    <t>SENADOR LA ROCQUE</t>
  </si>
  <si>
    <t>BURITIRANA</t>
  </si>
  <si>
    <t>MONTES ALTOS</t>
  </si>
  <si>
    <t>LAJEADO NOVO</t>
  </si>
  <si>
    <t>RIBAMAR FIQUENE</t>
  </si>
  <si>
    <t>ITINGA DO MARANHAO</t>
  </si>
  <si>
    <t>GRAJAU</t>
  </si>
  <si>
    <t>FORMOSA DA SERRA NEGRA</t>
  </si>
  <si>
    <t>ARAME</t>
  </si>
  <si>
    <t>ITAIPAVA DO GRAJAU</t>
  </si>
  <si>
    <t>BARRA DO CORDA</t>
  </si>
  <si>
    <t>JENIPAPO DOS VIEIRAS</t>
  </si>
  <si>
    <t>FERNANDO FALCAO</t>
  </si>
  <si>
    <t>CAMPESTRE DO MARANHAO</t>
  </si>
  <si>
    <t>PORTO FRANCO</t>
  </si>
  <si>
    <t>ESTREITO</t>
  </si>
  <si>
    <t>SAO PEDRO DOS CRENTES</t>
  </si>
  <si>
    <t>CAROLINA</t>
  </si>
  <si>
    <t>FEIRA NOVA DO MARANHAO</t>
  </si>
  <si>
    <t>PA</t>
  </si>
  <si>
    <t>ANANINDEUA</t>
  </si>
  <si>
    <t>MARITUBA</t>
  </si>
  <si>
    <t>ALTER DO CHAO (SANTAREM)</t>
  </si>
  <si>
    <t>MOJUI DOS CAMPOS</t>
  </si>
  <si>
    <t>PRAINHA</t>
  </si>
  <si>
    <t>PLACAS</t>
  </si>
  <si>
    <t>URUARA</t>
  </si>
  <si>
    <t>BELTERRA</t>
  </si>
  <si>
    <t>MEDICILANDIA</t>
  </si>
  <si>
    <t>BRASIL NOVO</t>
  </si>
  <si>
    <t>AVEIRO</t>
  </si>
  <si>
    <t>RUROPOLIS</t>
  </si>
  <si>
    <t>JURUTI</t>
  </si>
  <si>
    <t>MORAES ALMEIDA (ITAITUBA)</t>
  </si>
  <si>
    <t>NOVO PROGRESSO</t>
  </si>
  <si>
    <t>JACAREACANGA</t>
  </si>
  <si>
    <t>TRAIRAO</t>
  </si>
  <si>
    <t>ALENQUER</t>
  </si>
  <si>
    <t>CURUA</t>
  </si>
  <si>
    <t>ALMEIRIM</t>
  </si>
  <si>
    <t>OBIDOS</t>
  </si>
  <si>
    <t>ORIXIMINA</t>
  </si>
  <si>
    <t>FARO</t>
  </si>
  <si>
    <t>TERRA SANTA</t>
  </si>
  <si>
    <t>GURUPA</t>
  </si>
  <si>
    <t>PORTO DE MOZ</t>
  </si>
  <si>
    <t>SENADOR JOSE PORFIRIO</t>
  </si>
  <si>
    <t>ANAPU</t>
  </si>
  <si>
    <t>CASTELO DOS SONHOS (ALTAMIRA)</t>
  </si>
  <si>
    <t>SAO FELIX DO XINGU</t>
  </si>
  <si>
    <t>VITORIA DO XINGU</t>
  </si>
  <si>
    <t>TUCUMA</t>
  </si>
  <si>
    <t>BANNACH</t>
  </si>
  <si>
    <t>OURILANDIA DO NORTE</t>
  </si>
  <si>
    <t>CUMARU DO NORTE</t>
  </si>
  <si>
    <t>CAMETA</t>
  </si>
  <si>
    <t>LIMOEIRO DO AJURU</t>
  </si>
  <si>
    <t>MOCAJUBA</t>
  </si>
  <si>
    <t>IGARAPE-MIRI</t>
  </si>
  <si>
    <t>ABAETETUBA</t>
  </si>
  <si>
    <t>BARCARENA</t>
  </si>
  <si>
    <t>MOJU</t>
  </si>
  <si>
    <t>HIDRELETRICA TUCURUI (TUCURUI)</t>
  </si>
  <si>
    <t>BAIAO</t>
  </si>
  <si>
    <t>OEIRAS DO PARA</t>
  </si>
  <si>
    <t>NOVO REPARTIMENTO</t>
  </si>
  <si>
    <t>BAGRE</t>
  </si>
  <si>
    <t>PORTEL</t>
  </si>
  <si>
    <t>PACAJA</t>
  </si>
  <si>
    <t>BREU BRANCO</t>
  </si>
  <si>
    <t>MELGACO</t>
  </si>
  <si>
    <t>MURUMURU (MARABA)</t>
  </si>
  <si>
    <t>PARAUAPEBAS</t>
  </si>
  <si>
    <t>SAO JOAO DO ARAGUAIA</t>
  </si>
  <si>
    <t>SAO DOMINGOS DO ARAGUAIA</t>
  </si>
  <si>
    <t>BREJO GRANDE DO ARAGUAIA</t>
  </si>
  <si>
    <t>CURIONOPOLIS</t>
  </si>
  <si>
    <t>ELDORADO DO CARAJAS</t>
  </si>
  <si>
    <t>BOM JESUS DO TOCANTINS</t>
  </si>
  <si>
    <t>ABEL FIGUEIREDO</t>
  </si>
  <si>
    <t>RIO MARIA</t>
  </si>
  <si>
    <t>AGUA AZUL DO NORTE</t>
  </si>
  <si>
    <t>PALESTINA DO PARA</t>
  </si>
  <si>
    <t>CANAA DOS CARAJAS</t>
  </si>
  <si>
    <t>CONCEICAO DO ARAGUAIA</t>
  </si>
  <si>
    <t>FLORESTA DO ARAGUAIA</t>
  </si>
  <si>
    <t>PAU D'ARCO</t>
  </si>
  <si>
    <t>RIO VERMELHO (XINGUARA)</t>
  </si>
  <si>
    <t>SANTANA DO ARAGUAIA</t>
  </si>
  <si>
    <t>SANTA MARIA DAS BARREIRAS</t>
  </si>
  <si>
    <t>SAO GERALDO DO ARAGUAIA</t>
  </si>
  <si>
    <t>PICARRA</t>
  </si>
  <si>
    <t>ITUPIRANGA</t>
  </si>
  <si>
    <t>NOVA IPIXUNA</t>
  </si>
  <si>
    <t>JACUNDA</t>
  </si>
  <si>
    <t>BRAGANCA</t>
  </si>
  <si>
    <t>AUGUSTO CORREA</t>
  </si>
  <si>
    <t>CACHOEIRA DO PIRIA</t>
  </si>
  <si>
    <t>NOVA ESPERANCA DO PIRIA</t>
  </si>
  <si>
    <t>VISEU</t>
  </si>
  <si>
    <t>PARAGOMINAS</t>
  </si>
  <si>
    <t>ULIANOPOLIS</t>
  </si>
  <si>
    <t>DOM ELISEU</t>
  </si>
  <si>
    <t>SAO DOMINGOS DO CAPIM</t>
  </si>
  <si>
    <t>IPIXUNA DO PARA</t>
  </si>
  <si>
    <t>RONDON DO PARA</t>
  </si>
  <si>
    <t>GOIANESIA DO PARA</t>
  </si>
  <si>
    <t>OUREM</t>
  </si>
  <si>
    <t>SANTA LUZIA DO PARA</t>
  </si>
  <si>
    <t>TRACUATEUA</t>
  </si>
  <si>
    <t>CAPITAO POCO</t>
  </si>
  <si>
    <t>IRITUIA</t>
  </si>
  <si>
    <t>AURORA DO PARA</t>
  </si>
  <si>
    <t>SAO MIGUEL DO GUAMA</t>
  </si>
  <si>
    <t>GARRAFAO DO NORTE</t>
  </si>
  <si>
    <t>BUJARU</t>
  </si>
  <si>
    <t>MAE DO RIO</t>
  </si>
  <si>
    <t>TOME-ACU</t>
  </si>
  <si>
    <t>CONCORDIA DO PARA</t>
  </si>
  <si>
    <t>ACARA</t>
  </si>
  <si>
    <t>TAILANDIA</t>
  </si>
  <si>
    <t>TAUARI (CAPANEMA)</t>
  </si>
  <si>
    <t>QUATIPURU</t>
  </si>
  <si>
    <t>MARACANA</t>
  </si>
  <si>
    <t>SAO JOAO DE PIRABAS</t>
  </si>
  <si>
    <t>SANTAREM NOVO</t>
  </si>
  <si>
    <t>SALINOPOLIS</t>
  </si>
  <si>
    <t>MAGALHAES BARATA</t>
  </si>
  <si>
    <t>IGARAPE-ACU</t>
  </si>
  <si>
    <t>NOVA TIMBOTEUA</t>
  </si>
  <si>
    <t>PEIXE-BOI</t>
  </si>
  <si>
    <t>SANTA MARIA DO PARA</t>
  </si>
  <si>
    <t>APEU (CASTANHAL)</t>
  </si>
  <si>
    <t>SAO FRANCISCO DO PARA</t>
  </si>
  <si>
    <t>CURUCA</t>
  </si>
  <si>
    <t>MARAPANIM</t>
  </si>
  <si>
    <t>INHANGAPI</t>
  </si>
  <si>
    <t>TERRA ALTA</t>
  </si>
  <si>
    <t>SAO JOAO DA PONTA</t>
  </si>
  <si>
    <t>SAO CAETANO DE ODIVELAS</t>
  </si>
  <si>
    <t>VIGIA</t>
  </si>
  <si>
    <t>COLARES</t>
  </si>
  <si>
    <t>SANTO ANTONIO DO TAUA</t>
  </si>
  <si>
    <t>SANTA IZABEL DO PARA</t>
  </si>
  <si>
    <t>BENEVIDES</t>
  </si>
  <si>
    <t>SANTA BARBARA DO PARA</t>
  </si>
  <si>
    <t>BREVES</t>
  </si>
  <si>
    <t>ANAJAS</t>
  </si>
  <si>
    <t>CURRALINHO</t>
  </si>
  <si>
    <t>SAO SEBASTIAO DA BOA VISTA</t>
  </si>
  <si>
    <t>MUANA</t>
  </si>
  <si>
    <t>PONTA DE PEDRAS</t>
  </si>
  <si>
    <t>CACHOEIRA DO ARARI</t>
  </si>
  <si>
    <t>SANTA CRUZ DO ARARI</t>
  </si>
  <si>
    <t>SALVATERRA</t>
  </si>
  <si>
    <t>SOURE</t>
  </si>
  <si>
    <t>CHAVES</t>
  </si>
  <si>
    <t>AFUA</t>
  </si>
  <si>
    <t>MACAPA</t>
  </si>
  <si>
    <t>AP</t>
  </si>
  <si>
    <t>FERREIRA GOMES</t>
  </si>
  <si>
    <t>PRACUUBA</t>
  </si>
  <si>
    <t>LARANJAL DO JARI</t>
  </si>
  <si>
    <t>VITORIA DO JARI</t>
  </si>
  <si>
    <t>MAZAGAO</t>
  </si>
  <si>
    <t>PEDRA BRANCA DO AMAPARI</t>
  </si>
  <si>
    <t>SERRA DO NAVIO</t>
  </si>
  <si>
    <t>AMAPA</t>
  </si>
  <si>
    <t>CALCOENE</t>
  </si>
  <si>
    <t>CUTIAS</t>
  </si>
  <si>
    <t>ITAUBAL</t>
  </si>
  <si>
    <t>OIAPOQUE</t>
  </si>
  <si>
    <t>TARTARUGALZINHO</t>
  </si>
  <si>
    <t>PORTO GRANDE</t>
  </si>
  <si>
    <t>MANAUS</t>
  </si>
  <si>
    <t>AM</t>
  </si>
  <si>
    <t>ITACOATIARA</t>
  </si>
  <si>
    <t>SILVES</t>
  </si>
  <si>
    <t>RIO PRETO DA EVA</t>
  </si>
  <si>
    <t>ITAPIRANGA</t>
  </si>
  <si>
    <t>URUCARA</t>
  </si>
  <si>
    <t>SAO SEBASTIAO DO UATUMA</t>
  </si>
  <si>
    <t>NHAMUNDA</t>
  </si>
  <si>
    <t>VILA AMAZONIA (PARINTINS)</t>
  </si>
  <si>
    <t>BARREIRINHA</t>
  </si>
  <si>
    <t>URUCURITUBA</t>
  </si>
  <si>
    <t>MAUES</t>
  </si>
  <si>
    <t>BOA VISTA DO RAMOS</t>
  </si>
  <si>
    <t>BORBA</t>
  </si>
  <si>
    <t>NOVA OLINDA DO NORTE</t>
  </si>
  <si>
    <t>AUTAZES</t>
  </si>
  <si>
    <t>CAREIRO</t>
  </si>
  <si>
    <t>CAREIRO DA VARZEA</t>
  </si>
  <si>
    <t>NOVO ARIPUANA</t>
  </si>
  <si>
    <t>APUI</t>
  </si>
  <si>
    <t>MANICORE</t>
  </si>
  <si>
    <t>RR</t>
  </si>
  <si>
    <t>MUCAJAI</t>
  </si>
  <si>
    <t>AMAJARI</t>
  </si>
  <si>
    <t>PACARAIMA</t>
  </si>
  <si>
    <t>NORMANDIA</t>
  </si>
  <si>
    <t>UIRAMUTA</t>
  </si>
  <si>
    <t>CARACARAI</t>
  </si>
  <si>
    <t>SAO LUIZ</t>
  </si>
  <si>
    <t>RORAINOPOLIS</t>
  </si>
  <si>
    <t>SAO JOAO DA BALIZA</t>
  </si>
  <si>
    <t>CAROEBE</t>
  </si>
  <si>
    <t>CANTA</t>
  </si>
  <si>
    <t>MANACAPURU</t>
  </si>
  <si>
    <t>IRANDUBA</t>
  </si>
  <si>
    <t>CAAPIRANGA</t>
  </si>
  <si>
    <t>BERURI</t>
  </si>
  <si>
    <t>MANAQUIRI</t>
  </si>
  <si>
    <t>ANORI</t>
  </si>
  <si>
    <t>ANAMA</t>
  </si>
  <si>
    <t>CODAJAS</t>
  </si>
  <si>
    <t>COARI</t>
  </si>
  <si>
    <t>TAPAUA</t>
  </si>
  <si>
    <t>MARAA</t>
  </si>
  <si>
    <t>JAPURA</t>
  </si>
  <si>
    <t>CARAUARI</t>
  </si>
  <si>
    <t>ITAMARATI</t>
  </si>
  <si>
    <t>JURUA</t>
  </si>
  <si>
    <t>UARINI</t>
  </si>
  <si>
    <t>ALVARAES</t>
  </si>
  <si>
    <t>TEFE</t>
  </si>
  <si>
    <t>SAO PAULO DE OLIVENCA</t>
  </si>
  <si>
    <t>AMATURA</t>
  </si>
  <si>
    <t>BENJAMIN CONSTANT</t>
  </si>
  <si>
    <t>ATALAIA DO NORTE</t>
  </si>
  <si>
    <t>JUTAI</t>
  </si>
  <si>
    <t>FONTE BOA</t>
  </si>
  <si>
    <t>SANTO ANTONIO DO ICA</t>
  </si>
  <si>
    <t>TONANTINS</t>
  </si>
  <si>
    <t>BARCELOS</t>
  </si>
  <si>
    <t>NOVO AIRAO</t>
  </si>
  <si>
    <t>PRESIDENTE FIGUEIREDO</t>
  </si>
  <si>
    <t>SANTA ISABEL DO RIO NEGRO</t>
  </si>
  <si>
    <t>SAO GABRIEL DA CACHOEIRA</t>
  </si>
  <si>
    <t>HUMAITA</t>
  </si>
  <si>
    <t>CANUTAMA</t>
  </si>
  <si>
    <t>LABREA</t>
  </si>
  <si>
    <t>BOCA DO ACRE</t>
  </si>
  <si>
    <t>PAUINI</t>
  </si>
  <si>
    <t>ENVIRA</t>
  </si>
  <si>
    <t>EIRUNEPE</t>
  </si>
  <si>
    <t>IPIXUNA</t>
  </si>
  <si>
    <t>GUAJARA</t>
  </si>
  <si>
    <t>RIO BRANCO</t>
  </si>
  <si>
    <t>AC</t>
  </si>
  <si>
    <t>SENADOR GUIOMARD</t>
  </si>
  <si>
    <t>BUJARI</t>
  </si>
  <si>
    <t>PORTO ACRE</t>
  </si>
  <si>
    <t>PLACIDO DE CASTRO</t>
  </si>
  <si>
    <t>XAPURI</t>
  </si>
  <si>
    <t>CAPIXABA</t>
  </si>
  <si>
    <t>BRASILEIA</t>
  </si>
  <si>
    <t>EPITACIOLANDIA</t>
  </si>
  <si>
    <t>ASSIS BRASIL</t>
  </si>
  <si>
    <t>SENA MADUREIRA</t>
  </si>
  <si>
    <t>ACRELANDIA</t>
  </si>
  <si>
    <t>MANOEL URBANO</t>
  </si>
  <si>
    <t>SANTA ROSA DO PURUS</t>
  </si>
  <si>
    <t>FEIJO</t>
  </si>
  <si>
    <t>TARAUACA</t>
  </si>
  <si>
    <t>JORDAO</t>
  </si>
  <si>
    <t>CRUZEIRO DO SUL</t>
  </si>
  <si>
    <t>PORTO WALTER</t>
  </si>
  <si>
    <t>MARECHAL THAUMATURGO</t>
  </si>
  <si>
    <t>RODRIGUES ALVES</t>
  </si>
  <si>
    <t>MANCIO LIMA</t>
  </si>
  <si>
    <t>BRASILIA</t>
  </si>
  <si>
    <t>DF</t>
  </si>
  <si>
    <t>LUZIANIA</t>
  </si>
  <si>
    <t>GO</t>
  </si>
  <si>
    <t>NOVO GAMA</t>
  </si>
  <si>
    <t>VALPARAISO DE GOIAS</t>
  </si>
  <si>
    <t>JARDIM ABC DE GOIAS (CIDADE OCIDENTAL)</t>
  </si>
  <si>
    <t>SANTO ANTONIO DO DESCOBERTO</t>
  </si>
  <si>
    <t>AGUAS LINDAS DE GOIAS</t>
  </si>
  <si>
    <t>ALEXANIA</t>
  </si>
  <si>
    <t>ABADIANIA</t>
  </si>
  <si>
    <t>CORUMBA DE GOIAS</t>
  </si>
  <si>
    <t>COCALZINHO DE GOIAS</t>
  </si>
  <si>
    <t>PIRENOPOLIS</t>
  </si>
  <si>
    <t>PADRE BERNARDO</t>
  </si>
  <si>
    <t>MIMOSO DE GOIAS</t>
  </si>
  <si>
    <t>COLINAS DO SUL</t>
  </si>
  <si>
    <t>SAO GABRIEL DE GOIAS (PLANALTINA)</t>
  </si>
  <si>
    <t>SAO JOAO D'ALIANCA</t>
  </si>
  <si>
    <t>ALTO PARAISO DE GOIAS</t>
  </si>
  <si>
    <t>AGUA FRIA DE GOIAS</t>
  </si>
  <si>
    <t>CAVALCANTE</t>
  </si>
  <si>
    <t>TERESINA DE GOIAS</t>
  </si>
  <si>
    <t>JK (FORMOSA)</t>
  </si>
  <si>
    <t>NOVA ROMA</t>
  </si>
  <si>
    <t>VILA BOA</t>
  </si>
  <si>
    <t>MONTE ALEGRE DE GOIAS</t>
  </si>
  <si>
    <t>CAMPOS BELOS</t>
  </si>
  <si>
    <t>CRISTALINA</t>
  </si>
  <si>
    <t>DIVINOPOLIS DE GOIAS</t>
  </si>
  <si>
    <t>CABECEIRAS</t>
  </si>
  <si>
    <t>FLORES DE GOIAS</t>
  </si>
  <si>
    <t>POSSE</t>
  </si>
  <si>
    <t>GUARANI DE GOIAS</t>
  </si>
  <si>
    <t>IACIARA</t>
  </si>
  <si>
    <t>SIMOLANDIA</t>
  </si>
  <si>
    <t>ALVORADA DO NORTE</t>
  </si>
  <si>
    <t>MAMBAI</t>
  </si>
  <si>
    <t>BURITINOPOLIS</t>
  </si>
  <si>
    <t>DAMIANOPOLIS</t>
  </si>
  <si>
    <t>SITIO D'ABADIA</t>
  </si>
  <si>
    <t>GOIANIA</t>
  </si>
  <si>
    <t>APARECIDA DE GOIANIA</t>
  </si>
  <si>
    <t>JOANAPOLIS (ANAPOLIS)</t>
  </si>
  <si>
    <t>CAMPO LIMPO DE GOIAS</t>
  </si>
  <si>
    <t>OURO VERDE DE GOIAS</t>
  </si>
  <si>
    <t>GOIANAPOLIS</t>
  </si>
  <si>
    <t>TEREZOPOLIS DE GOIAS</t>
  </si>
  <si>
    <t>SILVANIA</t>
  </si>
  <si>
    <t>GAMELEIRA DE GOIAS</t>
  </si>
  <si>
    <t>SAO MIGUEL DO PASSA QUATRO</t>
  </si>
  <si>
    <t>LEOPOLDO DE BULHOES</t>
  </si>
  <si>
    <t>BONFINOPOLIS</t>
  </si>
  <si>
    <t>PIRES DO RIO</t>
  </si>
  <si>
    <t>PALMELO</t>
  </si>
  <si>
    <t>SANTA CRUZ DE GOIAS</t>
  </si>
  <si>
    <t>CRISTIANOPOLIS</t>
  </si>
  <si>
    <t>BELA VISTA DE GOIAS</t>
  </si>
  <si>
    <t>CALDAZINHA</t>
  </si>
  <si>
    <t>SENADOR CANEDO</t>
  </si>
  <si>
    <t>VIANOPOLIS</t>
  </si>
  <si>
    <t>ORIZONA</t>
  </si>
  <si>
    <t>ABADIA DE GOIAS</t>
  </si>
  <si>
    <t>GUAPO</t>
  </si>
  <si>
    <t>VARJAO</t>
  </si>
  <si>
    <t>ARAGOIANIA</t>
  </si>
  <si>
    <t>GOIANIRA</t>
  </si>
  <si>
    <t>SANTO ANTONIO DE GOIAS</t>
  </si>
  <si>
    <t>AVELINOPOLIS</t>
  </si>
  <si>
    <t>CAMPESTRE DE GOIAS</t>
  </si>
  <si>
    <t>SANTA BARBARA DE GOIAS</t>
  </si>
  <si>
    <t>INHUMAS</t>
  </si>
  <si>
    <t>ARACU</t>
  </si>
  <si>
    <t>DAMOLANDIA</t>
  </si>
  <si>
    <t>CATURAI</t>
  </si>
  <si>
    <t>BRAZABRANTES</t>
  </si>
  <si>
    <t>ITAUCU</t>
  </si>
  <si>
    <t>SANTA ROSA DE GOIAS</t>
  </si>
  <si>
    <t>NEROPOLIS</t>
  </si>
  <si>
    <t>NOVA VENEZA</t>
  </si>
  <si>
    <t>PETROLINA DE GOIAS</t>
  </si>
  <si>
    <t>SAO FRANCISCO DE GOIAS</t>
  </si>
  <si>
    <t>JESUPOLIS</t>
  </si>
  <si>
    <t>ITUMBIARA</t>
  </si>
  <si>
    <t>INACIOLANDIA</t>
  </si>
  <si>
    <t>VICENTINOPOLIS</t>
  </si>
  <si>
    <t>BOM JESUS DE GOIAS</t>
  </si>
  <si>
    <t>PANAMA</t>
  </si>
  <si>
    <t>GOIATUBA</t>
  </si>
  <si>
    <t>PORTEIRAO</t>
  </si>
  <si>
    <t>JOVIANIA</t>
  </si>
  <si>
    <t>ALOANDIA</t>
  </si>
  <si>
    <t>PONTALINA</t>
  </si>
  <si>
    <t>MAIRIPOTABA</t>
  </si>
  <si>
    <t>CROMINIA</t>
  </si>
  <si>
    <t>PIRACANJUBA</t>
  </si>
  <si>
    <t>PROFESSOR JAMIL</t>
  </si>
  <si>
    <t>BURITI ALEGRE</t>
  </si>
  <si>
    <t>AGUA LIMPA</t>
  </si>
  <si>
    <t>RIO QUENTE</t>
  </si>
  <si>
    <t>MARZAGAO</t>
  </si>
  <si>
    <t>CORUMBAIBA</t>
  </si>
  <si>
    <t>CALDAS NOVAS</t>
  </si>
  <si>
    <t>PIRES BELO (CATALAO)</t>
  </si>
  <si>
    <t>OUVIDOR</t>
  </si>
  <si>
    <t>TRES RANCHOS</t>
  </si>
  <si>
    <t>GOIANDIRA</t>
  </si>
  <si>
    <t>NOVA AURORA</t>
  </si>
  <si>
    <t>CUMARI</t>
  </si>
  <si>
    <t>ANHANGUERA</t>
  </si>
  <si>
    <t>IPAMERI</t>
  </si>
  <si>
    <t>URUTAI</t>
  </si>
  <si>
    <t>CAMPO ALEGRE DE GOIAS</t>
  </si>
  <si>
    <t>JATAI</t>
  </si>
  <si>
    <t>ITARUMA</t>
  </si>
  <si>
    <t>CACU</t>
  </si>
  <si>
    <t>SERRANOPOLIS</t>
  </si>
  <si>
    <t>PEROLANDIA</t>
  </si>
  <si>
    <t>APORE</t>
  </si>
  <si>
    <t>APARECIDA DO RIO DOCE</t>
  </si>
  <si>
    <t>CHAPADAO DO CEU</t>
  </si>
  <si>
    <t>MINEIROS</t>
  </si>
  <si>
    <t>SANTA RITA DO ARAGUAIA</t>
  </si>
  <si>
    <t>PORTELANDIA</t>
  </si>
  <si>
    <t>PALESTINA DE GOIAS</t>
  </si>
  <si>
    <t>CAIAPONIA</t>
  </si>
  <si>
    <t>DOVERLANDIA</t>
  </si>
  <si>
    <t>QUIRINOPOLIS</t>
  </si>
  <si>
    <t>GOUVELANDIA</t>
  </si>
  <si>
    <t>CACHOEIRA ALTA</t>
  </si>
  <si>
    <t>PARANAIGUARA</t>
  </si>
  <si>
    <t>RIVERLUNDIA (RIO VERDE)</t>
  </si>
  <si>
    <t>MONTIVIDIU DO NORTE</t>
  </si>
  <si>
    <t>SANTA HELENA DE GOIAS</t>
  </si>
  <si>
    <t>CASTELANDIA</t>
  </si>
  <si>
    <t>MAURILANDIA</t>
  </si>
  <si>
    <t>SANTO ANTONIO DA BARRA</t>
  </si>
  <si>
    <t>EDEIA</t>
  </si>
  <si>
    <t>EDEALINA</t>
  </si>
  <si>
    <t>JANDAIA</t>
  </si>
  <si>
    <t>INDIARA</t>
  </si>
  <si>
    <t>ACREUNA</t>
  </si>
  <si>
    <t>TURVELANDIA</t>
  </si>
  <si>
    <t>PARAUNA</t>
  </si>
  <si>
    <t>SAO JOAO DA PARAUNA</t>
  </si>
  <si>
    <t>PALMINOPOLIS</t>
  </si>
  <si>
    <t>SAO LUIS DE MONTES BELOS</t>
  </si>
  <si>
    <t>FIRMINOPOLIS</t>
  </si>
  <si>
    <t>TURVANIA</t>
  </si>
  <si>
    <t>AURILANDIA</t>
  </si>
  <si>
    <t>CACHOEIRA DE GOIAS</t>
  </si>
  <si>
    <t>IVOLANDIA</t>
  </si>
  <si>
    <t>MOIPORA</t>
  </si>
  <si>
    <t>AMORINOPOLIS</t>
  </si>
  <si>
    <t>CORREGO DO OURO</t>
  </si>
  <si>
    <t>MOSSAMEDES</t>
  </si>
  <si>
    <t>BURITI DE GOIAS</t>
  </si>
  <si>
    <t>ADELANDIA</t>
  </si>
  <si>
    <t>SANCLERLANDIA</t>
  </si>
  <si>
    <t>AMERICANO DO BRASIL</t>
  </si>
  <si>
    <t>ANICUNS</t>
  </si>
  <si>
    <t>NAZARIO</t>
  </si>
  <si>
    <t>PALMEIRAS DE GOIAS</t>
  </si>
  <si>
    <t>CEZARINA</t>
  </si>
  <si>
    <t>IPORA</t>
  </si>
  <si>
    <t>ISRAELANDIA</t>
  </si>
  <si>
    <t>JAUPACI</t>
  </si>
  <si>
    <t>FAZENDA NOVA</t>
  </si>
  <si>
    <t>ARENOPOLIS</t>
  </si>
  <si>
    <t>ARAGARCAS</t>
  </si>
  <si>
    <t>BOM JARDIM DE GOIAS</t>
  </si>
  <si>
    <t>BALIZA</t>
  </si>
  <si>
    <t>MONTES CLAROS DE GOIAS</t>
  </si>
  <si>
    <t>DIORAMA</t>
  </si>
  <si>
    <t>SANTA FE DE GOIAS</t>
  </si>
  <si>
    <t>BRITANIA</t>
  </si>
  <si>
    <t>NOVO BRASIL</t>
  </si>
  <si>
    <t>ITAPIRAPUA</t>
  </si>
  <si>
    <t>CERES</t>
  </si>
  <si>
    <t>IPIRANGA DE GOIAS</t>
  </si>
  <si>
    <t>NOVA GLORIA</t>
  </si>
  <si>
    <t>RIALMA</t>
  </si>
  <si>
    <t>RIANAPOLIS</t>
  </si>
  <si>
    <t>JARAGUA</t>
  </si>
  <si>
    <t>URUANA</t>
  </si>
  <si>
    <t>CARMO DO RIO VERDE</t>
  </si>
  <si>
    <t>SAO PATRICIO</t>
  </si>
  <si>
    <t>NOVA AMERICA</t>
  </si>
  <si>
    <t>RUBIATABA</t>
  </si>
  <si>
    <t>MORRO AGUDO DE GOIAS</t>
  </si>
  <si>
    <t>ITAPACI</t>
  </si>
  <si>
    <t>SAO LUIZ DO NORTE</t>
  </si>
  <si>
    <t>PILAR DE GOIAS</t>
  </si>
  <si>
    <t>GUARINOS</t>
  </si>
  <si>
    <t>HIDROLINA</t>
  </si>
  <si>
    <t>NATINOPOLIS (GOIANESIA)</t>
  </si>
  <si>
    <t>VILA PROPICIO</t>
  </si>
  <si>
    <t>SANTA RITA DO NOVO DESTINO</t>
  </si>
  <si>
    <t>URUACU</t>
  </si>
  <si>
    <t>CAMPINORTE</t>
  </si>
  <si>
    <t>NIQUELANDIA</t>
  </si>
  <si>
    <t>CAMPINACU</t>
  </si>
  <si>
    <t>MINACU</t>
  </si>
  <si>
    <t>TROMBAS</t>
  </si>
  <si>
    <t>SANTA TEREZA DE GOIAS</t>
  </si>
  <si>
    <t>MARA ROSA</t>
  </si>
  <si>
    <t>AMARALINA</t>
  </si>
  <si>
    <t>NOVA IGUACU DE GOIAS</t>
  </si>
  <si>
    <t>SANTA TEREZINHA DE GOIAS</t>
  </si>
  <si>
    <t>CRIXAS</t>
  </si>
  <si>
    <t>CAMPOS VERDES</t>
  </si>
  <si>
    <t>NOVA CRIXAS</t>
  </si>
  <si>
    <t>UIRAPURU</t>
  </si>
  <si>
    <t>MUTUNOPOLIS</t>
  </si>
  <si>
    <t>PORANGATU</t>
  </si>
  <si>
    <t>BONOPOLIS</t>
  </si>
  <si>
    <t>ALTO HORIZONTE</t>
  </si>
  <si>
    <t>NOVO PLANALTO</t>
  </si>
  <si>
    <t>SAO MIGUEL DO ARAGUAIA</t>
  </si>
  <si>
    <t>GOIAS</t>
  </si>
  <si>
    <t>ITABERAI</t>
  </si>
  <si>
    <t>TAQUARAL DE GOIAS</t>
  </si>
  <si>
    <t>ITAGUARI</t>
  </si>
  <si>
    <t>ITAGUARU</t>
  </si>
  <si>
    <t>HEITORAI</t>
  </si>
  <si>
    <t>ITAPURANGA</t>
  </si>
  <si>
    <t>GUARAITA</t>
  </si>
  <si>
    <t>MOZARLANDIA</t>
  </si>
  <si>
    <t>ARUANA</t>
  </si>
  <si>
    <t>ARAGUAPAZ</t>
  </si>
  <si>
    <t>MATRINCHA</t>
  </si>
  <si>
    <t>FAINA</t>
  </si>
  <si>
    <t>PORTO VELHO</t>
  </si>
  <si>
    <t>RO</t>
  </si>
  <si>
    <t>GUAJARA-MIRIM</t>
  </si>
  <si>
    <t>NOVA MAMORE</t>
  </si>
  <si>
    <t>CANDEIAS DO JAMARI</t>
  </si>
  <si>
    <t>ITAPUA DO OESTE</t>
  </si>
  <si>
    <t>ALTO PARAISO</t>
  </si>
  <si>
    <t>RIO CRESPO</t>
  </si>
  <si>
    <t>CUJUBIM</t>
  </si>
  <si>
    <t>THEOBROMA</t>
  </si>
  <si>
    <t>VALE DO ANARI</t>
  </si>
  <si>
    <t>MACHADINHO D'OESTE</t>
  </si>
  <si>
    <t>ARIQUEMES</t>
  </si>
  <si>
    <t>CAMPO NOVO DE RONDONIA</t>
  </si>
  <si>
    <t>MONTE NEGRO</t>
  </si>
  <si>
    <t>CACAULANDIA</t>
  </si>
  <si>
    <t>JARU</t>
  </si>
  <si>
    <t>GOVERNADOR JORGE TEIXEIRA</t>
  </si>
  <si>
    <t>JI-PARANA</t>
  </si>
  <si>
    <t>MINISTRO ANDREAZZA</t>
  </si>
  <si>
    <t>OURO PRETO DO OESTE</t>
  </si>
  <si>
    <t>VALE DO PARAISO</t>
  </si>
  <si>
    <t>MIRANTE DA SERRA</t>
  </si>
  <si>
    <t>TEIXEIROPOLIS</t>
  </si>
  <si>
    <t>URUPA</t>
  </si>
  <si>
    <t>ALVORADA D'OESTE</t>
  </si>
  <si>
    <t>SAO MIGUEL DO GUAPORE</t>
  </si>
  <si>
    <t>SERINGUEIRAS</t>
  </si>
  <si>
    <t>SAO FRANCISCO DO GUAPORE</t>
  </si>
  <si>
    <t>COSTA MARQUES</t>
  </si>
  <si>
    <t>ROLIM DE MOURA</t>
  </si>
  <si>
    <t>CASTANHEIRAS</t>
  </si>
  <si>
    <t>SANTA LUZIA D'OESTE</t>
  </si>
  <si>
    <t>ALTO ALEGRE DOS PARECIS</t>
  </si>
  <si>
    <t>ALTA FLORESTA D'OESTE</t>
  </si>
  <si>
    <t>NOVO HORIZONTE DO OESTE</t>
  </si>
  <si>
    <t>NOVA BRASILANDIA D'OESTE</t>
  </si>
  <si>
    <t>CACOAL</t>
  </si>
  <si>
    <t>PIMENTA BUENO</t>
  </si>
  <si>
    <t>ESPIGAO D'OESTE</t>
  </si>
  <si>
    <t>PRIMAVERA DE RONDONIA</t>
  </si>
  <si>
    <t>SAO FELIPE D'OESTE</t>
  </si>
  <si>
    <t>PARECIS</t>
  </si>
  <si>
    <t>VILHENA</t>
  </si>
  <si>
    <t>CHUPINGUAIA</t>
  </si>
  <si>
    <t>COLORADO DO OESTE</t>
  </si>
  <si>
    <t>CABIXI</t>
  </si>
  <si>
    <t>CORUMBIARA</t>
  </si>
  <si>
    <t>CEREJEIRAS</t>
  </si>
  <si>
    <t>PIMENTEIRAS DO OESTE</t>
  </si>
  <si>
    <t>TAQUARUSSU DO TOCANTINS (PALMAS)</t>
  </si>
  <si>
    <t>TO</t>
  </si>
  <si>
    <t>DIANOPOLIS</t>
  </si>
  <si>
    <t>RIO DA CONCEICAO</t>
  </si>
  <si>
    <t>CONCEICAO DO TOCANTINS</t>
  </si>
  <si>
    <t>TAIPAS DO TOCANTINS</t>
  </si>
  <si>
    <t>ALMAS</t>
  </si>
  <si>
    <t>PONTE ALTA DO BOM JESUS</t>
  </si>
  <si>
    <t>NOVO JARDIM</t>
  </si>
  <si>
    <t>TAGUATINGA</t>
  </si>
  <si>
    <t>AURORA DO TOCANTINS</t>
  </si>
  <si>
    <t>LAVANDEIRA</t>
  </si>
  <si>
    <t>ARRAIAS</t>
  </si>
  <si>
    <t>COMBINADO</t>
  </si>
  <si>
    <t>NOVO ALEGRE</t>
  </si>
  <si>
    <t>PALMEIROPOLIS</t>
  </si>
  <si>
    <t>SAO SALVADOR DO TOCANTINS</t>
  </si>
  <si>
    <t>NATIVIDADE</t>
  </si>
  <si>
    <t>SANTA ROSA DO TOCANTINS</t>
  </si>
  <si>
    <t>CHAPADA DA NATIVIDADE</t>
  </si>
  <si>
    <t>PINDORAMA DO TOCANTINS</t>
  </si>
  <si>
    <t>SAO VALERIO</t>
  </si>
  <si>
    <t>PORTO ALEGRE DO TOCANTINS</t>
  </si>
  <si>
    <t>GURUPI</t>
  </si>
  <si>
    <t>JAU DO TOCANTINS</t>
  </si>
  <si>
    <t>CARIRI DO TOCANTINS</t>
  </si>
  <si>
    <t>ALIANCA DO TOCANTINS</t>
  </si>
  <si>
    <t>SUCUPIRA</t>
  </si>
  <si>
    <t>PEIXE</t>
  </si>
  <si>
    <t>CRIXAS DO TOCANTINS</t>
  </si>
  <si>
    <t>FIGUEIROPOLIS</t>
  </si>
  <si>
    <t>FORMOSO DO ARAGUAIA</t>
  </si>
  <si>
    <t>ARAGUACU</t>
  </si>
  <si>
    <t>SANDOLANDIA</t>
  </si>
  <si>
    <t>ALVORADA</t>
  </si>
  <si>
    <t>TALISMA</t>
  </si>
  <si>
    <t>DUERE</t>
  </si>
  <si>
    <t>CRISTALANDIA</t>
  </si>
  <si>
    <t>LAGOA DA CONFUSAO</t>
  </si>
  <si>
    <t>NOVA ROSALANDIA</t>
  </si>
  <si>
    <t>PORTO NACIONAL</t>
  </si>
  <si>
    <t>OLIVEIRA DE FATIMA</t>
  </si>
  <si>
    <t>BREJINHO DE NAZARE</t>
  </si>
  <si>
    <t>SANTA RITA DO TOCANTINS</t>
  </si>
  <si>
    <t>PIUM</t>
  </si>
  <si>
    <t>CHAPADA DE AREIA</t>
  </si>
  <si>
    <t>SILVANOPOLIS</t>
  </si>
  <si>
    <t>MONTE DO CARMO</t>
  </si>
  <si>
    <t>PONTE ALTA DO TOCANTINS</t>
  </si>
  <si>
    <t>MATEIROS</t>
  </si>
  <si>
    <t>PARAISO DO TOCANTINS</t>
  </si>
  <si>
    <t>PUGMIL</t>
  </si>
  <si>
    <t>SAO FELIX DO TOCANTINS</t>
  </si>
  <si>
    <t>NOVO ACORDO</t>
  </si>
  <si>
    <t>LAGOA DO TOCANTINS</t>
  </si>
  <si>
    <t>SANTA TEREZA DO TOCANTINS</t>
  </si>
  <si>
    <t>APARECIDA DO RIO NEGRO</t>
  </si>
  <si>
    <t>LIZARDA</t>
  </si>
  <si>
    <t>RIO SONO</t>
  </si>
  <si>
    <t>TOCANTINIA</t>
  </si>
  <si>
    <t>LAJEADO</t>
  </si>
  <si>
    <t>MIRACEMA DO TOCANTINS</t>
  </si>
  <si>
    <t>RIO DOS BOIS</t>
  </si>
  <si>
    <t>MIRANORTE</t>
  </si>
  <si>
    <t>BARROLANDIA</t>
  </si>
  <si>
    <t>DIVINOPOLIS DO TOCANTINS</t>
  </si>
  <si>
    <t>MONTE SANTO DO TOCANTINS</t>
  </si>
  <si>
    <t>MARIANOPOLIS DO TOCANTINS</t>
  </si>
  <si>
    <t>CASEARA</t>
  </si>
  <si>
    <t>DOIS IRMAOS DO TOCANTINS</t>
  </si>
  <si>
    <t>ARAGUACEMA</t>
  </si>
  <si>
    <t>ABREULANDIA</t>
  </si>
  <si>
    <t>GOIANORTE</t>
  </si>
  <si>
    <t>GUARAI</t>
  </si>
  <si>
    <t>TUPIRAMA</t>
  </si>
  <si>
    <t>FORTALEZA DO TABOCAO</t>
  </si>
  <si>
    <t>PEDRO AFONSO</t>
  </si>
  <si>
    <t>SANTA MARIA DO TOCANTINS</t>
  </si>
  <si>
    <t>ITAPIRATINS</t>
  </si>
  <si>
    <t>ITACAJA</t>
  </si>
  <si>
    <t>CENTENARIO</t>
  </si>
  <si>
    <t>COLMEIA</t>
  </si>
  <si>
    <t>PEQUIZEIRO</t>
  </si>
  <si>
    <t>RECURSOLANDIA</t>
  </si>
  <si>
    <t>BRASILANDIA DO TOCANTINS</t>
  </si>
  <si>
    <t>ITAPORA DO TOCANTINS</t>
  </si>
  <si>
    <t>TUPIRATINS</t>
  </si>
  <si>
    <t>COUTO MAGALHAES</t>
  </si>
  <si>
    <t>JUARINA</t>
  </si>
  <si>
    <t>BERNARDO SAYAO</t>
  </si>
  <si>
    <t>COLINAS DO TOCANTINS</t>
  </si>
  <si>
    <t>BARRA DO OURO</t>
  </si>
  <si>
    <t>GOIATINS</t>
  </si>
  <si>
    <t>CAMPOS LINDOS</t>
  </si>
  <si>
    <t>ARAPOEMA</t>
  </si>
  <si>
    <t>BANDEIRANTES DO TOCANTINS</t>
  </si>
  <si>
    <t>PALMEIRANTE</t>
  </si>
  <si>
    <t>ARAGUAINA</t>
  </si>
  <si>
    <t>CARMOLANDIA</t>
  </si>
  <si>
    <t>ARAGOMINAS</t>
  </si>
  <si>
    <t>SANTA FE DO ARAGUAIA</t>
  </si>
  <si>
    <t>MURICILANDIA</t>
  </si>
  <si>
    <t>WANDERLANDIA</t>
  </si>
  <si>
    <t>BABACULANDIA</t>
  </si>
  <si>
    <t>XAMBIOA</t>
  </si>
  <si>
    <t>SANTA TEREZINHA DO TOCANTINS</t>
  </si>
  <si>
    <t>PIRAQUE</t>
  </si>
  <si>
    <t>ANANAS</t>
  </si>
  <si>
    <t>TOCANTINOPOLIS</t>
  </si>
  <si>
    <t>LUZINOPOLIS</t>
  </si>
  <si>
    <t>ANGICO</t>
  </si>
  <si>
    <t>AGUIARNOPOLIS</t>
  </si>
  <si>
    <t>DARCINOPOLIS</t>
  </si>
  <si>
    <t>PALMEIRAS DO TOCANTINS</t>
  </si>
  <si>
    <t>MAURILANDIA DO TOCANTINS</t>
  </si>
  <si>
    <t>ITAGUATINS</t>
  </si>
  <si>
    <t>SAO MIGUEL DO TOCANTINS</t>
  </si>
  <si>
    <t>AXIXA DO TOCANTINS</t>
  </si>
  <si>
    <t>SITIO NOVO DO TOCANTINS</t>
  </si>
  <si>
    <t>ARAGUATINS</t>
  </si>
  <si>
    <t>SAO BENTO DO TOCANTINS</t>
  </si>
  <si>
    <t>AUGUSTINOPOLIS</t>
  </si>
  <si>
    <t>PRAIA NORTE</t>
  </si>
  <si>
    <t>SAMPAIO</t>
  </si>
  <si>
    <t>CARRASCO BONITO</t>
  </si>
  <si>
    <t>SAO SEBASTIAO DO TOCANTINS</t>
  </si>
  <si>
    <t>BURITI DO TOCANTINS</t>
  </si>
  <si>
    <t>CUIABA</t>
  </si>
  <si>
    <t>MT</t>
  </si>
  <si>
    <t>AGUACU (CUIABA)</t>
  </si>
  <si>
    <t>COMUNIDADE PARQUE BOA VISTA (VARZEA GRANDE)</t>
  </si>
  <si>
    <t>NOSSA SENHORA DO LIVRAMENTO</t>
  </si>
  <si>
    <t>POCONE</t>
  </si>
  <si>
    <t>SANTO ANTONIO DO LEVERGER</t>
  </si>
  <si>
    <t>BARAO DE MELGACO</t>
  </si>
  <si>
    <t>CHAPADA DOS GUIMARAES</t>
  </si>
  <si>
    <t>CARAMUJO (CACERES)</t>
  </si>
  <si>
    <t>CURVELANDIA</t>
  </si>
  <si>
    <t>PORTO ESPERIDIAO</t>
  </si>
  <si>
    <t>NOVA LACERDA</t>
  </si>
  <si>
    <t>VILA BELA DA SANTISSIMA TRINDADE</t>
  </si>
  <si>
    <t>PONTES E LACERDA</t>
  </si>
  <si>
    <t>VALE DE SAO DOMINGOS</t>
  </si>
  <si>
    <t>CONQUISTA D'OESTE</t>
  </si>
  <si>
    <t>JAURU</t>
  </si>
  <si>
    <t>ARAPUTANGA</t>
  </si>
  <si>
    <t>RESERVA DO CABACAL</t>
  </si>
  <si>
    <t>SALTO DO CEU</t>
  </si>
  <si>
    <t>LAMBARI D'OESTE</t>
  </si>
  <si>
    <t>MIRASSOL D'OESTE</t>
  </si>
  <si>
    <t>SAO JOSE DOS QUATRO MARCOS</t>
  </si>
  <si>
    <t>FIGUEIROPOLIS D'OESTE</t>
  </si>
  <si>
    <t>GLORIA D'OESTE</t>
  </si>
  <si>
    <t>INDIAVAI</t>
  </si>
  <si>
    <t>TANGARA DA SERRA</t>
  </si>
  <si>
    <t>CAMPOS DE JULIO</t>
  </si>
  <si>
    <t>COMODORO</t>
  </si>
  <si>
    <t>JUINA</t>
  </si>
  <si>
    <t>ARIPUANA</t>
  </si>
  <si>
    <t>COTRIGUACU</t>
  </si>
  <si>
    <t>COLNIZA</t>
  </si>
  <si>
    <t>RONDOLANDIA</t>
  </si>
  <si>
    <t>JURUENA</t>
  </si>
  <si>
    <t>CASTANHEIRA</t>
  </si>
  <si>
    <t>BRASNORTE</t>
  </si>
  <si>
    <t>CAMPO NOVO DO PARECIS</t>
  </si>
  <si>
    <t>SAPEZAL</t>
  </si>
  <si>
    <t>NOVA OLIMPIA</t>
  </si>
  <si>
    <t>DENISE</t>
  </si>
  <si>
    <t>BARRA DO BUGRES</t>
  </si>
  <si>
    <t>PORTO ESTRELA</t>
  </si>
  <si>
    <t>DIAMANTINO</t>
  </si>
  <si>
    <t>ALTO PARAGUAI</t>
  </si>
  <si>
    <t>NOVA MARILANDIA</t>
  </si>
  <si>
    <t>ARENAPOLIS</t>
  </si>
  <si>
    <t>SANTO AFONSO</t>
  </si>
  <si>
    <t>NORTELANDIA</t>
  </si>
  <si>
    <t>SAO JOSE DO RIO CLARO</t>
  </si>
  <si>
    <t>NOVA MARINGA</t>
  </si>
  <si>
    <t>NOVA MUTUM</t>
  </si>
  <si>
    <t>SANTA RITA DO TRIVELATO</t>
  </si>
  <si>
    <t>LUCAS DO RIO VERDE</t>
  </si>
  <si>
    <t>NOBRES</t>
  </si>
  <si>
    <t>ROSARIO OESTE</t>
  </si>
  <si>
    <t>ACORIZAL</t>
  </si>
  <si>
    <t>JANGADA</t>
  </si>
  <si>
    <t>COLIDER</t>
  </si>
  <si>
    <t>TERRA NOVA DO NORTE</t>
  </si>
  <si>
    <t>NOVA GUARITA</t>
  </si>
  <si>
    <t>ITAUBA</t>
  </si>
  <si>
    <t>NOVA CANAA DO NORTE</t>
  </si>
  <si>
    <t>GUARANTA DO NORTE</t>
  </si>
  <si>
    <t>MATUPA</t>
  </si>
  <si>
    <t>NOVO MUNDO</t>
  </si>
  <si>
    <t>PEIXOTO DE AZEVEDO</t>
  </si>
  <si>
    <t>MARCELANDIA</t>
  </si>
  <si>
    <t>CLAUDIA</t>
  </si>
  <si>
    <t>UNIAO DO SUL</t>
  </si>
  <si>
    <t>SANTA CARMEM</t>
  </si>
  <si>
    <t>NOVA SANTA HELENA</t>
  </si>
  <si>
    <t>SINOP</t>
  </si>
  <si>
    <t>PORTO DOS GAUCHOS</t>
  </si>
  <si>
    <t>TABAPORA</t>
  </si>
  <si>
    <t>NOVA BANDEIRANTES</t>
  </si>
  <si>
    <t>NOVO HORIZONTE DO NORTE</t>
  </si>
  <si>
    <t>TAPURAH</t>
  </si>
  <si>
    <t>JUARA</t>
  </si>
  <si>
    <t>IPIRANGA DO NORTE</t>
  </si>
  <si>
    <t>ITANHANGA</t>
  </si>
  <si>
    <t>ALTA FLORESTA</t>
  </si>
  <si>
    <t>CARLINDA</t>
  </si>
  <si>
    <t>PARANAITA</t>
  </si>
  <si>
    <t>NOVA MONTE VERDE</t>
  </si>
  <si>
    <t>APIACAS</t>
  </si>
  <si>
    <t>BARRA DO GARCAS</t>
  </si>
  <si>
    <t>PONTE BRANCA</t>
  </si>
  <si>
    <t>RIBEIRAOZINHO</t>
  </si>
  <si>
    <t>ARAGUAINHA</t>
  </si>
  <si>
    <t>GENERAL CARNEIRO</t>
  </si>
  <si>
    <t>NOVO SAO JOAQUIM</t>
  </si>
  <si>
    <t>SANTO ANTONIO DO LESTE</t>
  </si>
  <si>
    <t>CAMPINAPOLIS</t>
  </si>
  <si>
    <t>NOVA NAZARE</t>
  </si>
  <si>
    <t>QUERENCIA</t>
  </si>
  <si>
    <t>VILA RICA</t>
  </si>
  <si>
    <t>CONFRESA</t>
  </si>
  <si>
    <t>PORTO ALEGRE DO NORTE</t>
  </si>
  <si>
    <t>CANABRAVA DO NORTE</t>
  </si>
  <si>
    <t>LUCIARA</t>
  </si>
  <si>
    <t>SAO JOSE DO XINGU</t>
  </si>
  <si>
    <t>SANTA CRUZ DO XINGU</t>
  </si>
  <si>
    <t>ALTO BOA VISTA</t>
  </si>
  <si>
    <t>SERRA NOVA DOURADA</t>
  </si>
  <si>
    <t>SAO FELIX DO ARAGUAIA</t>
  </si>
  <si>
    <t>RIBEIRAO CASCALHEIRA</t>
  </si>
  <si>
    <t>BOM JESUS DO ARAGUAIA</t>
  </si>
  <si>
    <t>COCALINHO</t>
  </si>
  <si>
    <t>ARAGUAIANA</t>
  </si>
  <si>
    <t>NOVA XAVANTINA</t>
  </si>
  <si>
    <t>TORIXOREU</t>
  </si>
  <si>
    <t>PONTAL DO ARAGUAIA</t>
  </si>
  <si>
    <t>BOA VISTA (RONDONOPOLIS)</t>
  </si>
  <si>
    <t>GUIRATINGA</t>
  </si>
  <si>
    <t>ALTO GARCAS</t>
  </si>
  <si>
    <t>SAO JOSE DO POVO</t>
  </si>
  <si>
    <t>TESOURO</t>
  </si>
  <si>
    <t>ALTO ARAGUAIA</t>
  </si>
  <si>
    <t>ALTO TAQUARI</t>
  </si>
  <si>
    <t>ITIQUIRA</t>
  </si>
  <si>
    <t>POXOREU</t>
  </si>
  <si>
    <t>JUSCIMEIRA</t>
  </si>
  <si>
    <t>JACIARA</t>
  </si>
  <si>
    <t>DOM AQUINO</t>
  </si>
  <si>
    <t>SAO PEDRO DA CIPA</t>
  </si>
  <si>
    <t>CAMPO VERDE</t>
  </si>
  <si>
    <t>PRIMAVERA DO LESTE</t>
  </si>
  <si>
    <t>PLANALTO DA SERRA</t>
  </si>
  <si>
    <t>NOVA BRASILANDIA</t>
  </si>
  <si>
    <t>PARANATINGA</t>
  </si>
  <si>
    <t>GAUCHA DO NORTE</t>
  </si>
  <si>
    <t>VERA</t>
  </si>
  <si>
    <t>FELIZ NATAL</t>
  </si>
  <si>
    <t>NOVA UBIRATA</t>
  </si>
  <si>
    <t>SORRISO</t>
  </si>
  <si>
    <t>BOA ESPERANCA (SORRISO)</t>
  </si>
  <si>
    <t>TEOTONIO</t>
  </si>
  <si>
    <t>MS</t>
  </si>
  <si>
    <t>ANHANDUI (CAMPO GRANDE)</t>
  </si>
  <si>
    <t>RIO BRILHANTE</t>
  </si>
  <si>
    <t>NOVA ALVORADA DO SUL</t>
  </si>
  <si>
    <t>MARACAJU</t>
  </si>
  <si>
    <t>SIDROLANDIA</t>
  </si>
  <si>
    <t>RIBAS DO RIO PARDO</t>
  </si>
  <si>
    <t>TERENOS</t>
  </si>
  <si>
    <t>AQUIDAUANA</t>
  </si>
  <si>
    <t>ANASTACIO</t>
  </si>
  <si>
    <t>DOIS IRMAOS DO BURITI</t>
  </si>
  <si>
    <t>NIOAQUE</t>
  </si>
  <si>
    <t>GUIA LOPES DA LAGUNA</t>
  </si>
  <si>
    <t>BELA VISTA</t>
  </si>
  <si>
    <t>PORTO MURTINHO</t>
  </si>
  <si>
    <t>COIMBRA (CORUMBA)</t>
  </si>
  <si>
    <t>LADARIO</t>
  </si>
  <si>
    <t>MIRANDA</t>
  </si>
  <si>
    <t>BODOQUENA</t>
  </si>
  <si>
    <t>COXIM</t>
  </si>
  <si>
    <t>PEDRO GOMES</t>
  </si>
  <si>
    <t>SONORA</t>
  </si>
  <si>
    <t>CAMAPUA</t>
  </si>
  <si>
    <t>FIGUEIRAO</t>
  </si>
  <si>
    <t>BANDEIRANTES</t>
  </si>
  <si>
    <t>JARAGUARI</t>
  </si>
  <si>
    <t>ROCHEDO</t>
  </si>
  <si>
    <t>CORGUINHO</t>
  </si>
  <si>
    <t>RIO NEGRO</t>
  </si>
  <si>
    <t>RIO VERDE DE MATO GROSSO</t>
  </si>
  <si>
    <t>SAO GABRIEL DO OESTE</t>
  </si>
  <si>
    <t>PARANAIBA</t>
  </si>
  <si>
    <t>ALCINOPOLIS</t>
  </si>
  <si>
    <t>CASSILANDIA</t>
  </si>
  <si>
    <t>COSTA RICA</t>
  </si>
  <si>
    <t>PARAISO DAS AGUAS</t>
  </si>
  <si>
    <t>CHAPADAO DO SUL</t>
  </si>
  <si>
    <t>APARECIDA DO TABOADO</t>
  </si>
  <si>
    <t>INOCENCIA</t>
  </si>
  <si>
    <t>SELVIRIA</t>
  </si>
  <si>
    <t>ARAPUA (TRES LAGOAS)</t>
  </si>
  <si>
    <t>BRASILANDIA</t>
  </si>
  <si>
    <t>AGUA CLARA</t>
  </si>
  <si>
    <t>SANTA RITA DO PARDO</t>
  </si>
  <si>
    <t>FATIMA DO SUL</t>
  </si>
  <si>
    <t>VICENTINA</t>
  </si>
  <si>
    <t>JATEI</t>
  </si>
  <si>
    <t>GLORIA DE DOURADOS</t>
  </si>
  <si>
    <t>IVINHEMA</t>
  </si>
  <si>
    <t>NOVO HORIZONTE DO SUL</t>
  </si>
  <si>
    <t>NOVA ANDRADINA</t>
  </si>
  <si>
    <t>BATAYPORA</t>
  </si>
  <si>
    <t>TAQUARUSSU</t>
  </si>
  <si>
    <t>ANAURILANDIA</t>
  </si>
  <si>
    <t>BATAGUASSU</t>
  </si>
  <si>
    <t>ANGELICA</t>
  </si>
  <si>
    <t>DEODAPOLIS</t>
  </si>
  <si>
    <t>DOURADOS</t>
  </si>
  <si>
    <t>GUACU (DOURADOS)</t>
  </si>
  <si>
    <t>DOURADINA</t>
  </si>
  <si>
    <t>ITAPORA</t>
  </si>
  <si>
    <t>SANGA PUITA (PONTA PORA)</t>
  </si>
  <si>
    <t>ANTONIO JOAO</t>
  </si>
  <si>
    <t>LAGUNA CARAPA</t>
  </si>
  <si>
    <t>PARANHOS</t>
  </si>
  <si>
    <t>ARAL MOREIRA</t>
  </si>
  <si>
    <t>SETE QUEDAS</t>
  </si>
  <si>
    <t>CAARAPO</t>
  </si>
  <si>
    <t>NAVIRAI</t>
  </si>
  <si>
    <t>JUTI</t>
  </si>
  <si>
    <t>IGUATEMI</t>
  </si>
  <si>
    <t>ITAQUIRAI</t>
  </si>
  <si>
    <t>TACURU</t>
  </si>
  <si>
    <t>JAPORA</t>
  </si>
  <si>
    <t>AMAMBAI</t>
  </si>
  <si>
    <t>CORONEL SAPUCAIA</t>
  </si>
  <si>
    <t>CURITIBA</t>
  </si>
  <si>
    <t>PR</t>
  </si>
  <si>
    <t>CAMPINA (SAO JOSE DOS PINHAIS)</t>
  </si>
  <si>
    <t>TIJUCAS DO SUL</t>
  </si>
  <si>
    <t>ILHA DO MEL (PARANAGUA)</t>
  </si>
  <si>
    <t>PONTAL DO PARANA</t>
  </si>
  <si>
    <t>MATINHOS</t>
  </si>
  <si>
    <t>GUARATUBA</t>
  </si>
  <si>
    <t>PIRAQUARA</t>
  </si>
  <si>
    <t>MORRETES</t>
  </si>
  <si>
    <t>ANTONINA</t>
  </si>
  <si>
    <t>GUARAQUECABA</t>
  </si>
  <si>
    <t>GUARAITUBA (COLOMBO)</t>
  </si>
  <si>
    <t>QUATRO BARRAS</t>
  </si>
  <si>
    <t>CAMPINA GRANDE DO SUL</t>
  </si>
  <si>
    <t>BOCAIUVA DO SUL</t>
  </si>
  <si>
    <t>TUNAS DO PARANA</t>
  </si>
  <si>
    <t>ADRIANOPOLIS</t>
  </si>
  <si>
    <t>ALMIRANTE TAMANDARE</t>
  </si>
  <si>
    <t>CAMPO MAGRO</t>
  </si>
  <si>
    <t>RIO BRANCO DO SUL</t>
  </si>
  <si>
    <t>ITAPERUCU</t>
  </si>
  <si>
    <t>CERRO AZUL</t>
  </si>
  <si>
    <t>DOUTOR ULYSSES</t>
  </si>
  <si>
    <t>TRES CORREGOS (CAMPO LARGO)</t>
  </si>
  <si>
    <t>BALSA NOVA</t>
  </si>
  <si>
    <t>COLONIA CRISTINA (ARAUCARIA)</t>
  </si>
  <si>
    <t>CONTENDA</t>
  </si>
  <si>
    <t>LAPA</t>
  </si>
  <si>
    <t>MANDIRITUBA</t>
  </si>
  <si>
    <t>FAZENDA RIO GRANDE</t>
  </si>
  <si>
    <t>QUITANDINHA</t>
  </si>
  <si>
    <t>AGUDOS DO SUL</t>
  </si>
  <si>
    <t>PIEN</t>
  </si>
  <si>
    <t>CAMPO DO TENENTE</t>
  </si>
  <si>
    <t>SAO MATEUS DO SUL</t>
  </si>
  <si>
    <t>ANTONIO OLINTO</t>
  </si>
  <si>
    <t>TAQUARI DOS POLACOS (PONTA GROSSA)</t>
  </si>
  <si>
    <t>PALMEIRA</t>
  </si>
  <si>
    <t>PORTO AMAZONAS</t>
  </si>
  <si>
    <t>CARAMBEI</t>
  </si>
  <si>
    <t>SAO JOAO DO TRIUNFO</t>
  </si>
  <si>
    <t>CAPAO ALTO (CASTRO)</t>
  </si>
  <si>
    <t>JAGUARIAIVA</t>
  </si>
  <si>
    <t>SENGES</t>
  </si>
  <si>
    <t>PIRAI DO SUL</t>
  </si>
  <si>
    <t>IMBAU</t>
  </si>
  <si>
    <t>LAGOA (TELEMACO BORBA)</t>
  </si>
  <si>
    <t>CURIUVA</t>
  </si>
  <si>
    <t>FIGUEIRA</t>
  </si>
  <si>
    <t>SAPOPEMA</t>
  </si>
  <si>
    <t>TIBAGI</t>
  </si>
  <si>
    <t>RESERVA</t>
  </si>
  <si>
    <t>VENTANIA</t>
  </si>
  <si>
    <t>ORTIGUEIRA</t>
  </si>
  <si>
    <t>PRUDENTOPOLIS</t>
  </si>
  <si>
    <t>IMBITUVA</t>
  </si>
  <si>
    <t>GUAMIRANGA</t>
  </si>
  <si>
    <t>IPIRANGA</t>
  </si>
  <si>
    <t>IVAI</t>
  </si>
  <si>
    <t>CANDIDO DE ABREU</t>
  </si>
  <si>
    <t>SANTO ANTONIO DO IRATIM (BITURUNA)</t>
  </si>
  <si>
    <t>TEIXEIRA SOARES</t>
  </si>
  <si>
    <t>FERNANDES PINHEIRO</t>
  </si>
  <si>
    <t>REBOUCAS</t>
  </si>
  <si>
    <t>RIO AZUL</t>
  </si>
  <si>
    <t>MALLET</t>
  </si>
  <si>
    <t>UNIAO DA VITORIA</t>
  </si>
  <si>
    <t>PORTO VITORIA</t>
  </si>
  <si>
    <t>CRUZ MACHADO</t>
  </si>
  <si>
    <t>PAULA FREITAS</t>
  </si>
  <si>
    <t>PAULO FRONTIN</t>
  </si>
  <si>
    <t>BITURUNA</t>
  </si>
  <si>
    <t>IBAITI</t>
  </si>
  <si>
    <t>JAPIRA</t>
  </si>
  <si>
    <t>PINHALAO</t>
  </si>
  <si>
    <t>JABOTI</t>
  </si>
  <si>
    <t>TOMAZINA</t>
  </si>
  <si>
    <t>SIQUEIRA CAMPOS</t>
  </si>
  <si>
    <t>SALTO DO ITARARE</t>
  </si>
  <si>
    <t>SANTANA DO ITARARE</t>
  </si>
  <si>
    <t>SAO JOSE DA BOA VISTA</t>
  </si>
  <si>
    <t>ARAPOTI</t>
  </si>
  <si>
    <t>COLONIA JORDAOZINHO (GUARAPUAVA)</t>
  </si>
  <si>
    <t>CANDOI</t>
  </si>
  <si>
    <t>FOZ DO JORDAO</t>
  </si>
  <si>
    <t>CAMPINA DO SIMAO</t>
  </si>
  <si>
    <t>TURVO</t>
  </si>
  <si>
    <t>INACIO MARTINS</t>
  </si>
  <si>
    <t>GOIOXIM</t>
  </si>
  <si>
    <t>MARQUINHO</t>
  </si>
  <si>
    <t>RESERVA DO IGUACU</t>
  </si>
  <si>
    <t>PITANGA</t>
  </si>
  <si>
    <t>BOA VENTURA DE SAO ROQUE</t>
  </si>
  <si>
    <t>SANTA MARIA DO OESTE</t>
  </si>
  <si>
    <t>MATO RICO</t>
  </si>
  <si>
    <t>NOVA TEBAS</t>
  </si>
  <si>
    <t>MANOEL RIBAS</t>
  </si>
  <si>
    <t>ALTAMIRA DO PARANA</t>
  </si>
  <si>
    <t>LARANJEIRAS DO SUL</t>
  </si>
  <si>
    <t>RIO BONITO DO IGUACU</t>
  </si>
  <si>
    <t>PORTO BARREIRO</t>
  </si>
  <si>
    <t>NOVA LARANJEIRAS</t>
  </si>
  <si>
    <t>VIRMOND</t>
  </si>
  <si>
    <t>GUARANIACU</t>
  </si>
  <si>
    <t>DIAMANTE DO SUL</t>
  </si>
  <si>
    <t>CORBELIA</t>
  </si>
  <si>
    <t>IGUATU</t>
  </si>
  <si>
    <t>ANAHY</t>
  </si>
  <si>
    <t>BRAGANEY</t>
  </si>
  <si>
    <t>UBIRATA</t>
  </si>
  <si>
    <t>CAMPO BONITO</t>
  </si>
  <si>
    <t>QUEDAS DO IGUACU</t>
  </si>
  <si>
    <t>ESPIGAO ALTO DO IGUACU</t>
  </si>
  <si>
    <t>CATANDUVAS</t>
  </si>
  <si>
    <t>IBEMA</t>
  </si>
  <si>
    <t>TRES BARRAS DO PARANA</t>
  </si>
  <si>
    <t>BOM RETIRO (PATO BRANCO)</t>
  </si>
  <si>
    <t>BOM SUCESSO DO SUL</t>
  </si>
  <si>
    <t>VITORINO</t>
  </si>
  <si>
    <t>MARIOPOLIS</t>
  </si>
  <si>
    <t>CLEVELANDIA</t>
  </si>
  <si>
    <t>MANGUEIRINHA</t>
  </si>
  <si>
    <t>HONORIO SERPA</t>
  </si>
  <si>
    <t>CORONEL VIVIDA</t>
  </si>
  <si>
    <t>PALMAS</t>
  </si>
  <si>
    <t>CORONEL DOMINGOS SOARES</t>
  </si>
  <si>
    <t>CHOPINZINHO</t>
  </si>
  <si>
    <t>SULINA</t>
  </si>
  <si>
    <t>SAUDADE DO IGUACU</t>
  </si>
  <si>
    <t>SAO JORGE D'OESTE</t>
  </si>
  <si>
    <t>ITAPEJARA D'OESTE</t>
  </si>
  <si>
    <t>VERE</t>
  </si>
  <si>
    <t>CRUZEIRO DO IGUACU</t>
  </si>
  <si>
    <t>JACUTINGA (FRANCISCO BELTRAO)</t>
  </si>
  <si>
    <t>RENASCENCA</t>
  </si>
  <si>
    <t>MARMELEIRO</t>
  </si>
  <si>
    <t>FLOR DA SERRA DO SUL</t>
  </si>
  <si>
    <t>SALGADO FILHO</t>
  </si>
  <si>
    <t>MANFRINOPOLIS</t>
  </si>
  <si>
    <t>ENEAS MARQUES</t>
  </si>
  <si>
    <t>NOVA ESPERANCA DO SUDOESTE</t>
  </si>
  <si>
    <t>AMPERE</t>
  </si>
  <si>
    <t>SANTA IZABEL DO OESTE</t>
  </si>
  <si>
    <t>DOIS VIZINHOS</t>
  </si>
  <si>
    <t>SALTO DO LONTRA</t>
  </si>
  <si>
    <t>BOA ESPERANCA DO IGUACU</t>
  </si>
  <si>
    <t>NOVA PRATA DO IGUACU</t>
  </si>
  <si>
    <t>BARRACAO</t>
  </si>
  <si>
    <t>BOM JESUS DO SUL</t>
  </si>
  <si>
    <t>SANTO ANTONIO DO SUDOESTE</t>
  </si>
  <si>
    <t>PINHAL DE SAO BENTO</t>
  </si>
  <si>
    <t>PRANCHITA</t>
  </si>
  <si>
    <t>PEROLA D'OESTE</t>
  </si>
  <si>
    <t>BELA VISTA DA CAROBA</t>
  </si>
  <si>
    <t>CAPANEMA</t>
  </si>
  <si>
    <t>REALEZA</t>
  </si>
  <si>
    <t>BOA VISTA DA APARECIDA</t>
  </si>
  <si>
    <t>CAPITAO LEONIDAS MARQUES</t>
  </si>
  <si>
    <t>CENTRALITO (CASCAVEL)</t>
  </si>
  <si>
    <t>SANTA TEREZA DO OESTE</t>
  </si>
  <si>
    <t>LINDOESTE</t>
  </si>
  <si>
    <t>FORMOSA DO OESTE</t>
  </si>
  <si>
    <t>IRACEMA DO OESTE</t>
  </si>
  <si>
    <t>JESUITAS</t>
  </si>
  <si>
    <t>CEU AZUL</t>
  </si>
  <si>
    <t>VERA CRUZ DO OESTE</t>
  </si>
  <si>
    <t>TRES LAGOAS (FOZ DO IGUACU)</t>
  </si>
  <si>
    <t>SANTA TEREZINHA DE ITAIPU</t>
  </si>
  <si>
    <t>SAO MIGUEL DO IGUACU</t>
  </si>
  <si>
    <t>ITAIPULANDIA</t>
  </si>
  <si>
    <t>MEDIANEIRA</t>
  </si>
  <si>
    <t>SERRANOPOLIS DO IGUACU</t>
  </si>
  <si>
    <t>MATELANDIA</t>
  </si>
  <si>
    <t>RAMILANDIA</t>
  </si>
  <si>
    <t>MISSAL</t>
  </si>
  <si>
    <t>DIAMANTE D'OESTE</t>
  </si>
  <si>
    <t>SAO JOSE DAS PALMEIRAS</t>
  </si>
  <si>
    <t>BOM PRINCIPIO DO OESTE (TOLEDO)</t>
  </si>
  <si>
    <t>SAO PEDRO DO IGUACU</t>
  </si>
  <si>
    <t>NOVA SANTA ROSA</t>
  </si>
  <si>
    <t>OURO VERDE DO OESTE</t>
  </si>
  <si>
    <t>ASSIS CHATEAUBRIAND</t>
  </si>
  <si>
    <t>QUATRO PONTES</t>
  </si>
  <si>
    <t>TUPASSI</t>
  </si>
  <si>
    <t>PATO BRAGADO</t>
  </si>
  <si>
    <t>PALOTINA</t>
  </si>
  <si>
    <t>MARIPA</t>
  </si>
  <si>
    <t>MARECHAL CANDIDO RONDON</t>
  </si>
  <si>
    <t>ENTRE RIOS DO OESTE</t>
  </si>
  <si>
    <t>MERCEDES</t>
  </si>
  <si>
    <t>BAIRRO LIMOEIRO (LONDRINA)</t>
  </si>
  <si>
    <t>TAMARANA</t>
  </si>
  <si>
    <t>BELA VISTA DO PARAISO</t>
  </si>
  <si>
    <t>PRIMEIRO DE MAIO</t>
  </si>
  <si>
    <t>ALVORADA DO SUL</t>
  </si>
  <si>
    <t>PORECATU</t>
  </si>
  <si>
    <t>FLORESTOPOLIS</t>
  </si>
  <si>
    <t>SERTANOPOLIS</t>
  </si>
  <si>
    <t>PRATA (CAMBE)</t>
  </si>
  <si>
    <t>IBIPORA</t>
  </si>
  <si>
    <t>JATAIZINHO</t>
  </si>
  <si>
    <t>ASSAI</t>
  </si>
  <si>
    <t>SANTA CECILIA DO PAVAO</t>
  </si>
  <si>
    <t>NOVA AMERICA DA COLINA</t>
  </si>
  <si>
    <t>SAO SEBASTIAO DA AMOREIRA</t>
  </si>
  <si>
    <t>NOVA SANTA BARBARA</t>
  </si>
  <si>
    <t>SAO JERONIMO DA SERRA</t>
  </si>
  <si>
    <t>URAI</t>
  </si>
  <si>
    <t>RANCHO ALEGRE</t>
  </si>
  <si>
    <t>CORNELIO PROCOPIO</t>
  </si>
  <si>
    <t>SANTO ANTONIO DO PARAISO</t>
  </si>
  <si>
    <t>CONGONHINHAS</t>
  </si>
  <si>
    <t>LEOPOLIS</t>
  </si>
  <si>
    <t>SERTANEJA</t>
  </si>
  <si>
    <t>SANTA MARIANA</t>
  </si>
  <si>
    <t>SANTA AMELIA</t>
  </si>
  <si>
    <t>ITAMBARACA</t>
  </si>
  <si>
    <t>ANDIRA</t>
  </si>
  <si>
    <t>BARRA DO JACARE</t>
  </si>
  <si>
    <t>CAMBARA</t>
  </si>
  <si>
    <t>JACAREZINHO</t>
  </si>
  <si>
    <t>RIBEIRAO CLARO</t>
  </si>
  <si>
    <t>CARLOPOLIS</t>
  </si>
  <si>
    <t>SANTO ANTONIO DA PLATINA</t>
  </si>
  <si>
    <t>QUATIGUA</t>
  </si>
  <si>
    <t>JOAQUIM TAVORA</t>
  </si>
  <si>
    <t>ABATIA</t>
  </si>
  <si>
    <t>GUAPIRAMA</t>
  </si>
  <si>
    <t>JUNDIAI DO SUL</t>
  </si>
  <si>
    <t>CONSELHEIRO MAIRINCK</t>
  </si>
  <si>
    <t>RIBEIRAO DO PINHAL</t>
  </si>
  <si>
    <t>SAO MARTINHO (ROLANDIA)</t>
  </si>
  <si>
    <t>JAGUAPITA</t>
  </si>
  <si>
    <t>MIRASELVA</t>
  </si>
  <si>
    <t>PRADO FERREIRA</t>
  </si>
  <si>
    <t>CENTENARIO DO SUL</t>
  </si>
  <si>
    <t>LUPIONOPOLIS</t>
  </si>
  <si>
    <t>CAFEARA</t>
  </si>
  <si>
    <t>SANTO INACIO</t>
  </si>
  <si>
    <t>ITAGUAJE</t>
  </si>
  <si>
    <t>NOSSA SENHORA DAS GRACAS</t>
  </si>
  <si>
    <t>COLORADO</t>
  </si>
  <si>
    <t>ARICANDUVA (ARAPONGAS)</t>
  </si>
  <si>
    <t>SABAUDIA</t>
  </si>
  <si>
    <t>ASTORGA</t>
  </si>
  <si>
    <t>IGUARACU</t>
  </si>
  <si>
    <t>ANGULO</t>
  </si>
  <si>
    <t>MUNHOZ DE MELO</t>
  </si>
  <si>
    <t>SANTA FE</t>
  </si>
  <si>
    <t>FLORIDA</t>
  </si>
  <si>
    <t>LOBATO</t>
  </si>
  <si>
    <t>SAO DOMINGOS (APUCARANA)</t>
  </si>
  <si>
    <t>CALIFORNIA</t>
  </si>
  <si>
    <t>MARILANDIA DO SUL</t>
  </si>
  <si>
    <t>MAUA DA SERRA</t>
  </si>
  <si>
    <t>RIO BOM</t>
  </si>
  <si>
    <t>FAXINAL</t>
  </si>
  <si>
    <t>GRANDES RIOS</t>
  </si>
  <si>
    <t>RIO BRANCO DO IVAI</t>
  </si>
  <si>
    <t>ROSARIO DO IVAI</t>
  </si>
  <si>
    <t>CRUZMALTINA</t>
  </si>
  <si>
    <t>JARDIM ALEGRE</t>
  </si>
  <si>
    <t>LIDIANOPOLIS</t>
  </si>
  <si>
    <t>IVAIPORA</t>
  </si>
  <si>
    <t>ARIRANHA DO IVAI</t>
  </si>
  <si>
    <t>CAMBIRA</t>
  </si>
  <si>
    <t>NOVO ITACOLOMI</t>
  </si>
  <si>
    <t>JANDAIA DO SUL</t>
  </si>
  <si>
    <t>MARUMBI</t>
  </si>
  <si>
    <t>KALORE</t>
  </si>
  <si>
    <t>BORRAZOPOLIS</t>
  </si>
  <si>
    <t>SAO JOAO DO IVAI</t>
  </si>
  <si>
    <t>LUNARDELLI</t>
  </si>
  <si>
    <t>GODOY MOREIRA</t>
  </si>
  <si>
    <t>SAO PEDRO DO IVAI</t>
  </si>
  <si>
    <t>FENIX</t>
  </si>
  <si>
    <t>BARBOSA FERRAZ</t>
  </si>
  <si>
    <t>CORUMBATAI DO SUL</t>
  </si>
  <si>
    <t>MANDAGUARI</t>
  </si>
  <si>
    <t>MARIALVA</t>
  </si>
  <si>
    <t>ALTANEIRA (MARINGA)</t>
  </si>
  <si>
    <t>NOVO SARANDI (TOLEDO)</t>
  </si>
  <si>
    <t>IVATUBA</t>
  </si>
  <si>
    <t>PAICANDU</t>
  </si>
  <si>
    <t>DOUTOR CAMARGO</t>
  </si>
  <si>
    <t>MANDAGUACU</t>
  </si>
  <si>
    <t>OURIZONA</t>
  </si>
  <si>
    <t>PRESIDENTE CASTELO BRANCO</t>
  </si>
  <si>
    <t>FLORAI</t>
  </si>
  <si>
    <t>SAO JORGE DO IVAI</t>
  </si>
  <si>
    <t>VIDIGAL (CIANORTE)</t>
  </si>
  <si>
    <t>SAO MANOEL DO PARANA</t>
  </si>
  <si>
    <t>TERRA BOA</t>
  </si>
  <si>
    <t>PEABIRU</t>
  </si>
  <si>
    <t>QUINTA DO SOL</t>
  </si>
  <si>
    <t>ENGENHEIRO BELTRAO</t>
  </si>
  <si>
    <t>IRETAMA</t>
  </si>
  <si>
    <t>LUIZIANA</t>
  </si>
  <si>
    <t>PIQUIRIVAI (CAMPO MOURAO)</t>
  </si>
  <si>
    <t>RONCADOR</t>
  </si>
  <si>
    <t>FAROL</t>
  </si>
  <si>
    <t>NOVA CANTU</t>
  </si>
  <si>
    <t>MAMBORE</t>
  </si>
  <si>
    <t>CAMPINA DA LAGOA</t>
  </si>
  <si>
    <t>JURANDA</t>
  </si>
  <si>
    <t>GOIOERE</t>
  </si>
  <si>
    <t>QUARTO CENTENARIO</t>
  </si>
  <si>
    <t>MOREIRA SALES</t>
  </si>
  <si>
    <t>JANIOPOLIS</t>
  </si>
  <si>
    <t>RANCHO ALEGRE D'OESTE</t>
  </si>
  <si>
    <t>CRUZEIRO DO OESTE</t>
  </si>
  <si>
    <t>TAPEJARA</t>
  </si>
  <si>
    <t>TUNEIRAS DO OESTE</t>
  </si>
  <si>
    <t>MARILUZ</t>
  </si>
  <si>
    <t>MARIA HELENA</t>
  </si>
  <si>
    <t>ROBERTO SILVEIRA (UMUARAMA)</t>
  </si>
  <si>
    <t>IVATE</t>
  </si>
  <si>
    <t>ICARAIMA</t>
  </si>
  <si>
    <t>XAMBRE</t>
  </si>
  <si>
    <t>PEROBAL</t>
  </si>
  <si>
    <t>PEROLA</t>
  </si>
  <si>
    <t>ESPERANCA NOVA</t>
  </si>
  <si>
    <t>ALTONIA</t>
  </si>
  <si>
    <t>SAO JORGE DO PATROCINIO</t>
  </si>
  <si>
    <t>CAFEZAL DO SUL</t>
  </si>
  <si>
    <t>FRANCISCO ALVES</t>
  </si>
  <si>
    <t>ALTO PIQUIRI</t>
  </si>
  <si>
    <t>BRASILANDIA DO SUL</t>
  </si>
  <si>
    <t>NOVA ESPERANCA</t>
  </si>
  <si>
    <t>UNIFLOR</t>
  </si>
  <si>
    <t>PARANACITY</t>
  </si>
  <si>
    <t>PARANAPOEMA</t>
  </si>
  <si>
    <t>JARDIM OLINDA</t>
  </si>
  <si>
    <t>SAO PEDRO (PARANAVAI)</t>
  </si>
  <si>
    <t>SANTO ANTONIO DO CAIUA</t>
  </si>
  <si>
    <t>SAO JOAO DO CAIUA</t>
  </si>
  <si>
    <t>ALTO PARANA</t>
  </si>
  <si>
    <t>TAMBOARA</t>
  </si>
  <si>
    <t>SAO CARLOS DO IVAI</t>
  </si>
  <si>
    <t>PARAISO DO NORTE</t>
  </si>
  <si>
    <t>NOVA ALIANCA DO IVAI</t>
  </si>
  <si>
    <t>RONDON</t>
  </si>
  <si>
    <t>GUAPOREMA</t>
  </si>
  <si>
    <t>CIDADE GAUCHA</t>
  </si>
  <si>
    <t>AMAPORA</t>
  </si>
  <si>
    <t>PLANALTINA DO PARANA</t>
  </si>
  <si>
    <t>GUAIRACA</t>
  </si>
  <si>
    <t>TERRA RICA</t>
  </si>
  <si>
    <t>LOANDA</t>
  </si>
  <si>
    <t>SANTA ISABEL DO IVAI</t>
  </si>
  <si>
    <t>SANTA MONICA</t>
  </si>
  <si>
    <t>SANTA CRUZ DE MONTE CASTELO</t>
  </si>
  <si>
    <t>QUERENCIA DO NORTE</t>
  </si>
  <si>
    <t>PORTO RICO</t>
  </si>
  <si>
    <t>SAO PEDRO DO PARANA</t>
  </si>
  <si>
    <t>MARILENA</t>
  </si>
  <si>
    <t>NOVA LONDRINA</t>
  </si>
  <si>
    <t>ITAUNA DO SUL</t>
  </si>
  <si>
    <t>DIAMANTE DO NORTE</t>
  </si>
  <si>
    <t>FLORIANOPOLIS</t>
  </si>
  <si>
    <t>SC</t>
  </si>
  <si>
    <t>SAO JOSE</t>
  </si>
  <si>
    <t>SAO PEDRO DE ALCANTARA</t>
  </si>
  <si>
    <t>PALHOCA</t>
  </si>
  <si>
    <t>SANTO AMARO DA IMPERATRIZ</t>
  </si>
  <si>
    <t>AGUAS MORNAS</t>
  </si>
  <si>
    <t>BIGUACU</t>
  </si>
  <si>
    <t>GOVERNADOR CELSO RAMOS</t>
  </si>
  <si>
    <t>TIJUCAS</t>
  </si>
  <si>
    <t>PORTO BELO</t>
  </si>
  <si>
    <t>BOMBINHAS</t>
  </si>
  <si>
    <t>ITAPEMA</t>
  </si>
  <si>
    <t>CANELINHA</t>
  </si>
  <si>
    <t>MAJOR GERCINO</t>
  </si>
  <si>
    <t>NOVA TRENTO</t>
  </si>
  <si>
    <t>BOTUVERA</t>
  </si>
  <si>
    <t>ITAJAI</t>
  </si>
  <si>
    <t>ILHOTA</t>
  </si>
  <si>
    <t>BALNEARIO CAMBORIU</t>
  </si>
  <si>
    <t>MONTE ALEGRE (CAMBORIU)</t>
  </si>
  <si>
    <t>BRUSQUE</t>
  </si>
  <si>
    <t>GUABIRUBA</t>
  </si>
  <si>
    <t>MACHADOS (NAVEGANTES)</t>
  </si>
  <si>
    <t>BALNEARIO PICARRAS</t>
  </si>
  <si>
    <t>PENHA</t>
  </si>
  <si>
    <t>BARRA VELHA</t>
  </si>
  <si>
    <t>SAO JOAO DO ITAPERIU</t>
  </si>
  <si>
    <t>ITUPORANGA</t>
  </si>
  <si>
    <t>CHAPADAO DO LAGEADO</t>
  </si>
  <si>
    <t>ATALANTA</t>
  </si>
  <si>
    <t>AGROLANDIA</t>
  </si>
  <si>
    <t>IMBUIA</t>
  </si>
  <si>
    <t>VIDAL RAMOS</t>
  </si>
  <si>
    <t>LEOBERTO LEAL</t>
  </si>
  <si>
    <t>ALFREDO WAGNER</t>
  </si>
  <si>
    <t>ANGELINA</t>
  </si>
  <si>
    <t>RANCHO QUEIMADO</t>
  </si>
  <si>
    <t>ANITAPOLIS</t>
  </si>
  <si>
    <t>SAO BONIFACIO</t>
  </si>
  <si>
    <t>PAULO LOPES</t>
  </si>
  <si>
    <t>GAROPABA</t>
  </si>
  <si>
    <t>SANTA TEREZINHA DO SALTO (LAGES)</t>
  </si>
  <si>
    <t>CORREIA PINTO</t>
  </si>
  <si>
    <t>BOCAINA DO SUL</t>
  </si>
  <si>
    <t>OTACILIO COSTA</t>
  </si>
  <si>
    <t>PAINEL</t>
  </si>
  <si>
    <t>CAPAO ALTO</t>
  </si>
  <si>
    <t>PONTE ALTA</t>
  </si>
  <si>
    <t>SAO JOSE DO CERRITO</t>
  </si>
  <si>
    <t>CAMPO BELO DO SUL</t>
  </si>
  <si>
    <t>CERRO NEGRO</t>
  </si>
  <si>
    <t>ANITA GARIBALDI</t>
  </si>
  <si>
    <t>CELSO RAMOS</t>
  </si>
  <si>
    <t>SAO JOAQUIM</t>
  </si>
  <si>
    <t>URUPEMA</t>
  </si>
  <si>
    <t>BOM JARDIM DA SERRA</t>
  </si>
  <si>
    <t>URUBICI</t>
  </si>
  <si>
    <t>RIO RUFINO</t>
  </si>
  <si>
    <t>BOM RETIRO</t>
  </si>
  <si>
    <t>TUBARAO</t>
  </si>
  <si>
    <t>TREZE DE MAIO</t>
  </si>
  <si>
    <t>JAGUARUNA</t>
  </si>
  <si>
    <t>SANGAO</t>
  </si>
  <si>
    <t>PEDRAS GRANDES</t>
  </si>
  <si>
    <t>SAO LUDGERO</t>
  </si>
  <si>
    <t>GRAVATAL</t>
  </si>
  <si>
    <t>ARMAZEM</t>
  </si>
  <si>
    <t>CAPIVARI DE BAIXO</t>
  </si>
  <si>
    <t>BRACO DO NORTE</t>
  </si>
  <si>
    <t>RIO FORTUNA</t>
  </si>
  <si>
    <t>SAO MARTINHO</t>
  </si>
  <si>
    <t>IMARUI</t>
  </si>
  <si>
    <t>IMBITUBA</t>
  </si>
  <si>
    <t>LAGUNA</t>
  </si>
  <si>
    <t>PESCARIA BRAVA</t>
  </si>
  <si>
    <t>CRICIUMA</t>
  </si>
  <si>
    <t>ICARA</t>
  </si>
  <si>
    <t>BALNEARIO RINCAO</t>
  </si>
  <si>
    <t>MORRO DA FUMACA</t>
  </si>
  <si>
    <t>URUSSANGA</t>
  </si>
  <si>
    <t>COCAL DO SUL</t>
  </si>
  <si>
    <t>FORQUILHINHA</t>
  </si>
  <si>
    <t>SIDEROPOLIS</t>
  </si>
  <si>
    <t>TREVISO</t>
  </si>
  <si>
    <t>ORLEANS</t>
  </si>
  <si>
    <t>LAURO MÜLLER</t>
  </si>
  <si>
    <t>GRAO PARA</t>
  </si>
  <si>
    <t>ARARANGUA</t>
  </si>
  <si>
    <t>BALNEARIO ARROIO DO SILVA</t>
  </si>
  <si>
    <t>MARACAJA</t>
  </si>
  <si>
    <t>MELEIRO</t>
  </si>
  <si>
    <t>MORRO GRANDE</t>
  </si>
  <si>
    <t>ERMO</t>
  </si>
  <si>
    <t>TIMBE DO SUL</t>
  </si>
  <si>
    <t>JACINTO MACHADO</t>
  </si>
  <si>
    <t>BALNEARIO GAIVOTA</t>
  </si>
  <si>
    <t>SOMBRIO</t>
  </si>
  <si>
    <t>SANTA ROSA DO SUL</t>
  </si>
  <si>
    <t>SAO JOAO DO SUL</t>
  </si>
  <si>
    <t>PASSO DE TORRES</t>
  </si>
  <si>
    <t>BLUMENAU</t>
  </si>
  <si>
    <t>INDAIAL</t>
  </si>
  <si>
    <t>POMERODE</t>
  </si>
  <si>
    <t>GASPAR</t>
  </si>
  <si>
    <t>LUIZ ALVES</t>
  </si>
  <si>
    <t>TIMBO</t>
  </si>
  <si>
    <t>RIO DOS CEDROS</t>
  </si>
  <si>
    <t>BENEDITO NOVO</t>
  </si>
  <si>
    <t>DOUTOR PEDRINHO</t>
  </si>
  <si>
    <t>APIUNA</t>
  </si>
  <si>
    <t>RODEIO</t>
  </si>
  <si>
    <t>ASCURRA</t>
  </si>
  <si>
    <t>IBIRAMA</t>
  </si>
  <si>
    <t>JOSE BOITEUX</t>
  </si>
  <si>
    <t>VITOR MEIRELES</t>
  </si>
  <si>
    <t>PRESIDENTE GETULIO</t>
  </si>
  <si>
    <t>DONA EMMA</t>
  </si>
  <si>
    <t>WITMARSUM</t>
  </si>
  <si>
    <t>RIO PRETO DO SUL</t>
  </si>
  <si>
    <t>LAURENTINO</t>
  </si>
  <si>
    <t>POUSO REDONDO</t>
  </si>
  <si>
    <t>TROMBUDO CENTRAL</t>
  </si>
  <si>
    <t>BRACO DO TROMBUDO</t>
  </si>
  <si>
    <t>RIO DO OESTE</t>
  </si>
  <si>
    <t>LONTRAS</t>
  </si>
  <si>
    <t>PRESIDENTE NEREU</t>
  </si>
  <si>
    <t>AGRONOMICA</t>
  </si>
  <si>
    <t>TAIO</t>
  </si>
  <si>
    <t>MIRIM DOCE</t>
  </si>
  <si>
    <t>SALETE</t>
  </si>
  <si>
    <t>RIO DO CAMPO</t>
  </si>
  <si>
    <t>JOINVILLE</t>
  </si>
  <si>
    <t>SAO FRANCISCO DO SUL</t>
  </si>
  <si>
    <t>ARAQUARI</t>
  </si>
  <si>
    <t>BALNEARIO BARRA DO SUL</t>
  </si>
  <si>
    <t>GARUVA</t>
  </si>
  <si>
    <t>ITAPOA</t>
  </si>
  <si>
    <t>JARAGUA DO SUL</t>
  </si>
  <si>
    <t>GUARAMIRIM</t>
  </si>
  <si>
    <t>SCHROEDER</t>
  </si>
  <si>
    <t>CORUPA</t>
  </si>
  <si>
    <t>SAO BENTO DO SUL</t>
  </si>
  <si>
    <t>RIO NEGRINHO</t>
  </si>
  <si>
    <t>AGUAS CLARAS (MAFRA)</t>
  </si>
  <si>
    <t>ITAIOPOLIS</t>
  </si>
  <si>
    <t>PAPANDUVA</t>
  </si>
  <si>
    <t>PORTO UNIAO</t>
  </si>
  <si>
    <t>MATOS COSTA</t>
  </si>
  <si>
    <t>CALMON</t>
  </si>
  <si>
    <t>IRINEOPOLIS</t>
  </si>
  <si>
    <t>CANOINHAS</t>
  </si>
  <si>
    <t>BELA VISTA DO TOLDO</t>
  </si>
  <si>
    <t>MAJOR VIEIRA</t>
  </si>
  <si>
    <t>TRES BARRAS</t>
  </si>
  <si>
    <t>CACADOR</t>
  </si>
  <si>
    <t>LEBON REGIS</t>
  </si>
  <si>
    <t>MACIEIRA</t>
  </si>
  <si>
    <t>CURITIBANOS</t>
  </si>
  <si>
    <t>FREI ROGERIO</t>
  </si>
  <si>
    <t>SAO CRISTOVAO DO SUL</t>
  </si>
  <si>
    <t>PONTE ALTA DO NORTE</t>
  </si>
  <si>
    <t>TIMBO GRANDE</t>
  </si>
  <si>
    <t>RIO DAS ANTAS</t>
  </si>
  <si>
    <t>IOMERE</t>
  </si>
  <si>
    <t>VIDEIRA</t>
  </si>
  <si>
    <t>PINHEIRO PRETO</t>
  </si>
  <si>
    <t>FRAIBURGO</t>
  </si>
  <si>
    <t>ARROIO TRINTA</t>
  </si>
  <si>
    <t>SALTO VELOSO</t>
  </si>
  <si>
    <t>JOACABA</t>
  </si>
  <si>
    <t>LUZERNA</t>
  </si>
  <si>
    <t>HERVAL D'OESTE</t>
  </si>
  <si>
    <t>ERVAL VELHO</t>
  </si>
  <si>
    <t>MONTE CARLO</t>
  </si>
  <si>
    <t>CAMPOS NOVOS</t>
  </si>
  <si>
    <t>ZORTEA</t>
  </si>
  <si>
    <t>BRUNOPOLIS</t>
  </si>
  <si>
    <t>ABDON BATISTA</t>
  </si>
  <si>
    <t>IBICARE</t>
  </si>
  <si>
    <t>TREZE TILIAS</t>
  </si>
  <si>
    <t>IBIAM</t>
  </si>
  <si>
    <t>AGUA DOCE</t>
  </si>
  <si>
    <t>LACERDOPOLIS</t>
  </si>
  <si>
    <t>OURO</t>
  </si>
  <si>
    <t>CAPINZAL</t>
  </si>
  <si>
    <t>PIRATUBA</t>
  </si>
  <si>
    <t>JABORA</t>
  </si>
  <si>
    <t>IRANI</t>
  </si>
  <si>
    <t>PONTE SERRADA</t>
  </si>
  <si>
    <t>PASSOS MAIA</t>
  </si>
  <si>
    <t>VARGEAO</t>
  </si>
  <si>
    <t>FAXINAL DOS GUEDES</t>
  </si>
  <si>
    <t>CONCORDIA</t>
  </si>
  <si>
    <t>ALTO BELA VISTA</t>
  </si>
  <si>
    <t>LINDOIA DO SUL</t>
  </si>
  <si>
    <t>ARABUTA</t>
  </si>
  <si>
    <t>PRESIDENTE CASTELLO BRANCO</t>
  </si>
  <si>
    <t>PERITIBA</t>
  </si>
  <si>
    <t>ITA</t>
  </si>
  <si>
    <t>PAIAL</t>
  </si>
  <si>
    <t>SEARA</t>
  </si>
  <si>
    <t>ARVOREDO</t>
  </si>
  <si>
    <t>XAVANTINA</t>
  </si>
  <si>
    <t>IPUMIRIM</t>
  </si>
  <si>
    <t>CHAPECO</t>
  </si>
  <si>
    <t>GUATAMBU</t>
  </si>
  <si>
    <t>NOVA ITABERABA</t>
  </si>
  <si>
    <t>CORDILHEIRA ALTA</t>
  </si>
  <si>
    <t>XANXERE</t>
  </si>
  <si>
    <t>XAXIM</t>
  </si>
  <si>
    <t>LAJEADO GRANDE</t>
  </si>
  <si>
    <t>ABELARDO LUZ</t>
  </si>
  <si>
    <t>IPUACU</t>
  </si>
  <si>
    <t>CORONEL MARTINS</t>
  </si>
  <si>
    <t>GALVAO</t>
  </si>
  <si>
    <t>JUPIA</t>
  </si>
  <si>
    <t>CORONEL FREITAS</t>
  </si>
  <si>
    <t>AGUAS FRIAS</t>
  </si>
  <si>
    <t>UNIAO DO OESTE</t>
  </si>
  <si>
    <t>QUILOMBO</t>
  </si>
  <si>
    <t>SANTIAGO DO SUL</t>
  </si>
  <si>
    <t>SUL BRASIL</t>
  </si>
  <si>
    <t>IRATI</t>
  </si>
  <si>
    <t>FORMOSA DO SUL</t>
  </si>
  <si>
    <t>MAREMA</t>
  </si>
  <si>
    <t>NOVA ERECHIM</t>
  </si>
  <si>
    <t>SAUDADES</t>
  </si>
  <si>
    <t>SERRA ALTA</t>
  </si>
  <si>
    <t>MODELO</t>
  </si>
  <si>
    <t>BOM JESUS DO OESTE</t>
  </si>
  <si>
    <t>TIGRINHOS</t>
  </si>
  <si>
    <t>FLOR DO SERTAO</t>
  </si>
  <si>
    <t>SAO MIGUEL DA BOA VISTA</t>
  </si>
  <si>
    <t>CAXAMBU DO SUL</t>
  </si>
  <si>
    <t>PLANALTO ALEGRE</t>
  </si>
  <si>
    <t>AGUAS DE CHAPECO</t>
  </si>
  <si>
    <t>SAO CARLOS</t>
  </si>
  <si>
    <t>CUNHATAI</t>
  </si>
  <si>
    <t>PALMITOS</t>
  </si>
  <si>
    <t>CAIBI</t>
  </si>
  <si>
    <t>CUNHA PORA</t>
  </si>
  <si>
    <t>IRACEMINHA</t>
  </si>
  <si>
    <t>MONDAI</t>
  </si>
  <si>
    <t>RIQUEZA</t>
  </si>
  <si>
    <t>SAO JOAO DO OESTE</t>
  </si>
  <si>
    <t>TUNAPOLIS</t>
  </si>
  <si>
    <t>IPORA DO OESTE</t>
  </si>
  <si>
    <t>SAO MIGUEL DO OESTE</t>
  </si>
  <si>
    <t>BANDEIRANTE</t>
  </si>
  <si>
    <t>ROMELANDIA</t>
  </si>
  <si>
    <t>DESCANSO</t>
  </si>
  <si>
    <t>SAO JOSE DO CEDRO</t>
  </si>
  <si>
    <t>PRINCESA</t>
  </si>
  <si>
    <t>GUARUJA DO SUL</t>
  </si>
  <si>
    <t>DIONISIO CERQUEIRA</t>
  </si>
  <si>
    <t>CAMPO ERE</t>
  </si>
  <si>
    <t>SAO BERNARDINO</t>
  </si>
  <si>
    <t>SANTA TEREZINHA DO PROGRESSO</t>
  </si>
  <si>
    <t>PALMA SOLA</t>
  </si>
  <si>
    <t>SAO LOURENCO DO OESTE</t>
  </si>
  <si>
    <t>PORTO ALEGRE</t>
  </si>
  <si>
    <t>RS</t>
  </si>
  <si>
    <t>ARROIO CANOAS</t>
  </si>
  <si>
    <t>GUAIBA</t>
  </si>
  <si>
    <t>SERTAO SANTANA</t>
  </si>
  <si>
    <t>MARIANA PIMENTEL</t>
  </si>
  <si>
    <t>ELDORADO DO SUL</t>
  </si>
  <si>
    <t>SAO LEOPOLDO</t>
  </si>
  <si>
    <t>PORTAO</t>
  </si>
  <si>
    <t>SAPUCAIA DO SUL</t>
  </si>
  <si>
    <t>ESTEIO</t>
  </si>
  <si>
    <t>NOVO HAMBURGO</t>
  </si>
  <si>
    <t>ESTANCIA VELHA</t>
  </si>
  <si>
    <t>CAMPO BOM</t>
  </si>
  <si>
    <t>SAPIRANGA</t>
  </si>
  <si>
    <t>ARARICA</t>
  </si>
  <si>
    <t>NOVA HARTZ</t>
  </si>
  <si>
    <t>IVOTI</t>
  </si>
  <si>
    <t>LINDOLFO COLLOR</t>
  </si>
  <si>
    <t>PRESIDENTE LUCENA</t>
  </si>
  <si>
    <t>DOIS IRMAOS</t>
  </si>
  <si>
    <t>MORRO REUTER</t>
  </si>
  <si>
    <t>SANTA MARIA DO HERVAL</t>
  </si>
  <si>
    <t>ITACOLOMI (GRAVATAI)</t>
  </si>
  <si>
    <t>GLORINHA</t>
  </si>
  <si>
    <t>PASSO DA AREIA (VIAMAO)</t>
  </si>
  <si>
    <t>SANTA LUCIA DO PIAI (CAXIAS DO SUL)</t>
  </si>
  <si>
    <t>NOVA PETROPOLIS</t>
  </si>
  <si>
    <t>PICADA CAFE</t>
  </si>
  <si>
    <t>FARROUPILHA</t>
  </si>
  <si>
    <t>CARLOS BARBOSA</t>
  </si>
  <si>
    <t>SAO MARCOS</t>
  </si>
  <si>
    <t>VACARIA</t>
  </si>
  <si>
    <t>MUITOS CAPOES</t>
  </si>
  <si>
    <t>MONTE ALEGRE DOS CAMPOS</t>
  </si>
  <si>
    <t>IPE</t>
  </si>
  <si>
    <t>ANTONIO PRADO</t>
  </si>
  <si>
    <t>CAMPESTRE DA SERRA</t>
  </si>
  <si>
    <t>NOVA ROMA DO SUL</t>
  </si>
  <si>
    <t>FLORES DA CUNHA</t>
  </si>
  <si>
    <t>NOVA PADUA</t>
  </si>
  <si>
    <t>SAO JOSE DOS AUSENTES</t>
  </si>
  <si>
    <t>LAGOA VERMELHA</t>
  </si>
  <si>
    <t>IBIRAIARAS</t>
  </si>
  <si>
    <t>CAPAO BONITO DO SUL</t>
  </si>
  <si>
    <t>ANDRE DA ROCHA</t>
  </si>
  <si>
    <t>CASEIROS</t>
  </si>
  <si>
    <t>NOVA PRATA</t>
  </si>
  <si>
    <t>VISTA ALEGRE DO PRATA</t>
  </si>
  <si>
    <t>VERANOPOLIS</t>
  </si>
  <si>
    <t>FAGUNDES VARELA</t>
  </si>
  <si>
    <t>VILA FLORES</t>
  </si>
  <si>
    <t>COTIPORA</t>
  </si>
  <si>
    <t>NOVA BASSANO</t>
  </si>
  <si>
    <t>PROTASIO ALVES</t>
  </si>
  <si>
    <t>NOVA ARACA</t>
  </si>
  <si>
    <t>GUABIJU</t>
  </si>
  <si>
    <t>PARAI</t>
  </si>
  <si>
    <t>SAO JORGE</t>
  </si>
  <si>
    <t>ESMERALDA</t>
  </si>
  <si>
    <t>PINHAL DA SERRA</t>
  </si>
  <si>
    <t>JAQUIRANA</t>
  </si>
  <si>
    <t>CAMBARA DO SUL</t>
  </si>
  <si>
    <t>SANTO ANTONIO DA PATRULHA</t>
  </si>
  <si>
    <t>CARAA</t>
  </si>
  <si>
    <t>OSORIO</t>
  </si>
  <si>
    <t>MAQUINE</t>
  </si>
  <si>
    <t>TERRA DE AREIA</t>
  </si>
  <si>
    <t>ITATI</t>
  </si>
  <si>
    <t>PALMARES DO SUL</t>
  </si>
  <si>
    <t>CAPIVARI DO SUL</t>
  </si>
  <si>
    <t>CAPAO DA CANOA</t>
  </si>
  <si>
    <t>TORRES</t>
  </si>
  <si>
    <t>DOM PEDRO DE ALCANTARA</t>
  </si>
  <si>
    <t>MAMPITUBA</t>
  </si>
  <si>
    <t>TRES FORQUILHAS</t>
  </si>
  <si>
    <t>MORRINHOS DO SUL</t>
  </si>
  <si>
    <t>TRES CACHOEIRAS</t>
  </si>
  <si>
    <t>ARROIO DO SAL</t>
  </si>
  <si>
    <t>XANGRI-LA</t>
  </si>
  <si>
    <t>TRAMANDAI</t>
  </si>
  <si>
    <t>CIDREIRA</t>
  </si>
  <si>
    <t>BALNEARIO PINHAL</t>
  </si>
  <si>
    <t>FAZENDA FIALHO (TAQUARA)</t>
  </si>
  <si>
    <t>IMBE</t>
  </si>
  <si>
    <t>PAROBE</t>
  </si>
  <si>
    <t>IGREJINHA</t>
  </si>
  <si>
    <t>TRES COROAS</t>
  </si>
  <si>
    <t>GRAMADO</t>
  </si>
  <si>
    <t>CANELA</t>
  </si>
  <si>
    <t>ROLANTE</t>
  </si>
  <si>
    <t>RIOZINHO</t>
  </si>
  <si>
    <t>VALE DOS VINHEDOS (BENTO GONCALVES)</t>
  </si>
  <si>
    <t>SANTA TEREZA</t>
  </si>
  <si>
    <t>PINTO BANDEIRA</t>
  </si>
  <si>
    <t>MONTE BELO DO SUL</t>
  </si>
  <si>
    <t>GARIBALDI</t>
  </si>
  <si>
    <t>CORONEL PILAR</t>
  </si>
  <si>
    <t>BOA VISTA DO SUL</t>
  </si>
  <si>
    <t>BARAO</t>
  </si>
  <si>
    <t>ROCA SALES</t>
  </si>
  <si>
    <t>POCO DAS ANTAS</t>
  </si>
  <si>
    <t>CAPELA DE SANTANA</t>
  </si>
  <si>
    <t>SAO JOSE DO SUL</t>
  </si>
  <si>
    <t>SALVADOR DO SUL</t>
  </si>
  <si>
    <t>SAO JOSE DO HORTENCIO</t>
  </si>
  <si>
    <t>SAO PEDRO DA SERRA</t>
  </si>
  <si>
    <t>SAO SEBASTIAO DO CAI</t>
  </si>
  <si>
    <t>BOM PRINCIPIO</t>
  </si>
  <si>
    <t>LINHA NOVA</t>
  </si>
  <si>
    <t>FELIZ</t>
  </si>
  <si>
    <t>ALTO FELIZ</t>
  </si>
  <si>
    <t>TUPANDI</t>
  </si>
  <si>
    <t>VALE REAL</t>
  </si>
  <si>
    <t>MONTENEGRO</t>
  </si>
  <si>
    <t>PARECI NOVO</t>
  </si>
  <si>
    <t>HARMONIA</t>
  </si>
  <si>
    <t>BROCHIER</t>
  </si>
  <si>
    <t>MARATA</t>
  </si>
  <si>
    <t>SAO VENDELINO</t>
  </si>
  <si>
    <t>VENANCIO AIRES</t>
  </si>
  <si>
    <t>GENERAL CAMARA</t>
  </si>
  <si>
    <t>VALE VERDE</t>
  </si>
  <si>
    <t>MATO LEITAO</t>
  </si>
  <si>
    <t>TAQUARI</t>
  </si>
  <si>
    <t>TABAI</t>
  </si>
  <si>
    <t>PAVERAMA</t>
  </si>
  <si>
    <t>BOM RETIRO DO SUL</t>
  </si>
  <si>
    <t>FAZENDA VILANOVA</t>
  </si>
  <si>
    <t>ESTRELA</t>
  </si>
  <si>
    <t>IMIGRANTE</t>
  </si>
  <si>
    <t>TEUTONIA</t>
  </si>
  <si>
    <t>WESTFALIA</t>
  </si>
  <si>
    <t>SANTA CLARA DO SUL</t>
  </si>
  <si>
    <t>SERIO</t>
  </si>
  <si>
    <t>BOQUEIRAO DO LEAO</t>
  </si>
  <si>
    <t>MARQUES DE SOUZA</t>
  </si>
  <si>
    <t>PROGRESSO</t>
  </si>
  <si>
    <t>CANUDOS DO VALE</t>
  </si>
  <si>
    <t>CAPITAO</t>
  </si>
  <si>
    <t>FORQUETINHA</t>
  </si>
  <si>
    <t>ARROIO DO MEIO</t>
  </si>
  <si>
    <t>POUSO NOVO</t>
  </si>
  <si>
    <t>TRAVESSEIRO</t>
  </si>
  <si>
    <t>NOVA BRESCIA</t>
  </si>
  <si>
    <t>COQUEIRO BAIXO</t>
  </si>
  <si>
    <t>ENCANTADO</t>
  </si>
  <si>
    <t>RELVADO</t>
  </si>
  <si>
    <t>DOUTOR RICARDO</t>
  </si>
  <si>
    <t>MUCUM</t>
  </si>
  <si>
    <t>VESPASIANO CORREA</t>
  </si>
  <si>
    <t>PUTINGA</t>
  </si>
  <si>
    <t>ANTA GORDA</t>
  </si>
  <si>
    <t>NOVA ALVORADA</t>
  </si>
  <si>
    <t>ILOPOLIS</t>
  </si>
  <si>
    <t>ARVOREZINHA</t>
  </si>
  <si>
    <t>ITAPUCA</t>
  </si>
  <si>
    <t>CASCATA (PELOTAS)</t>
  </si>
  <si>
    <t>TURUCU</t>
  </si>
  <si>
    <t>MORRO REDONDO</t>
  </si>
  <si>
    <t>ARROIO DO PADRE</t>
  </si>
  <si>
    <t>CAPAO DO LEAO</t>
  </si>
  <si>
    <t>SAO LOURENCO DO SUL</t>
  </si>
  <si>
    <t>ARAMBARE</t>
  </si>
  <si>
    <t>CAMAQUA</t>
  </si>
  <si>
    <t>DOM FELICIANO</t>
  </si>
  <si>
    <t>CHUVISCA</t>
  </si>
  <si>
    <t>CRISTAL</t>
  </si>
  <si>
    <t>RIO GRANDE</t>
  </si>
  <si>
    <t>SAO JOSE DO NORTE</t>
  </si>
  <si>
    <t>SANTA VITORIA DO PALMAR</t>
  </si>
  <si>
    <t>CHUI</t>
  </si>
  <si>
    <t>MOSTARDAS</t>
  </si>
  <si>
    <t>JAGUARAO</t>
  </si>
  <si>
    <t>HERVAL</t>
  </si>
  <si>
    <t>ARROIO GRANDE</t>
  </si>
  <si>
    <t>PEDRO OSORIO</t>
  </si>
  <si>
    <t>CERRITO</t>
  </si>
  <si>
    <t>BAGE</t>
  </si>
  <si>
    <t>ACEGUA</t>
  </si>
  <si>
    <t>DOM PEDRITO</t>
  </si>
  <si>
    <t>HULHA NEGRA</t>
  </si>
  <si>
    <t>PINHEIRO MACHADO</t>
  </si>
  <si>
    <t>PEDRAS ALTAS</t>
  </si>
  <si>
    <t>PIRATINI</t>
  </si>
  <si>
    <t>CANDIOTA</t>
  </si>
  <si>
    <t>CORDILHEIRA (CACHOEIRA DO SUL)</t>
  </si>
  <si>
    <t>PARAISO DO SUL</t>
  </si>
  <si>
    <t>CERRO BRANCO</t>
  </si>
  <si>
    <t>AGUDO</t>
  </si>
  <si>
    <t>NOVO CABRAIS</t>
  </si>
  <si>
    <t>CACAPAVA DO SUL</t>
  </si>
  <si>
    <t>SANTANA DA BOA VISTA</t>
  </si>
  <si>
    <t>CANGUCU</t>
  </si>
  <si>
    <t>ENCRUZILHADA DO SUL</t>
  </si>
  <si>
    <t>AMARAL FERRADOR</t>
  </si>
  <si>
    <t>RIO PARDO</t>
  </si>
  <si>
    <t>PASSO DO SOBRADO</t>
  </si>
  <si>
    <t>PANTANO GRANDE</t>
  </si>
  <si>
    <t>SAO JERONIMO</t>
  </si>
  <si>
    <t>BARAO DO TRIUNFO</t>
  </si>
  <si>
    <t>ARROIO DOS RATOS</t>
  </si>
  <si>
    <t>CHARQUEADAS</t>
  </si>
  <si>
    <t>BUTIA</t>
  </si>
  <si>
    <t>MINAS DO LEAO</t>
  </si>
  <si>
    <t>TAPES</t>
  </si>
  <si>
    <t>SENTINELA DO SUL</t>
  </si>
  <si>
    <t>CERRO GRANDE DO SUL</t>
  </si>
  <si>
    <t>BARRA DO RIBEIRO</t>
  </si>
  <si>
    <t>ALTO PAREDAO (SANTA CRUZ DO SUL)</t>
  </si>
  <si>
    <t>GRAMADO XAVIER</t>
  </si>
  <si>
    <t>VALE DO SOL</t>
  </si>
  <si>
    <t>HERVEIRAS</t>
  </si>
  <si>
    <t>SINIMBU</t>
  </si>
  <si>
    <t>PASSA SETE</t>
  </si>
  <si>
    <t>SEGREDO</t>
  </si>
  <si>
    <t>LAGOA BONITA DO SUL</t>
  </si>
  <si>
    <t>IBARAMA</t>
  </si>
  <si>
    <t>CANDELARIA</t>
  </si>
  <si>
    <t>ARROIO DO TIGRE</t>
  </si>
  <si>
    <t>ESTRELA VELHA</t>
  </si>
  <si>
    <t>BOCA DO MONTE (SANTA MARIA)</t>
  </si>
  <si>
    <t>DILERMANDO DE AGUIAR</t>
  </si>
  <si>
    <t>ITAARA</t>
  </si>
  <si>
    <t>SAO MARTINHO DA SERRA</t>
  </si>
  <si>
    <t>SILVEIRA MARTINS</t>
  </si>
  <si>
    <t>RESTINGA SECA</t>
  </si>
  <si>
    <t>FORMIGUEIRO</t>
  </si>
  <si>
    <t>FAXINAL DO SOTURNO</t>
  </si>
  <si>
    <t>SAO JOAO DO POLESINE</t>
  </si>
  <si>
    <t>NOVA PALMA</t>
  </si>
  <si>
    <t>DONA FRANCISCA</t>
  </si>
  <si>
    <t>SANTA MARGARIDA DO SUL</t>
  </si>
  <si>
    <t>SAO SEPE</t>
  </si>
  <si>
    <t>VILA NOVA DO SUL</t>
  </si>
  <si>
    <t>LAVRAS DO SUL</t>
  </si>
  <si>
    <t>SAO PEDRO DO SUL</t>
  </si>
  <si>
    <t>MATA</t>
  </si>
  <si>
    <t>TOROPI</t>
  </si>
  <si>
    <t>SAO VICENTE DO SUL</t>
  </si>
  <si>
    <t>CACEQUI</t>
  </si>
  <si>
    <t>SAO MARCOS (URUGUAIANA)</t>
  </si>
  <si>
    <t>BARRA DO QUARAI</t>
  </si>
  <si>
    <t>PASSO NOVO (ALEGRETE)</t>
  </si>
  <si>
    <t>QUARAI</t>
  </si>
  <si>
    <t>SANTANA DO LIVRAMENTO</t>
  </si>
  <si>
    <t>ROSARIO DO SUL</t>
  </si>
  <si>
    <t>SAO FRANCISCO DE ASSIS</t>
  </si>
  <si>
    <t>MANOEL VIANA</t>
  </si>
  <si>
    <t>MACAMBARA</t>
  </si>
  <si>
    <t>ITAQUI</t>
  </si>
  <si>
    <t>SAO BORJA</t>
  </si>
  <si>
    <t>ITACURUBI</t>
  </si>
  <si>
    <t>GARRUCHOS</t>
  </si>
  <si>
    <t>SANTIAGO</t>
  </si>
  <si>
    <t>CAPAO DO CIPO</t>
  </si>
  <si>
    <t>UNISTALDA</t>
  </si>
  <si>
    <t>JAGUARI</t>
  </si>
  <si>
    <t>NOVA ESPERANCA DO SUL</t>
  </si>
  <si>
    <t>SAO LUIZ GONZAGA</t>
  </si>
  <si>
    <t>ROLADOR</t>
  </si>
  <si>
    <t>DEZESSEIS DE NOVEMBRO</t>
  </si>
  <si>
    <t>BOSSOROCA</t>
  </si>
  <si>
    <t>SANTO ANTONIO DAS MISSOES</t>
  </si>
  <si>
    <t>SAO NICOLAU</t>
  </si>
  <si>
    <t>PIRAPO</t>
  </si>
  <si>
    <t>CERRO LARGO</t>
  </si>
  <si>
    <t>SAO PEDRO DO BUTIA</t>
  </si>
  <si>
    <t>CAIBATE</t>
  </si>
  <si>
    <t>MATO QUEIMADO</t>
  </si>
  <si>
    <t>SALVADOR DAS MISSOES</t>
  </si>
  <si>
    <t>GUARANI DAS MISSOES</t>
  </si>
  <si>
    <t>SETE DE SETEMBRO</t>
  </si>
  <si>
    <t>ROQUE GONZALES</t>
  </si>
  <si>
    <t>SAO PAULO DAS MISSOES</t>
  </si>
  <si>
    <t>CRUZ ALTA</t>
  </si>
  <si>
    <t>BOA VISTA DO CADEADO</t>
  </si>
  <si>
    <t>BOA VISTA DO INCRA</t>
  </si>
  <si>
    <t>FORTALEZA DOS VALOS</t>
  </si>
  <si>
    <t>JULIO DE CASTILHOS</t>
  </si>
  <si>
    <t>QUEVEDOS</t>
  </si>
  <si>
    <t>PINHAL GRANDE</t>
  </si>
  <si>
    <t>IVORA</t>
  </si>
  <si>
    <t>TUPANCIRETA</t>
  </si>
  <si>
    <t>JARI</t>
  </si>
  <si>
    <t>JOIA</t>
  </si>
  <si>
    <t>IBIRUBA</t>
  </si>
  <si>
    <t>QUINZE DE NOVEMBRO</t>
  </si>
  <si>
    <t>SANTA BARBARA DO SUL</t>
  </si>
  <si>
    <t>SALDANHA MARINHO</t>
  </si>
  <si>
    <t>PEJUCARA</t>
  </si>
  <si>
    <t>PANAMBI</t>
  </si>
  <si>
    <t>CONDOR</t>
  </si>
  <si>
    <t>PALMEIRA DAS MISSOES</t>
  </si>
  <si>
    <t>LAJEADO DO BUGRE</t>
  </si>
  <si>
    <t>SAO PEDRO DAS MISSOES</t>
  </si>
  <si>
    <t>SAO JOSE DAS MISSOES</t>
  </si>
  <si>
    <t>SAGRADA FAMILIA</t>
  </si>
  <si>
    <t>BOA VISTA DAS MISSOES</t>
  </si>
  <si>
    <t>NOVO BARREIRO</t>
  </si>
  <si>
    <t>CERRO GRANDE</t>
  </si>
  <si>
    <t>PINHAL</t>
  </si>
  <si>
    <t>JABOTICABA</t>
  </si>
  <si>
    <t>RODEIO BONITO</t>
  </si>
  <si>
    <t>CRISTAL DO SUL</t>
  </si>
  <si>
    <t>NOVO TIRADENTES</t>
  </si>
  <si>
    <t>SEBERI</t>
  </si>
  <si>
    <t>DOIS IRMAOS DAS MISSOES</t>
  </si>
  <si>
    <t>ERVAL SECO</t>
  </si>
  <si>
    <t>FREDERICO WESTPHALEN</t>
  </si>
  <si>
    <t>TAQUARUCU DO SUL</t>
  </si>
  <si>
    <t>VISTA ALEGRE</t>
  </si>
  <si>
    <t>PALMITINHO</t>
  </si>
  <si>
    <t>PINHEIRINHO DO VALE</t>
  </si>
  <si>
    <t>VICENTE DUTRA</t>
  </si>
  <si>
    <t>IRAI</t>
  </si>
  <si>
    <t>AMETISTA DO SUL</t>
  </si>
  <si>
    <t>ALPESTRE</t>
  </si>
  <si>
    <t>TENENTE PORTELA</t>
  </si>
  <si>
    <t>DERRUBADAS</t>
  </si>
  <si>
    <t>BARRA DO GUARITA</t>
  </si>
  <si>
    <t>VISTA GAUCHA</t>
  </si>
  <si>
    <t>MIRAGUAI</t>
  </si>
  <si>
    <t>REDENTORA</t>
  </si>
  <si>
    <t>BRAGA</t>
  </si>
  <si>
    <t>CAMPO NOVO</t>
  </si>
  <si>
    <t>BOM PROGRESSO</t>
  </si>
  <si>
    <t>CORONEL BICACO</t>
  </si>
  <si>
    <t>SANTO AUGUSTO</t>
  </si>
  <si>
    <t>SAO VALERIO DO SUL</t>
  </si>
  <si>
    <t>TRES PASSOS</t>
  </si>
  <si>
    <t>ESPERANCA DO SUL</t>
  </si>
  <si>
    <t>CRISSIUMAL</t>
  </si>
  <si>
    <t>SEDE NOVA</t>
  </si>
  <si>
    <t>TIRADENTES DO SUL</t>
  </si>
  <si>
    <t>IJUI</t>
  </si>
  <si>
    <t>BOZANO</t>
  </si>
  <si>
    <t>CORONEL BARROS</t>
  </si>
  <si>
    <t>AUGUSTO PESTANA</t>
  </si>
  <si>
    <t>AJURICABA</t>
  </si>
  <si>
    <t>NOVA RAMADA</t>
  </si>
  <si>
    <t>CHIAPETTA</t>
  </si>
  <si>
    <t>INHACORA</t>
  </si>
  <si>
    <t>CATUIPE</t>
  </si>
  <si>
    <t>SANTA ROSA</t>
  </si>
  <si>
    <t>SANTO ANGELO</t>
  </si>
  <si>
    <t>VITORIA DAS MISSOES</t>
  </si>
  <si>
    <t>ENTRE-IJUIS</t>
  </si>
  <si>
    <t>EUGENIO DE CASTRO</t>
  </si>
  <si>
    <t>SAO MIGUEL DAS MISSOES</t>
  </si>
  <si>
    <t>GIRUA</t>
  </si>
  <si>
    <t>SENADOR SALGADO FILHO</t>
  </si>
  <si>
    <t>UBIRETAMA</t>
  </si>
  <si>
    <t>ALEGRIA</t>
  </si>
  <si>
    <t>TRES DE MAIO</t>
  </si>
  <si>
    <t>BOA VISTA DO BURICA</t>
  </si>
  <si>
    <t>NOVA CANDELARIA</t>
  </si>
  <si>
    <t>HORIZONTINA</t>
  </si>
  <si>
    <t>DOUTOR MAURICIO CARDOSO</t>
  </si>
  <si>
    <t>TUCUNDUVA</t>
  </si>
  <si>
    <t>TUPARENDI</t>
  </si>
  <si>
    <t>PORTO MAUA</t>
  </si>
  <si>
    <t>ALECRIM</t>
  </si>
  <si>
    <t>NOVO MACHADO</t>
  </si>
  <si>
    <t>SAO JOSE DO INHACORA</t>
  </si>
  <si>
    <t>SANTO CRISTO</t>
  </si>
  <si>
    <t>CANDIDO GODOI</t>
  </si>
  <si>
    <t>CAMPINA DAS MISSOES</t>
  </si>
  <si>
    <t>PORTO LUCENA</t>
  </si>
  <si>
    <t>PORTO VERA CRUZ</t>
  </si>
  <si>
    <t>PORTO XAVIER</t>
  </si>
  <si>
    <t>SAO ROQUE (PASSO FUNDO)</t>
  </si>
  <si>
    <t>ERNESTINA</t>
  </si>
  <si>
    <t>COXILHA</t>
  </si>
  <si>
    <t>VILA MARIA</t>
  </si>
  <si>
    <t>GENTIL</t>
  </si>
  <si>
    <t>CAMARGO</t>
  </si>
  <si>
    <t>SERTAO</t>
  </si>
  <si>
    <t>NICOLAU VERGUEIRO</t>
  </si>
  <si>
    <t>MATO CASTELHANO</t>
  </si>
  <si>
    <t>PONTAO</t>
  </si>
  <si>
    <t>GUAPORE</t>
  </si>
  <si>
    <t>UNIAO DA SERRA</t>
  </si>
  <si>
    <t>DOIS LAJEADOS</t>
  </si>
  <si>
    <t>SAO VALENTIM DO SUL</t>
  </si>
  <si>
    <t>SERAFINA CORREA</t>
  </si>
  <si>
    <t>MONTAURI</t>
  </si>
  <si>
    <t>CASCA</t>
  </si>
  <si>
    <t>SANTO ANTONIO DO PALMA</t>
  </si>
  <si>
    <t>SAO DOMINGOS DO SUL</t>
  </si>
  <si>
    <t>VANINI</t>
  </si>
  <si>
    <t>MORMACO</t>
  </si>
  <si>
    <t>IBIRAPUITA</t>
  </si>
  <si>
    <t>TUNAS</t>
  </si>
  <si>
    <t>LAGOAO</t>
  </si>
  <si>
    <t>TIO HUGO</t>
  </si>
  <si>
    <t>VICTOR GRAEFF</t>
  </si>
  <si>
    <t>BARROS CASSAL</t>
  </si>
  <si>
    <t>FONTOURA XAVIER</t>
  </si>
  <si>
    <t>SAO JOSE DO HERVAL</t>
  </si>
  <si>
    <t>ESPUMOSO</t>
  </si>
  <si>
    <t>CAMPOS BORGES</t>
  </si>
  <si>
    <t>SALTO DO JACUI</t>
  </si>
  <si>
    <t>SELBACH</t>
  </si>
  <si>
    <t>JACUIZINHO</t>
  </si>
  <si>
    <t>NAO-ME-TOQUE</t>
  </si>
  <si>
    <t>TAPERA</t>
  </si>
  <si>
    <t>LAGOA DOS TRES CANTOS</t>
  </si>
  <si>
    <t>CARAZINHO</t>
  </si>
  <si>
    <t>ALMIRANTE TAMANDARE DO SUL</t>
  </si>
  <si>
    <t>SANTO ANTONIO DO PLANALTO</t>
  </si>
  <si>
    <t>COQUEIROS DO SUL</t>
  </si>
  <si>
    <t>CHAPADA</t>
  </si>
  <si>
    <t>SARANDI</t>
  </si>
  <si>
    <t>NOVA BOA VISTA</t>
  </si>
  <si>
    <t>BARRA FUNDA</t>
  </si>
  <si>
    <t>RONDINHA</t>
  </si>
  <si>
    <t>NONOAI</t>
  </si>
  <si>
    <t>GRAMADO DOS LOUREIROS</t>
  </si>
  <si>
    <t>RIO DOS INDIOS</t>
  </si>
  <si>
    <t>TRINDADE DO SUL</t>
  </si>
  <si>
    <t>SAO VALENTIM</t>
  </si>
  <si>
    <t>ENTRE RIOS DO SUL</t>
  </si>
  <si>
    <t>BENJAMIN CONSTANT DO SUL</t>
  </si>
  <si>
    <t>FAXINALZINHO</t>
  </si>
  <si>
    <t>CAMPINAS DO SUL</t>
  </si>
  <si>
    <t>CRUZALTENSE</t>
  </si>
  <si>
    <t>RONDA ALTA</t>
  </si>
  <si>
    <t>TRES PALMEIRAS</t>
  </si>
  <si>
    <t>CONSTANTINA</t>
  </si>
  <si>
    <t>NOVO XINGU</t>
  </si>
  <si>
    <t>LIBERATO SALZANO</t>
  </si>
  <si>
    <t>ENGENHO VELHO</t>
  </si>
  <si>
    <t>ERECHIM</t>
  </si>
  <si>
    <t>PAULO BENTO</t>
  </si>
  <si>
    <t>QUATRO IRMAOS</t>
  </si>
  <si>
    <t>TRES ARROIOS</t>
  </si>
  <si>
    <t>PONTE PRETA</t>
  </si>
  <si>
    <t>BARAO DE COTEGIPE</t>
  </si>
  <si>
    <t>ERVAL GRANDE</t>
  </si>
  <si>
    <t>ITATIBA DO SUL</t>
  </si>
  <si>
    <t>ARATIBA</t>
  </si>
  <si>
    <t>MARIANO MORO</t>
  </si>
  <si>
    <t>BARRA DO RIO AZUL</t>
  </si>
  <si>
    <t>MARCELINO RAMOS</t>
  </si>
  <si>
    <t>SEVERIANO DE ALMEIDA</t>
  </si>
  <si>
    <t>VIADUTOS</t>
  </si>
  <si>
    <t>CARLOS GOMES</t>
  </si>
  <si>
    <t>GAURAMA</t>
  </si>
  <si>
    <t>AUREA</t>
  </si>
  <si>
    <t>SANANDUVA</t>
  </si>
  <si>
    <t>PAIM FILHO</t>
  </si>
  <si>
    <t>SAO JOAO DA URTIGA</t>
  </si>
  <si>
    <t>CACIQUE DOBLE</t>
  </si>
  <si>
    <t>SAO JOSE DO OURO</t>
  </si>
  <si>
    <t>TUPANCI DO SUL</t>
  </si>
  <si>
    <t>MACHADINHO</t>
  </si>
  <si>
    <t>MAXIMILIANO DE ALMEIDA</t>
  </si>
  <si>
    <t>SANTO EXPEDITO DO SUL</t>
  </si>
  <si>
    <t>GETULIO VARGAS</t>
  </si>
  <si>
    <t>FLORIANO PEIXOTO</t>
  </si>
  <si>
    <t>EREBANGO</t>
  </si>
  <si>
    <t>IPIRANGA DO SUL</t>
  </si>
  <si>
    <t>ESTACAO</t>
  </si>
  <si>
    <t>IBIACA</t>
  </si>
  <si>
    <t>SANTA CECILIA DO SUL</t>
  </si>
  <si>
    <t>VILA LANGARO</t>
  </si>
  <si>
    <t>CHARRUA</t>
  </si>
  <si>
    <t>AGUA SANTA</t>
  </si>
  <si>
    <t>CIRIACO</t>
  </si>
  <si>
    <t>DAVID CANABARRO</t>
  </si>
  <si>
    <t>MULITERNO</t>
  </si>
  <si>
    <t>Perfil:</t>
  </si>
  <si>
    <t>Entregas B2C</t>
  </si>
  <si>
    <t>Origem:</t>
  </si>
  <si>
    <t>Minas Gerais/MG</t>
  </si>
  <si>
    <t>Cliente:</t>
  </si>
  <si>
    <t>Shopee</t>
  </si>
  <si>
    <t>ÁREA ATENDIDA - CAPITAL</t>
  </si>
  <si>
    <t>PESO (kgs)</t>
  </si>
  <si>
    <t>SUDESTE</t>
  </si>
  <si>
    <t>SUL</t>
  </si>
  <si>
    <t>CENTRO-OESTE</t>
  </si>
  <si>
    <t>NORTE</t>
  </si>
  <si>
    <t>NORDESTE</t>
  </si>
  <si>
    <t>R$/Kg extra adicional</t>
  </si>
  <si>
    <t>ÁREA ATENDIDA - INTERIOR 1</t>
  </si>
  <si>
    <t>ÁREA ATENDIDA - INTERIOR 2</t>
  </si>
  <si>
    <t>ÁREA NÃO ATENDIDA - REDESPACHO SEDEX</t>
  </si>
  <si>
    <t>pid</t>
  </si>
  <si>
    <t>peso_ate</t>
  </si>
  <si>
    <t>uf</t>
  </si>
  <si>
    <t>regiao</t>
  </si>
  <si>
    <t>valor</t>
  </si>
  <si>
    <t>taxa_advalorem</t>
  </si>
  <si>
    <t>taxa_gris</t>
  </si>
  <si>
    <t>exclusao_peso</t>
  </si>
  <si>
    <t>Campo do Meio_MG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</si>
</sst>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%"/>
    <numFmt numFmtId="165" formatCode="0.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name val="MS Sans Serif"/>
    </font>
    <font>
      <b/>
      <sz val="11"/>
      <color theme="1"/>
      <name val="NettoOT"/>
      <family val="2"/>
    </font>
    <font>
      <b/>
      <sz val="11"/>
      <name val="NettoOT"/>
      <family val="2"/>
    </font>
    <font>
      <b/>
      <sz val="11"/>
      <color rgb="FFBEFF23"/>
      <name val="NettoOT"/>
      <family val="2"/>
    </font>
    <font>
      <sz val="8"/>
      <color theme="1"/>
      <name val="Calibri"/>
      <family val="2"/>
      <scheme val="minor"/>
    </font>
    <font>
      <b/>
      <sz val="9"/>
      <color theme="1"/>
      <name val="NettoOT"/>
      <family val="2"/>
    </font>
    <font>
      <sz val="10"/>
      <color rgb="FFBEFF23"/>
      <name val="NettoOT"/>
      <family val="2"/>
    </font>
    <font>
      <sz val="12"/>
      <color theme="1"/>
      <name val="Calibri Light"/>
      <family val="2"/>
      <scheme val="major"/>
    </font>
    <font>
      <sz val="10"/>
      <color theme="1"/>
      <name val="NettoOT"/>
      <family val="2"/>
    </font>
    <font>
      <b/>
      <sz val="11"/>
      <color indexed="18"/>
      <name val="Calibri"/>
      <family val="2"/>
      <scheme val="minor"/>
    </font>
    <font>
      <sz val="11"/>
      <color indexed="18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FF2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20" fillId="0" borderId="0"/>
    <xf numFmtId="9" fontId="1" fillId="0" borderId="0" applyFont="0" applyFill="0" applyBorder="0" applyAlignment="0" applyProtection="0"/>
  </cellStyleXfs>
  <cellXfs count="79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9" fontId="0" fillId="0" borderId="0" xfId="0" applyNumberFormat="1"/>
    <xf numFmtId="164" fontId="0" fillId="0" borderId="0" xfId="2" applyNumberFormat="1" applyFont="1"/>
    <xf numFmtId="43" fontId="0" fillId="0" borderId="1" xfId="1" applyFont="1" applyBorder="1"/>
    <xf numFmtId="43" fontId="0" fillId="0" borderId="0" xfId="1" applyFont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7" fillId="0" borderId="0" xfId="0" applyFont="1"/>
    <xf numFmtId="10" fontId="0" fillId="0" borderId="0" xfId="0" applyNumberFormat="1"/>
    <xf numFmtId="0" fontId="9" fillId="4" borderId="5" xfId="3" applyFont="1" applyFill="1" applyBorder="1" applyAlignment="1">
      <alignment vertical="center"/>
    </xf>
    <xf numFmtId="0" fontId="9" fillId="4" borderId="6" xfId="3" applyFont="1" applyFill="1" applyBorder="1" applyAlignment="1">
      <alignment vertical="center"/>
    </xf>
    <xf numFmtId="0" fontId="10" fillId="5" borderId="7" xfId="0" applyFont="1" applyFill="1" applyBorder="1" applyAlignment="1">
      <alignment horizontal="center" vertical="center"/>
    </xf>
    <xf numFmtId="0" fontId="9" fillId="4" borderId="8" xfId="3" applyFont="1" applyFill="1" applyBorder="1" applyAlignment="1">
      <alignment vertical="center"/>
    </xf>
    <xf numFmtId="0" fontId="9" fillId="4" borderId="9" xfId="3" applyFont="1" applyFill="1" applyBorder="1" applyAlignment="1">
      <alignment vertical="center"/>
    </xf>
    <xf numFmtId="0" fontId="9" fillId="4" borderId="1" xfId="0" applyFont="1" applyFill="1" applyBorder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9" fillId="4" borderId="10" xfId="0" applyFont="1" applyFill="1" applyBorder="1" applyAlignment="1">
      <alignment horizontal="center" vertical="center"/>
    </xf>
    <xf numFmtId="0" fontId="11" fillId="0" borderId="0" xfId="0" applyFont="1"/>
    <xf numFmtId="0" fontId="11" fillId="0" borderId="10" xfId="0" applyFont="1" applyBorder="1"/>
    <xf numFmtId="2" fontId="12" fillId="0" borderId="1" xfId="0" applyNumberFormat="1" applyFont="1" applyBorder="1"/>
    <xf numFmtId="2" fontId="12" fillId="0" borderId="0" xfId="0" applyNumberFormat="1" applyFont="1"/>
    <xf numFmtId="0" fontId="12" fillId="0" borderId="0" xfId="0" applyFont="1"/>
    <xf numFmtId="0" fontId="12" fillId="0" borderId="10" xfId="0" applyFont="1" applyBorder="1"/>
    <xf numFmtId="165" fontId="13" fillId="5" borderId="0" xfId="0" applyNumberFormat="1" applyFont="1" applyFill="1" applyAlignment="1">
      <alignment horizontal="center" vertical="center" wrapText="1"/>
    </xf>
    <xf numFmtId="2" fontId="14" fillId="6" borderId="5" xfId="0" applyNumberFormat="1" applyFont="1" applyFill="1" applyBorder="1" applyAlignment="1">
      <alignment horizontal="center"/>
    </xf>
    <xf numFmtId="2" fontId="14" fillId="6" borderId="7" xfId="0" applyNumberFormat="1" applyFont="1" applyFill="1" applyBorder="1" applyAlignment="1">
      <alignment horizontal="center"/>
    </xf>
    <xf numFmtId="2" fontId="14" fillId="6" borderId="6" xfId="0" applyNumberFormat="1" applyFont="1" applyFill="1" applyBorder="1" applyAlignment="1">
      <alignment horizontal="center"/>
    </xf>
    <xf numFmtId="2" fontId="14" fillId="0" borderId="1" xfId="0" applyNumberFormat="1" applyFont="1" applyBorder="1" applyAlignment="1">
      <alignment horizontal="center"/>
    </xf>
    <xf numFmtId="2" fontId="14" fillId="0" borderId="0" xfId="0" applyNumberFormat="1" applyFont="1" applyAlignment="1">
      <alignment horizontal="center"/>
    </xf>
    <xf numFmtId="2" fontId="14" fillId="0" borderId="10" xfId="0" applyNumberFormat="1" applyFont="1" applyBorder="1" applyAlignment="1">
      <alignment horizontal="center"/>
    </xf>
    <xf numFmtId="2" fontId="14" fillId="6" borderId="1" xfId="0" applyNumberFormat="1" applyFont="1" applyFill="1" applyBorder="1" applyAlignment="1">
      <alignment horizontal="center"/>
    </xf>
    <xf numFmtId="2" fontId="14" fillId="6" borderId="0" xfId="0" applyNumberFormat="1" applyFont="1" applyFill="1" applyAlignment="1">
      <alignment horizontal="center"/>
    </xf>
    <xf numFmtId="2" fontId="14" fillId="6" borderId="10" xfId="0" applyNumberFormat="1" applyFont="1" applyFill="1" applyBorder="1" applyAlignment="1">
      <alignment horizontal="center"/>
    </xf>
    <xf numFmtId="2" fontId="13" fillId="5" borderId="0" xfId="0" applyNumberFormat="1" applyFont="1" applyFill="1" applyAlignment="1">
      <alignment horizontal="center" vertical="center" wrapText="1"/>
    </xf>
    <xf numFmtId="2" fontId="15" fillId="0" borderId="1" xfId="0" applyNumberFormat="1" applyFont="1" applyBorder="1" applyAlignment="1">
      <alignment horizontal="center"/>
    </xf>
    <xf numFmtId="2" fontId="15" fillId="0" borderId="0" xfId="0" applyNumberFormat="1" applyFont="1" applyAlignment="1">
      <alignment horizontal="center"/>
    </xf>
    <xf numFmtId="2" fontId="15" fillId="0" borderId="10" xfId="0" applyNumberFormat="1" applyFont="1" applyBorder="1" applyAlignment="1">
      <alignment horizontal="center"/>
    </xf>
    <xf numFmtId="2" fontId="15" fillId="6" borderId="1" xfId="0" applyNumberFormat="1" applyFont="1" applyFill="1" applyBorder="1" applyAlignment="1">
      <alignment horizontal="center"/>
    </xf>
    <xf numFmtId="2" fontId="15" fillId="6" borderId="0" xfId="0" applyNumberFormat="1" applyFont="1" applyFill="1" applyAlignment="1">
      <alignment horizontal="center"/>
    </xf>
    <xf numFmtId="2" fontId="15" fillId="6" borderId="10" xfId="0" applyNumberFormat="1" applyFont="1" applyFill="1" applyBorder="1" applyAlignment="1">
      <alignment horizontal="center"/>
    </xf>
    <xf numFmtId="2" fontId="13" fillId="5" borderId="0" xfId="0" applyNumberFormat="1" applyFont="1" applyFill="1" applyAlignment="1">
      <alignment vertical="center" wrapText="1"/>
    </xf>
    <xf numFmtId="2" fontId="15" fillId="0" borderId="8" xfId="0" applyNumberFormat="1" applyFont="1" applyBorder="1" applyAlignment="1">
      <alignment horizontal="center" vertical="center"/>
    </xf>
    <xf numFmtId="2" fontId="15" fillId="0" borderId="11" xfId="0" applyNumberFormat="1" applyFont="1" applyBorder="1" applyAlignment="1">
      <alignment horizontal="center" vertical="center"/>
    </xf>
    <xf numFmtId="2" fontId="15" fillId="0" borderId="9" xfId="0" applyNumberFormat="1" applyFont="1" applyBorder="1" applyAlignment="1">
      <alignment horizontal="center" vertical="center"/>
    </xf>
    <xf numFmtId="43" fontId="16" fillId="7" borderId="0" xfId="1" applyFont="1" applyFill="1" applyAlignment="1">
      <alignment horizontal="center" vertical="center"/>
    </xf>
    <xf numFmtId="43" fontId="16" fillId="0" borderId="0" xfId="1" applyFont="1" applyAlignment="1">
      <alignment horizontal="center" vertical="center"/>
    </xf>
    <xf numFmtId="43" fontId="17" fillId="7" borderId="0" xfId="1" applyFont="1" applyFill="1" applyAlignment="1">
      <alignment horizontal="center" vertical="center"/>
    </xf>
    <xf numFmtId="43" fontId="17" fillId="0" borderId="0" xfId="1" applyFont="1" applyAlignment="1">
      <alignment horizontal="center" vertical="center"/>
    </xf>
    <xf numFmtId="43" fontId="17" fillId="0" borderId="7" xfId="1" applyFont="1" applyBorder="1" applyAlignment="1">
      <alignment horizontal="center" vertical="center"/>
    </xf>
    <xf numFmtId="0" fontId="9" fillId="4" borderId="5" xfId="4" applyFont="1" applyFill="1" applyBorder="1" applyAlignment="1">
      <alignment vertical="center"/>
    </xf>
    <xf numFmtId="0" fontId="9" fillId="4" borderId="6" xfId="4" applyFont="1" applyFill="1" applyBorder="1" applyAlignment="1">
      <alignment vertical="center"/>
    </xf>
    <xf numFmtId="0" fontId="9" fillId="4" borderId="8" xfId="4" applyFont="1" applyFill="1" applyBorder="1" applyAlignment="1">
      <alignment vertical="center"/>
    </xf>
    <xf numFmtId="0" fontId="9" fillId="4" borderId="9" xfId="4" applyFont="1" applyFill="1" applyBorder="1" applyAlignment="1">
      <alignment vertical="center"/>
    </xf>
    <xf numFmtId="0" fontId="12" fillId="0" borderId="1" xfId="0" applyFont="1" applyBorder="1"/>
    <xf numFmtId="0" fontId="18" fillId="0" borderId="0" xfId="0" applyFont="1"/>
    <xf numFmtId="0" fontId="19" fillId="8" borderId="12" xfId="5" applyFont="1" applyFill="1" applyBorder="1" applyAlignment="1">
      <alignment horizontal="center"/>
    </xf>
    <xf numFmtId="2" fontId="19" fillId="8" borderId="12" xfId="6" applyNumberFormat="1" applyFont="1" applyFill="1" applyBorder="1" applyAlignment="1">
      <alignment horizontal="center"/>
    </xf>
    <xf numFmtId="0" fontId="20" fillId="0" borderId="0" xfId="7"/>
    <xf numFmtId="2" fontId="19" fillId="8" borderId="12" xfId="5" applyNumberFormat="1" applyFont="1" applyFill="1" applyBorder="1" applyAlignment="1">
      <alignment horizontal="center"/>
    </xf>
    <xf numFmtId="10" fontId="19" fillId="8" borderId="12" xfId="8" applyNumberFormat="1" applyFont="1" applyFill="1" applyBorder="1" applyAlignment="1">
      <alignment horizontal="center"/>
    </xf>
    <xf numFmtId="0" fontId="19" fillId="8" borderId="0" xfId="5" applyFont="1" applyFill="1" applyAlignment="1">
      <alignment horizontal="center"/>
    </xf>
    <xf numFmtId="2" fontId="19" fillId="8" borderId="0" xfId="6" applyNumberFormat="1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9" fillId="4" borderId="4" xfId="0" applyFont="1" applyFill="1" applyBorder="1" applyAlignment="1">
      <alignment horizontal="center" vertical="center"/>
    </xf>
    <xf numFmtId="43" fontId="6" fillId="3" borderId="0" xfId="1" applyFont="1" applyFill="1" applyAlignment="1">
      <alignment horizontal="center" vertical="center"/>
    </xf>
    <xf numFmtId="17" fontId="8" fillId="0" borderId="0" xfId="0" applyNumberFormat="1" applyFont="1" applyAlignment="1">
      <alignment horizontal="right" vertical="center"/>
    </xf>
    <xf numFmtId="0" fontId="8" fillId="0" borderId="0" xfId="0" applyFont="1" applyAlignment="1">
      <alignment horizontal="right" vertical="center"/>
    </xf>
  </cellXfs>
  <cellStyles count="9">
    <cellStyle name="Moeda 2" xfId="6" xr:uid="{3E7C96FD-809E-4AF6-8381-3DEC9E078012}"/>
    <cellStyle name="Normal" xfId="0" builtinId="0"/>
    <cellStyle name="Normal 192" xfId="4" xr:uid="{CB04199C-7FAB-4CC6-BB66-8C1F38A65EE4}"/>
    <cellStyle name="Normal 2" xfId="5" xr:uid="{9E37A75F-7E2F-44CF-93A5-091517FE80CF}"/>
    <cellStyle name="Normal 3" xfId="7" xr:uid="{0F71A2D9-5390-4540-AFBC-5E3CA2242FEE}"/>
    <cellStyle name="Normal 5" xfId="3" xr:uid="{D19EE9A6-D430-4357-B0EC-4D34B7F978B8}"/>
    <cellStyle name="Porcentagem" xfId="2" builtinId="5"/>
    <cellStyle name="Porcentagem 2" xfId="8" xr:uid="{23C7ADA6-5A8E-4E88-AB43-D1456E284769}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0DFEF-F267-4163-B9FB-3167A5C13709}">
  <dimension ref="A1:AJ5953"/>
  <sheetViews>
    <sheetView showGridLines="0" tabSelected="1" topLeftCell="A3" workbookViewId="0">
      <selection activeCell="A3" sqref="A3:A5953"/>
    </sheetView>
  </sheetViews>
  <sheetFormatPr defaultRowHeight="15" x14ac:dyDescent="0.25"/>
  <cols>
    <col min="1" max="1" width="23.85546875" bestFit="1" customWidth="1"/>
    <col min="2" max="2" width="9.7109375" bestFit="1" customWidth="1"/>
    <col min="6" max="6" width="22.7109375" customWidth="1"/>
    <col min="7" max="7" width="13.28515625" bestFit="1" customWidth="1"/>
    <col min="8" max="8" width="7" bestFit="1" customWidth="1"/>
    <col min="9" max="10" width="14.5703125" customWidth="1"/>
    <col min="11" max="11" width="24.28515625" customWidth="1"/>
    <col min="14" max="14" width="11.42578125" customWidth="1"/>
  </cols>
  <sheetData>
    <row r="1" spans="1:36" x14ac:dyDescent="0.25">
      <c r="O1" s="1" t="s">
        <v>0</v>
      </c>
    </row>
    <row r="2" spans="1:36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3" t="s">
        <v>7</v>
      </c>
      <c r="H2" s="2" t="s">
        <v>8</v>
      </c>
      <c r="I2" s="2" t="s">
        <v>9</v>
      </c>
      <c r="J2" s="2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4">
        <v>0.1</v>
      </c>
      <c r="P2" s="5">
        <v>0.25</v>
      </c>
      <c r="Q2" s="5">
        <v>0.3</v>
      </c>
      <c r="R2" s="5">
        <v>0.5</v>
      </c>
      <c r="S2" s="5">
        <v>0.75</v>
      </c>
      <c r="T2" s="5">
        <v>1</v>
      </c>
      <c r="U2" s="5">
        <v>1.25</v>
      </c>
      <c r="V2" s="5">
        <v>1.5</v>
      </c>
      <c r="W2" s="5">
        <v>2</v>
      </c>
      <c r="X2" s="5">
        <v>2.5</v>
      </c>
      <c r="Y2" s="5">
        <v>3</v>
      </c>
      <c r="Z2" s="5">
        <v>3.5</v>
      </c>
      <c r="AA2" s="5">
        <v>4</v>
      </c>
      <c r="AB2" s="5">
        <v>4.5</v>
      </c>
      <c r="AC2" s="5">
        <v>5</v>
      </c>
      <c r="AD2" s="5">
        <v>6</v>
      </c>
      <c r="AE2" s="5">
        <v>7</v>
      </c>
      <c r="AF2" s="5">
        <v>7.5</v>
      </c>
      <c r="AG2" s="5">
        <v>8</v>
      </c>
      <c r="AH2" s="5">
        <v>9</v>
      </c>
      <c r="AI2" s="5">
        <v>10</v>
      </c>
      <c r="AJ2" s="5" t="s">
        <v>15</v>
      </c>
    </row>
    <row r="3" spans="1:36" x14ac:dyDescent="0.25">
      <c r="A3" t="s">
        <v>5411</v>
      </c>
      <c r="B3" t="s">
        <v>16</v>
      </c>
      <c r="C3" t="s">
        <v>17</v>
      </c>
      <c r="D3">
        <v>1000000</v>
      </c>
      <c r="E3">
        <v>1099999</v>
      </c>
      <c r="F3" t="s">
        <v>18</v>
      </c>
      <c r="G3" t="str">
        <f>H3&amp;IF(J3="CAPITAL","C",IF(J3="INTERIOR","I",IF(J3="INTERIOR II","I II","R")))</f>
        <v>SPC</v>
      </c>
      <c r="H3" t="s">
        <v>19</v>
      </c>
      <c r="I3" t="s">
        <v>20</v>
      </c>
      <c r="J3" t="s">
        <v>21</v>
      </c>
      <c r="K3" s="6">
        <v>0.03</v>
      </c>
      <c r="L3" s="7">
        <f>IF(I3="(0) Não",0.2%,3%)</f>
        <v>2E-3</v>
      </c>
      <c r="M3" s="7">
        <v>3.0000000000000001E-3</v>
      </c>
      <c r="N3">
        <v>6</v>
      </c>
      <c r="O3" s="8">
        <v>10.732823757657394</v>
      </c>
      <c r="P3" s="9">
        <v>10.732823757657394</v>
      </c>
      <c r="Q3" s="9">
        <v>10.732823757657394</v>
      </c>
      <c r="R3" s="9">
        <v>11.04856201020749</v>
      </c>
      <c r="S3" s="9">
        <v>11.364751027066461</v>
      </c>
      <c r="T3" s="9">
        <v>11.749173507902043</v>
      </c>
      <c r="U3" s="9">
        <v>12.850564325687124</v>
      </c>
      <c r="V3" s="9">
        <v>12.850564325687124</v>
      </c>
      <c r="W3" s="9">
        <v>12.850564325687124</v>
      </c>
      <c r="X3" s="9">
        <v>14.782637373051333</v>
      </c>
      <c r="Y3" s="9">
        <v>14.782637373051333</v>
      </c>
      <c r="Z3" s="9">
        <v>16.85024587052752</v>
      </c>
      <c r="AA3" s="9">
        <v>16.85024587052752</v>
      </c>
      <c r="AB3" s="9">
        <v>19.120701872341421</v>
      </c>
      <c r="AC3" s="9">
        <v>19.120701872341421</v>
      </c>
      <c r="AD3" s="9">
        <v>21.180732467605459</v>
      </c>
      <c r="AE3" s="9">
        <v>23.311209829410082</v>
      </c>
      <c r="AF3" s="9">
        <v>25.5191786344094</v>
      </c>
      <c r="AG3" s="9">
        <v>25.5191786344094</v>
      </c>
      <c r="AH3" s="9">
        <v>27.812388026922832</v>
      </c>
      <c r="AI3" s="9">
        <v>29.713125400067604</v>
      </c>
      <c r="AJ3" s="9">
        <v>3.0428788910505911</v>
      </c>
    </row>
    <row r="4" spans="1:36" x14ac:dyDescent="0.25">
      <c r="A4" t="s">
        <v>5411</v>
      </c>
      <c r="B4" t="s">
        <v>16</v>
      </c>
      <c r="C4" t="s">
        <v>17</v>
      </c>
      <c r="D4">
        <v>1100000</v>
      </c>
      <c r="E4">
        <v>1199999</v>
      </c>
      <c r="F4" t="s">
        <v>18</v>
      </c>
      <c r="G4" t="str">
        <f t="shared" ref="G4:G67" si="0">H4&amp;IF(J4="CAPITAL","C",IF(J4="INTERIOR","I",IF(J4="INTERIOR II","I II","R")))</f>
        <v>SPC</v>
      </c>
      <c r="H4" t="s">
        <v>19</v>
      </c>
      <c r="I4" t="s">
        <v>20</v>
      </c>
      <c r="J4" t="s">
        <v>21</v>
      </c>
      <c r="K4" s="6">
        <v>0.03</v>
      </c>
      <c r="L4" s="7">
        <f t="shared" ref="L4:L67" si="1">IF(I4="(0) Não",0.2%,3%)</f>
        <v>2E-3</v>
      </c>
      <c r="M4" s="7">
        <v>3.0000000000000001E-3</v>
      </c>
      <c r="N4">
        <v>6</v>
      </c>
      <c r="O4" s="8">
        <v>10.732823757657394</v>
      </c>
      <c r="P4" s="9">
        <v>10.732823757657394</v>
      </c>
      <c r="Q4" s="9">
        <v>10.732823757657394</v>
      </c>
      <c r="R4" s="9">
        <v>11.04856201020749</v>
      </c>
      <c r="S4" s="9">
        <v>11.364751027066461</v>
      </c>
      <c r="T4" s="9">
        <v>11.749173507902043</v>
      </c>
      <c r="U4" s="9">
        <v>12.850564325687124</v>
      </c>
      <c r="V4" s="9">
        <v>12.850564325687124</v>
      </c>
      <c r="W4" s="9">
        <v>12.850564325687124</v>
      </c>
      <c r="X4" s="9">
        <v>14.782637373051333</v>
      </c>
      <c r="Y4" s="9">
        <v>14.782637373051333</v>
      </c>
      <c r="Z4" s="9">
        <v>16.85024587052752</v>
      </c>
      <c r="AA4" s="9">
        <v>16.85024587052752</v>
      </c>
      <c r="AB4" s="9">
        <v>19.120701872341421</v>
      </c>
      <c r="AC4" s="9">
        <v>19.120701872341421</v>
      </c>
      <c r="AD4" s="9">
        <v>21.180732467605459</v>
      </c>
      <c r="AE4" s="9">
        <v>23.311209829410082</v>
      </c>
      <c r="AF4" s="9">
        <v>25.5191786344094</v>
      </c>
      <c r="AG4" s="9">
        <v>25.5191786344094</v>
      </c>
      <c r="AH4" s="9">
        <v>27.812388026922832</v>
      </c>
      <c r="AI4" s="9">
        <v>29.713125400067604</v>
      </c>
      <c r="AJ4" s="9">
        <v>3.0428788910505911</v>
      </c>
    </row>
    <row r="5" spans="1:36" x14ac:dyDescent="0.25">
      <c r="A5" t="s">
        <v>5411</v>
      </c>
      <c r="B5" t="s">
        <v>16</v>
      </c>
      <c r="C5" t="s">
        <v>17</v>
      </c>
      <c r="D5">
        <v>1200000</v>
      </c>
      <c r="E5">
        <v>1299999</v>
      </c>
      <c r="F5" t="s">
        <v>18</v>
      </c>
      <c r="G5" t="str">
        <f t="shared" si="0"/>
        <v>SPC</v>
      </c>
      <c r="H5" t="s">
        <v>19</v>
      </c>
      <c r="I5" t="s">
        <v>20</v>
      </c>
      <c r="J5" t="s">
        <v>21</v>
      </c>
      <c r="K5" s="6">
        <v>0.03</v>
      </c>
      <c r="L5" s="7">
        <f t="shared" si="1"/>
        <v>2E-3</v>
      </c>
      <c r="M5" s="7">
        <v>3.0000000000000001E-3</v>
      </c>
      <c r="N5">
        <v>6</v>
      </c>
      <c r="O5" s="8">
        <v>10.732823757657394</v>
      </c>
      <c r="P5" s="9">
        <v>10.732823757657394</v>
      </c>
      <c r="Q5" s="9">
        <v>10.732823757657394</v>
      </c>
      <c r="R5" s="9">
        <v>11.04856201020749</v>
      </c>
      <c r="S5" s="9">
        <v>11.364751027066461</v>
      </c>
      <c r="T5" s="9">
        <v>11.749173507902043</v>
      </c>
      <c r="U5" s="9">
        <v>12.850564325687124</v>
      </c>
      <c r="V5" s="9">
        <v>12.850564325687124</v>
      </c>
      <c r="W5" s="9">
        <v>12.850564325687124</v>
      </c>
      <c r="X5" s="9">
        <v>14.782637373051333</v>
      </c>
      <c r="Y5" s="9">
        <v>14.782637373051333</v>
      </c>
      <c r="Z5" s="9">
        <v>16.85024587052752</v>
      </c>
      <c r="AA5" s="9">
        <v>16.85024587052752</v>
      </c>
      <c r="AB5" s="9">
        <v>19.120701872341421</v>
      </c>
      <c r="AC5" s="9">
        <v>19.120701872341421</v>
      </c>
      <c r="AD5" s="9">
        <v>21.180732467605459</v>
      </c>
      <c r="AE5" s="9">
        <v>23.311209829410082</v>
      </c>
      <c r="AF5" s="9">
        <v>25.5191786344094</v>
      </c>
      <c r="AG5" s="9">
        <v>25.5191786344094</v>
      </c>
      <c r="AH5" s="9">
        <v>27.812388026922832</v>
      </c>
      <c r="AI5" s="9">
        <v>29.713125400067604</v>
      </c>
      <c r="AJ5" s="9">
        <v>3.0428788910505911</v>
      </c>
    </row>
    <row r="6" spans="1:36" x14ac:dyDescent="0.25">
      <c r="A6" t="s">
        <v>5411</v>
      </c>
      <c r="B6" t="s">
        <v>16</v>
      </c>
      <c r="C6" t="s">
        <v>17</v>
      </c>
      <c r="D6">
        <v>1300000</v>
      </c>
      <c r="E6">
        <v>1399999</v>
      </c>
      <c r="F6" t="s">
        <v>18</v>
      </c>
      <c r="G6" t="str">
        <f t="shared" si="0"/>
        <v>SPC</v>
      </c>
      <c r="H6" t="s">
        <v>19</v>
      </c>
      <c r="I6" t="s">
        <v>20</v>
      </c>
      <c r="J6" t="s">
        <v>21</v>
      </c>
      <c r="K6" s="6">
        <v>0.03</v>
      </c>
      <c r="L6" s="7">
        <f t="shared" si="1"/>
        <v>2E-3</v>
      </c>
      <c r="M6" s="7">
        <v>3.0000000000000001E-3</v>
      </c>
      <c r="N6">
        <v>6</v>
      </c>
      <c r="O6" s="8">
        <v>10.732823757657394</v>
      </c>
      <c r="P6" s="9">
        <v>10.732823757657394</v>
      </c>
      <c r="Q6" s="9">
        <v>10.732823757657394</v>
      </c>
      <c r="R6" s="9">
        <v>11.04856201020749</v>
      </c>
      <c r="S6" s="9">
        <v>11.364751027066461</v>
      </c>
      <c r="T6" s="9">
        <v>11.749173507902043</v>
      </c>
      <c r="U6" s="9">
        <v>12.850564325687124</v>
      </c>
      <c r="V6" s="9">
        <v>12.850564325687124</v>
      </c>
      <c r="W6" s="9">
        <v>12.850564325687124</v>
      </c>
      <c r="X6" s="9">
        <v>14.782637373051333</v>
      </c>
      <c r="Y6" s="9">
        <v>14.782637373051333</v>
      </c>
      <c r="Z6" s="9">
        <v>16.85024587052752</v>
      </c>
      <c r="AA6" s="9">
        <v>16.85024587052752</v>
      </c>
      <c r="AB6" s="9">
        <v>19.120701872341421</v>
      </c>
      <c r="AC6" s="9">
        <v>19.120701872341421</v>
      </c>
      <c r="AD6" s="9">
        <v>21.180732467605459</v>
      </c>
      <c r="AE6" s="9">
        <v>23.311209829410082</v>
      </c>
      <c r="AF6" s="9">
        <v>25.5191786344094</v>
      </c>
      <c r="AG6" s="9">
        <v>25.5191786344094</v>
      </c>
      <c r="AH6" s="9">
        <v>27.812388026922832</v>
      </c>
      <c r="AI6" s="9">
        <v>29.713125400067604</v>
      </c>
      <c r="AJ6" s="9">
        <v>3.0428788910505911</v>
      </c>
    </row>
    <row r="7" spans="1:36" x14ac:dyDescent="0.25">
      <c r="A7" t="s">
        <v>5411</v>
      </c>
      <c r="B7" t="s">
        <v>16</v>
      </c>
      <c r="C7" t="s">
        <v>17</v>
      </c>
      <c r="D7">
        <v>1400000</v>
      </c>
      <c r="E7">
        <v>1499999</v>
      </c>
      <c r="F7" t="s">
        <v>18</v>
      </c>
      <c r="G7" t="str">
        <f t="shared" si="0"/>
        <v>SPC</v>
      </c>
      <c r="H7" t="s">
        <v>19</v>
      </c>
      <c r="I7" t="s">
        <v>20</v>
      </c>
      <c r="J7" t="s">
        <v>21</v>
      </c>
      <c r="K7" s="6">
        <v>0.03</v>
      </c>
      <c r="L7" s="7">
        <f t="shared" si="1"/>
        <v>2E-3</v>
      </c>
      <c r="M7" s="7">
        <v>3.0000000000000001E-3</v>
      </c>
      <c r="N7">
        <v>6</v>
      </c>
      <c r="O7" s="8">
        <v>10.732823757657394</v>
      </c>
      <c r="P7" s="9">
        <v>10.732823757657394</v>
      </c>
      <c r="Q7" s="9">
        <v>10.732823757657394</v>
      </c>
      <c r="R7" s="9">
        <v>11.04856201020749</v>
      </c>
      <c r="S7" s="9">
        <v>11.364751027066461</v>
      </c>
      <c r="T7" s="9">
        <v>11.749173507902043</v>
      </c>
      <c r="U7" s="9">
        <v>12.850564325687124</v>
      </c>
      <c r="V7" s="9">
        <v>12.850564325687124</v>
      </c>
      <c r="W7" s="9">
        <v>12.850564325687124</v>
      </c>
      <c r="X7" s="9">
        <v>14.782637373051333</v>
      </c>
      <c r="Y7" s="9">
        <v>14.782637373051333</v>
      </c>
      <c r="Z7" s="9">
        <v>16.85024587052752</v>
      </c>
      <c r="AA7" s="9">
        <v>16.85024587052752</v>
      </c>
      <c r="AB7" s="9">
        <v>19.120701872341421</v>
      </c>
      <c r="AC7" s="9">
        <v>19.120701872341421</v>
      </c>
      <c r="AD7" s="9">
        <v>21.180732467605459</v>
      </c>
      <c r="AE7" s="9">
        <v>23.311209829410082</v>
      </c>
      <c r="AF7" s="9">
        <v>25.5191786344094</v>
      </c>
      <c r="AG7" s="9">
        <v>25.5191786344094</v>
      </c>
      <c r="AH7" s="9">
        <v>27.812388026922832</v>
      </c>
      <c r="AI7" s="9">
        <v>29.713125400067604</v>
      </c>
      <c r="AJ7" s="9">
        <v>3.0428788910505911</v>
      </c>
    </row>
    <row r="8" spans="1:36" x14ac:dyDescent="0.25">
      <c r="A8" t="s">
        <v>5411</v>
      </c>
      <c r="B8" t="s">
        <v>16</v>
      </c>
      <c r="C8" t="s">
        <v>17</v>
      </c>
      <c r="D8">
        <v>1500000</v>
      </c>
      <c r="E8">
        <v>1599999</v>
      </c>
      <c r="F8" t="s">
        <v>18</v>
      </c>
      <c r="G8" t="str">
        <f t="shared" si="0"/>
        <v>SPC</v>
      </c>
      <c r="H8" t="s">
        <v>19</v>
      </c>
      <c r="I8" t="s">
        <v>20</v>
      </c>
      <c r="J8" t="s">
        <v>21</v>
      </c>
      <c r="K8" s="6">
        <v>0.03</v>
      </c>
      <c r="L8" s="7">
        <f t="shared" si="1"/>
        <v>2E-3</v>
      </c>
      <c r="M8" s="7">
        <v>3.0000000000000001E-3</v>
      </c>
      <c r="N8">
        <v>6</v>
      </c>
      <c r="O8" s="8">
        <v>10.732823757657394</v>
      </c>
      <c r="P8" s="9">
        <v>10.732823757657394</v>
      </c>
      <c r="Q8" s="9">
        <v>10.732823757657394</v>
      </c>
      <c r="R8" s="9">
        <v>11.04856201020749</v>
      </c>
      <c r="S8" s="9">
        <v>11.364751027066461</v>
      </c>
      <c r="T8" s="9">
        <v>11.749173507902043</v>
      </c>
      <c r="U8" s="9">
        <v>12.850564325687124</v>
      </c>
      <c r="V8" s="9">
        <v>12.850564325687124</v>
      </c>
      <c r="W8" s="9">
        <v>12.850564325687124</v>
      </c>
      <c r="X8" s="9">
        <v>14.782637373051333</v>
      </c>
      <c r="Y8" s="9">
        <v>14.782637373051333</v>
      </c>
      <c r="Z8" s="9">
        <v>16.85024587052752</v>
      </c>
      <c r="AA8" s="9">
        <v>16.85024587052752</v>
      </c>
      <c r="AB8" s="9">
        <v>19.120701872341421</v>
      </c>
      <c r="AC8" s="9">
        <v>19.120701872341421</v>
      </c>
      <c r="AD8" s="9">
        <v>21.180732467605459</v>
      </c>
      <c r="AE8" s="9">
        <v>23.311209829410082</v>
      </c>
      <c r="AF8" s="9">
        <v>25.5191786344094</v>
      </c>
      <c r="AG8" s="9">
        <v>25.5191786344094</v>
      </c>
      <c r="AH8" s="9">
        <v>27.812388026922832</v>
      </c>
      <c r="AI8" s="9">
        <v>29.713125400067604</v>
      </c>
      <c r="AJ8" s="9">
        <v>3.0428788910505911</v>
      </c>
    </row>
    <row r="9" spans="1:36" x14ac:dyDescent="0.25">
      <c r="A9" t="s">
        <v>5411</v>
      </c>
      <c r="B9" t="s">
        <v>16</v>
      </c>
      <c r="C9" t="s">
        <v>17</v>
      </c>
      <c r="D9">
        <v>1600000</v>
      </c>
      <c r="E9">
        <v>1699999</v>
      </c>
      <c r="F9" t="s">
        <v>18</v>
      </c>
      <c r="G9" t="str">
        <f t="shared" si="0"/>
        <v>SPC</v>
      </c>
      <c r="H9" t="s">
        <v>19</v>
      </c>
      <c r="I9" t="s">
        <v>20</v>
      </c>
      <c r="J9" t="s">
        <v>21</v>
      </c>
      <c r="K9" s="6">
        <v>0.03</v>
      </c>
      <c r="L9" s="7">
        <f t="shared" si="1"/>
        <v>2E-3</v>
      </c>
      <c r="M9" s="7">
        <v>3.0000000000000001E-3</v>
      </c>
      <c r="N9">
        <v>6</v>
      </c>
      <c r="O9" s="8">
        <v>10.732823757657394</v>
      </c>
      <c r="P9" s="9">
        <v>10.732823757657394</v>
      </c>
      <c r="Q9" s="9">
        <v>10.732823757657394</v>
      </c>
      <c r="R9" s="9">
        <v>11.04856201020749</v>
      </c>
      <c r="S9" s="9">
        <v>11.364751027066461</v>
      </c>
      <c r="T9" s="9">
        <v>11.749173507902043</v>
      </c>
      <c r="U9" s="9">
        <v>12.850564325687124</v>
      </c>
      <c r="V9" s="9">
        <v>12.850564325687124</v>
      </c>
      <c r="W9" s="9">
        <v>12.850564325687124</v>
      </c>
      <c r="X9" s="9">
        <v>14.782637373051333</v>
      </c>
      <c r="Y9" s="9">
        <v>14.782637373051333</v>
      </c>
      <c r="Z9" s="9">
        <v>16.85024587052752</v>
      </c>
      <c r="AA9" s="9">
        <v>16.85024587052752</v>
      </c>
      <c r="AB9" s="9">
        <v>19.120701872341421</v>
      </c>
      <c r="AC9" s="9">
        <v>19.120701872341421</v>
      </c>
      <c r="AD9" s="9">
        <v>21.180732467605459</v>
      </c>
      <c r="AE9" s="9">
        <v>23.311209829410082</v>
      </c>
      <c r="AF9" s="9">
        <v>25.5191786344094</v>
      </c>
      <c r="AG9" s="9">
        <v>25.5191786344094</v>
      </c>
      <c r="AH9" s="9">
        <v>27.812388026922832</v>
      </c>
      <c r="AI9" s="9">
        <v>29.713125400067604</v>
      </c>
      <c r="AJ9" s="9">
        <v>3.0428788910505911</v>
      </c>
    </row>
    <row r="10" spans="1:36" x14ac:dyDescent="0.25">
      <c r="A10" t="s">
        <v>5411</v>
      </c>
      <c r="B10" t="s">
        <v>16</v>
      </c>
      <c r="C10" t="s">
        <v>17</v>
      </c>
      <c r="D10">
        <v>1700000</v>
      </c>
      <c r="E10">
        <v>1799999</v>
      </c>
      <c r="F10" t="s">
        <v>18</v>
      </c>
      <c r="G10" t="str">
        <f t="shared" si="0"/>
        <v>SPC</v>
      </c>
      <c r="H10" t="s">
        <v>19</v>
      </c>
      <c r="I10" t="s">
        <v>20</v>
      </c>
      <c r="J10" t="s">
        <v>21</v>
      </c>
      <c r="K10" s="6">
        <v>0.03</v>
      </c>
      <c r="L10" s="7">
        <f t="shared" si="1"/>
        <v>2E-3</v>
      </c>
      <c r="M10" s="7">
        <v>3.0000000000000001E-3</v>
      </c>
      <c r="N10">
        <v>6</v>
      </c>
      <c r="O10" s="8">
        <v>10.732823757657394</v>
      </c>
      <c r="P10" s="9">
        <v>10.732823757657394</v>
      </c>
      <c r="Q10" s="9">
        <v>10.732823757657394</v>
      </c>
      <c r="R10" s="9">
        <v>11.04856201020749</v>
      </c>
      <c r="S10" s="9">
        <v>11.364751027066461</v>
      </c>
      <c r="T10" s="9">
        <v>11.749173507902043</v>
      </c>
      <c r="U10" s="9">
        <v>12.850564325687124</v>
      </c>
      <c r="V10" s="9">
        <v>12.850564325687124</v>
      </c>
      <c r="W10" s="9">
        <v>12.850564325687124</v>
      </c>
      <c r="X10" s="9">
        <v>14.782637373051333</v>
      </c>
      <c r="Y10" s="9">
        <v>14.782637373051333</v>
      </c>
      <c r="Z10" s="9">
        <v>16.85024587052752</v>
      </c>
      <c r="AA10" s="9">
        <v>16.85024587052752</v>
      </c>
      <c r="AB10" s="9">
        <v>19.120701872341421</v>
      </c>
      <c r="AC10" s="9">
        <v>19.120701872341421</v>
      </c>
      <c r="AD10" s="9">
        <v>21.180732467605459</v>
      </c>
      <c r="AE10" s="9">
        <v>23.311209829410082</v>
      </c>
      <c r="AF10" s="9">
        <v>25.5191786344094</v>
      </c>
      <c r="AG10" s="9">
        <v>25.5191786344094</v>
      </c>
      <c r="AH10" s="9">
        <v>27.812388026922832</v>
      </c>
      <c r="AI10" s="9">
        <v>29.713125400067604</v>
      </c>
      <c r="AJ10" s="9">
        <v>3.0428788910505911</v>
      </c>
    </row>
    <row r="11" spans="1:36" x14ac:dyDescent="0.25">
      <c r="A11" t="s">
        <v>5411</v>
      </c>
      <c r="B11" t="s">
        <v>16</v>
      </c>
      <c r="C11" t="s">
        <v>17</v>
      </c>
      <c r="D11">
        <v>1800000</v>
      </c>
      <c r="E11">
        <v>1899999</v>
      </c>
      <c r="F11" t="s">
        <v>18</v>
      </c>
      <c r="G11" t="str">
        <f t="shared" si="0"/>
        <v>SPC</v>
      </c>
      <c r="H11" t="s">
        <v>19</v>
      </c>
      <c r="I11" t="s">
        <v>20</v>
      </c>
      <c r="J11" t="s">
        <v>21</v>
      </c>
      <c r="K11" s="6">
        <v>0.03</v>
      </c>
      <c r="L11" s="7">
        <f t="shared" si="1"/>
        <v>2E-3</v>
      </c>
      <c r="M11" s="7">
        <v>3.0000000000000001E-3</v>
      </c>
      <c r="N11">
        <v>6</v>
      </c>
      <c r="O11" s="8">
        <v>10.732823757657394</v>
      </c>
      <c r="P11" s="9">
        <v>10.732823757657394</v>
      </c>
      <c r="Q11" s="9">
        <v>10.732823757657394</v>
      </c>
      <c r="R11" s="9">
        <v>11.04856201020749</v>
      </c>
      <c r="S11" s="9">
        <v>11.364751027066461</v>
      </c>
      <c r="T11" s="9">
        <v>11.749173507902043</v>
      </c>
      <c r="U11" s="9">
        <v>12.850564325687124</v>
      </c>
      <c r="V11" s="9">
        <v>12.850564325687124</v>
      </c>
      <c r="W11" s="9">
        <v>12.850564325687124</v>
      </c>
      <c r="X11" s="9">
        <v>14.782637373051333</v>
      </c>
      <c r="Y11" s="9">
        <v>14.782637373051333</v>
      </c>
      <c r="Z11" s="9">
        <v>16.85024587052752</v>
      </c>
      <c r="AA11" s="9">
        <v>16.85024587052752</v>
      </c>
      <c r="AB11" s="9">
        <v>19.120701872341421</v>
      </c>
      <c r="AC11" s="9">
        <v>19.120701872341421</v>
      </c>
      <c r="AD11" s="9">
        <v>21.180732467605459</v>
      </c>
      <c r="AE11" s="9">
        <v>23.311209829410082</v>
      </c>
      <c r="AF11" s="9">
        <v>25.5191786344094</v>
      </c>
      <c r="AG11" s="9">
        <v>25.5191786344094</v>
      </c>
      <c r="AH11" s="9">
        <v>27.812388026922832</v>
      </c>
      <c r="AI11" s="9">
        <v>29.713125400067604</v>
      </c>
      <c r="AJ11" s="9">
        <v>3.0428788910505911</v>
      </c>
    </row>
    <row r="12" spans="1:36" x14ac:dyDescent="0.25">
      <c r="A12" t="s">
        <v>5411</v>
      </c>
      <c r="B12" t="s">
        <v>16</v>
      </c>
      <c r="C12" t="s">
        <v>17</v>
      </c>
      <c r="D12">
        <v>1900000</v>
      </c>
      <c r="E12">
        <v>1999999</v>
      </c>
      <c r="F12" t="s">
        <v>18</v>
      </c>
      <c r="G12" t="str">
        <f t="shared" si="0"/>
        <v>SPC</v>
      </c>
      <c r="H12" t="s">
        <v>19</v>
      </c>
      <c r="I12" t="s">
        <v>20</v>
      </c>
      <c r="J12" t="s">
        <v>21</v>
      </c>
      <c r="K12" s="6">
        <v>0.03</v>
      </c>
      <c r="L12" s="7">
        <f t="shared" si="1"/>
        <v>2E-3</v>
      </c>
      <c r="M12" s="7">
        <v>3.0000000000000001E-3</v>
      </c>
      <c r="N12">
        <v>6</v>
      </c>
      <c r="O12" s="8">
        <v>10.732823757657394</v>
      </c>
      <c r="P12" s="9">
        <v>10.732823757657394</v>
      </c>
      <c r="Q12" s="9">
        <v>10.732823757657394</v>
      </c>
      <c r="R12" s="9">
        <v>11.04856201020749</v>
      </c>
      <c r="S12" s="9">
        <v>11.364751027066461</v>
      </c>
      <c r="T12" s="9">
        <v>11.749173507902043</v>
      </c>
      <c r="U12" s="9">
        <v>12.850564325687124</v>
      </c>
      <c r="V12" s="9">
        <v>12.850564325687124</v>
      </c>
      <c r="W12" s="9">
        <v>12.850564325687124</v>
      </c>
      <c r="X12" s="9">
        <v>14.782637373051333</v>
      </c>
      <c r="Y12" s="9">
        <v>14.782637373051333</v>
      </c>
      <c r="Z12" s="9">
        <v>16.85024587052752</v>
      </c>
      <c r="AA12" s="9">
        <v>16.85024587052752</v>
      </c>
      <c r="AB12" s="9">
        <v>19.120701872341421</v>
      </c>
      <c r="AC12" s="9">
        <v>19.120701872341421</v>
      </c>
      <c r="AD12" s="9">
        <v>21.180732467605459</v>
      </c>
      <c r="AE12" s="9">
        <v>23.311209829410082</v>
      </c>
      <c r="AF12" s="9">
        <v>25.5191786344094</v>
      </c>
      <c r="AG12" s="9">
        <v>25.5191786344094</v>
      </c>
      <c r="AH12" s="9">
        <v>27.812388026922832</v>
      </c>
      <c r="AI12" s="9">
        <v>29.713125400067604</v>
      </c>
      <c r="AJ12" s="9">
        <v>3.0428788910505911</v>
      </c>
    </row>
    <row r="13" spans="1:36" x14ac:dyDescent="0.25">
      <c r="A13" t="s">
        <v>5411</v>
      </c>
      <c r="B13" t="s">
        <v>16</v>
      </c>
      <c r="C13" t="s">
        <v>17</v>
      </c>
      <c r="D13">
        <v>2000000</v>
      </c>
      <c r="E13">
        <v>2099999</v>
      </c>
      <c r="F13" t="s">
        <v>18</v>
      </c>
      <c r="G13" t="str">
        <f t="shared" si="0"/>
        <v>SPC</v>
      </c>
      <c r="H13" t="s">
        <v>19</v>
      </c>
      <c r="I13" t="s">
        <v>20</v>
      </c>
      <c r="J13" t="s">
        <v>21</v>
      </c>
      <c r="K13" s="6">
        <v>0.03</v>
      </c>
      <c r="L13" s="7">
        <f t="shared" si="1"/>
        <v>2E-3</v>
      </c>
      <c r="M13" s="7">
        <v>3.0000000000000001E-3</v>
      </c>
      <c r="N13">
        <v>6</v>
      </c>
      <c r="O13" s="8">
        <v>10.732823757657394</v>
      </c>
      <c r="P13" s="9">
        <v>10.732823757657394</v>
      </c>
      <c r="Q13" s="9">
        <v>10.732823757657394</v>
      </c>
      <c r="R13" s="9">
        <v>11.04856201020749</v>
      </c>
      <c r="S13" s="9">
        <v>11.364751027066461</v>
      </c>
      <c r="T13" s="9">
        <v>11.749173507902043</v>
      </c>
      <c r="U13" s="9">
        <v>12.850564325687124</v>
      </c>
      <c r="V13" s="9">
        <v>12.850564325687124</v>
      </c>
      <c r="W13" s="9">
        <v>12.850564325687124</v>
      </c>
      <c r="X13" s="9">
        <v>14.782637373051333</v>
      </c>
      <c r="Y13" s="9">
        <v>14.782637373051333</v>
      </c>
      <c r="Z13" s="9">
        <v>16.85024587052752</v>
      </c>
      <c r="AA13" s="9">
        <v>16.85024587052752</v>
      </c>
      <c r="AB13" s="9">
        <v>19.120701872341421</v>
      </c>
      <c r="AC13" s="9">
        <v>19.120701872341421</v>
      </c>
      <c r="AD13" s="9">
        <v>21.180732467605459</v>
      </c>
      <c r="AE13" s="9">
        <v>23.311209829410082</v>
      </c>
      <c r="AF13" s="9">
        <v>25.5191786344094</v>
      </c>
      <c r="AG13" s="9">
        <v>25.5191786344094</v>
      </c>
      <c r="AH13" s="9">
        <v>27.812388026922832</v>
      </c>
      <c r="AI13" s="9">
        <v>29.713125400067604</v>
      </c>
      <c r="AJ13" s="9">
        <v>3.0428788910505911</v>
      </c>
    </row>
    <row r="14" spans="1:36" x14ac:dyDescent="0.25">
      <c r="A14" t="s">
        <v>5411</v>
      </c>
      <c r="B14" t="s">
        <v>16</v>
      </c>
      <c r="C14" t="s">
        <v>17</v>
      </c>
      <c r="D14">
        <v>2100000</v>
      </c>
      <c r="E14">
        <v>2199999</v>
      </c>
      <c r="F14" t="s">
        <v>18</v>
      </c>
      <c r="G14" t="str">
        <f t="shared" si="0"/>
        <v>SPC</v>
      </c>
      <c r="H14" t="s">
        <v>19</v>
      </c>
      <c r="I14" t="s">
        <v>20</v>
      </c>
      <c r="J14" t="s">
        <v>21</v>
      </c>
      <c r="K14" s="6">
        <v>0.03</v>
      </c>
      <c r="L14" s="7">
        <f t="shared" si="1"/>
        <v>2E-3</v>
      </c>
      <c r="M14" s="7">
        <v>3.0000000000000001E-3</v>
      </c>
      <c r="N14">
        <v>6</v>
      </c>
      <c r="O14" s="8">
        <v>10.732823757657394</v>
      </c>
      <c r="P14" s="9">
        <v>10.732823757657394</v>
      </c>
      <c r="Q14" s="9">
        <v>10.732823757657394</v>
      </c>
      <c r="R14" s="9">
        <v>11.04856201020749</v>
      </c>
      <c r="S14" s="9">
        <v>11.364751027066461</v>
      </c>
      <c r="T14" s="9">
        <v>11.749173507902043</v>
      </c>
      <c r="U14" s="9">
        <v>12.850564325687124</v>
      </c>
      <c r="V14" s="9">
        <v>12.850564325687124</v>
      </c>
      <c r="W14" s="9">
        <v>12.850564325687124</v>
      </c>
      <c r="X14" s="9">
        <v>14.782637373051333</v>
      </c>
      <c r="Y14" s="9">
        <v>14.782637373051333</v>
      </c>
      <c r="Z14" s="9">
        <v>16.85024587052752</v>
      </c>
      <c r="AA14" s="9">
        <v>16.85024587052752</v>
      </c>
      <c r="AB14" s="9">
        <v>19.120701872341421</v>
      </c>
      <c r="AC14" s="9">
        <v>19.120701872341421</v>
      </c>
      <c r="AD14" s="9">
        <v>21.180732467605459</v>
      </c>
      <c r="AE14" s="9">
        <v>23.311209829410082</v>
      </c>
      <c r="AF14" s="9">
        <v>25.5191786344094</v>
      </c>
      <c r="AG14" s="9">
        <v>25.5191786344094</v>
      </c>
      <c r="AH14" s="9">
        <v>27.812388026922832</v>
      </c>
      <c r="AI14" s="9">
        <v>29.713125400067604</v>
      </c>
      <c r="AJ14" s="9">
        <v>3.0428788910505911</v>
      </c>
    </row>
    <row r="15" spans="1:36" x14ac:dyDescent="0.25">
      <c r="A15" t="s">
        <v>5411</v>
      </c>
      <c r="B15" t="s">
        <v>16</v>
      </c>
      <c r="C15" t="s">
        <v>17</v>
      </c>
      <c r="D15">
        <v>2200000</v>
      </c>
      <c r="E15">
        <v>2299999</v>
      </c>
      <c r="F15" t="s">
        <v>18</v>
      </c>
      <c r="G15" t="str">
        <f t="shared" si="0"/>
        <v>SPC</v>
      </c>
      <c r="H15" t="s">
        <v>19</v>
      </c>
      <c r="I15" t="s">
        <v>20</v>
      </c>
      <c r="J15" t="s">
        <v>21</v>
      </c>
      <c r="K15" s="6">
        <v>0.03</v>
      </c>
      <c r="L15" s="7">
        <f t="shared" si="1"/>
        <v>2E-3</v>
      </c>
      <c r="M15" s="7">
        <v>3.0000000000000001E-3</v>
      </c>
      <c r="N15">
        <v>6</v>
      </c>
      <c r="O15" s="8">
        <v>10.732823757657394</v>
      </c>
      <c r="P15" s="9">
        <v>10.732823757657394</v>
      </c>
      <c r="Q15" s="9">
        <v>10.732823757657394</v>
      </c>
      <c r="R15" s="9">
        <v>11.04856201020749</v>
      </c>
      <c r="S15" s="9">
        <v>11.364751027066461</v>
      </c>
      <c r="T15" s="9">
        <v>11.749173507902043</v>
      </c>
      <c r="U15" s="9">
        <v>12.850564325687124</v>
      </c>
      <c r="V15" s="9">
        <v>12.850564325687124</v>
      </c>
      <c r="W15" s="9">
        <v>12.850564325687124</v>
      </c>
      <c r="X15" s="9">
        <v>14.782637373051333</v>
      </c>
      <c r="Y15" s="9">
        <v>14.782637373051333</v>
      </c>
      <c r="Z15" s="9">
        <v>16.85024587052752</v>
      </c>
      <c r="AA15" s="9">
        <v>16.85024587052752</v>
      </c>
      <c r="AB15" s="9">
        <v>19.120701872341421</v>
      </c>
      <c r="AC15" s="9">
        <v>19.120701872341421</v>
      </c>
      <c r="AD15" s="9">
        <v>21.180732467605459</v>
      </c>
      <c r="AE15" s="9">
        <v>23.311209829410082</v>
      </c>
      <c r="AF15" s="9">
        <v>25.5191786344094</v>
      </c>
      <c r="AG15" s="9">
        <v>25.5191786344094</v>
      </c>
      <c r="AH15" s="9">
        <v>27.812388026922832</v>
      </c>
      <c r="AI15" s="9">
        <v>29.713125400067604</v>
      </c>
      <c r="AJ15" s="9">
        <v>3.0428788910505911</v>
      </c>
    </row>
    <row r="16" spans="1:36" x14ac:dyDescent="0.25">
      <c r="A16" t="s">
        <v>5411</v>
      </c>
      <c r="B16" t="s">
        <v>16</v>
      </c>
      <c r="C16" t="s">
        <v>17</v>
      </c>
      <c r="D16">
        <v>2300000</v>
      </c>
      <c r="E16">
        <v>2399999</v>
      </c>
      <c r="F16" t="s">
        <v>18</v>
      </c>
      <c r="G16" t="str">
        <f t="shared" si="0"/>
        <v>SPC</v>
      </c>
      <c r="H16" t="s">
        <v>19</v>
      </c>
      <c r="I16" t="s">
        <v>20</v>
      </c>
      <c r="J16" t="s">
        <v>21</v>
      </c>
      <c r="K16" s="6">
        <v>0.03</v>
      </c>
      <c r="L16" s="7">
        <f t="shared" si="1"/>
        <v>2E-3</v>
      </c>
      <c r="M16" s="7">
        <v>3.0000000000000001E-3</v>
      </c>
      <c r="N16">
        <v>6</v>
      </c>
      <c r="O16" s="8">
        <v>10.732823757657394</v>
      </c>
      <c r="P16" s="9">
        <v>10.732823757657394</v>
      </c>
      <c r="Q16" s="9">
        <v>10.732823757657394</v>
      </c>
      <c r="R16" s="9">
        <v>11.04856201020749</v>
      </c>
      <c r="S16" s="9">
        <v>11.364751027066461</v>
      </c>
      <c r="T16" s="9">
        <v>11.749173507902043</v>
      </c>
      <c r="U16" s="9">
        <v>12.850564325687124</v>
      </c>
      <c r="V16" s="9">
        <v>12.850564325687124</v>
      </c>
      <c r="W16" s="9">
        <v>12.850564325687124</v>
      </c>
      <c r="X16" s="9">
        <v>14.782637373051333</v>
      </c>
      <c r="Y16" s="9">
        <v>14.782637373051333</v>
      </c>
      <c r="Z16" s="9">
        <v>16.85024587052752</v>
      </c>
      <c r="AA16" s="9">
        <v>16.85024587052752</v>
      </c>
      <c r="AB16" s="9">
        <v>19.120701872341421</v>
      </c>
      <c r="AC16" s="9">
        <v>19.120701872341421</v>
      </c>
      <c r="AD16" s="9">
        <v>21.180732467605459</v>
      </c>
      <c r="AE16" s="9">
        <v>23.311209829410082</v>
      </c>
      <c r="AF16" s="9">
        <v>25.5191786344094</v>
      </c>
      <c r="AG16" s="9">
        <v>25.5191786344094</v>
      </c>
      <c r="AH16" s="9">
        <v>27.812388026922832</v>
      </c>
      <c r="AI16" s="9">
        <v>29.713125400067604</v>
      </c>
      <c r="AJ16" s="9">
        <v>3.0428788910505911</v>
      </c>
    </row>
    <row r="17" spans="1:36" x14ac:dyDescent="0.25">
      <c r="A17" t="s">
        <v>5411</v>
      </c>
      <c r="B17" t="s">
        <v>16</v>
      </c>
      <c r="C17" t="s">
        <v>17</v>
      </c>
      <c r="D17">
        <v>2400000</v>
      </c>
      <c r="E17">
        <v>2499999</v>
      </c>
      <c r="F17" t="s">
        <v>18</v>
      </c>
      <c r="G17" t="str">
        <f t="shared" si="0"/>
        <v>SPC</v>
      </c>
      <c r="H17" t="s">
        <v>19</v>
      </c>
      <c r="I17" t="s">
        <v>20</v>
      </c>
      <c r="J17" t="s">
        <v>21</v>
      </c>
      <c r="K17" s="6">
        <v>0.03</v>
      </c>
      <c r="L17" s="7">
        <f t="shared" si="1"/>
        <v>2E-3</v>
      </c>
      <c r="M17" s="7">
        <v>3.0000000000000001E-3</v>
      </c>
      <c r="N17">
        <v>6</v>
      </c>
      <c r="O17" s="8">
        <v>10.732823757657394</v>
      </c>
      <c r="P17" s="9">
        <v>10.732823757657394</v>
      </c>
      <c r="Q17" s="9">
        <v>10.732823757657394</v>
      </c>
      <c r="R17" s="9">
        <v>11.04856201020749</v>
      </c>
      <c r="S17" s="9">
        <v>11.364751027066461</v>
      </c>
      <c r="T17" s="9">
        <v>11.749173507902043</v>
      </c>
      <c r="U17" s="9">
        <v>12.850564325687124</v>
      </c>
      <c r="V17" s="9">
        <v>12.850564325687124</v>
      </c>
      <c r="W17" s="9">
        <v>12.850564325687124</v>
      </c>
      <c r="X17" s="9">
        <v>14.782637373051333</v>
      </c>
      <c r="Y17" s="9">
        <v>14.782637373051333</v>
      </c>
      <c r="Z17" s="9">
        <v>16.85024587052752</v>
      </c>
      <c r="AA17" s="9">
        <v>16.85024587052752</v>
      </c>
      <c r="AB17" s="9">
        <v>19.120701872341421</v>
      </c>
      <c r="AC17" s="9">
        <v>19.120701872341421</v>
      </c>
      <c r="AD17" s="9">
        <v>21.180732467605459</v>
      </c>
      <c r="AE17" s="9">
        <v>23.311209829410082</v>
      </c>
      <c r="AF17" s="9">
        <v>25.5191786344094</v>
      </c>
      <c r="AG17" s="9">
        <v>25.5191786344094</v>
      </c>
      <c r="AH17" s="9">
        <v>27.812388026922832</v>
      </c>
      <c r="AI17" s="9">
        <v>29.713125400067604</v>
      </c>
      <c r="AJ17" s="9">
        <v>3.0428788910505911</v>
      </c>
    </row>
    <row r="18" spans="1:36" x14ac:dyDescent="0.25">
      <c r="A18" t="s">
        <v>5411</v>
      </c>
      <c r="B18" t="s">
        <v>16</v>
      </c>
      <c r="C18" t="s">
        <v>17</v>
      </c>
      <c r="D18">
        <v>2500000</v>
      </c>
      <c r="E18">
        <v>2599999</v>
      </c>
      <c r="F18" t="s">
        <v>18</v>
      </c>
      <c r="G18" t="str">
        <f t="shared" si="0"/>
        <v>SPC</v>
      </c>
      <c r="H18" t="s">
        <v>19</v>
      </c>
      <c r="I18" t="s">
        <v>20</v>
      </c>
      <c r="J18" t="s">
        <v>21</v>
      </c>
      <c r="K18" s="6">
        <v>0.03</v>
      </c>
      <c r="L18" s="7">
        <f t="shared" si="1"/>
        <v>2E-3</v>
      </c>
      <c r="M18" s="7">
        <v>3.0000000000000001E-3</v>
      </c>
      <c r="N18">
        <v>6</v>
      </c>
      <c r="O18" s="8">
        <v>10.732823757657394</v>
      </c>
      <c r="P18" s="9">
        <v>10.732823757657394</v>
      </c>
      <c r="Q18" s="9">
        <v>10.732823757657394</v>
      </c>
      <c r="R18" s="9">
        <v>11.04856201020749</v>
      </c>
      <c r="S18" s="9">
        <v>11.364751027066461</v>
      </c>
      <c r="T18" s="9">
        <v>11.749173507902043</v>
      </c>
      <c r="U18" s="9">
        <v>12.850564325687124</v>
      </c>
      <c r="V18" s="9">
        <v>12.850564325687124</v>
      </c>
      <c r="W18" s="9">
        <v>12.850564325687124</v>
      </c>
      <c r="X18" s="9">
        <v>14.782637373051333</v>
      </c>
      <c r="Y18" s="9">
        <v>14.782637373051333</v>
      </c>
      <c r="Z18" s="9">
        <v>16.85024587052752</v>
      </c>
      <c r="AA18" s="9">
        <v>16.85024587052752</v>
      </c>
      <c r="AB18" s="9">
        <v>19.120701872341421</v>
      </c>
      <c r="AC18" s="9">
        <v>19.120701872341421</v>
      </c>
      <c r="AD18" s="9">
        <v>21.180732467605459</v>
      </c>
      <c r="AE18" s="9">
        <v>23.311209829410082</v>
      </c>
      <c r="AF18" s="9">
        <v>25.5191786344094</v>
      </c>
      <c r="AG18" s="9">
        <v>25.5191786344094</v>
      </c>
      <c r="AH18" s="9">
        <v>27.812388026922832</v>
      </c>
      <c r="AI18" s="9">
        <v>29.713125400067604</v>
      </c>
      <c r="AJ18" s="9">
        <v>3.0428788910505911</v>
      </c>
    </row>
    <row r="19" spans="1:36" x14ac:dyDescent="0.25">
      <c r="A19" t="s">
        <v>5411</v>
      </c>
      <c r="B19" t="s">
        <v>16</v>
      </c>
      <c r="C19" t="s">
        <v>17</v>
      </c>
      <c r="D19">
        <v>2600000</v>
      </c>
      <c r="E19">
        <v>2699999</v>
      </c>
      <c r="F19" t="s">
        <v>18</v>
      </c>
      <c r="G19" t="str">
        <f t="shared" si="0"/>
        <v>SPC</v>
      </c>
      <c r="H19" t="s">
        <v>19</v>
      </c>
      <c r="I19" t="s">
        <v>20</v>
      </c>
      <c r="J19" t="s">
        <v>21</v>
      </c>
      <c r="K19" s="6">
        <v>0.03</v>
      </c>
      <c r="L19" s="7">
        <f t="shared" si="1"/>
        <v>2E-3</v>
      </c>
      <c r="M19" s="7">
        <v>3.0000000000000001E-3</v>
      </c>
      <c r="N19">
        <v>6</v>
      </c>
      <c r="O19" s="8">
        <v>10.732823757657394</v>
      </c>
      <c r="P19" s="9">
        <v>10.732823757657394</v>
      </c>
      <c r="Q19" s="9">
        <v>10.732823757657394</v>
      </c>
      <c r="R19" s="9">
        <v>11.04856201020749</v>
      </c>
      <c r="S19" s="9">
        <v>11.364751027066461</v>
      </c>
      <c r="T19" s="9">
        <v>11.749173507902043</v>
      </c>
      <c r="U19" s="9">
        <v>12.850564325687124</v>
      </c>
      <c r="V19" s="9">
        <v>12.850564325687124</v>
      </c>
      <c r="W19" s="9">
        <v>12.850564325687124</v>
      </c>
      <c r="X19" s="9">
        <v>14.782637373051333</v>
      </c>
      <c r="Y19" s="9">
        <v>14.782637373051333</v>
      </c>
      <c r="Z19" s="9">
        <v>16.85024587052752</v>
      </c>
      <c r="AA19" s="9">
        <v>16.85024587052752</v>
      </c>
      <c r="AB19" s="9">
        <v>19.120701872341421</v>
      </c>
      <c r="AC19" s="9">
        <v>19.120701872341421</v>
      </c>
      <c r="AD19" s="9">
        <v>21.180732467605459</v>
      </c>
      <c r="AE19" s="9">
        <v>23.311209829410082</v>
      </c>
      <c r="AF19" s="9">
        <v>25.5191786344094</v>
      </c>
      <c r="AG19" s="9">
        <v>25.5191786344094</v>
      </c>
      <c r="AH19" s="9">
        <v>27.812388026922832</v>
      </c>
      <c r="AI19" s="9">
        <v>29.713125400067604</v>
      </c>
      <c r="AJ19" s="9">
        <v>3.0428788910505911</v>
      </c>
    </row>
    <row r="20" spans="1:36" x14ac:dyDescent="0.25">
      <c r="A20" t="s">
        <v>5411</v>
      </c>
      <c r="B20" t="s">
        <v>16</v>
      </c>
      <c r="C20" t="s">
        <v>17</v>
      </c>
      <c r="D20">
        <v>2700000</v>
      </c>
      <c r="E20">
        <v>2799999</v>
      </c>
      <c r="F20" t="s">
        <v>18</v>
      </c>
      <c r="G20" t="str">
        <f t="shared" si="0"/>
        <v>SPC</v>
      </c>
      <c r="H20" t="s">
        <v>19</v>
      </c>
      <c r="I20" t="s">
        <v>20</v>
      </c>
      <c r="J20" t="s">
        <v>21</v>
      </c>
      <c r="K20" s="6">
        <v>0.03</v>
      </c>
      <c r="L20" s="7">
        <f t="shared" si="1"/>
        <v>2E-3</v>
      </c>
      <c r="M20" s="7">
        <v>3.0000000000000001E-3</v>
      </c>
      <c r="N20">
        <v>6</v>
      </c>
      <c r="O20" s="8">
        <v>10.732823757657394</v>
      </c>
      <c r="P20" s="9">
        <v>10.732823757657394</v>
      </c>
      <c r="Q20" s="9">
        <v>10.732823757657394</v>
      </c>
      <c r="R20" s="9">
        <v>11.04856201020749</v>
      </c>
      <c r="S20" s="9">
        <v>11.364751027066461</v>
      </c>
      <c r="T20" s="9">
        <v>11.749173507902043</v>
      </c>
      <c r="U20" s="9">
        <v>12.850564325687124</v>
      </c>
      <c r="V20" s="9">
        <v>12.850564325687124</v>
      </c>
      <c r="W20" s="9">
        <v>12.850564325687124</v>
      </c>
      <c r="X20" s="9">
        <v>14.782637373051333</v>
      </c>
      <c r="Y20" s="9">
        <v>14.782637373051333</v>
      </c>
      <c r="Z20" s="9">
        <v>16.85024587052752</v>
      </c>
      <c r="AA20" s="9">
        <v>16.85024587052752</v>
      </c>
      <c r="AB20" s="9">
        <v>19.120701872341421</v>
      </c>
      <c r="AC20" s="9">
        <v>19.120701872341421</v>
      </c>
      <c r="AD20" s="9">
        <v>21.180732467605459</v>
      </c>
      <c r="AE20" s="9">
        <v>23.311209829410082</v>
      </c>
      <c r="AF20" s="9">
        <v>25.5191786344094</v>
      </c>
      <c r="AG20" s="9">
        <v>25.5191786344094</v>
      </c>
      <c r="AH20" s="9">
        <v>27.812388026922832</v>
      </c>
      <c r="AI20" s="9">
        <v>29.713125400067604</v>
      </c>
      <c r="AJ20" s="9">
        <v>3.0428788910505911</v>
      </c>
    </row>
    <row r="21" spans="1:36" x14ac:dyDescent="0.25">
      <c r="A21" t="s">
        <v>5411</v>
      </c>
      <c r="B21" t="s">
        <v>16</v>
      </c>
      <c r="C21" t="s">
        <v>17</v>
      </c>
      <c r="D21">
        <v>2800000</v>
      </c>
      <c r="E21">
        <v>2899999</v>
      </c>
      <c r="F21" t="s">
        <v>18</v>
      </c>
      <c r="G21" t="str">
        <f t="shared" si="0"/>
        <v>SPC</v>
      </c>
      <c r="H21" t="s">
        <v>19</v>
      </c>
      <c r="I21" t="s">
        <v>20</v>
      </c>
      <c r="J21" t="s">
        <v>21</v>
      </c>
      <c r="K21" s="6">
        <v>0.03</v>
      </c>
      <c r="L21" s="7">
        <f t="shared" si="1"/>
        <v>2E-3</v>
      </c>
      <c r="M21" s="7">
        <v>3.0000000000000001E-3</v>
      </c>
      <c r="N21">
        <v>6</v>
      </c>
      <c r="O21" s="8">
        <v>10.732823757657394</v>
      </c>
      <c r="P21" s="9">
        <v>10.732823757657394</v>
      </c>
      <c r="Q21" s="9">
        <v>10.732823757657394</v>
      </c>
      <c r="R21" s="9">
        <v>11.04856201020749</v>
      </c>
      <c r="S21" s="9">
        <v>11.364751027066461</v>
      </c>
      <c r="T21" s="9">
        <v>11.749173507902043</v>
      </c>
      <c r="U21" s="9">
        <v>12.850564325687124</v>
      </c>
      <c r="V21" s="9">
        <v>12.850564325687124</v>
      </c>
      <c r="W21" s="9">
        <v>12.850564325687124</v>
      </c>
      <c r="X21" s="9">
        <v>14.782637373051333</v>
      </c>
      <c r="Y21" s="9">
        <v>14.782637373051333</v>
      </c>
      <c r="Z21" s="9">
        <v>16.85024587052752</v>
      </c>
      <c r="AA21" s="9">
        <v>16.85024587052752</v>
      </c>
      <c r="AB21" s="9">
        <v>19.120701872341421</v>
      </c>
      <c r="AC21" s="9">
        <v>19.120701872341421</v>
      </c>
      <c r="AD21" s="9">
        <v>21.180732467605459</v>
      </c>
      <c r="AE21" s="9">
        <v>23.311209829410082</v>
      </c>
      <c r="AF21" s="9">
        <v>25.5191786344094</v>
      </c>
      <c r="AG21" s="9">
        <v>25.5191786344094</v>
      </c>
      <c r="AH21" s="9">
        <v>27.812388026922832</v>
      </c>
      <c r="AI21" s="9">
        <v>29.713125400067604</v>
      </c>
      <c r="AJ21" s="9">
        <v>3.0428788910505911</v>
      </c>
    </row>
    <row r="22" spans="1:36" x14ac:dyDescent="0.25">
      <c r="A22" t="s">
        <v>5411</v>
      </c>
      <c r="B22" t="s">
        <v>16</v>
      </c>
      <c r="C22" t="s">
        <v>17</v>
      </c>
      <c r="D22">
        <v>2900000</v>
      </c>
      <c r="E22">
        <v>2999999</v>
      </c>
      <c r="F22" t="s">
        <v>18</v>
      </c>
      <c r="G22" t="str">
        <f t="shared" si="0"/>
        <v>SPC</v>
      </c>
      <c r="H22" t="s">
        <v>19</v>
      </c>
      <c r="I22" t="s">
        <v>20</v>
      </c>
      <c r="J22" t="s">
        <v>21</v>
      </c>
      <c r="K22" s="6">
        <v>0.03</v>
      </c>
      <c r="L22" s="7">
        <f t="shared" si="1"/>
        <v>2E-3</v>
      </c>
      <c r="M22" s="7">
        <v>3.0000000000000001E-3</v>
      </c>
      <c r="N22">
        <v>6</v>
      </c>
      <c r="O22" s="8">
        <v>10.732823757657394</v>
      </c>
      <c r="P22" s="9">
        <v>10.732823757657394</v>
      </c>
      <c r="Q22" s="9">
        <v>10.732823757657394</v>
      </c>
      <c r="R22" s="9">
        <v>11.04856201020749</v>
      </c>
      <c r="S22" s="9">
        <v>11.364751027066461</v>
      </c>
      <c r="T22" s="9">
        <v>11.749173507902043</v>
      </c>
      <c r="U22" s="9">
        <v>12.850564325687124</v>
      </c>
      <c r="V22" s="9">
        <v>12.850564325687124</v>
      </c>
      <c r="W22" s="9">
        <v>12.850564325687124</v>
      </c>
      <c r="X22" s="9">
        <v>14.782637373051333</v>
      </c>
      <c r="Y22" s="9">
        <v>14.782637373051333</v>
      </c>
      <c r="Z22" s="9">
        <v>16.85024587052752</v>
      </c>
      <c r="AA22" s="9">
        <v>16.85024587052752</v>
      </c>
      <c r="AB22" s="9">
        <v>19.120701872341421</v>
      </c>
      <c r="AC22" s="9">
        <v>19.120701872341421</v>
      </c>
      <c r="AD22" s="9">
        <v>21.180732467605459</v>
      </c>
      <c r="AE22" s="9">
        <v>23.311209829410082</v>
      </c>
      <c r="AF22" s="9">
        <v>25.5191786344094</v>
      </c>
      <c r="AG22" s="9">
        <v>25.5191786344094</v>
      </c>
      <c r="AH22" s="9">
        <v>27.812388026922832</v>
      </c>
      <c r="AI22" s="9">
        <v>29.713125400067604</v>
      </c>
      <c r="AJ22" s="9">
        <v>3.0428788910505911</v>
      </c>
    </row>
    <row r="23" spans="1:36" x14ac:dyDescent="0.25">
      <c r="A23" t="s">
        <v>5411</v>
      </c>
      <c r="B23" t="s">
        <v>16</v>
      </c>
      <c r="C23" t="s">
        <v>17</v>
      </c>
      <c r="D23">
        <v>3000000</v>
      </c>
      <c r="E23">
        <v>3099999</v>
      </c>
      <c r="F23" t="s">
        <v>18</v>
      </c>
      <c r="G23" t="str">
        <f t="shared" si="0"/>
        <v>SPC</v>
      </c>
      <c r="H23" t="s">
        <v>19</v>
      </c>
      <c r="I23" t="s">
        <v>20</v>
      </c>
      <c r="J23" t="s">
        <v>21</v>
      </c>
      <c r="K23" s="6">
        <v>0.03</v>
      </c>
      <c r="L23" s="7">
        <f t="shared" si="1"/>
        <v>2E-3</v>
      </c>
      <c r="M23" s="7">
        <v>3.0000000000000001E-3</v>
      </c>
      <c r="N23">
        <v>6</v>
      </c>
      <c r="O23" s="8">
        <v>10.732823757657394</v>
      </c>
      <c r="P23" s="9">
        <v>10.732823757657394</v>
      </c>
      <c r="Q23" s="9">
        <v>10.732823757657394</v>
      </c>
      <c r="R23" s="9">
        <v>11.04856201020749</v>
      </c>
      <c r="S23" s="9">
        <v>11.364751027066461</v>
      </c>
      <c r="T23" s="9">
        <v>11.749173507902043</v>
      </c>
      <c r="U23" s="9">
        <v>12.850564325687124</v>
      </c>
      <c r="V23" s="9">
        <v>12.850564325687124</v>
      </c>
      <c r="W23" s="9">
        <v>12.850564325687124</v>
      </c>
      <c r="X23" s="9">
        <v>14.782637373051333</v>
      </c>
      <c r="Y23" s="9">
        <v>14.782637373051333</v>
      </c>
      <c r="Z23" s="9">
        <v>16.85024587052752</v>
      </c>
      <c r="AA23" s="9">
        <v>16.85024587052752</v>
      </c>
      <c r="AB23" s="9">
        <v>19.120701872341421</v>
      </c>
      <c r="AC23" s="9">
        <v>19.120701872341421</v>
      </c>
      <c r="AD23" s="9">
        <v>21.180732467605459</v>
      </c>
      <c r="AE23" s="9">
        <v>23.311209829410082</v>
      </c>
      <c r="AF23" s="9">
        <v>25.5191786344094</v>
      </c>
      <c r="AG23" s="9">
        <v>25.5191786344094</v>
      </c>
      <c r="AH23" s="9">
        <v>27.812388026922832</v>
      </c>
      <c r="AI23" s="9">
        <v>29.713125400067604</v>
      </c>
      <c r="AJ23" s="9">
        <v>3.0428788910505911</v>
      </c>
    </row>
    <row r="24" spans="1:36" x14ac:dyDescent="0.25">
      <c r="A24" t="s">
        <v>5411</v>
      </c>
      <c r="B24" t="s">
        <v>16</v>
      </c>
      <c r="C24" t="s">
        <v>17</v>
      </c>
      <c r="D24">
        <v>3100000</v>
      </c>
      <c r="E24">
        <v>3199999</v>
      </c>
      <c r="F24" t="s">
        <v>18</v>
      </c>
      <c r="G24" t="str">
        <f t="shared" si="0"/>
        <v>SPC</v>
      </c>
      <c r="H24" t="s">
        <v>19</v>
      </c>
      <c r="I24" t="s">
        <v>20</v>
      </c>
      <c r="J24" t="s">
        <v>21</v>
      </c>
      <c r="K24" s="6">
        <v>0.03</v>
      </c>
      <c r="L24" s="7">
        <f t="shared" si="1"/>
        <v>2E-3</v>
      </c>
      <c r="M24" s="7">
        <v>3.0000000000000001E-3</v>
      </c>
      <c r="N24">
        <v>6</v>
      </c>
      <c r="O24" s="8">
        <v>10.732823757657394</v>
      </c>
      <c r="P24" s="9">
        <v>10.732823757657394</v>
      </c>
      <c r="Q24" s="9">
        <v>10.732823757657394</v>
      </c>
      <c r="R24" s="9">
        <v>11.04856201020749</v>
      </c>
      <c r="S24" s="9">
        <v>11.364751027066461</v>
      </c>
      <c r="T24" s="9">
        <v>11.749173507902043</v>
      </c>
      <c r="U24" s="9">
        <v>12.850564325687124</v>
      </c>
      <c r="V24" s="9">
        <v>12.850564325687124</v>
      </c>
      <c r="W24" s="9">
        <v>12.850564325687124</v>
      </c>
      <c r="X24" s="9">
        <v>14.782637373051333</v>
      </c>
      <c r="Y24" s="9">
        <v>14.782637373051333</v>
      </c>
      <c r="Z24" s="9">
        <v>16.85024587052752</v>
      </c>
      <c r="AA24" s="9">
        <v>16.85024587052752</v>
      </c>
      <c r="AB24" s="9">
        <v>19.120701872341421</v>
      </c>
      <c r="AC24" s="9">
        <v>19.120701872341421</v>
      </c>
      <c r="AD24" s="9">
        <v>21.180732467605459</v>
      </c>
      <c r="AE24" s="9">
        <v>23.311209829410082</v>
      </c>
      <c r="AF24" s="9">
        <v>25.5191786344094</v>
      </c>
      <c r="AG24" s="9">
        <v>25.5191786344094</v>
      </c>
      <c r="AH24" s="9">
        <v>27.812388026922832</v>
      </c>
      <c r="AI24" s="9">
        <v>29.713125400067604</v>
      </c>
      <c r="AJ24" s="9">
        <v>3.0428788910505911</v>
      </c>
    </row>
    <row r="25" spans="1:36" x14ac:dyDescent="0.25">
      <c r="A25" t="s">
        <v>5411</v>
      </c>
      <c r="B25" t="s">
        <v>16</v>
      </c>
      <c r="C25" t="s">
        <v>17</v>
      </c>
      <c r="D25">
        <v>3200000</v>
      </c>
      <c r="E25">
        <v>3299999</v>
      </c>
      <c r="F25" t="s">
        <v>18</v>
      </c>
      <c r="G25" t="str">
        <f t="shared" si="0"/>
        <v>SPC</v>
      </c>
      <c r="H25" t="s">
        <v>19</v>
      </c>
      <c r="I25" t="s">
        <v>20</v>
      </c>
      <c r="J25" t="s">
        <v>21</v>
      </c>
      <c r="K25" s="6">
        <v>0.03</v>
      </c>
      <c r="L25" s="7">
        <f t="shared" si="1"/>
        <v>2E-3</v>
      </c>
      <c r="M25" s="7">
        <v>3.0000000000000001E-3</v>
      </c>
      <c r="N25">
        <v>6</v>
      </c>
      <c r="O25" s="8">
        <v>10.732823757657394</v>
      </c>
      <c r="P25" s="9">
        <v>10.732823757657394</v>
      </c>
      <c r="Q25" s="9">
        <v>10.732823757657394</v>
      </c>
      <c r="R25" s="9">
        <v>11.04856201020749</v>
      </c>
      <c r="S25" s="9">
        <v>11.364751027066461</v>
      </c>
      <c r="T25" s="9">
        <v>11.749173507902043</v>
      </c>
      <c r="U25" s="9">
        <v>12.850564325687124</v>
      </c>
      <c r="V25" s="9">
        <v>12.850564325687124</v>
      </c>
      <c r="W25" s="9">
        <v>12.850564325687124</v>
      </c>
      <c r="X25" s="9">
        <v>14.782637373051333</v>
      </c>
      <c r="Y25" s="9">
        <v>14.782637373051333</v>
      </c>
      <c r="Z25" s="9">
        <v>16.85024587052752</v>
      </c>
      <c r="AA25" s="9">
        <v>16.85024587052752</v>
      </c>
      <c r="AB25" s="9">
        <v>19.120701872341421</v>
      </c>
      <c r="AC25" s="9">
        <v>19.120701872341421</v>
      </c>
      <c r="AD25" s="9">
        <v>21.180732467605459</v>
      </c>
      <c r="AE25" s="9">
        <v>23.311209829410082</v>
      </c>
      <c r="AF25" s="9">
        <v>25.5191786344094</v>
      </c>
      <c r="AG25" s="9">
        <v>25.5191786344094</v>
      </c>
      <c r="AH25" s="9">
        <v>27.812388026922832</v>
      </c>
      <c r="AI25" s="9">
        <v>29.713125400067604</v>
      </c>
      <c r="AJ25" s="9">
        <v>3.0428788910505911</v>
      </c>
    </row>
    <row r="26" spans="1:36" x14ac:dyDescent="0.25">
      <c r="A26" t="s">
        <v>5411</v>
      </c>
      <c r="B26" t="s">
        <v>16</v>
      </c>
      <c r="C26" t="s">
        <v>17</v>
      </c>
      <c r="D26">
        <v>3300000</v>
      </c>
      <c r="E26">
        <v>3399999</v>
      </c>
      <c r="F26" t="s">
        <v>18</v>
      </c>
      <c r="G26" t="str">
        <f t="shared" si="0"/>
        <v>SPC</v>
      </c>
      <c r="H26" t="s">
        <v>19</v>
      </c>
      <c r="I26" t="s">
        <v>20</v>
      </c>
      <c r="J26" t="s">
        <v>21</v>
      </c>
      <c r="K26" s="6">
        <v>0.03</v>
      </c>
      <c r="L26" s="7">
        <f t="shared" si="1"/>
        <v>2E-3</v>
      </c>
      <c r="M26" s="7">
        <v>3.0000000000000001E-3</v>
      </c>
      <c r="N26">
        <v>6</v>
      </c>
      <c r="O26" s="8">
        <v>10.732823757657394</v>
      </c>
      <c r="P26" s="9">
        <v>10.732823757657394</v>
      </c>
      <c r="Q26" s="9">
        <v>10.732823757657394</v>
      </c>
      <c r="R26" s="9">
        <v>11.04856201020749</v>
      </c>
      <c r="S26" s="9">
        <v>11.364751027066461</v>
      </c>
      <c r="T26" s="9">
        <v>11.749173507902043</v>
      </c>
      <c r="U26" s="9">
        <v>12.850564325687124</v>
      </c>
      <c r="V26" s="9">
        <v>12.850564325687124</v>
      </c>
      <c r="W26" s="9">
        <v>12.850564325687124</v>
      </c>
      <c r="X26" s="9">
        <v>14.782637373051333</v>
      </c>
      <c r="Y26" s="9">
        <v>14.782637373051333</v>
      </c>
      <c r="Z26" s="9">
        <v>16.85024587052752</v>
      </c>
      <c r="AA26" s="9">
        <v>16.85024587052752</v>
      </c>
      <c r="AB26" s="9">
        <v>19.120701872341421</v>
      </c>
      <c r="AC26" s="9">
        <v>19.120701872341421</v>
      </c>
      <c r="AD26" s="9">
        <v>21.180732467605459</v>
      </c>
      <c r="AE26" s="9">
        <v>23.311209829410082</v>
      </c>
      <c r="AF26" s="9">
        <v>25.5191786344094</v>
      </c>
      <c r="AG26" s="9">
        <v>25.5191786344094</v>
      </c>
      <c r="AH26" s="9">
        <v>27.812388026922832</v>
      </c>
      <c r="AI26" s="9">
        <v>29.713125400067604</v>
      </c>
      <c r="AJ26" s="9">
        <v>3.0428788910505911</v>
      </c>
    </row>
    <row r="27" spans="1:36" x14ac:dyDescent="0.25">
      <c r="A27" t="s">
        <v>5411</v>
      </c>
      <c r="B27" t="s">
        <v>16</v>
      </c>
      <c r="C27" t="s">
        <v>17</v>
      </c>
      <c r="D27">
        <v>3400000</v>
      </c>
      <c r="E27">
        <v>3499999</v>
      </c>
      <c r="F27" t="s">
        <v>18</v>
      </c>
      <c r="G27" t="str">
        <f t="shared" si="0"/>
        <v>SPC</v>
      </c>
      <c r="H27" t="s">
        <v>19</v>
      </c>
      <c r="I27" t="s">
        <v>20</v>
      </c>
      <c r="J27" t="s">
        <v>21</v>
      </c>
      <c r="K27" s="6">
        <v>0.03</v>
      </c>
      <c r="L27" s="7">
        <f t="shared" si="1"/>
        <v>2E-3</v>
      </c>
      <c r="M27" s="7">
        <v>3.0000000000000001E-3</v>
      </c>
      <c r="N27">
        <v>6</v>
      </c>
      <c r="O27" s="8">
        <v>10.732823757657394</v>
      </c>
      <c r="P27" s="9">
        <v>10.732823757657394</v>
      </c>
      <c r="Q27" s="9">
        <v>10.732823757657394</v>
      </c>
      <c r="R27" s="9">
        <v>11.04856201020749</v>
      </c>
      <c r="S27" s="9">
        <v>11.364751027066461</v>
      </c>
      <c r="T27" s="9">
        <v>11.749173507902043</v>
      </c>
      <c r="U27" s="9">
        <v>12.850564325687124</v>
      </c>
      <c r="V27" s="9">
        <v>12.850564325687124</v>
      </c>
      <c r="W27" s="9">
        <v>12.850564325687124</v>
      </c>
      <c r="X27" s="9">
        <v>14.782637373051333</v>
      </c>
      <c r="Y27" s="9">
        <v>14.782637373051333</v>
      </c>
      <c r="Z27" s="9">
        <v>16.85024587052752</v>
      </c>
      <c r="AA27" s="9">
        <v>16.85024587052752</v>
      </c>
      <c r="AB27" s="9">
        <v>19.120701872341421</v>
      </c>
      <c r="AC27" s="9">
        <v>19.120701872341421</v>
      </c>
      <c r="AD27" s="9">
        <v>21.180732467605459</v>
      </c>
      <c r="AE27" s="9">
        <v>23.311209829410082</v>
      </c>
      <c r="AF27" s="9">
        <v>25.5191786344094</v>
      </c>
      <c r="AG27" s="9">
        <v>25.5191786344094</v>
      </c>
      <c r="AH27" s="9">
        <v>27.812388026922832</v>
      </c>
      <c r="AI27" s="9">
        <v>29.713125400067604</v>
      </c>
      <c r="AJ27" s="9">
        <v>3.0428788910505911</v>
      </c>
    </row>
    <row r="28" spans="1:36" x14ac:dyDescent="0.25">
      <c r="A28" t="s">
        <v>5411</v>
      </c>
      <c r="B28" t="s">
        <v>16</v>
      </c>
      <c r="C28" t="s">
        <v>17</v>
      </c>
      <c r="D28">
        <v>3500000</v>
      </c>
      <c r="E28">
        <v>3599999</v>
      </c>
      <c r="F28" t="s">
        <v>18</v>
      </c>
      <c r="G28" t="str">
        <f t="shared" si="0"/>
        <v>SPC</v>
      </c>
      <c r="H28" t="s">
        <v>19</v>
      </c>
      <c r="I28" t="s">
        <v>20</v>
      </c>
      <c r="J28" t="s">
        <v>21</v>
      </c>
      <c r="K28" s="6">
        <v>0.03</v>
      </c>
      <c r="L28" s="7">
        <f t="shared" si="1"/>
        <v>2E-3</v>
      </c>
      <c r="M28" s="7">
        <v>3.0000000000000001E-3</v>
      </c>
      <c r="N28">
        <v>6</v>
      </c>
      <c r="O28" s="8">
        <v>10.732823757657394</v>
      </c>
      <c r="P28" s="9">
        <v>10.732823757657394</v>
      </c>
      <c r="Q28" s="9">
        <v>10.732823757657394</v>
      </c>
      <c r="R28" s="9">
        <v>11.04856201020749</v>
      </c>
      <c r="S28" s="9">
        <v>11.364751027066461</v>
      </c>
      <c r="T28" s="9">
        <v>11.749173507902043</v>
      </c>
      <c r="U28" s="9">
        <v>12.850564325687124</v>
      </c>
      <c r="V28" s="9">
        <v>12.850564325687124</v>
      </c>
      <c r="W28" s="9">
        <v>12.850564325687124</v>
      </c>
      <c r="X28" s="9">
        <v>14.782637373051333</v>
      </c>
      <c r="Y28" s="9">
        <v>14.782637373051333</v>
      </c>
      <c r="Z28" s="9">
        <v>16.85024587052752</v>
      </c>
      <c r="AA28" s="9">
        <v>16.85024587052752</v>
      </c>
      <c r="AB28" s="9">
        <v>19.120701872341421</v>
      </c>
      <c r="AC28" s="9">
        <v>19.120701872341421</v>
      </c>
      <c r="AD28" s="9">
        <v>21.180732467605459</v>
      </c>
      <c r="AE28" s="9">
        <v>23.311209829410082</v>
      </c>
      <c r="AF28" s="9">
        <v>25.5191786344094</v>
      </c>
      <c r="AG28" s="9">
        <v>25.5191786344094</v>
      </c>
      <c r="AH28" s="9">
        <v>27.812388026922832</v>
      </c>
      <c r="AI28" s="9">
        <v>29.713125400067604</v>
      </c>
      <c r="AJ28" s="9">
        <v>3.0428788910505911</v>
      </c>
    </row>
    <row r="29" spans="1:36" x14ac:dyDescent="0.25">
      <c r="A29" t="s">
        <v>5411</v>
      </c>
      <c r="B29" t="s">
        <v>16</v>
      </c>
      <c r="C29" t="s">
        <v>17</v>
      </c>
      <c r="D29">
        <v>3600000</v>
      </c>
      <c r="E29">
        <v>3699999</v>
      </c>
      <c r="F29" t="s">
        <v>18</v>
      </c>
      <c r="G29" t="str">
        <f t="shared" si="0"/>
        <v>SPC</v>
      </c>
      <c r="H29" t="s">
        <v>19</v>
      </c>
      <c r="I29" t="s">
        <v>20</v>
      </c>
      <c r="J29" t="s">
        <v>21</v>
      </c>
      <c r="K29" s="6">
        <v>0.03</v>
      </c>
      <c r="L29" s="7">
        <f t="shared" si="1"/>
        <v>2E-3</v>
      </c>
      <c r="M29" s="7">
        <v>3.0000000000000001E-3</v>
      </c>
      <c r="N29">
        <v>6</v>
      </c>
      <c r="O29" s="8">
        <v>10.732823757657394</v>
      </c>
      <c r="P29" s="9">
        <v>10.732823757657394</v>
      </c>
      <c r="Q29" s="9">
        <v>10.732823757657394</v>
      </c>
      <c r="R29" s="9">
        <v>11.04856201020749</v>
      </c>
      <c r="S29" s="9">
        <v>11.364751027066461</v>
      </c>
      <c r="T29" s="9">
        <v>11.749173507902043</v>
      </c>
      <c r="U29" s="9">
        <v>12.850564325687124</v>
      </c>
      <c r="V29" s="9">
        <v>12.850564325687124</v>
      </c>
      <c r="W29" s="9">
        <v>12.850564325687124</v>
      </c>
      <c r="X29" s="9">
        <v>14.782637373051333</v>
      </c>
      <c r="Y29" s="9">
        <v>14.782637373051333</v>
      </c>
      <c r="Z29" s="9">
        <v>16.85024587052752</v>
      </c>
      <c r="AA29" s="9">
        <v>16.85024587052752</v>
      </c>
      <c r="AB29" s="9">
        <v>19.120701872341421</v>
      </c>
      <c r="AC29" s="9">
        <v>19.120701872341421</v>
      </c>
      <c r="AD29" s="9">
        <v>21.180732467605459</v>
      </c>
      <c r="AE29" s="9">
        <v>23.311209829410082</v>
      </c>
      <c r="AF29" s="9">
        <v>25.5191786344094</v>
      </c>
      <c r="AG29" s="9">
        <v>25.5191786344094</v>
      </c>
      <c r="AH29" s="9">
        <v>27.812388026922832</v>
      </c>
      <c r="AI29" s="9">
        <v>29.713125400067604</v>
      </c>
      <c r="AJ29" s="9">
        <v>3.0428788910505911</v>
      </c>
    </row>
    <row r="30" spans="1:36" x14ac:dyDescent="0.25">
      <c r="A30" t="s">
        <v>5411</v>
      </c>
      <c r="B30" t="s">
        <v>16</v>
      </c>
      <c r="C30" t="s">
        <v>17</v>
      </c>
      <c r="D30">
        <v>3700000</v>
      </c>
      <c r="E30">
        <v>3799999</v>
      </c>
      <c r="F30" t="s">
        <v>18</v>
      </c>
      <c r="G30" t="str">
        <f t="shared" si="0"/>
        <v>SPC</v>
      </c>
      <c r="H30" t="s">
        <v>19</v>
      </c>
      <c r="I30" t="s">
        <v>20</v>
      </c>
      <c r="J30" t="s">
        <v>21</v>
      </c>
      <c r="K30" s="6">
        <v>0.03</v>
      </c>
      <c r="L30" s="7">
        <f t="shared" si="1"/>
        <v>2E-3</v>
      </c>
      <c r="M30" s="7">
        <v>3.0000000000000001E-3</v>
      </c>
      <c r="N30">
        <v>6</v>
      </c>
      <c r="O30" s="8">
        <v>10.732823757657394</v>
      </c>
      <c r="P30" s="9">
        <v>10.732823757657394</v>
      </c>
      <c r="Q30" s="9">
        <v>10.732823757657394</v>
      </c>
      <c r="R30" s="9">
        <v>11.04856201020749</v>
      </c>
      <c r="S30" s="9">
        <v>11.364751027066461</v>
      </c>
      <c r="T30" s="9">
        <v>11.749173507902043</v>
      </c>
      <c r="U30" s="9">
        <v>12.850564325687124</v>
      </c>
      <c r="V30" s="9">
        <v>12.850564325687124</v>
      </c>
      <c r="W30" s="9">
        <v>12.850564325687124</v>
      </c>
      <c r="X30" s="9">
        <v>14.782637373051333</v>
      </c>
      <c r="Y30" s="9">
        <v>14.782637373051333</v>
      </c>
      <c r="Z30" s="9">
        <v>16.85024587052752</v>
      </c>
      <c r="AA30" s="9">
        <v>16.85024587052752</v>
      </c>
      <c r="AB30" s="9">
        <v>19.120701872341421</v>
      </c>
      <c r="AC30" s="9">
        <v>19.120701872341421</v>
      </c>
      <c r="AD30" s="9">
        <v>21.180732467605459</v>
      </c>
      <c r="AE30" s="9">
        <v>23.311209829410082</v>
      </c>
      <c r="AF30" s="9">
        <v>25.5191786344094</v>
      </c>
      <c r="AG30" s="9">
        <v>25.5191786344094</v>
      </c>
      <c r="AH30" s="9">
        <v>27.812388026922832</v>
      </c>
      <c r="AI30" s="9">
        <v>29.713125400067604</v>
      </c>
      <c r="AJ30" s="9">
        <v>3.0428788910505911</v>
      </c>
    </row>
    <row r="31" spans="1:36" x14ac:dyDescent="0.25">
      <c r="A31" t="s">
        <v>5411</v>
      </c>
      <c r="B31" t="s">
        <v>16</v>
      </c>
      <c r="C31" t="s">
        <v>17</v>
      </c>
      <c r="D31">
        <v>3800000</v>
      </c>
      <c r="E31">
        <v>3899999</v>
      </c>
      <c r="F31" t="s">
        <v>18</v>
      </c>
      <c r="G31" t="str">
        <f t="shared" si="0"/>
        <v>SPC</v>
      </c>
      <c r="H31" t="s">
        <v>19</v>
      </c>
      <c r="I31" t="s">
        <v>20</v>
      </c>
      <c r="J31" t="s">
        <v>21</v>
      </c>
      <c r="K31" s="6">
        <v>0.03</v>
      </c>
      <c r="L31" s="7">
        <f t="shared" si="1"/>
        <v>2E-3</v>
      </c>
      <c r="M31" s="7">
        <v>3.0000000000000001E-3</v>
      </c>
      <c r="N31">
        <v>6</v>
      </c>
      <c r="O31" s="8">
        <v>10.732823757657394</v>
      </c>
      <c r="P31" s="9">
        <v>10.732823757657394</v>
      </c>
      <c r="Q31" s="9">
        <v>10.732823757657394</v>
      </c>
      <c r="R31" s="9">
        <v>11.04856201020749</v>
      </c>
      <c r="S31" s="9">
        <v>11.364751027066461</v>
      </c>
      <c r="T31" s="9">
        <v>11.749173507902043</v>
      </c>
      <c r="U31" s="9">
        <v>12.850564325687124</v>
      </c>
      <c r="V31" s="9">
        <v>12.850564325687124</v>
      </c>
      <c r="W31" s="9">
        <v>12.850564325687124</v>
      </c>
      <c r="X31" s="9">
        <v>14.782637373051333</v>
      </c>
      <c r="Y31" s="9">
        <v>14.782637373051333</v>
      </c>
      <c r="Z31" s="9">
        <v>16.85024587052752</v>
      </c>
      <c r="AA31" s="9">
        <v>16.85024587052752</v>
      </c>
      <c r="AB31" s="9">
        <v>19.120701872341421</v>
      </c>
      <c r="AC31" s="9">
        <v>19.120701872341421</v>
      </c>
      <c r="AD31" s="9">
        <v>21.180732467605459</v>
      </c>
      <c r="AE31" s="9">
        <v>23.311209829410082</v>
      </c>
      <c r="AF31" s="9">
        <v>25.5191786344094</v>
      </c>
      <c r="AG31" s="9">
        <v>25.5191786344094</v>
      </c>
      <c r="AH31" s="9">
        <v>27.812388026922832</v>
      </c>
      <c r="AI31" s="9">
        <v>29.713125400067604</v>
      </c>
      <c r="AJ31" s="9">
        <v>3.0428788910505911</v>
      </c>
    </row>
    <row r="32" spans="1:36" x14ac:dyDescent="0.25">
      <c r="A32" t="s">
        <v>5411</v>
      </c>
      <c r="B32" t="s">
        <v>16</v>
      </c>
      <c r="C32" t="s">
        <v>17</v>
      </c>
      <c r="D32">
        <v>3900000</v>
      </c>
      <c r="E32">
        <v>3999999</v>
      </c>
      <c r="F32" t="s">
        <v>18</v>
      </c>
      <c r="G32" t="str">
        <f t="shared" si="0"/>
        <v>SPC</v>
      </c>
      <c r="H32" t="s">
        <v>19</v>
      </c>
      <c r="I32" t="s">
        <v>20</v>
      </c>
      <c r="J32" t="s">
        <v>21</v>
      </c>
      <c r="K32" s="6">
        <v>0.03</v>
      </c>
      <c r="L32" s="7">
        <f t="shared" si="1"/>
        <v>2E-3</v>
      </c>
      <c r="M32" s="7">
        <v>3.0000000000000001E-3</v>
      </c>
      <c r="N32">
        <v>6</v>
      </c>
      <c r="O32" s="8">
        <v>10.732823757657394</v>
      </c>
      <c r="P32" s="9">
        <v>10.732823757657394</v>
      </c>
      <c r="Q32" s="9">
        <v>10.732823757657394</v>
      </c>
      <c r="R32" s="9">
        <v>11.04856201020749</v>
      </c>
      <c r="S32" s="9">
        <v>11.364751027066461</v>
      </c>
      <c r="T32" s="9">
        <v>11.749173507902043</v>
      </c>
      <c r="U32" s="9">
        <v>12.850564325687124</v>
      </c>
      <c r="V32" s="9">
        <v>12.850564325687124</v>
      </c>
      <c r="W32" s="9">
        <v>12.850564325687124</v>
      </c>
      <c r="X32" s="9">
        <v>14.782637373051333</v>
      </c>
      <c r="Y32" s="9">
        <v>14.782637373051333</v>
      </c>
      <c r="Z32" s="9">
        <v>16.85024587052752</v>
      </c>
      <c r="AA32" s="9">
        <v>16.85024587052752</v>
      </c>
      <c r="AB32" s="9">
        <v>19.120701872341421</v>
      </c>
      <c r="AC32" s="9">
        <v>19.120701872341421</v>
      </c>
      <c r="AD32" s="9">
        <v>21.180732467605459</v>
      </c>
      <c r="AE32" s="9">
        <v>23.311209829410082</v>
      </c>
      <c r="AF32" s="9">
        <v>25.5191786344094</v>
      </c>
      <c r="AG32" s="9">
        <v>25.5191786344094</v>
      </c>
      <c r="AH32" s="9">
        <v>27.812388026922832</v>
      </c>
      <c r="AI32" s="9">
        <v>29.713125400067604</v>
      </c>
      <c r="AJ32" s="9">
        <v>3.0428788910505911</v>
      </c>
    </row>
    <row r="33" spans="1:36" x14ac:dyDescent="0.25">
      <c r="A33" t="s">
        <v>5411</v>
      </c>
      <c r="B33" t="s">
        <v>16</v>
      </c>
      <c r="C33" t="s">
        <v>17</v>
      </c>
      <c r="D33">
        <v>4000000</v>
      </c>
      <c r="E33">
        <v>4099999</v>
      </c>
      <c r="F33" t="s">
        <v>18</v>
      </c>
      <c r="G33" t="str">
        <f t="shared" si="0"/>
        <v>SPC</v>
      </c>
      <c r="H33" t="s">
        <v>19</v>
      </c>
      <c r="I33" t="s">
        <v>20</v>
      </c>
      <c r="J33" t="s">
        <v>21</v>
      </c>
      <c r="K33" s="6">
        <v>0.03</v>
      </c>
      <c r="L33" s="7">
        <f t="shared" si="1"/>
        <v>2E-3</v>
      </c>
      <c r="M33" s="7">
        <v>3.0000000000000001E-3</v>
      </c>
      <c r="N33">
        <v>6</v>
      </c>
      <c r="O33" s="8">
        <v>10.732823757657394</v>
      </c>
      <c r="P33" s="9">
        <v>10.732823757657394</v>
      </c>
      <c r="Q33" s="9">
        <v>10.732823757657394</v>
      </c>
      <c r="R33" s="9">
        <v>11.04856201020749</v>
      </c>
      <c r="S33" s="9">
        <v>11.364751027066461</v>
      </c>
      <c r="T33" s="9">
        <v>11.749173507902043</v>
      </c>
      <c r="U33" s="9">
        <v>12.850564325687124</v>
      </c>
      <c r="V33" s="9">
        <v>12.850564325687124</v>
      </c>
      <c r="W33" s="9">
        <v>12.850564325687124</v>
      </c>
      <c r="X33" s="9">
        <v>14.782637373051333</v>
      </c>
      <c r="Y33" s="9">
        <v>14.782637373051333</v>
      </c>
      <c r="Z33" s="9">
        <v>16.85024587052752</v>
      </c>
      <c r="AA33" s="9">
        <v>16.85024587052752</v>
      </c>
      <c r="AB33" s="9">
        <v>19.120701872341421</v>
      </c>
      <c r="AC33" s="9">
        <v>19.120701872341421</v>
      </c>
      <c r="AD33" s="9">
        <v>21.180732467605459</v>
      </c>
      <c r="AE33" s="9">
        <v>23.311209829410082</v>
      </c>
      <c r="AF33" s="9">
        <v>25.5191786344094</v>
      </c>
      <c r="AG33" s="9">
        <v>25.5191786344094</v>
      </c>
      <c r="AH33" s="9">
        <v>27.812388026922832</v>
      </c>
      <c r="AI33" s="9">
        <v>29.713125400067604</v>
      </c>
      <c r="AJ33" s="9">
        <v>3.0428788910505911</v>
      </c>
    </row>
    <row r="34" spans="1:36" x14ac:dyDescent="0.25">
      <c r="A34" t="s">
        <v>5411</v>
      </c>
      <c r="B34" t="s">
        <v>16</v>
      </c>
      <c r="C34" t="s">
        <v>17</v>
      </c>
      <c r="D34">
        <v>4100000</v>
      </c>
      <c r="E34">
        <v>4199999</v>
      </c>
      <c r="F34" t="s">
        <v>18</v>
      </c>
      <c r="G34" t="str">
        <f t="shared" si="0"/>
        <v>SPC</v>
      </c>
      <c r="H34" t="s">
        <v>19</v>
      </c>
      <c r="I34" t="s">
        <v>20</v>
      </c>
      <c r="J34" t="s">
        <v>21</v>
      </c>
      <c r="K34" s="6">
        <v>0.03</v>
      </c>
      <c r="L34" s="7">
        <f t="shared" si="1"/>
        <v>2E-3</v>
      </c>
      <c r="M34" s="7">
        <v>3.0000000000000001E-3</v>
      </c>
      <c r="N34">
        <v>6</v>
      </c>
      <c r="O34" s="8">
        <v>10.732823757657394</v>
      </c>
      <c r="P34" s="9">
        <v>10.732823757657394</v>
      </c>
      <c r="Q34" s="9">
        <v>10.732823757657394</v>
      </c>
      <c r="R34" s="9">
        <v>11.04856201020749</v>
      </c>
      <c r="S34" s="9">
        <v>11.364751027066461</v>
      </c>
      <c r="T34" s="9">
        <v>11.749173507902043</v>
      </c>
      <c r="U34" s="9">
        <v>12.850564325687124</v>
      </c>
      <c r="V34" s="9">
        <v>12.850564325687124</v>
      </c>
      <c r="W34" s="9">
        <v>12.850564325687124</v>
      </c>
      <c r="X34" s="9">
        <v>14.782637373051333</v>
      </c>
      <c r="Y34" s="9">
        <v>14.782637373051333</v>
      </c>
      <c r="Z34" s="9">
        <v>16.85024587052752</v>
      </c>
      <c r="AA34" s="9">
        <v>16.85024587052752</v>
      </c>
      <c r="AB34" s="9">
        <v>19.120701872341421</v>
      </c>
      <c r="AC34" s="9">
        <v>19.120701872341421</v>
      </c>
      <c r="AD34" s="9">
        <v>21.180732467605459</v>
      </c>
      <c r="AE34" s="9">
        <v>23.311209829410082</v>
      </c>
      <c r="AF34" s="9">
        <v>25.5191786344094</v>
      </c>
      <c r="AG34" s="9">
        <v>25.5191786344094</v>
      </c>
      <c r="AH34" s="9">
        <v>27.812388026922832</v>
      </c>
      <c r="AI34" s="9">
        <v>29.713125400067604</v>
      </c>
      <c r="AJ34" s="9">
        <v>3.0428788910505911</v>
      </c>
    </row>
    <row r="35" spans="1:36" x14ac:dyDescent="0.25">
      <c r="A35" t="s">
        <v>5411</v>
      </c>
      <c r="B35" t="s">
        <v>16</v>
      </c>
      <c r="C35" t="s">
        <v>17</v>
      </c>
      <c r="D35">
        <v>4200000</v>
      </c>
      <c r="E35">
        <v>4299999</v>
      </c>
      <c r="F35" t="s">
        <v>18</v>
      </c>
      <c r="G35" t="str">
        <f t="shared" si="0"/>
        <v>SPC</v>
      </c>
      <c r="H35" t="s">
        <v>19</v>
      </c>
      <c r="I35" t="s">
        <v>20</v>
      </c>
      <c r="J35" t="s">
        <v>21</v>
      </c>
      <c r="K35" s="6">
        <v>0.03</v>
      </c>
      <c r="L35" s="7">
        <f t="shared" si="1"/>
        <v>2E-3</v>
      </c>
      <c r="M35" s="7">
        <v>3.0000000000000001E-3</v>
      </c>
      <c r="N35">
        <v>6</v>
      </c>
      <c r="O35" s="8">
        <v>10.732823757657394</v>
      </c>
      <c r="P35" s="9">
        <v>10.732823757657394</v>
      </c>
      <c r="Q35" s="9">
        <v>10.732823757657394</v>
      </c>
      <c r="R35" s="9">
        <v>11.04856201020749</v>
      </c>
      <c r="S35" s="9">
        <v>11.364751027066461</v>
      </c>
      <c r="T35" s="9">
        <v>11.749173507902043</v>
      </c>
      <c r="U35" s="9">
        <v>12.850564325687124</v>
      </c>
      <c r="V35" s="9">
        <v>12.850564325687124</v>
      </c>
      <c r="W35" s="9">
        <v>12.850564325687124</v>
      </c>
      <c r="X35" s="9">
        <v>14.782637373051333</v>
      </c>
      <c r="Y35" s="9">
        <v>14.782637373051333</v>
      </c>
      <c r="Z35" s="9">
        <v>16.85024587052752</v>
      </c>
      <c r="AA35" s="9">
        <v>16.85024587052752</v>
      </c>
      <c r="AB35" s="9">
        <v>19.120701872341421</v>
      </c>
      <c r="AC35" s="9">
        <v>19.120701872341421</v>
      </c>
      <c r="AD35" s="9">
        <v>21.180732467605459</v>
      </c>
      <c r="AE35" s="9">
        <v>23.311209829410082</v>
      </c>
      <c r="AF35" s="9">
        <v>25.5191786344094</v>
      </c>
      <c r="AG35" s="9">
        <v>25.5191786344094</v>
      </c>
      <c r="AH35" s="9">
        <v>27.812388026922832</v>
      </c>
      <c r="AI35" s="9">
        <v>29.713125400067604</v>
      </c>
      <c r="AJ35" s="9">
        <v>3.0428788910505911</v>
      </c>
    </row>
    <row r="36" spans="1:36" x14ac:dyDescent="0.25">
      <c r="A36" t="s">
        <v>5411</v>
      </c>
      <c r="B36" t="s">
        <v>16</v>
      </c>
      <c r="C36" t="s">
        <v>17</v>
      </c>
      <c r="D36">
        <v>4300000</v>
      </c>
      <c r="E36">
        <v>4399999</v>
      </c>
      <c r="F36" t="s">
        <v>18</v>
      </c>
      <c r="G36" t="str">
        <f t="shared" si="0"/>
        <v>SPC</v>
      </c>
      <c r="H36" t="s">
        <v>19</v>
      </c>
      <c r="I36" t="s">
        <v>20</v>
      </c>
      <c r="J36" t="s">
        <v>21</v>
      </c>
      <c r="K36" s="6">
        <v>0.03</v>
      </c>
      <c r="L36" s="7">
        <f t="shared" si="1"/>
        <v>2E-3</v>
      </c>
      <c r="M36" s="7">
        <v>3.0000000000000001E-3</v>
      </c>
      <c r="N36">
        <v>6</v>
      </c>
      <c r="O36" s="8">
        <v>10.732823757657394</v>
      </c>
      <c r="P36" s="9">
        <v>10.732823757657394</v>
      </c>
      <c r="Q36" s="9">
        <v>10.732823757657394</v>
      </c>
      <c r="R36" s="9">
        <v>11.04856201020749</v>
      </c>
      <c r="S36" s="9">
        <v>11.364751027066461</v>
      </c>
      <c r="T36" s="9">
        <v>11.749173507902043</v>
      </c>
      <c r="U36" s="9">
        <v>12.850564325687124</v>
      </c>
      <c r="V36" s="9">
        <v>12.850564325687124</v>
      </c>
      <c r="W36" s="9">
        <v>12.850564325687124</v>
      </c>
      <c r="X36" s="9">
        <v>14.782637373051333</v>
      </c>
      <c r="Y36" s="9">
        <v>14.782637373051333</v>
      </c>
      <c r="Z36" s="9">
        <v>16.85024587052752</v>
      </c>
      <c r="AA36" s="9">
        <v>16.85024587052752</v>
      </c>
      <c r="AB36" s="9">
        <v>19.120701872341421</v>
      </c>
      <c r="AC36" s="9">
        <v>19.120701872341421</v>
      </c>
      <c r="AD36" s="9">
        <v>21.180732467605459</v>
      </c>
      <c r="AE36" s="9">
        <v>23.311209829410082</v>
      </c>
      <c r="AF36" s="9">
        <v>25.5191786344094</v>
      </c>
      <c r="AG36" s="9">
        <v>25.5191786344094</v>
      </c>
      <c r="AH36" s="9">
        <v>27.812388026922832</v>
      </c>
      <c r="AI36" s="9">
        <v>29.713125400067604</v>
      </c>
      <c r="AJ36" s="9">
        <v>3.0428788910505911</v>
      </c>
    </row>
    <row r="37" spans="1:36" x14ac:dyDescent="0.25">
      <c r="A37" t="s">
        <v>5411</v>
      </c>
      <c r="B37" t="s">
        <v>16</v>
      </c>
      <c r="C37" t="s">
        <v>17</v>
      </c>
      <c r="D37">
        <v>4400000</v>
      </c>
      <c r="E37">
        <v>4499999</v>
      </c>
      <c r="F37" t="s">
        <v>18</v>
      </c>
      <c r="G37" t="str">
        <f t="shared" si="0"/>
        <v>SPC</v>
      </c>
      <c r="H37" t="s">
        <v>19</v>
      </c>
      <c r="I37" t="s">
        <v>20</v>
      </c>
      <c r="J37" t="s">
        <v>21</v>
      </c>
      <c r="K37" s="6">
        <v>0.03</v>
      </c>
      <c r="L37" s="7">
        <f t="shared" si="1"/>
        <v>2E-3</v>
      </c>
      <c r="M37" s="7">
        <v>3.0000000000000001E-3</v>
      </c>
      <c r="N37">
        <v>6</v>
      </c>
      <c r="O37" s="8">
        <v>10.732823757657394</v>
      </c>
      <c r="P37" s="9">
        <v>10.732823757657394</v>
      </c>
      <c r="Q37" s="9">
        <v>10.732823757657394</v>
      </c>
      <c r="R37" s="9">
        <v>11.04856201020749</v>
      </c>
      <c r="S37" s="9">
        <v>11.364751027066461</v>
      </c>
      <c r="T37" s="9">
        <v>11.749173507902043</v>
      </c>
      <c r="U37" s="9">
        <v>12.850564325687124</v>
      </c>
      <c r="V37" s="9">
        <v>12.850564325687124</v>
      </c>
      <c r="W37" s="9">
        <v>12.850564325687124</v>
      </c>
      <c r="X37" s="9">
        <v>14.782637373051333</v>
      </c>
      <c r="Y37" s="9">
        <v>14.782637373051333</v>
      </c>
      <c r="Z37" s="9">
        <v>16.85024587052752</v>
      </c>
      <c r="AA37" s="9">
        <v>16.85024587052752</v>
      </c>
      <c r="AB37" s="9">
        <v>19.120701872341421</v>
      </c>
      <c r="AC37" s="9">
        <v>19.120701872341421</v>
      </c>
      <c r="AD37" s="9">
        <v>21.180732467605459</v>
      </c>
      <c r="AE37" s="9">
        <v>23.311209829410082</v>
      </c>
      <c r="AF37" s="9">
        <v>25.5191786344094</v>
      </c>
      <c r="AG37" s="9">
        <v>25.5191786344094</v>
      </c>
      <c r="AH37" s="9">
        <v>27.812388026922832</v>
      </c>
      <c r="AI37" s="9">
        <v>29.713125400067604</v>
      </c>
      <c r="AJ37" s="9">
        <v>3.0428788910505911</v>
      </c>
    </row>
    <row r="38" spans="1:36" x14ac:dyDescent="0.25">
      <c r="A38" t="s">
        <v>5411</v>
      </c>
      <c r="B38" t="s">
        <v>16</v>
      </c>
      <c r="C38" t="s">
        <v>17</v>
      </c>
      <c r="D38">
        <v>4500000</v>
      </c>
      <c r="E38">
        <v>4599999</v>
      </c>
      <c r="F38" t="s">
        <v>18</v>
      </c>
      <c r="G38" t="str">
        <f t="shared" si="0"/>
        <v>SPC</v>
      </c>
      <c r="H38" t="s">
        <v>19</v>
      </c>
      <c r="I38" t="s">
        <v>20</v>
      </c>
      <c r="J38" t="s">
        <v>21</v>
      </c>
      <c r="K38" s="6">
        <v>0.03</v>
      </c>
      <c r="L38" s="7">
        <f t="shared" si="1"/>
        <v>2E-3</v>
      </c>
      <c r="M38" s="7">
        <v>3.0000000000000001E-3</v>
      </c>
      <c r="N38">
        <v>6</v>
      </c>
      <c r="O38" s="8">
        <v>10.732823757657394</v>
      </c>
      <c r="P38" s="9">
        <v>10.732823757657394</v>
      </c>
      <c r="Q38" s="9">
        <v>10.732823757657394</v>
      </c>
      <c r="R38" s="9">
        <v>11.04856201020749</v>
      </c>
      <c r="S38" s="9">
        <v>11.364751027066461</v>
      </c>
      <c r="T38" s="9">
        <v>11.749173507902043</v>
      </c>
      <c r="U38" s="9">
        <v>12.850564325687124</v>
      </c>
      <c r="V38" s="9">
        <v>12.850564325687124</v>
      </c>
      <c r="W38" s="9">
        <v>12.850564325687124</v>
      </c>
      <c r="X38" s="9">
        <v>14.782637373051333</v>
      </c>
      <c r="Y38" s="9">
        <v>14.782637373051333</v>
      </c>
      <c r="Z38" s="9">
        <v>16.85024587052752</v>
      </c>
      <c r="AA38" s="9">
        <v>16.85024587052752</v>
      </c>
      <c r="AB38" s="9">
        <v>19.120701872341421</v>
      </c>
      <c r="AC38" s="9">
        <v>19.120701872341421</v>
      </c>
      <c r="AD38" s="9">
        <v>21.180732467605459</v>
      </c>
      <c r="AE38" s="9">
        <v>23.311209829410082</v>
      </c>
      <c r="AF38" s="9">
        <v>25.5191786344094</v>
      </c>
      <c r="AG38" s="9">
        <v>25.5191786344094</v>
      </c>
      <c r="AH38" s="9">
        <v>27.812388026922832</v>
      </c>
      <c r="AI38" s="9">
        <v>29.713125400067604</v>
      </c>
      <c r="AJ38" s="9">
        <v>3.0428788910505911</v>
      </c>
    </row>
    <row r="39" spans="1:36" x14ac:dyDescent="0.25">
      <c r="A39" t="s">
        <v>5411</v>
      </c>
      <c r="B39" t="s">
        <v>16</v>
      </c>
      <c r="C39" t="s">
        <v>17</v>
      </c>
      <c r="D39">
        <v>4600000</v>
      </c>
      <c r="E39">
        <v>4699999</v>
      </c>
      <c r="F39" t="s">
        <v>18</v>
      </c>
      <c r="G39" t="str">
        <f t="shared" si="0"/>
        <v>SPC</v>
      </c>
      <c r="H39" t="s">
        <v>19</v>
      </c>
      <c r="I39" t="s">
        <v>20</v>
      </c>
      <c r="J39" t="s">
        <v>21</v>
      </c>
      <c r="K39" s="6">
        <v>0.03</v>
      </c>
      <c r="L39" s="7">
        <f t="shared" si="1"/>
        <v>2E-3</v>
      </c>
      <c r="M39" s="7">
        <v>3.0000000000000001E-3</v>
      </c>
      <c r="N39">
        <v>6</v>
      </c>
      <c r="O39" s="8">
        <v>10.732823757657394</v>
      </c>
      <c r="P39" s="9">
        <v>10.732823757657394</v>
      </c>
      <c r="Q39" s="9">
        <v>10.732823757657394</v>
      </c>
      <c r="R39" s="9">
        <v>11.04856201020749</v>
      </c>
      <c r="S39" s="9">
        <v>11.364751027066461</v>
      </c>
      <c r="T39" s="9">
        <v>11.749173507902043</v>
      </c>
      <c r="U39" s="9">
        <v>12.850564325687124</v>
      </c>
      <c r="V39" s="9">
        <v>12.850564325687124</v>
      </c>
      <c r="W39" s="9">
        <v>12.850564325687124</v>
      </c>
      <c r="X39" s="9">
        <v>14.782637373051333</v>
      </c>
      <c r="Y39" s="9">
        <v>14.782637373051333</v>
      </c>
      <c r="Z39" s="9">
        <v>16.85024587052752</v>
      </c>
      <c r="AA39" s="9">
        <v>16.85024587052752</v>
      </c>
      <c r="AB39" s="9">
        <v>19.120701872341421</v>
      </c>
      <c r="AC39" s="9">
        <v>19.120701872341421</v>
      </c>
      <c r="AD39" s="9">
        <v>21.180732467605459</v>
      </c>
      <c r="AE39" s="9">
        <v>23.311209829410082</v>
      </c>
      <c r="AF39" s="9">
        <v>25.5191786344094</v>
      </c>
      <c r="AG39" s="9">
        <v>25.5191786344094</v>
      </c>
      <c r="AH39" s="9">
        <v>27.812388026922832</v>
      </c>
      <c r="AI39" s="9">
        <v>29.713125400067604</v>
      </c>
      <c r="AJ39" s="9">
        <v>3.0428788910505911</v>
      </c>
    </row>
    <row r="40" spans="1:36" x14ac:dyDescent="0.25">
      <c r="A40" t="s">
        <v>5411</v>
      </c>
      <c r="B40" t="s">
        <v>16</v>
      </c>
      <c r="C40" t="s">
        <v>17</v>
      </c>
      <c r="D40">
        <v>4700000</v>
      </c>
      <c r="E40">
        <v>4799999</v>
      </c>
      <c r="F40" t="s">
        <v>18</v>
      </c>
      <c r="G40" t="str">
        <f t="shared" si="0"/>
        <v>SPC</v>
      </c>
      <c r="H40" t="s">
        <v>19</v>
      </c>
      <c r="I40" t="s">
        <v>20</v>
      </c>
      <c r="J40" t="s">
        <v>21</v>
      </c>
      <c r="K40" s="6">
        <v>0.03</v>
      </c>
      <c r="L40" s="7">
        <f t="shared" si="1"/>
        <v>2E-3</v>
      </c>
      <c r="M40" s="7">
        <v>3.0000000000000001E-3</v>
      </c>
      <c r="N40">
        <v>6</v>
      </c>
      <c r="O40" s="8">
        <v>10.732823757657394</v>
      </c>
      <c r="P40" s="9">
        <v>10.732823757657394</v>
      </c>
      <c r="Q40" s="9">
        <v>10.732823757657394</v>
      </c>
      <c r="R40" s="9">
        <v>11.04856201020749</v>
      </c>
      <c r="S40" s="9">
        <v>11.364751027066461</v>
      </c>
      <c r="T40" s="9">
        <v>11.749173507902043</v>
      </c>
      <c r="U40" s="9">
        <v>12.850564325687124</v>
      </c>
      <c r="V40" s="9">
        <v>12.850564325687124</v>
      </c>
      <c r="W40" s="9">
        <v>12.850564325687124</v>
      </c>
      <c r="X40" s="9">
        <v>14.782637373051333</v>
      </c>
      <c r="Y40" s="9">
        <v>14.782637373051333</v>
      </c>
      <c r="Z40" s="9">
        <v>16.85024587052752</v>
      </c>
      <c r="AA40" s="9">
        <v>16.85024587052752</v>
      </c>
      <c r="AB40" s="9">
        <v>19.120701872341421</v>
      </c>
      <c r="AC40" s="9">
        <v>19.120701872341421</v>
      </c>
      <c r="AD40" s="9">
        <v>21.180732467605459</v>
      </c>
      <c r="AE40" s="9">
        <v>23.311209829410082</v>
      </c>
      <c r="AF40" s="9">
        <v>25.5191786344094</v>
      </c>
      <c r="AG40" s="9">
        <v>25.5191786344094</v>
      </c>
      <c r="AH40" s="9">
        <v>27.812388026922832</v>
      </c>
      <c r="AI40" s="9">
        <v>29.713125400067604</v>
      </c>
      <c r="AJ40" s="9">
        <v>3.0428788910505911</v>
      </c>
    </row>
    <row r="41" spans="1:36" x14ac:dyDescent="0.25">
      <c r="A41" t="s">
        <v>5411</v>
      </c>
      <c r="B41" t="s">
        <v>16</v>
      </c>
      <c r="C41" t="s">
        <v>17</v>
      </c>
      <c r="D41">
        <v>4800000</v>
      </c>
      <c r="E41">
        <v>4899999</v>
      </c>
      <c r="F41" t="s">
        <v>18</v>
      </c>
      <c r="G41" t="str">
        <f t="shared" si="0"/>
        <v>SPC</v>
      </c>
      <c r="H41" t="s">
        <v>19</v>
      </c>
      <c r="I41" t="s">
        <v>22</v>
      </c>
      <c r="J41" t="s">
        <v>21</v>
      </c>
      <c r="K41" s="6">
        <v>0.03</v>
      </c>
      <c r="L41" s="7">
        <f t="shared" si="1"/>
        <v>0.03</v>
      </c>
      <c r="M41" s="7">
        <v>3.0000000000000001E-3</v>
      </c>
      <c r="N41">
        <v>6</v>
      </c>
      <c r="O41" s="8">
        <v>10.732823757657394</v>
      </c>
      <c r="P41" s="9">
        <v>10.732823757657394</v>
      </c>
      <c r="Q41" s="9">
        <v>10.732823757657394</v>
      </c>
      <c r="R41" s="9">
        <v>11.04856201020749</v>
      </c>
      <c r="S41" s="9">
        <v>11.364751027066461</v>
      </c>
      <c r="T41" s="9">
        <v>11.749173507902043</v>
      </c>
      <c r="U41" s="9">
        <v>12.850564325687124</v>
      </c>
      <c r="V41" s="9">
        <v>12.850564325687124</v>
      </c>
      <c r="W41" s="9">
        <v>12.850564325687124</v>
      </c>
      <c r="X41" s="9">
        <v>14.782637373051333</v>
      </c>
      <c r="Y41" s="9">
        <v>14.782637373051333</v>
      </c>
      <c r="Z41" s="9">
        <v>16.85024587052752</v>
      </c>
      <c r="AA41" s="9">
        <v>16.85024587052752</v>
      </c>
      <c r="AB41" s="9">
        <v>19.120701872341421</v>
      </c>
      <c r="AC41" s="9">
        <v>19.120701872341421</v>
      </c>
      <c r="AD41" s="9">
        <v>21.180732467605459</v>
      </c>
      <c r="AE41" s="9">
        <v>23.311209829410082</v>
      </c>
      <c r="AF41" s="9">
        <v>25.5191786344094</v>
      </c>
      <c r="AG41" s="9">
        <v>25.5191786344094</v>
      </c>
      <c r="AH41" s="9">
        <v>27.812388026922832</v>
      </c>
      <c r="AI41" s="9">
        <v>29.713125400067604</v>
      </c>
      <c r="AJ41" s="9">
        <v>3.0428788910505911</v>
      </c>
    </row>
    <row r="42" spans="1:36" x14ac:dyDescent="0.25">
      <c r="A42" t="s">
        <v>5411</v>
      </c>
      <c r="B42" t="s">
        <v>16</v>
      </c>
      <c r="C42" t="s">
        <v>17</v>
      </c>
      <c r="D42">
        <v>4900000</v>
      </c>
      <c r="E42">
        <v>4999999</v>
      </c>
      <c r="F42" t="s">
        <v>18</v>
      </c>
      <c r="G42" t="str">
        <f t="shared" si="0"/>
        <v>SPC</v>
      </c>
      <c r="H42" t="s">
        <v>19</v>
      </c>
      <c r="I42" t="s">
        <v>22</v>
      </c>
      <c r="J42" t="s">
        <v>21</v>
      </c>
      <c r="K42" s="6">
        <v>0.03</v>
      </c>
      <c r="L42" s="7">
        <f t="shared" si="1"/>
        <v>0.03</v>
      </c>
      <c r="M42" s="7">
        <v>3.0000000000000001E-3</v>
      </c>
      <c r="N42">
        <v>6</v>
      </c>
      <c r="O42" s="8">
        <v>10.732823757657394</v>
      </c>
      <c r="P42" s="9">
        <v>10.732823757657394</v>
      </c>
      <c r="Q42" s="9">
        <v>10.732823757657394</v>
      </c>
      <c r="R42" s="9">
        <v>11.04856201020749</v>
      </c>
      <c r="S42" s="9">
        <v>11.364751027066461</v>
      </c>
      <c r="T42" s="9">
        <v>11.749173507902043</v>
      </c>
      <c r="U42" s="9">
        <v>12.850564325687124</v>
      </c>
      <c r="V42" s="9">
        <v>12.850564325687124</v>
      </c>
      <c r="W42" s="9">
        <v>12.850564325687124</v>
      </c>
      <c r="X42" s="9">
        <v>14.782637373051333</v>
      </c>
      <c r="Y42" s="9">
        <v>14.782637373051333</v>
      </c>
      <c r="Z42" s="9">
        <v>16.85024587052752</v>
      </c>
      <c r="AA42" s="9">
        <v>16.85024587052752</v>
      </c>
      <c r="AB42" s="9">
        <v>19.120701872341421</v>
      </c>
      <c r="AC42" s="9">
        <v>19.120701872341421</v>
      </c>
      <c r="AD42" s="9">
        <v>21.180732467605459</v>
      </c>
      <c r="AE42" s="9">
        <v>23.311209829410082</v>
      </c>
      <c r="AF42" s="9">
        <v>25.5191786344094</v>
      </c>
      <c r="AG42" s="9">
        <v>25.5191786344094</v>
      </c>
      <c r="AH42" s="9">
        <v>27.812388026922832</v>
      </c>
      <c r="AI42" s="9">
        <v>29.713125400067604</v>
      </c>
      <c r="AJ42" s="9">
        <v>3.0428788910505911</v>
      </c>
    </row>
    <row r="43" spans="1:36" x14ac:dyDescent="0.25">
      <c r="A43" t="s">
        <v>5411</v>
      </c>
      <c r="B43" t="s">
        <v>16</v>
      </c>
      <c r="C43" t="s">
        <v>17</v>
      </c>
      <c r="D43">
        <v>5000000</v>
      </c>
      <c r="E43">
        <v>5099999</v>
      </c>
      <c r="F43" t="s">
        <v>18</v>
      </c>
      <c r="G43" t="str">
        <f t="shared" si="0"/>
        <v>SPC</v>
      </c>
      <c r="H43" t="s">
        <v>19</v>
      </c>
      <c r="I43" t="s">
        <v>20</v>
      </c>
      <c r="J43" t="s">
        <v>21</v>
      </c>
      <c r="K43" s="6">
        <v>0.03</v>
      </c>
      <c r="L43" s="7">
        <f t="shared" si="1"/>
        <v>2E-3</v>
      </c>
      <c r="M43" s="7">
        <v>3.0000000000000001E-3</v>
      </c>
      <c r="N43">
        <v>6</v>
      </c>
      <c r="O43" s="8">
        <v>10.732823757657394</v>
      </c>
      <c r="P43" s="9">
        <v>10.732823757657394</v>
      </c>
      <c r="Q43" s="9">
        <v>10.732823757657394</v>
      </c>
      <c r="R43" s="9">
        <v>11.04856201020749</v>
      </c>
      <c r="S43" s="9">
        <v>11.364751027066461</v>
      </c>
      <c r="T43" s="9">
        <v>11.749173507902043</v>
      </c>
      <c r="U43" s="9">
        <v>12.850564325687124</v>
      </c>
      <c r="V43" s="9">
        <v>12.850564325687124</v>
      </c>
      <c r="W43" s="9">
        <v>12.850564325687124</v>
      </c>
      <c r="X43" s="9">
        <v>14.782637373051333</v>
      </c>
      <c r="Y43" s="9">
        <v>14.782637373051333</v>
      </c>
      <c r="Z43" s="9">
        <v>16.85024587052752</v>
      </c>
      <c r="AA43" s="9">
        <v>16.85024587052752</v>
      </c>
      <c r="AB43" s="9">
        <v>19.120701872341421</v>
      </c>
      <c r="AC43" s="9">
        <v>19.120701872341421</v>
      </c>
      <c r="AD43" s="9">
        <v>21.180732467605459</v>
      </c>
      <c r="AE43" s="9">
        <v>23.311209829410082</v>
      </c>
      <c r="AF43" s="9">
        <v>25.5191786344094</v>
      </c>
      <c r="AG43" s="9">
        <v>25.5191786344094</v>
      </c>
      <c r="AH43" s="9">
        <v>27.812388026922832</v>
      </c>
      <c r="AI43" s="9">
        <v>29.713125400067604</v>
      </c>
      <c r="AJ43" s="9">
        <v>3.0428788910505911</v>
      </c>
    </row>
    <row r="44" spans="1:36" x14ac:dyDescent="0.25">
      <c r="A44" t="s">
        <v>5411</v>
      </c>
      <c r="B44" t="s">
        <v>16</v>
      </c>
      <c r="C44" t="s">
        <v>17</v>
      </c>
      <c r="D44">
        <v>5100000</v>
      </c>
      <c r="E44">
        <v>5199999</v>
      </c>
      <c r="F44" t="s">
        <v>18</v>
      </c>
      <c r="G44" t="str">
        <f t="shared" si="0"/>
        <v>SPC</v>
      </c>
      <c r="H44" t="s">
        <v>19</v>
      </c>
      <c r="I44" t="s">
        <v>20</v>
      </c>
      <c r="J44" t="s">
        <v>21</v>
      </c>
      <c r="K44" s="6">
        <v>0.03</v>
      </c>
      <c r="L44" s="7">
        <f t="shared" si="1"/>
        <v>2E-3</v>
      </c>
      <c r="M44" s="7">
        <v>3.0000000000000001E-3</v>
      </c>
      <c r="N44">
        <v>6</v>
      </c>
      <c r="O44" s="8">
        <v>10.732823757657394</v>
      </c>
      <c r="P44" s="9">
        <v>10.732823757657394</v>
      </c>
      <c r="Q44" s="9">
        <v>10.732823757657394</v>
      </c>
      <c r="R44" s="9">
        <v>11.04856201020749</v>
      </c>
      <c r="S44" s="9">
        <v>11.364751027066461</v>
      </c>
      <c r="T44" s="9">
        <v>11.749173507902043</v>
      </c>
      <c r="U44" s="9">
        <v>12.850564325687124</v>
      </c>
      <c r="V44" s="9">
        <v>12.850564325687124</v>
      </c>
      <c r="W44" s="9">
        <v>12.850564325687124</v>
      </c>
      <c r="X44" s="9">
        <v>14.782637373051333</v>
      </c>
      <c r="Y44" s="9">
        <v>14.782637373051333</v>
      </c>
      <c r="Z44" s="9">
        <v>16.85024587052752</v>
      </c>
      <c r="AA44" s="9">
        <v>16.85024587052752</v>
      </c>
      <c r="AB44" s="9">
        <v>19.120701872341421</v>
      </c>
      <c r="AC44" s="9">
        <v>19.120701872341421</v>
      </c>
      <c r="AD44" s="9">
        <v>21.180732467605459</v>
      </c>
      <c r="AE44" s="9">
        <v>23.311209829410082</v>
      </c>
      <c r="AF44" s="9">
        <v>25.5191786344094</v>
      </c>
      <c r="AG44" s="9">
        <v>25.5191786344094</v>
      </c>
      <c r="AH44" s="9">
        <v>27.812388026922832</v>
      </c>
      <c r="AI44" s="9">
        <v>29.713125400067604</v>
      </c>
      <c r="AJ44" s="9">
        <v>3.0428788910505911</v>
      </c>
    </row>
    <row r="45" spans="1:36" x14ac:dyDescent="0.25">
      <c r="A45" t="s">
        <v>5411</v>
      </c>
      <c r="B45" t="s">
        <v>16</v>
      </c>
      <c r="C45" t="s">
        <v>17</v>
      </c>
      <c r="D45">
        <v>5200000</v>
      </c>
      <c r="E45">
        <v>5299999</v>
      </c>
      <c r="F45" t="s">
        <v>18</v>
      </c>
      <c r="G45" t="str">
        <f t="shared" si="0"/>
        <v>SPC</v>
      </c>
      <c r="H45" t="s">
        <v>19</v>
      </c>
      <c r="I45" t="s">
        <v>22</v>
      </c>
      <c r="J45" t="s">
        <v>21</v>
      </c>
      <c r="K45" s="6">
        <v>0.03</v>
      </c>
      <c r="L45" s="7">
        <f t="shared" si="1"/>
        <v>0.03</v>
      </c>
      <c r="M45" s="7">
        <v>3.0000000000000001E-3</v>
      </c>
      <c r="N45">
        <v>6</v>
      </c>
      <c r="O45" s="8">
        <v>10.732823757657394</v>
      </c>
      <c r="P45" s="9">
        <v>10.732823757657394</v>
      </c>
      <c r="Q45" s="9">
        <v>10.732823757657394</v>
      </c>
      <c r="R45" s="9">
        <v>11.04856201020749</v>
      </c>
      <c r="S45" s="9">
        <v>11.364751027066461</v>
      </c>
      <c r="T45" s="9">
        <v>11.749173507902043</v>
      </c>
      <c r="U45" s="9">
        <v>12.850564325687124</v>
      </c>
      <c r="V45" s="9">
        <v>12.850564325687124</v>
      </c>
      <c r="W45" s="9">
        <v>12.850564325687124</v>
      </c>
      <c r="X45" s="9">
        <v>14.782637373051333</v>
      </c>
      <c r="Y45" s="9">
        <v>14.782637373051333</v>
      </c>
      <c r="Z45" s="9">
        <v>16.85024587052752</v>
      </c>
      <c r="AA45" s="9">
        <v>16.85024587052752</v>
      </c>
      <c r="AB45" s="9">
        <v>19.120701872341421</v>
      </c>
      <c r="AC45" s="9">
        <v>19.120701872341421</v>
      </c>
      <c r="AD45" s="9">
        <v>21.180732467605459</v>
      </c>
      <c r="AE45" s="9">
        <v>23.311209829410082</v>
      </c>
      <c r="AF45" s="9">
        <v>25.5191786344094</v>
      </c>
      <c r="AG45" s="9">
        <v>25.5191786344094</v>
      </c>
      <c r="AH45" s="9">
        <v>27.812388026922832</v>
      </c>
      <c r="AI45" s="9">
        <v>29.713125400067604</v>
      </c>
      <c r="AJ45" s="9">
        <v>3.0428788910505911</v>
      </c>
    </row>
    <row r="46" spans="1:36" x14ac:dyDescent="0.25">
      <c r="A46" t="s">
        <v>5411</v>
      </c>
      <c r="B46" t="s">
        <v>16</v>
      </c>
      <c r="C46" t="s">
        <v>17</v>
      </c>
      <c r="D46">
        <v>5300000</v>
      </c>
      <c r="E46">
        <v>5399999</v>
      </c>
      <c r="F46" t="s">
        <v>18</v>
      </c>
      <c r="G46" t="str">
        <f t="shared" si="0"/>
        <v>SPC</v>
      </c>
      <c r="H46" t="s">
        <v>19</v>
      </c>
      <c r="I46" t="s">
        <v>22</v>
      </c>
      <c r="J46" t="s">
        <v>21</v>
      </c>
      <c r="K46" s="6">
        <v>0.03</v>
      </c>
      <c r="L46" s="7">
        <f t="shared" si="1"/>
        <v>0.03</v>
      </c>
      <c r="M46" s="7">
        <v>3.0000000000000001E-3</v>
      </c>
      <c r="N46">
        <v>6</v>
      </c>
      <c r="O46" s="8">
        <v>10.732823757657394</v>
      </c>
      <c r="P46" s="9">
        <v>10.732823757657394</v>
      </c>
      <c r="Q46" s="9">
        <v>10.732823757657394</v>
      </c>
      <c r="R46" s="9">
        <v>11.04856201020749</v>
      </c>
      <c r="S46" s="9">
        <v>11.364751027066461</v>
      </c>
      <c r="T46" s="9">
        <v>11.749173507902043</v>
      </c>
      <c r="U46" s="9">
        <v>12.850564325687124</v>
      </c>
      <c r="V46" s="9">
        <v>12.850564325687124</v>
      </c>
      <c r="W46" s="9">
        <v>12.850564325687124</v>
      </c>
      <c r="X46" s="9">
        <v>14.782637373051333</v>
      </c>
      <c r="Y46" s="9">
        <v>14.782637373051333</v>
      </c>
      <c r="Z46" s="9">
        <v>16.85024587052752</v>
      </c>
      <c r="AA46" s="9">
        <v>16.85024587052752</v>
      </c>
      <c r="AB46" s="9">
        <v>19.120701872341421</v>
      </c>
      <c r="AC46" s="9">
        <v>19.120701872341421</v>
      </c>
      <c r="AD46" s="9">
        <v>21.180732467605459</v>
      </c>
      <c r="AE46" s="9">
        <v>23.311209829410082</v>
      </c>
      <c r="AF46" s="9">
        <v>25.5191786344094</v>
      </c>
      <c r="AG46" s="9">
        <v>25.5191786344094</v>
      </c>
      <c r="AH46" s="9">
        <v>27.812388026922832</v>
      </c>
      <c r="AI46" s="9">
        <v>29.713125400067604</v>
      </c>
      <c r="AJ46" s="9">
        <v>3.0428788910505911</v>
      </c>
    </row>
    <row r="47" spans="1:36" x14ac:dyDescent="0.25">
      <c r="A47" t="s">
        <v>5411</v>
      </c>
      <c r="B47" t="s">
        <v>16</v>
      </c>
      <c r="C47" t="s">
        <v>17</v>
      </c>
      <c r="D47">
        <v>5400000</v>
      </c>
      <c r="E47">
        <v>5499999</v>
      </c>
      <c r="F47" t="s">
        <v>18</v>
      </c>
      <c r="G47" t="str">
        <f t="shared" si="0"/>
        <v>SPC</v>
      </c>
      <c r="H47" t="s">
        <v>19</v>
      </c>
      <c r="I47" t="s">
        <v>22</v>
      </c>
      <c r="J47" t="s">
        <v>21</v>
      </c>
      <c r="K47" s="6">
        <v>0.03</v>
      </c>
      <c r="L47" s="7">
        <f t="shared" si="1"/>
        <v>0.03</v>
      </c>
      <c r="M47" s="7">
        <v>3.0000000000000001E-3</v>
      </c>
      <c r="N47">
        <v>6</v>
      </c>
      <c r="O47" s="8">
        <v>10.732823757657394</v>
      </c>
      <c r="P47" s="9">
        <v>10.732823757657394</v>
      </c>
      <c r="Q47" s="9">
        <v>10.732823757657394</v>
      </c>
      <c r="R47" s="9">
        <v>11.04856201020749</v>
      </c>
      <c r="S47" s="9">
        <v>11.364751027066461</v>
      </c>
      <c r="T47" s="9">
        <v>11.749173507902043</v>
      </c>
      <c r="U47" s="9">
        <v>12.850564325687124</v>
      </c>
      <c r="V47" s="9">
        <v>12.850564325687124</v>
      </c>
      <c r="W47" s="9">
        <v>12.850564325687124</v>
      </c>
      <c r="X47" s="9">
        <v>14.782637373051333</v>
      </c>
      <c r="Y47" s="9">
        <v>14.782637373051333</v>
      </c>
      <c r="Z47" s="9">
        <v>16.85024587052752</v>
      </c>
      <c r="AA47" s="9">
        <v>16.85024587052752</v>
      </c>
      <c r="AB47" s="9">
        <v>19.120701872341421</v>
      </c>
      <c r="AC47" s="9">
        <v>19.120701872341421</v>
      </c>
      <c r="AD47" s="9">
        <v>21.180732467605459</v>
      </c>
      <c r="AE47" s="9">
        <v>23.311209829410082</v>
      </c>
      <c r="AF47" s="9">
        <v>25.5191786344094</v>
      </c>
      <c r="AG47" s="9">
        <v>25.5191786344094</v>
      </c>
      <c r="AH47" s="9">
        <v>27.812388026922832</v>
      </c>
      <c r="AI47" s="9">
        <v>29.713125400067604</v>
      </c>
      <c r="AJ47" s="9">
        <v>3.0428788910505911</v>
      </c>
    </row>
    <row r="48" spans="1:36" x14ac:dyDescent="0.25">
      <c r="A48" t="s">
        <v>5411</v>
      </c>
      <c r="B48" t="s">
        <v>16</v>
      </c>
      <c r="C48" t="s">
        <v>17</v>
      </c>
      <c r="D48">
        <v>5500000</v>
      </c>
      <c r="E48">
        <v>5599999</v>
      </c>
      <c r="F48" t="s">
        <v>18</v>
      </c>
      <c r="G48" t="str">
        <f t="shared" si="0"/>
        <v>SPC</v>
      </c>
      <c r="H48" t="s">
        <v>19</v>
      </c>
      <c r="I48" t="s">
        <v>20</v>
      </c>
      <c r="J48" t="s">
        <v>21</v>
      </c>
      <c r="K48" s="6">
        <v>0.03</v>
      </c>
      <c r="L48" s="7">
        <f t="shared" si="1"/>
        <v>2E-3</v>
      </c>
      <c r="M48" s="7">
        <v>3.0000000000000001E-3</v>
      </c>
      <c r="N48">
        <v>6</v>
      </c>
      <c r="O48" s="8">
        <v>10.732823757657394</v>
      </c>
      <c r="P48" s="9">
        <v>10.732823757657394</v>
      </c>
      <c r="Q48" s="9">
        <v>10.732823757657394</v>
      </c>
      <c r="R48" s="9">
        <v>11.04856201020749</v>
      </c>
      <c r="S48" s="9">
        <v>11.364751027066461</v>
      </c>
      <c r="T48" s="9">
        <v>11.749173507902043</v>
      </c>
      <c r="U48" s="9">
        <v>12.850564325687124</v>
      </c>
      <c r="V48" s="9">
        <v>12.850564325687124</v>
      </c>
      <c r="W48" s="9">
        <v>12.850564325687124</v>
      </c>
      <c r="X48" s="9">
        <v>14.782637373051333</v>
      </c>
      <c r="Y48" s="9">
        <v>14.782637373051333</v>
      </c>
      <c r="Z48" s="9">
        <v>16.85024587052752</v>
      </c>
      <c r="AA48" s="9">
        <v>16.85024587052752</v>
      </c>
      <c r="AB48" s="9">
        <v>19.120701872341421</v>
      </c>
      <c r="AC48" s="9">
        <v>19.120701872341421</v>
      </c>
      <c r="AD48" s="9">
        <v>21.180732467605459</v>
      </c>
      <c r="AE48" s="9">
        <v>23.311209829410082</v>
      </c>
      <c r="AF48" s="9">
        <v>25.5191786344094</v>
      </c>
      <c r="AG48" s="9">
        <v>25.5191786344094</v>
      </c>
      <c r="AH48" s="9">
        <v>27.812388026922832</v>
      </c>
      <c r="AI48" s="9">
        <v>29.713125400067604</v>
      </c>
      <c r="AJ48" s="9">
        <v>3.0428788910505911</v>
      </c>
    </row>
    <row r="49" spans="1:36" x14ac:dyDescent="0.25">
      <c r="A49" t="s">
        <v>5411</v>
      </c>
      <c r="B49" t="s">
        <v>16</v>
      </c>
      <c r="C49" t="s">
        <v>17</v>
      </c>
      <c r="D49">
        <v>5600000</v>
      </c>
      <c r="E49">
        <v>5699999</v>
      </c>
      <c r="F49" t="s">
        <v>18</v>
      </c>
      <c r="G49" t="str">
        <f t="shared" si="0"/>
        <v>SPC</v>
      </c>
      <c r="H49" t="s">
        <v>19</v>
      </c>
      <c r="I49" t="s">
        <v>20</v>
      </c>
      <c r="J49" t="s">
        <v>21</v>
      </c>
      <c r="K49" s="6">
        <v>0.03</v>
      </c>
      <c r="L49" s="7">
        <f t="shared" si="1"/>
        <v>2E-3</v>
      </c>
      <c r="M49" s="7">
        <v>3.0000000000000001E-3</v>
      </c>
      <c r="N49">
        <v>6</v>
      </c>
      <c r="O49" s="8">
        <v>10.732823757657394</v>
      </c>
      <c r="P49" s="9">
        <v>10.732823757657394</v>
      </c>
      <c r="Q49" s="9">
        <v>10.732823757657394</v>
      </c>
      <c r="R49" s="9">
        <v>11.04856201020749</v>
      </c>
      <c r="S49" s="9">
        <v>11.364751027066461</v>
      </c>
      <c r="T49" s="9">
        <v>11.749173507902043</v>
      </c>
      <c r="U49" s="9">
        <v>12.850564325687124</v>
      </c>
      <c r="V49" s="9">
        <v>12.850564325687124</v>
      </c>
      <c r="W49" s="9">
        <v>12.850564325687124</v>
      </c>
      <c r="X49" s="9">
        <v>14.782637373051333</v>
      </c>
      <c r="Y49" s="9">
        <v>14.782637373051333</v>
      </c>
      <c r="Z49" s="9">
        <v>16.85024587052752</v>
      </c>
      <c r="AA49" s="9">
        <v>16.85024587052752</v>
      </c>
      <c r="AB49" s="9">
        <v>19.120701872341421</v>
      </c>
      <c r="AC49" s="9">
        <v>19.120701872341421</v>
      </c>
      <c r="AD49" s="9">
        <v>21.180732467605459</v>
      </c>
      <c r="AE49" s="9">
        <v>23.311209829410082</v>
      </c>
      <c r="AF49" s="9">
        <v>25.5191786344094</v>
      </c>
      <c r="AG49" s="9">
        <v>25.5191786344094</v>
      </c>
      <c r="AH49" s="9">
        <v>27.812388026922832</v>
      </c>
      <c r="AI49" s="9">
        <v>29.713125400067604</v>
      </c>
      <c r="AJ49" s="9">
        <v>3.0428788910505911</v>
      </c>
    </row>
    <row r="50" spans="1:36" x14ac:dyDescent="0.25">
      <c r="A50" t="s">
        <v>5411</v>
      </c>
      <c r="B50" t="s">
        <v>16</v>
      </c>
      <c r="C50" t="s">
        <v>17</v>
      </c>
      <c r="D50">
        <v>5700000</v>
      </c>
      <c r="E50">
        <v>5799999</v>
      </c>
      <c r="F50" t="s">
        <v>18</v>
      </c>
      <c r="G50" t="str">
        <f t="shared" si="0"/>
        <v>SPC</v>
      </c>
      <c r="H50" t="s">
        <v>19</v>
      </c>
      <c r="I50" t="s">
        <v>20</v>
      </c>
      <c r="J50" t="s">
        <v>21</v>
      </c>
      <c r="K50" s="6">
        <v>0.03</v>
      </c>
      <c r="L50" s="7">
        <f t="shared" si="1"/>
        <v>2E-3</v>
      </c>
      <c r="M50" s="7">
        <v>3.0000000000000001E-3</v>
      </c>
      <c r="N50">
        <v>6</v>
      </c>
      <c r="O50" s="8">
        <v>10.732823757657394</v>
      </c>
      <c r="P50" s="9">
        <v>10.732823757657394</v>
      </c>
      <c r="Q50" s="9">
        <v>10.732823757657394</v>
      </c>
      <c r="R50" s="9">
        <v>11.04856201020749</v>
      </c>
      <c r="S50" s="9">
        <v>11.364751027066461</v>
      </c>
      <c r="T50" s="9">
        <v>11.749173507902043</v>
      </c>
      <c r="U50" s="9">
        <v>12.850564325687124</v>
      </c>
      <c r="V50" s="9">
        <v>12.850564325687124</v>
      </c>
      <c r="W50" s="9">
        <v>12.850564325687124</v>
      </c>
      <c r="X50" s="9">
        <v>14.782637373051333</v>
      </c>
      <c r="Y50" s="9">
        <v>14.782637373051333</v>
      </c>
      <c r="Z50" s="9">
        <v>16.85024587052752</v>
      </c>
      <c r="AA50" s="9">
        <v>16.85024587052752</v>
      </c>
      <c r="AB50" s="9">
        <v>19.120701872341421</v>
      </c>
      <c r="AC50" s="9">
        <v>19.120701872341421</v>
      </c>
      <c r="AD50" s="9">
        <v>21.180732467605459</v>
      </c>
      <c r="AE50" s="9">
        <v>23.311209829410082</v>
      </c>
      <c r="AF50" s="9">
        <v>25.5191786344094</v>
      </c>
      <c r="AG50" s="9">
        <v>25.5191786344094</v>
      </c>
      <c r="AH50" s="9">
        <v>27.812388026922832</v>
      </c>
      <c r="AI50" s="9">
        <v>29.713125400067604</v>
      </c>
      <c r="AJ50" s="9">
        <v>3.0428788910505911</v>
      </c>
    </row>
    <row r="51" spans="1:36" x14ac:dyDescent="0.25">
      <c r="A51" t="s">
        <v>5411</v>
      </c>
      <c r="B51" t="s">
        <v>16</v>
      </c>
      <c r="C51" t="s">
        <v>17</v>
      </c>
      <c r="D51">
        <v>5800000</v>
      </c>
      <c r="E51">
        <v>5899999</v>
      </c>
      <c r="F51" t="s">
        <v>18</v>
      </c>
      <c r="G51" t="str">
        <f t="shared" si="0"/>
        <v>SPC</v>
      </c>
      <c r="H51" t="s">
        <v>19</v>
      </c>
      <c r="I51" t="s">
        <v>20</v>
      </c>
      <c r="J51" t="s">
        <v>21</v>
      </c>
      <c r="K51" s="6">
        <v>0.03</v>
      </c>
      <c r="L51" s="7">
        <f t="shared" si="1"/>
        <v>2E-3</v>
      </c>
      <c r="M51" s="7">
        <v>3.0000000000000001E-3</v>
      </c>
      <c r="N51">
        <v>6</v>
      </c>
      <c r="O51" s="8">
        <v>10.732823757657394</v>
      </c>
      <c r="P51" s="9">
        <v>10.732823757657394</v>
      </c>
      <c r="Q51" s="9">
        <v>10.732823757657394</v>
      </c>
      <c r="R51" s="9">
        <v>11.04856201020749</v>
      </c>
      <c r="S51" s="9">
        <v>11.364751027066461</v>
      </c>
      <c r="T51" s="9">
        <v>11.749173507902043</v>
      </c>
      <c r="U51" s="9">
        <v>12.850564325687124</v>
      </c>
      <c r="V51" s="9">
        <v>12.850564325687124</v>
      </c>
      <c r="W51" s="9">
        <v>12.850564325687124</v>
      </c>
      <c r="X51" s="9">
        <v>14.782637373051333</v>
      </c>
      <c r="Y51" s="9">
        <v>14.782637373051333</v>
      </c>
      <c r="Z51" s="9">
        <v>16.85024587052752</v>
      </c>
      <c r="AA51" s="9">
        <v>16.85024587052752</v>
      </c>
      <c r="AB51" s="9">
        <v>19.120701872341421</v>
      </c>
      <c r="AC51" s="9">
        <v>19.120701872341421</v>
      </c>
      <c r="AD51" s="9">
        <v>21.180732467605459</v>
      </c>
      <c r="AE51" s="9">
        <v>23.311209829410082</v>
      </c>
      <c r="AF51" s="9">
        <v>25.5191786344094</v>
      </c>
      <c r="AG51" s="9">
        <v>25.5191786344094</v>
      </c>
      <c r="AH51" s="9">
        <v>27.812388026922832</v>
      </c>
      <c r="AI51" s="9">
        <v>29.713125400067604</v>
      </c>
      <c r="AJ51" s="9">
        <v>3.0428788910505911</v>
      </c>
    </row>
    <row r="52" spans="1:36" x14ac:dyDescent="0.25">
      <c r="A52" t="s">
        <v>5411</v>
      </c>
      <c r="B52" t="s">
        <v>16</v>
      </c>
      <c r="C52" t="s">
        <v>17</v>
      </c>
      <c r="D52">
        <v>5900000</v>
      </c>
      <c r="E52">
        <v>5999999</v>
      </c>
      <c r="F52" t="s">
        <v>18</v>
      </c>
      <c r="G52" t="str">
        <f t="shared" si="0"/>
        <v>SPC</v>
      </c>
      <c r="H52" t="s">
        <v>19</v>
      </c>
      <c r="I52" t="s">
        <v>20</v>
      </c>
      <c r="J52" t="s">
        <v>21</v>
      </c>
      <c r="K52" s="6">
        <v>0.03</v>
      </c>
      <c r="L52" s="7">
        <f t="shared" si="1"/>
        <v>2E-3</v>
      </c>
      <c r="M52" s="7">
        <v>3.0000000000000001E-3</v>
      </c>
      <c r="N52">
        <v>6</v>
      </c>
      <c r="O52" s="8">
        <v>10.732823757657394</v>
      </c>
      <c r="P52" s="9">
        <v>10.732823757657394</v>
      </c>
      <c r="Q52" s="9">
        <v>10.732823757657394</v>
      </c>
      <c r="R52" s="9">
        <v>11.04856201020749</v>
      </c>
      <c r="S52" s="9">
        <v>11.364751027066461</v>
      </c>
      <c r="T52" s="9">
        <v>11.749173507902043</v>
      </c>
      <c r="U52" s="9">
        <v>12.850564325687124</v>
      </c>
      <c r="V52" s="9">
        <v>12.850564325687124</v>
      </c>
      <c r="W52" s="9">
        <v>12.850564325687124</v>
      </c>
      <c r="X52" s="9">
        <v>14.782637373051333</v>
      </c>
      <c r="Y52" s="9">
        <v>14.782637373051333</v>
      </c>
      <c r="Z52" s="9">
        <v>16.85024587052752</v>
      </c>
      <c r="AA52" s="9">
        <v>16.85024587052752</v>
      </c>
      <c r="AB52" s="9">
        <v>19.120701872341421</v>
      </c>
      <c r="AC52" s="9">
        <v>19.120701872341421</v>
      </c>
      <c r="AD52" s="9">
        <v>21.180732467605459</v>
      </c>
      <c r="AE52" s="9">
        <v>23.311209829410082</v>
      </c>
      <c r="AF52" s="9">
        <v>25.5191786344094</v>
      </c>
      <c r="AG52" s="9">
        <v>25.5191786344094</v>
      </c>
      <c r="AH52" s="9">
        <v>27.812388026922832</v>
      </c>
      <c r="AI52" s="9">
        <v>29.713125400067604</v>
      </c>
      <c r="AJ52" s="9">
        <v>3.0428788910505911</v>
      </c>
    </row>
    <row r="53" spans="1:36" x14ac:dyDescent="0.25">
      <c r="A53" t="s">
        <v>5411</v>
      </c>
      <c r="B53" t="s">
        <v>16</v>
      </c>
      <c r="C53" t="s">
        <v>17</v>
      </c>
      <c r="D53">
        <v>6000000</v>
      </c>
      <c r="E53">
        <v>6099999</v>
      </c>
      <c r="F53" t="s">
        <v>23</v>
      </c>
      <c r="G53" t="str">
        <f t="shared" si="0"/>
        <v>SPC</v>
      </c>
      <c r="H53" t="s">
        <v>19</v>
      </c>
      <c r="I53" t="s">
        <v>20</v>
      </c>
      <c r="J53" t="s">
        <v>21</v>
      </c>
      <c r="K53" s="6">
        <v>0.03</v>
      </c>
      <c r="L53" s="7">
        <f t="shared" si="1"/>
        <v>2E-3</v>
      </c>
      <c r="M53" s="7">
        <v>3.0000000000000001E-3</v>
      </c>
      <c r="N53">
        <v>6</v>
      </c>
      <c r="O53" s="8">
        <v>10.732823757657394</v>
      </c>
      <c r="P53" s="9">
        <v>10.732823757657394</v>
      </c>
      <c r="Q53" s="9">
        <v>10.732823757657394</v>
      </c>
      <c r="R53" s="9">
        <v>11.04856201020749</v>
      </c>
      <c r="S53" s="9">
        <v>11.364751027066461</v>
      </c>
      <c r="T53" s="9">
        <v>11.749173507902043</v>
      </c>
      <c r="U53" s="9">
        <v>12.850564325687124</v>
      </c>
      <c r="V53" s="9">
        <v>12.850564325687124</v>
      </c>
      <c r="W53" s="9">
        <v>12.850564325687124</v>
      </c>
      <c r="X53" s="9">
        <v>14.782637373051333</v>
      </c>
      <c r="Y53" s="9">
        <v>14.782637373051333</v>
      </c>
      <c r="Z53" s="9">
        <v>16.85024587052752</v>
      </c>
      <c r="AA53" s="9">
        <v>16.85024587052752</v>
      </c>
      <c r="AB53" s="9">
        <v>19.120701872341421</v>
      </c>
      <c r="AC53" s="9">
        <v>19.120701872341421</v>
      </c>
      <c r="AD53" s="9">
        <v>21.180732467605459</v>
      </c>
      <c r="AE53" s="9">
        <v>23.311209829410082</v>
      </c>
      <c r="AF53" s="9">
        <v>25.5191786344094</v>
      </c>
      <c r="AG53" s="9">
        <v>25.5191786344094</v>
      </c>
      <c r="AH53" s="9">
        <v>27.812388026922832</v>
      </c>
      <c r="AI53" s="9">
        <v>29.713125400067604</v>
      </c>
      <c r="AJ53" s="9">
        <v>3.0428788910505911</v>
      </c>
    </row>
    <row r="54" spans="1:36" x14ac:dyDescent="0.25">
      <c r="A54" t="s">
        <v>5411</v>
      </c>
      <c r="B54" t="s">
        <v>16</v>
      </c>
      <c r="C54" t="s">
        <v>17</v>
      </c>
      <c r="D54">
        <v>6100000</v>
      </c>
      <c r="E54">
        <v>6199999</v>
      </c>
      <c r="F54" t="s">
        <v>23</v>
      </c>
      <c r="G54" t="str">
        <f t="shared" si="0"/>
        <v>SPC</v>
      </c>
      <c r="H54" t="s">
        <v>19</v>
      </c>
      <c r="I54" t="s">
        <v>20</v>
      </c>
      <c r="J54" t="s">
        <v>21</v>
      </c>
      <c r="K54" s="6">
        <v>0.03</v>
      </c>
      <c r="L54" s="7">
        <f t="shared" si="1"/>
        <v>2E-3</v>
      </c>
      <c r="M54" s="7">
        <v>3.0000000000000001E-3</v>
      </c>
      <c r="N54">
        <v>6</v>
      </c>
      <c r="O54" s="8">
        <v>10.732823757657394</v>
      </c>
      <c r="P54" s="9">
        <v>10.732823757657394</v>
      </c>
      <c r="Q54" s="9">
        <v>10.732823757657394</v>
      </c>
      <c r="R54" s="9">
        <v>11.04856201020749</v>
      </c>
      <c r="S54" s="9">
        <v>11.364751027066461</v>
      </c>
      <c r="T54" s="9">
        <v>11.749173507902043</v>
      </c>
      <c r="U54" s="9">
        <v>12.850564325687124</v>
      </c>
      <c r="V54" s="9">
        <v>12.850564325687124</v>
      </c>
      <c r="W54" s="9">
        <v>12.850564325687124</v>
      </c>
      <c r="X54" s="9">
        <v>14.782637373051333</v>
      </c>
      <c r="Y54" s="9">
        <v>14.782637373051333</v>
      </c>
      <c r="Z54" s="9">
        <v>16.85024587052752</v>
      </c>
      <c r="AA54" s="9">
        <v>16.85024587052752</v>
      </c>
      <c r="AB54" s="9">
        <v>19.120701872341421</v>
      </c>
      <c r="AC54" s="9">
        <v>19.120701872341421</v>
      </c>
      <c r="AD54" s="9">
        <v>21.180732467605459</v>
      </c>
      <c r="AE54" s="9">
        <v>23.311209829410082</v>
      </c>
      <c r="AF54" s="9">
        <v>25.5191786344094</v>
      </c>
      <c r="AG54" s="9">
        <v>25.5191786344094</v>
      </c>
      <c r="AH54" s="9">
        <v>27.812388026922832</v>
      </c>
      <c r="AI54" s="9">
        <v>29.713125400067604</v>
      </c>
      <c r="AJ54" s="9">
        <v>3.0428788910505911</v>
      </c>
    </row>
    <row r="55" spans="1:36" x14ac:dyDescent="0.25">
      <c r="A55" t="s">
        <v>5411</v>
      </c>
      <c r="B55" t="s">
        <v>16</v>
      </c>
      <c r="C55" t="s">
        <v>17</v>
      </c>
      <c r="D55">
        <v>6200000</v>
      </c>
      <c r="E55">
        <v>6299999</v>
      </c>
      <c r="F55" t="s">
        <v>23</v>
      </c>
      <c r="G55" t="str">
        <f t="shared" si="0"/>
        <v>SPC</v>
      </c>
      <c r="H55" t="s">
        <v>19</v>
      </c>
      <c r="I55" t="s">
        <v>20</v>
      </c>
      <c r="J55" t="s">
        <v>21</v>
      </c>
      <c r="K55" s="6">
        <v>0.03</v>
      </c>
      <c r="L55" s="7">
        <f t="shared" si="1"/>
        <v>2E-3</v>
      </c>
      <c r="M55" s="7">
        <v>3.0000000000000001E-3</v>
      </c>
      <c r="N55">
        <v>6</v>
      </c>
      <c r="O55" s="8">
        <v>10.732823757657394</v>
      </c>
      <c r="P55" s="9">
        <v>10.732823757657394</v>
      </c>
      <c r="Q55" s="9">
        <v>10.732823757657394</v>
      </c>
      <c r="R55" s="9">
        <v>11.04856201020749</v>
      </c>
      <c r="S55" s="9">
        <v>11.364751027066461</v>
      </c>
      <c r="T55" s="9">
        <v>11.749173507902043</v>
      </c>
      <c r="U55" s="9">
        <v>12.850564325687124</v>
      </c>
      <c r="V55" s="9">
        <v>12.850564325687124</v>
      </c>
      <c r="W55" s="9">
        <v>12.850564325687124</v>
      </c>
      <c r="X55" s="9">
        <v>14.782637373051333</v>
      </c>
      <c r="Y55" s="9">
        <v>14.782637373051333</v>
      </c>
      <c r="Z55" s="9">
        <v>16.85024587052752</v>
      </c>
      <c r="AA55" s="9">
        <v>16.85024587052752</v>
      </c>
      <c r="AB55" s="9">
        <v>19.120701872341421</v>
      </c>
      <c r="AC55" s="9">
        <v>19.120701872341421</v>
      </c>
      <c r="AD55" s="9">
        <v>21.180732467605459</v>
      </c>
      <c r="AE55" s="9">
        <v>23.311209829410082</v>
      </c>
      <c r="AF55" s="9">
        <v>25.5191786344094</v>
      </c>
      <c r="AG55" s="9">
        <v>25.5191786344094</v>
      </c>
      <c r="AH55" s="9">
        <v>27.812388026922832</v>
      </c>
      <c r="AI55" s="9">
        <v>29.713125400067604</v>
      </c>
      <c r="AJ55" s="9">
        <v>3.0428788910505911</v>
      </c>
    </row>
    <row r="56" spans="1:36" x14ac:dyDescent="0.25">
      <c r="A56" t="s">
        <v>5411</v>
      </c>
      <c r="B56" t="s">
        <v>16</v>
      </c>
      <c r="C56" t="s">
        <v>17</v>
      </c>
      <c r="D56">
        <v>6300000</v>
      </c>
      <c r="E56">
        <v>6399999</v>
      </c>
      <c r="F56" t="s">
        <v>24</v>
      </c>
      <c r="G56" t="str">
        <f t="shared" si="0"/>
        <v>SPC</v>
      </c>
      <c r="H56" t="s">
        <v>19</v>
      </c>
      <c r="I56" t="s">
        <v>20</v>
      </c>
      <c r="J56" t="s">
        <v>21</v>
      </c>
      <c r="K56" s="6">
        <v>0.03</v>
      </c>
      <c r="L56" s="7">
        <f t="shared" si="1"/>
        <v>2E-3</v>
      </c>
      <c r="M56" s="7">
        <v>3.0000000000000001E-3</v>
      </c>
      <c r="N56">
        <v>6</v>
      </c>
      <c r="O56" s="8">
        <v>10.732823757657394</v>
      </c>
      <c r="P56" s="9">
        <v>10.732823757657394</v>
      </c>
      <c r="Q56" s="9">
        <v>10.732823757657394</v>
      </c>
      <c r="R56" s="9">
        <v>11.04856201020749</v>
      </c>
      <c r="S56" s="9">
        <v>11.364751027066461</v>
      </c>
      <c r="T56" s="9">
        <v>11.749173507902043</v>
      </c>
      <c r="U56" s="9">
        <v>12.850564325687124</v>
      </c>
      <c r="V56" s="9">
        <v>12.850564325687124</v>
      </c>
      <c r="W56" s="9">
        <v>12.850564325687124</v>
      </c>
      <c r="X56" s="9">
        <v>14.782637373051333</v>
      </c>
      <c r="Y56" s="9">
        <v>14.782637373051333</v>
      </c>
      <c r="Z56" s="9">
        <v>16.85024587052752</v>
      </c>
      <c r="AA56" s="9">
        <v>16.85024587052752</v>
      </c>
      <c r="AB56" s="9">
        <v>19.120701872341421</v>
      </c>
      <c r="AC56" s="9">
        <v>19.120701872341421</v>
      </c>
      <c r="AD56" s="9">
        <v>21.180732467605459</v>
      </c>
      <c r="AE56" s="9">
        <v>23.311209829410082</v>
      </c>
      <c r="AF56" s="9">
        <v>25.5191786344094</v>
      </c>
      <c r="AG56" s="9">
        <v>25.5191786344094</v>
      </c>
      <c r="AH56" s="9">
        <v>27.812388026922832</v>
      </c>
      <c r="AI56" s="9">
        <v>29.713125400067604</v>
      </c>
      <c r="AJ56" s="9">
        <v>3.0428788910505911</v>
      </c>
    </row>
    <row r="57" spans="1:36" x14ac:dyDescent="0.25">
      <c r="A57" t="s">
        <v>5411</v>
      </c>
      <c r="B57" t="s">
        <v>16</v>
      </c>
      <c r="C57" t="s">
        <v>17</v>
      </c>
      <c r="D57">
        <v>6400000</v>
      </c>
      <c r="E57">
        <v>6499999</v>
      </c>
      <c r="F57" t="s">
        <v>25</v>
      </c>
      <c r="G57" t="str">
        <f t="shared" si="0"/>
        <v>SPC</v>
      </c>
      <c r="H57" t="s">
        <v>19</v>
      </c>
      <c r="I57" t="s">
        <v>20</v>
      </c>
      <c r="J57" t="s">
        <v>21</v>
      </c>
      <c r="K57" s="6">
        <v>0.03</v>
      </c>
      <c r="L57" s="7">
        <f t="shared" si="1"/>
        <v>2E-3</v>
      </c>
      <c r="M57" s="7">
        <v>3.0000000000000001E-3</v>
      </c>
      <c r="N57">
        <v>6</v>
      </c>
      <c r="O57" s="8">
        <v>10.732823757657394</v>
      </c>
      <c r="P57" s="9">
        <v>10.732823757657394</v>
      </c>
      <c r="Q57" s="9">
        <v>10.732823757657394</v>
      </c>
      <c r="R57" s="9">
        <v>11.04856201020749</v>
      </c>
      <c r="S57" s="9">
        <v>11.364751027066461</v>
      </c>
      <c r="T57" s="9">
        <v>11.749173507902043</v>
      </c>
      <c r="U57" s="9">
        <v>12.850564325687124</v>
      </c>
      <c r="V57" s="9">
        <v>12.850564325687124</v>
      </c>
      <c r="W57" s="9">
        <v>12.850564325687124</v>
      </c>
      <c r="X57" s="9">
        <v>14.782637373051333</v>
      </c>
      <c r="Y57" s="9">
        <v>14.782637373051333</v>
      </c>
      <c r="Z57" s="9">
        <v>16.85024587052752</v>
      </c>
      <c r="AA57" s="9">
        <v>16.85024587052752</v>
      </c>
      <c r="AB57" s="9">
        <v>19.120701872341421</v>
      </c>
      <c r="AC57" s="9">
        <v>19.120701872341421</v>
      </c>
      <c r="AD57" s="9">
        <v>21.180732467605459</v>
      </c>
      <c r="AE57" s="9">
        <v>23.311209829410082</v>
      </c>
      <c r="AF57" s="9">
        <v>25.5191786344094</v>
      </c>
      <c r="AG57" s="9">
        <v>25.5191786344094</v>
      </c>
      <c r="AH57" s="9">
        <v>27.812388026922832</v>
      </c>
      <c r="AI57" s="9">
        <v>29.713125400067604</v>
      </c>
      <c r="AJ57" s="9">
        <v>3.0428788910505911</v>
      </c>
    </row>
    <row r="58" spans="1:36" x14ac:dyDescent="0.25">
      <c r="A58" t="s">
        <v>5411</v>
      </c>
      <c r="B58" t="s">
        <v>16</v>
      </c>
      <c r="C58" t="s">
        <v>17</v>
      </c>
      <c r="D58">
        <v>6500000</v>
      </c>
      <c r="E58">
        <v>6549999</v>
      </c>
      <c r="F58" t="s">
        <v>26</v>
      </c>
      <c r="G58" t="str">
        <f t="shared" si="0"/>
        <v>SPC</v>
      </c>
      <c r="H58" t="s">
        <v>19</v>
      </c>
      <c r="I58" t="s">
        <v>20</v>
      </c>
      <c r="J58" t="s">
        <v>21</v>
      </c>
      <c r="K58" s="6">
        <v>0.03</v>
      </c>
      <c r="L58" s="7">
        <f t="shared" si="1"/>
        <v>2E-3</v>
      </c>
      <c r="M58" s="7">
        <v>3.0000000000000001E-3</v>
      </c>
      <c r="N58">
        <v>6</v>
      </c>
      <c r="O58" s="8">
        <v>10.732823757657394</v>
      </c>
      <c r="P58" s="9">
        <v>10.732823757657394</v>
      </c>
      <c r="Q58" s="9">
        <v>10.732823757657394</v>
      </c>
      <c r="R58" s="9">
        <v>11.04856201020749</v>
      </c>
      <c r="S58" s="9">
        <v>11.364751027066461</v>
      </c>
      <c r="T58" s="9">
        <v>11.749173507902043</v>
      </c>
      <c r="U58" s="9">
        <v>12.850564325687124</v>
      </c>
      <c r="V58" s="9">
        <v>12.850564325687124</v>
      </c>
      <c r="W58" s="9">
        <v>12.850564325687124</v>
      </c>
      <c r="X58" s="9">
        <v>14.782637373051333</v>
      </c>
      <c r="Y58" s="9">
        <v>14.782637373051333</v>
      </c>
      <c r="Z58" s="9">
        <v>16.85024587052752</v>
      </c>
      <c r="AA58" s="9">
        <v>16.85024587052752</v>
      </c>
      <c r="AB58" s="9">
        <v>19.120701872341421</v>
      </c>
      <c r="AC58" s="9">
        <v>19.120701872341421</v>
      </c>
      <c r="AD58" s="9">
        <v>21.180732467605459</v>
      </c>
      <c r="AE58" s="9">
        <v>23.311209829410082</v>
      </c>
      <c r="AF58" s="9">
        <v>25.5191786344094</v>
      </c>
      <c r="AG58" s="9">
        <v>25.5191786344094</v>
      </c>
      <c r="AH58" s="9">
        <v>27.812388026922832</v>
      </c>
      <c r="AI58" s="9">
        <v>29.713125400067604</v>
      </c>
      <c r="AJ58" s="9">
        <v>3.0428788910505911</v>
      </c>
    </row>
    <row r="59" spans="1:36" x14ac:dyDescent="0.25">
      <c r="A59" t="s">
        <v>5411</v>
      </c>
      <c r="B59" t="s">
        <v>16</v>
      </c>
      <c r="C59" t="s">
        <v>17</v>
      </c>
      <c r="D59">
        <v>6550000</v>
      </c>
      <c r="E59">
        <v>6599999</v>
      </c>
      <c r="F59" t="s">
        <v>27</v>
      </c>
      <c r="G59" t="str">
        <f t="shared" si="0"/>
        <v>SPC</v>
      </c>
      <c r="H59" t="s">
        <v>19</v>
      </c>
      <c r="I59" t="s">
        <v>20</v>
      </c>
      <c r="J59" t="s">
        <v>21</v>
      </c>
      <c r="K59" s="6">
        <v>0.03</v>
      </c>
      <c r="L59" s="7">
        <f t="shared" si="1"/>
        <v>2E-3</v>
      </c>
      <c r="M59" s="7">
        <v>3.0000000000000001E-3</v>
      </c>
      <c r="N59">
        <v>6</v>
      </c>
      <c r="O59" s="8">
        <v>10.732823757657394</v>
      </c>
      <c r="P59" s="9">
        <v>10.732823757657394</v>
      </c>
      <c r="Q59" s="9">
        <v>10.732823757657394</v>
      </c>
      <c r="R59" s="9">
        <v>11.04856201020749</v>
      </c>
      <c r="S59" s="9">
        <v>11.364751027066461</v>
      </c>
      <c r="T59" s="9">
        <v>11.749173507902043</v>
      </c>
      <c r="U59" s="9">
        <v>12.850564325687124</v>
      </c>
      <c r="V59" s="9">
        <v>12.850564325687124</v>
      </c>
      <c r="W59" s="9">
        <v>12.850564325687124</v>
      </c>
      <c r="X59" s="9">
        <v>14.782637373051333</v>
      </c>
      <c r="Y59" s="9">
        <v>14.782637373051333</v>
      </c>
      <c r="Z59" s="9">
        <v>16.85024587052752</v>
      </c>
      <c r="AA59" s="9">
        <v>16.85024587052752</v>
      </c>
      <c r="AB59" s="9">
        <v>19.120701872341421</v>
      </c>
      <c r="AC59" s="9">
        <v>19.120701872341421</v>
      </c>
      <c r="AD59" s="9">
        <v>21.180732467605459</v>
      </c>
      <c r="AE59" s="9">
        <v>23.311209829410082</v>
      </c>
      <c r="AF59" s="9">
        <v>25.5191786344094</v>
      </c>
      <c r="AG59" s="9">
        <v>25.5191786344094</v>
      </c>
      <c r="AH59" s="9">
        <v>27.812388026922832</v>
      </c>
      <c r="AI59" s="9">
        <v>29.713125400067604</v>
      </c>
      <c r="AJ59" s="9">
        <v>3.0428788910505911</v>
      </c>
    </row>
    <row r="60" spans="1:36" x14ac:dyDescent="0.25">
      <c r="A60" t="s">
        <v>5411</v>
      </c>
      <c r="B60" t="s">
        <v>16</v>
      </c>
      <c r="C60" t="s">
        <v>17</v>
      </c>
      <c r="D60">
        <v>6600000</v>
      </c>
      <c r="E60">
        <v>6649999</v>
      </c>
      <c r="F60" t="s">
        <v>28</v>
      </c>
      <c r="G60" t="str">
        <f t="shared" si="0"/>
        <v>SPC</v>
      </c>
      <c r="H60" t="s">
        <v>19</v>
      </c>
      <c r="I60" t="s">
        <v>20</v>
      </c>
      <c r="J60" t="s">
        <v>21</v>
      </c>
      <c r="K60" s="6">
        <v>0.03</v>
      </c>
      <c r="L60" s="7">
        <f t="shared" si="1"/>
        <v>2E-3</v>
      </c>
      <c r="M60" s="7">
        <v>3.0000000000000001E-3</v>
      </c>
      <c r="N60">
        <v>6</v>
      </c>
      <c r="O60" s="8">
        <v>10.732823757657394</v>
      </c>
      <c r="P60" s="9">
        <v>10.732823757657394</v>
      </c>
      <c r="Q60" s="9">
        <v>10.732823757657394</v>
      </c>
      <c r="R60" s="9">
        <v>11.04856201020749</v>
      </c>
      <c r="S60" s="9">
        <v>11.364751027066461</v>
      </c>
      <c r="T60" s="9">
        <v>11.749173507902043</v>
      </c>
      <c r="U60" s="9">
        <v>12.850564325687124</v>
      </c>
      <c r="V60" s="9">
        <v>12.850564325687124</v>
      </c>
      <c r="W60" s="9">
        <v>12.850564325687124</v>
      </c>
      <c r="X60" s="9">
        <v>14.782637373051333</v>
      </c>
      <c r="Y60" s="9">
        <v>14.782637373051333</v>
      </c>
      <c r="Z60" s="9">
        <v>16.85024587052752</v>
      </c>
      <c r="AA60" s="9">
        <v>16.85024587052752</v>
      </c>
      <c r="AB60" s="9">
        <v>19.120701872341421</v>
      </c>
      <c r="AC60" s="9">
        <v>19.120701872341421</v>
      </c>
      <c r="AD60" s="9">
        <v>21.180732467605459</v>
      </c>
      <c r="AE60" s="9">
        <v>23.311209829410082</v>
      </c>
      <c r="AF60" s="9">
        <v>25.5191786344094</v>
      </c>
      <c r="AG60" s="9">
        <v>25.5191786344094</v>
      </c>
      <c r="AH60" s="9">
        <v>27.812388026922832</v>
      </c>
      <c r="AI60" s="9">
        <v>29.713125400067604</v>
      </c>
      <c r="AJ60" s="9">
        <v>3.0428788910505911</v>
      </c>
    </row>
    <row r="61" spans="1:36" x14ac:dyDescent="0.25">
      <c r="A61" t="s">
        <v>5411</v>
      </c>
      <c r="B61" t="s">
        <v>16</v>
      </c>
      <c r="C61" t="s">
        <v>17</v>
      </c>
      <c r="D61">
        <v>6650000</v>
      </c>
      <c r="E61">
        <v>6699999</v>
      </c>
      <c r="F61" t="s">
        <v>29</v>
      </c>
      <c r="G61" t="str">
        <f t="shared" si="0"/>
        <v>SPC</v>
      </c>
      <c r="H61" t="s">
        <v>19</v>
      </c>
      <c r="I61" t="s">
        <v>20</v>
      </c>
      <c r="J61" t="s">
        <v>21</v>
      </c>
      <c r="K61" s="6">
        <v>0.03</v>
      </c>
      <c r="L61" s="7">
        <f t="shared" si="1"/>
        <v>2E-3</v>
      </c>
      <c r="M61" s="7">
        <v>3.0000000000000001E-3</v>
      </c>
      <c r="N61">
        <v>6</v>
      </c>
      <c r="O61" s="8">
        <v>10.732823757657394</v>
      </c>
      <c r="P61" s="9">
        <v>10.732823757657394</v>
      </c>
      <c r="Q61" s="9">
        <v>10.732823757657394</v>
      </c>
      <c r="R61" s="9">
        <v>11.04856201020749</v>
      </c>
      <c r="S61" s="9">
        <v>11.364751027066461</v>
      </c>
      <c r="T61" s="9">
        <v>11.749173507902043</v>
      </c>
      <c r="U61" s="9">
        <v>12.850564325687124</v>
      </c>
      <c r="V61" s="9">
        <v>12.850564325687124</v>
      </c>
      <c r="W61" s="9">
        <v>12.850564325687124</v>
      </c>
      <c r="X61" s="9">
        <v>14.782637373051333</v>
      </c>
      <c r="Y61" s="9">
        <v>14.782637373051333</v>
      </c>
      <c r="Z61" s="9">
        <v>16.85024587052752</v>
      </c>
      <c r="AA61" s="9">
        <v>16.85024587052752</v>
      </c>
      <c r="AB61" s="9">
        <v>19.120701872341421</v>
      </c>
      <c r="AC61" s="9">
        <v>19.120701872341421</v>
      </c>
      <c r="AD61" s="9">
        <v>21.180732467605459</v>
      </c>
      <c r="AE61" s="9">
        <v>23.311209829410082</v>
      </c>
      <c r="AF61" s="9">
        <v>25.5191786344094</v>
      </c>
      <c r="AG61" s="9">
        <v>25.5191786344094</v>
      </c>
      <c r="AH61" s="9">
        <v>27.812388026922832</v>
      </c>
      <c r="AI61" s="9">
        <v>29.713125400067604</v>
      </c>
      <c r="AJ61" s="9">
        <v>3.0428788910505911</v>
      </c>
    </row>
    <row r="62" spans="1:36" x14ac:dyDescent="0.25">
      <c r="A62" t="s">
        <v>5411</v>
      </c>
      <c r="B62" t="s">
        <v>16</v>
      </c>
      <c r="C62" t="s">
        <v>17</v>
      </c>
      <c r="D62">
        <v>6700000</v>
      </c>
      <c r="E62">
        <v>6729999</v>
      </c>
      <c r="F62" t="s">
        <v>30</v>
      </c>
      <c r="G62" t="str">
        <f t="shared" si="0"/>
        <v>SPC</v>
      </c>
      <c r="H62" t="s">
        <v>19</v>
      </c>
      <c r="I62" t="s">
        <v>20</v>
      </c>
      <c r="J62" t="s">
        <v>21</v>
      </c>
      <c r="K62" s="6">
        <v>0.03</v>
      </c>
      <c r="L62" s="7">
        <f t="shared" si="1"/>
        <v>2E-3</v>
      </c>
      <c r="M62" s="7">
        <v>3.0000000000000001E-3</v>
      </c>
      <c r="N62">
        <v>6</v>
      </c>
      <c r="O62" s="8">
        <v>10.732823757657394</v>
      </c>
      <c r="P62" s="9">
        <v>10.732823757657394</v>
      </c>
      <c r="Q62" s="9">
        <v>10.732823757657394</v>
      </c>
      <c r="R62" s="9">
        <v>11.04856201020749</v>
      </c>
      <c r="S62" s="9">
        <v>11.364751027066461</v>
      </c>
      <c r="T62" s="9">
        <v>11.749173507902043</v>
      </c>
      <c r="U62" s="9">
        <v>12.850564325687124</v>
      </c>
      <c r="V62" s="9">
        <v>12.850564325687124</v>
      </c>
      <c r="W62" s="9">
        <v>12.850564325687124</v>
      </c>
      <c r="X62" s="9">
        <v>14.782637373051333</v>
      </c>
      <c r="Y62" s="9">
        <v>14.782637373051333</v>
      </c>
      <c r="Z62" s="9">
        <v>16.85024587052752</v>
      </c>
      <c r="AA62" s="9">
        <v>16.85024587052752</v>
      </c>
      <c r="AB62" s="9">
        <v>19.120701872341421</v>
      </c>
      <c r="AC62" s="9">
        <v>19.120701872341421</v>
      </c>
      <c r="AD62" s="9">
        <v>21.180732467605459</v>
      </c>
      <c r="AE62" s="9">
        <v>23.311209829410082</v>
      </c>
      <c r="AF62" s="9">
        <v>25.5191786344094</v>
      </c>
      <c r="AG62" s="9">
        <v>25.5191786344094</v>
      </c>
      <c r="AH62" s="9">
        <v>27.812388026922832</v>
      </c>
      <c r="AI62" s="9">
        <v>29.713125400067604</v>
      </c>
      <c r="AJ62" s="9">
        <v>3.0428788910505911</v>
      </c>
    </row>
    <row r="63" spans="1:36" x14ac:dyDescent="0.25">
      <c r="A63" t="s">
        <v>5411</v>
      </c>
      <c r="B63" t="s">
        <v>16</v>
      </c>
      <c r="C63" t="s">
        <v>17</v>
      </c>
      <c r="D63">
        <v>6730000</v>
      </c>
      <c r="E63">
        <v>6749999</v>
      </c>
      <c r="F63" t="s">
        <v>31</v>
      </c>
      <c r="G63" t="str">
        <f t="shared" si="0"/>
        <v>SPC</v>
      </c>
      <c r="H63" t="s">
        <v>19</v>
      </c>
      <c r="I63" t="s">
        <v>20</v>
      </c>
      <c r="J63" t="s">
        <v>21</v>
      </c>
      <c r="K63" s="6">
        <v>0.03</v>
      </c>
      <c r="L63" s="7">
        <f t="shared" si="1"/>
        <v>2E-3</v>
      </c>
      <c r="M63" s="7">
        <v>3.0000000000000001E-3</v>
      </c>
      <c r="N63">
        <v>6</v>
      </c>
      <c r="O63" s="8">
        <v>10.732823757657394</v>
      </c>
      <c r="P63" s="9">
        <v>10.732823757657394</v>
      </c>
      <c r="Q63" s="9">
        <v>10.732823757657394</v>
      </c>
      <c r="R63" s="9">
        <v>11.04856201020749</v>
      </c>
      <c r="S63" s="9">
        <v>11.364751027066461</v>
      </c>
      <c r="T63" s="9">
        <v>11.749173507902043</v>
      </c>
      <c r="U63" s="9">
        <v>12.850564325687124</v>
      </c>
      <c r="V63" s="9">
        <v>12.850564325687124</v>
      </c>
      <c r="W63" s="9">
        <v>12.850564325687124</v>
      </c>
      <c r="X63" s="9">
        <v>14.782637373051333</v>
      </c>
      <c r="Y63" s="9">
        <v>14.782637373051333</v>
      </c>
      <c r="Z63" s="9">
        <v>16.85024587052752</v>
      </c>
      <c r="AA63" s="9">
        <v>16.85024587052752</v>
      </c>
      <c r="AB63" s="9">
        <v>19.120701872341421</v>
      </c>
      <c r="AC63" s="9">
        <v>19.120701872341421</v>
      </c>
      <c r="AD63" s="9">
        <v>21.180732467605459</v>
      </c>
      <c r="AE63" s="9">
        <v>23.311209829410082</v>
      </c>
      <c r="AF63" s="9">
        <v>25.5191786344094</v>
      </c>
      <c r="AG63" s="9">
        <v>25.5191786344094</v>
      </c>
      <c r="AH63" s="9">
        <v>27.812388026922832</v>
      </c>
      <c r="AI63" s="9">
        <v>29.713125400067604</v>
      </c>
      <c r="AJ63" s="9">
        <v>3.0428788910505911</v>
      </c>
    </row>
    <row r="64" spans="1:36" x14ac:dyDescent="0.25">
      <c r="A64" t="s">
        <v>5411</v>
      </c>
      <c r="B64" t="s">
        <v>16</v>
      </c>
      <c r="C64" t="s">
        <v>17</v>
      </c>
      <c r="D64">
        <v>6750000</v>
      </c>
      <c r="E64">
        <v>6799999</v>
      </c>
      <c r="F64" t="s">
        <v>32</v>
      </c>
      <c r="G64" t="str">
        <f t="shared" si="0"/>
        <v>SPC</v>
      </c>
      <c r="H64" t="s">
        <v>19</v>
      </c>
      <c r="I64" t="s">
        <v>20</v>
      </c>
      <c r="J64" t="s">
        <v>21</v>
      </c>
      <c r="K64" s="6">
        <v>0.03</v>
      </c>
      <c r="L64" s="7">
        <f t="shared" si="1"/>
        <v>2E-3</v>
      </c>
      <c r="M64" s="7">
        <v>3.0000000000000001E-3</v>
      </c>
      <c r="N64">
        <v>6</v>
      </c>
      <c r="O64" s="8">
        <v>10.732823757657394</v>
      </c>
      <c r="P64" s="9">
        <v>10.732823757657394</v>
      </c>
      <c r="Q64" s="9">
        <v>10.732823757657394</v>
      </c>
      <c r="R64" s="9">
        <v>11.04856201020749</v>
      </c>
      <c r="S64" s="9">
        <v>11.364751027066461</v>
      </c>
      <c r="T64" s="9">
        <v>11.749173507902043</v>
      </c>
      <c r="U64" s="9">
        <v>12.850564325687124</v>
      </c>
      <c r="V64" s="9">
        <v>12.850564325687124</v>
      </c>
      <c r="W64" s="9">
        <v>12.850564325687124</v>
      </c>
      <c r="X64" s="9">
        <v>14.782637373051333</v>
      </c>
      <c r="Y64" s="9">
        <v>14.782637373051333</v>
      </c>
      <c r="Z64" s="9">
        <v>16.85024587052752</v>
      </c>
      <c r="AA64" s="9">
        <v>16.85024587052752</v>
      </c>
      <c r="AB64" s="9">
        <v>19.120701872341421</v>
      </c>
      <c r="AC64" s="9">
        <v>19.120701872341421</v>
      </c>
      <c r="AD64" s="9">
        <v>21.180732467605459</v>
      </c>
      <c r="AE64" s="9">
        <v>23.311209829410082</v>
      </c>
      <c r="AF64" s="9">
        <v>25.5191786344094</v>
      </c>
      <c r="AG64" s="9">
        <v>25.5191786344094</v>
      </c>
      <c r="AH64" s="9">
        <v>27.812388026922832</v>
      </c>
      <c r="AI64" s="9">
        <v>29.713125400067604</v>
      </c>
      <c r="AJ64" s="9">
        <v>3.0428788910505911</v>
      </c>
    </row>
    <row r="65" spans="1:36" x14ac:dyDescent="0.25">
      <c r="A65" t="s">
        <v>5411</v>
      </c>
      <c r="B65" t="s">
        <v>16</v>
      </c>
      <c r="C65" t="s">
        <v>17</v>
      </c>
      <c r="D65">
        <v>6800000</v>
      </c>
      <c r="E65">
        <v>6849999</v>
      </c>
      <c r="F65" t="s">
        <v>33</v>
      </c>
      <c r="G65" t="str">
        <f t="shared" si="0"/>
        <v>SPC</v>
      </c>
      <c r="H65" t="s">
        <v>19</v>
      </c>
      <c r="I65" t="s">
        <v>20</v>
      </c>
      <c r="J65" t="s">
        <v>21</v>
      </c>
      <c r="K65" s="6">
        <v>0.03</v>
      </c>
      <c r="L65" s="7">
        <f t="shared" si="1"/>
        <v>2E-3</v>
      </c>
      <c r="M65" s="7">
        <v>3.0000000000000001E-3</v>
      </c>
      <c r="N65">
        <v>6</v>
      </c>
      <c r="O65" s="8">
        <v>10.732823757657394</v>
      </c>
      <c r="P65" s="9">
        <v>10.732823757657394</v>
      </c>
      <c r="Q65" s="9">
        <v>10.732823757657394</v>
      </c>
      <c r="R65" s="9">
        <v>11.04856201020749</v>
      </c>
      <c r="S65" s="9">
        <v>11.364751027066461</v>
      </c>
      <c r="T65" s="9">
        <v>11.749173507902043</v>
      </c>
      <c r="U65" s="9">
        <v>12.850564325687124</v>
      </c>
      <c r="V65" s="9">
        <v>12.850564325687124</v>
      </c>
      <c r="W65" s="9">
        <v>12.850564325687124</v>
      </c>
      <c r="X65" s="9">
        <v>14.782637373051333</v>
      </c>
      <c r="Y65" s="9">
        <v>14.782637373051333</v>
      </c>
      <c r="Z65" s="9">
        <v>16.85024587052752</v>
      </c>
      <c r="AA65" s="9">
        <v>16.85024587052752</v>
      </c>
      <c r="AB65" s="9">
        <v>19.120701872341421</v>
      </c>
      <c r="AC65" s="9">
        <v>19.120701872341421</v>
      </c>
      <c r="AD65" s="9">
        <v>21.180732467605459</v>
      </c>
      <c r="AE65" s="9">
        <v>23.311209829410082</v>
      </c>
      <c r="AF65" s="9">
        <v>25.5191786344094</v>
      </c>
      <c r="AG65" s="9">
        <v>25.5191786344094</v>
      </c>
      <c r="AH65" s="9">
        <v>27.812388026922832</v>
      </c>
      <c r="AI65" s="9">
        <v>29.713125400067604</v>
      </c>
      <c r="AJ65" s="9">
        <v>3.0428788910505911</v>
      </c>
    </row>
    <row r="66" spans="1:36" x14ac:dyDescent="0.25">
      <c r="A66" t="s">
        <v>5411</v>
      </c>
      <c r="B66" t="s">
        <v>16</v>
      </c>
      <c r="C66" t="s">
        <v>17</v>
      </c>
      <c r="D66">
        <v>6850000</v>
      </c>
      <c r="E66">
        <v>6889999</v>
      </c>
      <c r="F66" t="s">
        <v>34</v>
      </c>
      <c r="G66" t="str">
        <f t="shared" si="0"/>
        <v>SPC</v>
      </c>
      <c r="H66" t="s">
        <v>19</v>
      </c>
      <c r="I66" t="s">
        <v>20</v>
      </c>
      <c r="J66" t="s">
        <v>21</v>
      </c>
      <c r="K66" s="6">
        <v>0.03</v>
      </c>
      <c r="L66" s="7">
        <f t="shared" si="1"/>
        <v>2E-3</v>
      </c>
      <c r="M66" s="7">
        <v>3.0000000000000001E-3</v>
      </c>
      <c r="N66">
        <v>6</v>
      </c>
      <c r="O66" s="8">
        <v>10.732823757657394</v>
      </c>
      <c r="P66" s="9">
        <v>10.732823757657394</v>
      </c>
      <c r="Q66" s="9">
        <v>10.732823757657394</v>
      </c>
      <c r="R66" s="9">
        <v>11.04856201020749</v>
      </c>
      <c r="S66" s="9">
        <v>11.364751027066461</v>
      </c>
      <c r="T66" s="9">
        <v>11.749173507902043</v>
      </c>
      <c r="U66" s="9">
        <v>12.850564325687124</v>
      </c>
      <c r="V66" s="9">
        <v>12.850564325687124</v>
      </c>
      <c r="W66" s="9">
        <v>12.850564325687124</v>
      </c>
      <c r="X66" s="9">
        <v>14.782637373051333</v>
      </c>
      <c r="Y66" s="9">
        <v>14.782637373051333</v>
      </c>
      <c r="Z66" s="9">
        <v>16.85024587052752</v>
      </c>
      <c r="AA66" s="9">
        <v>16.85024587052752</v>
      </c>
      <c r="AB66" s="9">
        <v>19.120701872341421</v>
      </c>
      <c r="AC66" s="9">
        <v>19.120701872341421</v>
      </c>
      <c r="AD66" s="9">
        <v>21.180732467605459</v>
      </c>
      <c r="AE66" s="9">
        <v>23.311209829410082</v>
      </c>
      <c r="AF66" s="9">
        <v>25.5191786344094</v>
      </c>
      <c r="AG66" s="9">
        <v>25.5191786344094</v>
      </c>
      <c r="AH66" s="9">
        <v>27.812388026922832</v>
      </c>
      <c r="AI66" s="9">
        <v>29.713125400067604</v>
      </c>
      <c r="AJ66" s="9">
        <v>3.0428788910505911</v>
      </c>
    </row>
    <row r="67" spans="1:36" x14ac:dyDescent="0.25">
      <c r="A67" t="s">
        <v>5411</v>
      </c>
      <c r="B67" t="s">
        <v>16</v>
      </c>
      <c r="C67" t="s">
        <v>17</v>
      </c>
      <c r="D67">
        <v>6890000</v>
      </c>
      <c r="E67">
        <v>6899999</v>
      </c>
      <c r="F67" t="s">
        <v>35</v>
      </c>
      <c r="G67" t="str">
        <f t="shared" si="0"/>
        <v>SPC</v>
      </c>
      <c r="H67" t="s">
        <v>19</v>
      </c>
      <c r="I67" t="s">
        <v>20</v>
      </c>
      <c r="J67" t="s">
        <v>21</v>
      </c>
      <c r="K67" s="6">
        <v>0.03</v>
      </c>
      <c r="L67" s="7">
        <f t="shared" si="1"/>
        <v>2E-3</v>
      </c>
      <c r="M67" s="7">
        <v>3.0000000000000001E-3</v>
      </c>
      <c r="N67">
        <v>6</v>
      </c>
      <c r="O67" s="8">
        <v>10.732823757657394</v>
      </c>
      <c r="P67" s="9">
        <v>10.732823757657394</v>
      </c>
      <c r="Q67" s="9">
        <v>10.732823757657394</v>
      </c>
      <c r="R67" s="9">
        <v>11.04856201020749</v>
      </c>
      <c r="S67" s="9">
        <v>11.364751027066461</v>
      </c>
      <c r="T67" s="9">
        <v>11.749173507902043</v>
      </c>
      <c r="U67" s="9">
        <v>12.850564325687124</v>
      </c>
      <c r="V67" s="9">
        <v>12.850564325687124</v>
      </c>
      <c r="W67" s="9">
        <v>12.850564325687124</v>
      </c>
      <c r="X67" s="9">
        <v>14.782637373051333</v>
      </c>
      <c r="Y67" s="9">
        <v>14.782637373051333</v>
      </c>
      <c r="Z67" s="9">
        <v>16.85024587052752</v>
      </c>
      <c r="AA67" s="9">
        <v>16.85024587052752</v>
      </c>
      <c r="AB67" s="9">
        <v>19.120701872341421</v>
      </c>
      <c r="AC67" s="9">
        <v>19.120701872341421</v>
      </c>
      <c r="AD67" s="9">
        <v>21.180732467605459</v>
      </c>
      <c r="AE67" s="9">
        <v>23.311209829410082</v>
      </c>
      <c r="AF67" s="9">
        <v>25.5191786344094</v>
      </c>
      <c r="AG67" s="9">
        <v>25.5191786344094</v>
      </c>
      <c r="AH67" s="9">
        <v>27.812388026922832</v>
      </c>
      <c r="AI67" s="9">
        <v>29.713125400067604</v>
      </c>
      <c r="AJ67" s="9">
        <v>3.0428788910505911</v>
      </c>
    </row>
    <row r="68" spans="1:36" x14ac:dyDescent="0.25">
      <c r="A68" t="s">
        <v>5411</v>
      </c>
      <c r="B68" t="s">
        <v>16</v>
      </c>
      <c r="C68" t="s">
        <v>17</v>
      </c>
      <c r="D68">
        <v>6900000</v>
      </c>
      <c r="E68">
        <v>6949999</v>
      </c>
      <c r="F68" t="s">
        <v>36</v>
      </c>
      <c r="G68" t="str">
        <f t="shared" ref="G68:G131" si="2">H68&amp;IF(J68="CAPITAL","C",IF(J68="INTERIOR","I",IF(J68="INTERIOR II","I II","R")))</f>
        <v>SPC</v>
      </c>
      <c r="H68" t="s">
        <v>19</v>
      </c>
      <c r="I68" t="s">
        <v>20</v>
      </c>
      <c r="J68" t="s">
        <v>21</v>
      </c>
      <c r="K68" s="6">
        <v>0.03</v>
      </c>
      <c r="L68" s="7">
        <f t="shared" ref="L68:L131" si="3">IF(I68="(0) Não",0.2%,3%)</f>
        <v>2E-3</v>
      </c>
      <c r="M68" s="7">
        <v>3.0000000000000001E-3</v>
      </c>
      <c r="N68">
        <v>6</v>
      </c>
      <c r="O68" s="8">
        <v>10.732823757657394</v>
      </c>
      <c r="P68" s="9">
        <v>10.732823757657394</v>
      </c>
      <c r="Q68" s="9">
        <v>10.732823757657394</v>
      </c>
      <c r="R68" s="9">
        <v>11.04856201020749</v>
      </c>
      <c r="S68" s="9">
        <v>11.364751027066461</v>
      </c>
      <c r="T68" s="9">
        <v>11.749173507902043</v>
      </c>
      <c r="U68" s="9">
        <v>12.850564325687124</v>
      </c>
      <c r="V68" s="9">
        <v>12.850564325687124</v>
      </c>
      <c r="W68" s="9">
        <v>12.850564325687124</v>
      </c>
      <c r="X68" s="9">
        <v>14.782637373051333</v>
      </c>
      <c r="Y68" s="9">
        <v>14.782637373051333</v>
      </c>
      <c r="Z68" s="9">
        <v>16.85024587052752</v>
      </c>
      <c r="AA68" s="9">
        <v>16.85024587052752</v>
      </c>
      <c r="AB68" s="9">
        <v>19.120701872341421</v>
      </c>
      <c r="AC68" s="9">
        <v>19.120701872341421</v>
      </c>
      <c r="AD68" s="9">
        <v>21.180732467605459</v>
      </c>
      <c r="AE68" s="9">
        <v>23.311209829410082</v>
      </c>
      <c r="AF68" s="9">
        <v>25.5191786344094</v>
      </c>
      <c r="AG68" s="9">
        <v>25.5191786344094</v>
      </c>
      <c r="AH68" s="9">
        <v>27.812388026922832</v>
      </c>
      <c r="AI68" s="9">
        <v>29.713125400067604</v>
      </c>
      <c r="AJ68" s="9">
        <v>3.0428788910505911</v>
      </c>
    </row>
    <row r="69" spans="1:36" x14ac:dyDescent="0.25">
      <c r="A69" t="s">
        <v>5411</v>
      </c>
      <c r="B69" t="s">
        <v>16</v>
      </c>
      <c r="C69" t="s">
        <v>17</v>
      </c>
      <c r="D69">
        <v>6950000</v>
      </c>
      <c r="E69">
        <v>6999999</v>
      </c>
      <c r="F69" t="s">
        <v>37</v>
      </c>
      <c r="G69" t="str">
        <f t="shared" si="2"/>
        <v>SPC</v>
      </c>
      <c r="H69" t="s">
        <v>19</v>
      </c>
      <c r="I69" t="s">
        <v>20</v>
      </c>
      <c r="J69" t="s">
        <v>21</v>
      </c>
      <c r="K69" s="6">
        <v>0.03</v>
      </c>
      <c r="L69" s="7">
        <f t="shared" si="3"/>
        <v>2E-3</v>
      </c>
      <c r="M69" s="7">
        <v>3.0000000000000001E-3</v>
      </c>
      <c r="N69">
        <v>6</v>
      </c>
      <c r="O69" s="8">
        <v>10.732823757657394</v>
      </c>
      <c r="P69" s="9">
        <v>10.732823757657394</v>
      </c>
      <c r="Q69" s="9">
        <v>10.732823757657394</v>
      </c>
      <c r="R69" s="9">
        <v>11.04856201020749</v>
      </c>
      <c r="S69" s="9">
        <v>11.364751027066461</v>
      </c>
      <c r="T69" s="9">
        <v>11.749173507902043</v>
      </c>
      <c r="U69" s="9">
        <v>12.850564325687124</v>
      </c>
      <c r="V69" s="9">
        <v>12.850564325687124</v>
      </c>
      <c r="W69" s="9">
        <v>12.850564325687124</v>
      </c>
      <c r="X69" s="9">
        <v>14.782637373051333</v>
      </c>
      <c r="Y69" s="9">
        <v>14.782637373051333</v>
      </c>
      <c r="Z69" s="9">
        <v>16.85024587052752</v>
      </c>
      <c r="AA69" s="9">
        <v>16.85024587052752</v>
      </c>
      <c r="AB69" s="9">
        <v>19.120701872341421</v>
      </c>
      <c r="AC69" s="9">
        <v>19.120701872341421</v>
      </c>
      <c r="AD69" s="9">
        <v>21.180732467605459</v>
      </c>
      <c r="AE69" s="9">
        <v>23.311209829410082</v>
      </c>
      <c r="AF69" s="9">
        <v>25.5191786344094</v>
      </c>
      <c r="AG69" s="9">
        <v>25.5191786344094</v>
      </c>
      <c r="AH69" s="9">
        <v>27.812388026922832</v>
      </c>
      <c r="AI69" s="9">
        <v>29.713125400067604</v>
      </c>
      <c r="AJ69" s="9">
        <v>3.0428788910505911</v>
      </c>
    </row>
    <row r="70" spans="1:36" x14ac:dyDescent="0.25">
      <c r="A70" t="s">
        <v>5411</v>
      </c>
      <c r="B70" t="s">
        <v>16</v>
      </c>
      <c r="C70" t="s">
        <v>17</v>
      </c>
      <c r="D70">
        <v>7000000</v>
      </c>
      <c r="E70">
        <v>7099999</v>
      </c>
      <c r="F70" t="s">
        <v>38</v>
      </c>
      <c r="G70" t="str">
        <f t="shared" si="2"/>
        <v>SPC</v>
      </c>
      <c r="H70" t="s">
        <v>19</v>
      </c>
      <c r="I70" t="s">
        <v>20</v>
      </c>
      <c r="J70" t="s">
        <v>21</v>
      </c>
      <c r="K70" s="6">
        <v>0.03</v>
      </c>
      <c r="L70" s="7">
        <f t="shared" si="3"/>
        <v>2E-3</v>
      </c>
      <c r="M70" s="7">
        <v>3.0000000000000001E-3</v>
      </c>
      <c r="N70">
        <v>6</v>
      </c>
      <c r="O70" s="8">
        <v>10.732823757657394</v>
      </c>
      <c r="P70" s="9">
        <v>10.732823757657394</v>
      </c>
      <c r="Q70" s="9">
        <v>10.732823757657394</v>
      </c>
      <c r="R70" s="9">
        <v>11.04856201020749</v>
      </c>
      <c r="S70" s="9">
        <v>11.364751027066461</v>
      </c>
      <c r="T70" s="9">
        <v>11.749173507902043</v>
      </c>
      <c r="U70" s="9">
        <v>12.850564325687124</v>
      </c>
      <c r="V70" s="9">
        <v>12.850564325687124</v>
      </c>
      <c r="W70" s="9">
        <v>12.850564325687124</v>
      </c>
      <c r="X70" s="9">
        <v>14.782637373051333</v>
      </c>
      <c r="Y70" s="9">
        <v>14.782637373051333</v>
      </c>
      <c r="Z70" s="9">
        <v>16.85024587052752</v>
      </c>
      <c r="AA70" s="9">
        <v>16.85024587052752</v>
      </c>
      <c r="AB70" s="9">
        <v>19.120701872341421</v>
      </c>
      <c r="AC70" s="9">
        <v>19.120701872341421</v>
      </c>
      <c r="AD70" s="9">
        <v>21.180732467605459</v>
      </c>
      <c r="AE70" s="9">
        <v>23.311209829410082</v>
      </c>
      <c r="AF70" s="9">
        <v>25.5191786344094</v>
      </c>
      <c r="AG70" s="9">
        <v>25.5191786344094</v>
      </c>
      <c r="AH70" s="9">
        <v>27.812388026922832</v>
      </c>
      <c r="AI70" s="9">
        <v>29.713125400067604</v>
      </c>
      <c r="AJ70" s="9">
        <v>3.0428788910505911</v>
      </c>
    </row>
    <row r="71" spans="1:36" x14ac:dyDescent="0.25">
      <c r="A71" t="s">
        <v>5411</v>
      </c>
      <c r="B71" t="s">
        <v>16</v>
      </c>
      <c r="C71" t="s">
        <v>17</v>
      </c>
      <c r="D71">
        <v>7100000</v>
      </c>
      <c r="E71">
        <v>7199999</v>
      </c>
      <c r="F71" t="s">
        <v>38</v>
      </c>
      <c r="G71" t="str">
        <f t="shared" si="2"/>
        <v>SPC</v>
      </c>
      <c r="H71" t="s">
        <v>19</v>
      </c>
      <c r="I71" t="s">
        <v>20</v>
      </c>
      <c r="J71" t="s">
        <v>21</v>
      </c>
      <c r="K71" s="6">
        <v>0.03</v>
      </c>
      <c r="L71" s="7">
        <f t="shared" si="3"/>
        <v>2E-3</v>
      </c>
      <c r="M71" s="7">
        <v>3.0000000000000001E-3</v>
      </c>
      <c r="N71">
        <v>6</v>
      </c>
      <c r="O71" s="8">
        <v>10.732823757657394</v>
      </c>
      <c r="P71" s="9">
        <v>10.732823757657394</v>
      </c>
      <c r="Q71" s="9">
        <v>10.732823757657394</v>
      </c>
      <c r="R71" s="9">
        <v>11.04856201020749</v>
      </c>
      <c r="S71" s="9">
        <v>11.364751027066461</v>
      </c>
      <c r="T71" s="9">
        <v>11.749173507902043</v>
      </c>
      <c r="U71" s="9">
        <v>12.850564325687124</v>
      </c>
      <c r="V71" s="9">
        <v>12.850564325687124</v>
      </c>
      <c r="W71" s="9">
        <v>12.850564325687124</v>
      </c>
      <c r="X71" s="9">
        <v>14.782637373051333</v>
      </c>
      <c r="Y71" s="9">
        <v>14.782637373051333</v>
      </c>
      <c r="Z71" s="9">
        <v>16.85024587052752</v>
      </c>
      <c r="AA71" s="9">
        <v>16.85024587052752</v>
      </c>
      <c r="AB71" s="9">
        <v>19.120701872341421</v>
      </c>
      <c r="AC71" s="9">
        <v>19.120701872341421</v>
      </c>
      <c r="AD71" s="9">
        <v>21.180732467605459</v>
      </c>
      <c r="AE71" s="9">
        <v>23.311209829410082</v>
      </c>
      <c r="AF71" s="9">
        <v>25.5191786344094</v>
      </c>
      <c r="AG71" s="9">
        <v>25.5191786344094</v>
      </c>
      <c r="AH71" s="9">
        <v>27.812388026922832</v>
      </c>
      <c r="AI71" s="9">
        <v>29.713125400067604</v>
      </c>
      <c r="AJ71" s="9">
        <v>3.0428788910505911</v>
      </c>
    </row>
    <row r="72" spans="1:36" x14ac:dyDescent="0.25">
      <c r="A72" t="s">
        <v>5411</v>
      </c>
      <c r="B72" t="s">
        <v>16</v>
      </c>
      <c r="C72" t="s">
        <v>17</v>
      </c>
      <c r="D72">
        <v>7200000</v>
      </c>
      <c r="E72">
        <v>7299999</v>
      </c>
      <c r="F72" t="s">
        <v>38</v>
      </c>
      <c r="G72" t="str">
        <f t="shared" si="2"/>
        <v>SPC</v>
      </c>
      <c r="H72" t="s">
        <v>19</v>
      </c>
      <c r="I72" t="s">
        <v>20</v>
      </c>
      <c r="J72" t="s">
        <v>21</v>
      </c>
      <c r="K72" s="6">
        <v>0.03</v>
      </c>
      <c r="L72" s="7">
        <f t="shared" si="3"/>
        <v>2E-3</v>
      </c>
      <c r="M72" s="7">
        <v>3.0000000000000001E-3</v>
      </c>
      <c r="N72">
        <v>6</v>
      </c>
      <c r="O72" s="8">
        <v>10.732823757657394</v>
      </c>
      <c r="P72" s="9">
        <v>10.732823757657394</v>
      </c>
      <c r="Q72" s="9">
        <v>10.732823757657394</v>
      </c>
      <c r="R72" s="9">
        <v>11.04856201020749</v>
      </c>
      <c r="S72" s="9">
        <v>11.364751027066461</v>
      </c>
      <c r="T72" s="9">
        <v>11.749173507902043</v>
      </c>
      <c r="U72" s="9">
        <v>12.850564325687124</v>
      </c>
      <c r="V72" s="9">
        <v>12.850564325687124</v>
      </c>
      <c r="W72" s="9">
        <v>12.850564325687124</v>
      </c>
      <c r="X72" s="9">
        <v>14.782637373051333</v>
      </c>
      <c r="Y72" s="9">
        <v>14.782637373051333</v>
      </c>
      <c r="Z72" s="9">
        <v>16.85024587052752</v>
      </c>
      <c r="AA72" s="9">
        <v>16.85024587052752</v>
      </c>
      <c r="AB72" s="9">
        <v>19.120701872341421</v>
      </c>
      <c r="AC72" s="9">
        <v>19.120701872341421</v>
      </c>
      <c r="AD72" s="9">
        <v>21.180732467605459</v>
      </c>
      <c r="AE72" s="9">
        <v>23.311209829410082</v>
      </c>
      <c r="AF72" s="9">
        <v>25.5191786344094</v>
      </c>
      <c r="AG72" s="9">
        <v>25.5191786344094</v>
      </c>
      <c r="AH72" s="9">
        <v>27.812388026922832</v>
      </c>
      <c r="AI72" s="9">
        <v>29.713125400067604</v>
      </c>
      <c r="AJ72" s="9">
        <v>3.0428788910505911</v>
      </c>
    </row>
    <row r="73" spans="1:36" x14ac:dyDescent="0.25">
      <c r="A73" t="s">
        <v>5411</v>
      </c>
      <c r="B73" t="s">
        <v>16</v>
      </c>
      <c r="C73" t="s">
        <v>17</v>
      </c>
      <c r="D73">
        <v>7300000</v>
      </c>
      <c r="E73">
        <v>7399999</v>
      </c>
      <c r="F73" t="s">
        <v>38</v>
      </c>
      <c r="G73" t="str">
        <f t="shared" si="2"/>
        <v>SPC</v>
      </c>
      <c r="H73" t="s">
        <v>19</v>
      </c>
      <c r="I73" t="s">
        <v>20</v>
      </c>
      <c r="J73" t="s">
        <v>21</v>
      </c>
      <c r="K73" s="6">
        <v>0.03</v>
      </c>
      <c r="L73" s="7">
        <f t="shared" si="3"/>
        <v>2E-3</v>
      </c>
      <c r="M73" s="7">
        <v>3.0000000000000001E-3</v>
      </c>
      <c r="N73">
        <v>6</v>
      </c>
      <c r="O73" s="8">
        <v>10.732823757657394</v>
      </c>
      <c r="P73" s="9">
        <v>10.732823757657394</v>
      </c>
      <c r="Q73" s="9">
        <v>10.732823757657394</v>
      </c>
      <c r="R73" s="9">
        <v>11.04856201020749</v>
      </c>
      <c r="S73" s="9">
        <v>11.364751027066461</v>
      </c>
      <c r="T73" s="9">
        <v>11.749173507902043</v>
      </c>
      <c r="U73" s="9">
        <v>12.850564325687124</v>
      </c>
      <c r="V73" s="9">
        <v>12.850564325687124</v>
      </c>
      <c r="W73" s="9">
        <v>12.850564325687124</v>
      </c>
      <c r="X73" s="9">
        <v>14.782637373051333</v>
      </c>
      <c r="Y73" s="9">
        <v>14.782637373051333</v>
      </c>
      <c r="Z73" s="9">
        <v>16.85024587052752</v>
      </c>
      <c r="AA73" s="9">
        <v>16.85024587052752</v>
      </c>
      <c r="AB73" s="9">
        <v>19.120701872341421</v>
      </c>
      <c r="AC73" s="9">
        <v>19.120701872341421</v>
      </c>
      <c r="AD73" s="9">
        <v>21.180732467605459</v>
      </c>
      <c r="AE73" s="9">
        <v>23.311209829410082</v>
      </c>
      <c r="AF73" s="9">
        <v>25.5191786344094</v>
      </c>
      <c r="AG73" s="9">
        <v>25.5191786344094</v>
      </c>
      <c r="AH73" s="9">
        <v>27.812388026922832</v>
      </c>
      <c r="AI73" s="9">
        <v>29.713125400067604</v>
      </c>
      <c r="AJ73" s="9">
        <v>3.0428788910505911</v>
      </c>
    </row>
    <row r="74" spans="1:36" x14ac:dyDescent="0.25">
      <c r="A74" t="s">
        <v>5411</v>
      </c>
      <c r="B74" t="s">
        <v>16</v>
      </c>
      <c r="C74" t="s">
        <v>17</v>
      </c>
      <c r="D74">
        <v>7400000</v>
      </c>
      <c r="E74">
        <v>7499999</v>
      </c>
      <c r="F74" t="s">
        <v>39</v>
      </c>
      <c r="G74" t="str">
        <f t="shared" si="2"/>
        <v>SPC</v>
      </c>
      <c r="H74" t="s">
        <v>19</v>
      </c>
      <c r="I74" t="s">
        <v>20</v>
      </c>
      <c r="J74" t="s">
        <v>21</v>
      </c>
      <c r="K74" s="6">
        <v>0.03</v>
      </c>
      <c r="L74" s="7">
        <f t="shared" si="3"/>
        <v>2E-3</v>
      </c>
      <c r="M74" s="7">
        <v>3.0000000000000001E-3</v>
      </c>
      <c r="N74">
        <v>6</v>
      </c>
      <c r="O74" s="8">
        <v>10.732823757657394</v>
      </c>
      <c r="P74" s="9">
        <v>10.732823757657394</v>
      </c>
      <c r="Q74" s="9">
        <v>10.732823757657394</v>
      </c>
      <c r="R74" s="9">
        <v>11.04856201020749</v>
      </c>
      <c r="S74" s="9">
        <v>11.364751027066461</v>
      </c>
      <c r="T74" s="9">
        <v>11.749173507902043</v>
      </c>
      <c r="U74" s="9">
        <v>12.850564325687124</v>
      </c>
      <c r="V74" s="9">
        <v>12.850564325687124</v>
      </c>
      <c r="W74" s="9">
        <v>12.850564325687124</v>
      </c>
      <c r="X74" s="9">
        <v>14.782637373051333</v>
      </c>
      <c r="Y74" s="9">
        <v>14.782637373051333</v>
      </c>
      <c r="Z74" s="9">
        <v>16.85024587052752</v>
      </c>
      <c r="AA74" s="9">
        <v>16.85024587052752</v>
      </c>
      <c r="AB74" s="9">
        <v>19.120701872341421</v>
      </c>
      <c r="AC74" s="9">
        <v>19.120701872341421</v>
      </c>
      <c r="AD74" s="9">
        <v>21.180732467605459</v>
      </c>
      <c r="AE74" s="9">
        <v>23.311209829410082</v>
      </c>
      <c r="AF74" s="9">
        <v>25.5191786344094</v>
      </c>
      <c r="AG74" s="9">
        <v>25.5191786344094</v>
      </c>
      <c r="AH74" s="9">
        <v>27.812388026922832</v>
      </c>
      <c r="AI74" s="9">
        <v>29.713125400067604</v>
      </c>
      <c r="AJ74" s="9">
        <v>3.0428788910505911</v>
      </c>
    </row>
    <row r="75" spans="1:36" x14ac:dyDescent="0.25">
      <c r="A75" t="s">
        <v>5411</v>
      </c>
      <c r="B75" t="s">
        <v>16</v>
      </c>
      <c r="C75" t="s">
        <v>17</v>
      </c>
      <c r="D75">
        <v>7500000</v>
      </c>
      <c r="E75">
        <v>7599999</v>
      </c>
      <c r="F75" t="s">
        <v>40</v>
      </c>
      <c r="G75" t="str">
        <f t="shared" si="2"/>
        <v>SPC</v>
      </c>
      <c r="H75" t="s">
        <v>19</v>
      </c>
      <c r="I75" t="s">
        <v>20</v>
      </c>
      <c r="J75" t="s">
        <v>21</v>
      </c>
      <c r="K75" s="6">
        <v>0.03</v>
      </c>
      <c r="L75" s="7">
        <f t="shared" si="3"/>
        <v>2E-3</v>
      </c>
      <c r="M75" s="7">
        <v>3.0000000000000001E-3</v>
      </c>
      <c r="N75">
        <v>6</v>
      </c>
      <c r="O75" s="8">
        <v>10.732823757657394</v>
      </c>
      <c r="P75" s="9">
        <v>10.732823757657394</v>
      </c>
      <c r="Q75" s="9">
        <v>10.732823757657394</v>
      </c>
      <c r="R75" s="9">
        <v>11.04856201020749</v>
      </c>
      <c r="S75" s="9">
        <v>11.364751027066461</v>
      </c>
      <c r="T75" s="9">
        <v>11.749173507902043</v>
      </c>
      <c r="U75" s="9">
        <v>12.850564325687124</v>
      </c>
      <c r="V75" s="9">
        <v>12.850564325687124</v>
      </c>
      <c r="W75" s="9">
        <v>12.850564325687124</v>
      </c>
      <c r="X75" s="9">
        <v>14.782637373051333</v>
      </c>
      <c r="Y75" s="9">
        <v>14.782637373051333</v>
      </c>
      <c r="Z75" s="9">
        <v>16.85024587052752</v>
      </c>
      <c r="AA75" s="9">
        <v>16.85024587052752</v>
      </c>
      <c r="AB75" s="9">
        <v>19.120701872341421</v>
      </c>
      <c r="AC75" s="9">
        <v>19.120701872341421</v>
      </c>
      <c r="AD75" s="9">
        <v>21.180732467605459</v>
      </c>
      <c r="AE75" s="9">
        <v>23.311209829410082</v>
      </c>
      <c r="AF75" s="9">
        <v>25.5191786344094</v>
      </c>
      <c r="AG75" s="9">
        <v>25.5191786344094</v>
      </c>
      <c r="AH75" s="9">
        <v>27.812388026922832</v>
      </c>
      <c r="AI75" s="9">
        <v>29.713125400067604</v>
      </c>
      <c r="AJ75" s="9">
        <v>3.0428788910505911</v>
      </c>
    </row>
    <row r="76" spans="1:36" x14ac:dyDescent="0.25">
      <c r="A76" t="s">
        <v>5411</v>
      </c>
      <c r="B76" t="s">
        <v>16</v>
      </c>
      <c r="C76" t="s">
        <v>17</v>
      </c>
      <c r="D76">
        <v>7600000</v>
      </c>
      <c r="E76">
        <v>7699999</v>
      </c>
      <c r="F76" t="s">
        <v>41</v>
      </c>
      <c r="G76" t="str">
        <f t="shared" si="2"/>
        <v>SPC</v>
      </c>
      <c r="H76" t="s">
        <v>19</v>
      </c>
      <c r="I76" t="s">
        <v>20</v>
      </c>
      <c r="J76" t="s">
        <v>21</v>
      </c>
      <c r="K76" s="6">
        <v>0.03</v>
      </c>
      <c r="L76" s="7">
        <f t="shared" si="3"/>
        <v>2E-3</v>
      </c>
      <c r="M76" s="7">
        <v>3.0000000000000001E-3</v>
      </c>
      <c r="N76">
        <v>6</v>
      </c>
      <c r="O76" s="8">
        <v>10.732823757657394</v>
      </c>
      <c r="P76" s="9">
        <v>10.732823757657394</v>
      </c>
      <c r="Q76" s="9">
        <v>10.732823757657394</v>
      </c>
      <c r="R76" s="9">
        <v>11.04856201020749</v>
      </c>
      <c r="S76" s="9">
        <v>11.364751027066461</v>
      </c>
      <c r="T76" s="9">
        <v>11.749173507902043</v>
      </c>
      <c r="U76" s="9">
        <v>12.850564325687124</v>
      </c>
      <c r="V76" s="9">
        <v>12.850564325687124</v>
      </c>
      <c r="W76" s="9">
        <v>12.850564325687124</v>
      </c>
      <c r="X76" s="9">
        <v>14.782637373051333</v>
      </c>
      <c r="Y76" s="9">
        <v>14.782637373051333</v>
      </c>
      <c r="Z76" s="9">
        <v>16.85024587052752</v>
      </c>
      <c r="AA76" s="9">
        <v>16.85024587052752</v>
      </c>
      <c r="AB76" s="9">
        <v>19.120701872341421</v>
      </c>
      <c r="AC76" s="9">
        <v>19.120701872341421</v>
      </c>
      <c r="AD76" s="9">
        <v>21.180732467605459</v>
      </c>
      <c r="AE76" s="9">
        <v>23.311209829410082</v>
      </c>
      <c r="AF76" s="9">
        <v>25.5191786344094</v>
      </c>
      <c r="AG76" s="9">
        <v>25.5191786344094</v>
      </c>
      <c r="AH76" s="9">
        <v>27.812388026922832</v>
      </c>
      <c r="AI76" s="9">
        <v>29.713125400067604</v>
      </c>
      <c r="AJ76" s="9">
        <v>3.0428788910505911</v>
      </c>
    </row>
    <row r="77" spans="1:36" x14ac:dyDescent="0.25">
      <c r="A77" t="s">
        <v>5411</v>
      </c>
      <c r="B77" t="s">
        <v>16</v>
      </c>
      <c r="C77" t="s">
        <v>17</v>
      </c>
      <c r="D77">
        <v>7700000</v>
      </c>
      <c r="E77">
        <v>7749999</v>
      </c>
      <c r="F77" t="s">
        <v>42</v>
      </c>
      <c r="G77" t="str">
        <f t="shared" si="2"/>
        <v>SPC</v>
      </c>
      <c r="H77" t="s">
        <v>19</v>
      </c>
      <c r="I77" t="s">
        <v>20</v>
      </c>
      <c r="J77" t="s">
        <v>21</v>
      </c>
      <c r="K77" s="6">
        <v>0.03</v>
      </c>
      <c r="L77" s="7">
        <f t="shared" si="3"/>
        <v>2E-3</v>
      </c>
      <c r="M77" s="7">
        <v>3.0000000000000001E-3</v>
      </c>
      <c r="N77">
        <v>6</v>
      </c>
      <c r="O77" s="8">
        <v>10.732823757657394</v>
      </c>
      <c r="P77" s="9">
        <v>10.732823757657394</v>
      </c>
      <c r="Q77" s="9">
        <v>10.732823757657394</v>
      </c>
      <c r="R77" s="9">
        <v>11.04856201020749</v>
      </c>
      <c r="S77" s="9">
        <v>11.364751027066461</v>
      </c>
      <c r="T77" s="9">
        <v>11.749173507902043</v>
      </c>
      <c r="U77" s="9">
        <v>12.850564325687124</v>
      </c>
      <c r="V77" s="9">
        <v>12.850564325687124</v>
      </c>
      <c r="W77" s="9">
        <v>12.850564325687124</v>
      </c>
      <c r="X77" s="9">
        <v>14.782637373051333</v>
      </c>
      <c r="Y77" s="9">
        <v>14.782637373051333</v>
      </c>
      <c r="Z77" s="9">
        <v>16.85024587052752</v>
      </c>
      <c r="AA77" s="9">
        <v>16.85024587052752</v>
      </c>
      <c r="AB77" s="9">
        <v>19.120701872341421</v>
      </c>
      <c r="AC77" s="9">
        <v>19.120701872341421</v>
      </c>
      <c r="AD77" s="9">
        <v>21.180732467605459</v>
      </c>
      <c r="AE77" s="9">
        <v>23.311209829410082</v>
      </c>
      <c r="AF77" s="9">
        <v>25.5191786344094</v>
      </c>
      <c r="AG77" s="9">
        <v>25.5191786344094</v>
      </c>
      <c r="AH77" s="9">
        <v>27.812388026922832</v>
      </c>
      <c r="AI77" s="9">
        <v>29.713125400067604</v>
      </c>
      <c r="AJ77" s="9">
        <v>3.0428788910505911</v>
      </c>
    </row>
    <row r="78" spans="1:36" x14ac:dyDescent="0.25">
      <c r="A78" t="s">
        <v>5411</v>
      </c>
      <c r="B78" t="s">
        <v>16</v>
      </c>
      <c r="C78" t="s">
        <v>17</v>
      </c>
      <c r="D78">
        <v>7750000</v>
      </c>
      <c r="E78">
        <v>7799999</v>
      </c>
      <c r="F78" t="s">
        <v>43</v>
      </c>
      <c r="G78" t="str">
        <f t="shared" si="2"/>
        <v>SPC</v>
      </c>
      <c r="H78" t="s">
        <v>19</v>
      </c>
      <c r="I78" t="s">
        <v>20</v>
      </c>
      <c r="J78" t="s">
        <v>21</v>
      </c>
      <c r="K78" s="6">
        <v>0.03</v>
      </c>
      <c r="L78" s="7">
        <f t="shared" si="3"/>
        <v>2E-3</v>
      </c>
      <c r="M78" s="7">
        <v>3.0000000000000001E-3</v>
      </c>
      <c r="N78">
        <v>6</v>
      </c>
      <c r="O78" s="8">
        <v>10.732823757657394</v>
      </c>
      <c r="P78" s="9">
        <v>10.732823757657394</v>
      </c>
      <c r="Q78" s="9">
        <v>10.732823757657394</v>
      </c>
      <c r="R78" s="9">
        <v>11.04856201020749</v>
      </c>
      <c r="S78" s="9">
        <v>11.364751027066461</v>
      </c>
      <c r="T78" s="9">
        <v>11.749173507902043</v>
      </c>
      <c r="U78" s="9">
        <v>12.850564325687124</v>
      </c>
      <c r="V78" s="9">
        <v>12.850564325687124</v>
      </c>
      <c r="W78" s="9">
        <v>12.850564325687124</v>
      </c>
      <c r="X78" s="9">
        <v>14.782637373051333</v>
      </c>
      <c r="Y78" s="9">
        <v>14.782637373051333</v>
      </c>
      <c r="Z78" s="9">
        <v>16.85024587052752</v>
      </c>
      <c r="AA78" s="9">
        <v>16.85024587052752</v>
      </c>
      <c r="AB78" s="9">
        <v>19.120701872341421</v>
      </c>
      <c r="AC78" s="9">
        <v>19.120701872341421</v>
      </c>
      <c r="AD78" s="9">
        <v>21.180732467605459</v>
      </c>
      <c r="AE78" s="9">
        <v>23.311209829410082</v>
      </c>
      <c r="AF78" s="9">
        <v>25.5191786344094</v>
      </c>
      <c r="AG78" s="9">
        <v>25.5191786344094</v>
      </c>
      <c r="AH78" s="9">
        <v>27.812388026922832</v>
      </c>
      <c r="AI78" s="9">
        <v>29.713125400067604</v>
      </c>
      <c r="AJ78" s="9">
        <v>3.0428788910505911</v>
      </c>
    </row>
    <row r="79" spans="1:36" x14ac:dyDescent="0.25">
      <c r="A79" t="s">
        <v>5411</v>
      </c>
      <c r="B79" t="s">
        <v>16</v>
      </c>
      <c r="C79" t="s">
        <v>17</v>
      </c>
      <c r="D79">
        <v>7800000</v>
      </c>
      <c r="E79">
        <v>7899999</v>
      </c>
      <c r="F79" t="s">
        <v>44</v>
      </c>
      <c r="G79" t="str">
        <f t="shared" si="2"/>
        <v>SPC</v>
      </c>
      <c r="H79" t="s">
        <v>19</v>
      </c>
      <c r="I79" t="s">
        <v>20</v>
      </c>
      <c r="J79" t="s">
        <v>21</v>
      </c>
      <c r="K79" s="6">
        <v>0.03</v>
      </c>
      <c r="L79" s="7">
        <f t="shared" si="3"/>
        <v>2E-3</v>
      </c>
      <c r="M79" s="7">
        <v>3.0000000000000001E-3</v>
      </c>
      <c r="N79">
        <v>6</v>
      </c>
      <c r="O79" s="8">
        <v>10.732823757657394</v>
      </c>
      <c r="P79" s="9">
        <v>10.732823757657394</v>
      </c>
      <c r="Q79" s="9">
        <v>10.732823757657394</v>
      </c>
      <c r="R79" s="9">
        <v>11.04856201020749</v>
      </c>
      <c r="S79" s="9">
        <v>11.364751027066461</v>
      </c>
      <c r="T79" s="9">
        <v>11.749173507902043</v>
      </c>
      <c r="U79" s="9">
        <v>12.850564325687124</v>
      </c>
      <c r="V79" s="9">
        <v>12.850564325687124</v>
      </c>
      <c r="W79" s="9">
        <v>12.850564325687124</v>
      </c>
      <c r="X79" s="9">
        <v>14.782637373051333</v>
      </c>
      <c r="Y79" s="9">
        <v>14.782637373051333</v>
      </c>
      <c r="Z79" s="9">
        <v>16.85024587052752</v>
      </c>
      <c r="AA79" s="9">
        <v>16.85024587052752</v>
      </c>
      <c r="AB79" s="9">
        <v>19.120701872341421</v>
      </c>
      <c r="AC79" s="9">
        <v>19.120701872341421</v>
      </c>
      <c r="AD79" s="9">
        <v>21.180732467605459</v>
      </c>
      <c r="AE79" s="9">
        <v>23.311209829410082</v>
      </c>
      <c r="AF79" s="9">
        <v>25.5191786344094</v>
      </c>
      <c r="AG79" s="9">
        <v>25.5191786344094</v>
      </c>
      <c r="AH79" s="9">
        <v>27.812388026922832</v>
      </c>
      <c r="AI79" s="9">
        <v>29.713125400067604</v>
      </c>
      <c r="AJ79" s="9">
        <v>3.0428788910505911</v>
      </c>
    </row>
    <row r="80" spans="1:36" x14ac:dyDescent="0.25">
      <c r="A80" t="s">
        <v>5411</v>
      </c>
      <c r="B80" t="s">
        <v>16</v>
      </c>
      <c r="C80" t="s">
        <v>17</v>
      </c>
      <c r="D80">
        <v>7900000</v>
      </c>
      <c r="E80">
        <v>7999999</v>
      </c>
      <c r="F80" t="s">
        <v>45</v>
      </c>
      <c r="G80" t="str">
        <f t="shared" si="2"/>
        <v>SPC</v>
      </c>
      <c r="H80" t="s">
        <v>19</v>
      </c>
      <c r="I80" t="s">
        <v>20</v>
      </c>
      <c r="J80" t="s">
        <v>21</v>
      </c>
      <c r="K80" s="6">
        <v>0.03</v>
      </c>
      <c r="L80" s="7">
        <f t="shared" si="3"/>
        <v>2E-3</v>
      </c>
      <c r="M80" s="7">
        <v>3.0000000000000001E-3</v>
      </c>
      <c r="N80">
        <v>6</v>
      </c>
      <c r="O80" s="8">
        <v>10.732823757657394</v>
      </c>
      <c r="P80" s="9">
        <v>10.732823757657394</v>
      </c>
      <c r="Q80" s="9">
        <v>10.732823757657394</v>
      </c>
      <c r="R80" s="9">
        <v>11.04856201020749</v>
      </c>
      <c r="S80" s="9">
        <v>11.364751027066461</v>
      </c>
      <c r="T80" s="9">
        <v>11.749173507902043</v>
      </c>
      <c r="U80" s="9">
        <v>12.850564325687124</v>
      </c>
      <c r="V80" s="9">
        <v>12.850564325687124</v>
      </c>
      <c r="W80" s="9">
        <v>12.850564325687124</v>
      </c>
      <c r="X80" s="9">
        <v>14.782637373051333</v>
      </c>
      <c r="Y80" s="9">
        <v>14.782637373051333</v>
      </c>
      <c r="Z80" s="9">
        <v>16.85024587052752</v>
      </c>
      <c r="AA80" s="9">
        <v>16.85024587052752</v>
      </c>
      <c r="AB80" s="9">
        <v>19.120701872341421</v>
      </c>
      <c r="AC80" s="9">
        <v>19.120701872341421</v>
      </c>
      <c r="AD80" s="9">
        <v>21.180732467605459</v>
      </c>
      <c r="AE80" s="9">
        <v>23.311209829410082</v>
      </c>
      <c r="AF80" s="9">
        <v>25.5191786344094</v>
      </c>
      <c r="AG80" s="9">
        <v>25.5191786344094</v>
      </c>
      <c r="AH80" s="9">
        <v>27.812388026922832</v>
      </c>
      <c r="AI80" s="9">
        <v>29.713125400067604</v>
      </c>
      <c r="AJ80" s="9">
        <v>3.0428788910505911</v>
      </c>
    </row>
    <row r="81" spans="1:36" x14ac:dyDescent="0.25">
      <c r="A81" t="s">
        <v>5411</v>
      </c>
      <c r="B81" t="s">
        <v>16</v>
      </c>
      <c r="C81" t="s">
        <v>17</v>
      </c>
      <c r="D81">
        <v>8000000</v>
      </c>
      <c r="E81">
        <v>8099999</v>
      </c>
      <c r="F81" t="s">
        <v>18</v>
      </c>
      <c r="G81" t="str">
        <f t="shared" si="2"/>
        <v>SPC</v>
      </c>
      <c r="H81" t="s">
        <v>19</v>
      </c>
      <c r="I81" t="s">
        <v>20</v>
      </c>
      <c r="J81" t="s">
        <v>21</v>
      </c>
      <c r="K81" s="6">
        <v>0.03</v>
      </c>
      <c r="L81" s="7">
        <f t="shared" si="3"/>
        <v>2E-3</v>
      </c>
      <c r="M81" s="7">
        <v>3.0000000000000001E-3</v>
      </c>
      <c r="N81">
        <v>6</v>
      </c>
      <c r="O81" s="8">
        <v>10.732823757657394</v>
      </c>
      <c r="P81" s="9">
        <v>10.732823757657394</v>
      </c>
      <c r="Q81" s="9">
        <v>10.732823757657394</v>
      </c>
      <c r="R81" s="9">
        <v>11.04856201020749</v>
      </c>
      <c r="S81" s="9">
        <v>11.364751027066461</v>
      </c>
      <c r="T81" s="9">
        <v>11.749173507902043</v>
      </c>
      <c r="U81" s="9">
        <v>12.850564325687124</v>
      </c>
      <c r="V81" s="9">
        <v>12.850564325687124</v>
      </c>
      <c r="W81" s="9">
        <v>12.850564325687124</v>
      </c>
      <c r="X81" s="9">
        <v>14.782637373051333</v>
      </c>
      <c r="Y81" s="9">
        <v>14.782637373051333</v>
      </c>
      <c r="Z81" s="9">
        <v>16.85024587052752</v>
      </c>
      <c r="AA81" s="9">
        <v>16.85024587052752</v>
      </c>
      <c r="AB81" s="9">
        <v>19.120701872341421</v>
      </c>
      <c r="AC81" s="9">
        <v>19.120701872341421</v>
      </c>
      <c r="AD81" s="9">
        <v>21.180732467605459</v>
      </c>
      <c r="AE81" s="9">
        <v>23.311209829410082</v>
      </c>
      <c r="AF81" s="9">
        <v>25.5191786344094</v>
      </c>
      <c r="AG81" s="9">
        <v>25.5191786344094</v>
      </c>
      <c r="AH81" s="9">
        <v>27.812388026922832</v>
      </c>
      <c r="AI81" s="9">
        <v>29.713125400067604</v>
      </c>
      <c r="AJ81" s="9">
        <v>3.0428788910505911</v>
      </c>
    </row>
    <row r="82" spans="1:36" x14ac:dyDescent="0.25">
      <c r="A82" t="s">
        <v>5411</v>
      </c>
      <c r="B82" t="s">
        <v>16</v>
      </c>
      <c r="C82" t="s">
        <v>17</v>
      </c>
      <c r="D82">
        <v>8100000</v>
      </c>
      <c r="E82">
        <v>8199999</v>
      </c>
      <c r="F82" t="s">
        <v>18</v>
      </c>
      <c r="G82" t="str">
        <f t="shared" si="2"/>
        <v>SPC</v>
      </c>
      <c r="H82" t="s">
        <v>19</v>
      </c>
      <c r="I82" t="s">
        <v>20</v>
      </c>
      <c r="J82" t="s">
        <v>21</v>
      </c>
      <c r="K82" s="6">
        <v>0.03</v>
      </c>
      <c r="L82" s="7">
        <f t="shared" si="3"/>
        <v>2E-3</v>
      </c>
      <c r="M82" s="7">
        <v>3.0000000000000001E-3</v>
      </c>
      <c r="N82">
        <v>6</v>
      </c>
      <c r="O82" s="8">
        <v>10.732823757657394</v>
      </c>
      <c r="P82" s="9">
        <v>10.732823757657394</v>
      </c>
      <c r="Q82" s="9">
        <v>10.732823757657394</v>
      </c>
      <c r="R82" s="9">
        <v>11.04856201020749</v>
      </c>
      <c r="S82" s="9">
        <v>11.364751027066461</v>
      </c>
      <c r="T82" s="9">
        <v>11.749173507902043</v>
      </c>
      <c r="U82" s="9">
        <v>12.850564325687124</v>
      </c>
      <c r="V82" s="9">
        <v>12.850564325687124</v>
      </c>
      <c r="W82" s="9">
        <v>12.850564325687124</v>
      </c>
      <c r="X82" s="9">
        <v>14.782637373051333</v>
      </c>
      <c r="Y82" s="9">
        <v>14.782637373051333</v>
      </c>
      <c r="Z82" s="9">
        <v>16.85024587052752</v>
      </c>
      <c r="AA82" s="9">
        <v>16.85024587052752</v>
      </c>
      <c r="AB82" s="9">
        <v>19.120701872341421</v>
      </c>
      <c r="AC82" s="9">
        <v>19.120701872341421</v>
      </c>
      <c r="AD82" s="9">
        <v>21.180732467605459</v>
      </c>
      <c r="AE82" s="9">
        <v>23.311209829410082</v>
      </c>
      <c r="AF82" s="9">
        <v>25.5191786344094</v>
      </c>
      <c r="AG82" s="9">
        <v>25.5191786344094</v>
      </c>
      <c r="AH82" s="9">
        <v>27.812388026922832</v>
      </c>
      <c r="AI82" s="9">
        <v>29.713125400067604</v>
      </c>
      <c r="AJ82" s="9">
        <v>3.0428788910505911</v>
      </c>
    </row>
    <row r="83" spans="1:36" x14ac:dyDescent="0.25">
      <c r="A83" t="s">
        <v>5411</v>
      </c>
      <c r="B83" t="s">
        <v>16</v>
      </c>
      <c r="C83" t="s">
        <v>17</v>
      </c>
      <c r="D83">
        <v>8200000</v>
      </c>
      <c r="E83">
        <v>8299999</v>
      </c>
      <c r="F83" t="s">
        <v>18</v>
      </c>
      <c r="G83" t="str">
        <f t="shared" si="2"/>
        <v>SPC</v>
      </c>
      <c r="H83" t="s">
        <v>19</v>
      </c>
      <c r="I83" t="s">
        <v>20</v>
      </c>
      <c r="J83" t="s">
        <v>21</v>
      </c>
      <c r="K83" s="6">
        <v>0.03</v>
      </c>
      <c r="L83" s="7">
        <f t="shared" si="3"/>
        <v>2E-3</v>
      </c>
      <c r="M83" s="7">
        <v>3.0000000000000001E-3</v>
      </c>
      <c r="N83">
        <v>6</v>
      </c>
      <c r="O83" s="8">
        <v>10.732823757657394</v>
      </c>
      <c r="P83" s="9">
        <v>10.732823757657394</v>
      </c>
      <c r="Q83" s="9">
        <v>10.732823757657394</v>
      </c>
      <c r="R83" s="9">
        <v>11.04856201020749</v>
      </c>
      <c r="S83" s="9">
        <v>11.364751027066461</v>
      </c>
      <c r="T83" s="9">
        <v>11.749173507902043</v>
      </c>
      <c r="U83" s="9">
        <v>12.850564325687124</v>
      </c>
      <c r="V83" s="9">
        <v>12.850564325687124</v>
      </c>
      <c r="W83" s="9">
        <v>12.850564325687124</v>
      </c>
      <c r="X83" s="9">
        <v>14.782637373051333</v>
      </c>
      <c r="Y83" s="9">
        <v>14.782637373051333</v>
      </c>
      <c r="Z83" s="9">
        <v>16.85024587052752</v>
      </c>
      <c r="AA83" s="9">
        <v>16.85024587052752</v>
      </c>
      <c r="AB83" s="9">
        <v>19.120701872341421</v>
      </c>
      <c r="AC83" s="9">
        <v>19.120701872341421</v>
      </c>
      <c r="AD83" s="9">
        <v>21.180732467605459</v>
      </c>
      <c r="AE83" s="9">
        <v>23.311209829410082</v>
      </c>
      <c r="AF83" s="9">
        <v>25.5191786344094</v>
      </c>
      <c r="AG83" s="9">
        <v>25.5191786344094</v>
      </c>
      <c r="AH83" s="9">
        <v>27.812388026922832</v>
      </c>
      <c r="AI83" s="9">
        <v>29.713125400067604</v>
      </c>
      <c r="AJ83" s="9">
        <v>3.0428788910505911</v>
      </c>
    </row>
    <row r="84" spans="1:36" x14ac:dyDescent="0.25">
      <c r="A84" t="s">
        <v>5411</v>
      </c>
      <c r="B84" t="s">
        <v>16</v>
      </c>
      <c r="C84" t="s">
        <v>17</v>
      </c>
      <c r="D84">
        <v>8300000</v>
      </c>
      <c r="E84">
        <v>8399999</v>
      </c>
      <c r="F84" t="s">
        <v>18</v>
      </c>
      <c r="G84" t="str">
        <f t="shared" si="2"/>
        <v>SPC</v>
      </c>
      <c r="H84" t="s">
        <v>19</v>
      </c>
      <c r="I84" t="s">
        <v>20</v>
      </c>
      <c r="J84" t="s">
        <v>21</v>
      </c>
      <c r="K84" s="6">
        <v>0.03</v>
      </c>
      <c r="L84" s="7">
        <f t="shared" si="3"/>
        <v>2E-3</v>
      </c>
      <c r="M84" s="7">
        <v>3.0000000000000001E-3</v>
      </c>
      <c r="N84">
        <v>6</v>
      </c>
      <c r="O84" s="8">
        <v>10.732823757657394</v>
      </c>
      <c r="P84" s="9">
        <v>10.732823757657394</v>
      </c>
      <c r="Q84" s="9">
        <v>10.732823757657394</v>
      </c>
      <c r="R84" s="9">
        <v>11.04856201020749</v>
      </c>
      <c r="S84" s="9">
        <v>11.364751027066461</v>
      </c>
      <c r="T84" s="9">
        <v>11.749173507902043</v>
      </c>
      <c r="U84" s="9">
        <v>12.850564325687124</v>
      </c>
      <c r="V84" s="9">
        <v>12.850564325687124</v>
      </c>
      <c r="W84" s="9">
        <v>12.850564325687124</v>
      </c>
      <c r="X84" s="9">
        <v>14.782637373051333</v>
      </c>
      <c r="Y84" s="9">
        <v>14.782637373051333</v>
      </c>
      <c r="Z84" s="9">
        <v>16.85024587052752</v>
      </c>
      <c r="AA84" s="9">
        <v>16.85024587052752</v>
      </c>
      <c r="AB84" s="9">
        <v>19.120701872341421</v>
      </c>
      <c r="AC84" s="9">
        <v>19.120701872341421</v>
      </c>
      <c r="AD84" s="9">
        <v>21.180732467605459</v>
      </c>
      <c r="AE84" s="9">
        <v>23.311209829410082</v>
      </c>
      <c r="AF84" s="9">
        <v>25.5191786344094</v>
      </c>
      <c r="AG84" s="9">
        <v>25.5191786344094</v>
      </c>
      <c r="AH84" s="9">
        <v>27.812388026922832</v>
      </c>
      <c r="AI84" s="9">
        <v>29.713125400067604</v>
      </c>
      <c r="AJ84" s="9">
        <v>3.0428788910505911</v>
      </c>
    </row>
    <row r="85" spans="1:36" x14ac:dyDescent="0.25">
      <c r="A85" t="s">
        <v>5411</v>
      </c>
      <c r="B85" t="s">
        <v>16</v>
      </c>
      <c r="C85" t="s">
        <v>17</v>
      </c>
      <c r="D85">
        <v>8400000</v>
      </c>
      <c r="E85">
        <v>8499999</v>
      </c>
      <c r="F85" t="s">
        <v>18</v>
      </c>
      <c r="G85" t="str">
        <f t="shared" si="2"/>
        <v>SPC</v>
      </c>
      <c r="H85" t="s">
        <v>19</v>
      </c>
      <c r="I85" t="s">
        <v>20</v>
      </c>
      <c r="J85" t="s">
        <v>21</v>
      </c>
      <c r="K85" s="6">
        <v>0.03</v>
      </c>
      <c r="L85" s="7">
        <f t="shared" si="3"/>
        <v>2E-3</v>
      </c>
      <c r="M85" s="7">
        <v>3.0000000000000001E-3</v>
      </c>
      <c r="N85">
        <v>6</v>
      </c>
      <c r="O85" s="8">
        <v>10.732823757657394</v>
      </c>
      <c r="P85" s="9">
        <v>10.732823757657394</v>
      </c>
      <c r="Q85" s="9">
        <v>10.732823757657394</v>
      </c>
      <c r="R85" s="9">
        <v>11.04856201020749</v>
      </c>
      <c r="S85" s="9">
        <v>11.364751027066461</v>
      </c>
      <c r="T85" s="9">
        <v>11.749173507902043</v>
      </c>
      <c r="U85" s="9">
        <v>12.850564325687124</v>
      </c>
      <c r="V85" s="9">
        <v>12.850564325687124</v>
      </c>
      <c r="W85" s="9">
        <v>12.850564325687124</v>
      </c>
      <c r="X85" s="9">
        <v>14.782637373051333</v>
      </c>
      <c r="Y85" s="9">
        <v>14.782637373051333</v>
      </c>
      <c r="Z85" s="9">
        <v>16.85024587052752</v>
      </c>
      <c r="AA85" s="9">
        <v>16.85024587052752</v>
      </c>
      <c r="AB85" s="9">
        <v>19.120701872341421</v>
      </c>
      <c r="AC85" s="9">
        <v>19.120701872341421</v>
      </c>
      <c r="AD85" s="9">
        <v>21.180732467605459</v>
      </c>
      <c r="AE85" s="9">
        <v>23.311209829410082</v>
      </c>
      <c r="AF85" s="9">
        <v>25.5191786344094</v>
      </c>
      <c r="AG85" s="9">
        <v>25.5191786344094</v>
      </c>
      <c r="AH85" s="9">
        <v>27.812388026922832</v>
      </c>
      <c r="AI85" s="9">
        <v>29.713125400067604</v>
      </c>
      <c r="AJ85" s="9">
        <v>3.0428788910505911</v>
      </c>
    </row>
    <row r="86" spans="1:36" x14ac:dyDescent="0.25">
      <c r="A86" t="s">
        <v>5411</v>
      </c>
      <c r="B86" t="s">
        <v>16</v>
      </c>
      <c r="C86" t="s">
        <v>17</v>
      </c>
      <c r="D86">
        <v>8500000</v>
      </c>
      <c r="E86">
        <v>8549999</v>
      </c>
      <c r="F86" t="s">
        <v>46</v>
      </c>
      <c r="G86" t="str">
        <f t="shared" si="2"/>
        <v>SPC</v>
      </c>
      <c r="H86" t="s">
        <v>19</v>
      </c>
      <c r="I86" t="s">
        <v>20</v>
      </c>
      <c r="J86" t="s">
        <v>21</v>
      </c>
      <c r="K86" s="6">
        <v>0.03</v>
      </c>
      <c r="L86" s="7">
        <f t="shared" si="3"/>
        <v>2E-3</v>
      </c>
      <c r="M86" s="7">
        <v>3.0000000000000001E-3</v>
      </c>
      <c r="N86">
        <v>6</v>
      </c>
      <c r="O86" s="8">
        <v>10.732823757657394</v>
      </c>
      <c r="P86" s="9">
        <v>10.732823757657394</v>
      </c>
      <c r="Q86" s="9">
        <v>10.732823757657394</v>
      </c>
      <c r="R86" s="9">
        <v>11.04856201020749</v>
      </c>
      <c r="S86" s="9">
        <v>11.364751027066461</v>
      </c>
      <c r="T86" s="9">
        <v>11.749173507902043</v>
      </c>
      <c r="U86" s="9">
        <v>12.850564325687124</v>
      </c>
      <c r="V86" s="9">
        <v>12.850564325687124</v>
      </c>
      <c r="W86" s="9">
        <v>12.850564325687124</v>
      </c>
      <c r="X86" s="9">
        <v>14.782637373051333</v>
      </c>
      <c r="Y86" s="9">
        <v>14.782637373051333</v>
      </c>
      <c r="Z86" s="9">
        <v>16.85024587052752</v>
      </c>
      <c r="AA86" s="9">
        <v>16.85024587052752</v>
      </c>
      <c r="AB86" s="9">
        <v>19.120701872341421</v>
      </c>
      <c r="AC86" s="9">
        <v>19.120701872341421</v>
      </c>
      <c r="AD86" s="9">
        <v>21.180732467605459</v>
      </c>
      <c r="AE86" s="9">
        <v>23.311209829410082</v>
      </c>
      <c r="AF86" s="9">
        <v>25.5191786344094</v>
      </c>
      <c r="AG86" s="9">
        <v>25.5191786344094</v>
      </c>
      <c r="AH86" s="9">
        <v>27.812388026922832</v>
      </c>
      <c r="AI86" s="9">
        <v>29.713125400067604</v>
      </c>
      <c r="AJ86" s="9">
        <v>3.0428788910505911</v>
      </c>
    </row>
    <row r="87" spans="1:36" x14ac:dyDescent="0.25">
      <c r="A87" t="s">
        <v>5411</v>
      </c>
      <c r="B87" t="s">
        <v>16</v>
      </c>
      <c r="C87" t="s">
        <v>17</v>
      </c>
      <c r="D87">
        <v>8550000</v>
      </c>
      <c r="E87">
        <v>8569999</v>
      </c>
      <c r="F87" t="s">
        <v>47</v>
      </c>
      <c r="G87" t="str">
        <f t="shared" si="2"/>
        <v>SPC</v>
      </c>
      <c r="H87" t="s">
        <v>19</v>
      </c>
      <c r="I87" t="s">
        <v>20</v>
      </c>
      <c r="J87" t="s">
        <v>21</v>
      </c>
      <c r="K87" s="6">
        <v>0.03</v>
      </c>
      <c r="L87" s="7">
        <f t="shared" si="3"/>
        <v>2E-3</v>
      </c>
      <c r="M87" s="7">
        <v>3.0000000000000001E-3</v>
      </c>
      <c r="N87">
        <v>6</v>
      </c>
      <c r="O87" s="8">
        <v>10.732823757657394</v>
      </c>
      <c r="P87" s="9">
        <v>10.732823757657394</v>
      </c>
      <c r="Q87" s="9">
        <v>10.732823757657394</v>
      </c>
      <c r="R87" s="9">
        <v>11.04856201020749</v>
      </c>
      <c r="S87" s="9">
        <v>11.364751027066461</v>
      </c>
      <c r="T87" s="9">
        <v>11.749173507902043</v>
      </c>
      <c r="U87" s="9">
        <v>12.850564325687124</v>
      </c>
      <c r="V87" s="9">
        <v>12.850564325687124</v>
      </c>
      <c r="W87" s="9">
        <v>12.850564325687124</v>
      </c>
      <c r="X87" s="9">
        <v>14.782637373051333</v>
      </c>
      <c r="Y87" s="9">
        <v>14.782637373051333</v>
      </c>
      <c r="Z87" s="9">
        <v>16.85024587052752</v>
      </c>
      <c r="AA87" s="9">
        <v>16.85024587052752</v>
      </c>
      <c r="AB87" s="9">
        <v>19.120701872341421</v>
      </c>
      <c r="AC87" s="9">
        <v>19.120701872341421</v>
      </c>
      <c r="AD87" s="9">
        <v>21.180732467605459</v>
      </c>
      <c r="AE87" s="9">
        <v>23.311209829410082</v>
      </c>
      <c r="AF87" s="9">
        <v>25.5191786344094</v>
      </c>
      <c r="AG87" s="9">
        <v>25.5191786344094</v>
      </c>
      <c r="AH87" s="9">
        <v>27.812388026922832</v>
      </c>
      <c r="AI87" s="9">
        <v>29.713125400067604</v>
      </c>
      <c r="AJ87" s="9">
        <v>3.0428788910505911</v>
      </c>
    </row>
    <row r="88" spans="1:36" x14ac:dyDescent="0.25">
      <c r="A88" t="s">
        <v>5411</v>
      </c>
      <c r="B88" t="s">
        <v>16</v>
      </c>
      <c r="C88" t="s">
        <v>17</v>
      </c>
      <c r="D88">
        <v>8570000</v>
      </c>
      <c r="E88">
        <v>8599999</v>
      </c>
      <c r="F88" t="s">
        <v>48</v>
      </c>
      <c r="G88" t="str">
        <f t="shared" si="2"/>
        <v>SPC</v>
      </c>
      <c r="H88" t="s">
        <v>19</v>
      </c>
      <c r="I88" t="s">
        <v>20</v>
      </c>
      <c r="J88" t="s">
        <v>21</v>
      </c>
      <c r="K88" s="6">
        <v>0.03</v>
      </c>
      <c r="L88" s="7">
        <f t="shared" si="3"/>
        <v>2E-3</v>
      </c>
      <c r="M88" s="7">
        <v>3.0000000000000001E-3</v>
      </c>
      <c r="N88">
        <v>6</v>
      </c>
      <c r="O88" s="8">
        <v>10.732823757657394</v>
      </c>
      <c r="P88" s="9">
        <v>10.732823757657394</v>
      </c>
      <c r="Q88" s="9">
        <v>10.732823757657394</v>
      </c>
      <c r="R88" s="9">
        <v>11.04856201020749</v>
      </c>
      <c r="S88" s="9">
        <v>11.364751027066461</v>
      </c>
      <c r="T88" s="9">
        <v>11.749173507902043</v>
      </c>
      <c r="U88" s="9">
        <v>12.850564325687124</v>
      </c>
      <c r="V88" s="9">
        <v>12.850564325687124</v>
      </c>
      <c r="W88" s="9">
        <v>12.850564325687124</v>
      </c>
      <c r="X88" s="9">
        <v>14.782637373051333</v>
      </c>
      <c r="Y88" s="9">
        <v>14.782637373051333</v>
      </c>
      <c r="Z88" s="9">
        <v>16.85024587052752</v>
      </c>
      <c r="AA88" s="9">
        <v>16.85024587052752</v>
      </c>
      <c r="AB88" s="9">
        <v>19.120701872341421</v>
      </c>
      <c r="AC88" s="9">
        <v>19.120701872341421</v>
      </c>
      <c r="AD88" s="9">
        <v>21.180732467605459</v>
      </c>
      <c r="AE88" s="9">
        <v>23.311209829410082</v>
      </c>
      <c r="AF88" s="9">
        <v>25.5191786344094</v>
      </c>
      <c r="AG88" s="9">
        <v>25.5191786344094</v>
      </c>
      <c r="AH88" s="9">
        <v>27.812388026922832</v>
      </c>
      <c r="AI88" s="9">
        <v>29.713125400067604</v>
      </c>
      <c r="AJ88" s="9">
        <v>3.0428788910505911</v>
      </c>
    </row>
    <row r="89" spans="1:36" x14ac:dyDescent="0.25">
      <c r="A89" t="s">
        <v>5411</v>
      </c>
      <c r="B89" t="s">
        <v>16</v>
      </c>
      <c r="C89" t="s">
        <v>17</v>
      </c>
      <c r="D89">
        <v>8600000</v>
      </c>
      <c r="E89">
        <v>8699999</v>
      </c>
      <c r="F89" t="s">
        <v>49</v>
      </c>
      <c r="G89" t="str">
        <f t="shared" si="2"/>
        <v>SPC</v>
      </c>
      <c r="H89" t="s">
        <v>19</v>
      </c>
      <c r="I89" t="s">
        <v>20</v>
      </c>
      <c r="J89" t="s">
        <v>21</v>
      </c>
      <c r="K89" s="6">
        <v>0.03</v>
      </c>
      <c r="L89" s="7">
        <f t="shared" si="3"/>
        <v>2E-3</v>
      </c>
      <c r="M89" s="7">
        <v>3.0000000000000001E-3</v>
      </c>
      <c r="N89">
        <v>6</v>
      </c>
      <c r="O89" s="8">
        <v>10.732823757657394</v>
      </c>
      <c r="P89" s="9">
        <v>10.732823757657394</v>
      </c>
      <c r="Q89" s="9">
        <v>10.732823757657394</v>
      </c>
      <c r="R89" s="9">
        <v>11.04856201020749</v>
      </c>
      <c r="S89" s="9">
        <v>11.364751027066461</v>
      </c>
      <c r="T89" s="9">
        <v>11.749173507902043</v>
      </c>
      <c r="U89" s="9">
        <v>12.850564325687124</v>
      </c>
      <c r="V89" s="9">
        <v>12.850564325687124</v>
      </c>
      <c r="W89" s="9">
        <v>12.850564325687124</v>
      </c>
      <c r="X89" s="9">
        <v>14.782637373051333</v>
      </c>
      <c r="Y89" s="9">
        <v>14.782637373051333</v>
      </c>
      <c r="Z89" s="9">
        <v>16.85024587052752</v>
      </c>
      <c r="AA89" s="9">
        <v>16.85024587052752</v>
      </c>
      <c r="AB89" s="9">
        <v>19.120701872341421</v>
      </c>
      <c r="AC89" s="9">
        <v>19.120701872341421</v>
      </c>
      <c r="AD89" s="9">
        <v>21.180732467605459</v>
      </c>
      <c r="AE89" s="9">
        <v>23.311209829410082</v>
      </c>
      <c r="AF89" s="9">
        <v>25.5191786344094</v>
      </c>
      <c r="AG89" s="9">
        <v>25.5191786344094</v>
      </c>
      <c r="AH89" s="9">
        <v>27.812388026922832</v>
      </c>
      <c r="AI89" s="9">
        <v>29.713125400067604</v>
      </c>
      <c r="AJ89" s="9">
        <v>3.0428788910505911</v>
      </c>
    </row>
    <row r="90" spans="1:36" x14ac:dyDescent="0.25">
      <c r="A90" t="s">
        <v>5411</v>
      </c>
      <c r="B90" t="s">
        <v>16</v>
      </c>
      <c r="C90" t="s">
        <v>17</v>
      </c>
      <c r="D90">
        <v>8700000</v>
      </c>
      <c r="E90">
        <v>8799999</v>
      </c>
      <c r="F90" t="s">
        <v>50</v>
      </c>
      <c r="G90" t="str">
        <f t="shared" si="2"/>
        <v>SPC</v>
      </c>
      <c r="H90" t="s">
        <v>19</v>
      </c>
      <c r="I90" t="s">
        <v>20</v>
      </c>
      <c r="J90" t="s">
        <v>21</v>
      </c>
      <c r="K90" s="6">
        <v>0.03</v>
      </c>
      <c r="L90" s="7">
        <f t="shared" si="3"/>
        <v>2E-3</v>
      </c>
      <c r="M90" s="7">
        <v>3.0000000000000001E-3</v>
      </c>
      <c r="N90">
        <v>6</v>
      </c>
      <c r="O90" s="8">
        <v>10.732823757657394</v>
      </c>
      <c r="P90" s="9">
        <v>10.732823757657394</v>
      </c>
      <c r="Q90" s="9">
        <v>10.732823757657394</v>
      </c>
      <c r="R90" s="9">
        <v>11.04856201020749</v>
      </c>
      <c r="S90" s="9">
        <v>11.364751027066461</v>
      </c>
      <c r="T90" s="9">
        <v>11.749173507902043</v>
      </c>
      <c r="U90" s="9">
        <v>12.850564325687124</v>
      </c>
      <c r="V90" s="9">
        <v>12.850564325687124</v>
      </c>
      <c r="W90" s="9">
        <v>12.850564325687124</v>
      </c>
      <c r="X90" s="9">
        <v>14.782637373051333</v>
      </c>
      <c r="Y90" s="9">
        <v>14.782637373051333</v>
      </c>
      <c r="Z90" s="9">
        <v>16.85024587052752</v>
      </c>
      <c r="AA90" s="9">
        <v>16.85024587052752</v>
      </c>
      <c r="AB90" s="9">
        <v>19.120701872341421</v>
      </c>
      <c r="AC90" s="9">
        <v>19.120701872341421</v>
      </c>
      <c r="AD90" s="9">
        <v>21.180732467605459</v>
      </c>
      <c r="AE90" s="9">
        <v>23.311209829410082</v>
      </c>
      <c r="AF90" s="9">
        <v>25.5191786344094</v>
      </c>
      <c r="AG90" s="9">
        <v>25.5191786344094</v>
      </c>
      <c r="AH90" s="9">
        <v>27.812388026922832</v>
      </c>
      <c r="AI90" s="9">
        <v>29.713125400067604</v>
      </c>
      <c r="AJ90" s="9">
        <v>3.0428788910505911</v>
      </c>
    </row>
    <row r="91" spans="1:36" x14ac:dyDescent="0.25">
      <c r="A91" t="s">
        <v>5411</v>
      </c>
      <c r="B91" t="s">
        <v>16</v>
      </c>
      <c r="C91" t="s">
        <v>17</v>
      </c>
      <c r="D91">
        <v>8800000</v>
      </c>
      <c r="E91">
        <v>8899999</v>
      </c>
      <c r="F91" t="s">
        <v>50</v>
      </c>
      <c r="G91" t="str">
        <f t="shared" si="2"/>
        <v>SPC</v>
      </c>
      <c r="H91" t="s">
        <v>19</v>
      </c>
      <c r="I91" t="s">
        <v>20</v>
      </c>
      <c r="J91" t="s">
        <v>21</v>
      </c>
      <c r="K91" s="6">
        <v>0.03</v>
      </c>
      <c r="L91" s="7">
        <f t="shared" si="3"/>
        <v>2E-3</v>
      </c>
      <c r="M91" s="7">
        <v>3.0000000000000001E-3</v>
      </c>
      <c r="N91">
        <v>6</v>
      </c>
      <c r="O91" s="8">
        <v>10.732823757657394</v>
      </c>
      <c r="P91" s="9">
        <v>10.732823757657394</v>
      </c>
      <c r="Q91" s="9">
        <v>10.732823757657394</v>
      </c>
      <c r="R91" s="9">
        <v>11.04856201020749</v>
      </c>
      <c r="S91" s="9">
        <v>11.364751027066461</v>
      </c>
      <c r="T91" s="9">
        <v>11.749173507902043</v>
      </c>
      <c r="U91" s="9">
        <v>12.850564325687124</v>
      </c>
      <c r="V91" s="9">
        <v>12.850564325687124</v>
      </c>
      <c r="W91" s="9">
        <v>12.850564325687124</v>
      </c>
      <c r="X91" s="9">
        <v>14.782637373051333</v>
      </c>
      <c r="Y91" s="9">
        <v>14.782637373051333</v>
      </c>
      <c r="Z91" s="9">
        <v>16.85024587052752</v>
      </c>
      <c r="AA91" s="9">
        <v>16.85024587052752</v>
      </c>
      <c r="AB91" s="9">
        <v>19.120701872341421</v>
      </c>
      <c r="AC91" s="9">
        <v>19.120701872341421</v>
      </c>
      <c r="AD91" s="9">
        <v>21.180732467605459</v>
      </c>
      <c r="AE91" s="9">
        <v>23.311209829410082</v>
      </c>
      <c r="AF91" s="9">
        <v>25.5191786344094</v>
      </c>
      <c r="AG91" s="9">
        <v>25.5191786344094</v>
      </c>
      <c r="AH91" s="9">
        <v>27.812388026922832</v>
      </c>
      <c r="AI91" s="9">
        <v>29.713125400067604</v>
      </c>
      <c r="AJ91" s="9">
        <v>3.0428788910505911</v>
      </c>
    </row>
    <row r="92" spans="1:36" x14ac:dyDescent="0.25">
      <c r="A92" t="s">
        <v>5411</v>
      </c>
      <c r="B92" t="s">
        <v>16</v>
      </c>
      <c r="C92" t="s">
        <v>17</v>
      </c>
      <c r="D92">
        <v>8900000</v>
      </c>
      <c r="E92">
        <v>8939999</v>
      </c>
      <c r="F92" t="s">
        <v>51</v>
      </c>
      <c r="G92" t="str">
        <f t="shared" si="2"/>
        <v>SPC</v>
      </c>
      <c r="H92" t="s">
        <v>19</v>
      </c>
      <c r="I92" t="s">
        <v>20</v>
      </c>
      <c r="J92" t="s">
        <v>21</v>
      </c>
      <c r="K92" s="6">
        <v>0.03</v>
      </c>
      <c r="L92" s="7">
        <f t="shared" si="3"/>
        <v>2E-3</v>
      </c>
      <c r="M92" s="7">
        <v>3.0000000000000001E-3</v>
      </c>
      <c r="N92">
        <v>6</v>
      </c>
      <c r="O92" s="8">
        <v>10.732823757657394</v>
      </c>
      <c r="P92" s="9">
        <v>10.732823757657394</v>
      </c>
      <c r="Q92" s="9">
        <v>10.732823757657394</v>
      </c>
      <c r="R92" s="9">
        <v>11.04856201020749</v>
      </c>
      <c r="S92" s="9">
        <v>11.364751027066461</v>
      </c>
      <c r="T92" s="9">
        <v>11.749173507902043</v>
      </c>
      <c r="U92" s="9">
        <v>12.850564325687124</v>
      </c>
      <c r="V92" s="9">
        <v>12.850564325687124</v>
      </c>
      <c r="W92" s="9">
        <v>12.850564325687124</v>
      </c>
      <c r="X92" s="9">
        <v>14.782637373051333</v>
      </c>
      <c r="Y92" s="9">
        <v>14.782637373051333</v>
      </c>
      <c r="Z92" s="9">
        <v>16.85024587052752</v>
      </c>
      <c r="AA92" s="9">
        <v>16.85024587052752</v>
      </c>
      <c r="AB92" s="9">
        <v>19.120701872341421</v>
      </c>
      <c r="AC92" s="9">
        <v>19.120701872341421</v>
      </c>
      <c r="AD92" s="9">
        <v>21.180732467605459</v>
      </c>
      <c r="AE92" s="9">
        <v>23.311209829410082</v>
      </c>
      <c r="AF92" s="9">
        <v>25.5191786344094</v>
      </c>
      <c r="AG92" s="9">
        <v>25.5191786344094</v>
      </c>
      <c r="AH92" s="9">
        <v>27.812388026922832</v>
      </c>
      <c r="AI92" s="9">
        <v>29.713125400067604</v>
      </c>
      <c r="AJ92" s="9">
        <v>3.0428788910505911</v>
      </c>
    </row>
    <row r="93" spans="1:36" x14ac:dyDescent="0.25">
      <c r="A93" t="s">
        <v>5411</v>
      </c>
      <c r="B93" t="s">
        <v>16</v>
      </c>
      <c r="C93" t="s">
        <v>17</v>
      </c>
      <c r="D93">
        <v>8940000</v>
      </c>
      <c r="E93">
        <v>8969999</v>
      </c>
      <c r="F93" t="s">
        <v>52</v>
      </c>
      <c r="G93" t="str">
        <f t="shared" si="2"/>
        <v>SPC</v>
      </c>
      <c r="H93" t="s">
        <v>19</v>
      </c>
      <c r="I93" t="s">
        <v>20</v>
      </c>
      <c r="J93" t="s">
        <v>21</v>
      </c>
      <c r="K93" s="6">
        <v>0.03</v>
      </c>
      <c r="L93" s="7">
        <f t="shared" si="3"/>
        <v>2E-3</v>
      </c>
      <c r="M93" s="7">
        <v>3.0000000000000001E-3</v>
      </c>
      <c r="N93">
        <v>6</v>
      </c>
      <c r="O93" s="8">
        <v>10.732823757657394</v>
      </c>
      <c r="P93" s="9">
        <v>10.732823757657394</v>
      </c>
      <c r="Q93" s="9">
        <v>10.732823757657394</v>
      </c>
      <c r="R93" s="9">
        <v>11.04856201020749</v>
      </c>
      <c r="S93" s="9">
        <v>11.364751027066461</v>
      </c>
      <c r="T93" s="9">
        <v>11.749173507902043</v>
      </c>
      <c r="U93" s="9">
        <v>12.850564325687124</v>
      </c>
      <c r="V93" s="9">
        <v>12.850564325687124</v>
      </c>
      <c r="W93" s="9">
        <v>12.850564325687124</v>
      </c>
      <c r="X93" s="9">
        <v>14.782637373051333</v>
      </c>
      <c r="Y93" s="9">
        <v>14.782637373051333</v>
      </c>
      <c r="Z93" s="9">
        <v>16.85024587052752</v>
      </c>
      <c r="AA93" s="9">
        <v>16.85024587052752</v>
      </c>
      <c r="AB93" s="9">
        <v>19.120701872341421</v>
      </c>
      <c r="AC93" s="9">
        <v>19.120701872341421</v>
      </c>
      <c r="AD93" s="9">
        <v>21.180732467605459</v>
      </c>
      <c r="AE93" s="9">
        <v>23.311209829410082</v>
      </c>
      <c r="AF93" s="9">
        <v>25.5191786344094</v>
      </c>
      <c r="AG93" s="9">
        <v>25.5191786344094</v>
      </c>
      <c r="AH93" s="9">
        <v>27.812388026922832</v>
      </c>
      <c r="AI93" s="9">
        <v>29.713125400067604</v>
      </c>
      <c r="AJ93" s="9">
        <v>3.0428788910505911</v>
      </c>
    </row>
    <row r="94" spans="1:36" x14ac:dyDescent="0.25">
      <c r="A94" t="s">
        <v>5411</v>
      </c>
      <c r="B94" t="s">
        <v>16</v>
      </c>
      <c r="C94" t="s">
        <v>17</v>
      </c>
      <c r="D94">
        <v>8970000</v>
      </c>
      <c r="E94">
        <v>8999999</v>
      </c>
      <c r="F94" t="s">
        <v>53</v>
      </c>
      <c r="G94" t="str">
        <f t="shared" si="2"/>
        <v>SPC</v>
      </c>
      <c r="H94" t="s">
        <v>19</v>
      </c>
      <c r="I94" t="s">
        <v>20</v>
      </c>
      <c r="J94" t="s">
        <v>21</v>
      </c>
      <c r="K94" s="6">
        <v>0.03</v>
      </c>
      <c r="L94" s="7">
        <f t="shared" si="3"/>
        <v>2E-3</v>
      </c>
      <c r="M94" s="7">
        <v>3.0000000000000001E-3</v>
      </c>
      <c r="N94">
        <v>6</v>
      </c>
      <c r="O94" s="8">
        <v>10.732823757657394</v>
      </c>
      <c r="P94" s="9">
        <v>10.732823757657394</v>
      </c>
      <c r="Q94" s="9">
        <v>10.732823757657394</v>
      </c>
      <c r="R94" s="9">
        <v>11.04856201020749</v>
      </c>
      <c r="S94" s="9">
        <v>11.364751027066461</v>
      </c>
      <c r="T94" s="9">
        <v>11.749173507902043</v>
      </c>
      <c r="U94" s="9">
        <v>12.850564325687124</v>
      </c>
      <c r="V94" s="9">
        <v>12.850564325687124</v>
      </c>
      <c r="W94" s="9">
        <v>12.850564325687124</v>
      </c>
      <c r="X94" s="9">
        <v>14.782637373051333</v>
      </c>
      <c r="Y94" s="9">
        <v>14.782637373051333</v>
      </c>
      <c r="Z94" s="9">
        <v>16.85024587052752</v>
      </c>
      <c r="AA94" s="9">
        <v>16.85024587052752</v>
      </c>
      <c r="AB94" s="9">
        <v>19.120701872341421</v>
      </c>
      <c r="AC94" s="9">
        <v>19.120701872341421</v>
      </c>
      <c r="AD94" s="9">
        <v>21.180732467605459</v>
      </c>
      <c r="AE94" s="9">
        <v>23.311209829410082</v>
      </c>
      <c r="AF94" s="9">
        <v>25.5191786344094</v>
      </c>
      <c r="AG94" s="9">
        <v>25.5191786344094</v>
      </c>
      <c r="AH94" s="9">
        <v>27.812388026922832</v>
      </c>
      <c r="AI94" s="9">
        <v>29.713125400067604</v>
      </c>
      <c r="AJ94" s="9">
        <v>3.0428788910505911</v>
      </c>
    </row>
    <row r="95" spans="1:36" x14ac:dyDescent="0.25">
      <c r="A95" t="s">
        <v>5411</v>
      </c>
      <c r="B95" t="s">
        <v>16</v>
      </c>
      <c r="C95" t="s">
        <v>17</v>
      </c>
      <c r="D95">
        <v>9000000</v>
      </c>
      <c r="E95">
        <v>9099999</v>
      </c>
      <c r="F95" t="s">
        <v>54</v>
      </c>
      <c r="G95" t="str">
        <f t="shared" si="2"/>
        <v>SPC</v>
      </c>
      <c r="H95" t="s">
        <v>19</v>
      </c>
      <c r="I95" t="s">
        <v>20</v>
      </c>
      <c r="J95" t="s">
        <v>21</v>
      </c>
      <c r="K95" s="6">
        <v>0.03</v>
      </c>
      <c r="L95" s="7">
        <f t="shared" si="3"/>
        <v>2E-3</v>
      </c>
      <c r="M95" s="7">
        <v>3.0000000000000001E-3</v>
      </c>
      <c r="N95">
        <v>6</v>
      </c>
      <c r="O95" s="8">
        <v>10.732823757657394</v>
      </c>
      <c r="P95" s="9">
        <v>10.732823757657394</v>
      </c>
      <c r="Q95" s="9">
        <v>10.732823757657394</v>
      </c>
      <c r="R95" s="9">
        <v>11.04856201020749</v>
      </c>
      <c r="S95" s="9">
        <v>11.364751027066461</v>
      </c>
      <c r="T95" s="9">
        <v>11.749173507902043</v>
      </c>
      <c r="U95" s="9">
        <v>12.850564325687124</v>
      </c>
      <c r="V95" s="9">
        <v>12.850564325687124</v>
      </c>
      <c r="W95" s="9">
        <v>12.850564325687124</v>
      </c>
      <c r="X95" s="9">
        <v>14.782637373051333</v>
      </c>
      <c r="Y95" s="9">
        <v>14.782637373051333</v>
      </c>
      <c r="Z95" s="9">
        <v>16.85024587052752</v>
      </c>
      <c r="AA95" s="9">
        <v>16.85024587052752</v>
      </c>
      <c r="AB95" s="9">
        <v>19.120701872341421</v>
      </c>
      <c r="AC95" s="9">
        <v>19.120701872341421</v>
      </c>
      <c r="AD95" s="9">
        <v>21.180732467605459</v>
      </c>
      <c r="AE95" s="9">
        <v>23.311209829410082</v>
      </c>
      <c r="AF95" s="9">
        <v>25.5191786344094</v>
      </c>
      <c r="AG95" s="9">
        <v>25.5191786344094</v>
      </c>
      <c r="AH95" s="9">
        <v>27.812388026922832</v>
      </c>
      <c r="AI95" s="9">
        <v>29.713125400067604</v>
      </c>
      <c r="AJ95" s="9">
        <v>3.0428788910505911</v>
      </c>
    </row>
    <row r="96" spans="1:36" x14ac:dyDescent="0.25">
      <c r="A96" t="s">
        <v>5411</v>
      </c>
      <c r="B96" t="s">
        <v>16</v>
      </c>
      <c r="C96" t="s">
        <v>17</v>
      </c>
      <c r="D96">
        <v>9100000</v>
      </c>
      <c r="E96">
        <v>9199999</v>
      </c>
      <c r="F96" t="s">
        <v>54</v>
      </c>
      <c r="G96" t="str">
        <f t="shared" si="2"/>
        <v>SPC</v>
      </c>
      <c r="H96" t="s">
        <v>19</v>
      </c>
      <c r="I96" t="s">
        <v>20</v>
      </c>
      <c r="J96" t="s">
        <v>21</v>
      </c>
      <c r="K96" s="6">
        <v>0.03</v>
      </c>
      <c r="L96" s="7">
        <f t="shared" si="3"/>
        <v>2E-3</v>
      </c>
      <c r="M96" s="7">
        <v>3.0000000000000001E-3</v>
      </c>
      <c r="N96">
        <v>6</v>
      </c>
      <c r="O96" s="8">
        <v>10.732823757657394</v>
      </c>
      <c r="P96" s="9">
        <v>10.732823757657394</v>
      </c>
      <c r="Q96" s="9">
        <v>10.732823757657394</v>
      </c>
      <c r="R96" s="9">
        <v>11.04856201020749</v>
      </c>
      <c r="S96" s="9">
        <v>11.364751027066461</v>
      </c>
      <c r="T96" s="9">
        <v>11.749173507902043</v>
      </c>
      <c r="U96" s="9">
        <v>12.850564325687124</v>
      </c>
      <c r="V96" s="9">
        <v>12.850564325687124</v>
      </c>
      <c r="W96" s="9">
        <v>12.850564325687124</v>
      </c>
      <c r="X96" s="9">
        <v>14.782637373051333</v>
      </c>
      <c r="Y96" s="9">
        <v>14.782637373051333</v>
      </c>
      <c r="Z96" s="9">
        <v>16.85024587052752</v>
      </c>
      <c r="AA96" s="9">
        <v>16.85024587052752</v>
      </c>
      <c r="AB96" s="9">
        <v>19.120701872341421</v>
      </c>
      <c r="AC96" s="9">
        <v>19.120701872341421</v>
      </c>
      <c r="AD96" s="9">
        <v>21.180732467605459</v>
      </c>
      <c r="AE96" s="9">
        <v>23.311209829410082</v>
      </c>
      <c r="AF96" s="9">
        <v>25.5191786344094</v>
      </c>
      <c r="AG96" s="9">
        <v>25.5191786344094</v>
      </c>
      <c r="AH96" s="9">
        <v>27.812388026922832</v>
      </c>
      <c r="AI96" s="9">
        <v>29.713125400067604</v>
      </c>
      <c r="AJ96" s="9">
        <v>3.0428788910505911</v>
      </c>
    </row>
    <row r="97" spans="1:36" x14ac:dyDescent="0.25">
      <c r="A97" t="s">
        <v>5411</v>
      </c>
      <c r="B97" t="s">
        <v>16</v>
      </c>
      <c r="C97" t="s">
        <v>17</v>
      </c>
      <c r="D97">
        <v>9200000</v>
      </c>
      <c r="E97">
        <v>9299999</v>
      </c>
      <c r="F97" t="s">
        <v>54</v>
      </c>
      <c r="G97" t="str">
        <f t="shared" si="2"/>
        <v>SPC</v>
      </c>
      <c r="H97" t="s">
        <v>19</v>
      </c>
      <c r="I97" t="s">
        <v>20</v>
      </c>
      <c r="J97" t="s">
        <v>21</v>
      </c>
      <c r="K97" s="6">
        <v>0.03</v>
      </c>
      <c r="L97" s="7">
        <f t="shared" si="3"/>
        <v>2E-3</v>
      </c>
      <c r="M97" s="7">
        <v>3.0000000000000001E-3</v>
      </c>
      <c r="N97">
        <v>6</v>
      </c>
      <c r="O97" s="8">
        <v>10.732823757657394</v>
      </c>
      <c r="P97" s="9">
        <v>10.732823757657394</v>
      </c>
      <c r="Q97" s="9">
        <v>10.732823757657394</v>
      </c>
      <c r="R97" s="9">
        <v>11.04856201020749</v>
      </c>
      <c r="S97" s="9">
        <v>11.364751027066461</v>
      </c>
      <c r="T97" s="9">
        <v>11.749173507902043</v>
      </c>
      <c r="U97" s="9">
        <v>12.850564325687124</v>
      </c>
      <c r="V97" s="9">
        <v>12.850564325687124</v>
      </c>
      <c r="W97" s="9">
        <v>12.850564325687124</v>
      </c>
      <c r="X97" s="9">
        <v>14.782637373051333</v>
      </c>
      <c r="Y97" s="9">
        <v>14.782637373051333</v>
      </c>
      <c r="Z97" s="9">
        <v>16.85024587052752</v>
      </c>
      <c r="AA97" s="9">
        <v>16.85024587052752</v>
      </c>
      <c r="AB97" s="9">
        <v>19.120701872341421</v>
      </c>
      <c r="AC97" s="9">
        <v>19.120701872341421</v>
      </c>
      <c r="AD97" s="9">
        <v>21.180732467605459</v>
      </c>
      <c r="AE97" s="9">
        <v>23.311209829410082</v>
      </c>
      <c r="AF97" s="9">
        <v>25.5191786344094</v>
      </c>
      <c r="AG97" s="9">
        <v>25.5191786344094</v>
      </c>
      <c r="AH97" s="9">
        <v>27.812388026922832</v>
      </c>
      <c r="AI97" s="9">
        <v>29.713125400067604</v>
      </c>
      <c r="AJ97" s="9">
        <v>3.0428788910505911</v>
      </c>
    </row>
    <row r="98" spans="1:36" x14ac:dyDescent="0.25">
      <c r="A98" t="s">
        <v>5411</v>
      </c>
      <c r="B98" t="s">
        <v>16</v>
      </c>
      <c r="C98" t="s">
        <v>17</v>
      </c>
      <c r="D98">
        <v>9300000</v>
      </c>
      <c r="E98">
        <v>9399999</v>
      </c>
      <c r="F98" t="s">
        <v>55</v>
      </c>
      <c r="G98" t="str">
        <f t="shared" si="2"/>
        <v>SPC</v>
      </c>
      <c r="H98" t="s">
        <v>19</v>
      </c>
      <c r="I98" t="s">
        <v>20</v>
      </c>
      <c r="J98" t="s">
        <v>21</v>
      </c>
      <c r="K98" s="6">
        <v>0.03</v>
      </c>
      <c r="L98" s="7">
        <f t="shared" si="3"/>
        <v>2E-3</v>
      </c>
      <c r="M98" s="7">
        <v>3.0000000000000001E-3</v>
      </c>
      <c r="N98">
        <v>6</v>
      </c>
      <c r="O98" s="8">
        <v>10.732823757657394</v>
      </c>
      <c r="P98" s="9">
        <v>10.732823757657394</v>
      </c>
      <c r="Q98" s="9">
        <v>10.732823757657394</v>
      </c>
      <c r="R98" s="9">
        <v>11.04856201020749</v>
      </c>
      <c r="S98" s="9">
        <v>11.364751027066461</v>
      </c>
      <c r="T98" s="9">
        <v>11.749173507902043</v>
      </c>
      <c r="U98" s="9">
        <v>12.850564325687124</v>
      </c>
      <c r="V98" s="9">
        <v>12.850564325687124</v>
      </c>
      <c r="W98" s="9">
        <v>12.850564325687124</v>
      </c>
      <c r="X98" s="9">
        <v>14.782637373051333</v>
      </c>
      <c r="Y98" s="9">
        <v>14.782637373051333</v>
      </c>
      <c r="Z98" s="9">
        <v>16.85024587052752</v>
      </c>
      <c r="AA98" s="9">
        <v>16.85024587052752</v>
      </c>
      <c r="AB98" s="9">
        <v>19.120701872341421</v>
      </c>
      <c r="AC98" s="9">
        <v>19.120701872341421</v>
      </c>
      <c r="AD98" s="9">
        <v>21.180732467605459</v>
      </c>
      <c r="AE98" s="9">
        <v>23.311209829410082</v>
      </c>
      <c r="AF98" s="9">
        <v>25.5191786344094</v>
      </c>
      <c r="AG98" s="9">
        <v>25.5191786344094</v>
      </c>
      <c r="AH98" s="9">
        <v>27.812388026922832</v>
      </c>
      <c r="AI98" s="9">
        <v>29.713125400067604</v>
      </c>
      <c r="AJ98" s="9">
        <v>3.0428788910505911</v>
      </c>
    </row>
    <row r="99" spans="1:36" x14ac:dyDescent="0.25">
      <c r="A99" t="s">
        <v>5411</v>
      </c>
      <c r="B99" t="s">
        <v>16</v>
      </c>
      <c r="C99" t="s">
        <v>17</v>
      </c>
      <c r="D99">
        <v>9400000</v>
      </c>
      <c r="E99">
        <v>9449999</v>
      </c>
      <c r="F99" t="s">
        <v>56</v>
      </c>
      <c r="G99" t="str">
        <f t="shared" si="2"/>
        <v>SPC</v>
      </c>
      <c r="H99" t="s">
        <v>19</v>
      </c>
      <c r="I99" t="s">
        <v>20</v>
      </c>
      <c r="J99" t="s">
        <v>21</v>
      </c>
      <c r="K99" s="6">
        <v>0.03</v>
      </c>
      <c r="L99" s="7">
        <f t="shared" si="3"/>
        <v>2E-3</v>
      </c>
      <c r="M99" s="7">
        <v>3.0000000000000001E-3</v>
      </c>
      <c r="N99">
        <v>6</v>
      </c>
      <c r="O99" s="8">
        <v>10.732823757657394</v>
      </c>
      <c r="P99" s="9">
        <v>10.732823757657394</v>
      </c>
      <c r="Q99" s="9">
        <v>10.732823757657394</v>
      </c>
      <c r="R99" s="9">
        <v>11.04856201020749</v>
      </c>
      <c r="S99" s="9">
        <v>11.364751027066461</v>
      </c>
      <c r="T99" s="9">
        <v>11.749173507902043</v>
      </c>
      <c r="U99" s="9">
        <v>12.850564325687124</v>
      </c>
      <c r="V99" s="9">
        <v>12.850564325687124</v>
      </c>
      <c r="W99" s="9">
        <v>12.850564325687124</v>
      </c>
      <c r="X99" s="9">
        <v>14.782637373051333</v>
      </c>
      <c r="Y99" s="9">
        <v>14.782637373051333</v>
      </c>
      <c r="Z99" s="9">
        <v>16.85024587052752</v>
      </c>
      <c r="AA99" s="9">
        <v>16.85024587052752</v>
      </c>
      <c r="AB99" s="9">
        <v>19.120701872341421</v>
      </c>
      <c r="AC99" s="9">
        <v>19.120701872341421</v>
      </c>
      <c r="AD99" s="9">
        <v>21.180732467605459</v>
      </c>
      <c r="AE99" s="9">
        <v>23.311209829410082</v>
      </c>
      <c r="AF99" s="9">
        <v>25.5191786344094</v>
      </c>
      <c r="AG99" s="9">
        <v>25.5191786344094</v>
      </c>
      <c r="AH99" s="9">
        <v>27.812388026922832</v>
      </c>
      <c r="AI99" s="9">
        <v>29.713125400067604</v>
      </c>
      <c r="AJ99" s="9">
        <v>3.0428788910505911</v>
      </c>
    </row>
    <row r="100" spans="1:36" x14ac:dyDescent="0.25">
      <c r="A100" t="s">
        <v>5411</v>
      </c>
      <c r="B100" t="s">
        <v>16</v>
      </c>
      <c r="C100" t="s">
        <v>17</v>
      </c>
      <c r="D100">
        <v>9450000</v>
      </c>
      <c r="E100">
        <v>9499999</v>
      </c>
      <c r="F100" t="s">
        <v>57</v>
      </c>
      <c r="G100" t="str">
        <f t="shared" si="2"/>
        <v>SPC</v>
      </c>
      <c r="H100" t="s">
        <v>19</v>
      </c>
      <c r="I100" t="s">
        <v>20</v>
      </c>
      <c r="J100" t="s">
        <v>21</v>
      </c>
      <c r="K100" s="6">
        <v>0.03</v>
      </c>
      <c r="L100" s="7">
        <f t="shared" si="3"/>
        <v>2E-3</v>
      </c>
      <c r="M100" s="7">
        <v>3.0000000000000001E-3</v>
      </c>
      <c r="N100">
        <v>6</v>
      </c>
      <c r="O100" s="8">
        <v>10.732823757657394</v>
      </c>
      <c r="P100" s="9">
        <v>10.732823757657394</v>
      </c>
      <c r="Q100" s="9">
        <v>10.732823757657394</v>
      </c>
      <c r="R100" s="9">
        <v>11.04856201020749</v>
      </c>
      <c r="S100" s="9">
        <v>11.364751027066461</v>
      </c>
      <c r="T100" s="9">
        <v>11.749173507902043</v>
      </c>
      <c r="U100" s="9">
        <v>12.850564325687124</v>
      </c>
      <c r="V100" s="9">
        <v>12.850564325687124</v>
      </c>
      <c r="W100" s="9">
        <v>12.850564325687124</v>
      </c>
      <c r="X100" s="9">
        <v>14.782637373051333</v>
      </c>
      <c r="Y100" s="9">
        <v>14.782637373051333</v>
      </c>
      <c r="Z100" s="9">
        <v>16.85024587052752</v>
      </c>
      <c r="AA100" s="9">
        <v>16.85024587052752</v>
      </c>
      <c r="AB100" s="9">
        <v>19.120701872341421</v>
      </c>
      <c r="AC100" s="9">
        <v>19.120701872341421</v>
      </c>
      <c r="AD100" s="9">
        <v>21.180732467605459</v>
      </c>
      <c r="AE100" s="9">
        <v>23.311209829410082</v>
      </c>
      <c r="AF100" s="9">
        <v>25.5191786344094</v>
      </c>
      <c r="AG100" s="9">
        <v>25.5191786344094</v>
      </c>
      <c r="AH100" s="9">
        <v>27.812388026922832</v>
      </c>
      <c r="AI100" s="9">
        <v>29.713125400067604</v>
      </c>
      <c r="AJ100" s="9">
        <v>3.0428788910505911</v>
      </c>
    </row>
    <row r="101" spans="1:36" x14ac:dyDescent="0.25">
      <c r="A101" t="s">
        <v>5411</v>
      </c>
      <c r="B101" t="s">
        <v>16</v>
      </c>
      <c r="C101" t="s">
        <v>17</v>
      </c>
      <c r="D101">
        <v>9500000</v>
      </c>
      <c r="E101">
        <v>9599999</v>
      </c>
      <c r="F101" t="s">
        <v>58</v>
      </c>
      <c r="G101" t="str">
        <f t="shared" si="2"/>
        <v>SPC</v>
      </c>
      <c r="H101" t="s">
        <v>19</v>
      </c>
      <c r="I101" t="s">
        <v>20</v>
      </c>
      <c r="J101" t="s">
        <v>21</v>
      </c>
      <c r="K101" s="6">
        <v>0.03</v>
      </c>
      <c r="L101" s="7">
        <f t="shared" si="3"/>
        <v>2E-3</v>
      </c>
      <c r="M101" s="7">
        <v>3.0000000000000001E-3</v>
      </c>
      <c r="N101">
        <v>6</v>
      </c>
      <c r="O101" s="8">
        <v>10.732823757657394</v>
      </c>
      <c r="P101" s="9">
        <v>10.732823757657394</v>
      </c>
      <c r="Q101" s="9">
        <v>10.732823757657394</v>
      </c>
      <c r="R101" s="9">
        <v>11.04856201020749</v>
      </c>
      <c r="S101" s="9">
        <v>11.364751027066461</v>
      </c>
      <c r="T101" s="9">
        <v>11.749173507902043</v>
      </c>
      <c r="U101" s="9">
        <v>12.850564325687124</v>
      </c>
      <c r="V101" s="9">
        <v>12.850564325687124</v>
      </c>
      <c r="W101" s="9">
        <v>12.850564325687124</v>
      </c>
      <c r="X101" s="9">
        <v>14.782637373051333</v>
      </c>
      <c r="Y101" s="9">
        <v>14.782637373051333</v>
      </c>
      <c r="Z101" s="9">
        <v>16.85024587052752</v>
      </c>
      <c r="AA101" s="9">
        <v>16.85024587052752</v>
      </c>
      <c r="AB101" s="9">
        <v>19.120701872341421</v>
      </c>
      <c r="AC101" s="9">
        <v>19.120701872341421</v>
      </c>
      <c r="AD101" s="9">
        <v>21.180732467605459</v>
      </c>
      <c r="AE101" s="9">
        <v>23.311209829410082</v>
      </c>
      <c r="AF101" s="9">
        <v>25.5191786344094</v>
      </c>
      <c r="AG101" s="9">
        <v>25.5191786344094</v>
      </c>
      <c r="AH101" s="9">
        <v>27.812388026922832</v>
      </c>
      <c r="AI101" s="9">
        <v>29.713125400067604</v>
      </c>
      <c r="AJ101" s="9">
        <v>3.0428788910505911</v>
      </c>
    </row>
    <row r="102" spans="1:36" x14ac:dyDescent="0.25">
      <c r="A102" t="s">
        <v>5411</v>
      </c>
      <c r="B102" t="s">
        <v>16</v>
      </c>
      <c r="C102" t="s">
        <v>17</v>
      </c>
      <c r="D102">
        <v>9600000</v>
      </c>
      <c r="E102">
        <v>9699999</v>
      </c>
      <c r="F102" t="s">
        <v>59</v>
      </c>
      <c r="G102" t="str">
        <f t="shared" si="2"/>
        <v>SPC</v>
      </c>
      <c r="H102" t="s">
        <v>19</v>
      </c>
      <c r="I102" t="s">
        <v>20</v>
      </c>
      <c r="J102" t="s">
        <v>21</v>
      </c>
      <c r="K102" s="6">
        <v>0.03</v>
      </c>
      <c r="L102" s="7">
        <f t="shared" si="3"/>
        <v>2E-3</v>
      </c>
      <c r="M102" s="7">
        <v>3.0000000000000001E-3</v>
      </c>
      <c r="N102">
        <v>6</v>
      </c>
      <c r="O102" s="8">
        <v>10.732823757657394</v>
      </c>
      <c r="P102" s="9">
        <v>10.732823757657394</v>
      </c>
      <c r="Q102" s="9">
        <v>10.732823757657394</v>
      </c>
      <c r="R102" s="9">
        <v>11.04856201020749</v>
      </c>
      <c r="S102" s="9">
        <v>11.364751027066461</v>
      </c>
      <c r="T102" s="9">
        <v>11.749173507902043</v>
      </c>
      <c r="U102" s="9">
        <v>12.850564325687124</v>
      </c>
      <c r="V102" s="9">
        <v>12.850564325687124</v>
      </c>
      <c r="W102" s="9">
        <v>12.850564325687124</v>
      </c>
      <c r="X102" s="9">
        <v>14.782637373051333</v>
      </c>
      <c r="Y102" s="9">
        <v>14.782637373051333</v>
      </c>
      <c r="Z102" s="9">
        <v>16.85024587052752</v>
      </c>
      <c r="AA102" s="9">
        <v>16.85024587052752</v>
      </c>
      <c r="AB102" s="9">
        <v>19.120701872341421</v>
      </c>
      <c r="AC102" s="9">
        <v>19.120701872341421</v>
      </c>
      <c r="AD102" s="9">
        <v>21.180732467605459</v>
      </c>
      <c r="AE102" s="9">
        <v>23.311209829410082</v>
      </c>
      <c r="AF102" s="9">
        <v>25.5191786344094</v>
      </c>
      <c r="AG102" s="9">
        <v>25.5191786344094</v>
      </c>
      <c r="AH102" s="9">
        <v>27.812388026922832</v>
      </c>
      <c r="AI102" s="9">
        <v>29.713125400067604</v>
      </c>
      <c r="AJ102" s="9">
        <v>3.0428788910505911</v>
      </c>
    </row>
    <row r="103" spans="1:36" x14ac:dyDescent="0.25">
      <c r="A103" t="s">
        <v>5411</v>
      </c>
      <c r="B103" t="s">
        <v>16</v>
      </c>
      <c r="C103" t="s">
        <v>17</v>
      </c>
      <c r="D103">
        <v>9700000</v>
      </c>
      <c r="E103">
        <v>9799999</v>
      </c>
      <c r="F103" t="s">
        <v>59</v>
      </c>
      <c r="G103" t="str">
        <f t="shared" si="2"/>
        <v>SPC</v>
      </c>
      <c r="H103" t="s">
        <v>19</v>
      </c>
      <c r="I103" t="s">
        <v>20</v>
      </c>
      <c r="J103" t="s">
        <v>21</v>
      </c>
      <c r="K103" s="6">
        <v>0.03</v>
      </c>
      <c r="L103" s="7">
        <f t="shared" si="3"/>
        <v>2E-3</v>
      </c>
      <c r="M103" s="7">
        <v>3.0000000000000001E-3</v>
      </c>
      <c r="N103">
        <v>6</v>
      </c>
      <c r="O103" s="8">
        <v>10.732823757657394</v>
      </c>
      <c r="P103" s="9">
        <v>10.732823757657394</v>
      </c>
      <c r="Q103" s="9">
        <v>10.732823757657394</v>
      </c>
      <c r="R103" s="9">
        <v>11.04856201020749</v>
      </c>
      <c r="S103" s="9">
        <v>11.364751027066461</v>
      </c>
      <c r="T103" s="9">
        <v>11.749173507902043</v>
      </c>
      <c r="U103" s="9">
        <v>12.850564325687124</v>
      </c>
      <c r="V103" s="9">
        <v>12.850564325687124</v>
      </c>
      <c r="W103" s="9">
        <v>12.850564325687124</v>
      </c>
      <c r="X103" s="9">
        <v>14.782637373051333</v>
      </c>
      <c r="Y103" s="9">
        <v>14.782637373051333</v>
      </c>
      <c r="Z103" s="9">
        <v>16.85024587052752</v>
      </c>
      <c r="AA103" s="9">
        <v>16.85024587052752</v>
      </c>
      <c r="AB103" s="9">
        <v>19.120701872341421</v>
      </c>
      <c r="AC103" s="9">
        <v>19.120701872341421</v>
      </c>
      <c r="AD103" s="9">
        <v>21.180732467605459</v>
      </c>
      <c r="AE103" s="9">
        <v>23.311209829410082</v>
      </c>
      <c r="AF103" s="9">
        <v>25.5191786344094</v>
      </c>
      <c r="AG103" s="9">
        <v>25.5191786344094</v>
      </c>
      <c r="AH103" s="9">
        <v>27.812388026922832</v>
      </c>
      <c r="AI103" s="9">
        <v>29.713125400067604</v>
      </c>
      <c r="AJ103" s="9">
        <v>3.0428788910505911</v>
      </c>
    </row>
    <row r="104" spans="1:36" x14ac:dyDescent="0.25">
      <c r="A104" t="s">
        <v>5411</v>
      </c>
      <c r="B104" t="s">
        <v>16</v>
      </c>
      <c r="C104" t="s">
        <v>17</v>
      </c>
      <c r="D104">
        <v>9800000</v>
      </c>
      <c r="E104">
        <v>9899999</v>
      </c>
      <c r="F104" t="s">
        <v>59</v>
      </c>
      <c r="G104" t="str">
        <f t="shared" si="2"/>
        <v>SPC</v>
      </c>
      <c r="H104" t="s">
        <v>19</v>
      </c>
      <c r="I104" t="s">
        <v>20</v>
      </c>
      <c r="J104" t="s">
        <v>21</v>
      </c>
      <c r="K104" s="6">
        <v>0.03</v>
      </c>
      <c r="L104" s="7">
        <f t="shared" si="3"/>
        <v>2E-3</v>
      </c>
      <c r="M104" s="7">
        <v>3.0000000000000001E-3</v>
      </c>
      <c r="N104">
        <v>6</v>
      </c>
      <c r="O104" s="8">
        <v>10.732823757657394</v>
      </c>
      <c r="P104" s="9">
        <v>10.732823757657394</v>
      </c>
      <c r="Q104" s="9">
        <v>10.732823757657394</v>
      </c>
      <c r="R104" s="9">
        <v>11.04856201020749</v>
      </c>
      <c r="S104" s="9">
        <v>11.364751027066461</v>
      </c>
      <c r="T104" s="9">
        <v>11.749173507902043</v>
      </c>
      <c r="U104" s="9">
        <v>12.850564325687124</v>
      </c>
      <c r="V104" s="9">
        <v>12.850564325687124</v>
      </c>
      <c r="W104" s="9">
        <v>12.850564325687124</v>
      </c>
      <c r="X104" s="9">
        <v>14.782637373051333</v>
      </c>
      <c r="Y104" s="9">
        <v>14.782637373051333</v>
      </c>
      <c r="Z104" s="9">
        <v>16.85024587052752</v>
      </c>
      <c r="AA104" s="9">
        <v>16.85024587052752</v>
      </c>
      <c r="AB104" s="9">
        <v>19.120701872341421</v>
      </c>
      <c r="AC104" s="9">
        <v>19.120701872341421</v>
      </c>
      <c r="AD104" s="9">
        <v>21.180732467605459</v>
      </c>
      <c r="AE104" s="9">
        <v>23.311209829410082</v>
      </c>
      <c r="AF104" s="9">
        <v>25.5191786344094</v>
      </c>
      <c r="AG104" s="9">
        <v>25.5191786344094</v>
      </c>
      <c r="AH104" s="9">
        <v>27.812388026922832</v>
      </c>
      <c r="AI104" s="9">
        <v>29.713125400067604</v>
      </c>
      <c r="AJ104" s="9">
        <v>3.0428788910505911</v>
      </c>
    </row>
    <row r="105" spans="1:36" x14ac:dyDescent="0.25">
      <c r="A105" t="s">
        <v>5411</v>
      </c>
      <c r="B105" t="s">
        <v>16</v>
      </c>
      <c r="C105" t="s">
        <v>17</v>
      </c>
      <c r="D105">
        <v>9900000</v>
      </c>
      <c r="E105">
        <v>9999999</v>
      </c>
      <c r="F105" t="s">
        <v>60</v>
      </c>
      <c r="G105" t="str">
        <f t="shared" si="2"/>
        <v>SPC</v>
      </c>
      <c r="H105" t="s">
        <v>19</v>
      </c>
      <c r="I105" t="s">
        <v>20</v>
      </c>
      <c r="J105" t="s">
        <v>21</v>
      </c>
      <c r="K105" s="6">
        <v>0.03</v>
      </c>
      <c r="L105" s="7">
        <f t="shared" si="3"/>
        <v>2E-3</v>
      </c>
      <c r="M105" s="7">
        <v>3.0000000000000001E-3</v>
      </c>
      <c r="N105">
        <v>6</v>
      </c>
      <c r="O105" s="8">
        <v>10.732823757657394</v>
      </c>
      <c r="P105" s="9">
        <v>10.732823757657394</v>
      </c>
      <c r="Q105" s="9">
        <v>10.732823757657394</v>
      </c>
      <c r="R105" s="9">
        <v>11.04856201020749</v>
      </c>
      <c r="S105" s="9">
        <v>11.364751027066461</v>
      </c>
      <c r="T105" s="9">
        <v>11.749173507902043</v>
      </c>
      <c r="U105" s="9">
        <v>12.850564325687124</v>
      </c>
      <c r="V105" s="9">
        <v>12.850564325687124</v>
      </c>
      <c r="W105" s="9">
        <v>12.850564325687124</v>
      </c>
      <c r="X105" s="9">
        <v>14.782637373051333</v>
      </c>
      <c r="Y105" s="9">
        <v>14.782637373051333</v>
      </c>
      <c r="Z105" s="9">
        <v>16.85024587052752</v>
      </c>
      <c r="AA105" s="9">
        <v>16.85024587052752</v>
      </c>
      <c r="AB105" s="9">
        <v>19.120701872341421</v>
      </c>
      <c r="AC105" s="9">
        <v>19.120701872341421</v>
      </c>
      <c r="AD105" s="9">
        <v>21.180732467605459</v>
      </c>
      <c r="AE105" s="9">
        <v>23.311209829410082</v>
      </c>
      <c r="AF105" s="9">
        <v>25.5191786344094</v>
      </c>
      <c r="AG105" s="9">
        <v>25.5191786344094</v>
      </c>
      <c r="AH105" s="9">
        <v>27.812388026922832</v>
      </c>
      <c r="AI105" s="9">
        <v>29.713125400067604</v>
      </c>
      <c r="AJ105" s="9">
        <v>3.0428788910505911</v>
      </c>
    </row>
    <row r="106" spans="1:36" x14ac:dyDescent="0.25">
      <c r="A106" t="s">
        <v>5411</v>
      </c>
      <c r="B106" t="s">
        <v>16</v>
      </c>
      <c r="C106" t="s">
        <v>17</v>
      </c>
      <c r="D106">
        <v>10000000</v>
      </c>
      <c r="E106">
        <v>11249999</v>
      </c>
      <c r="F106" t="s">
        <v>61</v>
      </c>
      <c r="G106" t="str">
        <f t="shared" si="2"/>
        <v>SPI</v>
      </c>
      <c r="H106" t="s">
        <v>19</v>
      </c>
      <c r="I106" t="s">
        <v>22</v>
      </c>
      <c r="J106" t="s">
        <v>62</v>
      </c>
      <c r="K106" s="6">
        <v>0.03</v>
      </c>
      <c r="L106" s="7">
        <f t="shared" si="3"/>
        <v>0.03</v>
      </c>
      <c r="M106" s="7">
        <v>3.0000000000000001E-3</v>
      </c>
      <c r="N106">
        <v>7</v>
      </c>
      <c r="O106" s="8">
        <v>14.260089507934383</v>
      </c>
      <c r="P106" s="9">
        <v>14.260089507934383</v>
      </c>
      <c r="Q106" s="9">
        <v>14.260089507934383</v>
      </c>
      <c r="R106" s="9">
        <v>14.434686024139818</v>
      </c>
      <c r="S106" s="9">
        <v>14.722027102535575</v>
      </c>
      <c r="T106" s="9">
        <v>15.677715915555218</v>
      </c>
      <c r="U106" s="9">
        <v>17.010379604817192</v>
      </c>
      <c r="V106" s="9">
        <v>17.010379604817192</v>
      </c>
      <c r="W106" s="9">
        <v>17.010379604817192</v>
      </c>
      <c r="X106" s="9">
        <v>16.884570568466835</v>
      </c>
      <c r="Y106" s="9">
        <v>16.884570568466835</v>
      </c>
      <c r="Z106" s="9">
        <v>18.617757359760585</v>
      </c>
      <c r="AA106" s="9">
        <v>18.617757359760585</v>
      </c>
      <c r="AB106" s="9">
        <v>20.52292271594289</v>
      </c>
      <c r="AC106" s="9">
        <v>20.52292271594289</v>
      </c>
      <c r="AD106" s="9">
        <v>22.530627040176761</v>
      </c>
      <c r="AE106" s="9">
        <v>24.654059850225856</v>
      </c>
      <c r="AF106" s="9">
        <v>28.622962393602329</v>
      </c>
      <c r="AG106" s="9">
        <v>28.622962393602329</v>
      </c>
      <c r="AH106" s="9">
        <v>31.011605245024167</v>
      </c>
      <c r="AI106" s="9">
        <v>33.330799286496742</v>
      </c>
      <c r="AJ106" s="9">
        <v>3.0428788910505911</v>
      </c>
    </row>
    <row r="107" spans="1:36" x14ac:dyDescent="0.25">
      <c r="A107" t="s">
        <v>5411</v>
      </c>
      <c r="B107" t="s">
        <v>16</v>
      </c>
      <c r="C107" t="s">
        <v>17</v>
      </c>
      <c r="D107">
        <v>11250000</v>
      </c>
      <c r="E107">
        <v>11299999</v>
      </c>
      <c r="F107" t="s">
        <v>63</v>
      </c>
      <c r="G107" t="str">
        <f t="shared" si="2"/>
        <v>SPI II</v>
      </c>
      <c r="H107" t="s">
        <v>19</v>
      </c>
      <c r="I107" t="s">
        <v>20</v>
      </c>
      <c r="J107" t="s">
        <v>64</v>
      </c>
      <c r="K107" s="6">
        <v>0.03</v>
      </c>
      <c r="L107" s="7">
        <f t="shared" si="3"/>
        <v>2E-3</v>
      </c>
      <c r="M107" s="7">
        <v>3.0000000000000001E-3</v>
      </c>
      <c r="N107">
        <v>9</v>
      </c>
      <c r="O107" s="8">
        <v>17.934556092922943</v>
      </c>
      <c r="P107" s="9">
        <v>17.934556092922943</v>
      </c>
      <c r="Q107" s="9">
        <v>17.934556092922943</v>
      </c>
      <c r="R107" s="9">
        <v>18.35577997371016</v>
      </c>
      <c r="S107" s="9">
        <v>18.404835306435746</v>
      </c>
      <c r="T107" s="9">
        <v>19.112621008962602</v>
      </c>
      <c r="U107" s="9">
        <v>20.35176903227914</v>
      </c>
      <c r="V107" s="9">
        <v>20.35176903227914</v>
      </c>
      <c r="W107" s="9">
        <v>20.35176903227914</v>
      </c>
      <c r="X107" s="9">
        <v>19.91589544268896</v>
      </c>
      <c r="Y107" s="9">
        <v>19.91589544268896</v>
      </c>
      <c r="Z107" s="9">
        <v>21.609947773831163</v>
      </c>
      <c r="AA107" s="9">
        <v>21.609947773831163</v>
      </c>
      <c r="AB107" s="9">
        <v>23.372671736151272</v>
      </c>
      <c r="AC107" s="9">
        <v>23.372671736151272</v>
      </c>
      <c r="AD107" s="9">
        <v>26.430826810726163</v>
      </c>
      <c r="AE107" s="9">
        <v>27.959768706413232</v>
      </c>
      <c r="AF107" s="9">
        <v>29.772701744670762</v>
      </c>
      <c r="AG107" s="9">
        <v>29.772701744670762</v>
      </c>
      <c r="AH107" s="9">
        <v>32.589351949315954</v>
      </c>
      <c r="AI107" s="9">
        <v>34.825222308406182</v>
      </c>
      <c r="AJ107" s="9">
        <v>3.0428788910505911</v>
      </c>
    </row>
    <row r="108" spans="1:36" x14ac:dyDescent="0.25">
      <c r="A108" t="s">
        <v>5411</v>
      </c>
      <c r="B108" t="s">
        <v>16</v>
      </c>
      <c r="C108" t="s">
        <v>17</v>
      </c>
      <c r="D108">
        <v>11300000</v>
      </c>
      <c r="E108">
        <v>11399999</v>
      </c>
      <c r="F108" t="s">
        <v>65</v>
      </c>
      <c r="G108" t="str">
        <f t="shared" si="2"/>
        <v>SPI</v>
      </c>
      <c r="H108" t="s">
        <v>19</v>
      </c>
      <c r="I108" t="s">
        <v>20</v>
      </c>
      <c r="J108" t="s">
        <v>62</v>
      </c>
      <c r="K108" s="6">
        <v>0.03</v>
      </c>
      <c r="L108" s="7">
        <f t="shared" si="3"/>
        <v>2E-3</v>
      </c>
      <c r="M108" s="7">
        <v>3.0000000000000001E-3</v>
      </c>
      <c r="N108">
        <v>7</v>
      </c>
      <c r="O108" s="8">
        <v>14.260089507934383</v>
      </c>
      <c r="P108" s="9">
        <v>14.260089507934383</v>
      </c>
      <c r="Q108" s="9">
        <v>14.260089507934383</v>
      </c>
      <c r="R108" s="9">
        <v>14.434686024139818</v>
      </c>
      <c r="S108" s="9">
        <v>14.722027102535575</v>
      </c>
      <c r="T108" s="9">
        <v>15.677715915555218</v>
      </c>
      <c r="U108" s="9">
        <v>17.010379604817192</v>
      </c>
      <c r="V108" s="9">
        <v>17.010379604817192</v>
      </c>
      <c r="W108" s="9">
        <v>17.010379604817192</v>
      </c>
      <c r="X108" s="9">
        <v>16.884570568466835</v>
      </c>
      <c r="Y108" s="9">
        <v>16.884570568466835</v>
      </c>
      <c r="Z108" s="9">
        <v>18.617757359760585</v>
      </c>
      <c r="AA108" s="9">
        <v>18.617757359760585</v>
      </c>
      <c r="AB108" s="9">
        <v>20.52292271594289</v>
      </c>
      <c r="AC108" s="9">
        <v>20.52292271594289</v>
      </c>
      <c r="AD108" s="9">
        <v>22.530627040176761</v>
      </c>
      <c r="AE108" s="9">
        <v>24.654059850225856</v>
      </c>
      <c r="AF108" s="9">
        <v>28.622962393602329</v>
      </c>
      <c r="AG108" s="9">
        <v>28.622962393602329</v>
      </c>
      <c r="AH108" s="9">
        <v>31.011605245024167</v>
      </c>
      <c r="AI108" s="9">
        <v>33.330799286496742</v>
      </c>
      <c r="AJ108" s="9">
        <v>3.0428788910505911</v>
      </c>
    </row>
    <row r="109" spans="1:36" x14ac:dyDescent="0.25">
      <c r="A109" t="s">
        <v>5411</v>
      </c>
      <c r="B109" t="s">
        <v>16</v>
      </c>
      <c r="C109" t="s">
        <v>17</v>
      </c>
      <c r="D109">
        <v>11400000</v>
      </c>
      <c r="E109">
        <v>11499999</v>
      </c>
      <c r="F109" t="s">
        <v>66</v>
      </c>
      <c r="G109" t="str">
        <f t="shared" si="2"/>
        <v>SPI</v>
      </c>
      <c r="H109" t="s">
        <v>19</v>
      </c>
      <c r="I109" t="s">
        <v>20</v>
      </c>
      <c r="J109" t="s">
        <v>62</v>
      </c>
      <c r="K109" s="6">
        <v>0.03</v>
      </c>
      <c r="L109" s="7">
        <f t="shared" si="3"/>
        <v>2E-3</v>
      </c>
      <c r="M109" s="7">
        <v>3.0000000000000001E-3</v>
      </c>
      <c r="N109">
        <v>6</v>
      </c>
      <c r="O109" s="8">
        <v>14.260089507934383</v>
      </c>
      <c r="P109" s="9">
        <v>14.260089507934383</v>
      </c>
      <c r="Q109" s="9">
        <v>14.260089507934383</v>
      </c>
      <c r="R109" s="9">
        <v>14.434686024139818</v>
      </c>
      <c r="S109" s="9">
        <v>14.722027102535575</v>
      </c>
      <c r="T109" s="9">
        <v>15.677715915555218</v>
      </c>
      <c r="U109" s="9">
        <v>17.010379604817192</v>
      </c>
      <c r="V109" s="9">
        <v>17.010379604817192</v>
      </c>
      <c r="W109" s="9">
        <v>17.010379604817192</v>
      </c>
      <c r="X109" s="9">
        <v>16.884570568466835</v>
      </c>
      <c r="Y109" s="9">
        <v>16.884570568466835</v>
      </c>
      <c r="Z109" s="9">
        <v>18.617757359760585</v>
      </c>
      <c r="AA109" s="9">
        <v>18.617757359760585</v>
      </c>
      <c r="AB109" s="9">
        <v>20.52292271594289</v>
      </c>
      <c r="AC109" s="9">
        <v>20.52292271594289</v>
      </c>
      <c r="AD109" s="9">
        <v>22.530627040176761</v>
      </c>
      <c r="AE109" s="9">
        <v>24.654059850225856</v>
      </c>
      <c r="AF109" s="9">
        <v>28.622962393602329</v>
      </c>
      <c r="AG109" s="9">
        <v>28.622962393602329</v>
      </c>
      <c r="AH109" s="9">
        <v>31.011605245024167</v>
      </c>
      <c r="AI109" s="9">
        <v>33.330799286496742</v>
      </c>
      <c r="AJ109" s="9">
        <v>3.0428788910505911</v>
      </c>
    </row>
    <row r="110" spans="1:36" x14ac:dyDescent="0.25">
      <c r="A110" t="s">
        <v>5411</v>
      </c>
      <c r="B110" t="s">
        <v>16</v>
      </c>
      <c r="C110" t="s">
        <v>17</v>
      </c>
      <c r="D110">
        <v>11500000</v>
      </c>
      <c r="E110">
        <v>11524999</v>
      </c>
      <c r="F110" t="s">
        <v>67</v>
      </c>
      <c r="G110" t="str">
        <f t="shared" si="2"/>
        <v>SPI</v>
      </c>
      <c r="H110" t="s">
        <v>19</v>
      </c>
      <c r="I110" t="s">
        <v>20</v>
      </c>
      <c r="J110" t="s">
        <v>62</v>
      </c>
      <c r="K110" s="6">
        <v>0.03</v>
      </c>
      <c r="L110" s="7">
        <f t="shared" si="3"/>
        <v>2E-3</v>
      </c>
      <c r="M110" s="7">
        <v>3.0000000000000001E-3</v>
      </c>
      <c r="N110">
        <v>7</v>
      </c>
      <c r="O110" s="8">
        <v>14.260089507934383</v>
      </c>
      <c r="P110" s="9">
        <v>14.260089507934383</v>
      </c>
      <c r="Q110" s="9">
        <v>14.260089507934383</v>
      </c>
      <c r="R110" s="9">
        <v>14.434686024139818</v>
      </c>
      <c r="S110" s="9">
        <v>14.722027102535575</v>
      </c>
      <c r="T110" s="9">
        <v>15.677715915555218</v>
      </c>
      <c r="U110" s="9">
        <v>17.010379604817192</v>
      </c>
      <c r="V110" s="9">
        <v>17.010379604817192</v>
      </c>
      <c r="W110" s="9">
        <v>17.010379604817192</v>
      </c>
      <c r="X110" s="9">
        <v>16.884570568466835</v>
      </c>
      <c r="Y110" s="9">
        <v>16.884570568466835</v>
      </c>
      <c r="Z110" s="9">
        <v>18.617757359760585</v>
      </c>
      <c r="AA110" s="9">
        <v>18.617757359760585</v>
      </c>
      <c r="AB110" s="9">
        <v>20.52292271594289</v>
      </c>
      <c r="AC110" s="9">
        <v>20.52292271594289</v>
      </c>
      <c r="AD110" s="9">
        <v>22.530627040176761</v>
      </c>
      <c r="AE110" s="9">
        <v>24.654059850225856</v>
      </c>
      <c r="AF110" s="9">
        <v>28.622962393602329</v>
      </c>
      <c r="AG110" s="9">
        <v>28.622962393602329</v>
      </c>
      <c r="AH110" s="9">
        <v>31.011605245024167</v>
      </c>
      <c r="AI110" s="9">
        <v>33.330799286496742</v>
      </c>
      <c r="AJ110" s="9">
        <v>3.0428788910505911</v>
      </c>
    </row>
    <row r="111" spans="1:36" x14ac:dyDescent="0.25">
      <c r="A111" t="s">
        <v>5411</v>
      </c>
      <c r="B111" t="s">
        <v>16</v>
      </c>
      <c r="C111" t="s">
        <v>17</v>
      </c>
      <c r="D111">
        <v>11525000</v>
      </c>
      <c r="E111">
        <v>11599999</v>
      </c>
      <c r="F111" t="s">
        <v>67</v>
      </c>
      <c r="G111" t="str">
        <f t="shared" si="2"/>
        <v>SPI</v>
      </c>
      <c r="H111" t="s">
        <v>19</v>
      </c>
      <c r="I111" t="s">
        <v>20</v>
      </c>
      <c r="J111" t="s">
        <v>62</v>
      </c>
      <c r="K111" s="6">
        <v>0.03</v>
      </c>
      <c r="L111" s="7">
        <f t="shared" si="3"/>
        <v>2E-3</v>
      </c>
      <c r="M111" s="7">
        <v>3.0000000000000001E-3</v>
      </c>
      <c r="N111">
        <v>7</v>
      </c>
      <c r="O111" s="8">
        <v>14.260089507934383</v>
      </c>
      <c r="P111" s="9">
        <v>14.260089507934383</v>
      </c>
      <c r="Q111" s="9">
        <v>14.260089507934383</v>
      </c>
      <c r="R111" s="9">
        <v>14.434686024139818</v>
      </c>
      <c r="S111" s="9">
        <v>14.722027102535575</v>
      </c>
      <c r="T111" s="9">
        <v>15.677715915555218</v>
      </c>
      <c r="U111" s="9">
        <v>17.010379604817192</v>
      </c>
      <c r="V111" s="9">
        <v>17.010379604817192</v>
      </c>
      <c r="W111" s="9">
        <v>17.010379604817192</v>
      </c>
      <c r="X111" s="9">
        <v>16.884570568466835</v>
      </c>
      <c r="Y111" s="9">
        <v>16.884570568466835</v>
      </c>
      <c r="Z111" s="9">
        <v>18.617757359760585</v>
      </c>
      <c r="AA111" s="9">
        <v>18.617757359760585</v>
      </c>
      <c r="AB111" s="9">
        <v>20.52292271594289</v>
      </c>
      <c r="AC111" s="9">
        <v>20.52292271594289</v>
      </c>
      <c r="AD111" s="9">
        <v>22.530627040176761</v>
      </c>
      <c r="AE111" s="9">
        <v>24.654059850225856</v>
      </c>
      <c r="AF111" s="9">
        <v>28.622962393602329</v>
      </c>
      <c r="AG111" s="9">
        <v>28.622962393602329</v>
      </c>
      <c r="AH111" s="9">
        <v>31.011605245024167</v>
      </c>
      <c r="AI111" s="9">
        <v>33.330799286496742</v>
      </c>
      <c r="AJ111" s="9">
        <v>3.0428788910505911</v>
      </c>
    </row>
    <row r="112" spans="1:36" x14ac:dyDescent="0.25">
      <c r="A112" t="s">
        <v>5411</v>
      </c>
      <c r="B112" t="s">
        <v>16</v>
      </c>
      <c r="C112" t="s">
        <v>17</v>
      </c>
      <c r="D112">
        <v>11600000</v>
      </c>
      <c r="E112">
        <v>11629999</v>
      </c>
      <c r="F112" t="s">
        <v>68</v>
      </c>
      <c r="G112" t="str">
        <f t="shared" si="2"/>
        <v>SPI</v>
      </c>
      <c r="H112" t="s">
        <v>19</v>
      </c>
      <c r="I112" t="s">
        <v>20</v>
      </c>
      <c r="J112" t="s">
        <v>62</v>
      </c>
      <c r="K112" s="6">
        <v>0.03</v>
      </c>
      <c r="L112" s="7">
        <f t="shared" si="3"/>
        <v>2E-3</v>
      </c>
      <c r="M112" s="7">
        <v>3.0000000000000001E-3</v>
      </c>
      <c r="N112">
        <v>8</v>
      </c>
      <c r="O112" s="8">
        <v>14.260089507934383</v>
      </c>
      <c r="P112" s="9">
        <v>14.260089507934383</v>
      </c>
      <c r="Q112" s="9">
        <v>14.260089507934383</v>
      </c>
      <c r="R112" s="9">
        <v>14.434686024139818</v>
      </c>
      <c r="S112" s="9">
        <v>14.722027102535575</v>
      </c>
      <c r="T112" s="9">
        <v>15.677715915555218</v>
      </c>
      <c r="U112" s="9">
        <v>17.010379604817192</v>
      </c>
      <c r="V112" s="9">
        <v>17.010379604817192</v>
      </c>
      <c r="W112" s="9">
        <v>17.010379604817192</v>
      </c>
      <c r="X112" s="9">
        <v>16.884570568466835</v>
      </c>
      <c r="Y112" s="9">
        <v>16.884570568466835</v>
      </c>
      <c r="Z112" s="9">
        <v>18.617757359760585</v>
      </c>
      <c r="AA112" s="9">
        <v>18.617757359760585</v>
      </c>
      <c r="AB112" s="9">
        <v>20.52292271594289</v>
      </c>
      <c r="AC112" s="9">
        <v>20.52292271594289</v>
      </c>
      <c r="AD112" s="9">
        <v>22.530627040176761</v>
      </c>
      <c r="AE112" s="9">
        <v>24.654059850225856</v>
      </c>
      <c r="AF112" s="9">
        <v>28.622962393602329</v>
      </c>
      <c r="AG112" s="9">
        <v>28.622962393602329</v>
      </c>
      <c r="AH112" s="9">
        <v>31.011605245024167</v>
      </c>
      <c r="AI112" s="9">
        <v>33.330799286496742</v>
      </c>
      <c r="AJ112" s="9">
        <v>3.0428788910505911</v>
      </c>
    </row>
    <row r="113" spans="1:36" x14ac:dyDescent="0.25">
      <c r="A113" t="s">
        <v>5411</v>
      </c>
      <c r="B113" t="s">
        <v>16</v>
      </c>
      <c r="C113" t="s">
        <v>17</v>
      </c>
      <c r="D113">
        <v>11630000</v>
      </c>
      <c r="E113">
        <v>11659999</v>
      </c>
      <c r="F113" t="s">
        <v>69</v>
      </c>
      <c r="G113" t="str">
        <f t="shared" si="2"/>
        <v>SPI II</v>
      </c>
      <c r="H113" t="s">
        <v>19</v>
      </c>
      <c r="I113" t="s">
        <v>20</v>
      </c>
      <c r="J113" t="s">
        <v>64</v>
      </c>
      <c r="K113" s="6">
        <v>0.03</v>
      </c>
      <c r="L113" s="7">
        <f t="shared" si="3"/>
        <v>2E-3</v>
      </c>
      <c r="M113" s="7">
        <v>3.0000000000000001E-3</v>
      </c>
      <c r="N113">
        <v>9</v>
      </c>
      <c r="O113" s="8">
        <v>17.934556092922943</v>
      </c>
      <c r="P113" s="9">
        <v>17.934556092922943</v>
      </c>
      <c r="Q113" s="9">
        <v>17.934556092922943</v>
      </c>
      <c r="R113" s="9">
        <v>18.35577997371016</v>
      </c>
      <c r="S113" s="9">
        <v>18.404835306435746</v>
      </c>
      <c r="T113" s="9">
        <v>19.112621008962602</v>
      </c>
      <c r="U113" s="9">
        <v>20.35176903227914</v>
      </c>
      <c r="V113" s="9">
        <v>20.35176903227914</v>
      </c>
      <c r="W113" s="9">
        <v>20.35176903227914</v>
      </c>
      <c r="X113" s="9">
        <v>19.91589544268896</v>
      </c>
      <c r="Y113" s="9">
        <v>19.91589544268896</v>
      </c>
      <c r="Z113" s="9">
        <v>21.609947773831163</v>
      </c>
      <c r="AA113" s="9">
        <v>21.609947773831163</v>
      </c>
      <c r="AB113" s="9">
        <v>23.372671736151272</v>
      </c>
      <c r="AC113" s="9">
        <v>23.372671736151272</v>
      </c>
      <c r="AD113" s="9">
        <v>26.430826810726163</v>
      </c>
      <c r="AE113" s="9">
        <v>27.959768706413232</v>
      </c>
      <c r="AF113" s="9">
        <v>29.772701744670762</v>
      </c>
      <c r="AG113" s="9">
        <v>29.772701744670762</v>
      </c>
      <c r="AH113" s="9">
        <v>32.589351949315954</v>
      </c>
      <c r="AI113" s="9">
        <v>34.825222308406182</v>
      </c>
      <c r="AJ113" s="9">
        <v>3.0428788910505911</v>
      </c>
    </row>
    <row r="114" spans="1:36" x14ac:dyDescent="0.25">
      <c r="A114" t="s">
        <v>5411</v>
      </c>
      <c r="B114" t="s">
        <v>16</v>
      </c>
      <c r="C114" t="s">
        <v>17</v>
      </c>
      <c r="D114">
        <v>11660000</v>
      </c>
      <c r="E114">
        <v>11679999</v>
      </c>
      <c r="F114" t="s">
        <v>70</v>
      </c>
      <c r="G114" t="str">
        <f t="shared" si="2"/>
        <v>SPI</v>
      </c>
      <c r="H114" t="s">
        <v>19</v>
      </c>
      <c r="I114" t="s">
        <v>20</v>
      </c>
      <c r="J114" t="s">
        <v>62</v>
      </c>
      <c r="K114" s="6">
        <v>0.03</v>
      </c>
      <c r="L114" s="7">
        <f t="shared" si="3"/>
        <v>2E-3</v>
      </c>
      <c r="M114" s="7">
        <v>3.0000000000000001E-3</v>
      </c>
      <c r="N114">
        <v>8</v>
      </c>
      <c r="O114" s="8">
        <v>14.260089507934383</v>
      </c>
      <c r="P114" s="9">
        <v>14.260089507934383</v>
      </c>
      <c r="Q114" s="9">
        <v>14.260089507934383</v>
      </c>
      <c r="R114" s="9">
        <v>14.434686024139818</v>
      </c>
      <c r="S114" s="9">
        <v>14.722027102535575</v>
      </c>
      <c r="T114" s="9">
        <v>15.677715915555218</v>
      </c>
      <c r="U114" s="9">
        <v>17.010379604817192</v>
      </c>
      <c r="V114" s="9">
        <v>17.010379604817192</v>
      </c>
      <c r="W114" s="9">
        <v>17.010379604817192</v>
      </c>
      <c r="X114" s="9">
        <v>16.884570568466835</v>
      </c>
      <c r="Y114" s="9">
        <v>16.884570568466835</v>
      </c>
      <c r="Z114" s="9">
        <v>18.617757359760585</v>
      </c>
      <c r="AA114" s="9">
        <v>18.617757359760585</v>
      </c>
      <c r="AB114" s="9">
        <v>20.52292271594289</v>
      </c>
      <c r="AC114" s="9">
        <v>20.52292271594289</v>
      </c>
      <c r="AD114" s="9">
        <v>22.530627040176761</v>
      </c>
      <c r="AE114" s="9">
        <v>24.654059850225856</v>
      </c>
      <c r="AF114" s="9">
        <v>28.622962393602329</v>
      </c>
      <c r="AG114" s="9">
        <v>28.622962393602329</v>
      </c>
      <c r="AH114" s="9">
        <v>31.011605245024167</v>
      </c>
      <c r="AI114" s="9">
        <v>33.330799286496742</v>
      </c>
      <c r="AJ114" s="9">
        <v>3.0428788910505911</v>
      </c>
    </row>
    <row r="115" spans="1:36" x14ac:dyDescent="0.25">
      <c r="A115" t="s">
        <v>5411</v>
      </c>
      <c r="B115" t="s">
        <v>16</v>
      </c>
      <c r="C115" t="s">
        <v>17</v>
      </c>
      <c r="D115">
        <v>11680000</v>
      </c>
      <c r="E115">
        <v>11699999</v>
      </c>
      <c r="F115" t="s">
        <v>71</v>
      </c>
      <c r="G115" t="str">
        <f t="shared" si="2"/>
        <v>SPI</v>
      </c>
      <c r="H115" t="s">
        <v>19</v>
      </c>
      <c r="I115" t="s">
        <v>20</v>
      </c>
      <c r="J115" t="s">
        <v>62</v>
      </c>
      <c r="K115" s="6">
        <v>0.03</v>
      </c>
      <c r="L115" s="7">
        <f t="shared" si="3"/>
        <v>2E-3</v>
      </c>
      <c r="M115" s="7">
        <v>3.0000000000000001E-3</v>
      </c>
      <c r="N115">
        <v>9</v>
      </c>
      <c r="O115" s="8">
        <v>14.260089507934383</v>
      </c>
      <c r="P115" s="9">
        <v>14.260089507934383</v>
      </c>
      <c r="Q115" s="9">
        <v>14.260089507934383</v>
      </c>
      <c r="R115" s="9">
        <v>14.434686024139818</v>
      </c>
      <c r="S115" s="9">
        <v>14.722027102535575</v>
      </c>
      <c r="T115" s="9">
        <v>15.677715915555218</v>
      </c>
      <c r="U115" s="9">
        <v>17.010379604817192</v>
      </c>
      <c r="V115" s="9">
        <v>17.010379604817192</v>
      </c>
      <c r="W115" s="9">
        <v>17.010379604817192</v>
      </c>
      <c r="X115" s="9">
        <v>16.884570568466835</v>
      </c>
      <c r="Y115" s="9">
        <v>16.884570568466835</v>
      </c>
      <c r="Z115" s="9">
        <v>18.617757359760585</v>
      </c>
      <c r="AA115" s="9">
        <v>18.617757359760585</v>
      </c>
      <c r="AB115" s="9">
        <v>20.52292271594289</v>
      </c>
      <c r="AC115" s="9">
        <v>20.52292271594289</v>
      </c>
      <c r="AD115" s="9">
        <v>22.530627040176761</v>
      </c>
      <c r="AE115" s="9">
        <v>24.654059850225856</v>
      </c>
      <c r="AF115" s="9">
        <v>28.622962393602329</v>
      </c>
      <c r="AG115" s="9">
        <v>28.622962393602329</v>
      </c>
      <c r="AH115" s="9">
        <v>31.011605245024167</v>
      </c>
      <c r="AI115" s="9">
        <v>33.330799286496742</v>
      </c>
      <c r="AJ115" s="9">
        <v>3.0428788910505911</v>
      </c>
    </row>
    <row r="116" spans="1:36" x14ac:dyDescent="0.25">
      <c r="A116" t="s">
        <v>5411</v>
      </c>
      <c r="B116" t="s">
        <v>16</v>
      </c>
      <c r="C116" t="s">
        <v>17</v>
      </c>
      <c r="D116">
        <v>11700000</v>
      </c>
      <c r="E116">
        <v>11729999</v>
      </c>
      <c r="F116" t="s">
        <v>72</v>
      </c>
      <c r="G116" t="str">
        <f t="shared" si="2"/>
        <v>SPI</v>
      </c>
      <c r="H116" t="s">
        <v>19</v>
      </c>
      <c r="I116" t="s">
        <v>20</v>
      </c>
      <c r="J116" t="s">
        <v>62</v>
      </c>
      <c r="K116" s="6">
        <v>0.03</v>
      </c>
      <c r="L116" s="7">
        <f t="shared" si="3"/>
        <v>2E-3</v>
      </c>
      <c r="M116" s="7">
        <v>3.0000000000000001E-3</v>
      </c>
      <c r="N116">
        <v>9</v>
      </c>
      <c r="O116" s="8">
        <v>14.260089507934383</v>
      </c>
      <c r="P116" s="9">
        <v>14.260089507934383</v>
      </c>
      <c r="Q116" s="9">
        <v>14.260089507934383</v>
      </c>
      <c r="R116" s="9">
        <v>14.434686024139818</v>
      </c>
      <c r="S116" s="9">
        <v>14.722027102535575</v>
      </c>
      <c r="T116" s="9">
        <v>15.677715915555218</v>
      </c>
      <c r="U116" s="9">
        <v>17.010379604817192</v>
      </c>
      <c r="V116" s="9">
        <v>17.010379604817192</v>
      </c>
      <c r="W116" s="9">
        <v>17.010379604817192</v>
      </c>
      <c r="X116" s="9">
        <v>16.884570568466835</v>
      </c>
      <c r="Y116" s="9">
        <v>16.884570568466835</v>
      </c>
      <c r="Z116" s="9">
        <v>18.617757359760585</v>
      </c>
      <c r="AA116" s="9">
        <v>18.617757359760585</v>
      </c>
      <c r="AB116" s="9">
        <v>20.52292271594289</v>
      </c>
      <c r="AC116" s="9">
        <v>20.52292271594289</v>
      </c>
      <c r="AD116" s="9">
        <v>22.530627040176761</v>
      </c>
      <c r="AE116" s="9">
        <v>24.654059850225856</v>
      </c>
      <c r="AF116" s="9">
        <v>28.622962393602329</v>
      </c>
      <c r="AG116" s="9">
        <v>28.622962393602329</v>
      </c>
      <c r="AH116" s="9">
        <v>31.011605245024167</v>
      </c>
      <c r="AI116" s="9">
        <v>33.330799286496742</v>
      </c>
      <c r="AJ116" s="9">
        <v>3.0428788910505911</v>
      </c>
    </row>
    <row r="117" spans="1:36" x14ac:dyDescent="0.25">
      <c r="A117" t="s">
        <v>5411</v>
      </c>
      <c r="B117" t="s">
        <v>16</v>
      </c>
      <c r="C117" t="s">
        <v>17</v>
      </c>
      <c r="D117">
        <v>11730000</v>
      </c>
      <c r="E117">
        <v>11739999</v>
      </c>
      <c r="F117" t="s">
        <v>73</v>
      </c>
      <c r="G117" t="str">
        <f t="shared" si="2"/>
        <v>SPI</v>
      </c>
      <c r="H117" t="s">
        <v>19</v>
      </c>
      <c r="I117" t="s">
        <v>20</v>
      </c>
      <c r="J117" t="s">
        <v>62</v>
      </c>
      <c r="K117" s="6">
        <v>0.03</v>
      </c>
      <c r="L117" s="7">
        <f t="shared" si="3"/>
        <v>2E-3</v>
      </c>
      <c r="M117" s="7">
        <v>3.0000000000000001E-3</v>
      </c>
      <c r="N117">
        <v>8</v>
      </c>
      <c r="O117" s="8">
        <v>14.260089507934383</v>
      </c>
      <c r="P117" s="9">
        <v>14.260089507934383</v>
      </c>
      <c r="Q117" s="9">
        <v>14.260089507934383</v>
      </c>
      <c r="R117" s="9">
        <v>14.434686024139818</v>
      </c>
      <c r="S117" s="9">
        <v>14.722027102535575</v>
      </c>
      <c r="T117" s="9">
        <v>15.677715915555218</v>
      </c>
      <c r="U117" s="9">
        <v>17.010379604817192</v>
      </c>
      <c r="V117" s="9">
        <v>17.010379604817192</v>
      </c>
      <c r="W117" s="9">
        <v>17.010379604817192</v>
      </c>
      <c r="X117" s="9">
        <v>16.884570568466835</v>
      </c>
      <c r="Y117" s="9">
        <v>16.884570568466835</v>
      </c>
      <c r="Z117" s="9">
        <v>18.617757359760585</v>
      </c>
      <c r="AA117" s="9">
        <v>18.617757359760585</v>
      </c>
      <c r="AB117" s="9">
        <v>20.52292271594289</v>
      </c>
      <c r="AC117" s="9">
        <v>20.52292271594289</v>
      </c>
      <c r="AD117" s="9">
        <v>22.530627040176761</v>
      </c>
      <c r="AE117" s="9">
        <v>24.654059850225856</v>
      </c>
      <c r="AF117" s="9">
        <v>28.622962393602329</v>
      </c>
      <c r="AG117" s="9">
        <v>28.622962393602329</v>
      </c>
      <c r="AH117" s="9">
        <v>31.011605245024167</v>
      </c>
      <c r="AI117" s="9">
        <v>33.330799286496742</v>
      </c>
      <c r="AJ117" s="9">
        <v>3.0428788910505911</v>
      </c>
    </row>
    <row r="118" spans="1:36" x14ac:dyDescent="0.25">
      <c r="A118" t="s">
        <v>5411</v>
      </c>
      <c r="B118" t="s">
        <v>16</v>
      </c>
      <c r="C118" t="s">
        <v>17</v>
      </c>
      <c r="D118">
        <v>11740000</v>
      </c>
      <c r="E118">
        <v>11749999</v>
      </c>
      <c r="F118" t="s">
        <v>74</v>
      </c>
      <c r="G118" t="str">
        <f t="shared" si="2"/>
        <v>SPI</v>
      </c>
      <c r="H118" t="s">
        <v>19</v>
      </c>
      <c r="I118" t="s">
        <v>20</v>
      </c>
      <c r="J118" t="s">
        <v>62</v>
      </c>
      <c r="K118" s="6">
        <v>0.03</v>
      </c>
      <c r="L118" s="7">
        <f t="shared" si="3"/>
        <v>2E-3</v>
      </c>
      <c r="M118" s="7">
        <v>3.0000000000000001E-3</v>
      </c>
      <c r="N118">
        <v>8</v>
      </c>
      <c r="O118" s="8">
        <v>14.260089507934383</v>
      </c>
      <c r="P118" s="9">
        <v>14.260089507934383</v>
      </c>
      <c r="Q118" s="9">
        <v>14.260089507934383</v>
      </c>
      <c r="R118" s="9">
        <v>14.434686024139818</v>
      </c>
      <c r="S118" s="9">
        <v>14.722027102535575</v>
      </c>
      <c r="T118" s="9">
        <v>15.677715915555218</v>
      </c>
      <c r="U118" s="9">
        <v>17.010379604817192</v>
      </c>
      <c r="V118" s="9">
        <v>17.010379604817192</v>
      </c>
      <c r="W118" s="9">
        <v>17.010379604817192</v>
      </c>
      <c r="X118" s="9">
        <v>16.884570568466835</v>
      </c>
      <c r="Y118" s="9">
        <v>16.884570568466835</v>
      </c>
      <c r="Z118" s="9">
        <v>18.617757359760585</v>
      </c>
      <c r="AA118" s="9">
        <v>18.617757359760585</v>
      </c>
      <c r="AB118" s="9">
        <v>20.52292271594289</v>
      </c>
      <c r="AC118" s="9">
        <v>20.52292271594289</v>
      </c>
      <c r="AD118" s="9">
        <v>22.530627040176761</v>
      </c>
      <c r="AE118" s="9">
        <v>24.654059850225856</v>
      </c>
      <c r="AF118" s="9">
        <v>28.622962393602329</v>
      </c>
      <c r="AG118" s="9">
        <v>28.622962393602329</v>
      </c>
      <c r="AH118" s="9">
        <v>31.011605245024167</v>
      </c>
      <c r="AI118" s="9">
        <v>33.330799286496742</v>
      </c>
      <c r="AJ118" s="9">
        <v>3.0428788910505911</v>
      </c>
    </row>
    <row r="119" spans="1:36" x14ac:dyDescent="0.25">
      <c r="A119" t="s">
        <v>5411</v>
      </c>
      <c r="B119" t="s">
        <v>16</v>
      </c>
      <c r="C119" t="s">
        <v>17</v>
      </c>
      <c r="D119">
        <v>11750000</v>
      </c>
      <c r="E119">
        <v>11759999</v>
      </c>
      <c r="F119" t="s">
        <v>75</v>
      </c>
      <c r="G119" t="str">
        <f t="shared" si="2"/>
        <v>SPI</v>
      </c>
      <c r="H119" t="s">
        <v>19</v>
      </c>
      <c r="I119" t="s">
        <v>20</v>
      </c>
      <c r="J119" t="s">
        <v>62</v>
      </c>
      <c r="K119" s="6">
        <v>0.03</v>
      </c>
      <c r="L119" s="7">
        <f t="shared" si="3"/>
        <v>2E-3</v>
      </c>
      <c r="M119" s="7">
        <v>3.0000000000000001E-3</v>
      </c>
      <c r="N119">
        <v>9</v>
      </c>
      <c r="O119" s="8">
        <v>14.260089507934383</v>
      </c>
      <c r="P119" s="9">
        <v>14.260089507934383</v>
      </c>
      <c r="Q119" s="9">
        <v>14.260089507934383</v>
      </c>
      <c r="R119" s="9">
        <v>14.434686024139818</v>
      </c>
      <c r="S119" s="9">
        <v>14.722027102535575</v>
      </c>
      <c r="T119" s="9">
        <v>15.677715915555218</v>
      </c>
      <c r="U119" s="9">
        <v>17.010379604817192</v>
      </c>
      <c r="V119" s="9">
        <v>17.010379604817192</v>
      </c>
      <c r="W119" s="9">
        <v>17.010379604817192</v>
      </c>
      <c r="X119" s="9">
        <v>16.884570568466835</v>
      </c>
      <c r="Y119" s="9">
        <v>16.884570568466835</v>
      </c>
      <c r="Z119" s="9">
        <v>18.617757359760585</v>
      </c>
      <c r="AA119" s="9">
        <v>18.617757359760585</v>
      </c>
      <c r="AB119" s="9">
        <v>20.52292271594289</v>
      </c>
      <c r="AC119" s="9">
        <v>20.52292271594289</v>
      </c>
      <c r="AD119" s="9">
        <v>22.530627040176761</v>
      </c>
      <c r="AE119" s="9">
        <v>24.654059850225856</v>
      </c>
      <c r="AF119" s="9">
        <v>28.622962393602329</v>
      </c>
      <c r="AG119" s="9">
        <v>28.622962393602329</v>
      </c>
      <c r="AH119" s="9">
        <v>31.011605245024167</v>
      </c>
      <c r="AI119" s="9">
        <v>33.330799286496742</v>
      </c>
      <c r="AJ119" s="9">
        <v>3.0428788910505911</v>
      </c>
    </row>
    <row r="120" spans="1:36" x14ac:dyDescent="0.25">
      <c r="A120" t="s">
        <v>5411</v>
      </c>
      <c r="B120" t="s">
        <v>16</v>
      </c>
      <c r="C120" t="s">
        <v>17</v>
      </c>
      <c r="D120">
        <v>11760000</v>
      </c>
      <c r="E120">
        <v>11789999</v>
      </c>
      <c r="F120" t="s">
        <v>76</v>
      </c>
      <c r="G120" t="str">
        <f t="shared" si="2"/>
        <v>SPR</v>
      </c>
      <c r="H120" t="s">
        <v>19</v>
      </c>
      <c r="I120" t="s">
        <v>20</v>
      </c>
      <c r="J120" t="s">
        <v>77</v>
      </c>
      <c r="K120" s="6">
        <v>0.03</v>
      </c>
      <c r="L120" s="7">
        <f t="shared" si="3"/>
        <v>2E-3</v>
      </c>
      <c r="M120" s="7">
        <v>3.0000000000000001E-3</v>
      </c>
      <c r="N120">
        <v>13</v>
      </c>
      <c r="O120" s="8">
        <v>26.611209830054129</v>
      </c>
      <c r="P120" s="9">
        <v>26.611209830054129</v>
      </c>
      <c r="Q120" s="9">
        <v>26.611209830054129</v>
      </c>
      <c r="R120" s="9">
        <v>27.647760246913514</v>
      </c>
      <c r="S120" s="9">
        <v>28.483539200322319</v>
      </c>
      <c r="T120" s="9">
        <v>29.244822799499698</v>
      </c>
      <c r="U120" s="9">
        <v>31.379671510701762</v>
      </c>
      <c r="V120" s="9">
        <v>31.379671510701762</v>
      </c>
      <c r="W120" s="9">
        <v>31.379671510701762</v>
      </c>
      <c r="X120" s="9">
        <v>34.250510560182867</v>
      </c>
      <c r="Y120" s="9">
        <v>34.250510560182867</v>
      </c>
      <c r="Z120" s="9">
        <v>37.271704438917176</v>
      </c>
      <c r="AA120" s="9">
        <v>37.271704438917176</v>
      </c>
      <c r="AB120" s="9">
        <v>40.458288629830058</v>
      </c>
      <c r="AC120" s="9">
        <v>40.458288629830058</v>
      </c>
      <c r="AD120" s="9">
        <v>43.826802164139323</v>
      </c>
      <c r="AE120" s="9">
        <v>47.523241367157013</v>
      </c>
      <c r="AF120" s="9">
        <v>51.713576824258396</v>
      </c>
      <c r="AG120" s="9">
        <v>51.713576824258396</v>
      </c>
      <c r="AH120" s="9">
        <v>56.658816723629734</v>
      </c>
      <c r="AI120" s="9">
        <v>61.577420347834391</v>
      </c>
      <c r="AJ120" s="9">
        <v>3.0428788910505911</v>
      </c>
    </row>
    <row r="121" spans="1:36" x14ac:dyDescent="0.25">
      <c r="A121" t="s">
        <v>5411</v>
      </c>
      <c r="B121" t="s">
        <v>16</v>
      </c>
      <c r="C121" t="s">
        <v>17</v>
      </c>
      <c r="D121">
        <v>11790000</v>
      </c>
      <c r="E121">
        <v>11799999</v>
      </c>
      <c r="F121" t="s">
        <v>78</v>
      </c>
      <c r="G121" t="str">
        <f t="shared" si="2"/>
        <v>SPR</v>
      </c>
      <c r="H121" t="s">
        <v>19</v>
      </c>
      <c r="I121" t="s">
        <v>20</v>
      </c>
      <c r="J121" t="s">
        <v>77</v>
      </c>
      <c r="K121" s="6">
        <v>0.03</v>
      </c>
      <c r="L121" s="7">
        <f t="shared" si="3"/>
        <v>2E-3</v>
      </c>
      <c r="M121" s="7">
        <v>3.0000000000000001E-3</v>
      </c>
      <c r="N121">
        <v>13</v>
      </c>
      <c r="O121" s="8">
        <v>26.611209830054129</v>
      </c>
      <c r="P121" s="9">
        <v>26.611209830054129</v>
      </c>
      <c r="Q121" s="9">
        <v>26.611209830054129</v>
      </c>
      <c r="R121" s="9">
        <v>27.647760246913514</v>
      </c>
      <c r="S121" s="9">
        <v>28.483539200322319</v>
      </c>
      <c r="T121" s="9">
        <v>29.244822799499698</v>
      </c>
      <c r="U121" s="9">
        <v>31.379671510701762</v>
      </c>
      <c r="V121" s="9">
        <v>31.379671510701762</v>
      </c>
      <c r="W121" s="9">
        <v>31.379671510701762</v>
      </c>
      <c r="X121" s="9">
        <v>34.250510560182867</v>
      </c>
      <c r="Y121" s="9">
        <v>34.250510560182867</v>
      </c>
      <c r="Z121" s="9">
        <v>37.271704438917176</v>
      </c>
      <c r="AA121" s="9">
        <v>37.271704438917176</v>
      </c>
      <c r="AB121" s="9">
        <v>40.458288629830058</v>
      </c>
      <c r="AC121" s="9">
        <v>40.458288629830058</v>
      </c>
      <c r="AD121" s="9">
        <v>43.826802164139323</v>
      </c>
      <c r="AE121" s="9">
        <v>47.523241367157013</v>
      </c>
      <c r="AF121" s="9">
        <v>51.713576824258396</v>
      </c>
      <c r="AG121" s="9">
        <v>51.713576824258396</v>
      </c>
      <c r="AH121" s="9">
        <v>56.658816723629734</v>
      </c>
      <c r="AI121" s="9">
        <v>61.577420347834391</v>
      </c>
      <c r="AJ121" s="9">
        <v>3.0428788910505911</v>
      </c>
    </row>
    <row r="122" spans="1:36" x14ac:dyDescent="0.25">
      <c r="A122" t="s">
        <v>5411</v>
      </c>
      <c r="B122" t="s">
        <v>16</v>
      </c>
      <c r="C122" t="s">
        <v>17</v>
      </c>
      <c r="D122">
        <v>11800000</v>
      </c>
      <c r="E122">
        <v>11849999</v>
      </c>
      <c r="F122" t="s">
        <v>79</v>
      </c>
      <c r="G122" t="str">
        <f t="shared" si="2"/>
        <v>SPR</v>
      </c>
      <c r="H122" t="s">
        <v>19</v>
      </c>
      <c r="I122" t="s">
        <v>20</v>
      </c>
      <c r="J122" t="s">
        <v>77</v>
      </c>
      <c r="K122" s="6">
        <v>0.03</v>
      </c>
      <c r="L122" s="7">
        <f t="shared" si="3"/>
        <v>2E-3</v>
      </c>
      <c r="M122" s="7">
        <v>3.0000000000000001E-3</v>
      </c>
      <c r="N122">
        <v>13</v>
      </c>
      <c r="O122" s="8">
        <v>26.611209830054129</v>
      </c>
      <c r="P122" s="9">
        <v>26.611209830054129</v>
      </c>
      <c r="Q122" s="9">
        <v>26.611209830054129</v>
      </c>
      <c r="R122" s="9">
        <v>27.647760246913514</v>
      </c>
      <c r="S122" s="9">
        <v>28.483539200322319</v>
      </c>
      <c r="T122" s="9">
        <v>29.244822799499698</v>
      </c>
      <c r="U122" s="9">
        <v>31.379671510701762</v>
      </c>
      <c r="V122" s="9">
        <v>31.379671510701762</v>
      </c>
      <c r="W122" s="9">
        <v>31.379671510701762</v>
      </c>
      <c r="X122" s="9">
        <v>34.250510560182867</v>
      </c>
      <c r="Y122" s="9">
        <v>34.250510560182867</v>
      </c>
      <c r="Z122" s="9">
        <v>37.271704438917176</v>
      </c>
      <c r="AA122" s="9">
        <v>37.271704438917176</v>
      </c>
      <c r="AB122" s="9">
        <v>40.458288629830058</v>
      </c>
      <c r="AC122" s="9">
        <v>40.458288629830058</v>
      </c>
      <c r="AD122" s="9">
        <v>43.826802164139323</v>
      </c>
      <c r="AE122" s="9">
        <v>47.523241367157013</v>
      </c>
      <c r="AF122" s="9">
        <v>51.713576824258396</v>
      </c>
      <c r="AG122" s="9">
        <v>51.713576824258396</v>
      </c>
      <c r="AH122" s="9">
        <v>56.658816723629734</v>
      </c>
      <c r="AI122" s="9">
        <v>61.577420347834391</v>
      </c>
      <c r="AJ122" s="9">
        <v>3.0428788910505911</v>
      </c>
    </row>
    <row r="123" spans="1:36" x14ac:dyDescent="0.25">
      <c r="A123" t="s">
        <v>5411</v>
      </c>
      <c r="B123" t="s">
        <v>16</v>
      </c>
      <c r="C123" t="s">
        <v>17</v>
      </c>
      <c r="D123">
        <v>11850000</v>
      </c>
      <c r="E123">
        <v>11899999</v>
      </c>
      <c r="F123" t="s">
        <v>80</v>
      </c>
      <c r="G123" t="str">
        <f t="shared" si="2"/>
        <v>SPR</v>
      </c>
      <c r="H123" t="s">
        <v>19</v>
      </c>
      <c r="I123" t="s">
        <v>20</v>
      </c>
      <c r="J123" t="s">
        <v>77</v>
      </c>
      <c r="K123" s="6">
        <v>0.03</v>
      </c>
      <c r="L123" s="7">
        <f t="shared" si="3"/>
        <v>2E-3</v>
      </c>
      <c r="M123" s="7">
        <v>3.0000000000000001E-3</v>
      </c>
      <c r="N123">
        <v>13</v>
      </c>
      <c r="O123" s="8">
        <v>26.611209830054129</v>
      </c>
      <c r="P123" s="9">
        <v>26.611209830054129</v>
      </c>
      <c r="Q123" s="9">
        <v>26.611209830054129</v>
      </c>
      <c r="R123" s="9">
        <v>27.647760246913514</v>
      </c>
      <c r="S123" s="9">
        <v>28.483539200322319</v>
      </c>
      <c r="T123" s="9">
        <v>29.244822799499698</v>
      </c>
      <c r="U123" s="9">
        <v>31.379671510701762</v>
      </c>
      <c r="V123" s="9">
        <v>31.379671510701762</v>
      </c>
      <c r="W123" s="9">
        <v>31.379671510701762</v>
      </c>
      <c r="X123" s="9">
        <v>34.250510560182867</v>
      </c>
      <c r="Y123" s="9">
        <v>34.250510560182867</v>
      </c>
      <c r="Z123" s="9">
        <v>37.271704438917176</v>
      </c>
      <c r="AA123" s="9">
        <v>37.271704438917176</v>
      </c>
      <c r="AB123" s="9">
        <v>40.458288629830058</v>
      </c>
      <c r="AC123" s="9">
        <v>40.458288629830058</v>
      </c>
      <c r="AD123" s="9">
        <v>43.826802164139323</v>
      </c>
      <c r="AE123" s="9">
        <v>47.523241367157013</v>
      </c>
      <c r="AF123" s="9">
        <v>51.713576824258396</v>
      </c>
      <c r="AG123" s="9">
        <v>51.713576824258396</v>
      </c>
      <c r="AH123" s="9">
        <v>56.658816723629734</v>
      </c>
      <c r="AI123" s="9">
        <v>61.577420347834391</v>
      </c>
      <c r="AJ123" s="9">
        <v>3.0428788910505911</v>
      </c>
    </row>
    <row r="124" spans="1:36" x14ac:dyDescent="0.25">
      <c r="A124" t="s">
        <v>5411</v>
      </c>
      <c r="B124" t="s">
        <v>16</v>
      </c>
      <c r="C124" t="s">
        <v>17</v>
      </c>
      <c r="D124">
        <v>11900000</v>
      </c>
      <c r="E124">
        <v>11909999</v>
      </c>
      <c r="F124" t="s">
        <v>81</v>
      </c>
      <c r="G124" t="str">
        <f t="shared" si="2"/>
        <v>SPR</v>
      </c>
      <c r="H124" t="s">
        <v>19</v>
      </c>
      <c r="I124" t="s">
        <v>20</v>
      </c>
      <c r="J124" t="s">
        <v>77</v>
      </c>
      <c r="K124" s="6">
        <v>0.03</v>
      </c>
      <c r="L124" s="7">
        <f t="shared" si="3"/>
        <v>2E-3</v>
      </c>
      <c r="M124" s="7">
        <v>3.0000000000000001E-3</v>
      </c>
      <c r="N124">
        <v>13</v>
      </c>
      <c r="O124" s="8">
        <v>26.611209830054129</v>
      </c>
      <c r="P124" s="9">
        <v>26.611209830054129</v>
      </c>
      <c r="Q124" s="9">
        <v>26.611209830054129</v>
      </c>
      <c r="R124" s="9">
        <v>27.647760246913514</v>
      </c>
      <c r="S124" s="9">
        <v>28.483539200322319</v>
      </c>
      <c r="T124" s="9">
        <v>29.244822799499698</v>
      </c>
      <c r="U124" s="9">
        <v>31.379671510701762</v>
      </c>
      <c r="V124" s="9">
        <v>31.379671510701762</v>
      </c>
      <c r="W124" s="9">
        <v>31.379671510701762</v>
      </c>
      <c r="X124" s="9">
        <v>34.250510560182867</v>
      </c>
      <c r="Y124" s="9">
        <v>34.250510560182867</v>
      </c>
      <c r="Z124" s="9">
        <v>37.271704438917176</v>
      </c>
      <c r="AA124" s="9">
        <v>37.271704438917176</v>
      </c>
      <c r="AB124" s="9">
        <v>40.458288629830058</v>
      </c>
      <c r="AC124" s="9">
        <v>40.458288629830058</v>
      </c>
      <c r="AD124" s="9">
        <v>43.826802164139323</v>
      </c>
      <c r="AE124" s="9">
        <v>47.523241367157013</v>
      </c>
      <c r="AF124" s="9">
        <v>51.713576824258396</v>
      </c>
      <c r="AG124" s="9">
        <v>51.713576824258396</v>
      </c>
      <c r="AH124" s="9">
        <v>56.658816723629734</v>
      </c>
      <c r="AI124" s="9">
        <v>61.577420347834391</v>
      </c>
      <c r="AJ124" s="9">
        <v>3.0428788910505911</v>
      </c>
    </row>
    <row r="125" spans="1:36" x14ac:dyDescent="0.25">
      <c r="A125" t="s">
        <v>5411</v>
      </c>
      <c r="B125" t="s">
        <v>16</v>
      </c>
      <c r="C125" t="s">
        <v>17</v>
      </c>
      <c r="D125">
        <v>11910000</v>
      </c>
      <c r="E125">
        <v>11919999</v>
      </c>
      <c r="F125" t="s">
        <v>82</v>
      </c>
      <c r="G125" t="str">
        <f t="shared" si="2"/>
        <v>SPR</v>
      </c>
      <c r="H125" t="s">
        <v>19</v>
      </c>
      <c r="I125" t="s">
        <v>20</v>
      </c>
      <c r="J125" t="s">
        <v>77</v>
      </c>
      <c r="K125" s="6">
        <v>0.03</v>
      </c>
      <c r="L125" s="7">
        <f t="shared" si="3"/>
        <v>2E-3</v>
      </c>
      <c r="M125" s="7">
        <v>3.0000000000000001E-3</v>
      </c>
      <c r="N125">
        <v>13</v>
      </c>
      <c r="O125" s="8">
        <v>26.611209830054129</v>
      </c>
      <c r="P125" s="9">
        <v>26.611209830054129</v>
      </c>
      <c r="Q125" s="9">
        <v>26.611209830054129</v>
      </c>
      <c r="R125" s="9">
        <v>27.647760246913514</v>
      </c>
      <c r="S125" s="9">
        <v>28.483539200322319</v>
      </c>
      <c r="T125" s="9">
        <v>29.244822799499698</v>
      </c>
      <c r="U125" s="9">
        <v>31.379671510701762</v>
      </c>
      <c r="V125" s="9">
        <v>31.379671510701762</v>
      </c>
      <c r="W125" s="9">
        <v>31.379671510701762</v>
      </c>
      <c r="X125" s="9">
        <v>34.250510560182867</v>
      </c>
      <c r="Y125" s="9">
        <v>34.250510560182867</v>
      </c>
      <c r="Z125" s="9">
        <v>37.271704438917176</v>
      </c>
      <c r="AA125" s="9">
        <v>37.271704438917176</v>
      </c>
      <c r="AB125" s="9">
        <v>40.458288629830058</v>
      </c>
      <c r="AC125" s="9">
        <v>40.458288629830058</v>
      </c>
      <c r="AD125" s="9">
        <v>43.826802164139323</v>
      </c>
      <c r="AE125" s="9">
        <v>47.523241367157013</v>
      </c>
      <c r="AF125" s="9">
        <v>51.713576824258396</v>
      </c>
      <c r="AG125" s="9">
        <v>51.713576824258396</v>
      </c>
      <c r="AH125" s="9">
        <v>56.658816723629734</v>
      </c>
      <c r="AI125" s="9">
        <v>61.577420347834391</v>
      </c>
      <c r="AJ125" s="9">
        <v>3.0428788910505911</v>
      </c>
    </row>
    <row r="126" spans="1:36" x14ac:dyDescent="0.25">
      <c r="A126" t="s">
        <v>5411</v>
      </c>
      <c r="B126" t="s">
        <v>16</v>
      </c>
      <c r="C126" t="s">
        <v>17</v>
      </c>
      <c r="D126">
        <v>11920000</v>
      </c>
      <c r="E126">
        <v>11924999</v>
      </c>
      <c r="F126" t="s">
        <v>83</v>
      </c>
      <c r="G126" t="str">
        <f t="shared" si="2"/>
        <v>SPR</v>
      </c>
      <c r="H126" t="s">
        <v>19</v>
      </c>
      <c r="I126" t="s">
        <v>20</v>
      </c>
      <c r="J126" t="s">
        <v>77</v>
      </c>
      <c r="K126" s="6">
        <v>0.03</v>
      </c>
      <c r="L126" s="7">
        <f t="shared" si="3"/>
        <v>2E-3</v>
      </c>
      <c r="M126" s="7">
        <v>3.0000000000000001E-3</v>
      </c>
      <c r="N126">
        <v>13</v>
      </c>
      <c r="O126" s="8">
        <v>26.611209830054129</v>
      </c>
      <c r="P126" s="9">
        <v>26.611209830054129</v>
      </c>
      <c r="Q126" s="9">
        <v>26.611209830054129</v>
      </c>
      <c r="R126" s="9">
        <v>27.647760246913514</v>
      </c>
      <c r="S126" s="9">
        <v>28.483539200322319</v>
      </c>
      <c r="T126" s="9">
        <v>29.244822799499698</v>
      </c>
      <c r="U126" s="9">
        <v>31.379671510701762</v>
      </c>
      <c r="V126" s="9">
        <v>31.379671510701762</v>
      </c>
      <c r="W126" s="9">
        <v>31.379671510701762</v>
      </c>
      <c r="X126" s="9">
        <v>34.250510560182867</v>
      </c>
      <c r="Y126" s="9">
        <v>34.250510560182867</v>
      </c>
      <c r="Z126" s="9">
        <v>37.271704438917176</v>
      </c>
      <c r="AA126" s="9">
        <v>37.271704438917176</v>
      </c>
      <c r="AB126" s="9">
        <v>40.458288629830058</v>
      </c>
      <c r="AC126" s="9">
        <v>40.458288629830058</v>
      </c>
      <c r="AD126" s="9">
        <v>43.826802164139323</v>
      </c>
      <c r="AE126" s="9">
        <v>47.523241367157013</v>
      </c>
      <c r="AF126" s="9">
        <v>51.713576824258396</v>
      </c>
      <c r="AG126" s="9">
        <v>51.713576824258396</v>
      </c>
      <c r="AH126" s="9">
        <v>56.658816723629734</v>
      </c>
      <c r="AI126" s="9">
        <v>61.577420347834391</v>
      </c>
      <c r="AJ126" s="9">
        <v>3.0428788910505911</v>
      </c>
    </row>
    <row r="127" spans="1:36" x14ac:dyDescent="0.25">
      <c r="A127" t="s">
        <v>5411</v>
      </c>
      <c r="B127" t="s">
        <v>16</v>
      </c>
      <c r="C127" t="s">
        <v>17</v>
      </c>
      <c r="D127">
        <v>11925000</v>
      </c>
      <c r="E127">
        <v>11929999</v>
      </c>
      <c r="F127" t="s">
        <v>84</v>
      </c>
      <c r="G127" t="str">
        <f t="shared" si="2"/>
        <v>SPR</v>
      </c>
      <c r="H127" t="s">
        <v>19</v>
      </c>
      <c r="I127" t="s">
        <v>20</v>
      </c>
      <c r="J127" t="s">
        <v>77</v>
      </c>
      <c r="K127" s="6">
        <v>0.03</v>
      </c>
      <c r="L127" s="7">
        <f t="shared" si="3"/>
        <v>2E-3</v>
      </c>
      <c r="M127" s="7">
        <v>3.0000000000000001E-3</v>
      </c>
      <c r="N127">
        <v>13</v>
      </c>
      <c r="O127" s="8">
        <v>26.611209830054129</v>
      </c>
      <c r="P127" s="9">
        <v>26.611209830054129</v>
      </c>
      <c r="Q127" s="9">
        <v>26.611209830054129</v>
      </c>
      <c r="R127" s="9">
        <v>27.647760246913514</v>
      </c>
      <c r="S127" s="9">
        <v>28.483539200322319</v>
      </c>
      <c r="T127" s="9">
        <v>29.244822799499698</v>
      </c>
      <c r="U127" s="9">
        <v>31.379671510701762</v>
      </c>
      <c r="V127" s="9">
        <v>31.379671510701762</v>
      </c>
      <c r="W127" s="9">
        <v>31.379671510701762</v>
      </c>
      <c r="X127" s="9">
        <v>34.250510560182867</v>
      </c>
      <c r="Y127" s="9">
        <v>34.250510560182867</v>
      </c>
      <c r="Z127" s="9">
        <v>37.271704438917176</v>
      </c>
      <c r="AA127" s="9">
        <v>37.271704438917176</v>
      </c>
      <c r="AB127" s="9">
        <v>40.458288629830058</v>
      </c>
      <c r="AC127" s="9">
        <v>40.458288629830058</v>
      </c>
      <c r="AD127" s="9">
        <v>43.826802164139323</v>
      </c>
      <c r="AE127" s="9">
        <v>47.523241367157013</v>
      </c>
      <c r="AF127" s="9">
        <v>51.713576824258396</v>
      </c>
      <c r="AG127" s="9">
        <v>51.713576824258396</v>
      </c>
      <c r="AH127" s="9">
        <v>56.658816723629734</v>
      </c>
      <c r="AI127" s="9">
        <v>61.577420347834391</v>
      </c>
      <c r="AJ127" s="9">
        <v>3.0428788910505911</v>
      </c>
    </row>
    <row r="128" spans="1:36" x14ac:dyDescent="0.25">
      <c r="A128" t="s">
        <v>5411</v>
      </c>
      <c r="B128" t="s">
        <v>16</v>
      </c>
      <c r="C128" t="s">
        <v>17</v>
      </c>
      <c r="D128">
        <v>11930000</v>
      </c>
      <c r="E128">
        <v>11939999</v>
      </c>
      <c r="F128" t="s">
        <v>85</v>
      </c>
      <c r="G128" t="str">
        <f t="shared" si="2"/>
        <v>SPR</v>
      </c>
      <c r="H128" t="s">
        <v>19</v>
      </c>
      <c r="I128" t="s">
        <v>20</v>
      </c>
      <c r="J128" t="s">
        <v>77</v>
      </c>
      <c r="K128" s="6">
        <v>0.03</v>
      </c>
      <c r="L128" s="7">
        <f t="shared" si="3"/>
        <v>2E-3</v>
      </c>
      <c r="M128" s="7">
        <v>3.0000000000000001E-3</v>
      </c>
      <c r="N128">
        <v>13</v>
      </c>
      <c r="O128" s="8">
        <v>26.611209830054129</v>
      </c>
      <c r="P128" s="9">
        <v>26.611209830054129</v>
      </c>
      <c r="Q128" s="9">
        <v>26.611209830054129</v>
      </c>
      <c r="R128" s="9">
        <v>27.647760246913514</v>
      </c>
      <c r="S128" s="9">
        <v>28.483539200322319</v>
      </c>
      <c r="T128" s="9">
        <v>29.244822799499698</v>
      </c>
      <c r="U128" s="9">
        <v>31.379671510701762</v>
      </c>
      <c r="V128" s="9">
        <v>31.379671510701762</v>
      </c>
      <c r="W128" s="9">
        <v>31.379671510701762</v>
      </c>
      <c r="X128" s="9">
        <v>34.250510560182867</v>
      </c>
      <c r="Y128" s="9">
        <v>34.250510560182867</v>
      </c>
      <c r="Z128" s="9">
        <v>37.271704438917176</v>
      </c>
      <c r="AA128" s="9">
        <v>37.271704438917176</v>
      </c>
      <c r="AB128" s="9">
        <v>40.458288629830058</v>
      </c>
      <c r="AC128" s="9">
        <v>40.458288629830058</v>
      </c>
      <c r="AD128" s="9">
        <v>43.826802164139323</v>
      </c>
      <c r="AE128" s="9">
        <v>47.523241367157013</v>
      </c>
      <c r="AF128" s="9">
        <v>51.713576824258396</v>
      </c>
      <c r="AG128" s="9">
        <v>51.713576824258396</v>
      </c>
      <c r="AH128" s="9">
        <v>56.658816723629734</v>
      </c>
      <c r="AI128" s="9">
        <v>61.577420347834391</v>
      </c>
      <c r="AJ128" s="9">
        <v>3.0428788910505911</v>
      </c>
    </row>
    <row r="129" spans="1:36" x14ac:dyDescent="0.25">
      <c r="A129" t="s">
        <v>5411</v>
      </c>
      <c r="B129" t="s">
        <v>16</v>
      </c>
      <c r="C129" t="s">
        <v>17</v>
      </c>
      <c r="D129">
        <v>11940000</v>
      </c>
      <c r="E129">
        <v>11949999</v>
      </c>
      <c r="F129" t="s">
        <v>86</v>
      </c>
      <c r="G129" t="str">
        <f t="shared" si="2"/>
        <v>SPR</v>
      </c>
      <c r="H129" t="s">
        <v>19</v>
      </c>
      <c r="I129" t="s">
        <v>20</v>
      </c>
      <c r="J129" t="s">
        <v>77</v>
      </c>
      <c r="K129" s="6">
        <v>0.03</v>
      </c>
      <c r="L129" s="7">
        <f t="shared" si="3"/>
        <v>2E-3</v>
      </c>
      <c r="M129" s="7">
        <v>3.0000000000000001E-3</v>
      </c>
      <c r="N129">
        <v>13</v>
      </c>
      <c r="O129" s="8">
        <v>26.611209830054129</v>
      </c>
      <c r="P129" s="9">
        <v>26.611209830054129</v>
      </c>
      <c r="Q129" s="9">
        <v>26.611209830054129</v>
      </c>
      <c r="R129" s="9">
        <v>27.647760246913514</v>
      </c>
      <c r="S129" s="9">
        <v>28.483539200322319</v>
      </c>
      <c r="T129" s="9">
        <v>29.244822799499698</v>
      </c>
      <c r="U129" s="9">
        <v>31.379671510701762</v>
      </c>
      <c r="V129" s="9">
        <v>31.379671510701762</v>
      </c>
      <c r="W129" s="9">
        <v>31.379671510701762</v>
      </c>
      <c r="X129" s="9">
        <v>34.250510560182867</v>
      </c>
      <c r="Y129" s="9">
        <v>34.250510560182867</v>
      </c>
      <c r="Z129" s="9">
        <v>37.271704438917176</v>
      </c>
      <c r="AA129" s="9">
        <v>37.271704438917176</v>
      </c>
      <c r="AB129" s="9">
        <v>40.458288629830058</v>
      </c>
      <c r="AC129" s="9">
        <v>40.458288629830058</v>
      </c>
      <c r="AD129" s="9">
        <v>43.826802164139323</v>
      </c>
      <c r="AE129" s="9">
        <v>47.523241367157013</v>
      </c>
      <c r="AF129" s="9">
        <v>51.713576824258396</v>
      </c>
      <c r="AG129" s="9">
        <v>51.713576824258396</v>
      </c>
      <c r="AH129" s="9">
        <v>56.658816723629734</v>
      </c>
      <c r="AI129" s="9">
        <v>61.577420347834391</v>
      </c>
      <c r="AJ129" s="9">
        <v>3.0428788910505911</v>
      </c>
    </row>
    <row r="130" spans="1:36" x14ac:dyDescent="0.25">
      <c r="A130" t="s">
        <v>5411</v>
      </c>
      <c r="B130" t="s">
        <v>16</v>
      </c>
      <c r="C130" t="s">
        <v>17</v>
      </c>
      <c r="D130">
        <v>11950000</v>
      </c>
      <c r="E130">
        <v>11954999</v>
      </c>
      <c r="F130" t="s">
        <v>87</v>
      </c>
      <c r="G130" t="str">
        <f t="shared" si="2"/>
        <v>SPR</v>
      </c>
      <c r="H130" t="s">
        <v>19</v>
      </c>
      <c r="I130" t="s">
        <v>20</v>
      </c>
      <c r="J130" t="s">
        <v>77</v>
      </c>
      <c r="K130" s="6">
        <v>0.03</v>
      </c>
      <c r="L130" s="7">
        <f t="shared" si="3"/>
        <v>2E-3</v>
      </c>
      <c r="M130" s="7">
        <v>3.0000000000000001E-3</v>
      </c>
      <c r="N130">
        <v>13</v>
      </c>
      <c r="O130" s="8">
        <v>26.611209830054129</v>
      </c>
      <c r="P130" s="9">
        <v>26.611209830054129</v>
      </c>
      <c r="Q130" s="9">
        <v>26.611209830054129</v>
      </c>
      <c r="R130" s="9">
        <v>27.647760246913514</v>
      </c>
      <c r="S130" s="9">
        <v>28.483539200322319</v>
      </c>
      <c r="T130" s="9">
        <v>29.244822799499698</v>
      </c>
      <c r="U130" s="9">
        <v>31.379671510701762</v>
      </c>
      <c r="V130" s="9">
        <v>31.379671510701762</v>
      </c>
      <c r="W130" s="9">
        <v>31.379671510701762</v>
      </c>
      <c r="X130" s="9">
        <v>34.250510560182867</v>
      </c>
      <c r="Y130" s="9">
        <v>34.250510560182867</v>
      </c>
      <c r="Z130" s="9">
        <v>37.271704438917176</v>
      </c>
      <c r="AA130" s="9">
        <v>37.271704438917176</v>
      </c>
      <c r="AB130" s="9">
        <v>40.458288629830058</v>
      </c>
      <c r="AC130" s="9">
        <v>40.458288629830058</v>
      </c>
      <c r="AD130" s="9">
        <v>43.826802164139323</v>
      </c>
      <c r="AE130" s="9">
        <v>47.523241367157013</v>
      </c>
      <c r="AF130" s="9">
        <v>51.713576824258396</v>
      </c>
      <c r="AG130" s="9">
        <v>51.713576824258396</v>
      </c>
      <c r="AH130" s="9">
        <v>56.658816723629734</v>
      </c>
      <c r="AI130" s="9">
        <v>61.577420347834391</v>
      </c>
      <c r="AJ130" s="9">
        <v>3.0428788910505911</v>
      </c>
    </row>
    <row r="131" spans="1:36" x14ac:dyDescent="0.25">
      <c r="A131" t="s">
        <v>5411</v>
      </c>
      <c r="B131" t="s">
        <v>16</v>
      </c>
      <c r="C131" t="s">
        <v>17</v>
      </c>
      <c r="D131">
        <v>11955000</v>
      </c>
      <c r="E131">
        <v>11959999</v>
      </c>
      <c r="F131" t="s">
        <v>88</v>
      </c>
      <c r="G131" t="str">
        <f t="shared" si="2"/>
        <v>SPR</v>
      </c>
      <c r="H131" t="s">
        <v>19</v>
      </c>
      <c r="I131" t="s">
        <v>20</v>
      </c>
      <c r="J131" t="s">
        <v>77</v>
      </c>
      <c r="K131" s="6">
        <v>0.03</v>
      </c>
      <c r="L131" s="7">
        <f t="shared" si="3"/>
        <v>2E-3</v>
      </c>
      <c r="M131" s="7">
        <v>3.0000000000000001E-3</v>
      </c>
      <c r="N131">
        <v>13</v>
      </c>
      <c r="O131" s="8">
        <v>26.611209830054129</v>
      </c>
      <c r="P131" s="9">
        <v>26.611209830054129</v>
      </c>
      <c r="Q131" s="9">
        <v>26.611209830054129</v>
      </c>
      <c r="R131" s="9">
        <v>27.647760246913514</v>
      </c>
      <c r="S131" s="9">
        <v>28.483539200322319</v>
      </c>
      <c r="T131" s="9">
        <v>29.244822799499698</v>
      </c>
      <c r="U131" s="9">
        <v>31.379671510701762</v>
      </c>
      <c r="V131" s="9">
        <v>31.379671510701762</v>
      </c>
      <c r="W131" s="9">
        <v>31.379671510701762</v>
      </c>
      <c r="X131" s="9">
        <v>34.250510560182867</v>
      </c>
      <c r="Y131" s="9">
        <v>34.250510560182867</v>
      </c>
      <c r="Z131" s="9">
        <v>37.271704438917176</v>
      </c>
      <c r="AA131" s="9">
        <v>37.271704438917176</v>
      </c>
      <c r="AB131" s="9">
        <v>40.458288629830058</v>
      </c>
      <c r="AC131" s="9">
        <v>40.458288629830058</v>
      </c>
      <c r="AD131" s="9">
        <v>43.826802164139323</v>
      </c>
      <c r="AE131" s="9">
        <v>47.523241367157013</v>
      </c>
      <c r="AF131" s="9">
        <v>51.713576824258396</v>
      </c>
      <c r="AG131" s="9">
        <v>51.713576824258396</v>
      </c>
      <c r="AH131" s="9">
        <v>56.658816723629734</v>
      </c>
      <c r="AI131" s="9">
        <v>61.577420347834391</v>
      </c>
      <c r="AJ131" s="9">
        <v>3.0428788910505911</v>
      </c>
    </row>
    <row r="132" spans="1:36" x14ac:dyDescent="0.25">
      <c r="A132" t="s">
        <v>5411</v>
      </c>
      <c r="B132" t="s">
        <v>16</v>
      </c>
      <c r="C132" t="s">
        <v>17</v>
      </c>
      <c r="D132">
        <v>11960000</v>
      </c>
      <c r="E132">
        <v>11989999</v>
      </c>
      <c r="F132" t="s">
        <v>89</v>
      </c>
      <c r="G132" t="str">
        <f t="shared" ref="G132:G195" si="4">H132&amp;IF(J132="CAPITAL","C",IF(J132="INTERIOR","I",IF(J132="INTERIOR II","I II","R")))</f>
        <v>SPR</v>
      </c>
      <c r="H132" t="s">
        <v>19</v>
      </c>
      <c r="I132" t="s">
        <v>20</v>
      </c>
      <c r="J132" t="s">
        <v>77</v>
      </c>
      <c r="K132" s="6">
        <v>0.03</v>
      </c>
      <c r="L132" s="7">
        <f t="shared" ref="L132:L195" si="5">IF(I132="(0) Não",0.2%,3%)</f>
        <v>2E-3</v>
      </c>
      <c r="M132" s="7">
        <v>3.0000000000000001E-3</v>
      </c>
      <c r="N132">
        <v>13</v>
      </c>
      <c r="O132" s="8">
        <v>26.611209830054129</v>
      </c>
      <c r="P132" s="9">
        <v>26.611209830054129</v>
      </c>
      <c r="Q132" s="9">
        <v>26.611209830054129</v>
      </c>
      <c r="R132" s="9">
        <v>27.647760246913514</v>
      </c>
      <c r="S132" s="9">
        <v>28.483539200322319</v>
      </c>
      <c r="T132" s="9">
        <v>29.244822799499698</v>
      </c>
      <c r="U132" s="9">
        <v>31.379671510701762</v>
      </c>
      <c r="V132" s="9">
        <v>31.379671510701762</v>
      </c>
      <c r="W132" s="9">
        <v>31.379671510701762</v>
      </c>
      <c r="X132" s="9">
        <v>34.250510560182867</v>
      </c>
      <c r="Y132" s="9">
        <v>34.250510560182867</v>
      </c>
      <c r="Z132" s="9">
        <v>37.271704438917176</v>
      </c>
      <c r="AA132" s="9">
        <v>37.271704438917176</v>
      </c>
      <c r="AB132" s="9">
        <v>40.458288629830058</v>
      </c>
      <c r="AC132" s="9">
        <v>40.458288629830058</v>
      </c>
      <c r="AD132" s="9">
        <v>43.826802164139323</v>
      </c>
      <c r="AE132" s="9">
        <v>47.523241367157013</v>
      </c>
      <c r="AF132" s="9">
        <v>51.713576824258396</v>
      </c>
      <c r="AG132" s="9">
        <v>51.713576824258396</v>
      </c>
      <c r="AH132" s="9">
        <v>56.658816723629734</v>
      </c>
      <c r="AI132" s="9">
        <v>61.577420347834391</v>
      </c>
      <c r="AJ132" s="9">
        <v>3.0428788910505911</v>
      </c>
    </row>
    <row r="133" spans="1:36" x14ac:dyDescent="0.25">
      <c r="A133" t="s">
        <v>5411</v>
      </c>
      <c r="B133" t="s">
        <v>16</v>
      </c>
      <c r="C133" t="s">
        <v>17</v>
      </c>
      <c r="D133">
        <v>11990000</v>
      </c>
      <c r="E133">
        <v>11999999</v>
      </c>
      <c r="F133" t="s">
        <v>90</v>
      </c>
      <c r="G133" t="str">
        <f t="shared" si="4"/>
        <v>SPR</v>
      </c>
      <c r="H133" t="s">
        <v>19</v>
      </c>
      <c r="I133" t="s">
        <v>20</v>
      </c>
      <c r="J133" t="s">
        <v>77</v>
      </c>
      <c r="K133" s="6">
        <v>0.03</v>
      </c>
      <c r="L133" s="7">
        <f t="shared" si="5"/>
        <v>2E-3</v>
      </c>
      <c r="M133" s="7">
        <v>3.0000000000000001E-3</v>
      </c>
      <c r="N133">
        <v>13</v>
      </c>
      <c r="O133" s="8">
        <v>26.611209830054129</v>
      </c>
      <c r="P133" s="9">
        <v>26.611209830054129</v>
      </c>
      <c r="Q133" s="9">
        <v>26.611209830054129</v>
      </c>
      <c r="R133" s="9">
        <v>27.647760246913514</v>
      </c>
      <c r="S133" s="9">
        <v>28.483539200322319</v>
      </c>
      <c r="T133" s="9">
        <v>29.244822799499698</v>
      </c>
      <c r="U133" s="9">
        <v>31.379671510701762</v>
      </c>
      <c r="V133" s="9">
        <v>31.379671510701762</v>
      </c>
      <c r="W133" s="9">
        <v>31.379671510701762</v>
      </c>
      <c r="X133" s="9">
        <v>34.250510560182867</v>
      </c>
      <c r="Y133" s="9">
        <v>34.250510560182867</v>
      </c>
      <c r="Z133" s="9">
        <v>37.271704438917176</v>
      </c>
      <c r="AA133" s="9">
        <v>37.271704438917176</v>
      </c>
      <c r="AB133" s="9">
        <v>40.458288629830058</v>
      </c>
      <c r="AC133" s="9">
        <v>40.458288629830058</v>
      </c>
      <c r="AD133" s="9">
        <v>43.826802164139323</v>
      </c>
      <c r="AE133" s="9">
        <v>47.523241367157013</v>
      </c>
      <c r="AF133" s="9">
        <v>51.713576824258396</v>
      </c>
      <c r="AG133" s="9">
        <v>51.713576824258396</v>
      </c>
      <c r="AH133" s="9">
        <v>56.658816723629734</v>
      </c>
      <c r="AI133" s="9">
        <v>61.577420347834391</v>
      </c>
      <c r="AJ133" s="9">
        <v>3.0428788910505911</v>
      </c>
    </row>
    <row r="134" spans="1:36" x14ac:dyDescent="0.25">
      <c r="A134" t="s">
        <v>5411</v>
      </c>
      <c r="B134" t="s">
        <v>16</v>
      </c>
      <c r="C134" t="s">
        <v>17</v>
      </c>
      <c r="D134">
        <v>12000000</v>
      </c>
      <c r="E134">
        <v>12009999</v>
      </c>
      <c r="F134" t="s">
        <v>91</v>
      </c>
      <c r="G134" t="str">
        <f t="shared" si="4"/>
        <v>SPI</v>
      </c>
      <c r="H134" t="s">
        <v>19</v>
      </c>
      <c r="I134" t="s">
        <v>20</v>
      </c>
      <c r="J134" t="s">
        <v>62</v>
      </c>
      <c r="K134" s="6">
        <v>0.03</v>
      </c>
      <c r="L134" s="7">
        <f t="shared" si="5"/>
        <v>2E-3</v>
      </c>
      <c r="M134" s="7">
        <v>3.0000000000000001E-3</v>
      </c>
      <c r="N134">
        <v>8</v>
      </c>
      <c r="O134" s="8">
        <v>14.260089507934383</v>
      </c>
      <c r="P134" s="9">
        <v>14.260089507934383</v>
      </c>
      <c r="Q134" s="9">
        <v>14.260089507934383</v>
      </c>
      <c r="R134" s="9">
        <v>14.434686024139818</v>
      </c>
      <c r="S134" s="9">
        <v>14.722027102535575</v>
      </c>
      <c r="T134" s="9">
        <v>15.677715915555218</v>
      </c>
      <c r="U134" s="9">
        <v>17.010379604817192</v>
      </c>
      <c r="V134" s="9">
        <v>17.010379604817192</v>
      </c>
      <c r="W134" s="9">
        <v>17.010379604817192</v>
      </c>
      <c r="X134" s="9">
        <v>16.884570568466835</v>
      </c>
      <c r="Y134" s="9">
        <v>16.884570568466835</v>
      </c>
      <c r="Z134" s="9">
        <v>18.617757359760585</v>
      </c>
      <c r="AA134" s="9">
        <v>18.617757359760585</v>
      </c>
      <c r="AB134" s="9">
        <v>20.52292271594289</v>
      </c>
      <c r="AC134" s="9">
        <v>20.52292271594289</v>
      </c>
      <c r="AD134" s="9">
        <v>22.530627040176761</v>
      </c>
      <c r="AE134" s="9">
        <v>24.654059850225856</v>
      </c>
      <c r="AF134" s="9">
        <v>28.622962393602329</v>
      </c>
      <c r="AG134" s="9">
        <v>28.622962393602329</v>
      </c>
      <c r="AH134" s="9">
        <v>31.011605245024167</v>
      </c>
      <c r="AI134" s="9">
        <v>33.330799286496742</v>
      </c>
      <c r="AJ134" s="9">
        <v>3.0428788910505911</v>
      </c>
    </row>
    <row r="135" spans="1:36" x14ac:dyDescent="0.25">
      <c r="A135" t="s">
        <v>5411</v>
      </c>
      <c r="B135" t="s">
        <v>16</v>
      </c>
      <c r="C135" t="s">
        <v>17</v>
      </c>
      <c r="D135">
        <v>12010000</v>
      </c>
      <c r="E135">
        <v>12119999</v>
      </c>
      <c r="F135" t="s">
        <v>91</v>
      </c>
      <c r="G135" t="str">
        <f t="shared" si="4"/>
        <v>SPI</v>
      </c>
      <c r="H135" t="s">
        <v>19</v>
      </c>
      <c r="I135" t="s">
        <v>20</v>
      </c>
      <c r="J135" t="s">
        <v>62</v>
      </c>
      <c r="K135" s="6">
        <v>0.03</v>
      </c>
      <c r="L135" s="7">
        <f t="shared" si="5"/>
        <v>2E-3</v>
      </c>
      <c r="M135" s="7">
        <v>3.0000000000000001E-3</v>
      </c>
      <c r="N135">
        <v>8</v>
      </c>
      <c r="O135" s="8">
        <v>14.260089507934383</v>
      </c>
      <c r="P135" s="9">
        <v>14.260089507934383</v>
      </c>
      <c r="Q135" s="9">
        <v>14.260089507934383</v>
      </c>
      <c r="R135" s="9">
        <v>14.434686024139818</v>
      </c>
      <c r="S135" s="9">
        <v>14.722027102535575</v>
      </c>
      <c r="T135" s="9">
        <v>15.677715915555218</v>
      </c>
      <c r="U135" s="9">
        <v>17.010379604817192</v>
      </c>
      <c r="V135" s="9">
        <v>17.010379604817192</v>
      </c>
      <c r="W135" s="9">
        <v>17.010379604817192</v>
      </c>
      <c r="X135" s="9">
        <v>16.884570568466835</v>
      </c>
      <c r="Y135" s="9">
        <v>16.884570568466835</v>
      </c>
      <c r="Z135" s="9">
        <v>18.617757359760585</v>
      </c>
      <c r="AA135" s="9">
        <v>18.617757359760585</v>
      </c>
      <c r="AB135" s="9">
        <v>20.52292271594289</v>
      </c>
      <c r="AC135" s="9">
        <v>20.52292271594289</v>
      </c>
      <c r="AD135" s="9">
        <v>22.530627040176761</v>
      </c>
      <c r="AE135" s="9">
        <v>24.654059850225856</v>
      </c>
      <c r="AF135" s="9">
        <v>28.622962393602329</v>
      </c>
      <c r="AG135" s="9">
        <v>28.622962393602329</v>
      </c>
      <c r="AH135" s="9">
        <v>31.011605245024167</v>
      </c>
      <c r="AI135" s="9">
        <v>33.330799286496742</v>
      </c>
      <c r="AJ135" s="9">
        <v>3.0428788910505911</v>
      </c>
    </row>
    <row r="136" spans="1:36" x14ac:dyDescent="0.25">
      <c r="A136" t="s">
        <v>5411</v>
      </c>
      <c r="B136" t="s">
        <v>16</v>
      </c>
      <c r="C136" t="s">
        <v>17</v>
      </c>
      <c r="D136">
        <v>12120000</v>
      </c>
      <c r="E136">
        <v>12129999</v>
      </c>
      <c r="F136" t="s">
        <v>92</v>
      </c>
      <c r="G136" t="str">
        <f t="shared" si="4"/>
        <v>SPI</v>
      </c>
      <c r="H136" t="s">
        <v>19</v>
      </c>
      <c r="I136" t="s">
        <v>20</v>
      </c>
      <c r="J136" t="s">
        <v>62</v>
      </c>
      <c r="K136" s="6">
        <v>0.03</v>
      </c>
      <c r="L136" s="7">
        <f t="shared" si="5"/>
        <v>2E-3</v>
      </c>
      <c r="M136" s="7">
        <v>3.0000000000000001E-3</v>
      </c>
      <c r="N136">
        <v>8</v>
      </c>
      <c r="O136" s="8">
        <v>14.260089507934383</v>
      </c>
      <c r="P136" s="9">
        <v>14.260089507934383</v>
      </c>
      <c r="Q136" s="9">
        <v>14.260089507934383</v>
      </c>
      <c r="R136" s="9">
        <v>14.434686024139818</v>
      </c>
      <c r="S136" s="9">
        <v>14.722027102535575</v>
      </c>
      <c r="T136" s="9">
        <v>15.677715915555218</v>
      </c>
      <c r="U136" s="9">
        <v>17.010379604817192</v>
      </c>
      <c r="V136" s="9">
        <v>17.010379604817192</v>
      </c>
      <c r="W136" s="9">
        <v>17.010379604817192</v>
      </c>
      <c r="X136" s="9">
        <v>16.884570568466835</v>
      </c>
      <c r="Y136" s="9">
        <v>16.884570568466835</v>
      </c>
      <c r="Z136" s="9">
        <v>18.617757359760585</v>
      </c>
      <c r="AA136" s="9">
        <v>18.617757359760585</v>
      </c>
      <c r="AB136" s="9">
        <v>20.52292271594289</v>
      </c>
      <c r="AC136" s="9">
        <v>20.52292271594289</v>
      </c>
      <c r="AD136" s="9">
        <v>22.530627040176761</v>
      </c>
      <c r="AE136" s="9">
        <v>24.654059850225856</v>
      </c>
      <c r="AF136" s="9">
        <v>28.622962393602329</v>
      </c>
      <c r="AG136" s="9">
        <v>28.622962393602329</v>
      </c>
      <c r="AH136" s="9">
        <v>31.011605245024167</v>
      </c>
      <c r="AI136" s="9">
        <v>33.330799286496742</v>
      </c>
      <c r="AJ136" s="9">
        <v>3.0428788910505911</v>
      </c>
    </row>
    <row r="137" spans="1:36" x14ac:dyDescent="0.25">
      <c r="A137" t="s">
        <v>5411</v>
      </c>
      <c r="B137" t="s">
        <v>16</v>
      </c>
      <c r="C137" t="s">
        <v>17</v>
      </c>
      <c r="D137">
        <v>12130000</v>
      </c>
      <c r="E137">
        <v>12139999</v>
      </c>
      <c r="F137" t="s">
        <v>93</v>
      </c>
      <c r="G137" t="str">
        <f t="shared" si="4"/>
        <v>SPR</v>
      </c>
      <c r="H137" t="s">
        <v>19</v>
      </c>
      <c r="I137" t="s">
        <v>20</v>
      </c>
      <c r="J137" t="s">
        <v>77</v>
      </c>
      <c r="K137" s="6">
        <v>0.03</v>
      </c>
      <c r="L137" s="7">
        <f t="shared" si="5"/>
        <v>2E-3</v>
      </c>
      <c r="M137" s="7">
        <v>3.0000000000000001E-3</v>
      </c>
      <c r="N137">
        <v>13</v>
      </c>
      <c r="O137" s="8">
        <v>26.611209830054129</v>
      </c>
      <c r="P137" s="9">
        <v>26.611209830054129</v>
      </c>
      <c r="Q137" s="9">
        <v>26.611209830054129</v>
      </c>
      <c r="R137" s="9">
        <v>27.647760246913514</v>
      </c>
      <c r="S137" s="9">
        <v>28.483539200322319</v>
      </c>
      <c r="T137" s="9">
        <v>29.244822799499698</v>
      </c>
      <c r="U137" s="9">
        <v>31.379671510701762</v>
      </c>
      <c r="V137" s="9">
        <v>31.379671510701762</v>
      </c>
      <c r="W137" s="9">
        <v>31.379671510701762</v>
      </c>
      <c r="X137" s="9">
        <v>34.250510560182867</v>
      </c>
      <c r="Y137" s="9">
        <v>34.250510560182867</v>
      </c>
      <c r="Z137" s="9">
        <v>37.271704438917176</v>
      </c>
      <c r="AA137" s="9">
        <v>37.271704438917176</v>
      </c>
      <c r="AB137" s="9">
        <v>40.458288629830058</v>
      </c>
      <c r="AC137" s="9">
        <v>40.458288629830058</v>
      </c>
      <c r="AD137" s="9">
        <v>43.826802164139323</v>
      </c>
      <c r="AE137" s="9">
        <v>47.523241367157013</v>
      </c>
      <c r="AF137" s="9">
        <v>51.713576824258396</v>
      </c>
      <c r="AG137" s="9">
        <v>51.713576824258396</v>
      </c>
      <c r="AH137" s="9">
        <v>56.658816723629734</v>
      </c>
      <c r="AI137" s="9">
        <v>61.577420347834391</v>
      </c>
      <c r="AJ137" s="9">
        <v>3.0428788910505911</v>
      </c>
    </row>
    <row r="138" spans="1:36" x14ac:dyDescent="0.25">
      <c r="A138" t="s">
        <v>5411</v>
      </c>
      <c r="B138" t="s">
        <v>16</v>
      </c>
      <c r="C138" t="s">
        <v>17</v>
      </c>
      <c r="D138">
        <v>12140000</v>
      </c>
      <c r="E138">
        <v>12169999</v>
      </c>
      <c r="F138" t="s">
        <v>94</v>
      </c>
      <c r="G138" t="str">
        <f t="shared" si="4"/>
        <v>SPR</v>
      </c>
      <c r="H138" t="s">
        <v>19</v>
      </c>
      <c r="I138" t="s">
        <v>20</v>
      </c>
      <c r="J138" t="s">
        <v>77</v>
      </c>
      <c r="K138" s="6">
        <v>0.03</v>
      </c>
      <c r="L138" s="7">
        <f t="shared" si="5"/>
        <v>2E-3</v>
      </c>
      <c r="M138" s="7">
        <v>3.0000000000000001E-3</v>
      </c>
      <c r="N138">
        <v>13</v>
      </c>
      <c r="O138" s="8">
        <v>26.611209830054129</v>
      </c>
      <c r="P138" s="9">
        <v>26.611209830054129</v>
      </c>
      <c r="Q138" s="9">
        <v>26.611209830054129</v>
      </c>
      <c r="R138" s="9">
        <v>27.647760246913514</v>
      </c>
      <c r="S138" s="9">
        <v>28.483539200322319</v>
      </c>
      <c r="T138" s="9">
        <v>29.244822799499698</v>
      </c>
      <c r="U138" s="9">
        <v>31.379671510701762</v>
      </c>
      <c r="V138" s="9">
        <v>31.379671510701762</v>
      </c>
      <c r="W138" s="9">
        <v>31.379671510701762</v>
      </c>
      <c r="X138" s="9">
        <v>34.250510560182867</v>
      </c>
      <c r="Y138" s="9">
        <v>34.250510560182867</v>
      </c>
      <c r="Z138" s="9">
        <v>37.271704438917176</v>
      </c>
      <c r="AA138" s="9">
        <v>37.271704438917176</v>
      </c>
      <c r="AB138" s="9">
        <v>40.458288629830058</v>
      </c>
      <c r="AC138" s="9">
        <v>40.458288629830058</v>
      </c>
      <c r="AD138" s="9">
        <v>43.826802164139323</v>
      </c>
      <c r="AE138" s="9">
        <v>47.523241367157013</v>
      </c>
      <c r="AF138" s="9">
        <v>51.713576824258396</v>
      </c>
      <c r="AG138" s="9">
        <v>51.713576824258396</v>
      </c>
      <c r="AH138" s="9">
        <v>56.658816723629734</v>
      </c>
      <c r="AI138" s="9">
        <v>61.577420347834391</v>
      </c>
      <c r="AJ138" s="9">
        <v>3.0428788910505911</v>
      </c>
    </row>
    <row r="139" spans="1:36" x14ac:dyDescent="0.25">
      <c r="A139" t="s">
        <v>5411</v>
      </c>
      <c r="B139" t="s">
        <v>16</v>
      </c>
      <c r="C139" t="s">
        <v>17</v>
      </c>
      <c r="D139">
        <v>12170000</v>
      </c>
      <c r="E139">
        <v>12179999</v>
      </c>
      <c r="F139" t="s">
        <v>95</v>
      </c>
      <c r="G139" t="str">
        <f t="shared" si="4"/>
        <v>SPR</v>
      </c>
      <c r="H139" t="s">
        <v>19</v>
      </c>
      <c r="I139" t="s">
        <v>20</v>
      </c>
      <c r="J139" t="s">
        <v>77</v>
      </c>
      <c r="K139" s="6">
        <v>0.03</v>
      </c>
      <c r="L139" s="7">
        <f t="shared" si="5"/>
        <v>2E-3</v>
      </c>
      <c r="M139" s="7">
        <v>3.0000000000000001E-3</v>
      </c>
      <c r="N139">
        <v>13</v>
      </c>
      <c r="O139" s="8">
        <v>26.611209830054129</v>
      </c>
      <c r="P139" s="9">
        <v>26.611209830054129</v>
      </c>
      <c r="Q139" s="9">
        <v>26.611209830054129</v>
      </c>
      <c r="R139" s="9">
        <v>27.647760246913514</v>
      </c>
      <c r="S139" s="9">
        <v>28.483539200322319</v>
      </c>
      <c r="T139" s="9">
        <v>29.244822799499698</v>
      </c>
      <c r="U139" s="9">
        <v>31.379671510701762</v>
      </c>
      <c r="V139" s="9">
        <v>31.379671510701762</v>
      </c>
      <c r="W139" s="9">
        <v>31.379671510701762</v>
      </c>
      <c r="X139" s="9">
        <v>34.250510560182867</v>
      </c>
      <c r="Y139" s="9">
        <v>34.250510560182867</v>
      </c>
      <c r="Z139" s="9">
        <v>37.271704438917176</v>
      </c>
      <c r="AA139" s="9">
        <v>37.271704438917176</v>
      </c>
      <c r="AB139" s="9">
        <v>40.458288629830058</v>
      </c>
      <c r="AC139" s="9">
        <v>40.458288629830058</v>
      </c>
      <c r="AD139" s="9">
        <v>43.826802164139323</v>
      </c>
      <c r="AE139" s="9">
        <v>47.523241367157013</v>
      </c>
      <c r="AF139" s="9">
        <v>51.713576824258396</v>
      </c>
      <c r="AG139" s="9">
        <v>51.713576824258396</v>
      </c>
      <c r="AH139" s="9">
        <v>56.658816723629734</v>
      </c>
      <c r="AI139" s="9">
        <v>61.577420347834391</v>
      </c>
      <c r="AJ139" s="9">
        <v>3.0428788910505911</v>
      </c>
    </row>
    <row r="140" spans="1:36" x14ac:dyDescent="0.25">
      <c r="A140" t="s">
        <v>5411</v>
      </c>
      <c r="B140" t="s">
        <v>16</v>
      </c>
      <c r="C140" t="s">
        <v>17</v>
      </c>
      <c r="D140">
        <v>12180000</v>
      </c>
      <c r="E140">
        <v>12199999</v>
      </c>
      <c r="F140" t="s">
        <v>96</v>
      </c>
      <c r="G140" t="str">
        <f t="shared" si="4"/>
        <v>SPR</v>
      </c>
      <c r="H140" t="s">
        <v>19</v>
      </c>
      <c r="I140" t="s">
        <v>20</v>
      </c>
      <c r="J140" t="s">
        <v>77</v>
      </c>
      <c r="K140" s="6">
        <v>0.03</v>
      </c>
      <c r="L140" s="7">
        <f t="shared" si="5"/>
        <v>2E-3</v>
      </c>
      <c r="M140" s="7">
        <v>3.0000000000000001E-3</v>
      </c>
      <c r="N140">
        <v>13</v>
      </c>
      <c r="O140" s="8">
        <v>26.611209830054129</v>
      </c>
      <c r="P140" s="9">
        <v>26.611209830054129</v>
      </c>
      <c r="Q140" s="9">
        <v>26.611209830054129</v>
      </c>
      <c r="R140" s="9">
        <v>27.647760246913514</v>
      </c>
      <c r="S140" s="9">
        <v>28.483539200322319</v>
      </c>
      <c r="T140" s="9">
        <v>29.244822799499698</v>
      </c>
      <c r="U140" s="9">
        <v>31.379671510701762</v>
      </c>
      <c r="V140" s="9">
        <v>31.379671510701762</v>
      </c>
      <c r="W140" s="9">
        <v>31.379671510701762</v>
      </c>
      <c r="X140" s="9">
        <v>34.250510560182867</v>
      </c>
      <c r="Y140" s="9">
        <v>34.250510560182867</v>
      </c>
      <c r="Z140" s="9">
        <v>37.271704438917176</v>
      </c>
      <c r="AA140" s="9">
        <v>37.271704438917176</v>
      </c>
      <c r="AB140" s="9">
        <v>40.458288629830058</v>
      </c>
      <c r="AC140" s="9">
        <v>40.458288629830058</v>
      </c>
      <c r="AD140" s="9">
        <v>43.826802164139323</v>
      </c>
      <c r="AE140" s="9">
        <v>47.523241367157013</v>
      </c>
      <c r="AF140" s="9">
        <v>51.713576824258396</v>
      </c>
      <c r="AG140" s="9">
        <v>51.713576824258396</v>
      </c>
      <c r="AH140" s="9">
        <v>56.658816723629734</v>
      </c>
      <c r="AI140" s="9">
        <v>61.577420347834391</v>
      </c>
      <c r="AJ140" s="9">
        <v>3.0428788910505911</v>
      </c>
    </row>
    <row r="141" spans="1:36" x14ac:dyDescent="0.25">
      <c r="A141" t="s">
        <v>5411</v>
      </c>
      <c r="B141" t="s">
        <v>16</v>
      </c>
      <c r="C141" t="s">
        <v>17</v>
      </c>
      <c r="D141">
        <v>12200000</v>
      </c>
      <c r="E141">
        <v>12208999</v>
      </c>
      <c r="F141" t="s">
        <v>97</v>
      </c>
      <c r="G141" t="str">
        <f t="shared" si="4"/>
        <v>SPI</v>
      </c>
      <c r="H141" t="s">
        <v>19</v>
      </c>
      <c r="I141" t="s">
        <v>20</v>
      </c>
      <c r="J141" t="s">
        <v>62</v>
      </c>
      <c r="K141" s="6">
        <v>0.03</v>
      </c>
      <c r="L141" s="7">
        <f t="shared" si="5"/>
        <v>2E-3</v>
      </c>
      <c r="M141" s="7">
        <v>3.0000000000000001E-3</v>
      </c>
      <c r="N141">
        <v>7</v>
      </c>
      <c r="O141" s="8">
        <v>14.260089507934383</v>
      </c>
      <c r="P141" s="9">
        <v>14.260089507934383</v>
      </c>
      <c r="Q141" s="9">
        <v>14.260089507934383</v>
      </c>
      <c r="R141" s="9">
        <v>14.434686024139818</v>
      </c>
      <c r="S141" s="9">
        <v>14.722027102535575</v>
      </c>
      <c r="T141" s="9">
        <v>15.677715915555218</v>
      </c>
      <c r="U141" s="9">
        <v>17.010379604817192</v>
      </c>
      <c r="V141" s="9">
        <v>17.010379604817192</v>
      </c>
      <c r="W141" s="9">
        <v>17.010379604817192</v>
      </c>
      <c r="X141" s="9">
        <v>16.884570568466835</v>
      </c>
      <c r="Y141" s="9">
        <v>16.884570568466835</v>
      </c>
      <c r="Z141" s="9">
        <v>18.617757359760585</v>
      </c>
      <c r="AA141" s="9">
        <v>18.617757359760585</v>
      </c>
      <c r="AB141" s="9">
        <v>20.52292271594289</v>
      </c>
      <c r="AC141" s="9">
        <v>20.52292271594289</v>
      </c>
      <c r="AD141" s="9">
        <v>22.530627040176761</v>
      </c>
      <c r="AE141" s="9">
        <v>24.654059850225856</v>
      </c>
      <c r="AF141" s="9">
        <v>28.622962393602329</v>
      </c>
      <c r="AG141" s="9">
        <v>28.622962393602329</v>
      </c>
      <c r="AH141" s="9">
        <v>31.011605245024167</v>
      </c>
      <c r="AI141" s="9">
        <v>33.330799286496742</v>
      </c>
      <c r="AJ141" s="9">
        <v>3.0428788910505911</v>
      </c>
    </row>
    <row r="142" spans="1:36" x14ac:dyDescent="0.25">
      <c r="A142" t="s">
        <v>5411</v>
      </c>
      <c r="B142" t="s">
        <v>16</v>
      </c>
      <c r="C142" t="s">
        <v>17</v>
      </c>
      <c r="D142">
        <v>12209000</v>
      </c>
      <c r="E142">
        <v>12249999</v>
      </c>
      <c r="F142" t="s">
        <v>98</v>
      </c>
      <c r="G142" t="str">
        <f t="shared" si="4"/>
        <v>SPI</v>
      </c>
      <c r="H142" t="s">
        <v>19</v>
      </c>
      <c r="I142" t="s">
        <v>20</v>
      </c>
      <c r="J142" t="s">
        <v>62</v>
      </c>
      <c r="K142" s="6">
        <v>0.03</v>
      </c>
      <c r="L142" s="7">
        <f t="shared" si="5"/>
        <v>2E-3</v>
      </c>
      <c r="M142" s="7">
        <v>3.0000000000000001E-3</v>
      </c>
      <c r="N142">
        <v>7</v>
      </c>
      <c r="O142" s="8">
        <v>14.260089507934383</v>
      </c>
      <c r="P142" s="9">
        <v>14.260089507934383</v>
      </c>
      <c r="Q142" s="9">
        <v>14.260089507934383</v>
      </c>
      <c r="R142" s="9">
        <v>14.434686024139818</v>
      </c>
      <c r="S142" s="9">
        <v>14.722027102535575</v>
      </c>
      <c r="T142" s="9">
        <v>15.677715915555218</v>
      </c>
      <c r="U142" s="9">
        <v>17.010379604817192</v>
      </c>
      <c r="V142" s="9">
        <v>17.010379604817192</v>
      </c>
      <c r="W142" s="9">
        <v>17.010379604817192</v>
      </c>
      <c r="X142" s="9">
        <v>16.884570568466835</v>
      </c>
      <c r="Y142" s="9">
        <v>16.884570568466835</v>
      </c>
      <c r="Z142" s="9">
        <v>18.617757359760585</v>
      </c>
      <c r="AA142" s="9">
        <v>18.617757359760585</v>
      </c>
      <c r="AB142" s="9">
        <v>20.52292271594289</v>
      </c>
      <c r="AC142" s="9">
        <v>20.52292271594289</v>
      </c>
      <c r="AD142" s="9">
        <v>22.530627040176761</v>
      </c>
      <c r="AE142" s="9">
        <v>24.654059850225856</v>
      </c>
      <c r="AF142" s="9">
        <v>28.622962393602329</v>
      </c>
      <c r="AG142" s="9">
        <v>28.622962393602329</v>
      </c>
      <c r="AH142" s="9">
        <v>31.011605245024167</v>
      </c>
      <c r="AI142" s="9">
        <v>33.330799286496742</v>
      </c>
      <c r="AJ142" s="9">
        <v>3.0428788910505911</v>
      </c>
    </row>
    <row r="143" spans="1:36" x14ac:dyDescent="0.25">
      <c r="A143" t="s">
        <v>5411</v>
      </c>
      <c r="B143" t="s">
        <v>16</v>
      </c>
      <c r="C143" t="s">
        <v>17</v>
      </c>
      <c r="D143">
        <v>12250000</v>
      </c>
      <c r="E143">
        <v>12259999</v>
      </c>
      <c r="F143" t="s">
        <v>99</v>
      </c>
      <c r="G143" t="str">
        <f t="shared" si="4"/>
        <v>SPR</v>
      </c>
      <c r="H143" t="s">
        <v>19</v>
      </c>
      <c r="I143" t="s">
        <v>20</v>
      </c>
      <c r="J143" t="s">
        <v>77</v>
      </c>
      <c r="K143" s="6">
        <v>0.03</v>
      </c>
      <c r="L143" s="7">
        <f t="shared" si="5"/>
        <v>2E-3</v>
      </c>
      <c r="M143" s="7">
        <v>3.0000000000000001E-3</v>
      </c>
      <c r="N143">
        <v>13</v>
      </c>
      <c r="O143" s="8">
        <v>26.611209830054129</v>
      </c>
      <c r="P143" s="9">
        <v>26.611209830054129</v>
      </c>
      <c r="Q143" s="9">
        <v>26.611209830054129</v>
      </c>
      <c r="R143" s="9">
        <v>27.647760246913514</v>
      </c>
      <c r="S143" s="9">
        <v>28.483539200322319</v>
      </c>
      <c r="T143" s="9">
        <v>29.244822799499698</v>
      </c>
      <c r="U143" s="9">
        <v>31.379671510701762</v>
      </c>
      <c r="V143" s="9">
        <v>31.379671510701762</v>
      </c>
      <c r="W143" s="9">
        <v>31.379671510701762</v>
      </c>
      <c r="X143" s="9">
        <v>34.250510560182867</v>
      </c>
      <c r="Y143" s="9">
        <v>34.250510560182867</v>
      </c>
      <c r="Z143" s="9">
        <v>37.271704438917176</v>
      </c>
      <c r="AA143" s="9">
        <v>37.271704438917176</v>
      </c>
      <c r="AB143" s="9">
        <v>40.458288629830058</v>
      </c>
      <c r="AC143" s="9">
        <v>40.458288629830058</v>
      </c>
      <c r="AD143" s="9">
        <v>43.826802164139323</v>
      </c>
      <c r="AE143" s="9">
        <v>47.523241367157013</v>
      </c>
      <c r="AF143" s="9">
        <v>51.713576824258396</v>
      </c>
      <c r="AG143" s="9">
        <v>51.713576824258396</v>
      </c>
      <c r="AH143" s="9">
        <v>56.658816723629734</v>
      </c>
      <c r="AI143" s="9">
        <v>61.577420347834391</v>
      </c>
      <c r="AJ143" s="9">
        <v>3.0428788910505911</v>
      </c>
    </row>
    <row r="144" spans="1:36" x14ac:dyDescent="0.25">
      <c r="A144" t="s">
        <v>5411</v>
      </c>
      <c r="B144" t="s">
        <v>16</v>
      </c>
      <c r="C144" t="s">
        <v>17</v>
      </c>
      <c r="D144">
        <v>12260000</v>
      </c>
      <c r="E144">
        <v>12269999</v>
      </c>
      <c r="F144" t="s">
        <v>100</v>
      </c>
      <c r="G144" t="str">
        <f t="shared" si="4"/>
        <v>SPR</v>
      </c>
      <c r="H144" t="s">
        <v>19</v>
      </c>
      <c r="I144" t="s">
        <v>20</v>
      </c>
      <c r="J144" t="s">
        <v>77</v>
      </c>
      <c r="K144" s="6">
        <v>0.03</v>
      </c>
      <c r="L144" s="7">
        <f t="shared" si="5"/>
        <v>2E-3</v>
      </c>
      <c r="M144" s="7">
        <v>3.0000000000000001E-3</v>
      </c>
      <c r="N144">
        <v>13</v>
      </c>
      <c r="O144" s="8">
        <v>26.611209830054129</v>
      </c>
      <c r="P144" s="9">
        <v>26.611209830054129</v>
      </c>
      <c r="Q144" s="9">
        <v>26.611209830054129</v>
      </c>
      <c r="R144" s="9">
        <v>27.647760246913514</v>
      </c>
      <c r="S144" s="9">
        <v>28.483539200322319</v>
      </c>
      <c r="T144" s="9">
        <v>29.244822799499698</v>
      </c>
      <c r="U144" s="9">
        <v>31.379671510701762</v>
      </c>
      <c r="V144" s="9">
        <v>31.379671510701762</v>
      </c>
      <c r="W144" s="9">
        <v>31.379671510701762</v>
      </c>
      <c r="X144" s="9">
        <v>34.250510560182867</v>
      </c>
      <c r="Y144" s="9">
        <v>34.250510560182867</v>
      </c>
      <c r="Z144" s="9">
        <v>37.271704438917176</v>
      </c>
      <c r="AA144" s="9">
        <v>37.271704438917176</v>
      </c>
      <c r="AB144" s="9">
        <v>40.458288629830058</v>
      </c>
      <c r="AC144" s="9">
        <v>40.458288629830058</v>
      </c>
      <c r="AD144" s="9">
        <v>43.826802164139323</v>
      </c>
      <c r="AE144" s="9">
        <v>47.523241367157013</v>
      </c>
      <c r="AF144" s="9">
        <v>51.713576824258396</v>
      </c>
      <c r="AG144" s="9">
        <v>51.713576824258396</v>
      </c>
      <c r="AH144" s="9">
        <v>56.658816723629734</v>
      </c>
      <c r="AI144" s="9">
        <v>61.577420347834391</v>
      </c>
      <c r="AJ144" s="9">
        <v>3.0428788910505911</v>
      </c>
    </row>
    <row r="145" spans="1:36" x14ac:dyDescent="0.25">
      <c r="A145" t="s">
        <v>5411</v>
      </c>
      <c r="B145" t="s">
        <v>16</v>
      </c>
      <c r="C145" t="s">
        <v>17</v>
      </c>
      <c r="D145">
        <v>12270000</v>
      </c>
      <c r="E145">
        <v>12279999</v>
      </c>
      <c r="F145" t="s">
        <v>101</v>
      </c>
      <c r="G145" t="str">
        <f t="shared" si="4"/>
        <v>SPR</v>
      </c>
      <c r="H145" t="s">
        <v>19</v>
      </c>
      <c r="I145" t="s">
        <v>20</v>
      </c>
      <c r="J145" t="s">
        <v>77</v>
      </c>
      <c r="K145" s="6">
        <v>0.03</v>
      </c>
      <c r="L145" s="7">
        <f t="shared" si="5"/>
        <v>2E-3</v>
      </c>
      <c r="M145" s="7">
        <v>3.0000000000000001E-3</v>
      </c>
      <c r="N145">
        <v>13</v>
      </c>
      <c r="O145" s="8">
        <v>26.611209830054129</v>
      </c>
      <c r="P145" s="9">
        <v>26.611209830054129</v>
      </c>
      <c r="Q145" s="9">
        <v>26.611209830054129</v>
      </c>
      <c r="R145" s="9">
        <v>27.647760246913514</v>
      </c>
      <c r="S145" s="9">
        <v>28.483539200322319</v>
      </c>
      <c r="T145" s="9">
        <v>29.244822799499698</v>
      </c>
      <c r="U145" s="9">
        <v>31.379671510701762</v>
      </c>
      <c r="V145" s="9">
        <v>31.379671510701762</v>
      </c>
      <c r="W145" s="9">
        <v>31.379671510701762</v>
      </c>
      <c r="X145" s="9">
        <v>34.250510560182867</v>
      </c>
      <c r="Y145" s="9">
        <v>34.250510560182867</v>
      </c>
      <c r="Z145" s="9">
        <v>37.271704438917176</v>
      </c>
      <c r="AA145" s="9">
        <v>37.271704438917176</v>
      </c>
      <c r="AB145" s="9">
        <v>40.458288629830058</v>
      </c>
      <c r="AC145" s="9">
        <v>40.458288629830058</v>
      </c>
      <c r="AD145" s="9">
        <v>43.826802164139323</v>
      </c>
      <c r="AE145" s="9">
        <v>47.523241367157013</v>
      </c>
      <c r="AF145" s="9">
        <v>51.713576824258396</v>
      </c>
      <c r="AG145" s="9">
        <v>51.713576824258396</v>
      </c>
      <c r="AH145" s="9">
        <v>56.658816723629734</v>
      </c>
      <c r="AI145" s="9">
        <v>61.577420347834391</v>
      </c>
      <c r="AJ145" s="9">
        <v>3.0428788910505911</v>
      </c>
    </row>
    <row r="146" spans="1:36" x14ac:dyDescent="0.25">
      <c r="A146" t="s">
        <v>5411</v>
      </c>
      <c r="B146" t="s">
        <v>16</v>
      </c>
      <c r="C146" t="s">
        <v>17</v>
      </c>
      <c r="D146">
        <v>12280000</v>
      </c>
      <c r="E146">
        <v>12299999</v>
      </c>
      <c r="F146" t="s">
        <v>102</v>
      </c>
      <c r="G146" t="str">
        <f t="shared" si="4"/>
        <v>SPI</v>
      </c>
      <c r="H146" t="s">
        <v>19</v>
      </c>
      <c r="I146" t="s">
        <v>20</v>
      </c>
      <c r="J146" t="s">
        <v>62</v>
      </c>
      <c r="K146" s="6">
        <v>0.03</v>
      </c>
      <c r="L146" s="7">
        <f t="shared" si="5"/>
        <v>2E-3</v>
      </c>
      <c r="M146" s="7">
        <v>3.0000000000000001E-3</v>
      </c>
      <c r="N146">
        <v>8</v>
      </c>
      <c r="O146" s="8">
        <v>14.260089507934383</v>
      </c>
      <c r="P146" s="9">
        <v>14.260089507934383</v>
      </c>
      <c r="Q146" s="9">
        <v>14.260089507934383</v>
      </c>
      <c r="R146" s="9">
        <v>14.434686024139818</v>
      </c>
      <c r="S146" s="9">
        <v>14.722027102535575</v>
      </c>
      <c r="T146" s="9">
        <v>15.677715915555218</v>
      </c>
      <c r="U146" s="9">
        <v>17.010379604817192</v>
      </c>
      <c r="V146" s="9">
        <v>17.010379604817192</v>
      </c>
      <c r="W146" s="9">
        <v>17.010379604817192</v>
      </c>
      <c r="X146" s="9">
        <v>16.884570568466835</v>
      </c>
      <c r="Y146" s="9">
        <v>16.884570568466835</v>
      </c>
      <c r="Z146" s="9">
        <v>18.617757359760585</v>
      </c>
      <c r="AA146" s="9">
        <v>18.617757359760585</v>
      </c>
      <c r="AB146" s="9">
        <v>20.52292271594289</v>
      </c>
      <c r="AC146" s="9">
        <v>20.52292271594289</v>
      </c>
      <c r="AD146" s="9">
        <v>22.530627040176761</v>
      </c>
      <c r="AE146" s="9">
        <v>24.654059850225856</v>
      </c>
      <c r="AF146" s="9">
        <v>28.622962393602329</v>
      </c>
      <c r="AG146" s="9">
        <v>28.622962393602329</v>
      </c>
      <c r="AH146" s="9">
        <v>31.011605245024167</v>
      </c>
      <c r="AI146" s="9">
        <v>33.330799286496742</v>
      </c>
      <c r="AJ146" s="9">
        <v>3.0428788910505911</v>
      </c>
    </row>
    <row r="147" spans="1:36" x14ac:dyDescent="0.25">
      <c r="A147" t="s">
        <v>5411</v>
      </c>
      <c r="B147" t="s">
        <v>16</v>
      </c>
      <c r="C147" t="s">
        <v>17</v>
      </c>
      <c r="D147">
        <v>12300000</v>
      </c>
      <c r="E147">
        <v>12349999</v>
      </c>
      <c r="F147" t="s">
        <v>103</v>
      </c>
      <c r="G147" t="str">
        <f t="shared" si="4"/>
        <v>SPI</v>
      </c>
      <c r="H147" t="s">
        <v>19</v>
      </c>
      <c r="I147" t="s">
        <v>20</v>
      </c>
      <c r="J147" t="s">
        <v>62</v>
      </c>
      <c r="K147" s="6">
        <v>0.03</v>
      </c>
      <c r="L147" s="7">
        <f t="shared" si="5"/>
        <v>2E-3</v>
      </c>
      <c r="M147" s="7">
        <v>3.0000000000000001E-3</v>
      </c>
      <c r="N147">
        <v>8</v>
      </c>
      <c r="O147" s="8">
        <v>14.260089507934383</v>
      </c>
      <c r="P147" s="9">
        <v>14.260089507934383</v>
      </c>
      <c r="Q147" s="9">
        <v>14.260089507934383</v>
      </c>
      <c r="R147" s="9">
        <v>14.434686024139818</v>
      </c>
      <c r="S147" s="9">
        <v>14.722027102535575</v>
      </c>
      <c r="T147" s="9">
        <v>15.677715915555218</v>
      </c>
      <c r="U147" s="9">
        <v>17.010379604817192</v>
      </c>
      <c r="V147" s="9">
        <v>17.010379604817192</v>
      </c>
      <c r="W147" s="9">
        <v>17.010379604817192</v>
      </c>
      <c r="X147" s="9">
        <v>16.884570568466835</v>
      </c>
      <c r="Y147" s="9">
        <v>16.884570568466835</v>
      </c>
      <c r="Z147" s="9">
        <v>18.617757359760585</v>
      </c>
      <c r="AA147" s="9">
        <v>18.617757359760585</v>
      </c>
      <c r="AB147" s="9">
        <v>20.52292271594289</v>
      </c>
      <c r="AC147" s="9">
        <v>20.52292271594289</v>
      </c>
      <c r="AD147" s="9">
        <v>22.530627040176761</v>
      </c>
      <c r="AE147" s="9">
        <v>24.654059850225856</v>
      </c>
      <c r="AF147" s="9">
        <v>28.622962393602329</v>
      </c>
      <c r="AG147" s="9">
        <v>28.622962393602329</v>
      </c>
      <c r="AH147" s="9">
        <v>31.011605245024167</v>
      </c>
      <c r="AI147" s="9">
        <v>33.330799286496742</v>
      </c>
      <c r="AJ147" s="9">
        <v>3.0428788910505911</v>
      </c>
    </row>
    <row r="148" spans="1:36" x14ac:dyDescent="0.25">
      <c r="A148" t="s">
        <v>5411</v>
      </c>
      <c r="B148" t="s">
        <v>16</v>
      </c>
      <c r="C148" t="s">
        <v>17</v>
      </c>
      <c r="D148">
        <v>12350000</v>
      </c>
      <c r="E148">
        <v>12379999</v>
      </c>
      <c r="F148" t="s">
        <v>104</v>
      </c>
      <c r="G148" t="str">
        <f t="shared" si="4"/>
        <v>SPR</v>
      </c>
      <c r="H148" t="s">
        <v>19</v>
      </c>
      <c r="I148" t="s">
        <v>20</v>
      </c>
      <c r="J148" t="s">
        <v>77</v>
      </c>
      <c r="K148" s="6">
        <v>0.03</v>
      </c>
      <c r="L148" s="7">
        <f t="shared" si="5"/>
        <v>2E-3</v>
      </c>
      <c r="M148" s="7">
        <v>3.0000000000000001E-3</v>
      </c>
      <c r="N148">
        <v>13</v>
      </c>
      <c r="O148" s="8">
        <v>26.611209830054129</v>
      </c>
      <c r="P148" s="9">
        <v>26.611209830054129</v>
      </c>
      <c r="Q148" s="9">
        <v>26.611209830054129</v>
      </c>
      <c r="R148" s="9">
        <v>27.647760246913514</v>
      </c>
      <c r="S148" s="9">
        <v>28.483539200322319</v>
      </c>
      <c r="T148" s="9">
        <v>29.244822799499698</v>
      </c>
      <c r="U148" s="9">
        <v>31.379671510701762</v>
      </c>
      <c r="V148" s="9">
        <v>31.379671510701762</v>
      </c>
      <c r="W148" s="9">
        <v>31.379671510701762</v>
      </c>
      <c r="X148" s="9">
        <v>34.250510560182867</v>
      </c>
      <c r="Y148" s="9">
        <v>34.250510560182867</v>
      </c>
      <c r="Z148" s="9">
        <v>37.271704438917176</v>
      </c>
      <c r="AA148" s="9">
        <v>37.271704438917176</v>
      </c>
      <c r="AB148" s="9">
        <v>40.458288629830058</v>
      </c>
      <c r="AC148" s="9">
        <v>40.458288629830058</v>
      </c>
      <c r="AD148" s="9">
        <v>43.826802164139323</v>
      </c>
      <c r="AE148" s="9">
        <v>47.523241367157013</v>
      </c>
      <c r="AF148" s="9">
        <v>51.713576824258396</v>
      </c>
      <c r="AG148" s="9">
        <v>51.713576824258396</v>
      </c>
      <c r="AH148" s="9">
        <v>56.658816723629734</v>
      </c>
      <c r="AI148" s="9">
        <v>61.577420347834391</v>
      </c>
      <c r="AJ148" s="9">
        <v>3.0428788910505911</v>
      </c>
    </row>
    <row r="149" spans="1:36" x14ac:dyDescent="0.25">
      <c r="A149" t="s">
        <v>5411</v>
      </c>
      <c r="B149" t="s">
        <v>16</v>
      </c>
      <c r="C149" t="s">
        <v>17</v>
      </c>
      <c r="D149">
        <v>12380000</v>
      </c>
      <c r="E149">
        <v>12399999</v>
      </c>
      <c r="F149" t="s">
        <v>105</v>
      </c>
      <c r="G149" t="str">
        <f t="shared" si="4"/>
        <v>SPR</v>
      </c>
      <c r="H149" t="s">
        <v>19</v>
      </c>
      <c r="I149" t="s">
        <v>20</v>
      </c>
      <c r="J149" t="s">
        <v>77</v>
      </c>
      <c r="K149" s="6">
        <v>0.03</v>
      </c>
      <c r="L149" s="7">
        <f t="shared" si="5"/>
        <v>2E-3</v>
      </c>
      <c r="M149" s="7">
        <v>3.0000000000000001E-3</v>
      </c>
      <c r="N149">
        <v>13</v>
      </c>
      <c r="O149" s="8">
        <v>26.611209830054129</v>
      </c>
      <c r="P149" s="9">
        <v>26.611209830054129</v>
      </c>
      <c r="Q149" s="9">
        <v>26.611209830054129</v>
      </c>
      <c r="R149" s="9">
        <v>27.647760246913514</v>
      </c>
      <c r="S149" s="9">
        <v>28.483539200322319</v>
      </c>
      <c r="T149" s="9">
        <v>29.244822799499698</v>
      </c>
      <c r="U149" s="9">
        <v>31.379671510701762</v>
      </c>
      <c r="V149" s="9">
        <v>31.379671510701762</v>
      </c>
      <c r="W149" s="9">
        <v>31.379671510701762</v>
      </c>
      <c r="X149" s="9">
        <v>34.250510560182867</v>
      </c>
      <c r="Y149" s="9">
        <v>34.250510560182867</v>
      </c>
      <c r="Z149" s="9">
        <v>37.271704438917176</v>
      </c>
      <c r="AA149" s="9">
        <v>37.271704438917176</v>
      </c>
      <c r="AB149" s="9">
        <v>40.458288629830058</v>
      </c>
      <c r="AC149" s="9">
        <v>40.458288629830058</v>
      </c>
      <c r="AD149" s="9">
        <v>43.826802164139323</v>
      </c>
      <c r="AE149" s="9">
        <v>47.523241367157013</v>
      </c>
      <c r="AF149" s="9">
        <v>51.713576824258396</v>
      </c>
      <c r="AG149" s="9">
        <v>51.713576824258396</v>
      </c>
      <c r="AH149" s="9">
        <v>56.658816723629734</v>
      </c>
      <c r="AI149" s="9">
        <v>61.577420347834391</v>
      </c>
      <c r="AJ149" s="9">
        <v>3.0428788910505911</v>
      </c>
    </row>
    <row r="150" spans="1:36" x14ac:dyDescent="0.25">
      <c r="A150" t="s">
        <v>5411</v>
      </c>
      <c r="B150" t="s">
        <v>16</v>
      </c>
      <c r="C150" t="s">
        <v>17</v>
      </c>
      <c r="D150">
        <v>12400000</v>
      </c>
      <c r="E150">
        <v>12400009</v>
      </c>
      <c r="F150" t="s">
        <v>106</v>
      </c>
      <c r="G150" t="str">
        <f t="shared" si="4"/>
        <v>SPI II</v>
      </c>
      <c r="H150" t="s">
        <v>19</v>
      </c>
      <c r="I150" t="s">
        <v>20</v>
      </c>
      <c r="J150" t="s">
        <v>64</v>
      </c>
      <c r="K150" s="6">
        <v>0.03</v>
      </c>
      <c r="L150" s="7">
        <f t="shared" si="5"/>
        <v>2E-3</v>
      </c>
      <c r="M150" s="7">
        <v>3.0000000000000001E-3</v>
      </c>
      <c r="N150">
        <v>8</v>
      </c>
      <c r="O150" s="8">
        <v>17.934556092922943</v>
      </c>
      <c r="P150" s="9">
        <v>17.934556092922943</v>
      </c>
      <c r="Q150" s="9">
        <v>17.934556092922943</v>
      </c>
      <c r="R150" s="9">
        <v>18.35577997371016</v>
      </c>
      <c r="S150" s="9">
        <v>18.404835306435746</v>
      </c>
      <c r="T150" s="9">
        <v>19.112621008962602</v>
      </c>
      <c r="U150" s="9">
        <v>20.35176903227914</v>
      </c>
      <c r="V150" s="9">
        <v>20.35176903227914</v>
      </c>
      <c r="W150" s="9">
        <v>20.35176903227914</v>
      </c>
      <c r="X150" s="9">
        <v>19.91589544268896</v>
      </c>
      <c r="Y150" s="9">
        <v>19.91589544268896</v>
      </c>
      <c r="Z150" s="9">
        <v>21.609947773831163</v>
      </c>
      <c r="AA150" s="9">
        <v>21.609947773831163</v>
      </c>
      <c r="AB150" s="9">
        <v>23.372671736151272</v>
      </c>
      <c r="AC150" s="9">
        <v>23.372671736151272</v>
      </c>
      <c r="AD150" s="9">
        <v>26.430826810726163</v>
      </c>
      <c r="AE150" s="9">
        <v>27.959768706413232</v>
      </c>
      <c r="AF150" s="9">
        <v>29.772701744670762</v>
      </c>
      <c r="AG150" s="9">
        <v>29.772701744670762</v>
      </c>
      <c r="AH150" s="9">
        <v>32.589351949315954</v>
      </c>
      <c r="AI150" s="9">
        <v>34.825222308406182</v>
      </c>
      <c r="AJ150" s="9">
        <v>3.0428788910505911</v>
      </c>
    </row>
    <row r="151" spans="1:36" x14ac:dyDescent="0.25">
      <c r="A151" t="s">
        <v>5411</v>
      </c>
      <c r="B151" t="s">
        <v>16</v>
      </c>
      <c r="C151" t="s">
        <v>17</v>
      </c>
      <c r="D151">
        <v>12400010</v>
      </c>
      <c r="E151">
        <v>12449999</v>
      </c>
      <c r="F151" t="s">
        <v>106</v>
      </c>
      <c r="G151" t="str">
        <f t="shared" si="4"/>
        <v>SPI II</v>
      </c>
      <c r="H151" t="s">
        <v>19</v>
      </c>
      <c r="I151" t="s">
        <v>20</v>
      </c>
      <c r="J151" t="s">
        <v>64</v>
      </c>
      <c r="K151" s="6">
        <v>0.03</v>
      </c>
      <c r="L151" s="7">
        <f t="shared" si="5"/>
        <v>2E-3</v>
      </c>
      <c r="M151" s="7">
        <v>3.0000000000000001E-3</v>
      </c>
      <c r="N151">
        <v>8</v>
      </c>
      <c r="O151" s="8">
        <v>17.934556092922943</v>
      </c>
      <c r="P151" s="9">
        <v>17.934556092922943</v>
      </c>
      <c r="Q151" s="9">
        <v>17.934556092922943</v>
      </c>
      <c r="R151" s="9">
        <v>18.35577997371016</v>
      </c>
      <c r="S151" s="9">
        <v>18.404835306435746</v>
      </c>
      <c r="T151" s="9">
        <v>19.112621008962602</v>
      </c>
      <c r="U151" s="9">
        <v>20.35176903227914</v>
      </c>
      <c r="V151" s="9">
        <v>20.35176903227914</v>
      </c>
      <c r="W151" s="9">
        <v>20.35176903227914</v>
      </c>
      <c r="X151" s="9">
        <v>19.91589544268896</v>
      </c>
      <c r="Y151" s="9">
        <v>19.91589544268896</v>
      </c>
      <c r="Z151" s="9">
        <v>21.609947773831163</v>
      </c>
      <c r="AA151" s="9">
        <v>21.609947773831163</v>
      </c>
      <c r="AB151" s="9">
        <v>23.372671736151272</v>
      </c>
      <c r="AC151" s="9">
        <v>23.372671736151272</v>
      </c>
      <c r="AD151" s="9">
        <v>26.430826810726163</v>
      </c>
      <c r="AE151" s="9">
        <v>27.959768706413232</v>
      </c>
      <c r="AF151" s="9">
        <v>29.772701744670762</v>
      </c>
      <c r="AG151" s="9">
        <v>29.772701744670762</v>
      </c>
      <c r="AH151" s="9">
        <v>32.589351949315954</v>
      </c>
      <c r="AI151" s="9">
        <v>34.825222308406182</v>
      </c>
      <c r="AJ151" s="9">
        <v>3.0428788910505911</v>
      </c>
    </row>
    <row r="152" spans="1:36" x14ac:dyDescent="0.25">
      <c r="A152" t="s">
        <v>5411</v>
      </c>
      <c r="B152" t="s">
        <v>16</v>
      </c>
      <c r="C152" t="s">
        <v>17</v>
      </c>
      <c r="D152">
        <v>12450000</v>
      </c>
      <c r="E152">
        <v>12459999</v>
      </c>
      <c r="F152" t="s">
        <v>107</v>
      </c>
      <c r="G152" t="str">
        <f t="shared" si="4"/>
        <v>SPI II</v>
      </c>
      <c r="H152" t="s">
        <v>19</v>
      </c>
      <c r="I152" t="s">
        <v>20</v>
      </c>
      <c r="J152" t="s">
        <v>64</v>
      </c>
      <c r="K152" s="6">
        <v>0.03</v>
      </c>
      <c r="L152" s="7">
        <f t="shared" si="5"/>
        <v>2E-3</v>
      </c>
      <c r="M152" s="7">
        <v>3.0000000000000001E-3</v>
      </c>
      <c r="N152">
        <v>9</v>
      </c>
      <c r="O152" s="8">
        <v>17.934556092922943</v>
      </c>
      <c r="P152" s="9">
        <v>17.934556092922943</v>
      </c>
      <c r="Q152" s="9">
        <v>17.934556092922943</v>
      </c>
      <c r="R152" s="9">
        <v>18.35577997371016</v>
      </c>
      <c r="S152" s="9">
        <v>18.404835306435746</v>
      </c>
      <c r="T152" s="9">
        <v>19.112621008962602</v>
      </c>
      <c r="U152" s="9">
        <v>20.35176903227914</v>
      </c>
      <c r="V152" s="9">
        <v>20.35176903227914</v>
      </c>
      <c r="W152" s="9">
        <v>20.35176903227914</v>
      </c>
      <c r="X152" s="9">
        <v>19.91589544268896</v>
      </c>
      <c r="Y152" s="9">
        <v>19.91589544268896</v>
      </c>
      <c r="Z152" s="9">
        <v>21.609947773831163</v>
      </c>
      <c r="AA152" s="9">
        <v>21.609947773831163</v>
      </c>
      <c r="AB152" s="9">
        <v>23.372671736151272</v>
      </c>
      <c r="AC152" s="9">
        <v>23.372671736151272</v>
      </c>
      <c r="AD152" s="9">
        <v>26.430826810726163</v>
      </c>
      <c r="AE152" s="9">
        <v>27.959768706413232</v>
      </c>
      <c r="AF152" s="9">
        <v>29.772701744670762</v>
      </c>
      <c r="AG152" s="9">
        <v>29.772701744670762</v>
      </c>
      <c r="AH152" s="9">
        <v>32.589351949315954</v>
      </c>
      <c r="AI152" s="9">
        <v>34.825222308406182</v>
      </c>
      <c r="AJ152" s="9">
        <v>3.0428788910505911</v>
      </c>
    </row>
    <row r="153" spans="1:36" x14ac:dyDescent="0.25">
      <c r="A153" t="s">
        <v>5411</v>
      </c>
      <c r="B153" t="s">
        <v>16</v>
      </c>
      <c r="C153" t="s">
        <v>17</v>
      </c>
      <c r="D153">
        <v>12460000</v>
      </c>
      <c r="E153">
        <v>12489999</v>
      </c>
      <c r="F153" t="s">
        <v>108</v>
      </c>
      <c r="G153" t="str">
        <f t="shared" si="4"/>
        <v>SPI II</v>
      </c>
      <c r="H153" t="s">
        <v>19</v>
      </c>
      <c r="I153" t="s">
        <v>20</v>
      </c>
      <c r="J153" t="s">
        <v>64</v>
      </c>
      <c r="K153" s="6">
        <v>0.03</v>
      </c>
      <c r="L153" s="7">
        <f t="shared" si="5"/>
        <v>2E-3</v>
      </c>
      <c r="M153" s="7">
        <v>3.0000000000000001E-3</v>
      </c>
      <c r="N153">
        <v>9</v>
      </c>
      <c r="O153" s="8">
        <v>17.934556092922943</v>
      </c>
      <c r="P153" s="9">
        <v>17.934556092922943</v>
      </c>
      <c r="Q153" s="9">
        <v>17.934556092922943</v>
      </c>
      <c r="R153" s="9">
        <v>18.35577997371016</v>
      </c>
      <c r="S153" s="9">
        <v>18.404835306435746</v>
      </c>
      <c r="T153" s="9">
        <v>19.112621008962602</v>
      </c>
      <c r="U153" s="9">
        <v>20.35176903227914</v>
      </c>
      <c r="V153" s="9">
        <v>20.35176903227914</v>
      </c>
      <c r="W153" s="9">
        <v>20.35176903227914</v>
      </c>
      <c r="X153" s="9">
        <v>19.91589544268896</v>
      </c>
      <c r="Y153" s="9">
        <v>19.91589544268896</v>
      </c>
      <c r="Z153" s="9">
        <v>21.609947773831163</v>
      </c>
      <c r="AA153" s="9">
        <v>21.609947773831163</v>
      </c>
      <c r="AB153" s="9">
        <v>23.372671736151272</v>
      </c>
      <c r="AC153" s="9">
        <v>23.372671736151272</v>
      </c>
      <c r="AD153" s="9">
        <v>26.430826810726163</v>
      </c>
      <c r="AE153" s="9">
        <v>27.959768706413232</v>
      </c>
      <c r="AF153" s="9">
        <v>29.772701744670762</v>
      </c>
      <c r="AG153" s="9">
        <v>29.772701744670762</v>
      </c>
      <c r="AH153" s="9">
        <v>32.589351949315954</v>
      </c>
      <c r="AI153" s="9">
        <v>34.825222308406182</v>
      </c>
      <c r="AJ153" s="9">
        <v>3.0428788910505911</v>
      </c>
    </row>
    <row r="154" spans="1:36" x14ac:dyDescent="0.25">
      <c r="A154" t="s">
        <v>5411</v>
      </c>
      <c r="B154" t="s">
        <v>16</v>
      </c>
      <c r="C154" t="s">
        <v>17</v>
      </c>
      <c r="D154">
        <v>12490000</v>
      </c>
      <c r="E154">
        <v>12499999</v>
      </c>
      <c r="F154" t="s">
        <v>109</v>
      </c>
      <c r="G154" t="str">
        <f t="shared" si="4"/>
        <v>SPI II</v>
      </c>
      <c r="H154" t="s">
        <v>19</v>
      </c>
      <c r="I154" t="s">
        <v>20</v>
      </c>
      <c r="J154" t="s">
        <v>64</v>
      </c>
      <c r="K154" s="6">
        <v>0.03</v>
      </c>
      <c r="L154" s="7">
        <f t="shared" si="5"/>
        <v>2E-3</v>
      </c>
      <c r="M154" s="7">
        <v>3.0000000000000001E-3</v>
      </c>
      <c r="N154">
        <v>9</v>
      </c>
      <c r="O154" s="8">
        <v>17.934556092922943</v>
      </c>
      <c r="P154" s="9">
        <v>17.934556092922943</v>
      </c>
      <c r="Q154" s="9">
        <v>17.934556092922943</v>
      </c>
      <c r="R154" s="9">
        <v>18.35577997371016</v>
      </c>
      <c r="S154" s="9">
        <v>18.404835306435746</v>
      </c>
      <c r="T154" s="9">
        <v>19.112621008962602</v>
      </c>
      <c r="U154" s="9">
        <v>20.35176903227914</v>
      </c>
      <c r="V154" s="9">
        <v>20.35176903227914</v>
      </c>
      <c r="W154" s="9">
        <v>20.35176903227914</v>
      </c>
      <c r="X154" s="9">
        <v>19.91589544268896</v>
      </c>
      <c r="Y154" s="9">
        <v>19.91589544268896</v>
      </c>
      <c r="Z154" s="9">
        <v>21.609947773831163</v>
      </c>
      <c r="AA154" s="9">
        <v>21.609947773831163</v>
      </c>
      <c r="AB154" s="9">
        <v>23.372671736151272</v>
      </c>
      <c r="AC154" s="9">
        <v>23.372671736151272</v>
      </c>
      <c r="AD154" s="9">
        <v>26.430826810726163</v>
      </c>
      <c r="AE154" s="9">
        <v>27.959768706413232</v>
      </c>
      <c r="AF154" s="9">
        <v>29.772701744670762</v>
      </c>
      <c r="AG154" s="9">
        <v>29.772701744670762</v>
      </c>
      <c r="AH154" s="9">
        <v>32.589351949315954</v>
      </c>
      <c r="AI154" s="9">
        <v>34.825222308406182</v>
      </c>
      <c r="AJ154" s="9">
        <v>3.0428788910505911</v>
      </c>
    </row>
    <row r="155" spans="1:36" x14ac:dyDescent="0.25">
      <c r="A155" t="s">
        <v>5411</v>
      </c>
      <c r="B155" t="s">
        <v>16</v>
      </c>
      <c r="C155" t="s">
        <v>17</v>
      </c>
      <c r="D155">
        <v>12500000</v>
      </c>
      <c r="E155">
        <v>12500999</v>
      </c>
      <c r="F155" t="s">
        <v>110</v>
      </c>
      <c r="G155" t="str">
        <f t="shared" si="4"/>
        <v>SPI</v>
      </c>
      <c r="H155" t="s">
        <v>19</v>
      </c>
      <c r="I155" t="s">
        <v>20</v>
      </c>
      <c r="J155" t="s">
        <v>62</v>
      </c>
      <c r="K155" s="6">
        <v>0.03</v>
      </c>
      <c r="L155" s="7">
        <f t="shared" si="5"/>
        <v>2E-3</v>
      </c>
      <c r="M155" s="7">
        <v>3.0000000000000001E-3</v>
      </c>
      <c r="N155">
        <v>9</v>
      </c>
      <c r="O155" s="8">
        <v>14.260089507934383</v>
      </c>
      <c r="P155" s="9">
        <v>14.260089507934383</v>
      </c>
      <c r="Q155" s="9">
        <v>14.260089507934383</v>
      </c>
      <c r="R155" s="9">
        <v>14.434686024139818</v>
      </c>
      <c r="S155" s="9">
        <v>14.722027102535575</v>
      </c>
      <c r="T155" s="9">
        <v>15.677715915555218</v>
      </c>
      <c r="U155" s="9">
        <v>17.010379604817192</v>
      </c>
      <c r="V155" s="9">
        <v>17.010379604817192</v>
      </c>
      <c r="W155" s="9">
        <v>17.010379604817192</v>
      </c>
      <c r="X155" s="9">
        <v>16.884570568466835</v>
      </c>
      <c r="Y155" s="9">
        <v>16.884570568466835</v>
      </c>
      <c r="Z155" s="9">
        <v>18.617757359760585</v>
      </c>
      <c r="AA155" s="9">
        <v>18.617757359760585</v>
      </c>
      <c r="AB155" s="9">
        <v>20.52292271594289</v>
      </c>
      <c r="AC155" s="9">
        <v>20.52292271594289</v>
      </c>
      <c r="AD155" s="9">
        <v>22.530627040176761</v>
      </c>
      <c r="AE155" s="9">
        <v>24.654059850225856</v>
      </c>
      <c r="AF155" s="9">
        <v>28.622962393602329</v>
      </c>
      <c r="AG155" s="9">
        <v>28.622962393602329</v>
      </c>
      <c r="AH155" s="9">
        <v>31.011605245024167</v>
      </c>
      <c r="AI155" s="9">
        <v>33.330799286496742</v>
      </c>
      <c r="AJ155" s="9">
        <v>3.0428788910505911</v>
      </c>
    </row>
    <row r="156" spans="1:36" x14ac:dyDescent="0.25">
      <c r="A156" t="s">
        <v>5411</v>
      </c>
      <c r="B156" t="s">
        <v>16</v>
      </c>
      <c r="C156" t="s">
        <v>17</v>
      </c>
      <c r="D156">
        <v>12501000</v>
      </c>
      <c r="E156">
        <v>12506019</v>
      </c>
      <c r="F156" t="s">
        <v>110</v>
      </c>
      <c r="G156" t="str">
        <f t="shared" si="4"/>
        <v>SPI II</v>
      </c>
      <c r="H156" t="s">
        <v>19</v>
      </c>
      <c r="I156" t="s">
        <v>20</v>
      </c>
      <c r="J156" t="s">
        <v>64</v>
      </c>
      <c r="K156" s="6">
        <v>0.03</v>
      </c>
      <c r="L156" s="7">
        <f t="shared" si="5"/>
        <v>2E-3</v>
      </c>
      <c r="M156" s="7">
        <v>3.0000000000000001E-3</v>
      </c>
      <c r="N156">
        <v>9</v>
      </c>
      <c r="O156" s="8">
        <v>17.934556092922943</v>
      </c>
      <c r="P156" s="9">
        <v>17.934556092922943</v>
      </c>
      <c r="Q156" s="9">
        <v>17.934556092922943</v>
      </c>
      <c r="R156" s="9">
        <v>18.35577997371016</v>
      </c>
      <c r="S156" s="9">
        <v>18.404835306435746</v>
      </c>
      <c r="T156" s="9">
        <v>19.112621008962602</v>
      </c>
      <c r="U156" s="9">
        <v>20.35176903227914</v>
      </c>
      <c r="V156" s="9">
        <v>20.35176903227914</v>
      </c>
      <c r="W156" s="9">
        <v>20.35176903227914</v>
      </c>
      <c r="X156" s="9">
        <v>19.91589544268896</v>
      </c>
      <c r="Y156" s="9">
        <v>19.91589544268896</v>
      </c>
      <c r="Z156" s="9">
        <v>21.609947773831163</v>
      </c>
      <c r="AA156" s="9">
        <v>21.609947773831163</v>
      </c>
      <c r="AB156" s="9">
        <v>23.372671736151272</v>
      </c>
      <c r="AC156" s="9">
        <v>23.372671736151272</v>
      </c>
      <c r="AD156" s="9">
        <v>26.430826810726163</v>
      </c>
      <c r="AE156" s="9">
        <v>27.959768706413232</v>
      </c>
      <c r="AF156" s="9">
        <v>29.772701744670762</v>
      </c>
      <c r="AG156" s="9">
        <v>29.772701744670762</v>
      </c>
      <c r="AH156" s="9">
        <v>32.589351949315954</v>
      </c>
      <c r="AI156" s="9">
        <v>34.825222308406182</v>
      </c>
      <c r="AJ156" s="9">
        <v>3.0428788910505911</v>
      </c>
    </row>
    <row r="157" spans="1:36" x14ac:dyDescent="0.25">
      <c r="A157" t="s">
        <v>5411</v>
      </c>
      <c r="B157" t="s">
        <v>16</v>
      </c>
      <c r="C157" t="s">
        <v>17</v>
      </c>
      <c r="D157">
        <v>12506020</v>
      </c>
      <c r="E157">
        <v>12524999</v>
      </c>
      <c r="F157" t="s">
        <v>110</v>
      </c>
      <c r="G157" t="str">
        <f t="shared" si="4"/>
        <v>SPI</v>
      </c>
      <c r="H157" t="s">
        <v>19</v>
      </c>
      <c r="I157" t="s">
        <v>20</v>
      </c>
      <c r="J157" t="s">
        <v>62</v>
      </c>
      <c r="K157" s="6">
        <v>0.03</v>
      </c>
      <c r="L157" s="7">
        <f t="shared" si="5"/>
        <v>2E-3</v>
      </c>
      <c r="M157" s="7">
        <v>3.0000000000000001E-3</v>
      </c>
      <c r="N157">
        <v>9</v>
      </c>
      <c r="O157" s="8">
        <v>14.260089507934383</v>
      </c>
      <c r="P157" s="9">
        <v>14.260089507934383</v>
      </c>
      <c r="Q157" s="9">
        <v>14.260089507934383</v>
      </c>
      <c r="R157" s="9">
        <v>14.434686024139818</v>
      </c>
      <c r="S157" s="9">
        <v>14.722027102535575</v>
      </c>
      <c r="T157" s="9">
        <v>15.677715915555218</v>
      </c>
      <c r="U157" s="9">
        <v>17.010379604817192</v>
      </c>
      <c r="V157" s="9">
        <v>17.010379604817192</v>
      </c>
      <c r="W157" s="9">
        <v>17.010379604817192</v>
      </c>
      <c r="X157" s="9">
        <v>16.884570568466835</v>
      </c>
      <c r="Y157" s="9">
        <v>16.884570568466835</v>
      </c>
      <c r="Z157" s="9">
        <v>18.617757359760585</v>
      </c>
      <c r="AA157" s="9">
        <v>18.617757359760585</v>
      </c>
      <c r="AB157" s="9">
        <v>20.52292271594289</v>
      </c>
      <c r="AC157" s="9">
        <v>20.52292271594289</v>
      </c>
      <c r="AD157" s="9">
        <v>22.530627040176761</v>
      </c>
      <c r="AE157" s="9">
        <v>24.654059850225856</v>
      </c>
      <c r="AF157" s="9">
        <v>28.622962393602329</v>
      </c>
      <c r="AG157" s="9">
        <v>28.622962393602329</v>
      </c>
      <c r="AH157" s="9">
        <v>31.011605245024167</v>
      </c>
      <c r="AI157" s="9">
        <v>33.330799286496742</v>
      </c>
      <c r="AJ157" s="9">
        <v>3.0428788910505911</v>
      </c>
    </row>
    <row r="158" spans="1:36" x14ac:dyDescent="0.25">
      <c r="A158" t="s">
        <v>5411</v>
      </c>
      <c r="B158" t="s">
        <v>16</v>
      </c>
      <c r="C158" t="s">
        <v>17</v>
      </c>
      <c r="D158">
        <v>12525000</v>
      </c>
      <c r="E158">
        <v>12529999</v>
      </c>
      <c r="F158" t="s">
        <v>111</v>
      </c>
      <c r="G158" t="str">
        <f t="shared" si="4"/>
        <v>SPR</v>
      </c>
      <c r="H158" t="s">
        <v>19</v>
      </c>
      <c r="I158" t="s">
        <v>20</v>
      </c>
      <c r="J158" t="s">
        <v>77</v>
      </c>
      <c r="K158" s="6">
        <v>0.03</v>
      </c>
      <c r="L158" s="7">
        <f t="shared" si="5"/>
        <v>2E-3</v>
      </c>
      <c r="M158" s="7">
        <v>3.0000000000000001E-3</v>
      </c>
      <c r="N158">
        <v>13</v>
      </c>
      <c r="O158" s="8">
        <v>26.611209830054129</v>
      </c>
      <c r="P158" s="9">
        <v>26.611209830054129</v>
      </c>
      <c r="Q158" s="9">
        <v>26.611209830054129</v>
      </c>
      <c r="R158" s="9">
        <v>27.647760246913514</v>
      </c>
      <c r="S158" s="9">
        <v>28.483539200322319</v>
      </c>
      <c r="T158" s="9">
        <v>29.244822799499698</v>
      </c>
      <c r="U158" s="9">
        <v>31.379671510701762</v>
      </c>
      <c r="V158" s="9">
        <v>31.379671510701762</v>
      </c>
      <c r="W158" s="9">
        <v>31.379671510701762</v>
      </c>
      <c r="X158" s="9">
        <v>34.250510560182867</v>
      </c>
      <c r="Y158" s="9">
        <v>34.250510560182867</v>
      </c>
      <c r="Z158" s="9">
        <v>37.271704438917176</v>
      </c>
      <c r="AA158" s="9">
        <v>37.271704438917176</v>
      </c>
      <c r="AB158" s="9">
        <v>40.458288629830058</v>
      </c>
      <c r="AC158" s="9">
        <v>40.458288629830058</v>
      </c>
      <c r="AD158" s="9">
        <v>43.826802164139323</v>
      </c>
      <c r="AE158" s="9">
        <v>47.523241367157013</v>
      </c>
      <c r="AF158" s="9">
        <v>51.713576824258396</v>
      </c>
      <c r="AG158" s="9">
        <v>51.713576824258396</v>
      </c>
      <c r="AH158" s="9">
        <v>56.658816723629734</v>
      </c>
      <c r="AI158" s="9">
        <v>61.577420347834391</v>
      </c>
      <c r="AJ158" s="9">
        <v>3.0428788910505911</v>
      </c>
    </row>
    <row r="159" spans="1:36" x14ac:dyDescent="0.25">
      <c r="A159" t="s">
        <v>5411</v>
      </c>
      <c r="B159" t="s">
        <v>16</v>
      </c>
      <c r="C159" t="s">
        <v>17</v>
      </c>
      <c r="D159">
        <v>12530000</v>
      </c>
      <c r="E159">
        <v>12569999</v>
      </c>
      <c r="F159" t="s">
        <v>112</v>
      </c>
      <c r="G159" t="str">
        <f t="shared" si="4"/>
        <v>SPI II</v>
      </c>
      <c r="H159" t="s">
        <v>19</v>
      </c>
      <c r="I159" t="s">
        <v>20</v>
      </c>
      <c r="J159" t="s">
        <v>64</v>
      </c>
      <c r="K159" s="6">
        <v>0.03</v>
      </c>
      <c r="L159" s="7">
        <f t="shared" si="5"/>
        <v>2E-3</v>
      </c>
      <c r="M159" s="7">
        <v>3.0000000000000001E-3</v>
      </c>
      <c r="N159">
        <v>9</v>
      </c>
      <c r="O159" s="8">
        <v>17.934556092922943</v>
      </c>
      <c r="P159" s="9">
        <v>17.934556092922943</v>
      </c>
      <c r="Q159" s="9">
        <v>17.934556092922943</v>
      </c>
      <c r="R159" s="9">
        <v>18.35577997371016</v>
      </c>
      <c r="S159" s="9">
        <v>18.404835306435746</v>
      </c>
      <c r="T159" s="9">
        <v>19.112621008962602</v>
      </c>
      <c r="U159" s="9">
        <v>20.35176903227914</v>
      </c>
      <c r="V159" s="9">
        <v>20.35176903227914</v>
      </c>
      <c r="W159" s="9">
        <v>20.35176903227914</v>
      </c>
      <c r="X159" s="9">
        <v>19.91589544268896</v>
      </c>
      <c r="Y159" s="9">
        <v>19.91589544268896</v>
      </c>
      <c r="Z159" s="9">
        <v>21.609947773831163</v>
      </c>
      <c r="AA159" s="9">
        <v>21.609947773831163</v>
      </c>
      <c r="AB159" s="9">
        <v>23.372671736151272</v>
      </c>
      <c r="AC159" s="9">
        <v>23.372671736151272</v>
      </c>
      <c r="AD159" s="9">
        <v>26.430826810726163</v>
      </c>
      <c r="AE159" s="9">
        <v>27.959768706413232</v>
      </c>
      <c r="AF159" s="9">
        <v>29.772701744670762</v>
      </c>
      <c r="AG159" s="9">
        <v>29.772701744670762</v>
      </c>
      <c r="AH159" s="9">
        <v>32.589351949315954</v>
      </c>
      <c r="AI159" s="9">
        <v>34.825222308406182</v>
      </c>
      <c r="AJ159" s="9">
        <v>3.0428788910505911</v>
      </c>
    </row>
    <row r="160" spans="1:36" x14ac:dyDescent="0.25">
      <c r="A160" t="s">
        <v>5411</v>
      </c>
      <c r="B160" t="s">
        <v>16</v>
      </c>
      <c r="C160" t="s">
        <v>17</v>
      </c>
      <c r="D160">
        <v>12570000</v>
      </c>
      <c r="E160">
        <v>12579999</v>
      </c>
      <c r="F160" t="s">
        <v>113</v>
      </c>
      <c r="G160" t="str">
        <f t="shared" si="4"/>
        <v>SPI</v>
      </c>
      <c r="H160" t="s">
        <v>19</v>
      </c>
      <c r="I160" t="s">
        <v>20</v>
      </c>
      <c r="J160" t="s">
        <v>62</v>
      </c>
      <c r="K160" s="6">
        <v>0.03</v>
      </c>
      <c r="L160" s="7">
        <f t="shared" si="5"/>
        <v>2E-3</v>
      </c>
      <c r="M160" s="7">
        <v>3.0000000000000001E-3</v>
      </c>
      <c r="N160">
        <v>8</v>
      </c>
      <c r="O160" s="8">
        <v>14.260089507934383</v>
      </c>
      <c r="P160" s="9">
        <v>14.260089507934383</v>
      </c>
      <c r="Q160" s="9">
        <v>14.260089507934383</v>
      </c>
      <c r="R160" s="9">
        <v>14.434686024139818</v>
      </c>
      <c r="S160" s="9">
        <v>14.722027102535575</v>
      </c>
      <c r="T160" s="9">
        <v>15.677715915555218</v>
      </c>
      <c r="U160" s="9">
        <v>17.010379604817192</v>
      </c>
      <c r="V160" s="9">
        <v>17.010379604817192</v>
      </c>
      <c r="W160" s="9">
        <v>17.010379604817192</v>
      </c>
      <c r="X160" s="9">
        <v>16.884570568466835</v>
      </c>
      <c r="Y160" s="9">
        <v>16.884570568466835</v>
      </c>
      <c r="Z160" s="9">
        <v>18.617757359760585</v>
      </c>
      <c r="AA160" s="9">
        <v>18.617757359760585</v>
      </c>
      <c r="AB160" s="9">
        <v>20.52292271594289</v>
      </c>
      <c r="AC160" s="9">
        <v>20.52292271594289</v>
      </c>
      <c r="AD160" s="9">
        <v>22.530627040176761</v>
      </c>
      <c r="AE160" s="9">
        <v>24.654059850225856</v>
      </c>
      <c r="AF160" s="9">
        <v>28.622962393602329</v>
      </c>
      <c r="AG160" s="9">
        <v>28.622962393602329</v>
      </c>
      <c r="AH160" s="9">
        <v>31.011605245024167</v>
      </c>
      <c r="AI160" s="9">
        <v>33.330799286496742</v>
      </c>
      <c r="AJ160" s="9">
        <v>3.0428788910505911</v>
      </c>
    </row>
    <row r="161" spans="1:36" x14ac:dyDescent="0.25">
      <c r="A161" t="s">
        <v>5411</v>
      </c>
      <c r="B161" t="s">
        <v>16</v>
      </c>
      <c r="C161" t="s">
        <v>17</v>
      </c>
      <c r="D161">
        <v>12580000</v>
      </c>
      <c r="E161">
        <v>12599999</v>
      </c>
      <c r="F161" t="s">
        <v>114</v>
      </c>
      <c r="G161" t="str">
        <f t="shared" si="4"/>
        <v>SPR</v>
      </c>
      <c r="H161" t="s">
        <v>19</v>
      </c>
      <c r="I161" t="s">
        <v>20</v>
      </c>
      <c r="J161" t="s">
        <v>77</v>
      </c>
      <c r="K161" s="6">
        <v>0.03</v>
      </c>
      <c r="L161" s="7">
        <f t="shared" si="5"/>
        <v>2E-3</v>
      </c>
      <c r="M161" s="7">
        <v>3.0000000000000001E-3</v>
      </c>
      <c r="N161">
        <v>13</v>
      </c>
      <c r="O161" s="8">
        <v>26.611209830054129</v>
      </c>
      <c r="P161" s="9">
        <v>26.611209830054129</v>
      </c>
      <c r="Q161" s="9">
        <v>26.611209830054129</v>
      </c>
      <c r="R161" s="9">
        <v>27.647760246913514</v>
      </c>
      <c r="S161" s="9">
        <v>28.483539200322319</v>
      </c>
      <c r="T161" s="9">
        <v>29.244822799499698</v>
      </c>
      <c r="U161" s="9">
        <v>31.379671510701762</v>
      </c>
      <c r="V161" s="9">
        <v>31.379671510701762</v>
      </c>
      <c r="W161" s="9">
        <v>31.379671510701762</v>
      </c>
      <c r="X161" s="9">
        <v>34.250510560182867</v>
      </c>
      <c r="Y161" s="9">
        <v>34.250510560182867</v>
      </c>
      <c r="Z161" s="9">
        <v>37.271704438917176</v>
      </c>
      <c r="AA161" s="9">
        <v>37.271704438917176</v>
      </c>
      <c r="AB161" s="9">
        <v>40.458288629830058</v>
      </c>
      <c r="AC161" s="9">
        <v>40.458288629830058</v>
      </c>
      <c r="AD161" s="9">
        <v>43.826802164139323</v>
      </c>
      <c r="AE161" s="9">
        <v>47.523241367157013</v>
      </c>
      <c r="AF161" s="9">
        <v>51.713576824258396</v>
      </c>
      <c r="AG161" s="9">
        <v>51.713576824258396</v>
      </c>
      <c r="AH161" s="9">
        <v>56.658816723629734</v>
      </c>
      <c r="AI161" s="9">
        <v>61.577420347834391</v>
      </c>
      <c r="AJ161" s="9">
        <v>3.0428788910505911</v>
      </c>
    </row>
    <row r="162" spans="1:36" x14ac:dyDescent="0.25">
      <c r="A162" t="s">
        <v>5411</v>
      </c>
      <c r="B162" t="s">
        <v>16</v>
      </c>
      <c r="C162" t="s">
        <v>17</v>
      </c>
      <c r="D162">
        <v>12600000</v>
      </c>
      <c r="E162">
        <v>12600999</v>
      </c>
      <c r="F162" t="s">
        <v>115</v>
      </c>
      <c r="G162" t="str">
        <f t="shared" si="4"/>
        <v>SPI II</v>
      </c>
      <c r="H162" t="s">
        <v>19</v>
      </c>
      <c r="I162" t="s">
        <v>20</v>
      </c>
      <c r="J162" t="s">
        <v>64</v>
      </c>
      <c r="K162" s="6">
        <v>0.03</v>
      </c>
      <c r="L162" s="7">
        <f t="shared" si="5"/>
        <v>2E-3</v>
      </c>
      <c r="M162" s="7">
        <v>3.0000000000000001E-3</v>
      </c>
      <c r="N162">
        <v>9</v>
      </c>
      <c r="O162" s="8">
        <v>17.934556092922943</v>
      </c>
      <c r="P162" s="9">
        <v>17.934556092922943</v>
      </c>
      <c r="Q162" s="9">
        <v>17.934556092922943</v>
      </c>
      <c r="R162" s="9">
        <v>18.35577997371016</v>
      </c>
      <c r="S162" s="9">
        <v>18.404835306435746</v>
      </c>
      <c r="T162" s="9">
        <v>19.112621008962602</v>
      </c>
      <c r="U162" s="9">
        <v>20.35176903227914</v>
      </c>
      <c r="V162" s="9">
        <v>20.35176903227914</v>
      </c>
      <c r="W162" s="9">
        <v>20.35176903227914</v>
      </c>
      <c r="X162" s="9">
        <v>19.91589544268896</v>
      </c>
      <c r="Y162" s="9">
        <v>19.91589544268896</v>
      </c>
      <c r="Z162" s="9">
        <v>21.609947773831163</v>
      </c>
      <c r="AA162" s="9">
        <v>21.609947773831163</v>
      </c>
      <c r="AB162" s="9">
        <v>23.372671736151272</v>
      </c>
      <c r="AC162" s="9">
        <v>23.372671736151272</v>
      </c>
      <c r="AD162" s="9">
        <v>26.430826810726163</v>
      </c>
      <c r="AE162" s="9">
        <v>27.959768706413232</v>
      </c>
      <c r="AF162" s="9">
        <v>29.772701744670762</v>
      </c>
      <c r="AG162" s="9">
        <v>29.772701744670762</v>
      </c>
      <c r="AH162" s="9">
        <v>32.589351949315954</v>
      </c>
      <c r="AI162" s="9">
        <v>34.825222308406182</v>
      </c>
      <c r="AJ162" s="9">
        <v>3.0428788910505911</v>
      </c>
    </row>
    <row r="163" spans="1:36" x14ac:dyDescent="0.25">
      <c r="A163" t="s">
        <v>5411</v>
      </c>
      <c r="B163" t="s">
        <v>16</v>
      </c>
      <c r="C163" t="s">
        <v>17</v>
      </c>
      <c r="D163">
        <v>12601000</v>
      </c>
      <c r="E163">
        <v>12614999</v>
      </c>
      <c r="F163" t="s">
        <v>115</v>
      </c>
      <c r="G163" t="str">
        <f t="shared" si="4"/>
        <v>SPI II</v>
      </c>
      <c r="H163" t="s">
        <v>19</v>
      </c>
      <c r="I163" t="s">
        <v>20</v>
      </c>
      <c r="J163" t="s">
        <v>64</v>
      </c>
      <c r="K163" s="6">
        <v>0.03</v>
      </c>
      <c r="L163" s="7">
        <f t="shared" si="5"/>
        <v>2E-3</v>
      </c>
      <c r="M163" s="7">
        <v>3.0000000000000001E-3</v>
      </c>
      <c r="N163">
        <v>9</v>
      </c>
      <c r="O163" s="8">
        <v>17.934556092922943</v>
      </c>
      <c r="P163" s="9">
        <v>17.934556092922943</v>
      </c>
      <c r="Q163" s="9">
        <v>17.934556092922943</v>
      </c>
      <c r="R163" s="9">
        <v>18.35577997371016</v>
      </c>
      <c r="S163" s="9">
        <v>18.404835306435746</v>
      </c>
      <c r="T163" s="9">
        <v>19.112621008962602</v>
      </c>
      <c r="U163" s="9">
        <v>20.35176903227914</v>
      </c>
      <c r="V163" s="9">
        <v>20.35176903227914</v>
      </c>
      <c r="W163" s="9">
        <v>20.35176903227914</v>
      </c>
      <c r="X163" s="9">
        <v>19.91589544268896</v>
      </c>
      <c r="Y163" s="9">
        <v>19.91589544268896</v>
      </c>
      <c r="Z163" s="9">
        <v>21.609947773831163</v>
      </c>
      <c r="AA163" s="9">
        <v>21.609947773831163</v>
      </c>
      <c r="AB163" s="9">
        <v>23.372671736151272</v>
      </c>
      <c r="AC163" s="9">
        <v>23.372671736151272</v>
      </c>
      <c r="AD163" s="9">
        <v>26.430826810726163</v>
      </c>
      <c r="AE163" s="9">
        <v>27.959768706413232</v>
      </c>
      <c r="AF163" s="9">
        <v>29.772701744670762</v>
      </c>
      <c r="AG163" s="9">
        <v>29.772701744670762</v>
      </c>
      <c r="AH163" s="9">
        <v>32.589351949315954</v>
      </c>
      <c r="AI163" s="9">
        <v>34.825222308406182</v>
      </c>
      <c r="AJ163" s="9">
        <v>3.0428788910505911</v>
      </c>
    </row>
    <row r="164" spans="1:36" x14ac:dyDescent="0.25">
      <c r="A164" t="s">
        <v>5411</v>
      </c>
      <c r="B164" t="s">
        <v>16</v>
      </c>
      <c r="C164" t="s">
        <v>17</v>
      </c>
      <c r="D164">
        <v>12615000</v>
      </c>
      <c r="E164">
        <v>12619999</v>
      </c>
      <c r="F164" t="s">
        <v>116</v>
      </c>
      <c r="G164" t="str">
        <f t="shared" si="4"/>
        <v>SPI II</v>
      </c>
      <c r="H164" t="s">
        <v>19</v>
      </c>
      <c r="I164" t="s">
        <v>20</v>
      </c>
      <c r="J164" t="s">
        <v>64</v>
      </c>
      <c r="K164" s="6">
        <v>0.03</v>
      </c>
      <c r="L164" s="7">
        <f t="shared" si="5"/>
        <v>2E-3</v>
      </c>
      <c r="M164" s="7">
        <v>3.0000000000000001E-3</v>
      </c>
      <c r="N164">
        <v>9</v>
      </c>
      <c r="O164" s="8">
        <v>17.934556092922943</v>
      </c>
      <c r="P164" s="9">
        <v>17.934556092922943</v>
      </c>
      <c r="Q164" s="9">
        <v>17.934556092922943</v>
      </c>
      <c r="R164" s="9">
        <v>18.35577997371016</v>
      </c>
      <c r="S164" s="9">
        <v>18.404835306435746</v>
      </c>
      <c r="T164" s="9">
        <v>19.112621008962602</v>
      </c>
      <c r="U164" s="9">
        <v>20.35176903227914</v>
      </c>
      <c r="V164" s="9">
        <v>20.35176903227914</v>
      </c>
      <c r="W164" s="9">
        <v>20.35176903227914</v>
      </c>
      <c r="X164" s="9">
        <v>19.91589544268896</v>
      </c>
      <c r="Y164" s="9">
        <v>19.91589544268896</v>
      </c>
      <c r="Z164" s="9">
        <v>21.609947773831163</v>
      </c>
      <c r="AA164" s="9">
        <v>21.609947773831163</v>
      </c>
      <c r="AB164" s="9">
        <v>23.372671736151272</v>
      </c>
      <c r="AC164" s="9">
        <v>23.372671736151272</v>
      </c>
      <c r="AD164" s="9">
        <v>26.430826810726163</v>
      </c>
      <c r="AE164" s="9">
        <v>27.959768706413232</v>
      </c>
      <c r="AF164" s="9">
        <v>29.772701744670762</v>
      </c>
      <c r="AG164" s="9">
        <v>29.772701744670762</v>
      </c>
      <c r="AH164" s="9">
        <v>32.589351949315954</v>
      </c>
      <c r="AI164" s="9">
        <v>34.825222308406182</v>
      </c>
      <c r="AJ164" s="9">
        <v>3.0428788910505911</v>
      </c>
    </row>
    <row r="165" spans="1:36" x14ac:dyDescent="0.25">
      <c r="A165" t="s">
        <v>5411</v>
      </c>
      <c r="B165" t="s">
        <v>16</v>
      </c>
      <c r="C165" t="s">
        <v>17</v>
      </c>
      <c r="D165">
        <v>12620000</v>
      </c>
      <c r="E165">
        <v>12629999</v>
      </c>
      <c r="F165" t="s">
        <v>117</v>
      </c>
      <c r="G165" t="str">
        <f t="shared" si="4"/>
        <v>SPI II</v>
      </c>
      <c r="H165" t="s">
        <v>19</v>
      </c>
      <c r="I165" t="s">
        <v>20</v>
      </c>
      <c r="J165" t="s">
        <v>64</v>
      </c>
      <c r="K165" s="6">
        <v>0.03</v>
      </c>
      <c r="L165" s="7">
        <f t="shared" si="5"/>
        <v>2E-3</v>
      </c>
      <c r="M165" s="7">
        <v>3.0000000000000001E-3</v>
      </c>
      <c r="N165">
        <v>9</v>
      </c>
      <c r="O165" s="8">
        <v>17.934556092922943</v>
      </c>
      <c r="P165" s="9">
        <v>17.934556092922943</v>
      </c>
      <c r="Q165" s="9">
        <v>17.934556092922943</v>
      </c>
      <c r="R165" s="9">
        <v>18.35577997371016</v>
      </c>
      <c r="S165" s="9">
        <v>18.404835306435746</v>
      </c>
      <c r="T165" s="9">
        <v>19.112621008962602</v>
      </c>
      <c r="U165" s="9">
        <v>20.35176903227914</v>
      </c>
      <c r="V165" s="9">
        <v>20.35176903227914</v>
      </c>
      <c r="W165" s="9">
        <v>20.35176903227914</v>
      </c>
      <c r="X165" s="9">
        <v>19.91589544268896</v>
      </c>
      <c r="Y165" s="9">
        <v>19.91589544268896</v>
      </c>
      <c r="Z165" s="9">
        <v>21.609947773831163</v>
      </c>
      <c r="AA165" s="9">
        <v>21.609947773831163</v>
      </c>
      <c r="AB165" s="9">
        <v>23.372671736151272</v>
      </c>
      <c r="AC165" s="9">
        <v>23.372671736151272</v>
      </c>
      <c r="AD165" s="9">
        <v>26.430826810726163</v>
      </c>
      <c r="AE165" s="9">
        <v>27.959768706413232</v>
      </c>
      <c r="AF165" s="9">
        <v>29.772701744670762</v>
      </c>
      <c r="AG165" s="9">
        <v>29.772701744670762</v>
      </c>
      <c r="AH165" s="9">
        <v>32.589351949315954</v>
      </c>
      <c r="AI165" s="9">
        <v>34.825222308406182</v>
      </c>
      <c r="AJ165" s="9">
        <v>3.0428788910505911</v>
      </c>
    </row>
    <row r="166" spans="1:36" x14ac:dyDescent="0.25">
      <c r="A166" t="s">
        <v>5411</v>
      </c>
      <c r="B166" t="s">
        <v>16</v>
      </c>
      <c r="C166" t="s">
        <v>17</v>
      </c>
      <c r="D166">
        <v>12630000</v>
      </c>
      <c r="E166">
        <v>12689999</v>
      </c>
      <c r="F166" t="s">
        <v>118</v>
      </c>
      <c r="G166" t="str">
        <f t="shared" si="4"/>
        <v>SPI II</v>
      </c>
      <c r="H166" t="s">
        <v>19</v>
      </c>
      <c r="I166" t="s">
        <v>20</v>
      </c>
      <c r="J166" t="s">
        <v>64</v>
      </c>
      <c r="K166" s="6">
        <v>0.03</v>
      </c>
      <c r="L166" s="7">
        <f t="shared" si="5"/>
        <v>2E-3</v>
      </c>
      <c r="M166" s="7">
        <v>3.0000000000000001E-3</v>
      </c>
      <c r="N166">
        <v>9</v>
      </c>
      <c r="O166" s="8">
        <v>17.934556092922943</v>
      </c>
      <c r="P166" s="9">
        <v>17.934556092922943</v>
      </c>
      <c r="Q166" s="9">
        <v>17.934556092922943</v>
      </c>
      <c r="R166" s="9">
        <v>18.35577997371016</v>
      </c>
      <c r="S166" s="9">
        <v>18.404835306435746</v>
      </c>
      <c r="T166" s="9">
        <v>19.112621008962602</v>
      </c>
      <c r="U166" s="9">
        <v>20.35176903227914</v>
      </c>
      <c r="V166" s="9">
        <v>20.35176903227914</v>
      </c>
      <c r="W166" s="9">
        <v>20.35176903227914</v>
      </c>
      <c r="X166" s="9">
        <v>19.91589544268896</v>
      </c>
      <c r="Y166" s="9">
        <v>19.91589544268896</v>
      </c>
      <c r="Z166" s="9">
        <v>21.609947773831163</v>
      </c>
      <c r="AA166" s="9">
        <v>21.609947773831163</v>
      </c>
      <c r="AB166" s="9">
        <v>23.372671736151272</v>
      </c>
      <c r="AC166" s="9">
        <v>23.372671736151272</v>
      </c>
      <c r="AD166" s="9">
        <v>26.430826810726163</v>
      </c>
      <c r="AE166" s="9">
        <v>27.959768706413232</v>
      </c>
      <c r="AF166" s="9">
        <v>29.772701744670762</v>
      </c>
      <c r="AG166" s="9">
        <v>29.772701744670762</v>
      </c>
      <c r="AH166" s="9">
        <v>32.589351949315954</v>
      </c>
      <c r="AI166" s="9">
        <v>34.825222308406182</v>
      </c>
      <c r="AJ166" s="9">
        <v>3.0428788910505911</v>
      </c>
    </row>
    <row r="167" spans="1:36" x14ac:dyDescent="0.25">
      <c r="A167" t="s">
        <v>5411</v>
      </c>
      <c r="B167" t="s">
        <v>16</v>
      </c>
      <c r="C167" t="s">
        <v>17</v>
      </c>
      <c r="D167">
        <v>12690000</v>
      </c>
      <c r="E167">
        <v>12699999</v>
      </c>
      <c r="F167" t="s">
        <v>119</v>
      </c>
      <c r="G167" t="str">
        <f t="shared" si="4"/>
        <v>SPI II</v>
      </c>
      <c r="H167" t="s">
        <v>19</v>
      </c>
      <c r="I167" t="s">
        <v>20</v>
      </c>
      <c r="J167" t="s">
        <v>64</v>
      </c>
      <c r="K167" s="6">
        <v>0.03</v>
      </c>
      <c r="L167" s="7">
        <f t="shared" si="5"/>
        <v>2E-3</v>
      </c>
      <c r="M167" s="7">
        <v>3.0000000000000001E-3</v>
      </c>
      <c r="N167">
        <v>9</v>
      </c>
      <c r="O167" s="8">
        <v>17.934556092922943</v>
      </c>
      <c r="P167" s="9">
        <v>17.934556092922943</v>
      </c>
      <c r="Q167" s="9">
        <v>17.934556092922943</v>
      </c>
      <c r="R167" s="9">
        <v>18.35577997371016</v>
      </c>
      <c r="S167" s="9">
        <v>18.404835306435746</v>
      </c>
      <c r="T167" s="9">
        <v>19.112621008962602</v>
      </c>
      <c r="U167" s="9">
        <v>20.35176903227914</v>
      </c>
      <c r="V167" s="9">
        <v>20.35176903227914</v>
      </c>
      <c r="W167" s="9">
        <v>20.35176903227914</v>
      </c>
      <c r="X167" s="9">
        <v>19.91589544268896</v>
      </c>
      <c r="Y167" s="9">
        <v>19.91589544268896</v>
      </c>
      <c r="Z167" s="9">
        <v>21.609947773831163</v>
      </c>
      <c r="AA167" s="9">
        <v>21.609947773831163</v>
      </c>
      <c r="AB167" s="9">
        <v>23.372671736151272</v>
      </c>
      <c r="AC167" s="9">
        <v>23.372671736151272</v>
      </c>
      <c r="AD167" s="9">
        <v>26.430826810726163</v>
      </c>
      <c r="AE167" s="9">
        <v>27.959768706413232</v>
      </c>
      <c r="AF167" s="9">
        <v>29.772701744670762</v>
      </c>
      <c r="AG167" s="9">
        <v>29.772701744670762</v>
      </c>
      <c r="AH167" s="9">
        <v>32.589351949315954</v>
      </c>
      <c r="AI167" s="9">
        <v>34.825222308406182</v>
      </c>
      <c r="AJ167" s="9">
        <v>3.0428788910505911</v>
      </c>
    </row>
    <row r="168" spans="1:36" x14ac:dyDescent="0.25">
      <c r="A168" t="s">
        <v>5411</v>
      </c>
      <c r="B168" t="s">
        <v>16</v>
      </c>
      <c r="C168" t="s">
        <v>17</v>
      </c>
      <c r="D168">
        <v>12700000</v>
      </c>
      <c r="E168">
        <v>12701999</v>
      </c>
      <c r="F168" t="s">
        <v>120</v>
      </c>
      <c r="G168" t="str">
        <f t="shared" si="4"/>
        <v>SPI II</v>
      </c>
      <c r="H168" t="s">
        <v>19</v>
      </c>
      <c r="I168" t="s">
        <v>20</v>
      </c>
      <c r="J168" t="s">
        <v>64</v>
      </c>
      <c r="K168" s="6">
        <v>0.03</v>
      </c>
      <c r="L168" s="7">
        <f t="shared" si="5"/>
        <v>2E-3</v>
      </c>
      <c r="M168" s="7">
        <v>3.0000000000000001E-3</v>
      </c>
      <c r="N168">
        <v>9</v>
      </c>
      <c r="O168" s="8">
        <v>17.934556092922943</v>
      </c>
      <c r="P168" s="9">
        <v>17.934556092922943</v>
      </c>
      <c r="Q168" s="9">
        <v>17.934556092922943</v>
      </c>
      <c r="R168" s="9">
        <v>18.35577997371016</v>
      </c>
      <c r="S168" s="9">
        <v>18.404835306435746</v>
      </c>
      <c r="T168" s="9">
        <v>19.112621008962602</v>
      </c>
      <c r="U168" s="9">
        <v>20.35176903227914</v>
      </c>
      <c r="V168" s="9">
        <v>20.35176903227914</v>
      </c>
      <c r="W168" s="9">
        <v>20.35176903227914</v>
      </c>
      <c r="X168" s="9">
        <v>19.91589544268896</v>
      </c>
      <c r="Y168" s="9">
        <v>19.91589544268896</v>
      </c>
      <c r="Z168" s="9">
        <v>21.609947773831163</v>
      </c>
      <c r="AA168" s="9">
        <v>21.609947773831163</v>
      </c>
      <c r="AB168" s="9">
        <v>23.372671736151272</v>
      </c>
      <c r="AC168" s="9">
        <v>23.372671736151272</v>
      </c>
      <c r="AD168" s="9">
        <v>26.430826810726163</v>
      </c>
      <c r="AE168" s="9">
        <v>27.959768706413232</v>
      </c>
      <c r="AF168" s="9">
        <v>29.772701744670762</v>
      </c>
      <c r="AG168" s="9">
        <v>29.772701744670762</v>
      </c>
      <c r="AH168" s="9">
        <v>32.589351949315954</v>
      </c>
      <c r="AI168" s="9">
        <v>34.825222308406182</v>
      </c>
      <c r="AJ168" s="9">
        <v>3.0428788910505911</v>
      </c>
    </row>
    <row r="169" spans="1:36" x14ac:dyDescent="0.25">
      <c r="A169" t="s">
        <v>5411</v>
      </c>
      <c r="B169" t="s">
        <v>16</v>
      </c>
      <c r="C169" t="s">
        <v>17</v>
      </c>
      <c r="D169">
        <v>12702000</v>
      </c>
      <c r="E169">
        <v>12759999</v>
      </c>
      <c r="F169" t="s">
        <v>120</v>
      </c>
      <c r="G169" t="str">
        <f t="shared" si="4"/>
        <v>SPI II</v>
      </c>
      <c r="H169" t="s">
        <v>19</v>
      </c>
      <c r="I169" t="s">
        <v>20</v>
      </c>
      <c r="J169" t="s">
        <v>64</v>
      </c>
      <c r="K169" s="6">
        <v>0.03</v>
      </c>
      <c r="L169" s="7">
        <f t="shared" si="5"/>
        <v>2E-3</v>
      </c>
      <c r="M169" s="7">
        <v>3.0000000000000001E-3</v>
      </c>
      <c r="N169">
        <v>9</v>
      </c>
      <c r="O169" s="8">
        <v>17.934556092922943</v>
      </c>
      <c r="P169" s="9">
        <v>17.934556092922943</v>
      </c>
      <c r="Q169" s="9">
        <v>17.934556092922943</v>
      </c>
      <c r="R169" s="9">
        <v>18.35577997371016</v>
      </c>
      <c r="S169" s="9">
        <v>18.404835306435746</v>
      </c>
      <c r="T169" s="9">
        <v>19.112621008962602</v>
      </c>
      <c r="U169" s="9">
        <v>20.35176903227914</v>
      </c>
      <c r="V169" s="9">
        <v>20.35176903227914</v>
      </c>
      <c r="W169" s="9">
        <v>20.35176903227914</v>
      </c>
      <c r="X169" s="9">
        <v>19.91589544268896</v>
      </c>
      <c r="Y169" s="9">
        <v>19.91589544268896</v>
      </c>
      <c r="Z169" s="9">
        <v>21.609947773831163</v>
      </c>
      <c r="AA169" s="9">
        <v>21.609947773831163</v>
      </c>
      <c r="AB169" s="9">
        <v>23.372671736151272</v>
      </c>
      <c r="AC169" s="9">
        <v>23.372671736151272</v>
      </c>
      <c r="AD169" s="9">
        <v>26.430826810726163</v>
      </c>
      <c r="AE169" s="9">
        <v>27.959768706413232</v>
      </c>
      <c r="AF169" s="9">
        <v>29.772701744670762</v>
      </c>
      <c r="AG169" s="9">
        <v>29.772701744670762</v>
      </c>
      <c r="AH169" s="9">
        <v>32.589351949315954</v>
      </c>
      <c r="AI169" s="9">
        <v>34.825222308406182</v>
      </c>
      <c r="AJ169" s="9">
        <v>3.0428788910505911</v>
      </c>
    </row>
    <row r="170" spans="1:36" x14ac:dyDescent="0.25">
      <c r="A170" t="s">
        <v>5411</v>
      </c>
      <c r="B170" t="s">
        <v>16</v>
      </c>
      <c r="C170" t="s">
        <v>17</v>
      </c>
      <c r="D170">
        <v>12760000</v>
      </c>
      <c r="E170">
        <v>12799999</v>
      </c>
      <c r="F170" t="s">
        <v>121</v>
      </c>
      <c r="G170" t="str">
        <f t="shared" si="4"/>
        <v>SPI II</v>
      </c>
      <c r="H170" t="s">
        <v>19</v>
      </c>
      <c r="I170" t="s">
        <v>20</v>
      </c>
      <c r="J170" t="s">
        <v>64</v>
      </c>
      <c r="K170" s="6">
        <v>0.03</v>
      </c>
      <c r="L170" s="7">
        <f t="shared" si="5"/>
        <v>2E-3</v>
      </c>
      <c r="M170" s="7">
        <v>3.0000000000000001E-3</v>
      </c>
      <c r="N170">
        <v>9</v>
      </c>
      <c r="O170" s="8">
        <v>17.934556092922943</v>
      </c>
      <c r="P170" s="9">
        <v>17.934556092922943</v>
      </c>
      <c r="Q170" s="9">
        <v>17.934556092922943</v>
      </c>
      <c r="R170" s="9">
        <v>18.35577997371016</v>
      </c>
      <c r="S170" s="9">
        <v>18.404835306435746</v>
      </c>
      <c r="T170" s="9">
        <v>19.112621008962602</v>
      </c>
      <c r="U170" s="9">
        <v>20.35176903227914</v>
      </c>
      <c r="V170" s="9">
        <v>20.35176903227914</v>
      </c>
      <c r="W170" s="9">
        <v>20.35176903227914</v>
      </c>
      <c r="X170" s="9">
        <v>19.91589544268896</v>
      </c>
      <c r="Y170" s="9">
        <v>19.91589544268896</v>
      </c>
      <c r="Z170" s="9">
        <v>21.609947773831163</v>
      </c>
      <c r="AA170" s="9">
        <v>21.609947773831163</v>
      </c>
      <c r="AB170" s="9">
        <v>23.372671736151272</v>
      </c>
      <c r="AC170" s="9">
        <v>23.372671736151272</v>
      </c>
      <c r="AD170" s="9">
        <v>26.430826810726163</v>
      </c>
      <c r="AE170" s="9">
        <v>27.959768706413232</v>
      </c>
      <c r="AF170" s="9">
        <v>29.772701744670762</v>
      </c>
      <c r="AG170" s="9">
        <v>29.772701744670762</v>
      </c>
      <c r="AH170" s="9">
        <v>32.589351949315954</v>
      </c>
      <c r="AI170" s="9">
        <v>34.825222308406182</v>
      </c>
      <c r="AJ170" s="9">
        <v>3.0428788910505911</v>
      </c>
    </row>
    <row r="171" spans="1:36" x14ac:dyDescent="0.25">
      <c r="A171" t="s">
        <v>5411</v>
      </c>
      <c r="B171" t="s">
        <v>16</v>
      </c>
      <c r="C171" t="s">
        <v>17</v>
      </c>
      <c r="D171">
        <v>12800000</v>
      </c>
      <c r="E171">
        <v>12819999</v>
      </c>
      <c r="F171" t="s">
        <v>122</v>
      </c>
      <c r="G171" t="str">
        <f t="shared" si="4"/>
        <v>SPI II</v>
      </c>
      <c r="H171" t="s">
        <v>19</v>
      </c>
      <c r="I171" t="s">
        <v>20</v>
      </c>
      <c r="J171" t="s">
        <v>64</v>
      </c>
      <c r="K171" s="6">
        <v>0.03</v>
      </c>
      <c r="L171" s="7">
        <f t="shared" si="5"/>
        <v>2E-3</v>
      </c>
      <c r="M171" s="7">
        <v>3.0000000000000001E-3</v>
      </c>
      <c r="N171">
        <v>9</v>
      </c>
      <c r="O171" s="8">
        <v>17.934556092922943</v>
      </c>
      <c r="P171" s="9">
        <v>17.934556092922943</v>
      </c>
      <c r="Q171" s="9">
        <v>17.934556092922943</v>
      </c>
      <c r="R171" s="9">
        <v>18.35577997371016</v>
      </c>
      <c r="S171" s="9">
        <v>18.404835306435746</v>
      </c>
      <c r="T171" s="9">
        <v>19.112621008962602</v>
      </c>
      <c r="U171" s="9">
        <v>20.35176903227914</v>
      </c>
      <c r="V171" s="9">
        <v>20.35176903227914</v>
      </c>
      <c r="W171" s="9">
        <v>20.35176903227914</v>
      </c>
      <c r="X171" s="9">
        <v>19.91589544268896</v>
      </c>
      <c r="Y171" s="9">
        <v>19.91589544268896</v>
      </c>
      <c r="Z171" s="9">
        <v>21.609947773831163</v>
      </c>
      <c r="AA171" s="9">
        <v>21.609947773831163</v>
      </c>
      <c r="AB171" s="9">
        <v>23.372671736151272</v>
      </c>
      <c r="AC171" s="9">
        <v>23.372671736151272</v>
      </c>
      <c r="AD171" s="9">
        <v>26.430826810726163</v>
      </c>
      <c r="AE171" s="9">
        <v>27.959768706413232</v>
      </c>
      <c r="AF171" s="9">
        <v>29.772701744670762</v>
      </c>
      <c r="AG171" s="9">
        <v>29.772701744670762</v>
      </c>
      <c r="AH171" s="9">
        <v>32.589351949315954</v>
      </c>
      <c r="AI171" s="9">
        <v>34.825222308406182</v>
      </c>
      <c r="AJ171" s="9">
        <v>3.0428788910505911</v>
      </c>
    </row>
    <row r="172" spans="1:36" x14ac:dyDescent="0.25">
      <c r="A172" t="s">
        <v>5411</v>
      </c>
      <c r="B172" t="s">
        <v>16</v>
      </c>
      <c r="C172" t="s">
        <v>17</v>
      </c>
      <c r="D172">
        <v>12820000</v>
      </c>
      <c r="E172">
        <v>12829999</v>
      </c>
      <c r="F172" t="s">
        <v>123</v>
      </c>
      <c r="G172" t="str">
        <f t="shared" si="4"/>
        <v>SPI II</v>
      </c>
      <c r="H172" t="s">
        <v>19</v>
      </c>
      <c r="I172" t="s">
        <v>20</v>
      </c>
      <c r="J172" t="s">
        <v>64</v>
      </c>
      <c r="K172" s="6">
        <v>0.03</v>
      </c>
      <c r="L172" s="7">
        <f t="shared" si="5"/>
        <v>2E-3</v>
      </c>
      <c r="M172" s="7">
        <v>3.0000000000000001E-3</v>
      </c>
      <c r="N172">
        <v>9</v>
      </c>
      <c r="O172" s="8">
        <v>17.934556092922943</v>
      </c>
      <c r="P172" s="9">
        <v>17.934556092922943</v>
      </c>
      <c r="Q172" s="9">
        <v>17.934556092922943</v>
      </c>
      <c r="R172" s="9">
        <v>18.35577997371016</v>
      </c>
      <c r="S172" s="9">
        <v>18.404835306435746</v>
      </c>
      <c r="T172" s="9">
        <v>19.112621008962602</v>
      </c>
      <c r="U172" s="9">
        <v>20.35176903227914</v>
      </c>
      <c r="V172" s="9">
        <v>20.35176903227914</v>
      </c>
      <c r="W172" s="9">
        <v>20.35176903227914</v>
      </c>
      <c r="X172" s="9">
        <v>19.91589544268896</v>
      </c>
      <c r="Y172" s="9">
        <v>19.91589544268896</v>
      </c>
      <c r="Z172" s="9">
        <v>21.609947773831163</v>
      </c>
      <c r="AA172" s="9">
        <v>21.609947773831163</v>
      </c>
      <c r="AB172" s="9">
        <v>23.372671736151272</v>
      </c>
      <c r="AC172" s="9">
        <v>23.372671736151272</v>
      </c>
      <c r="AD172" s="9">
        <v>26.430826810726163</v>
      </c>
      <c r="AE172" s="9">
        <v>27.959768706413232</v>
      </c>
      <c r="AF172" s="9">
        <v>29.772701744670762</v>
      </c>
      <c r="AG172" s="9">
        <v>29.772701744670762</v>
      </c>
      <c r="AH172" s="9">
        <v>32.589351949315954</v>
      </c>
      <c r="AI172" s="9">
        <v>34.825222308406182</v>
      </c>
      <c r="AJ172" s="9">
        <v>3.0428788910505911</v>
      </c>
    </row>
    <row r="173" spans="1:36" x14ac:dyDescent="0.25">
      <c r="A173" t="s">
        <v>5411</v>
      </c>
      <c r="B173" t="s">
        <v>16</v>
      </c>
      <c r="C173" t="s">
        <v>17</v>
      </c>
      <c r="D173">
        <v>12830000</v>
      </c>
      <c r="E173">
        <v>12849999</v>
      </c>
      <c r="F173" t="s">
        <v>124</v>
      </c>
      <c r="G173" t="str">
        <f t="shared" si="4"/>
        <v>SPI II</v>
      </c>
      <c r="H173" t="s">
        <v>19</v>
      </c>
      <c r="I173" t="s">
        <v>20</v>
      </c>
      <c r="J173" t="s">
        <v>64</v>
      </c>
      <c r="K173" s="6">
        <v>0.03</v>
      </c>
      <c r="L173" s="7">
        <f t="shared" si="5"/>
        <v>2E-3</v>
      </c>
      <c r="M173" s="7">
        <v>3.0000000000000001E-3</v>
      </c>
      <c r="N173">
        <v>9</v>
      </c>
      <c r="O173" s="8">
        <v>17.934556092922943</v>
      </c>
      <c r="P173" s="9">
        <v>17.934556092922943</v>
      </c>
      <c r="Q173" s="9">
        <v>17.934556092922943</v>
      </c>
      <c r="R173" s="9">
        <v>18.35577997371016</v>
      </c>
      <c r="S173" s="9">
        <v>18.404835306435746</v>
      </c>
      <c r="T173" s="9">
        <v>19.112621008962602</v>
      </c>
      <c r="U173" s="9">
        <v>20.35176903227914</v>
      </c>
      <c r="V173" s="9">
        <v>20.35176903227914</v>
      </c>
      <c r="W173" s="9">
        <v>20.35176903227914</v>
      </c>
      <c r="X173" s="9">
        <v>19.91589544268896</v>
      </c>
      <c r="Y173" s="9">
        <v>19.91589544268896</v>
      </c>
      <c r="Z173" s="9">
        <v>21.609947773831163</v>
      </c>
      <c r="AA173" s="9">
        <v>21.609947773831163</v>
      </c>
      <c r="AB173" s="9">
        <v>23.372671736151272</v>
      </c>
      <c r="AC173" s="9">
        <v>23.372671736151272</v>
      </c>
      <c r="AD173" s="9">
        <v>26.430826810726163</v>
      </c>
      <c r="AE173" s="9">
        <v>27.959768706413232</v>
      </c>
      <c r="AF173" s="9">
        <v>29.772701744670762</v>
      </c>
      <c r="AG173" s="9">
        <v>29.772701744670762</v>
      </c>
      <c r="AH173" s="9">
        <v>32.589351949315954</v>
      </c>
      <c r="AI173" s="9">
        <v>34.825222308406182</v>
      </c>
      <c r="AJ173" s="9">
        <v>3.0428788910505911</v>
      </c>
    </row>
    <row r="174" spans="1:36" x14ac:dyDescent="0.25">
      <c r="A174" t="s">
        <v>5411</v>
      </c>
      <c r="B174" t="s">
        <v>16</v>
      </c>
      <c r="C174" t="s">
        <v>17</v>
      </c>
      <c r="D174">
        <v>12850000</v>
      </c>
      <c r="E174">
        <v>12869999</v>
      </c>
      <c r="F174" t="s">
        <v>125</v>
      </c>
      <c r="G174" t="str">
        <f t="shared" si="4"/>
        <v>SPI II</v>
      </c>
      <c r="H174" t="s">
        <v>19</v>
      </c>
      <c r="I174" t="s">
        <v>20</v>
      </c>
      <c r="J174" t="s">
        <v>64</v>
      </c>
      <c r="K174" s="6">
        <v>0.03</v>
      </c>
      <c r="L174" s="7">
        <f t="shared" si="5"/>
        <v>2E-3</v>
      </c>
      <c r="M174" s="7">
        <v>3.0000000000000001E-3</v>
      </c>
      <c r="N174">
        <v>9</v>
      </c>
      <c r="O174" s="8">
        <v>17.934556092922943</v>
      </c>
      <c r="P174" s="9">
        <v>17.934556092922943</v>
      </c>
      <c r="Q174" s="9">
        <v>17.934556092922943</v>
      </c>
      <c r="R174" s="9">
        <v>18.35577997371016</v>
      </c>
      <c r="S174" s="9">
        <v>18.404835306435746</v>
      </c>
      <c r="T174" s="9">
        <v>19.112621008962602</v>
      </c>
      <c r="U174" s="9">
        <v>20.35176903227914</v>
      </c>
      <c r="V174" s="9">
        <v>20.35176903227914</v>
      </c>
      <c r="W174" s="9">
        <v>20.35176903227914</v>
      </c>
      <c r="X174" s="9">
        <v>19.91589544268896</v>
      </c>
      <c r="Y174" s="9">
        <v>19.91589544268896</v>
      </c>
      <c r="Z174" s="9">
        <v>21.609947773831163</v>
      </c>
      <c r="AA174" s="9">
        <v>21.609947773831163</v>
      </c>
      <c r="AB174" s="9">
        <v>23.372671736151272</v>
      </c>
      <c r="AC174" s="9">
        <v>23.372671736151272</v>
      </c>
      <c r="AD174" s="9">
        <v>26.430826810726163</v>
      </c>
      <c r="AE174" s="9">
        <v>27.959768706413232</v>
      </c>
      <c r="AF174" s="9">
        <v>29.772701744670762</v>
      </c>
      <c r="AG174" s="9">
        <v>29.772701744670762</v>
      </c>
      <c r="AH174" s="9">
        <v>32.589351949315954</v>
      </c>
      <c r="AI174" s="9">
        <v>34.825222308406182</v>
      </c>
      <c r="AJ174" s="9">
        <v>3.0428788910505911</v>
      </c>
    </row>
    <row r="175" spans="1:36" x14ac:dyDescent="0.25">
      <c r="A175" t="s">
        <v>5411</v>
      </c>
      <c r="B175" t="s">
        <v>16</v>
      </c>
      <c r="C175" t="s">
        <v>17</v>
      </c>
      <c r="D175">
        <v>12870000</v>
      </c>
      <c r="E175">
        <v>12899999</v>
      </c>
      <c r="F175" t="s">
        <v>126</v>
      </c>
      <c r="G175" t="str">
        <f t="shared" si="4"/>
        <v>SPI II</v>
      </c>
      <c r="H175" t="s">
        <v>19</v>
      </c>
      <c r="I175" t="s">
        <v>20</v>
      </c>
      <c r="J175" t="s">
        <v>64</v>
      </c>
      <c r="K175" s="6">
        <v>0.03</v>
      </c>
      <c r="L175" s="7">
        <f t="shared" si="5"/>
        <v>2E-3</v>
      </c>
      <c r="M175" s="7">
        <v>3.0000000000000001E-3</v>
      </c>
      <c r="N175">
        <v>9</v>
      </c>
      <c r="O175" s="8">
        <v>17.934556092922943</v>
      </c>
      <c r="P175" s="9">
        <v>17.934556092922943</v>
      </c>
      <c r="Q175" s="9">
        <v>17.934556092922943</v>
      </c>
      <c r="R175" s="9">
        <v>18.35577997371016</v>
      </c>
      <c r="S175" s="9">
        <v>18.404835306435746</v>
      </c>
      <c r="T175" s="9">
        <v>19.112621008962602</v>
      </c>
      <c r="U175" s="9">
        <v>20.35176903227914</v>
      </c>
      <c r="V175" s="9">
        <v>20.35176903227914</v>
      </c>
      <c r="W175" s="9">
        <v>20.35176903227914</v>
      </c>
      <c r="X175" s="9">
        <v>19.91589544268896</v>
      </c>
      <c r="Y175" s="9">
        <v>19.91589544268896</v>
      </c>
      <c r="Z175" s="9">
        <v>21.609947773831163</v>
      </c>
      <c r="AA175" s="9">
        <v>21.609947773831163</v>
      </c>
      <c r="AB175" s="9">
        <v>23.372671736151272</v>
      </c>
      <c r="AC175" s="9">
        <v>23.372671736151272</v>
      </c>
      <c r="AD175" s="9">
        <v>26.430826810726163</v>
      </c>
      <c r="AE175" s="9">
        <v>27.959768706413232</v>
      </c>
      <c r="AF175" s="9">
        <v>29.772701744670762</v>
      </c>
      <c r="AG175" s="9">
        <v>29.772701744670762</v>
      </c>
      <c r="AH175" s="9">
        <v>32.589351949315954</v>
      </c>
      <c r="AI175" s="9">
        <v>34.825222308406182</v>
      </c>
      <c r="AJ175" s="9">
        <v>3.0428788910505911</v>
      </c>
    </row>
    <row r="176" spans="1:36" x14ac:dyDescent="0.25">
      <c r="A176" t="s">
        <v>5411</v>
      </c>
      <c r="B176" t="s">
        <v>16</v>
      </c>
      <c r="C176" t="s">
        <v>17</v>
      </c>
      <c r="D176">
        <v>12900000</v>
      </c>
      <c r="E176">
        <v>12929999</v>
      </c>
      <c r="F176" t="s">
        <v>127</v>
      </c>
      <c r="G176" t="str">
        <f t="shared" si="4"/>
        <v>SPI</v>
      </c>
      <c r="H176" t="s">
        <v>19</v>
      </c>
      <c r="I176" t="s">
        <v>20</v>
      </c>
      <c r="J176" t="s">
        <v>62</v>
      </c>
      <c r="K176" s="6">
        <v>0.03</v>
      </c>
      <c r="L176" s="7">
        <f t="shared" si="5"/>
        <v>2E-3</v>
      </c>
      <c r="M176" s="7">
        <v>3.0000000000000001E-3</v>
      </c>
      <c r="N176">
        <v>6</v>
      </c>
      <c r="O176" s="8">
        <v>14.260089507934383</v>
      </c>
      <c r="P176" s="9">
        <v>14.260089507934383</v>
      </c>
      <c r="Q176" s="9">
        <v>14.260089507934383</v>
      </c>
      <c r="R176" s="9">
        <v>14.434686024139818</v>
      </c>
      <c r="S176" s="9">
        <v>14.722027102535575</v>
      </c>
      <c r="T176" s="9">
        <v>15.677715915555218</v>
      </c>
      <c r="U176" s="9">
        <v>17.010379604817192</v>
      </c>
      <c r="V176" s="9">
        <v>17.010379604817192</v>
      </c>
      <c r="W176" s="9">
        <v>17.010379604817192</v>
      </c>
      <c r="X176" s="9">
        <v>16.884570568466835</v>
      </c>
      <c r="Y176" s="9">
        <v>16.884570568466835</v>
      </c>
      <c r="Z176" s="9">
        <v>18.617757359760585</v>
      </c>
      <c r="AA176" s="9">
        <v>18.617757359760585</v>
      </c>
      <c r="AB176" s="9">
        <v>20.52292271594289</v>
      </c>
      <c r="AC176" s="9">
        <v>20.52292271594289</v>
      </c>
      <c r="AD176" s="9">
        <v>22.530627040176761</v>
      </c>
      <c r="AE176" s="9">
        <v>24.654059850225856</v>
      </c>
      <c r="AF176" s="9">
        <v>28.622962393602329</v>
      </c>
      <c r="AG176" s="9">
        <v>28.622962393602329</v>
      </c>
      <c r="AH176" s="9">
        <v>31.011605245024167</v>
      </c>
      <c r="AI176" s="9">
        <v>33.330799286496742</v>
      </c>
      <c r="AJ176" s="9">
        <v>3.0428788910505911</v>
      </c>
    </row>
    <row r="177" spans="1:36" x14ac:dyDescent="0.25">
      <c r="A177" t="s">
        <v>5411</v>
      </c>
      <c r="B177" t="s">
        <v>16</v>
      </c>
      <c r="C177" t="s">
        <v>17</v>
      </c>
      <c r="D177">
        <v>12930000</v>
      </c>
      <c r="E177">
        <v>12934999</v>
      </c>
      <c r="F177" t="s">
        <v>128</v>
      </c>
      <c r="G177" t="str">
        <f t="shared" si="4"/>
        <v>SPI II</v>
      </c>
      <c r="H177" t="s">
        <v>19</v>
      </c>
      <c r="I177" t="s">
        <v>20</v>
      </c>
      <c r="J177" t="s">
        <v>64</v>
      </c>
      <c r="K177" s="6">
        <v>0.03</v>
      </c>
      <c r="L177" s="7">
        <f t="shared" si="5"/>
        <v>2E-3</v>
      </c>
      <c r="M177" s="7">
        <v>3.0000000000000001E-3</v>
      </c>
      <c r="N177">
        <v>7</v>
      </c>
      <c r="O177" s="8">
        <v>17.934556092922943</v>
      </c>
      <c r="P177" s="9">
        <v>17.934556092922943</v>
      </c>
      <c r="Q177" s="9">
        <v>17.934556092922943</v>
      </c>
      <c r="R177" s="9">
        <v>18.35577997371016</v>
      </c>
      <c r="S177" s="9">
        <v>18.404835306435746</v>
      </c>
      <c r="T177" s="9">
        <v>19.112621008962602</v>
      </c>
      <c r="U177" s="9">
        <v>20.35176903227914</v>
      </c>
      <c r="V177" s="9">
        <v>20.35176903227914</v>
      </c>
      <c r="W177" s="9">
        <v>20.35176903227914</v>
      </c>
      <c r="X177" s="9">
        <v>19.91589544268896</v>
      </c>
      <c r="Y177" s="9">
        <v>19.91589544268896</v>
      </c>
      <c r="Z177" s="9">
        <v>21.609947773831163</v>
      </c>
      <c r="AA177" s="9">
        <v>21.609947773831163</v>
      </c>
      <c r="AB177" s="9">
        <v>23.372671736151272</v>
      </c>
      <c r="AC177" s="9">
        <v>23.372671736151272</v>
      </c>
      <c r="AD177" s="9">
        <v>26.430826810726163</v>
      </c>
      <c r="AE177" s="9">
        <v>27.959768706413232</v>
      </c>
      <c r="AF177" s="9">
        <v>29.772701744670762</v>
      </c>
      <c r="AG177" s="9">
        <v>29.772701744670762</v>
      </c>
      <c r="AH177" s="9">
        <v>32.589351949315954</v>
      </c>
      <c r="AI177" s="9">
        <v>34.825222308406182</v>
      </c>
      <c r="AJ177" s="9">
        <v>3.0428788910505911</v>
      </c>
    </row>
    <row r="178" spans="1:36" x14ac:dyDescent="0.25">
      <c r="A178" t="s">
        <v>5411</v>
      </c>
      <c r="B178" t="s">
        <v>16</v>
      </c>
      <c r="C178" t="s">
        <v>17</v>
      </c>
      <c r="D178">
        <v>12935000</v>
      </c>
      <c r="E178">
        <v>12939999</v>
      </c>
      <c r="F178" t="s">
        <v>129</v>
      </c>
      <c r="G178" t="str">
        <f t="shared" si="4"/>
        <v>SPI II</v>
      </c>
      <c r="H178" t="s">
        <v>19</v>
      </c>
      <c r="I178" t="s">
        <v>20</v>
      </c>
      <c r="J178" t="s">
        <v>64</v>
      </c>
      <c r="K178" s="6">
        <v>0.03</v>
      </c>
      <c r="L178" s="7">
        <f t="shared" si="5"/>
        <v>2E-3</v>
      </c>
      <c r="M178" s="7">
        <v>3.0000000000000001E-3</v>
      </c>
      <c r="N178">
        <v>7</v>
      </c>
      <c r="O178" s="8">
        <v>17.934556092922943</v>
      </c>
      <c r="P178" s="9">
        <v>17.934556092922943</v>
      </c>
      <c r="Q178" s="9">
        <v>17.934556092922943</v>
      </c>
      <c r="R178" s="9">
        <v>18.35577997371016</v>
      </c>
      <c r="S178" s="9">
        <v>18.404835306435746</v>
      </c>
      <c r="T178" s="9">
        <v>19.112621008962602</v>
      </c>
      <c r="U178" s="9">
        <v>20.35176903227914</v>
      </c>
      <c r="V178" s="9">
        <v>20.35176903227914</v>
      </c>
      <c r="W178" s="9">
        <v>20.35176903227914</v>
      </c>
      <c r="X178" s="9">
        <v>19.91589544268896</v>
      </c>
      <c r="Y178" s="9">
        <v>19.91589544268896</v>
      </c>
      <c r="Z178" s="9">
        <v>21.609947773831163</v>
      </c>
      <c r="AA178" s="9">
        <v>21.609947773831163</v>
      </c>
      <c r="AB178" s="9">
        <v>23.372671736151272</v>
      </c>
      <c r="AC178" s="9">
        <v>23.372671736151272</v>
      </c>
      <c r="AD178" s="9">
        <v>26.430826810726163</v>
      </c>
      <c r="AE178" s="9">
        <v>27.959768706413232</v>
      </c>
      <c r="AF178" s="9">
        <v>29.772701744670762</v>
      </c>
      <c r="AG178" s="9">
        <v>29.772701744670762</v>
      </c>
      <c r="AH178" s="9">
        <v>32.589351949315954</v>
      </c>
      <c r="AI178" s="9">
        <v>34.825222308406182</v>
      </c>
      <c r="AJ178" s="9">
        <v>3.0428788910505911</v>
      </c>
    </row>
    <row r="179" spans="1:36" x14ac:dyDescent="0.25">
      <c r="A179" t="s">
        <v>5411</v>
      </c>
      <c r="B179" t="s">
        <v>16</v>
      </c>
      <c r="C179" t="s">
        <v>17</v>
      </c>
      <c r="D179">
        <v>12940000</v>
      </c>
      <c r="E179">
        <v>12954999</v>
      </c>
      <c r="F179" t="s">
        <v>130</v>
      </c>
      <c r="G179" t="str">
        <f t="shared" si="4"/>
        <v>SPI</v>
      </c>
      <c r="H179" t="s">
        <v>19</v>
      </c>
      <c r="I179" t="s">
        <v>20</v>
      </c>
      <c r="J179" t="s">
        <v>62</v>
      </c>
      <c r="K179" s="6">
        <v>0.03</v>
      </c>
      <c r="L179" s="7">
        <f t="shared" si="5"/>
        <v>2E-3</v>
      </c>
      <c r="M179" s="7">
        <v>3.0000000000000001E-3</v>
      </c>
      <c r="N179">
        <v>6</v>
      </c>
      <c r="O179" s="8">
        <v>14.260089507934383</v>
      </c>
      <c r="P179" s="9">
        <v>14.260089507934383</v>
      </c>
      <c r="Q179" s="9">
        <v>14.260089507934383</v>
      </c>
      <c r="R179" s="9">
        <v>14.434686024139818</v>
      </c>
      <c r="S179" s="9">
        <v>14.722027102535575</v>
      </c>
      <c r="T179" s="9">
        <v>15.677715915555218</v>
      </c>
      <c r="U179" s="9">
        <v>17.010379604817192</v>
      </c>
      <c r="V179" s="9">
        <v>17.010379604817192</v>
      </c>
      <c r="W179" s="9">
        <v>17.010379604817192</v>
      </c>
      <c r="X179" s="9">
        <v>16.884570568466835</v>
      </c>
      <c r="Y179" s="9">
        <v>16.884570568466835</v>
      </c>
      <c r="Z179" s="9">
        <v>18.617757359760585</v>
      </c>
      <c r="AA179" s="9">
        <v>18.617757359760585</v>
      </c>
      <c r="AB179" s="9">
        <v>20.52292271594289</v>
      </c>
      <c r="AC179" s="9">
        <v>20.52292271594289</v>
      </c>
      <c r="AD179" s="9">
        <v>22.530627040176761</v>
      </c>
      <c r="AE179" s="9">
        <v>24.654059850225856</v>
      </c>
      <c r="AF179" s="9">
        <v>28.622962393602329</v>
      </c>
      <c r="AG179" s="9">
        <v>28.622962393602329</v>
      </c>
      <c r="AH179" s="9">
        <v>31.011605245024167</v>
      </c>
      <c r="AI179" s="9">
        <v>33.330799286496742</v>
      </c>
      <c r="AJ179" s="9">
        <v>3.0428788910505911</v>
      </c>
    </row>
    <row r="180" spans="1:36" x14ac:dyDescent="0.25">
      <c r="A180" t="s">
        <v>5411</v>
      </c>
      <c r="B180" t="s">
        <v>16</v>
      </c>
      <c r="C180" t="s">
        <v>17</v>
      </c>
      <c r="D180">
        <v>12955000</v>
      </c>
      <c r="E180">
        <v>12959999</v>
      </c>
      <c r="F180" t="s">
        <v>131</v>
      </c>
      <c r="G180" t="str">
        <f t="shared" si="4"/>
        <v>SPR</v>
      </c>
      <c r="H180" t="s">
        <v>19</v>
      </c>
      <c r="I180" t="s">
        <v>20</v>
      </c>
      <c r="J180" t="s">
        <v>77</v>
      </c>
      <c r="K180" s="6">
        <v>0.03</v>
      </c>
      <c r="L180" s="7">
        <f t="shared" si="5"/>
        <v>2E-3</v>
      </c>
      <c r="M180" s="7">
        <v>3.0000000000000001E-3</v>
      </c>
      <c r="N180">
        <v>13</v>
      </c>
      <c r="O180" s="8">
        <v>26.611209830054129</v>
      </c>
      <c r="P180" s="9">
        <v>26.611209830054129</v>
      </c>
      <c r="Q180" s="9">
        <v>26.611209830054129</v>
      </c>
      <c r="R180" s="9">
        <v>27.647760246913514</v>
      </c>
      <c r="S180" s="9">
        <v>28.483539200322319</v>
      </c>
      <c r="T180" s="9">
        <v>29.244822799499698</v>
      </c>
      <c r="U180" s="9">
        <v>31.379671510701762</v>
      </c>
      <c r="V180" s="9">
        <v>31.379671510701762</v>
      </c>
      <c r="W180" s="9">
        <v>31.379671510701762</v>
      </c>
      <c r="X180" s="9">
        <v>34.250510560182867</v>
      </c>
      <c r="Y180" s="9">
        <v>34.250510560182867</v>
      </c>
      <c r="Z180" s="9">
        <v>37.271704438917176</v>
      </c>
      <c r="AA180" s="9">
        <v>37.271704438917176</v>
      </c>
      <c r="AB180" s="9">
        <v>40.458288629830058</v>
      </c>
      <c r="AC180" s="9">
        <v>40.458288629830058</v>
      </c>
      <c r="AD180" s="9">
        <v>43.826802164139323</v>
      </c>
      <c r="AE180" s="9">
        <v>47.523241367157013</v>
      </c>
      <c r="AF180" s="9">
        <v>51.713576824258396</v>
      </c>
      <c r="AG180" s="9">
        <v>51.713576824258396</v>
      </c>
      <c r="AH180" s="9">
        <v>56.658816723629734</v>
      </c>
      <c r="AI180" s="9">
        <v>61.577420347834391</v>
      </c>
      <c r="AJ180" s="9">
        <v>3.0428788910505911</v>
      </c>
    </row>
    <row r="181" spans="1:36" x14ac:dyDescent="0.25">
      <c r="A181" t="s">
        <v>5411</v>
      </c>
      <c r="B181" t="s">
        <v>16</v>
      </c>
      <c r="C181" t="s">
        <v>17</v>
      </c>
      <c r="D181">
        <v>12960000</v>
      </c>
      <c r="E181">
        <v>12969999</v>
      </c>
      <c r="F181" t="s">
        <v>132</v>
      </c>
      <c r="G181" t="str">
        <f t="shared" si="4"/>
        <v>SPR</v>
      </c>
      <c r="H181" t="s">
        <v>19</v>
      </c>
      <c r="I181" t="s">
        <v>20</v>
      </c>
      <c r="J181" t="s">
        <v>77</v>
      </c>
      <c r="K181" s="6">
        <v>0.03</v>
      </c>
      <c r="L181" s="7">
        <f t="shared" si="5"/>
        <v>2E-3</v>
      </c>
      <c r="M181" s="7">
        <v>3.0000000000000001E-3</v>
      </c>
      <c r="N181">
        <v>13</v>
      </c>
      <c r="O181" s="8">
        <v>26.611209830054129</v>
      </c>
      <c r="P181" s="9">
        <v>26.611209830054129</v>
      </c>
      <c r="Q181" s="9">
        <v>26.611209830054129</v>
      </c>
      <c r="R181" s="9">
        <v>27.647760246913514</v>
      </c>
      <c r="S181" s="9">
        <v>28.483539200322319</v>
      </c>
      <c r="T181" s="9">
        <v>29.244822799499698</v>
      </c>
      <c r="U181" s="9">
        <v>31.379671510701762</v>
      </c>
      <c r="V181" s="9">
        <v>31.379671510701762</v>
      </c>
      <c r="W181" s="9">
        <v>31.379671510701762</v>
      </c>
      <c r="X181" s="9">
        <v>34.250510560182867</v>
      </c>
      <c r="Y181" s="9">
        <v>34.250510560182867</v>
      </c>
      <c r="Z181" s="9">
        <v>37.271704438917176</v>
      </c>
      <c r="AA181" s="9">
        <v>37.271704438917176</v>
      </c>
      <c r="AB181" s="9">
        <v>40.458288629830058</v>
      </c>
      <c r="AC181" s="9">
        <v>40.458288629830058</v>
      </c>
      <c r="AD181" s="9">
        <v>43.826802164139323</v>
      </c>
      <c r="AE181" s="9">
        <v>47.523241367157013</v>
      </c>
      <c r="AF181" s="9">
        <v>51.713576824258396</v>
      </c>
      <c r="AG181" s="9">
        <v>51.713576824258396</v>
      </c>
      <c r="AH181" s="9">
        <v>56.658816723629734</v>
      </c>
      <c r="AI181" s="9">
        <v>61.577420347834391</v>
      </c>
      <c r="AJ181" s="9">
        <v>3.0428788910505911</v>
      </c>
    </row>
    <row r="182" spans="1:36" x14ac:dyDescent="0.25">
      <c r="A182" t="s">
        <v>5411</v>
      </c>
      <c r="B182" t="s">
        <v>16</v>
      </c>
      <c r="C182" t="s">
        <v>17</v>
      </c>
      <c r="D182">
        <v>12970000</v>
      </c>
      <c r="E182">
        <v>12979999</v>
      </c>
      <c r="F182" t="s">
        <v>133</v>
      </c>
      <c r="G182" t="str">
        <f t="shared" si="4"/>
        <v>SPR</v>
      </c>
      <c r="H182" t="s">
        <v>19</v>
      </c>
      <c r="I182" t="s">
        <v>20</v>
      </c>
      <c r="J182" t="s">
        <v>77</v>
      </c>
      <c r="K182" s="6">
        <v>0.03</v>
      </c>
      <c r="L182" s="7">
        <f t="shared" si="5"/>
        <v>2E-3</v>
      </c>
      <c r="M182" s="7">
        <v>3.0000000000000001E-3</v>
      </c>
      <c r="N182">
        <v>13</v>
      </c>
      <c r="O182" s="8">
        <v>26.611209830054129</v>
      </c>
      <c r="P182" s="9">
        <v>26.611209830054129</v>
      </c>
      <c r="Q182" s="9">
        <v>26.611209830054129</v>
      </c>
      <c r="R182" s="9">
        <v>27.647760246913514</v>
      </c>
      <c r="S182" s="9">
        <v>28.483539200322319</v>
      </c>
      <c r="T182" s="9">
        <v>29.244822799499698</v>
      </c>
      <c r="U182" s="9">
        <v>31.379671510701762</v>
      </c>
      <c r="V182" s="9">
        <v>31.379671510701762</v>
      </c>
      <c r="W182" s="9">
        <v>31.379671510701762</v>
      </c>
      <c r="X182" s="9">
        <v>34.250510560182867</v>
      </c>
      <c r="Y182" s="9">
        <v>34.250510560182867</v>
      </c>
      <c r="Z182" s="9">
        <v>37.271704438917176</v>
      </c>
      <c r="AA182" s="9">
        <v>37.271704438917176</v>
      </c>
      <c r="AB182" s="9">
        <v>40.458288629830058</v>
      </c>
      <c r="AC182" s="9">
        <v>40.458288629830058</v>
      </c>
      <c r="AD182" s="9">
        <v>43.826802164139323</v>
      </c>
      <c r="AE182" s="9">
        <v>47.523241367157013</v>
      </c>
      <c r="AF182" s="9">
        <v>51.713576824258396</v>
      </c>
      <c r="AG182" s="9">
        <v>51.713576824258396</v>
      </c>
      <c r="AH182" s="9">
        <v>56.658816723629734</v>
      </c>
      <c r="AI182" s="9">
        <v>61.577420347834391</v>
      </c>
      <c r="AJ182" s="9">
        <v>3.0428788910505911</v>
      </c>
    </row>
    <row r="183" spans="1:36" x14ac:dyDescent="0.25">
      <c r="A183" t="s">
        <v>5411</v>
      </c>
      <c r="B183" t="s">
        <v>16</v>
      </c>
      <c r="C183" t="s">
        <v>17</v>
      </c>
      <c r="D183">
        <v>12980000</v>
      </c>
      <c r="E183">
        <v>12989999</v>
      </c>
      <c r="F183" t="s">
        <v>134</v>
      </c>
      <c r="G183" t="str">
        <f t="shared" si="4"/>
        <v>SPR</v>
      </c>
      <c r="H183" t="s">
        <v>19</v>
      </c>
      <c r="I183" t="s">
        <v>20</v>
      </c>
      <c r="J183" t="s">
        <v>77</v>
      </c>
      <c r="K183" s="6">
        <v>0.03</v>
      </c>
      <c r="L183" s="7">
        <f t="shared" si="5"/>
        <v>2E-3</v>
      </c>
      <c r="M183" s="7">
        <v>3.0000000000000001E-3</v>
      </c>
      <c r="N183">
        <v>13</v>
      </c>
      <c r="O183" s="8">
        <v>26.611209830054129</v>
      </c>
      <c r="P183" s="9">
        <v>26.611209830054129</v>
      </c>
      <c r="Q183" s="9">
        <v>26.611209830054129</v>
      </c>
      <c r="R183" s="9">
        <v>27.647760246913514</v>
      </c>
      <c r="S183" s="9">
        <v>28.483539200322319</v>
      </c>
      <c r="T183" s="9">
        <v>29.244822799499698</v>
      </c>
      <c r="U183" s="9">
        <v>31.379671510701762</v>
      </c>
      <c r="V183" s="9">
        <v>31.379671510701762</v>
      </c>
      <c r="W183" s="9">
        <v>31.379671510701762</v>
      </c>
      <c r="X183" s="9">
        <v>34.250510560182867</v>
      </c>
      <c r="Y183" s="9">
        <v>34.250510560182867</v>
      </c>
      <c r="Z183" s="9">
        <v>37.271704438917176</v>
      </c>
      <c r="AA183" s="9">
        <v>37.271704438917176</v>
      </c>
      <c r="AB183" s="9">
        <v>40.458288629830058</v>
      </c>
      <c r="AC183" s="9">
        <v>40.458288629830058</v>
      </c>
      <c r="AD183" s="9">
        <v>43.826802164139323</v>
      </c>
      <c r="AE183" s="9">
        <v>47.523241367157013</v>
      </c>
      <c r="AF183" s="9">
        <v>51.713576824258396</v>
      </c>
      <c r="AG183" s="9">
        <v>51.713576824258396</v>
      </c>
      <c r="AH183" s="9">
        <v>56.658816723629734</v>
      </c>
      <c r="AI183" s="9">
        <v>61.577420347834391</v>
      </c>
      <c r="AJ183" s="9">
        <v>3.0428788910505911</v>
      </c>
    </row>
    <row r="184" spans="1:36" x14ac:dyDescent="0.25">
      <c r="A184" t="s">
        <v>5411</v>
      </c>
      <c r="B184" t="s">
        <v>16</v>
      </c>
      <c r="C184" t="s">
        <v>17</v>
      </c>
      <c r="D184">
        <v>12990000</v>
      </c>
      <c r="E184">
        <v>12994999</v>
      </c>
      <c r="F184" t="s">
        <v>135</v>
      </c>
      <c r="G184" t="str">
        <f t="shared" si="4"/>
        <v>SPI II</v>
      </c>
      <c r="H184" t="s">
        <v>19</v>
      </c>
      <c r="I184" t="s">
        <v>20</v>
      </c>
      <c r="J184" t="s">
        <v>64</v>
      </c>
      <c r="K184" s="6">
        <v>0.03</v>
      </c>
      <c r="L184" s="7">
        <f t="shared" si="5"/>
        <v>2E-3</v>
      </c>
      <c r="M184" s="7">
        <v>3.0000000000000001E-3</v>
      </c>
      <c r="N184">
        <v>7</v>
      </c>
      <c r="O184" s="8">
        <v>17.934556092922943</v>
      </c>
      <c r="P184" s="9">
        <v>17.934556092922943</v>
      </c>
      <c r="Q184" s="9">
        <v>17.934556092922943</v>
      </c>
      <c r="R184" s="9">
        <v>18.35577997371016</v>
      </c>
      <c r="S184" s="9">
        <v>18.404835306435746</v>
      </c>
      <c r="T184" s="9">
        <v>19.112621008962602</v>
      </c>
      <c r="U184" s="9">
        <v>20.35176903227914</v>
      </c>
      <c r="V184" s="9">
        <v>20.35176903227914</v>
      </c>
      <c r="W184" s="9">
        <v>20.35176903227914</v>
      </c>
      <c r="X184" s="9">
        <v>19.91589544268896</v>
      </c>
      <c r="Y184" s="9">
        <v>19.91589544268896</v>
      </c>
      <c r="Z184" s="9">
        <v>21.609947773831163</v>
      </c>
      <c r="AA184" s="9">
        <v>21.609947773831163</v>
      </c>
      <c r="AB184" s="9">
        <v>23.372671736151272</v>
      </c>
      <c r="AC184" s="9">
        <v>23.372671736151272</v>
      </c>
      <c r="AD184" s="9">
        <v>26.430826810726163</v>
      </c>
      <c r="AE184" s="9">
        <v>27.959768706413232</v>
      </c>
      <c r="AF184" s="9">
        <v>29.772701744670762</v>
      </c>
      <c r="AG184" s="9">
        <v>29.772701744670762</v>
      </c>
      <c r="AH184" s="9">
        <v>32.589351949315954</v>
      </c>
      <c r="AI184" s="9">
        <v>34.825222308406182</v>
      </c>
      <c r="AJ184" s="9">
        <v>3.0428788910505911</v>
      </c>
    </row>
    <row r="185" spans="1:36" x14ac:dyDescent="0.25">
      <c r="A185" t="s">
        <v>5411</v>
      </c>
      <c r="B185" t="s">
        <v>16</v>
      </c>
      <c r="C185" t="s">
        <v>17</v>
      </c>
      <c r="D185">
        <v>12995000</v>
      </c>
      <c r="E185">
        <v>12999999</v>
      </c>
      <c r="F185" t="s">
        <v>136</v>
      </c>
      <c r="G185" t="str">
        <f t="shared" si="4"/>
        <v>SPI II</v>
      </c>
      <c r="H185" t="s">
        <v>19</v>
      </c>
      <c r="I185" t="s">
        <v>20</v>
      </c>
      <c r="J185" t="s">
        <v>64</v>
      </c>
      <c r="K185" s="6">
        <v>0.03</v>
      </c>
      <c r="L185" s="7">
        <f t="shared" si="5"/>
        <v>2E-3</v>
      </c>
      <c r="M185" s="7">
        <v>3.0000000000000001E-3</v>
      </c>
      <c r="N185">
        <v>7</v>
      </c>
      <c r="O185" s="8">
        <v>17.934556092922943</v>
      </c>
      <c r="P185" s="9">
        <v>17.934556092922943</v>
      </c>
      <c r="Q185" s="9">
        <v>17.934556092922943</v>
      </c>
      <c r="R185" s="9">
        <v>18.35577997371016</v>
      </c>
      <c r="S185" s="9">
        <v>18.404835306435746</v>
      </c>
      <c r="T185" s="9">
        <v>19.112621008962602</v>
      </c>
      <c r="U185" s="9">
        <v>20.35176903227914</v>
      </c>
      <c r="V185" s="9">
        <v>20.35176903227914</v>
      </c>
      <c r="W185" s="9">
        <v>20.35176903227914</v>
      </c>
      <c r="X185" s="9">
        <v>19.91589544268896</v>
      </c>
      <c r="Y185" s="9">
        <v>19.91589544268896</v>
      </c>
      <c r="Z185" s="9">
        <v>21.609947773831163</v>
      </c>
      <c r="AA185" s="9">
        <v>21.609947773831163</v>
      </c>
      <c r="AB185" s="9">
        <v>23.372671736151272</v>
      </c>
      <c r="AC185" s="9">
        <v>23.372671736151272</v>
      </c>
      <c r="AD185" s="9">
        <v>26.430826810726163</v>
      </c>
      <c r="AE185" s="9">
        <v>27.959768706413232</v>
      </c>
      <c r="AF185" s="9">
        <v>29.772701744670762</v>
      </c>
      <c r="AG185" s="9">
        <v>29.772701744670762</v>
      </c>
      <c r="AH185" s="9">
        <v>32.589351949315954</v>
      </c>
      <c r="AI185" s="9">
        <v>34.825222308406182</v>
      </c>
      <c r="AJ185" s="9">
        <v>3.0428788910505911</v>
      </c>
    </row>
    <row r="186" spans="1:36" x14ac:dyDescent="0.25">
      <c r="A186" t="s">
        <v>5411</v>
      </c>
      <c r="B186" t="s">
        <v>16</v>
      </c>
      <c r="C186" t="s">
        <v>17</v>
      </c>
      <c r="D186">
        <v>13000000</v>
      </c>
      <c r="E186">
        <v>13009999</v>
      </c>
      <c r="F186" t="s">
        <v>137</v>
      </c>
      <c r="G186" t="str">
        <f t="shared" si="4"/>
        <v>SPI</v>
      </c>
      <c r="H186" t="s">
        <v>19</v>
      </c>
      <c r="I186" t="s">
        <v>20</v>
      </c>
      <c r="J186" t="s">
        <v>62</v>
      </c>
      <c r="K186" s="6">
        <v>0.03</v>
      </c>
      <c r="L186" s="7">
        <f t="shared" si="5"/>
        <v>2E-3</v>
      </c>
      <c r="M186" s="7">
        <v>3.0000000000000001E-3</v>
      </c>
      <c r="N186">
        <v>6</v>
      </c>
      <c r="O186" s="8">
        <v>14.260089507934383</v>
      </c>
      <c r="P186" s="9">
        <v>14.260089507934383</v>
      </c>
      <c r="Q186" s="9">
        <v>14.260089507934383</v>
      </c>
      <c r="R186" s="9">
        <v>14.434686024139818</v>
      </c>
      <c r="S186" s="9">
        <v>14.722027102535575</v>
      </c>
      <c r="T186" s="9">
        <v>15.677715915555218</v>
      </c>
      <c r="U186" s="9">
        <v>17.010379604817192</v>
      </c>
      <c r="V186" s="9">
        <v>17.010379604817192</v>
      </c>
      <c r="W186" s="9">
        <v>17.010379604817192</v>
      </c>
      <c r="X186" s="9">
        <v>16.884570568466835</v>
      </c>
      <c r="Y186" s="9">
        <v>16.884570568466835</v>
      </c>
      <c r="Z186" s="9">
        <v>18.617757359760585</v>
      </c>
      <c r="AA186" s="9">
        <v>18.617757359760585</v>
      </c>
      <c r="AB186" s="9">
        <v>20.52292271594289</v>
      </c>
      <c r="AC186" s="9">
        <v>20.52292271594289</v>
      </c>
      <c r="AD186" s="9">
        <v>22.530627040176761</v>
      </c>
      <c r="AE186" s="9">
        <v>24.654059850225856</v>
      </c>
      <c r="AF186" s="9">
        <v>28.622962393602329</v>
      </c>
      <c r="AG186" s="9">
        <v>28.622962393602329</v>
      </c>
      <c r="AH186" s="9">
        <v>31.011605245024167</v>
      </c>
      <c r="AI186" s="9">
        <v>33.330799286496742</v>
      </c>
      <c r="AJ186" s="9">
        <v>3.0428788910505911</v>
      </c>
    </row>
    <row r="187" spans="1:36" x14ac:dyDescent="0.25">
      <c r="A187" t="s">
        <v>5411</v>
      </c>
      <c r="B187" t="s">
        <v>16</v>
      </c>
      <c r="C187" t="s">
        <v>17</v>
      </c>
      <c r="D187">
        <v>13010000</v>
      </c>
      <c r="E187">
        <v>13107009</v>
      </c>
      <c r="F187" t="s">
        <v>137</v>
      </c>
      <c r="G187" t="str">
        <f t="shared" si="4"/>
        <v>SPI</v>
      </c>
      <c r="H187" t="s">
        <v>19</v>
      </c>
      <c r="I187" t="s">
        <v>20</v>
      </c>
      <c r="J187" t="s">
        <v>62</v>
      </c>
      <c r="K187" s="6">
        <v>0.03</v>
      </c>
      <c r="L187" s="7">
        <f t="shared" si="5"/>
        <v>2E-3</v>
      </c>
      <c r="M187" s="7">
        <v>3.0000000000000001E-3</v>
      </c>
      <c r="N187">
        <v>6</v>
      </c>
      <c r="O187" s="8">
        <v>14.260089507934383</v>
      </c>
      <c r="P187" s="9">
        <v>14.260089507934383</v>
      </c>
      <c r="Q187" s="9">
        <v>14.260089507934383</v>
      </c>
      <c r="R187" s="9">
        <v>14.434686024139818</v>
      </c>
      <c r="S187" s="9">
        <v>14.722027102535575</v>
      </c>
      <c r="T187" s="9">
        <v>15.677715915555218</v>
      </c>
      <c r="U187" s="9">
        <v>17.010379604817192</v>
      </c>
      <c r="V187" s="9">
        <v>17.010379604817192</v>
      </c>
      <c r="W187" s="9">
        <v>17.010379604817192</v>
      </c>
      <c r="X187" s="9">
        <v>16.884570568466835</v>
      </c>
      <c r="Y187" s="9">
        <v>16.884570568466835</v>
      </c>
      <c r="Z187" s="9">
        <v>18.617757359760585</v>
      </c>
      <c r="AA187" s="9">
        <v>18.617757359760585</v>
      </c>
      <c r="AB187" s="9">
        <v>20.52292271594289</v>
      </c>
      <c r="AC187" s="9">
        <v>20.52292271594289</v>
      </c>
      <c r="AD187" s="9">
        <v>22.530627040176761</v>
      </c>
      <c r="AE187" s="9">
        <v>24.654059850225856</v>
      </c>
      <c r="AF187" s="9">
        <v>28.622962393602329</v>
      </c>
      <c r="AG187" s="9">
        <v>28.622962393602329</v>
      </c>
      <c r="AH187" s="9">
        <v>31.011605245024167</v>
      </c>
      <c r="AI187" s="9">
        <v>33.330799286496742</v>
      </c>
      <c r="AJ187" s="9">
        <v>3.0428788910505911</v>
      </c>
    </row>
    <row r="188" spans="1:36" x14ac:dyDescent="0.25">
      <c r="A188" t="s">
        <v>5411</v>
      </c>
      <c r="B188" t="s">
        <v>16</v>
      </c>
      <c r="C188" t="s">
        <v>17</v>
      </c>
      <c r="D188">
        <v>13107010</v>
      </c>
      <c r="E188">
        <v>13139999</v>
      </c>
      <c r="F188" t="s">
        <v>137</v>
      </c>
      <c r="G188" t="str">
        <f t="shared" si="4"/>
        <v>SPI</v>
      </c>
      <c r="H188" t="s">
        <v>19</v>
      </c>
      <c r="I188" t="s">
        <v>20</v>
      </c>
      <c r="J188" t="s">
        <v>62</v>
      </c>
      <c r="K188" s="6">
        <v>0.03</v>
      </c>
      <c r="L188" s="7">
        <f t="shared" si="5"/>
        <v>2E-3</v>
      </c>
      <c r="M188" s="7">
        <v>3.0000000000000001E-3</v>
      </c>
      <c r="N188">
        <v>6</v>
      </c>
      <c r="O188" s="8">
        <v>14.260089507934383</v>
      </c>
      <c r="P188" s="9">
        <v>14.260089507934383</v>
      </c>
      <c r="Q188" s="9">
        <v>14.260089507934383</v>
      </c>
      <c r="R188" s="9">
        <v>14.434686024139818</v>
      </c>
      <c r="S188" s="9">
        <v>14.722027102535575</v>
      </c>
      <c r="T188" s="9">
        <v>15.677715915555218</v>
      </c>
      <c r="U188" s="9">
        <v>17.010379604817192</v>
      </c>
      <c r="V188" s="9">
        <v>17.010379604817192</v>
      </c>
      <c r="W188" s="9">
        <v>17.010379604817192</v>
      </c>
      <c r="X188" s="9">
        <v>16.884570568466835</v>
      </c>
      <c r="Y188" s="9">
        <v>16.884570568466835</v>
      </c>
      <c r="Z188" s="9">
        <v>18.617757359760585</v>
      </c>
      <c r="AA188" s="9">
        <v>18.617757359760585</v>
      </c>
      <c r="AB188" s="9">
        <v>20.52292271594289</v>
      </c>
      <c r="AC188" s="9">
        <v>20.52292271594289</v>
      </c>
      <c r="AD188" s="9">
        <v>22.530627040176761</v>
      </c>
      <c r="AE188" s="9">
        <v>24.654059850225856</v>
      </c>
      <c r="AF188" s="9">
        <v>28.622962393602329</v>
      </c>
      <c r="AG188" s="9">
        <v>28.622962393602329</v>
      </c>
      <c r="AH188" s="9">
        <v>31.011605245024167</v>
      </c>
      <c r="AI188" s="9">
        <v>33.330799286496742</v>
      </c>
      <c r="AJ188" s="9">
        <v>3.0428788910505911</v>
      </c>
    </row>
    <row r="189" spans="1:36" x14ac:dyDescent="0.25">
      <c r="A189" t="s">
        <v>5411</v>
      </c>
      <c r="B189" t="s">
        <v>16</v>
      </c>
      <c r="C189" t="s">
        <v>17</v>
      </c>
      <c r="D189">
        <v>13140000</v>
      </c>
      <c r="E189">
        <v>13149999</v>
      </c>
      <c r="F189" t="s">
        <v>138</v>
      </c>
      <c r="G189" t="str">
        <f t="shared" si="4"/>
        <v>SPI</v>
      </c>
      <c r="H189" t="s">
        <v>19</v>
      </c>
      <c r="I189" t="s">
        <v>20</v>
      </c>
      <c r="J189" t="s">
        <v>62</v>
      </c>
      <c r="K189" s="6">
        <v>0.03</v>
      </c>
      <c r="L189" s="7">
        <f t="shared" si="5"/>
        <v>2E-3</v>
      </c>
      <c r="M189" s="7">
        <v>3.0000000000000001E-3</v>
      </c>
      <c r="N189">
        <v>6</v>
      </c>
      <c r="O189" s="8">
        <v>14.260089507934383</v>
      </c>
      <c r="P189" s="9">
        <v>14.260089507934383</v>
      </c>
      <c r="Q189" s="9">
        <v>14.260089507934383</v>
      </c>
      <c r="R189" s="9">
        <v>14.434686024139818</v>
      </c>
      <c r="S189" s="9">
        <v>14.722027102535575</v>
      </c>
      <c r="T189" s="9">
        <v>15.677715915555218</v>
      </c>
      <c r="U189" s="9">
        <v>17.010379604817192</v>
      </c>
      <c r="V189" s="9">
        <v>17.010379604817192</v>
      </c>
      <c r="W189" s="9">
        <v>17.010379604817192</v>
      </c>
      <c r="X189" s="9">
        <v>16.884570568466835</v>
      </c>
      <c r="Y189" s="9">
        <v>16.884570568466835</v>
      </c>
      <c r="Z189" s="9">
        <v>18.617757359760585</v>
      </c>
      <c r="AA189" s="9">
        <v>18.617757359760585</v>
      </c>
      <c r="AB189" s="9">
        <v>20.52292271594289</v>
      </c>
      <c r="AC189" s="9">
        <v>20.52292271594289</v>
      </c>
      <c r="AD189" s="9">
        <v>22.530627040176761</v>
      </c>
      <c r="AE189" s="9">
        <v>24.654059850225856</v>
      </c>
      <c r="AF189" s="9">
        <v>28.622962393602329</v>
      </c>
      <c r="AG189" s="9">
        <v>28.622962393602329</v>
      </c>
      <c r="AH189" s="9">
        <v>31.011605245024167</v>
      </c>
      <c r="AI189" s="9">
        <v>33.330799286496742</v>
      </c>
      <c r="AJ189" s="9">
        <v>3.0428788910505911</v>
      </c>
    </row>
    <row r="190" spans="1:36" x14ac:dyDescent="0.25">
      <c r="A190" t="s">
        <v>5411</v>
      </c>
      <c r="B190" t="s">
        <v>16</v>
      </c>
      <c r="C190" t="s">
        <v>17</v>
      </c>
      <c r="D190">
        <v>13150000</v>
      </c>
      <c r="E190">
        <v>13159999</v>
      </c>
      <c r="F190" t="s">
        <v>139</v>
      </c>
      <c r="G190" t="str">
        <f t="shared" si="4"/>
        <v>SPI II</v>
      </c>
      <c r="H190" t="s">
        <v>19</v>
      </c>
      <c r="I190" t="s">
        <v>20</v>
      </c>
      <c r="J190" t="s">
        <v>64</v>
      </c>
      <c r="K190" s="6">
        <v>0.03</v>
      </c>
      <c r="L190" s="7">
        <f t="shared" si="5"/>
        <v>2E-3</v>
      </c>
      <c r="M190" s="7">
        <v>3.0000000000000001E-3</v>
      </c>
      <c r="N190">
        <v>7</v>
      </c>
      <c r="O190" s="8">
        <v>17.934556092922943</v>
      </c>
      <c r="P190" s="9">
        <v>17.934556092922943</v>
      </c>
      <c r="Q190" s="9">
        <v>17.934556092922943</v>
      </c>
      <c r="R190" s="9">
        <v>18.35577997371016</v>
      </c>
      <c r="S190" s="9">
        <v>18.404835306435746</v>
      </c>
      <c r="T190" s="9">
        <v>19.112621008962602</v>
      </c>
      <c r="U190" s="9">
        <v>20.35176903227914</v>
      </c>
      <c r="V190" s="9">
        <v>20.35176903227914</v>
      </c>
      <c r="W190" s="9">
        <v>20.35176903227914</v>
      </c>
      <c r="X190" s="9">
        <v>19.91589544268896</v>
      </c>
      <c r="Y190" s="9">
        <v>19.91589544268896</v>
      </c>
      <c r="Z190" s="9">
        <v>21.609947773831163</v>
      </c>
      <c r="AA190" s="9">
        <v>21.609947773831163</v>
      </c>
      <c r="AB190" s="9">
        <v>23.372671736151272</v>
      </c>
      <c r="AC190" s="9">
        <v>23.372671736151272</v>
      </c>
      <c r="AD190" s="9">
        <v>26.430826810726163</v>
      </c>
      <c r="AE190" s="9">
        <v>27.959768706413232</v>
      </c>
      <c r="AF190" s="9">
        <v>29.772701744670762</v>
      </c>
      <c r="AG190" s="9">
        <v>29.772701744670762</v>
      </c>
      <c r="AH190" s="9">
        <v>32.589351949315954</v>
      </c>
      <c r="AI190" s="9">
        <v>34.825222308406182</v>
      </c>
      <c r="AJ190" s="9">
        <v>3.0428788910505911</v>
      </c>
    </row>
    <row r="191" spans="1:36" x14ac:dyDescent="0.25">
      <c r="A191" t="s">
        <v>5411</v>
      </c>
      <c r="B191" t="s">
        <v>16</v>
      </c>
      <c r="C191" t="s">
        <v>17</v>
      </c>
      <c r="D191">
        <v>13160000</v>
      </c>
      <c r="E191">
        <v>13164999</v>
      </c>
      <c r="F191" t="s">
        <v>140</v>
      </c>
      <c r="G191" t="str">
        <f t="shared" si="4"/>
        <v>SPI II</v>
      </c>
      <c r="H191" t="s">
        <v>19</v>
      </c>
      <c r="I191" t="s">
        <v>20</v>
      </c>
      <c r="J191" t="s">
        <v>64</v>
      </c>
      <c r="K191" s="6">
        <v>0.03</v>
      </c>
      <c r="L191" s="7">
        <f t="shared" si="5"/>
        <v>2E-3</v>
      </c>
      <c r="M191" s="7">
        <v>3.0000000000000001E-3</v>
      </c>
      <c r="N191">
        <v>7</v>
      </c>
      <c r="O191" s="8">
        <v>17.934556092922943</v>
      </c>
      <c r="P191" s="9">
        <v>17.934556092922943</v>
      </c>
      <c r="Q191" s="9">
        <v>17.934556092922943</v>
      </c>
      <c r="R191" s="9">
        <v>18.35577997371016</v>
      </c>
      <c r="S191" s="9">
        <v>18.404835306435746</v>
      </c>
      <c r="T191" s="9">
        <v>19.112621008962602</v>
      </c>
      <c r="U191" s="9">
        <v>20.35176903227914</v>
      </c>
      <c r="V191" s="9">
        <v>20.35176903227914</v>
      </c>
      <c r="W191" s="9">
        <v>20.35176903227914</v>
      </c>
      <c r="X191" s="9">
        <v>19.91589544268896</v>
      </c>
      <c r="Y191" s="9">
        <v>19.91589544268896</v>
      </c>
      <c r="Z191" s="9">
        <v>21.609947773831163</v>
      </c>
      <c r="AA191" s="9">
        <v>21.609947773831163</v>
      </c>
      <c r="AB191" s="9">
        <v>23.372671736151272</v>
      </c>
      <c r="AC191" s="9">
        <v>23.372671736151272</v>
      </c>
      <c r="AD191" s="9">
        <v>26.430826810726163</v>
      </c>
      <c r="AE191" s="9">
        <v>27.959768706413232</v>
      </c>
      <c r="AF191" s="9">
        <v>29.772701744670762</v>
      </c>
      <c r="AG191" s="9">
        <v>29.772701744670762</v>
      </c>
      <c r="AH191" s="9">
        <v>32.589351949315954</v>
      </c>
      <c r="AI191" s="9">
        <v>34.825222308406182</v>
      </c>
      <c r="AJ191" s="9">
        <v>3.0428788910505911</v>
      </c>
    </row>
    <row r="192" spans="1:36" x14ac:dyDescent="0.25">
      <c r="A192" t="s">
        <v>5411</v>
      </c>
      <c r="B192" t="s">
        <v>16</v>
      </c>
      <c r="C192" t="s">
        <v>17</v>
      </c>
      <c r="D192">
        <v>13165000</v>
      </c>
      <c r="E192">
        <v>13169999</v>
      </c>
      <c r="F192" t="s">
        <v>141</v>
      </c>
      <c r="G192" t="str">
        <f t="shared" si="4"/>
        <v>SPI II</v>
      </c>
      <c r="H192" t="s">
        <v>19</v>
      </c>
      <c r="I192" t="s">
        <v>20</v>
      </c>
      <c r="J192" t="s">
        <v>64</v>
      </c>
      <c r="K192" s="6">
        <v>0.03</v>
      </c>
      <c r="L192" s="7">
        <f t="shared" si="5"/>
        <v>2E-3</v>
      </c>
      <c r="M192" s="7">
        <v>3.0000000000000001E-3</v>
      </c>
      <c r="N192">
        <v>7</v>
      </c>
      <c r="O192" s="8">
        <v>17.934556092922943</v>
      </c>
      <c r="P192" s="9">
        <v>17.934556092922943</v>
      </c>
      <c r="Q192" s="9">
        <v>17.934556092922943</v>
      </c>
      <c r="R192" s="9">
        <v>18.35577997371016</v>
      </c>
      <c r="S192" s="9">
        <v>18.404835306435746</v>
      </c>
      <c r="T192" s="9">
        <v>19.112621008962602</v>
      </c>
      <c r="U192" s="9">
        <v>20.35176903227914</v>
      </c>
      <c r="V192" s="9">
        <v>20.35176903227914</v>
      </c>
      <c r="W192" s="9">
        <v>20.35176903227914</v>
      </c>
      <c r="X192" s="9">
        <v>19.91589544268896</v>
      </c>
      <c r="Y192" s="9">
        <v>19.91589544268896</v>
      </c>
      <c r="Z192" s="9">
        <v>21.609947773831163</v>
      </c>
      <c r="AA192" s="9">
        <v>21.609947773831163</v>
      </c>
      <c r="AB192" s="9">
        <v>23.372671736151272</v>
      </c>
      <c r="AC192" s="9">
        <v>23.372671736151272</v>
      </c>
      <c r="AD192" s="9">
        <v>26.430826810726163</v>
      </c>
      <c r="AE192" s="9">
        <v>27.959768706413232</v>
      </c>
      <c r="AF192" s="9">
        <v>29.772701744670762</v>
      </c>
      <c r="AG192" s="9">
        <v>29.772701744670762</v>
      </c>
      <c r="AH192" s="9">
        <v>32.589351949315954</v>
      </c>
      <c r="AI192" s="9">
        <v>34.825222308406182</v>
      </c>
      <c r="AJ192" s="9">
        <v>3.0428788910505911</v>
      </c>
    </row>
    <row r="193" spans="1:36" x14ac:dyDescent="0.25">
      <c r="A193" t="s">
        <v>5411</v>
      </c>
      <c r="B193" t="s">
        <v>16</v>
      </c>
      <c r="C193" t="s">
        <v>17</v>
      </c>
      <c r="D193">
        <v>13170000</v>
      </c>
      <c r="E193">
        <v>13182999</v>
      </c>
      <c r="F193" t="s">
        <v>142</v>
      </c>
      <c r="G193" t="str">
        <f t="shared" si="4"/>
        <v>SPI</v>
      </c>
      <c r="H193" t="s">
        <v>19</v>
      </c>
      <c r="I193" t="s">
        <v>20</v>
      </c>
      <c r="J193" t="s">
        <v>62</v>
      </c>
      <c r="K193" s="6">
        <v>0.03</v>
      </c>
      <c r="L193" s="7">
        <f t="shared" si="5"/>
        <v>2E-3</v>
      </c>
      <c r="M193" s="7">
        <v>3.0000000000000001E-3</v>
      </c>
      <c r="N193">
        <v>6</v>
      </c>
      <c r="O193" s="8">
        <v>14.260089507934383</v>
      </c>
      <c r="P193" s="9">
        <v>14.260089507934383</v>
      </c>
      <c r="Q193" s="9">
        <v>14.260089507934383</v>
      </c>
      <c r="R193" s="9">
        <v>14.434686024139818</v>
      </c>
      <c r="S193" s="9">
        <v>14.722027102535575</v>
      </c>
      <c r="T193" s="9">
        <v>15.677715915555218</v>
      </c>
      <c r="U193" s="9">
        <v>17.010379604817192</v>
      </c>
      <c r="V193" s="9">
        <v>17.010379604817192</v>
      </c>
      <c r="W193" s="9">
        <v>17.010379604817192</v>
      </c>
      <c r="X193" s="9">
        <v>16.884570568466835</v>
      </c>
      <c r="Y193" s="9">
        <v>16.884570568466835</v>
      </c>
      <c r="Z193" s="9">
        <v>18.617757359760585</v>
      </c>
      <c r="AA193" s="9">
        <v>18.617757359760585</v>
      </c>
      <c r="AB193" s="9">
        <v>20.52292271594289</v>
      </c>
      <c r="AC193" s="9">
        <v>20.52292271594289</v>
      </c>
      <c r="AD193" s="9">
        <v>22.530627040176761</v>
      </c>
      <c r="AE193" s="9">
        <v>24.654059850225856</v>
      </c>
      <c r="AF193" s="9">
        <v>28.622962393602329</v>
      </c>
      <c r="AG193" s="9">
        <v>28.622962393602329</v>
      </c>
      <c r="AH193" s="9">
        <v>31.011605245024167</v>
      </c>
      <c r="AI193" s="9">
        <v>33.330799286496742</v>
      </c>
      <c r="AJ193" s="9">
        <v>3.0428788910505911</v>
      </c>
    </row>
    <row r="194" spans="1:36" x14ac:dyDescent="0.25">
      <c r="A194" t="s">
        <v>5411</v>
      </c>
      <c r="B194" t="s">
        <v>16</v>
      </c>
      <c r="C194" t="s">
        <v>17</v>
      </c>
      <c r="D194">
        <v>13183000</v>
      </c>
      <c r="E194">
        <v>13189999</v>
      </c>
      <c r="F194" t="s">
        <v>143</v>
      </c>
      <c r="G194" t="str">
        <f t="shared" si="4"/>
        <v>SPI</v>
      </c>
      <c r="H194" t="s">
        <v>19</v>
      </c>
      <c r="I194" t="s">
        <v>20</v>
      </c>
      <c r="J194" t="s">
        <v>62</v>
      </c>
      <c r="K194" s="6">
        <v>0.03</v>
      </c>
      <c r="L194" s="7">
        <f t="shared" si="5"/>
        <v>2E-3</v>
      </c>
      <c r="M194" s="7">
        <v>3.0000000000000001E-3</v>
      </c>
      <c r="N194">
        <v>6</v>
      </c>
      <c r="O194" s="8">
        <v>14.260089507934383</v>
      </c>
      <c r="P194" s="9">
        <v>14.260089507934383</v>
      </c>
      <c r="Q194" s="9">
        <v>14.260089507934383</v>
      </c>
      <c r="R194" s="9">
        <v>14.434686024139818</v>
      </c>
      <c r="S194" s="9">
        <v>14.722027102535575</v>
      </c>
      <c r="T194" s="9">
        <v>15.677715915555218</v>
      </c>
      <c r="U194" s="9">
        <v>17.010379604817192</v>
      </c>
      <c r="V194" s="9">
        <v>17.010379604817192</v>
      </c>
      <c r="W194" s="9">
        <v>17.010379604817192</v>
      </c>
      <c r="X194" s="9">
        <v>16.884570568466835</v>
      </c>
      <c r="Y194" s="9">
        <v>16.884570568466835</v>
      </c>
      <c r="Z194" s="9">
        <v>18.617757359760585</v>
      </c>
      <c r="AA194" s="9">
        <v>18.617757359760585</v>
      </c>
      <c r="AB194" s="9">
        <v>20.52292271594289</v>
      </c>
      <c r="AC194" s="9">
        <v>20.52292271594289</v>
      </c>
      <c r="AD194" s="9">
        <v>22.530627040176761</v>
      </c>
      <c r="AE194" s="9">
        <v>24.654059850225856</v>
      </c>
      <c r="AF194" s="9">
        <v>28.622962393602329</v>
      </c>
      <c r="AG194" s="9">
        <v>28.622962393602329</v>
      </c>
      <c r="AH194" s="9">
        <v>31.011605245024167</v>
      </c>
      <c r="AI194" s="9">
        <v>33.330799286496742</v>
      </c>
      <c r="AJ194" s="9">
        <v>3.0428788910505911</v>
      </c>
    </row>
    <row r="195" spans="1:36" x14ac:dyDescent="0.25">
      <c r="A195" t="s">
        <v>5411</v>
      </c>
      <c r="B195" t="s">
        <v>16</v>
      </c>
      <c r="C195" t="s">
        <v>17</v>
      </c>
      <c r="D195">
        <v>13190000</v>
      </c>
      <c r="E195">
        <v>13199999</v>
      </c>
      <c r="F195" t="s">
        <v>144</v>
      </c>
      <c r="G195" t="str">
        <f t="shared" si="4"/>
        <v>SPI</v>
      </c>
      <c r="H195" t="s">
        <v>19</v>
      </c>
      <c r="I195" t="s">
        <v>20</v>
      </c>
      <c r="J195" t="s">
        <v>62</v>
      </c>
      <c r="K195" s="6">
        <v>0.03</v>
      </c>
      <c r="L195" s="7">
        <f t="shared" si="5"/>
        <v>2E-3</v>
      </c>
      <c r="M195" s="7">
        <v>3.0000000000000001E-3</v>
      </c>
      <c r="N195">
        <v>7</v>
      </c>
      <c r="O195" s="8">
        <v>14.260089507934383</v>
      </c>
      <c r="P195" s="9">
        <v>14.260089507934383</v>
      </c>
      <c r="Q195" s="9">
        <v>14.260089507934383</v>
      </c>
      <c r="R195" s="9">
        <v>14.434686024139818</v>
      </c>
      <c r="S195" s="9">
        <v>14.722027102535575</v>
      </c>
      <c r="T195" s="9">
        <v>15.677715915555218</v>
      </c>
      <c r="U195" s="9">
        <v>17.010379604817192</v>
      </c>
      <c r="V195" s="9">
        <v>17.010379604817192</v>
      </c>
      <c r="W195" s="9">
        <v>17.010379604817192</v>
      </c>
      <c r="X195" s="9">
        <v>16.884570568466835</v>
      </c>
      <c r="Y195" s="9">
        <v>16.884570568466835</v>
      </c>
      <c r="Z195" s="9">
        <v>18.617757359760585</v>
      </c>
      <c r="AA195" s="9">
        <v>18.617757359760585</v>
      </c>
      <c r="AB195" s="9">
        <v>20.52292271594289</v>
      </c>
      <c r="AC195" s="9">
        <v>20.52292271594289</v>
      </c>
      <c r="AD195" s="9">
        <v>22.530627040176761</v>
      </c>
      <c r="AE195" s="9">
        <v>24.654059850225856</v>
      </c>
      <c r="AF195" s="9">
        <v>28.622962393602329</v>
      </c>
      <c r="AG195" s="9">
        <v>28.622962393602329</v>
      </c>
      <c r="AH195" s="9">
        <v>31.011605245024167</v>
      </c>
      <c r="AI195" s="9">
        <v>33.330799286496742</v>
      </c>
      <c r="AJ195" s="9">
        <v>3.0428788910505911</v>
      </c>
    </row>
    <row r="196" spans="1:36" x14ac:dyDescent="0.25">
      <c r="A196" t="s">
        <v>5411</v>
      </c>
      <c r="B196" t="s">
        <v>16</v>
      </c>
      <c r="C196" t="s">
        <v>17</v>
      </c>
      <c r="D196">
        <v>13200000</v>
      </c>
      <c r="E196">
        <v>13219999</v>
      </c>
      <c r="F196" t="s">
        <v>145</v>
      </c>
      <c r="G196" t="str">
        <f t="shared" ref="G196:G259" si="6">H196&amp;IF(J196="CAPITAL","C",IF(J196="INTERIOR","I",IF(J196="INTERIOR II","I II","R")))</f>
        <v>SPI</v>
      </c>
      <c r="H196" t="s">
        <v>19</v>
      </c>
      <c r="I196" t="s">
        <v>20</v>
      </c>
      <c r="J196" t="s">
        <v>62</v>
      </c>
      <c r="K196" s="6">
        <v>0.03</v>
      </c>
      <c r="L196" s="7">
        <f t="shared" ref="L196:L259" si="7">IF(I196="(0) Não",0.2%,3%)</f>
        <v>2E-3</v>
      </c>
      <c r="M196" s="7">
        <v>3.0000000000000001E-3</v>
      </c>
      <c r="N196">
        <v>6</v>
      </c>
      <c r="O196" s="8">
        <v>14.260089507934383</v>
      </c>
      <c r="P196" s="9">
        <v>14.260089507934383</v>
      </c>
      <c r="Q196" s="9">
        <v>14.260089507934383</v>
      </c>
      <c r="R196" s="9">
        <v>14.434686024139818</v>
      </c>
      <c r="S196" s="9">
        <v>14.722027102535575</v>
      </c>
      <c r="T196" s="9">
        <v>15.677715915555218</v>
      </c>
      <c r="U196" s="9">
        <v>17.010379604817192</v>
      </c>
      <c r="V196" s="9">
        <v>17.010379604817192</v>
      </c>
      <c r="W196" s="9">
        <v>17.010379604817192</v>
      </c>
      <c r="X196" s="9">
        <v>16.884570568466835</v>
      </c>
      <c r="Y196" s="9">
        <v>16.884570568466835</v>
      </c>
      <c r="Z196" s="9">
        <v>18.617757359760585</v>
      </c>
      <c r="AA196" s="9">
        <v>18.617757359760585</v>
      </c>
      <c r="AB196" s="9">
        <v>20.52292271594289</v>
      </c>
      <c r="AC196" s="9">
        <v>20.52292271594289</v>
      </c>
      <c r="AD196" s="9">
        <v>22.530627040176761</v>
      </c>
      <c r="AE196" s="9">
        <v>24.654059850225856</v>
      </c>
      <c r="AF196" s="9">
        <v>28.622962393602329</v>
      </c>
      <c r="AG196" s="9">
        <v>28.622962393602329</v>
      </c>
      <c r="AH196" s="9">
        <v>31.011605245024167</v>
      </c>
      <c r="AI196" s="9">
        <v>33.330799286496742</v>
      </c>
      <c r="AJ196" s="9">
        <v>3.0428788910505911</v>
      </c>
    </row>
    <row r="197" spans="1:36" x14ac:dyDescent="0.25">
      <c r="A197" t="s">
        <v>5411</v>
      </c>
      <c r="B197" t="s">
        <v>16</v>
      </c>
      <c r="C197" t="s">
        <v>17</v>
      </c>
      <c r="D197">
        <v>13220000</v>
      </c>
      <c r="E197">
        <v>13229999</v>
      </c>
      <c r="F197" t="s">
        <v>146</v>
      </c>
      <c r="G197" t="str">
        <f t="shared" si="6"/>
        <v>SPI</v>
      </c>
      <c r="H197" t="s">
        <v>19</v>
      </c>
      <c r="I197" t="s">
        <v>20</v>
      </c>
      <c r="J197" t="s">
        <v>62</v>
      </c>
      <c r="K197" s="6">
        <v>0.03</v>
      </c>
      <c r="L197" s="7">
        <f t="shared" si="7"/>
        <v>2E-3</v>
      </c>
      <c r="M197" s="7">
        <v>3.0000000000000001E-3</v>
      </c>
      <c r="N197">
        <v>6</v>
      </c>
      <c r="O197" s="8">
        <v>14.260089507934383</v>
      </c>
      <c r="P197" s="9">
        <v>14.260089507934383</v>
      </c>
      <c r="Q197" s="9">
        <v>14.260089507934383</v>
      </c>
      <c r="R197" s="9">
        <v>14.434686024139818</v>
      </c>
      <c r="S197" s="9">
        <v>14.722027102535575</v>
      </c>
      <c r="T197" s="9">
        <v>15.677715915555218</v>
      </c>
      <c r="U197" s="9">
        <v>17.010379604817192</v>
      </c>
      <c r="V197" s="9">
        <v>17.010379604817192</v>
      </c>
      <c r="W197" s="9">
        <v>17.010379604817192</v>
      </c>
      <c r="X197" s="9">
        <v>16.884570568466835</v>
      </c>
      <c r="Y197" s="9">
        <v>16.884570568466835</v>
      </c>
      <c r="Z197" s="9">
        <v>18.617757359760585</v>
      </c>
      <c r="AA197" s="9">
        <v>18.617757359760585</v>
      </c>
      <c r="AB197" s="9">
        <v>20.52292271594289</v>
      </c>
      <c r="AC197" s="9">
        <v>20.52292271594289</v>
      </c>
      <c r="AD197" s="9">
        <v>22.530627040176761</v>
      </c>
      <c r="AE197" s="9">
        <v>24.654059850225856</v>
      </c>
      <c r="AF197" s="9">
        <v>28.622962393602329</v>
      </c>
      <c r="AG197" s="9">
        <v>28.622962393602329</v>
      </c>
      <c r="AH197" s="9">
        <v>31.011605245024167</v>
      </c>
      <c r="AI197" s="9">
        <v>33.330799286496742</v>
      </c>
      <c r="AJ197" s="9">
        <v>3.0428788910505911</v>
      </c>
    </row>
    <row r="198" spans="1:36" x14ac:dyDescent="0.25">
      <c r="A198" t="s">
        <v>5411</v>
      </c>
      <c r="B198" t="s">
        <v>16</v>
      </c>
      <c r="C198" t="s">
        <v>17</v>
      </c>
      <c r="D198">
        <v>13230000</v>
      </c>
      <c r="E198">
        <v>13239999</v>
      </c>
      <c r="F198" t="s">
        <v>147</v>
      </c>
      <c r="G198" t="str">
        <f t="shared" si="6"/>
        <v>SPI</v>
      </c>
      <c r="H198" t="s">
        <v>19</v>
      </c>
      <c r="I198" t="s">
        <v>20</v>
      </c>
      <c r="J198" t="s">
        <v>62</v>
      </c>
      <c r="K198" s="6">
        <v>0.03</v>
      </c>
      <c r="L198" s="7">
        <f t="shared" si="7"/>
        <v>2E-3</v>
      </c>
      <c r="M198" s="7">
        <v>3.0000000000000001E-3</v>
      </c>
      <c r="N198">
        <v>6</v>
      </c>
      <c r="O198" s="8">
        <v>14.260089507934383</v>
      </c>
      <c r="P198" s="9">
        <v>14.260089507934383</v>
      </c>
      <c r="Q198" s="9">
        <v>14.260089507934383</v>
      </c>
      <c r="R198" s="9">
        <v>14.434686024139818</v>
      </c>
      <c r="S198" s="9">
        <v>14.722027102535575</v>
      </c>
      <c r="T198" s="9">
        <v>15.677715915555218</v>
      </c>
      <c r="U198" s="9">
        <v>17.010379604817192</v>
      </c>
      <c r="V198" s="9">
        <v>17.010379604817192</v>
      </c>
      <c r="W198" s="9">
        <v>17.010379604817192</v>
      </c>
      <c r="X198" s="9">
        <v>16.884570568466835</v>
      </c>
      <c r="Y198" s="9">
        <v>16.884570568466835</v>
      </c>
      <c r="Z198" s="9">
        <v>18.617757359760585</v>
      </c>
      <c r="AA198" s="9">
        <v>18.617757359760585</v>
      </c>
      <c r="AB198" s="9">
        <v>20.52292271594289</v>
      </c>
      <c r="AC198" s="9">
        <v>20.52292271594289</v>
      </c>
      <c r="AD198" s="9">
        <v>22.530627040176761</v>
      </c>
      <c r="AE198" s="9">
        <v>24.654059850225856</v>
      </c>
      <c r="AF198" s="9">
        <v>28.622962393602329</v>
      </c>
      <c r="AG198" s="9">
        <v>28.622962393602329</v>
      </c>
      <c r="AH198" s="9">
        <v>31.011605245024167</v>
      </c>
      <c r="AI198" s="9">
        <v>33.330799286496742</v>
      </c>
      <c r="AJ198" s="9">
        <v>3.0428788910505911</v>
      </c>
    </row>
    <row r="199" spans="1:36" x14ac:dyDescent="0.25">
      <c r="A199" t="s">
        <v>5411</v>
      </c>
      <c r="B199" t="s">
        <v>16</v>
      </c>
      <c r="C199" t="s">
        <v>17</v>
      </c>
      <c r="D199">
        <v>13240000</v>
      </c>
      <c r="E199">
        <v>13249999</v>
      </c>
      <c r="F199" t="s">
        <v>148</v>
      </c>
      <c r="G199" t="str">
        <f t="shared" si="6"/>
        <v>SPI</v>
      </c>
      <c r="H199" t="s">
        <v>19</v>
      </c>
      <c r="I199" t="s">
        <v>20</v>
      </c>
      <c r="J199" t="s">
        <v>62</v>
      </c>
      <c r="K199" s="6">
        <v>0.03</v>
      </c>
      <c r="L199" s="7">
        <f t="shared" si="7"/>
        <v>2E-3</v>
      </c>
      <c r="M199" s="7">
        <v>3.0000000000000001E-3</v>
      </c>
      <c r="N199">
        <v>7</v>
      </c>
      <c r="O199" s="8">
        <v>14.260089507934383</v>
      </c>
      <c r="P199" s="9">
        <v>14.260089507934383</v>
      </c>
      <c r="Q199" s="9">
        <v>14.260089507934383</v>
      </c>
      <c r="R199" s="9">
        <v>14.434686024139818</v>
      </c>
      <c r="S199" s="9">
        <v>14.722027102535575</v>
      </c>
      <c r="T199" s="9">
        <v>15.677715915555218</v>
      </c>
      <c r="U199" s="9">
        <v>17.010379604817192</v>
      </c>
      <c r="V199" s="9">
        <v>17.010379604817192</v>
      </c>
      <c r="W199" s="9">
        <v>17.010379604817192</v>
      </c>
      <c r="X199" s="9">
        <v>16.884570568466835</v>
      </c>
      <c r="Y199" s="9">
        <v>16.884570568466835</v>
      </c>
      <c r="Z199" s="9">
        <v>18.617757359760585</v>
      </c>
      <c r="AA199" s="9">
        <v>18.617757359760585</v>
      </c>
      <c r="AB199" s="9">
        <v>20.52292271594289</v>
      </c>
      <c r="AC199" s="9">
        <v>20.52292271594289</v>
      </c>
      <c r="AD199" s="9">
        <v>22.530627040176761</v>
      </c>
      <c r="AE199" s="9">
        <v>24.654059850225856</v>
      </c>
      <c r="AF199" s="9">
        <v>28.622962393602329</v>
      </c>
      <c r="AG199" s="9">
        <v>28.622962393602329</v>
      </c>
      <c r="AH199" s="9">
        <v>31.011605245024167</v>
      </c>
      <c r="AI199" s="9">
        <v>33.330799286496742</v>
      </c>
      <c r="AJ199" s="9">
        <v>3.0428788910505911</v>
      </c>
    </row>
    <row r="200" spans="1:36" x14ac:dyDescent="0.25">
      <c r="A200" t="s">
        <v>5411</v>
      </c>
      <c r="B200" t="s">
        <v>16</v>
      </c>
      <c r="C200" t="s">
        <v>17</v>
      </c>
      <c r="D200">
        <v>13250000</v>
      </c>
      <c r="E200">
        <v>13259999</v>
      </c>
      <c r="F200" t="s">
        <v>149</v>
      </c>
      <c r="G200" t="str">
        <f t="shared" si="6"/>
        <v>SPI</v>
      </c>
      <c r="H200" t="s">
        <v>19</v>
      </c>
      <c r="I200" t="s">
        <v>20</v>
      </c>
      <c r="J200" t="s">
        <v>62</v>
      </c>
      <c r="K200" s="6">
        <v>0.03</v>
      </c>
      <c r="L200" s="7">
        <f t="shared" si="7"/>
        <v>2E-3</v>
      </c>
      <c r="M200" s="7">
        <v>3.0000000000000001E-3</v>
      </c>
      <c r="N200">
        <v>7</v>
      </c>
      <c r="O200" s="8">
        <v>14.260089507934383</v>
      </c>
      <c r="P200" s="9">
        <v>14.260089507934383</v>
      </c>
      <c r="Q200" s="9">
        <v>14.260089507934383</v>
      </c>
      <c r="R200" s="9">
        <v>14.434686024139818</v>
      </c>
      <c r="S200" s="9">
        <v>14.722027102535575</v>
      </c>
      <c r="T200" s="9">
        <v>15.677715915555218</v>
      </c>
      <c r="U200" s="9">
        <v>17.010379604817192</v>
      </c>
      <c r="V200" s="9">
        <v>17.010379604817192</v>
      </c>
      <c r="W200" s="9">
        <v>17.010379604817192</v>
      </c>
      <c r="X200" s="9">
        <v>16.884570568466835</v>
      </c>
      <c r="Y200" s="9">
        <v>16.884570568466835</v>
      </c>
      <c r="Z200" s="9">
        <v>18.617757359760585</v>
      </c>
      <c r="AA200" s="9">
        <v>18.617757359760585</v>
      </c>
      <c r="AB200" s="9">
        <v>20.52292271594289</v>
      </c>
      <c r="AC200" s="9">
        <v>20.52292271594289</v>
      </c>
      <c r="AD200" s="9">
        <v>22.530627040176761</v>
      </c>
      <c r="AE200" s="9">
        <v>24.654059850225856</v>
      </c>
      <c r="AF200" s="9">
        <v>28.622962393602329</v>
      </c>
      <c r="AG200" s="9">
        <v>28.622962393602329</v>
      </c>
      <c r="AH200" s="9">
        <v>31.011605245024167</v>
      </c>
      <c r="AI200" s="9">
        <v>33.330799286496742</v>
      </c>
      <c r="AJ200" s="9">
        <v>3.0428788910505911</v>
      </c>
    </row>
    <row r="201" spans="1:36" x14ac:dyDescent="0.25">
      <c r="A201" t="s">
        <v>5411</v>
      </c>
      <c r="B201" t="s">
        <v>16</v>
      </c>
      <c r="C201" t="s">
        <v>17</v>
      </c>
      <c r="D201">
        <v>13260000</v>
      </c>
      <c r="E201">
        <v>13269999</v>
      </c>
      <c r="F201" t="s">
        <v>150</v>
      </c>
      <c r="G201" t="str">
        <f t="shared" si="6"/>
        <v>SPI II</v>
      </c>
      <c r="H201" t="s">
        <v>19</v>
      </c>
      <c r="I201" t="s">
        <v>20</v>
      </c>
      <c r="J201" t="s">
        <v>64</v>
      </c>
      <c r="K201" s="6">
        <v>0.03</v>
      </c>
      <c r="L201" s="7">
        <f t="shared" si="7"/>
        <v>2E-3</v>
      </c>
      <c r="M201" s="7">
        <v>3.0000000000000001E-3</v>
      </c>
      <c r="N201">
        <v>7</v>
      </c>
      <c r="O201" s="8">
        <v>17.934556092922943</v>
      </c>
      <c r="P201" s="9">
        <v>17.934556092922943</v>
      </c>
      <c r="Q201" s="9">
        <v>17.934556092922943</v>
      </c>
      <c r="R201" s="9">
        <v>18.35577997371016</v>
      </c>
      <c r="S201" s="9">
        <v>18.404835306435746</v>
      </c>
      <c r="T201" s="9">
        <v>19.112621008962602</v>
      </c>
      <c r="U201" s="9">
        <v>20.35176903227914</v>
      </c>
      <c r="V201" s="9">
        <v>20.35176903227914</v>
      </c>
      <c r="W201" s="9">
        <v>20.35176903227914</v>
      </c>
      <c r="X201" s="9">
        <v>19.91589544268896</v>
      </c>
      <c r="Y201" s="9">
        <v>19.91589544268896</v>
      </c>
      <c r="Z201" s="9">
        <v>21.609947773831163</v>
      </c>
      <c r="AA201" s="9">
        <v>21.609947773831163</v>
      </c>
      <c r="AB201" s="9">
        <v>23.372671736151272</v>
      </c>
      <c r="AC201" s="9">
        <v>23.372671736151272</v>
      </c>
      <c r="AD201" s="9">
        <v>26.430826810726163</v>
      </c>
      <c r="AE201" s="9">
        <v>27.959768706413232</v>
      </c>
      <c r="AF201" s="9">
        <v>29.772701744670762</v>
      </c>
      <c r="AG201" s="9">
        <v>29.772701744670762</v>
      </c>
      <c r="AH201" s="9">
        <v>32.589351949315954</v>
      </c>
      <c r="AI201" s="9">
        <v>34.825222308406182</v>
      </c>
      <c r="AJ201" s="9">
        <v>3.0428788910505911</v>
      </c>
    </row>
    <row r="202" spans="1:36" x14ac:dyDescent="0.25">
      <c r="A202" t="s">
        <v>5411</v>
      </c>
      <c r="B202" t="s">
        <v>16</v>
      </c>
      <c r="C202" t="s">
        <v>17</v>
      </c>
      <c r="D202">
        <v>13270000</v>
      </c>
      <c r="E202">
        <v>13279999</v>
      </c>
      <c r="F202" t="s">
        <v>151</v>
      </c>
      <c r="G202" t="str">
        <f t="shared" si="6"/>
        <v>SPI</v>
      </c>
      <c r="H202" t="s">
        <v>19</v>
      </c>
      <c r="I202" t="s">
        <v>20</v>
      </c>
      <c r="J202" t="s">
        <v>62</v>
      </c>
      <c r="K202" s="6">
        <v>0.03</v>
      </c>
      <c r="L202" s="7">
        <f t="shared" si="7"/>
        <v>2E-3</v>
      </c>
      <c r="M202" s="7">
        <v>3.0000000000000001E-3</v>
      </c>
      <c r="N202">
        <v>6</v>
      </c>
      <c r="O202" s="8">
        <v>14.260089507934383</v>
      </c>
      <c r="P202" s="9">
        <v>14.260089507934383</v>
      </c>
      <c r="Q202" s="9">
        <v>14.260089507934383</v>
      </c>
      <c r="R202" s="9">
        <v>14.434686024139818</v>
      </c>
      <c r="S202" s="9">
        <v>14.722027102535575</v>
      </c>
      <c r="T202" s="9">
        <v>15.677715915555218</v>
      </c>
      <c r="U202" s="9">
        <v>17.010379604817192</v>
      </c>
      <c r="V202" s="9">
        <v>17.010379604817192</v>
      </c>
      <c r="W202" s="9">
        <v>17.010379604817192</v>
      </c>
      <c r="X202" s="9">
        <v>16.884570568466835</v>
      </c>
      <c r="Y202" s="9">
        <v>16.884570568466835</v>
      </c>
      <c r="Z202" s="9">
        <v>18.617757359760585</v>
      </c>
      <c r="AA202" s="9">
        <v>18.617757359760585</v>
      </c>
      <c r="AB202" s="9">
        <v>20.52292271594289</v>
      </c>
      <c r="AC202" s="9">
        <v>20.52292271594289</v>
      </c>
      <c r="AD202" s="9">
        <v>22.530627040176761</v>
      </c>
      <c r="AE202" s="9">
        <v>24.654059850225856</v>
      </c>
      <c r="AF202" s="9">
        <v>28.622962393602329</v>
      </c>
      <c r="AG202" s="9">
        <v>28.622962393602329</v>
      </c>
      <c r="AH202" s="9">
        <v>31.011605245024167</v>
      </c>
      <c r="AI202" s="9">
        <v>33.330799286496742</v>
      </c>
      <c r="AJ202" s="9">
        <v>3.0428788910505911</v>
      </c>
    </row>
    <row r="203" spans="1:36" x14ac:dyDescent="0.25">
      <c r="A203" t="s">
        <v>5411</v>
      </c>
      <c r="B203" t="s">
        <v>16</v>
      </c>
      <c r="C203" t="s">
        <v>17</v>
      </c>
      <c r="D203">
        <v>13280000</v>
      </c>
      <c r="E203">
        <v>13289999</v>
      </c>
      <c r="F203" t="s">
        <v>152</v>
      </c>
      <c r="G203" t="str">
        <f t="shared" si="6"/>
        <v>SPI</v>
      </c>
      <c r="H203" t="s">
        <v>19</v>
      </c>
      <c r="I203" t="s">
        <v>20</v>
      </c>
      <c r="J203" t="s">
        <v>62</v>
      </c>
      <c r="K203" s="6">
        <v>0.03</v>
      </c>
      <c r="L203" s="7">
        <f t="shared" si="7"/>
        <v>2E-3</v>
      </c>
      <c r="M203" s="7">
        <v>3.0000000000000001E-3</v>
      </c>
      <c r="N203">
        <v>6</v>
      </c>
      <c r="O203" s="8">
        <v>14.260089507934383</v>
      </c>
      <c r="P203" s="9">
        <v>14.260089507934383</v>
      </c>
      <c r="Q203" s="9">
        <v>14.260089507934383</v>
      </c>
      <c r="R203" s="9">
        <v>14.434686024139818</v>
      </c>
      <c r="S203" s="9">
        <v>14.722027102535575</v>
      </c>
      <c r="T203" s="9">
        <v>15.677715915555218</v>
      </c>
      <c r="U203" s="9">
        <v>17.010379604817192</v>
      </c>
      <c r="V203" s="9">
        <v>17.010379604817192</v>
      </c>
      <c r="W203" s="9">
        <v>17.010379604817192</v>
      </c>
      <c r="X203" s="9">
        <v>16.884570568466835</v>
      </c>
      <c r="Y203" s="9">
        <v>16.884570568466835</v>
      </c>
      <c r="Z203" s="9">
        <v>18.617757359760585</v>
      </c>
      <c r="AA203" s="9">
        <v>18.617757359760585</v>
      </c>
      <c r="AB203" s="9">
        <v>20.52292271594289</v>
      </c>
      <c r="AC203" s="9">
        <v>20.52292271594289</v>
      </c>
      <c r="AD203" s="9">
        <v>22.530627040176761</v>
      </c>
      <c r="AE203" s="9">
        <v>24.654059850225856</v>
      </c>
      <c r="AF203" s="9">
        <v>28.622962393602329</v>
      </c>
      <c r="AG203" s="9">
        <v>28.622962393602329</v>
      </c>
      <c r="AH203" s="9">
        <v>31.011605245024167</v>
      </c>
      <c r="AI203" s="9">
        <v>33.330799286496742</v>
      </c>
      <c r="AJ203" s="9">
        <v>3.0428788910505911</v>
      </c>
    </row>
    <row r="204" spans="1:36" x14ac:dyDescent="0.25">
      <c r="A204" t="s">
        <v>5411</v>
      </c>
      <c r="B204" t="s">
        <v>16</v>
      </c>
      <c r="C204" t="s">
        <v>17</v>
      </c>
      <c r="D204">
        <v>13290000</v>
      </c>
      <c r="E204">
        <v>13294999</v>
      </c>
      <c r="F204" t="s">
        <v>153</v>
      </c>
      <c r="G204" t="str">
        <f t="shared" si="6"/>
        <v>SPI</v>
      </c>
      <c r="H204" t="s">
        <v>19</v>
      </c>
      <c r="I204" t="s">
        <v>20</v>
      </c>
      <c r="J204" t="s">
        <v>62</v>
      </c>
      <c r="K204" s="6">
        <v>0.03</v>
      </c>
      <c r="L204" s="7">
        <f t="shared" si="7"/>
        <v>2E-3</v>
      </c>
      <c r="M204" s="7">
        <v>3.0000000000000001E-3</v>
      </c>
      <c r="N204">
        <v>6</v>
      </c>
      <c r="O204" s="8">
        <v>14.260089507934383</v>
      </c>
      <c r="P204" s="9">
        <v>14.260089507934383</v>
      </c>
      <c r="Q204" s="9">
        <v>14.260089507934383</v>
      </c>
      <c r="R204" s="9">
        <v>14.434686024139818</v>
      </c>
      <c r="S204" s="9">
        <v>14.722027102535575</v>
      </c>
      <c r="T204" s="9">
        <v>15.677715915555218</v>
      </c>
      <c r="U204" s="9">
        <v>17.010379604817192</v>
      </c>
      <c r="V204" s="9">
        <v>17.010379604817192</v>
      </c>
      <c r="W204" s="9">
        <v>17.010379604817192</v>
      </c>
      <c r="X204" s="9">
        <v>16.884570568466835</v>
      </c>
      <c r="Y204" s="9">
        <v>16.884570568466835</v>
      </c>
      <c r="Z204" s="9">
        <v>18.617757359760585</v>
      </c>
      <c r="AA204" s="9">
        <v>18.617757359760585</v>
      </c>
      <c r="AB204" s="9">
        <v>20.52292271594289</v>
      </c>
      <c r="AC204" s="9">
        <v>20.52292271594289</v>
      </c>
      <c r="AD204" s="9">
        <v>22.530627040176761</v>
      </c>
      <c r="AE204" s="9">
        <v>24.654059850225856</v>
      </c>
      <c r="AF204" s="9">
        <v>28.622962393602329</v>
      </c>
      <c r="AG204" s="9">
        <v>28.622962393602329</v>
      </c>
      <c r="AH204" s="9">
        <v>31.011605245024167</v>
      </c>
      <c r="AI204" s="9">
        <v>33.330799286496742</v>
      </c>
      <c r="AJ204" s="9">
        <v>3.0428788910505911</v>
      </c>
    </row>
    <row r="205" spans="1:36" x14ac:dyDescent="0.25">
      <c r="A205" t="s">
        <v>5411</v>
      </c>
      <c r="B205" t="s">
        <v>16</v>
      </c>
      <c r="C205" t="s">
        <v>17</v>
      </c>
      <c r="D205">
        <v>13295000</v>
      </c>
      <c r="E205">
        <v>13299999</v>
      </c>
      <c r="F205" t="s">
        <v>154</v>
      </c>
      <c r="G205" t="str">
        <f t="shared" si="6"/>
        <v>SPI</v>
      </c>
      <c r="H205" t="s">
        <v>19</v>
      </c>
      <c r="I205" t="s">
        <v>20</v>
      </c>
      <c r="J205" t="s">
        <v>62</v>
      </c>
      <c r="K205" s="6">
        <v>0.03</v>
      </c>
      <c r="L205" s="7">
        <f t="shared" si="7"/>
        <v>2E-3</v>
      </c>
      <c r="M205" s="7">
        <v>3.0000000000000001E-3</v>
      </c>
      <c r="N205">
        <v>6</v>
      </c>
      <c r="O205" s="8">
        <v>14.260089507934383</v>
      </c>
      <c r="P205" s="9">
        <v>14.260089507934383</v>
      </c>
      <c r="Q205" s="9">
        <v>14.260089507934383</v>
      </c>
      <c r="R205" s="9">
        <v>14.434686024139818</v>
      </c>
      <c r="S205" s="9">
        <v>14.722027102535575</v>
      </c>
      <c r="T205" s="9">
        <v>15.677715915555218</v>
      </c>
      <c r="U205" s="9">
        <v>17.010379604817192</v>
      </c>
      <c r="V205" s="9">
        <v>17.010379604817192</v>
      </c>
      <c r="W205" s="9">
        <v>17.010379604817192</v>
      </c>
      <c r="X205" s="9">
        <v>16.884570568466835</v>
      </c>
      <c r="Y205" s="9">
        <v>16.884570568466835</v>
      </c>
      <c r="Z205" s="9">
        <v>18.617757359760585</v>
      </c>
      <c r="AA205" s="9">
        <v>18.617757359760585</v>
      </c>
      <c r="AB205" s="9">
        <v>20.52292271594289</v>
      </c>
      <c r="AC205" s="9">
        <v>20.52292271594289</v>
      </c>
      <c r="AD205" s="9">
        <v>22.530627040176761</v>
      </c>
      <c r="AE205" s="9">
        <v>24.654059850225856</v>
      </c>
      <c r="AF205" s="9">
        <v>28.622962393602329</v>
      </c>
      <c r="AG205" s="9">
        <v>28.622962393602329</v>
      </c>
      <c r="AH205" s="9">
        <v>31.011605245024167</v>
      </c>
      <c r="AI205" s="9">
        <v>33.330799286496742</v>
      </c>
      <c r="AJ205" s="9">
        <v>3.0428788910505911</v>
      </c>
    </row>
    <row r="206" spans="1:36" x14ac:dyDescent="0.25">
      <c r="A206" t="s">
        <v>5411</v>
      </c>
      <c r="B206" t="s">
        <v>16</v>
      </c>
      <c r="C206" t="s">
        <v>17</v>
      </c>
      <c r="D206">
        <v>13300000</v>
      </c>
      <c r="E206">
        <v>13314999</v>
      </c>
      <c r="F206" t="s">
        <v>155</v>
      </c>
      <c r="G206" t="str">
        <f t="shared" si="6"/>
        <v>SPI</v>
      </c>
      <c r="H206" t="s">
        <v>19</v>
      </c>
      <c r="I206" t="s">
        <v>20</v>
      </c>
      <c r="J206" t="s">
        <v>62</v>
      </c>
      <c r="K206" s="6">
        <v>0.03</v>
      </c>
      <c r="L206" s="7">
        <f t="shared" si="7"/>
        <v>2E-3</v>
      </c>
      <c r="M206" s="7">
        <v>3.0000000000000001E-3</v>
      </c>
      <c r="N206">
        <v>6</v>
      </c>
      <c r="O206" s="8">
        <v>14.260089507934383</v>
      </c>
      <c r="P206" s="9">
        <v>14.260089507934383</v>
      </c>
      <c r="Q206" s="9">
        <v>14.260089507934383</v>
      </c>
      <c r="R206" s="9">
        <v>14.434686024139818</v>
      </c>
      <c r="S206" s="9">
        <v>14.722027102535575</v>
      </c>
      <c r="T206" s="9">
        <v>15.677715915555218</v>
      </c>
      <c r="U206" s="9">
        <v>17.010379604817192</v>
      </c>
      <c r="V206" s="9">
        <v>17.010379604817192</v>
      </c>
      <c r="W206" s="9">
        <v>17.010379604817192</v>
      </c>
      <c r="X206" s="9">
        <v>16.884570568466835</v>
      </c>
      <c r="Y206" s="9">
        <v>16.884570568466835</v>
      </c>
      <c r="Z206" s="9">
        <v>18.617757359760585</v>
      </c>
      <c r="AA206" s="9">
        <v>18.617757359760585</v>
      </c>
      <c r="AB206" s="9">
        <v>20.52292271594289</v>
      </c>
      <c r="AC206" s="9">
        <v>20.52292271594289</v>
      </c>
      <c r="AD206" s="9">
        <v>22.530627040176761</v>
      </c>
      <c r="AE206" s="9">
        <v>24.654059850225856</v>
      </c>
      <c r="AF206" s="9">
        <v>28.622962393602329</v>
      </c>
      <c r="AG206" s="9">
        <v>28.622962393602329</v>
      </c>
      <c r="AH206" s="9">
        <v>31.011605245024167</v>
      </c>
      <c r="AI206" s="9">
        <v>33.330799286496742</v>
      </c>
      <c r="AJ206" s="9">
        <v>3.0428788910505911</v>
      </c>
    </row>
    <row r="207" spans="1:36" x14ac:dyDescent="0.25">
      <c r="A207" t="s">
        <v>5411</v>
      </c>
      <c r="B207" t="s">
        <v>16</v>
      </c>
      <c r="C207" t="s">
        <v>17</v>
      </c>
      <c r="D207">
        <v>13315000</v>
      </c>
      <c r="E207">
        <v>13319999</v>
      </c>
      <c r="F207" t="s">
        <v>156</v>
      </c>
      <c r="G207" t="str">
        <f t="shared" si="6"/>
        <v>SPI</v>
      </c>
      <c r="H207" t="s">
        <v>19</v>
      </c>
      <c r="I207" t="s">
        <v>20</v>
      </c>
      <c r="J207" t="s">
        <v>62</v>
      </c>
      <c r="K207" s="6">
        <v>0.03</v>
      </c>
      <c r="L207" s="7">
        <f t="shared" si="7"/>
        <v>2E-3</v>
      </c>
      <c r="M207" s="7">
        <v>3.0000000000000001E-3</v>
      </c>
      <c r="N207">
        <v>6</v>
      </c>
      <c r="O207" s="8">
        <v>14.260089507934383</v>
      </c>
      <c r="P207" s="9">
        <v>14.260089507934383</v>
      </c>
      <c r="Q207" s="9">
        <v>14.260089507934383</v>
      </c>
      <c r="R207" s="9">
        <v>14.434686024139818</v>
      </c>
      <c r="S207" s="9">
        <v>14.722027102535575</v>
      </c>
      <c r="T207" s="9">
        <v>15.677715915555218</v>
      </c>
      <c r="U207" s="9">
        <v>17.010379604817192</v>
      </c>
      <c r="V207" s="9">
        <v>17.010379604817192</v>
      </c>
      <c r="W207" s="9">
        <v>17.010379604817192</v>
      </c>
      <c r="X207" s="9">
        <v>16.884570568466835</v>
      </c>
      <c r="Y207" s="9">
        <v>16.884570568466835</v>
      </c>
      <c r="Z207" s="9">
        <v>18.617757359760585</v>
      </c>
      <c r="AA207" s="9">
        <v>18.617757359760585</v>
      </c>
      <c r="AB207" s="9">
        <v>20.52292271594289</v>
      </c>
      <c r="AC207" s="9">
        <v>20.52292271594289</v>
      </c>
      <c r="AD207" s="9">
        <v>22.530627040176761</v>
      </c>
      <c r="AE207" s="9">
        <v>24.654059850225856</v>
      </c>
      <c r="AF207" s="9">
        <v>28.622962393602329</v>
      </c>
      <c r="AG207" s="9">
        <v>28.622962393602329</v>
      </c>
      <c r="AH207" s="9">
        <v>31.011605245024167</v>
      </c>
      <c r="AI207" s="9">
        <v>33.330799286496742</v>
      </c>
      <c r="AJ207" s="9">
        <v>3.0428788910505911</v>
      </c>
    </row>
    <row r="208" spans="1:36" x14ac:dyDescent="0.25">
      <c r="A208" t="s">
        <v>5411</v>
      </c>
      <c r="B208" t="s">
        <v>16</v>
      </c>
      <c r="C208" t="s">
        <v>17</v>
      </c>
      <c r="D208">
        <v>13320000</v>
      </c>
      <c r="E208">
        <v>13329999</v>
      </c>
      <c r="F208" t="s">
        <v>157</v>
      </c>
      <c r="G208" t="str">
        <f t="shared" si="6"/>
        <v>SPI</v>
      </c>
      <c r="H208" t="s">
        <v>19</v>
      </c>
      <c r="I208" t="s">
        <v>20</v>
      </c>
      <c r="J208" t="s">
        <v>62</v>
      </c>
      <c r="K208" s="6">
        <v>0.03</v>
      </c>
      <c r="L208" s="7">
        <f t="shared" si="7"/>
        <v>2E-3</v>
      </c>
      <c r="M208" s="7">
        <v>3.0000000000000001E-3</v>
      </c>
      <c r="N208">
        <v>7</v>
      </c>
      <c r="O208" s="8">
        <v>14.260089507934383</v>
      </c>
      <c r="P208" s="9">
        <v>14.260089507934383</v>
      </c>
      <c r="Q208" s="9">
        <v>14.260089507934383</v>
      </c>
      <c r="R208" s="9">
        <v>14.434686024139818</v>
      </c>
      <c r="S208" s="9">
        <v>14.722027102535575</v>
      </c>
      <c r="T208" s="9">
        <v>15.677715915555218</v>
      </c>
      <c r="U208" s="9">
        <v>17.010379604817192</v>
      </c>
      <c r="V208" s="9">
        <v>17.010379604817192</v>
      </c>
      <c r="W208" s="9">
        <v>17.010379604817192</v>
      </c>
      <c r="X208" s="9">
        <v>16.884570568466835</v>
      </c>
      <c r="Y208" s="9">
        <v>16.884570568466835</v>
      </c>
      <c r="Z208" s="9">
        <v>18.617757359760585</v>
      </c>
      <c r="AA208" s="9">
        <v>18.617757359760585</v>
      </c>
      <c r="AB208" s="9">
        <v>20.52292271594289</v>
      </c>
      <c r="AC208" s="9">
        <v>20.52292271594289</v>
      </c>
      <c r="AD208" s="9">
        <v>22.530627040176761</v>
      </c>
      <c r="AE208" s="9">
        <v>24.654059850225856</v>
      </c>
      <c r="AF208" s="9">
        <v>28.622962393602329</v>
      </c>
      <c r="AG208" s="9">
        <v>28.622962393602329</v>
      </c>
      <c r="AH208" s="9">
        <v>31.011605245024167</v>
      </c>
      <c r="AI208" s="9">
        <v>33.330799286496742</v>
      </c>
      <c r="AJ208" s="9">
        <v>3.0428788910505911</v>
      </c>
    </row>
    <row r="209" spans="1:36" x14ac:dyDescent="0.25">
      <c r="A209" t="s">
        <v>5411</v>
      </c>
      <c r="B209" t="s">
        <v>16</v>
      </c>
      <c r="C209" t="s">
        <v>17</v>
      </c>
      <c r="D209">
        <v>13330000</v>
      </c>
      <c r="E209">
        <v>13349999</v>
      </c>
      <c r="F209" t="s">
        <v>158</v>
      </c>
      <c r="G209" t="str">
        <f t="shared" si="6"/>
        <v>SPI</v>
      </c>
      <c r="H209" t="s">
        <v>19</v>
      </c>
      <c r="I209" t="s">
        <v>20</v>
      </c>
      <c r="J209" t="s">
        <v>62</v>
      </c>
      <c r="K209" s="6">
        <v>0.03</v>
      </c>
      <c r="L209" s="7">
        <f t="shared" si="7"/>
        <v>2E-3</v>
      </c>
      <c r="M209" s="7">
        <v>3.0000000000000001E-3</v>
      </c>
      <c r="N209">
        <v>6</v>
      </c>
      <c r="O209" s="8">
        <v>14.260089507934383</v>
      </c>
      <c r="P209" s="9">
        <v>14.260089507934383</v>
      </c>
      <c r="Q209" s="9">
        <v>14.260089507934383</v>
      </c>
      <c r="R209" s="9">
        <v>14.434686024139818</v>
      </c>
      <c r="S209" s="9">
        <v>14.722027102535575</v>
      </c>
      <c r="T209" s="9">
        <v>15.677715915555218</v>
      </c>
      <c r="U209" s="9">
        <v>17.010379604817192</v>
      </c>
      <c r="V209" s="9">
        <v>17.010379604817192</v>
      </c>
      <c r="W209" s="9">
        <v>17.010379604817192</v>
      </c>
      <c r="X209" s="9">
        <v>16.884570568466835</v>
      </c>
      <c r="Y209" s="9">
        <v>16.884570568466835</v>
      </c>
      <c r="Z209" s="9">
        <v>18.617757359760585</v>
      </c>
      <c r="AA209" s="9">
        <v>18.617757359760585</v>
      </c>
      <c r="AB209" s="9">
        <v>20.52292271594289</v>
      </c>
      <c r="AC209" s="9">
        <v>20.52292271594289</v>
      </c>
      <c r="AD209" s="9">
        <v>22.530627040176761</v>
      </c>
      <c r="AE209" s="9">
        <v>24.654059850225856</v>
      </c>
      <c r="AF209" s="9">
        <v>28.622962393602329</v>
      </c>
      <c r="AG209" s="9">
        <v>28.622962393602329</v>
      </c>
      <c r="AH209" s="9">
        <v>31.011605245024167</v>
      </c>
      <c r="AI209" s="9">
        <v>33.330799286496742</v>
      </c>
      <c r="AJ209" s="9">
        <v>3.0428788910505911</v>
      </c>
    </row>
    <row r="210" spans="1:36" x14ac:dyDescent="0.25">
      <c r="A210" t="s">
        <v>5411</v>
      </c>
      <c r="B210" t="s">
        <v>16</v>
      </c>
      <c r="C210" t="s">
        <v>17</v>
      </c>
      <c r="D210">
        <v>13350000</v>
      </c>
      <c r="E210">
        <v>13359999</v>
      </c>
      <c r="F210" t="s">
        <v>159</v>
      </c>
      <c r="G210" t="str">
        <f t="shared" si="6"/>
        <v>SPI II</v>
      </c>
      <c r="H210" t="s">
        <v>19</v>
      </c>
      <c r="I210" t="s">
        <v>20</v>
      </c>
      <c r="J210" t="s">
        <v>64</v>
      </c>
      <c r="K210" s="6">
        <v>0.03</v>
      </c>
      <c r="L210" s="7">
        <f t="shared" si="7"/>
        <v>2E-3</v>
      </c>
      <c r="M210" s="7">
        <v>3.0000000000000001E-3</v>
      </c>
      <c r="N210">
        <v>7</v>
      </c>
      <c r="O210" s="8">
        <v>17.934556092922943</v>
      </c>
      <c r="P210" s="9">
        <v>17.934556092922943</v>
      </c>
      <c r="Q210" s="9">
        <v>17.934556092922943</v>
      </c>
      <c r="R210" s="9">
        <v>18.35577997371016</v>
      </c>
      <c r="S210" s="9">
        <v>18.404835306435746</v>
      </c>
      <c r="T210" s="9">
        <v>19.112621008962602</v>
      </c>
      <c r="U210" s="9">
        <v>20.35176903227914</v>
      </c>
      <c r="V210" s="9">
        <v>20.35176903227914</v>
      </c>
      <c r="W210" s="9">
        <v>20.35176903227914</v>
      </c>
      <c r="X210" s="9">
        <v>19.91589544268896</v>
      </c>
      <c r="Y210" s="9">
        <v>19.91589544268896</v>
      </c>
      <c r="Z210" s="9">
        <v>21.609947773831163</v>
      </c>
      <c r="AA210" s="9">
        <v>21.609947773831163</v>
      </c>
      <c r="AB210" s="9">
        <v>23.372671736151272</v>
      </c>
      <c r="AC210" s="9">
        <v>23.372671736151272</v>
      </c>
      <c r="AD210" s="9">
        <v>26.430826810726163</v>
      </c>
      <c r="AE210" s="9">
        <v>27.959768706413232</v>
      </c>
      <c r="AF210" s="9">
        <v>29.772701744670762</v>
      </c>
      <c r="AG210" s="9">
        <v>29.772701744670762</v>
      </c>
      <c r="AH210" s="9">
        <v>32.589351949315954</v>
      </c>
      <c r="AI210" s="9">
        <v>34.825222308406182</v>
      </c>
      <c r="AJ210" s="9">
        <v>3.0428788910505911</v>
      </c>
    </row>
    <row r="211" spans="1:36" x14ac:dyDescent="0.25">
      <c r="A211" t="s">
        <v>5411</v>
      </c>
      <c r="B211" t="s">
        <v>16</v>
      </c>
      <c r="C211" t="s">
        <v>17</v>
      </c>
      <c r="D211">
        <v>13360000</v>
      </c>
      <c r="E211">
        <v>13369999</v>
      </c>
      <c r="F211" t="s">
        <v>160</v>
      </c>
      <c r="G211" t="str">
        <f t="shared" si="6"/>
        <v>SPI II</v>
      </c>
      <c r="H211" t="s">
        <v>19</v>
      </c>
      <c r="I211" t="s">
        <v>20</v>
      </c>
      <c r="J211" t="s">
        <v>64</v>
      </c>
      <c r="K211" s="6">
        <v>0.03</v>
      </c>
      <c r="L211" s="7">
        <f t="shared" si="7"/>
        <v>2E-3</v>
      </c>
      <c r="M211" s="7">
        <v>3.0000000000000001E-3</v>
      </c>
      <c r="N211">
        <v>7</v>
      </c>
      <c r="O211" s="8">
        <v>17.934556092922943</v>
      </c>
      <c r="P211" s="9">
        <v>17.934556092922943</v>
      </c>
      <c r="Q211" s="9">
        <v>17.934556092922943</v>
      </c>
      <c r="R211" s="9">
        <v>18.35577997371016</v>
      </c>
      <c r="S211" s="9">
        <v>18.404835306435746</v>
      </c>
      <c r="T211" s="9">
        <v>19.112621008962602</v>
      </c>
      <c r="U211" s="9">
        <v>20.35176903227914</v>
      </c>
      <c r="V211" s="9">
        <v>20.35176903227914</v>
      </c>
      <c r="W211" s="9">
        <v>20.35176903227914</v>
      </c>
      <c r="X211" s="9">
        <v>19.91589544268896</v>
      </c>
      <c r="Y211" s="9">
        <v>19.91589544268896</v>
      </c>
      <c r="Z211" s="9">
        <v>21.609947773831163</v>
      </c>
      <c r="AA211" s="9">
        <v>21.609947773831163</v>
      </c>
      <c r="AB211" s="9">
        <v>23.372671736151272</v>
      </c>
      <c r="AC211" s="9">
        <v>23.372671736151272</v>
      </c>
      <c r="AD211" s="9">
        <v>26.430826810726163</v>
      </c>
      <c r="AE211" s="9">
        <v>27.959768706413232</v>
      </c>
      <c r="AF211" s="9">
        <v>29.772701744670762</v>
      </c>
      <c r="AG211" s="9">
        <v>29.772701744670762</v>
      </c>
      <c r="AH211" s="9">
        <v>32.589351949315954</v>
      </c>
      <c r="AI211" s="9">
        <v>34.825222308406182</v>
      </c>
      <c r="AJ211" s="9">
        <v>3.0428788910505911</v>
      </c>
    </row>
    <row r="212" spans="1:36" x14ac:dyDescent="0.25">
      <c r="A212" t="s">
        <v>5411</v>
      </c>
      <c r="B212" t="s">
        <v>16</v>
      </c>
      <c r="C212" t="s">
        <v>17</v>
      </c>
      <c r="D212">
        <v>13370000</v>
      </c>
      <c r="E212">
        <v>13374999</v>
      </c>
      <c r="F212" t="s">
        <v>161</v>
      </c>
      <c r="G212" t="str">
        <f t="shared" si="6"/>
        <v>SPI II</v>
      </c>
      <c r="H212" t="s">
        <v>19</v>
      </c>
      <c r="I212" t="s">
        <v>20</v>
      </c>
      <c r="J212" t="s">
        <v>64</v>
      </c>
      <c r="K212" s="6">
        <v>0.03</v>
      </c>
      <c r="L212" s="7">
        <f t="shared" si="7"/>
        <v>2E-3</v>
      </c>
      <c r="M212" s="7">
        <v>3.0000000000000001E-3</v>
      </c>
      <c r="N212">
        <v>7</v>
      </c>
      <c r="O212" s="8">
        <v>17.934556092922943</v>
      </c>
      <c r="P212" s="9">
        <v>17.934556092922943</v>
      </c>
      <c r="Q212" s="9">
        <v>17.934556092922943</v>
      </c>
      <c r="R212" s="9">
        <v>18.35577997371016</v>
      </c>
      <c r="S212" s="9">
        <v>18.404835306435746</v>
      </c>
      <c r="T212" s="9">
        <v>19.112621008962602</v>
      </c>
      <c r="U212" s="9">
        <v>20.35176903227914</v>
      </c>
      <c r="V212" s="9">
        <v>20.35176903227914</v>
      </c>
      <c r="W212" s="9">
        <v>20.35176903227914</v>
      </c>
      <c r="X212" s="9">
        <v>19.91589544268896</v>
      </c>
      <c r="Y212" s="9">
        <v>19.91589544268896</v>
      </c>
      <c r="Z212" s="9">
        <v>21.609947773831163</v>
      </c>
      <c r="AA212" s="9">
        <v>21.609947773831163</v>
      </c>
      <c r="AB212" s="9">
        <v>23.372671736151272</v>
      </c>
      <c r="AC212" s="9">
        <v>23.372671736151272</v>
      </c>
      <c r="AD212" s="9">
        <v>26.430826810726163</v>
      </c>
      <c r="AE212" s="9">
        <v>27.959768706413232</v>
      </c>
      <c r="AF212" s="9">
        <v>29.772701744670762</v>
      </c>
      <c r="AG212" s="9">
        <v>29.772701744670762</v>
      </c>
      <c r="AH212" s="9">
        <v>32.589351949315954</v>
      </c>
      <c r="AI212" s="9">
        <v>34.825222308406182</v>
      </c>
      <c r="AJ212" s="9">
        <v>3.0428788910505911</v>
      </c>
    </row>
    <row r="213" spans="1:36" x14ac:dyDescent="0.25">
      <c r="A213" t="s">
        <v>5411</v>
      </c>
      <c r="B213" t="s">
        <v>16</v>
      </c>
      <c r="C213" t="s">
        <v>17</v>
      </c>
      <c r="D213">
        <v>13375000</v>
      </c>
      <c r="E213">
        <v>13379999</v>
      </c>
      <c r="F213" t="s">
        <v>162</v>
      </c>
      <c r="G213" t="str">
        <f t="shared" si="6"/>
        <v>SPI</v>
      </c>
      <c r="H213" t="s">
        <v>19</v>
      </c>
      <c r="I213" t="s">
        <v>20</v>
      </c>
      <c r="J213" t="s">
        <v>62</v>
      </c>
      <c r="K213" s="6">
        <v>0.03</v>
      </c>
      <c r="L213" s="7">
        <f t="shared" si="7"/>
        <v>2E-3</v>
      </c>
      <c r="M213" s="7">
        <v>3.0000000000000001E-3</v>
      </c>
      <c r="N213">
        <v>7</v>
      </c>
      <c r="O213" s="8">
        <v>14.260089507934383</v>
      </c>
      <c r="P213" s="9">
        <v>14.260089507934383</v>
      </c>
      <c r="Q213" s="9">
        <v>14.260089507934383</v>
      </c>
      <c r="R213" s="9">
        <v>14.434686024139818</v>
      </c>
      <c r="S213" s="9">
        <v>14.722027102535575</v>
      </c>
      <c r="T213" s="9">
        <v>15.677715915555218</v>
      </c>
      <c r="U213" s="9">
        <v>17.010379604817192</v>
      </c>
      <c r="V213" s="9">
        <v>17.010379604817192</v>
      </c>
      <c r="W213" s="9">
        <v>17.010379604817192</v>
      </c>
      <c r="X213" s="9">
        <v>16.884570568466835</v>
      </c>
      <c r="Y213" s="9">
        <v>16.884570568466835</v>
      </c>
      <c r="Z213" s="9">
        <v>18.617757359760585</v>
      </c>
      <c r="AA213" s="9">
        <v>18.617757359760585</v>
      </c>
      <c r="AB213" s="9">
        <v>20.52292271594289</v>
      </c>
      <c r="AC213" s="9">
        <v>20.52292271594289</v>
      </c>
      <c r="AD213" s="9">
        <v>22.530627040176761</v>
      </c>
      <c r="AE213" s="9">
        <v>24.654059850225856</v>
      </c>
      <c r="AF213" s="9">
        <v>28.622962393602329</v>
      </c>
      <c r="AG213" s="9">
        <v>28.622962393602329</v>
      </c>
      <c r="AH213" s="9">
        <v>31.011605245024167</v>
      </c>
      <c r="AI213" s="9">
        <v>33.330799286496742</v>
      </c>
      <c r="AJ213" s="9">
        <v>3.0428788910505911</v>
      </c>
    </row>
    <row r="214" spans="1:36" x14ac:dyDescent="0.25">
      <c r="A214" t="s">
        <v>5411</v>
      </c>
      <c r="B214" t="s">
        <v>16</v>
      </c>
      <c r="C214" t="s">
        <v>17</v>
      </c>
      <c r="D214">
        <v>13380000</v>
      </c>
      <c r="E214">
        <v>13389999</v>
      </c>
      <c r="F214" t="s">
        <v>163</v>
      </c>
      <c r="G214" t="str">
        <f t="shared" si="6"/>
        <v>SPI II</v>
      </c>
      <c r="H214" t="s">
        <v>19</v>
      </c>
      <c r="I214" t="s">
        <v>20</v>
      </c>
      <c r="J214" t="s">
        <v>64</v>
      </c>
      <c r="K214" s="6">
        <v>0.03</v>
      </c>
      <c r="L214" s="7">
        <f t="shared" si="7"/>
        <v>2E-3</v>
      </c>
      <c r="M214" s="7">
        <v>3.0000000000000001E-3</v>
      </c>
      <c r="N214">
        <v>7</v>
      </c>
      <c r="O214" s="8">
        <v>17.934556092922943</v>
      </c>
      <c r="P214" s="9">
        <v>17.934556092922943</v>
      </c>
      <c r="Q214" s="9">
        <v>17.934556092922943</v>
      </c>
      <c r="R214" s="9">
        <v>18.35577997371016</v>
      </c>
      <c r="S214" s="9">
        <v>18.404835306435746</v>
      </c>
      <c r="T214" s="9">
        <v>19.112621008962602</v>
      </c>
      <c r="U214" s="9">
        <v>20.35176903227914</v>
      </c>
      <c r="V214" s="9">
        <v>20.35176903227914</v>
      </c>
      <c r="W214" s="9">
        <v>20.35176903227914</v>
      </c>
      <c r="X214" s="9">
        <v>19.91589544268896</v>
      </c>
      <c r="Y214" s="9">
        <v>19.91589544268896</v>
      </c>
      <c r="Z214" s="9">
        <v>21.609947773831163</v>
      </c>
      <c r="AA214" s="9">
        <v>21.609947773831163</v>
      </c>
      <c r="AB214" s="9">
        <v>23.372671736151272</v>
      </c>
      <c r="AC214" s="9">
        <v>23.372671736151272</v>
      </c>
      <c r="AD214" s="9">
        <v>26.430826810726163</v>
      </c>
      <c r="AE214" s="9">
        <v>27.959768706413232</v>
      </c>
      <c r="AF214" s="9">
        <v>29.772701744670762</v>
      </c>
      <c r="AG214" s="9">
        <v>29.772701744670762</v>
      </c>
      <c r="AH214" s="9">
        <v>32.589351949315954</v>
      </c>
      <c r="AI214" s="9">
        <v>34.825222308406182</v>
      </c>
      <c r="AJ214" s="9">
        <v>3.0428788910505911</v>
      </c>
    </row>
    <row r="215" spans="1:36" x14ac:dyDescent="0.25">
      <c r="A215" t="s">
        <v>5411</v>
      </c>
      <c r="B215" t="s">
        <v>16</v>
      </c>
      <c r="C215" t="s">
        <v>17</v>
      </c>
      <c r="D215">
        <v>13390000</v>
      </c>
      <c r="E215">
        <v>13399999</v>
      </c>
      <c r="F215" t="s">
        <v>164</v>
      </c>
      <c r="G215" t="str">
        <f t="shared" si="6"/>
        <v>SPI II</v>
      </c>
      <c r="H215" t="s">
        <v>19</v>
      </c>
      <c r="I215" t="s">
        <v>20</v>
      </c>
      <c r="J215" t="s">
        <v>64</v>
      </c>
      <c r="K215" s="6">
        <v>0.03</v>
      </c>
      <c r="L215" s="7">
        <f t="shared" si="7"/>
        <v>2E-3</v>
      </c>
      <c r="M215" s="7">
        <v>3.0000000000000001E-3</v>
      </c>
      <c r="N215">
        <v>7</v>
      </c>
      <c r="O215" s="8">
        <v>17.934556092922943</v>
      </c>
      <c r="P215" s="9">
        <v>17.934556092922943</v>
      </c>
      <c r="Q215" s="9">
        <v>17.934556092922943</v>
      </c>
      <c r="R215" s="9">
        <v>18.35577997371016</v>
      </c>
      <c r="S215" s="9">
        <v>18.404835306435746</v>
      </c>
      <c r="T215" s="9">
        <v>19.112621008962602</v>
      </c>
      <c r="U215" s="9">
        <v>20.35176903227914</v>
      </c>
      <c r="V215" s="9">
        <v>20.35176903227914</v>
      </c>
      <c r="W215" s="9">
        <v>20.35176903227914</v>
      </c>
      <c r="X215" s="9">
        <v>19.91589544268896</v>
      </c>
      <c r="Y215" s="9">
        <v>19.91589544268896</v>
      </c>
      <c r="Z215" s="9">
        <v>21.609947773831163</v>
      </c>
      <c r="AA215" s="9">
        <v>21.609947773831163</v>
      </c>
      <c r="AB215" s="9">
        <v>23.372671736151272</v>
      </c>
      <c r="AC215" s="9">
        <v>23.372671736151272</v>
      </c>
      <c r="AD215" s="9">
        <v>26.430826810726163</v>
      </c>
      <c r="AE215" s="9">
        <v>27.959768706413232</v>
      </c>
      <c r="AF215" s="9">
        <v>29.772701744670762</v>
      </c>
      <c r="AG215" s="9">
        <v>29.772701744670762</v>
      </c>
      <c r="AH215" s="9">
        <v>32.589351949315954</v>
      </c>
      <c r="AI215" s="9">
        <v>34.825222308406182</v>
      </c>
      <c r="AJ215" s="9">
        <v>3.0428788910505911</v>
      </c>
    </row>
    <row r="216" spans="1:36" x14ac:dyDescent="0.25">
      <c r="A216" t="s">
        <v>5411</v>
      </c>
      <c r="B216" t="s">
        <v>16</v>
      </c>
      <c r="C216" t="s">
        <v>17</v>
      </c>
      <c r="D216">
        <v>13400000</v>
      </c>
      <c r="E216">
        <v>13439999</v>
      </c>
      <c r="F216" t="s">
        <v>165</v>
      </c>
      <c r="G216" t="str">
        <f t="shared" si="6"/>
        <v>SPI</v>
      </c>
      <c r="H216" t="s">
        <v>19</v>
      </c>
      <c r="I216" t="s">
        <v>20</v>
      </c>
      <c r="J216" t="s">
        <v>62</v>
      </c>
      <c r="K216" s="6">
        <v>0.03</v>
      </c>
      <c r="L216" s="7">
        <f t="shared" si="7"/>
        <v>2E-3</v>
      </c>
      <c r="M216" s="7">
        <v>3.0000000000000001E-3</v>
      </c>
      <c r="N216">
        <v>7</v>
      </c>
      <c r="O216" s="8">
        <v>14.260089507934383</v>
      </c>
      <c r="P216" s="9">
        <v>14.260089507934383</v>
      </c>
      <c r="Q216" s="9">
        <v>14.260089507934383</v>
      </c>
      <c r="R216" s="9">
        <v>14.434686024139818</v>
      </c>
      <c r="S216" s="9">
        <v>14.722027102535575</v>
      </c>
      <c r="T216" s="9">
        <v>15.677715915555218</v>
      </c>
      <c r="U216" s="9">
        <v>17.010379604817192</v>
      </c>
      <c r="V216" s="9">
        <v>17.010379604817192</v>
      </c>
      <c r="W216" s="9">
        <v>17.010379604817192</v>
      </c>
      <c r="X216" s="9">
        <v>16.884570568466835</v>
      </c>
      <c r="Y216" s="9">
        <v>16.884570568466835</v>
      </c>
      <c r="Z216" s="9">
        <v>18.617757359760585</v>
      </c>
      <c r="AA216" s="9">
        <v>18.617757359760585</v>
      </c>
      <c r="AB216" s="9">
        <v>20.52292271594289</v>
      </c>
      <c r="AC216" s="9">
        <v>20.52292271594289</v>
      </c>
      <c r="AD216" s="9">
        <v>22.530627040176761</v>
      </c>
      <c r="AE216" s="9">
        <v>24.654059850225856</v>
      </c>
      <c r="AF216" s="9">
        <v>28.622962393602329</v>
      </c>
      <c r="AG216" s="9">
        <v>28.622962393602329</v>
      </c>
      <c r="AH216" s="9">
        <v>31.011605245024167</v>
      </c>
      <c r="AI216" s="9">
        <v>33.330799286496742</v>
      </c>
      <c r="AJ216" s="9">
        <v>3.0428788910505911</v>
      </c>
    </row>
    <row r="217" spans="1:36" x14ac:dyDescent="0.25">
      <c r="A217" t="s">
        <v>5411</v>
      </c>
      <c r="B217" t="s">
        <v>16</v>
      </c>
      <c r="C217" t="s">
        <v>17</v>
      </c>
      <c r="D217">
        <v>13440000</v>
      </c>
      <c r="E217">
        <v>13449999</v>
      </c>
      <c r="F217" t="s">
        <v>166</v>
      </c>
      <c r="G217" t="str">
        <f t="shared" si="6"/>
        <v>SPI II</v>
      </c>
      <c r="H217" t="s">
        <v>19</v>
      </c>
      <c r="I217" t="s">
        <v>20</v>
      </c>
      <c r="J217" t="s">
        <v>64</v>
      </c>
      <c r="K217" s="6">
        <v>0.03</v>
      </c>
      <c r="L217" s="7">
        <f t="shared" si="7"/>
        <v>2E-3</v>
      </c>
      <c r="M217" s="7">
        <v>3.0000000000000001E-3</v>
      </c>
      <c r="N217">
        <v>7</v>
      </c>
      <c r="O217" s="8">
        <v>17.934556092922943</v>
      </c>
      <c r="P217" s="9">
        <v>17.934556092922943</v>
      </c>
      <c r="Q217" s="9">
        <v>17.934556092922943</v>
      </c>
      <c r="R217" s="9">
        <v>18.35577997371016</v>
      </c>
      <c r="S217" s="9">
        <v>18.404835306435746</v>
      </c>
      <c r="T217" s="9">
        <v>19.112621008962602</v>
      </c>
      <c r="U217" s="9">
        <v>20.35176903227914</v>
      </c>
      <c r="V217" s="9">
        <v>20.35176903227914</v>
      </c>
      <c r="W217" s="9">
        <v>20.35176903227914</v>
      </c>
      <c r="X217" s="9">
        <v>19.91589544268896</v>
      </c>
      <c r="Y217" s="9">
        <v>19.91589544268896</v>
      </c>
      <c r="Z217" s="9">
        <v>21.609947773831163</v>
      </c>
      <c r="AA217" s="9">
        <v>21.609947773831163</v>
      </c>
      <c r="AB217" s="9">
        <v>23.372671736151272</v>
      </c>
      <c r="AC217" s="9">
        <v>23.372671736151272</v>
      </c>
      <c r="AD217" s="9">
        <v>26.430826810726163</v>
      </c>
      <c r="AE217" s="9">
        <v>27.959768706413232</v>
      </c>
      <c r="AF217" s="9">
        <v>29.772701744670762</v>
      </c>
      <c r="AG217" s="9">
        <v>29.772701744670762</v>
      </c>
      <c r="AH217" s="9">
        <v>32.589351949315954</v>
      </c>
      <c r="AI217" s="9">
        <v>34.825222308406182</v>
      </c>
      <c r="AJ217" s="9">
        <v>3.0428788910505911</v>
      </c>
    </row>
    <row r="218" spans="1:36" x14ac:dyDescent="0.25">
      <c r="A218" t="s">
        <v>5411</v>
      </c>
      <c r="B218" t="s">
        <v>16</v>
      </c>
      <c r="C218" t="s">
        <v>17</v>
      </c>
      <c r="D218">
        <v>13450000</v>
      </c>
      <c r="E218">
        <v>13450999</v>
      </c>
      <c r="F218" t="s">
        <v>167</v>
      </c>
      <c r="G218" t="str">
        <f t="shared" si="6"/>
        <v>SPI</v>
      </c>
      <c r="H218" t="s">
        <v>19</v>
      </c>
      <c r="I218" t="s">
        <v>20</v>
      </c>
      <c r="J218" t="s">
        <v>62</v>
      </c>
      <c r="K218" s="6">
        <v>0.03</v>
      </c>
      <c r="L218" s="7">
        <f t="shared" si="7"/>
        <v>2E-3</v>
      </c>
      <c r="M218" s="7">
        <v>3.0000000000000001E-3</v>
      </c>
      <c r="N218">
        <v>6</v>
      </c>
      <c r="O218" s="8">
        <v>14.260089507934383</v>
      </c>
      <c r="P218" s="9">
        <v>14.260089507934383</v>
      </c>
      <c r="Q218" s="9">
        <v>14.260089507934383</v>
      </c>
      <c r="R218" s="9">
        <v>14.434686024139818</v>
      </c>
      <c r="S218" s="9">
        <v>14.722027102535575</v>
      </c>
      <c r="T218" s="9">
        <v>15.677715915555218</v>
      </c>
      <c r="U218" s="9">
        <v>17.010379604817192</v>
      </c>
      <c r="V218" s="9">
        <v>17.010379604817192</v>
      </c>
      <c r="W218" s="9">
        <v>17.010379604817192</v>
      </c>
      <c r="X218" s="9">
        <v>16.884570568466835</v>
      </c>
      <c r="Y218" s="9">
        <v>16.884570568466835</v>
      </c>
      <c r="Z218" s="9">
        <v>18.617757359760585</v>
      </c>
      <c r="AA218" s="9">
        <v>18.617757359760585</v>
      </c>
      <c r="AB218" s="9">
        <v>20.52292271594289</v>
      </c>
      <c r="AC218" s="9">
        <v>20.52292271594289</v>
      </c>
      <c r="AD218" s="9">
        <v>22.530627040176761</v>
      </c>
      <c r="AE218" s="9">
        <v>24.654059850225856</v>
      </c>
      <c r="AF218" s="9">
        <v>28.622962393602329</v>
      </c>
      <c r="AG218" s="9">
        <v>28.622962393602329</v>
      </c>
      <c r="AH218" s="9">
        <v>31.011605245024167</v>
      </c>
      <c r="AI218" s="9">
        <v>33.330799286496742</v>
      </c>
      <c r="AJ218" s="9">
        <v>3.0428788910505911</v>
      </c>
    </row>
    <row r="219" spans="1:36" x14ac:dyDescent="0.25">
      <c r="A219" t="s">
        <v>5411</v>
      </c>
      <c r="B219" t="s">
        <v>16</v>
      </c>
      <c r="C219" t="s">
        <v>17</v>
      </c>
      <c r="D219">
        <v>13451000</v>
      </c>
      <c r="E219">
        <v>13459999</v>
      </c>
      <c r="F219" t="s">
        <v>167</v>
      </c>
      <c r="G219" t="str">
        <f t="shared" si="6"/>
        <v>SPI</v>
      </c>
      <c r="H219" t="s">
        <v>19</v>
      </c>
      <c r="I219" t="s">
        <v>20</v>
      </c>
      <c r="J219" t="s">
        <v>62</v>
      </c>
      <c r="K219" s="6">
        <v>0.03</v>
      </c>
      <c r="L219" s="7">
        <f t="shared" si="7"/>
        <v>2E-3</v>
      </c>
      <c r="M219" s="7">
        <v>3.0000000000000001E-3</v>
      </c>
      <c r="N219">
        <v>6</v>
      </c>
      <c r="O219" s="8">
        <v>14.260089507934383</v>
      </c>
      <c r="P219" s="9">
        <v>14.260089507934383</v>
      </c>
      <c r="Q219" s="9">
        <v>14.260089507934383</v>
      </c>
      <c r="R219" s="9">
        <v>14.434686024139818</v>
      </c>
      <c r="S219" s="9">
        <v>14.722027102535575</v>
      </c>
      <c r="T219" s="9">
        <v>15.677715915555218</v>
      </c>
      <c r="U219" s="9">
        <v>17.010379604817192</v>
      </c>
      <c r="V219" s="9">
        <v>17.010379604817192</v>
      </c>
      <c r="W219" s="9">
        <v>17.010379604817192</v>
      </c>
      <c r="X219" s="9">
        <v>16.884570568466835</v>
      </c>
      <c r="Y219" s="9">
        <v>16.884570568466835</v>
      </c>
      <c r="Z219" s="9">
        <v>18.617757359760585</v>
      </c>
      <c r="AA219" s="9">
        <v>18.617757359760585</v>
      </c>
      <c r="AB219" s="9">
        <v>20.52292271594289</v>
      </c>
      <c r="AC219" s="9">
        <v>20.52292271594289</v>
      </c>
      <c r="AD219" s="9">
        <v>22.530627040176761</v>
      </c>
      <c r="AE219" s="9">
        <v>24.654059850225856</v>
      </c>
      <c r="AF219" s="9">
        <v>28.622962393602329</v>
      </c>
      <c r="AG219" s="9">
        <v>28.622962393602329</v>
      </c>
      <c r="AH219" s="9">
        <v>31.011605245024167</v>
      </c>
      <c r="AI219" s="9">
        <v>33.330799286496742</v>
      </c>
      <c r="AJ219" s="9">
        <v>3.0428788910505911</v>
      </c>
    </row>
    <row r="220" spans="1:36" x14ac:dyDescent="0.25">
      <c r="A220" t="s">
        <v>5411</v>
      </c>
      <c r="B220" t="s">
        <v>16</v>
      </c>
      <c r="C220" t="s">
        <v>17</v>
      </c>
      <c r="D220">
        <v>13460000</v>
      </c>
      <c r="E220">
        <v>13464999</v>
      </c>
      <c r="F220" t="s">
        <v>167</v>
      </c>
      <c r="G220" t="str">
        <f t="shared" si="6"/>
        <v>SPI</v>
      </c>
      <c r="H220" t="s">
        <v>19</v>
      </c>
      <c r="I220" t="s">
        <v>20</v>
      </c>
      <c r="J220" t="s">
        <v>62</v>
      </c>
      <c r="K220" s="6">
        <v>0.03</v>
      </c>
      <c r="L220" s="7">
        <f t="shared" si="7"/>
        <v>2E-3</v>
      </c>
      <c r="M220" s="7">
        <v>3.0000000000000001E-3</v>
      </c>
      <c r="N220">
        <v>6</v>
      </c>
      <c r="O220" s="8">
        <v>14.260089507934383</v>
      </c>
      <c r="P220" s="9">
        <v>14.260089507934383</v>
      </c>
      <c r="Q220" s="9">
        <v>14.260089507934383</v>
      </c>
      <c r="R220" s="9">
        <v>14.434686024139818</v>
      </c>
      <c r="S220" s="9">
        <v>14.722027102535575</v>
      </c>
      <c r="T220" s="9">
        <v>15.677715915555218</v>
      </c>
      <c r="U220" s="9">
        <v>17.010379604817192</v>
      </c>
      <c r="V220" s="9">
        <v>17.010379604817192</v>
      </c>
      <c r="W220" s="9">
        <v>17.010379604817192</v>
      </c>
      <c r="X220" s="9">
        <v>16.884570568466835</v>
      </c>
      <c r="Y220" s="9">
        <v>16.884570568466835</v>
      </c>
      <c r="Z220" s="9">
        <v>18.617757359760585</v>
      </c>
      <c r="AA220" s="9">
        <v>18.617757359760585</v>
      </c>
      <c r="AB220" s="9">
        <v>20.52292271594289</v>
      </c>
      <c r="AC220" s="9">
        <v>20.52292271594289</v>
      </c>
      <c r="AD220" s="9">
        <v>22.530627040176761</v>
      </c>
      <c r="AE220" s="9">
        <v>24.654059850225856</v>
      </c>
      <c r="AF220" s="9">
        <v>28.622962393602329</v>
      </c>
      <c r="AG220" s="9">
        <v>28.622962393602329</v>
      </c>
      <c r="AH220" s="9">
        <v>31.011605245024167</v>
      </c>
      <c r="AI220" s="9">
        <v>33.330799286496742</v>
      </c>
      <c r="AJ220" s="9">
        <v>3.0428788910505911</v>
      </c>
    </row>
    <row r="221" spans="1:36" x14ac:dyDescent="0.25">
      <c r="A221" t="s">
        <v>5411</v>
      </c>
      <c r="B221" t="s">
        <v>16</v>
      </c>
      <c r="C221" t="s">
        <v>17</v>
      </c>
      <c r="D221">
        <v>13465000</v>
      </c>
      <c r="E221">
        <v>13465999</v>
      </c>
      <c r="F221" t="s">
        <v>168</v>
      </c>
      <c r="G221" t="str">
        <f t="shared" si="6"/>
        <v>SPI</v>
      </c>
      <c r="H221" t="s">
        <v>19</v>
      </c>
      <c r="I221" t="s">
        <v>20</v>
      </c>
      <c r="J221" t="s">
        <v>62</v>
      </c>
      <c r="K221" s="6">
        <v>0.03</v>
      </c>
      <c r="L221" s="7">
        <f t="shared" si="7"/>
        <v>2E-3</v>
      </c>
      <c r="M221" s="7">
        <v>3.0000000000000001E-3</v>
      </c>
      <c r="N221">
        <v>6</v>
      </c>
      <c r="O221" s="8">
        <v>14.260089507934383</v>
      </c>
      <c r="P221" s="9">
        <v>14.260089507934383</v>
      </c>
      <c r="Q221" s="9">
        <v>14.260089507934383</v>
      </c>
      <c r="R221" s="9">
        <v>14.434686024139818</v>
      </c>
      <c r="S221" s="9">
        <v>14.722027102535575</v>
      </c>
      <c r="T221" s="9">
        <v>15.677715915555218</v>
      </c>
      <c r="U221" s="9">
        <v>17.010379604817192</v>
      </c>
      <c r="V221" s="9">
        <v>17.010379604817192</v>
      </c>
      <c r="W221" s="9">
        <v>17.010379604817192</v>
      </c>
      <c r="X221" s="9">
        <v>16.884570568466835</v>
      </c>
      <c r="Y221" s="9">
        <v>16.884570568466835</v>
      </c>
      <c r="Z221" s="9">
        <v>18.617757359760585</v>
      </c>
      <c r="AA221" s="9">
        <v>18.617757359760585</v>
      </c>
      <c r="AB221" s="9">
        <v>20.52292271594289</v>
      </c>
      <c r="AC221" s="9">
        <v>20.52292271594289</v>
      </c>
      <c r="AD221" s="9">
        <v>22.530627040176761</v>
      </c>
      <c r="AE221" s="9">
        <v>24.654059850225856</v>
      </c>
      <c r="AF221" s="9">
        <v>28.622962393602329</v>
      </c>
      <c r="AG221" s="9">
        <v>28.622962393602329</v>
      </c>
      <c r="AH221" s="9">
        <v>31.011605245024167</v>
      </c>
      <c r="AI221" s="9">
        <v>33.330799286496742</v>
      </c>
      <c r="AJ221" s="9">
        <v>3.0428788910505911</v>
      </c>
    </row>
    <row r="222" spans="1:36" x14ac:dyDescent="0.25">
      <c r="A222" t="s">
        <v>5411</v>
      </c>
      <c r="B222" t="s">
        <v>16</v>
      </c>
      <c r="C222" t="s">
        <v>17</v>
      </c>
      <c r="D222">
        <v>13466000</v>
      </c>
      <c r="E222">
        <v>13479999</v>
      </c>
      <c r="F222" t="s">
        <v>168</v>
      </c>
      <c r="G222" t="str">
        <f t="shared" si="6"/>
        <v>SPI</v>
      </c>
      <c r="H222" t="s">
        <v>19</v>
      </c>
      <c r="I222" t="s">
        <v>20</v>
      </c>
      <c r="J222" t="s">
        <v>62</v>
      </c>
      <c r="K222" s="6">
        <v>0.03</v>
      </c>
      <c r="L222" s="7">
        <f t="shared" si="7"/>
        <v>2E-3</v>
      </c>
      <c r="M222" s="7">
        <v>3.0000000000000001E-3</v>
      </c>
      <c r="N222">
        <v>6</v>
      </c>
      <c r="O222" s="8">
        <v>14.260089507934383</v>
      </c>
      <c r="P222" s="9">
        <v>14.260089507934383</v>
      </c>
      <c r="Q222" s="9">
        <v>14.260089507934383</v>
      </c>
      <c r="R222" s="9">
        <v>14.434686024139818</v>
      </c>
      <c r="S222" s="9">
        <v>14.722027102535575</v>
      </c>
      <c r="T222" s="9">
        <v>15.677715915555218</v>
      </c>
      <c r="U222" s="9">
        <v>17.010379604817192</v>
      </c>
      <c r="V222" s="9">
        <v>17.010379604817192</v>
      </c>
      <c r="W222" s="9">
        <v>17.010379604817192</v>
      </c>
      <c r="X222" s="9">
        <v>16.884570568466835</v>
      </c>
      <c r="Y222" s="9">
        <v>16.884570568466835</v>
      </c>
      <c r="Z222" s="9">
        <v>18.617757359760585</v>
      </c>
      <c r="AA222" s="9">
        <v>18.617757359760585</v>
      </c>
      <c r="AB222" s="9">
        <v>20.52292271594289</v>
      </c>
      <c r="AC222" s="9">
        <v>20.52292271594289</v>
      </c>
      <c r="AD222" s="9">
        <v>22.530627040176761</v>
      </c>
      <c r="AE222" s="9">
        <v>24.654059850225856</v>
      </c>
      <c r="AF222" s="9">
        <v>28.622962393602329</v>
      </c>
      <c r="AG222" s="9">
        <v>28.622962393602329</v>
      </c>
      <c r="AH222" s="9">
        <v>31.011605245024167</v>
      </c>
      <c r="AI222" s="9">
        <v>33.330799286496742</v>
      </c>
      <c r="AJ222" s="9">
        <v>3.0428788910505911</v>
      </c>
    </row>
    <row r="223" spans="1:36" x14ac:dyDescent="0.25">
      <c r="A223" t="s">
        <v>5411</v>
      </c>
      <c r="B223" t="s">
        <v>16</v>
      </c>
      <c r="C223" t="s">
        <v>17</v>
      </c>
      <c r="D223">
        <v>13480000</v>
      </c>
      <c r="E223">
        <v>13489999</v>
      </c>
      <c r="F223" t="s">
        <v>169</v>
      </c>
      <c r="G223" t="str">
        <f t="shared" si="6"/>
        <v>SPI</v>
      </c>
      <c r="H223" t="s">
        <v>19</v>
      </c>
      <c r="I223" t="s">
        <v>20</v>
      </c>
      <c r="J223" t="s">
        <v>62</v>
      </c>
      <c r="K223" s="6">
        <v>0.03</v>
      </c>
      <c r="L223" s="7">
        <f t="shared" si="7"/>
        <v>2E-3</v>
      </c>
      <c r="M223" s="7">
        <v>3.0000000000000001E-3</v>
      </c>
      <c r="N223">
        <v>7</v>
      </c>
      <c r="O223" s="8">
        <v>14.260089507934383</v>
      </c>
      <c r="P223" s="9">
        <v>14.260089507934383</v>
      </c>
      <c r="Q223" s="9">
        <v>14.260089507934383</v>
      </c>
      <c r="R223" s="9">
        <v>14.434686024139818</v>
      </c>
      <c r="S223" s="9">
        <v>14.722027102535575</v>
      </c>
      <c r="T223" s="9">
        <v>15.677715915555218</v>
      </c>
      <c r="U223" s="9">
        <v>17.010379604817192</v>
      </c>
      <c r="V223" s="9">
        <v>17.010379604817192</v>
      </c>
      <c r="W223" s="9">
        <v>17.010379604817192</v>
      </c>
      <c r="X223" s="9">
        <v>16.884570568466835</v>
      </c>
      <c r="Y223" s="9">
        <v>16.884570568466835</v>
      </c>
      <c r="Z223" s="9">
        <v>18.617757359760585</v>
      </c>
      <c r="AA223" s="9">
        <v>18.617757359760585</v>
      </c>
      <c r="AB223" s="9">
        <v>20.52292271594289</v>
      </c>
      <c r="AC223" s="9">
        <v>20.52292271594289</v>
      </c>
      <c r="AD223" s="9">
        <v>22.530627040176761</v>
      </c>
      <c r="AE223" s="9">
        <v>24.654059850225856</v>
      </c>
      <c r="AF223" s="9">
        <v>28.622962393602329</v>
      </c>
      <c r="AG223" s="9">
        <v>28.622962393602329</v>
      </c>
      <c r="AH223" s="9">
        <v>31.011605245024167</v>
      </c>
      <c r="AI223" s="9">
        <v>33.330799286496742</v>
      </c>
      <c r="AJ223" s="9">
        <v>3.0428788910505911</v>
      </c>
    </row>
    <row r="224" spans="1:36" x14ac:dyDescent="0.25">
      <c r="A224" t="s">
        <v>5411</v>
      </c>
      <c r="B224" t="s">
        <v>16</v>
      </c>
      <c r="C224" t="s">
        <v>17</v>
      </c>
      <c r="D224">
        <v>13490000</v>
      </c>
      <c r="E224">
        <v>13494999</v>
      </c>
      <c r="F224" t="s">
        <v>170</v>
      </c>
      <c r="G224" t="str">
        <f t="shared" si="6"/>
        <v>SPI II</v>
      </c>
      <c r="H224" t="s">
        <v>19</v>
      </c>
      <c r="I224" t="s">
        <v>20</v>
      </c>
      <c r="J224" t="s">
        <v>64</v>
      </c>
      <c r="K224" s="6">
        <v>0.03</v>
      </c>
      <c r="L224" s="7">
        <f t="shared" si="7"/>
        <v>2E-3</v>
      </c>
      <c r="M224" s="7">
        <v>3.0000000000000001E-3</v>
      </c>
      <c r="N224">
        <v>7</v>
      </c>
      <c r="O224" s="8">
        <v>17.934556092922943</v>
      </c>
      <c r="P224" s="9">
        <v>17.934556092922943</v>
      </c>
      <c r="Q224" s="9">
        <v>17.934556092922943</v>
      </c>
      <c r="R224" s="9">
        <v>18.35577997371016</v>
      </c>
      <c r="S224" s="9">
        <v>18.404835306435746</v>
      </c>
      <c r="T224" s="9">
        <v>19.112621008962602</v>
      </c>
      <c r="U224" s="9">
        <v>20.35176903227914</v>
      </c>
      <c r="V224" s="9">
        <v>20.35176903227914</v>
      </c>
      <c r="W224" s="9">
        <v>20.35176903227914</v>
      </c>
      <c r="X224" s="9">
        <v>19.91589544268896</v>
      </c>
      <c r="Y224" s="9">
        <v>19.91589544268896</v>
      </c>
      <c r="Z224" s="9">
        <v>21.609947773831163</v>
      </c>
      <c r="AA224" s="9">
        <v>21.609947773831163</v>
      </c>
      <c r="AB224" s="9">
        <v>23.372671736151272</v>
      </c>
      <c r="AC224" s="9">
        <v>23.372671736151272</v>
      </c>
      <c r="AD224" s="9">
        <v>26.430826810726163</v>
      </c>
      <c r="AE224" s="9">
        <v>27.959768706413232</v>
      </c>
      <c r="AF224" s="9">
        <v>29.772701744670762</v>
      </c>
      <c r="AG224" s="9">
        <v>29.772701744670762</v>
      </c>
      <c r="AH224" s="9">
        <v>32.589351949315954</v>
      </c>
      <c r="AI224" s="9">
        <v>34.825222308406182</v>
      </c>
      <c r="AJ224" s="9">
        <v>3.0428788910505911</v>
      </c>
    </row>
    <row r="225" spans="1:36" x14ac:dyDescent="0.25">
      <c r="A225" t="s">
        <v>5411</v>
      </c>
      <c r="B225" t="s">
        <v>16</v>
      </c>
      <c r="C225" t="s">
        <v>17</v>
      </c>
      <c r="D225">
        <v>13495000</v>
      </c>
      <c r="E225">
        <v>13499999</v>
      </c>
      <c r="F225" t="s">
        <v>171</v>
      </c>
      <c r="G225" t="str">
        <f t="shared" si="6"/>
        <v>SPI II</v>
      </c>
      <c r="H225" t="s">
        <v>19</v>
      </c>
      <c r="I225" t="s">
        <v>20</v>
      </c>
      <c r="J225" t="s">
        <v>64</v>
      </c>
      <c r="K225" s="6">
        <v>0.03</v>
      </c>
      <c r="L225" s="7">
        <f t="shared" si="7"/>
        <v>2E-3</v>
      </c>
      <c r="M225" s="7">
        <v>3.0000000000000001E-3</v>
      </c>
      <c r="N225">
        <v>7</v>
      </c>
      <c r="O225" s="8">
        <v>17.934556092922943</v>
      </c>
      <c r="P225" s="9">
        <v>17.934556092922943</v>
      </c>
      <c r="Q225" s="9">
        <v>17.934556092922943</v>
      </c>
      <c r="R225" s="9">
        <v>18.35577997371016</v>
      </c>
      <c r="S225" s="9">
        <v>18.404835306435746</v>
      </c>
      <c r="T225" s="9">
        <v>19.112621008962602</v>
      </c>
      <c r="U225" s="9">
        <v>20.35176903227914</v>
      </c>
      <c r="V225" s="9">
        <v>20.35176903227914</v>
      </c>
      <c r="W225" s="9">
        <v>20.35176903227914</v>
      </c>
      <c r="X225" s="9">
        <v>19.91589544268896</v>
      </c>
      <c r="Y225" s="9">
        <v>19.91589544268896</v>
      </c>
      <c r="Z225" s="9">
        <v>21.609947773831163</v>
      </c>
      <c r="AA225" s="9">
        <v>21.609947773831163</v>
      </c>
      <c r="AB225" s="9">
        <v>23.372671736151272</v>
      </c>
      <c r="AC225" s="9">
        <v>23.372671736151272</v>
      </c>
      <c r="AD225" s="9">
        <v>26.430826810726163</v>
      </c>
      <c r="AE225" s="9">
        <v>27.959768706413232</v>
      </c>
      <c r="AF225" s="9">
        <v>29.772701744670762</v>
      </c>
      <c r="AG225" s="9">
        <v>29.772701744670762</v>
      </c>
      <c r="AH225" s="9">
        <v>32.589351949315954</v>
      </c>
      <c r="AI225" s="9">
        <v>34.825222308406182</v>
      </c>
      <c r="AJ225" s="9">
        <v>3.0428788910505911</v>
      </c>
    </row>
    <row r="226" spans="1:36" x14ac:dyDescent="0.25">
      <c r="A226" t="s">
        <v>5411</v>
      </c>
      <c r="B226" t="s">
        <v>16</v>
      </c>
      <c r="C226" t="s">
        <v>17</v>
      </c>
      <c r="D226">
        <v>13500000</v>
      </c>
      <c r="E226">
        <v>13500999</v>
      </c>
      <c r="F226" t="s">
        <v>172</v>
      </c>
      <c r="G226" t="str">
        <f t="shared" si="6"/>
        <v>SPI</v>
      </c>
      <c r="H226" t="s">
        <v>19</v>
      </c>
      <c r="I226" t="s">
        <v>20</v>
      </c>
      <c r="J226" t="s">
        <v>62</v>
      </c>
      <c r="K226" s="6">
        <v>0.03</v>
      </c>
      <c r="L226" s="7">
        <f t="shared" si="7"/>
        <v>2E-3</v>
      </c>
      <c r="M226" s="7">
        <v>3.0000000000000001E-3</v>
      </c>
      <c r="N226">
        <v>7</v>
      </c>
      <c r="O226" s="8">
        <v>14.260089507934383</v>
      </c>
      <c r="P226" s="9">
        <v>14.260089507934383</v>
      </c>
      <c r="Q226" s="9">
        <v>14.260089507934383</v>
      </c>
      <c r="R226" s="9">
        <v>14.434686024139818</v>
      </c>
      <c r="S226" s="9">
        <v>14.722027102535575</v>
      </c>
      <c r="T226" s="9">
        <v>15.677715915555218</v>
      </c>
      <c r="U226" s="9">
        <v>17.010379604817192</v>
      </c>
      <c r="V226" s="9">
        <v>17.010379604817192</v>
      </c>
      <c r="W226" s="9">
        <v>17.010379604817192</v>
      </c>
      <c r="X226" s="9">
        <v>16.884570568466835</v>
      </c>
      <c r="Y226" s="9">
        <v>16.884570568466835</v>
      </c>
      <c r="Z226" s="9">
        <v>18.617757359760585</v>
      </c>
      <c r="AA226" s="9">
        <v>18.617757359760585</v>
      </c>
      <c r="AB226" s="9">
        <v>20.52292271594289</v>
      </c>
      <c r="AC226" s="9">
        <v>20.52292271594289</v>
      </c>
      <c r="AD226" s="9">
        <v>22.530627040176761</v>
      </c>
      <c r="AE226" s="9">
        <v>24.654059850225856</v>
      </c>
      <c r="AF226" s="9">
        <v>28.622962393602329</v>
      </c>
      <c r="AG226" s="9">
        <v>28.622962393602329</v>
      </c>
      <c r="AH226" s="9">
        <v>31.011605245024167</v>
      </c>
      <c r="AI226" s="9">
        <v>33.330799286496742</v>
      </c>
      <c r="AJ226" s="9">
        <v>3.0428788910505911</v>
      </c>
    </row>
    <row r="227" spans="1:36" x14ac:dyDescent="0.25">
      <c r="A227" t="s">
        <v>5411</v>
      </c>
      <c r="B227" t="s">
        <v>16</v>
      </c>
      <c r="C227" t="s">
        <v>17</v>
      </c>
      <c r="D227">
        <v>13501000</v>
      </c>
      <c r="E227">
        <v>13509999</v>
      </c>
      <c r="F227" t="s">
        <v>172</v>
      </c>
      <c r="G227" t="str">
        <f t="shared" si="6"/>
        <v>SPI</v>
      </c>
      <c r="H227" t="s">
        <v>19</v>
      </c>
      <c r="I227" t="s">
        <v>20</v>
      </c>
      <c r="J227" t="s">
        <v>62</v>
      </c>
      <c r="K227" s="6">
        <v>0.03</v>
      </c>
      <c r="L227" s="7">
        <f t="shared" si="7"/>
        <v>2E-3</v>
      </c>
      <c r="M227" s="7">
        <v>3.0000000000000001E-3</v>
      </c>
      <c r="N227">
        <v>7</v>
      </c>
      <c r="O227" s="8">
        <v>14.260089507934383</v>
      </c>
      <c r="P227" s="9">
        <v>14.260089507934383</v>
      </c>
      <c r="Q227" s="9">
        <v>14.260089507934383</v>
      </c>
      <c r="R227" s="9">
        <v>14.434686024139818</v>
      </c>
      <c r="S227" s="9">
        <v>14.722027102535575</v>
      </c>
      <c r="T227" s="9">
        <v>15.677715915555218</v>
      </c>
      <c r="U227" s="9">
        <v>17.010379604817192</v>
      </c>
      <c r="V227" s="9">
        <v>17.010379604817192</v>
      </c>
      <c r="W227" s="9">
        <v>17.010379604817192</v>
      </c>
      <c r="X227" s="9">
        <v>16.884570568466835</v>
      </c>
      <c r="Y227" s="9">
        <v>16.884570568466835</v>
      </c>
      <c r="Z227" s="9">
        <v>18.617757359760585</v>
      </c>
      <c r="AA227" s="9">
        <v>18.617757359760585</v>
      </c>
      <c r="AB227" s="9">
        <v>20.52292271594289</v>
      </c>
      <c r="AC227" s="9">
        <v>20.52292271594289</v>
      </c>
      <c r="AD227" s="9">
        <v>22.530627040176761</v>
      </c>
      <c r="AE227" s="9">
        <v>24.654059850225856</v>
      </c>
      <c r="AF227" s="9">
        <v>28.622962393602329</v>
      </c>
      <c r="AG227" s="9">
        <v>28.622962393602329</v>
      </c>
      <c r="AH227" s="9">
        <v>31.011605245024167</v>
      </c>
      <c r="AI227" s="9">
        <v>33.330799286496742</v>
      </c>
      <c r="AJ227" s="9">
        <v>3.0428788910505911</v>
      </c>
    </row>
    <row r="228" spans="1:36" x14ac:dyDescent="0.25">
      <c r="A228" t="s">
        <v>5411</v>
      </c>
      <c r="B228" t="s">
        <v>16</v>
      </c>
      <c r="C228" t="s">
        <v>17</v>
      </c>
      <c r="D228">
        <v>13510000</v>
      </c>
      <c r="E228">
        <v>13514999</v>
      </c>
      <c r="F228" t="s">
        <v>173</v>
      </c>
      <c r="G228" t="str">
        <f t="shared" si="6"/>
        <v>SPI II</v>
      </c>
      <c r="H228" t="s">
        <v>19</v>
      </c>
      <c r="I228" t="s">
        <v>20</v>
      </c>
      <c r="J228" t="s">
        <v>64</v>
      </c>
      <c r="K228" s="6">
        <v>0.03</v>
      </c>
      <c r="L228" s="7">
        <f t="shared" si="7"/>
        <v>2E-3</v>
      </c>
      <c r="M228" s="7">
        <v>3.0000000000000001E-3</v>
      </c>
      <c r="N228">
        <v>7</v>
      </c>
      <c r="O228" s="8">
        <v>17.934556092922943</v>
      </c>
      <c r="P228" s="9">
        <v>17.934556092922943</v>
      </c>
      <c r="Q228" s="9">
        <v>17.934556092922943</v>
      </c>
      <c r="R228" s="9">
        <v>18.35577997371016</v>
      </c>
      <c r="S228" s="9">
        <v>18.404835306435746</v>
      </c>
      <c r="T228" s="9">
        <v>19.112621008962602</v>
      </c>
      <c r="U228" s="9">
        <v>20.35176903227914</v>
      </c>
      <c r="V228" s="9">
        <v>20.35176903227914</v>
      </c>
      <c r="W228" s="9">
        <v>20.35176903227914</v>
      </c>
      <c r="X228" s="9">
        <v>19.91589544268896</v>
      </c>
      <c r="Y228" s="9">
        <v>19.91589544268896</v>
      </c>
      <c r="Z228" s="9">
        <v>21.609947773831163</v>
      </c>
      <c r="AA228" s="9">
        <v>21.609947773831163</v>
      </c>
      <c r="AB228" s="9">
        <v>23.372671736151272</v>
      </c>
      <c r="AC228" s="9">
        <v>23.372671736151272</v>
      </c>
      <c r="AD228" s="9">
        <v>26.430826810726163</v>
      </c>
      <c r="AE228" s="9">
        <v>27.959768706413232</v>
      </c>
      <c r="AF228" s="9">
        <v>29.772701744670762</v>
      </c>
      <c r="AG228" s="9">
        <v>29.772701744670762</v>
      </c>
      <c r="AH228" s="9">
        <v>32.589351949315954</v>
      </c>
      <c r="AI228" s="9">
        <v>34.825222308406182</v>
      </c>
      <c r="AJ228" s="9">
        <v>3.0428788910505911</v>
      </c>
    </row>
    <row r="229" spans="1:36" x14ac:dyDescent="0.25">
      <c r="A229" t="s">
        <v>5411</v>
      </c>
      <c r="B229" t="s">
        <v>16</v>
      </c>
      <c r="C229" t="s">
        <v>17</v>
      </c>
      <c r="D229">
        <v>13515000</v>
      </c>
      <c r="E229">
        <v>13519999</v>
      </c>
      <c r="F229" t="s">
        <v>174</v>
      </c>
      <c r="G229" t="str">
        <f t="shared" si="6"/>
        <v>SPI II</v>
      </c>
      <c r="H229" t="s">
        <v>19</v>
      </c>
      <c r="I229" t="s">
        <v>20</v>
      </c>
      <c r="J229" t="s">
        <v>64</v>
      </c>
      <c r="K229" s="6">
        <v>0.03</v>
      </c>
      <c r="L229" s="7">
        <f t="shared" si="7"/>
        <v>2E-3</v>
      </c>
      <c r="M229" s="7">
        <v>3.0000000000000001E-3</v>
      </c>
      <c r="N229">
        <v>7</v>
      </c>
      <c r="O229" s="8">
        <v>17.934556092922943</v>
      </c>
      <c r="P229" s="9">
        <v>17.934556092922943</v>
      </c>
      <c r="Q229" s="9">
        <v>17.934556092922943</v>
      </c>
      <c r="R229" s="9">
        <v>18.35577997371016</v>
      </c>
      <c r="S229" s="9">
        <v>18.404835306435746</v>
      </c>
      <c r="T229" s="9">
        <v>19.112621008962602</v>
      </c>
      <c r="U229" s="9">
        <v>20.35176903227914</v>
      </c>
      <c r="V229" s="9">
        <v>20.35176903227914</v>
      </c>
      <c r="W229" s="9">
        <v>20.35176903227914</v>
      </c>
      <c r="X229" s="9">
        <v>19.91589544268896</v>
      </c>
      <c r="Y229" s="9">
        <v>19.91589544268896</v>
      </c>
      <c r="Z229" s="9">
        <v>21.609947773831163</v>
      </c>
      <c r="AA229" s="9">
        <v>21.609947773831163</v>
      </c>
      <c r="AB229" s="9">
        <v>23.372671736151272</v>
      </c>
      <c r="AC229" s="9">
        <v>23.372671736151272</v>
      </c>
      <c r="AD229" s="9">
        <v>26.430826810726163</v>
      </c>
      <c r="AE229" s="9">
        <v>27.959768706413232</v>
      </c>
      <c r="AF229" s="9">
        <v>29.772701744670762</v>
      </c>
      <c r="AG229" s="9">
        <v>29.772701744670762</v>
      </c>
      <c r="AH229" s="9">
        <v>32.589351949315954</v>
      </c>
      <c r="AI229" s="9">
        <v>34.825222308406182</v>
      </c>
      <c r="AJ229" s="9">
        <v>3.0428788910505911</v>
      </c>
    </row>
    <row r="230" spans="1:36" x14ac:dyDescent="0.25">
      <c r="A230" t="s">
        <v>5411</v>
      </c>
      <c r="B230" t="s">
        <v>16</v>
      </c>
      <c r="C230" t="s">
        <v>17</v>
      </c>
      <c r="D230">
        <v>13520000</v>
      </c>
      <c r="E230">
        <v>13524999</v>
      </c>
      <c r="F230" t="s">
        <v>175</v>
      </c>
      <c r="G230" t="str">
        <f t="shared" si="6"/>
        <v>SPI II</v>
      </c>
      <c r="H230" t="s">
        <v>19</v>
      </c>
      <c r="I230" t="s">
        <v>20</v>
      </c>
      <c r="J230" t="s">
        <v>64</v>
      </c>
      <c r="K230" s="6">
        <v>0.03</v>
      </c>
      <c r="L230" s="7">
        <f t="shared" si="7"/>
        <v>2E-3</v>
      </c>
      <c r="M230" s="7">
        <v>3.0000000000000001E-3</v>
      </c>
      <c r="N230">
        <v>7</v>
      </c>
      <c r="O230" s="8">
        <v>17.934556092922943</v>
      </c>
      <c r="P230" s="9">
        <v>17.934556092922943</v>
      </c>
      <c r="Q230" s="9">
        <v>17.934556092922943</v>
      </c>
      <c r="R230" s="9">
        <v>18.35577997371016</v>
      </c>
      <c r="S230" s="9">
        <v>18.404835306435746</v>
      </c>
      <c r="T230" s="9">
        <v>19.112621008962602</v>
      </c>
      <c r="U230" s="9">
        <v>20.35176903227914</v>
      </c>
      <c r="V230" s="9">
        <v>20.35176903227914</v>
      </c>
      <c r="W230" s="9">
        <v>20.35176903227914</v>
      </c>
      <c r="X230" s="9">
        <v>19.91589544268896</v>
      </c>
      <c r="Y230" s="9">
        <v>19.91589544268896</v>
      </c>
      <c r="Z230" s="9">
        <v>21.609947773831163</v>
      </c>
      <c r="AA230" s="9">
        <v>21.609947773831163</v>
      </c>
      <c r="AB230" s="9">
        <v>23.372671736151272</v>
      </c>
      <c r="AC230" s="9">
        <v>23.372671736151272</v>
      </c>
      <c r="AD230" s="9">
        <v>26.430826810726163</v>
      </c>
      <c r="AE230" s="9">
        <v>27.959768706413232</v>
      </c>
      <c r="AF230" s="9">
        <v>29.772701744670762</v>
      </c>
      <c r="AG230" s="9">
        <v>29.772701744670762</v>
      </c>
      <c r="AH230" s="9">
        <v>32.589351949315954</v>
      </c>
      <c r="AI230" s="9">
        <v>34.825222308406182</v>
      </c>
      <c r="AJ230" s="9">
        <v>3.0428788910505911</v>
      </c>
    </row>
    <row r="231" spans="1:36" x14ac:dyDescent="0.25">
      <c r="A231" t="s">
        <v>5411</v>
      </c>
      <c r="B231" t="s">
        <v>16</v>
      </c>
      <c r="C231" t="s">
        <v>17</v>
      </c>
      <c r="D231">
        <v>13525000</v>
      </c>
      <c r="E231">
        <v>13529999</v>
      </c>
      <c r="F231" t="s">
        <v>176</v>
      </c>
      <c r="G231" t="str">
        <f t="shared" si="6"/>
        <v>SPI II</v>
      </c>
      <c r="H231" t="s">
        <v>19</v>
      </c>
      <c r="I231" t="s">
        <v>20</v>
      </c>
      <c r="J231" t="s">
        <v>64</v>
      </c>
      <c r="K231" s="6">
        <v>0.03</v>
      </c>
      <c r="L231" s="7">
        <f t="shared" si="7"/>
        <v>2E-3</v>
      </c>
      <c r="M231" s="7">
        <v>3.0000000000000001E-3</v>
      </c>
      <c r="N231">
        <v>7</v>
      </c>
      <c r="O231" s="8">
        <v>17.934556092922943</v>
      </c>
      <c r="P231" s="9">
        <v>17.934556092922943</v>
      </c>
      <c r="Q231" s="9">
        <v>17.934556092922943</v>
      </c>
      <c r="R231" s="9">
        <v>18.35577997371016</v>
      </c>
      <c r="S231" s="9">
        <v>18.404835306435746</v>
      </c>
      <c r="T231" s="9">
        <v>19.112621008962602</v>
      </c>
      <c r="U231" s="9">
        <v>20.35176903227914</v>
      </c>
      <c r="V231" s="9">
        <v>20.35176903227914</v>
      </c>
      <c r="W231" s="9">
        <v>20.35176903227914</v>
      </c>
      <c r="X231" s="9">
        <v>19.91589544268896</v>
      </c>
      <c r="Y231" s="9">
        <v>19.91589544268896</v>
      </c>
      <c r="Z231" s="9">
        <v>21.609947773831163</v>
      </c>
      <c r="AA231" s="9">
        <v>21.609947773831163</v>
      </c>
      <c r="AB231" s="9">
        <v>23.372671736151272</v>
      </c>
      <c r="AC231" s="9">
        <v>23.372671736151272</v>
      </c>
      <c r="AD231" s="9">
        <v>26.430826810726163</v>
      </c>
      <c r="AE231" s="9">
        <v>27.959768706413232</v>
      </c>
      <c r="AF231" s="9">
        <v>29.772701744670762</v>
      </c>
      <c r="AG231" s="9">
        <v>29.772701744670762</v>
      </c>
      <c r="AH231" s="9">
        <v>32.589351949315954</v>
      </c>
      <c r="AI231" s="9">
        <v>34.825222308406182</v>
      </c>
      <c r="AJ231" s="9">
        <v>3.0428788910505911</v>
      </c>
    </row>
    <row r="232" spans="1:36" x14ac:dyDescent="0.25">
      <c r="A232" t="s">
        <v>5411</v>
      </c>
      <c r="B232" t="s">
        <v>16</v>
      </c>
      <c r="C232" t="s">
        <v>17</v>
      </c>
      <c r="D232">
        <v>13530000</v>
      </c>
      <c r="E232">
        <v>13536999</v>
      </c>
      <c r="F232" t="s">
        <v>177</v>
      </c>
      <c r="G232" t="str">
        <f t="shared" si="6"/>
        <v>SPI II</v>
      </c>
      <c r="H232" t="s">
        <v>19</v>
      </c>
      <c r="I232" t="s">
        <v>20</v>
      </c>
      <c r="J232" t="s">
        <v>64</v>
      </c>
      <c r="K232" s="6">
        <v>0.03</v>
      </c>
      <c r="L232" s="7">
        <f t="shared" si="7"/>
        <v>2E-3</v>
      </c>
      <c r="M232" s="7">
        <v>3.0000000000000001E-3</v>
      </c>
      <c r="N232">
        <v>7</v>
      </c>
      <c r="O232" s="8">
        <v>17.934556092922943</v>
      </c>
      <c r="P232" s="9">
        <v>17.934556092922943</v>
      </c>
      <c r="Q232" s="9">
        <v>17.934556092922943</v>
      </c>
      <c r="R232" s="9">
        <v>18.35577997371016</v>
      </c>
      <c r="S232" s="9">
        <v>18.404835306435746</v>
      </c>
      <c r="T232" s="9">
        <v>19.112621008962602</v>
      </c>
      <c r="U232" s="9">
        <v>20.35176903227914</v>
      </c>
      <c r="V232" s="9">
        <v>20.35176903227914</v>
      </c>
      <c r="W232" s="9">
        <v>20.35176903227914</v>
      </c>
      <c r="X232" s="9">
        <v>19.91589544268896</v>
      </c>
      <c r="Y232" s="9">
        <v>19.91589544268896</v>
      </c>
      <c r="Z232" s="9">
        <v>21.609947773831163</v>
      </c>
      <c r="AA232" s="9">
        <v>21.609947773831163</v>
      </c>
      <c r="AB232" s="9">
        <v>23.372671736151272</v>
      </c>
      <c r="AC232" s="9">
        <v>23.372671736151272</v>
      </c>
      <c r="AD232" s="9">
        <v>26.430826810726163</v>
      </c>
      <c r="AE232" s="9">
        <v>27.959768706413232</v>
      </c>
      <c r="AF232" s="9">
        <v>29.772701744670762</v>
      </c>
      <c r="AG232" s="9">
        <v>29.772701744670762</v>
      </c>
      <c r="AH232" s="9">
        <v>32.589351949315954</v>
      </c>
      <c r="AI232" s="9">
        <v>34.825222308406182</v>
      </c>
      <c r="AJ232" s="9">
        <v>3.0428788910505911</v>
      </c>
    </row>
    <row r="233" spans="1:36" x14ac:dyDescent="0.25">
      <c r="A233" t="s">
        <v>5411</v>
      </c>
      <c r="B233" t="s">
        <v>16</v>
      </c>
      <c r="C233" t="s">
        <v>17</v>
      </c>
      <c r="D233">
        <v>13537000</v>
      </c>
      <c r="E233">
        <v>13539999</v>
      </c>
      <c r="F233" t="s">
        <v>178</v>
      </c>
      <c r="G233" t="str">
        <f t="shared" si="6"/>
        <v>SPI II</v>
      </c>
      <c r="H233" t="s">
        <v>19</v>
      </c>
      <c r="I233" t="s">
        <v>20</v>
      </c>
      <c r="J233" t="s">
        <v>64</v>
      </c>
      <c r="K233" s="6">
        <v>0.03</v>
      </c>
      <c r="L233" s="7">
        <f t="shared" si="7"/>
        <v>2E-3</v>
      </c>
      <c r="M233" s="7">
        <v>3.0000000000000001E-3</v>
      </c>
      <c r="N233">
        <v>7</v>
      </c>
      <c r="O233" s="8">
        <v>17.934556092922943</v>
      </c>
      <c r="P233" s="9">
        <v>17.934556092922943</v>
      </c>
      <c r="Q233" s="9">
        <v>17.934556092922943</v>
      </c>
      <c r="R233" s="9">
        <v>18.35577997371016</v>
      </c>
      <c r="S233" s="9">
        <v>18.404835306435746</v>
      </c>
      <c r="T233" s="9">
        <v>19.112621008962602</v>
      </c>
      <c r="U233" s="9">
        <v>20.35176903227914</v>
      </c>
      <c r="V233" s="9">
        <v>20.35176903227914</v>
      </c>
      <c r="W233" s="9">
        <v>20.35176903227914</v>
      </c>
      <c r="X233" s="9">
        <v>19.91589544268896</v>
      </c>
      <c r="Y233" s="9">
        <v>19.91589544268896</v>
      </c>
      <c r="Z233" s="9">
        <v>21.609947773831163</v>
      </c>
      <c r="AA233" s="9">
        <v>21.609947773831163</v>
      </c>
      <c r="AB233" s="9">
        <v>23.372671736151272</v>
      </c>
      <c r="AC233" s="9">
        <v>23.372671736151272</v>
      </c>
      <c r="AD233" s="9">
        <v>26.430826810726163</v>
      </c>
      <c r="AE233" s="9">
        <v>27.959768706413232</v>
      </c>
      <c r="AF233" s="9">
        <v>29.772701744670762</v>
      </c>
      <c r="AG233" s="9">
        <v>29.772701744670762</v>
      </c>
      <c r="AH233" s="9">
        <v>32.589351949315954</v>
      </c>
      <c r="AI233" s="9">
        <v>34.825222308406182</v>
      </c>
      <c r="AJ233" s="9">
        <v>3.0428788910505911</v>
      </c>
    </row>
    <row r="234" spans="1:36" x14ac:dyDescent="0.25">
      <c r="A234" t="s">
        <v>5411</v>
      </c>
      <c r="B234" t="s">
        <v>16</v>
      </c>
      <c r="C234" t="s">
        <v>17</v>
      </c>
      <c r="D234">
        <v>13540000</v>
      </c>
      <c r="E234">
        <v>13549999</v>
      </c>
      <c r="F234" t="s">
        <v>179</v>
      </c>
      <c r="G234" t="str">
        <f t="shared" si="6"/>
        <v>SPI II</v>
      </c>
      <c r="H234" t="s">
        <v>19</v>
      </c>
      <c r="I234" t="s">
        <v>20</v>
      </c>
      <c r="J234" t="s">
        <v>64</v>
      </c>
      <c r="K234" s="6">
        <v>0.03</v>
      </c>
      <c r="L234" s="7">
        <f t="shared" si="7"/>
        <v>2E-3</v>
      </c>
      <c r="M234" s="7">
        <v>3.0000000000000001E-3</v>
      </c>
      <c r="N234">
        <v>7</v>
      </c>
      <c r="O234" s="8">
        <v>17.934556092922943</v>
      </c>
      <c r="P234" s="9">
        <v>17.934556092922943</v>
      </c>
      <c r="Q234" s="9">
        <v>17.934556092922943</v>
      </c>
      <c r="R234" s="9">
        <v>18.35577997371016</v>
      </c>
      <c r="S234" s="9">
        <v>18.404835306435746</v>
      </c>
      <c r="T234" s="9">
        <v>19.112621008962602</v>
      </c>
      <c r="U234" s="9">
        <v>20.35176903227914</v>
      </c>
      <c r="V234" s="9">
        <v>20.35176903227914</v>
      </c>
      <c r="W234" s="9">
        <v>20.35176903227914</v>
      </c>
      <c r="X234" s="9">
        <v>19.91589544268896</v>
      </c>
      <c r="Y234" s="9">
        <v>19.91589544268896</v>
      </c>
      <c r="Z234" s="9">
        <v>21.609947773831163</v>
      </c>
      <c r="AA234" s="9">
        <v>21.609947773831163</v>
      </c>
      <c r="AB234" s="9">
        <v>23.372671736151272</v>
      </c>
      <c r="AC234" s="9">
        <v>23.372671736151272</v>
      </c>
      <c r="AD234" s="9">
        <v>26.430826810726163</v>
      </c>
      <c r="AE234" s="9">
        <v>27.959768706413232</v>
      </c>
      <c r="AF234" s="9">
        <v>29.772701744670762</v>
      </c>
      <c r="AG234" s="9">
        <v>29.772701744670762</v>
      </c>
      <c r="AH234" s="9">
        <v>32.589351949315954</v>
      </c>
      <c r="AI234" s="9">
        <v>34.825222308406182</v>
      </c>
      <c r="AJ234" s="9">
        <v>3.0428788910505911</v>
      </c>
    </row>
    <row r="235" spans="1:36" x14ac:dyDescent="0.25">
      <c r="A235" t="s">
        <v>5411</v>
      </c>
      <c r="B235" t="s">
        <v>16</v>
      </c>
      <c r="C235" t="s">
        <v>17</v>
      </c>
      <c r="D235">
        <v>13550000</v>
      </c>
      <c r="E235">
        <v>13559999</v>
      </c>
      <c r="F235" t="s">
        <v>180</v>
      </c>
      <c r="G235" t="str">
        <f t="shared" si="6"/>
        <v>SPI II</v>
      </c>
      <c r="H235" t="s">
        <v>19</v>
      </c>
      <c r="I235" t="s">
        <v>20</v>
      </c>
      <c r="J235" t="s">
        <v>64</v>
      </c>
      <c r="K235" s="6">
        <v>0.03</v>
      </c>
      <c r="L235" s="7">
        <f t="shared" si="7"/>
        <v>2E-3</v>
      </c>
      <c r="M235" s="7">
        <v>3.0000000000000001E-3</v>
      </c>
      <c r="N235">
        <v>9</v>
      </c>
      <c r="O235" s="8">
        <v>17.934556092922943</v>
      </c>
      <c r="P235" s="9">
        <v>17.934556092922943</v>
      </c>
      <c r="Q235" s="9">
        <v>17.934556092922943</v>
      </c>
      <c r="R235" s="9">
        <v>18.35577997371016</v>
      </c>
      <c r="S235" s="9">
        <v>18.404835306435746</v>
      </c>
      <c r="T235" s="9">
        <v>19.112621008962602</v>
      </c>
      <c r="U235" s="9">
        <v>20.35176903227914</v>
      </c>
      <c r="V235" s="9">
        <v>20.35176903227914</v>
      </c>
      <c r="W235" s="9">
        <v>20.35176903227914</v>
      </c>
      <c r="X235" s="9">
        <v>19.91589544268896</v>
      </c>
      <c r="Y235" s="9">
        <v>19.91589544268896</v>
      </c>
      <c r="Z235" s="9">
        <v>21.609947773831163</v>
      </c>
      <c r="AA235" s="9">
        <v>21.609947773831163</v>
      </c>
      <c r="AB235" s="9">
        <v>23.372671736151272</v>
      </c>
      <c r="AC235" s="9">
        <v>23.372671736151272</v>
      </c>
      <c r="AD235" s="9">
        <v>26.430826810726163</v>
      </c>
      <c r="AE235" s="9">
        <v>27.959768706413232</v>
      </c>
      <c r="AF235" s="9">
        <v>29.772701744670762</v>
      </c>
      <c r="AG235" s="9">
        <v>29.772701744670762</v>
      </c>
      <c r="AH235" s="9">
        <v>32.589351949315954</v>
      </c>
      <c r="AI235" s="9">
        <v>34.825222308406182</v>
      </c>
      <c r="AJ235" s="9">
        <v>3.0428788910505911</v>
      </c>
    </row>
    <row r="236" spans="1:36" x14ac:dyDescent="0.25">
      <c r="A236" t="s">
        <v>5411</v>
      </c>
      <c r="B236" t="s">
        <v>16</v>
      </c>
      <c r="C236" t="s">
        <v>17</v>
      </c>
      <c r="D236">
        <v>13560000</v>
      </c>
      <c r="E236">
        <v>13570999</v>
      </c>
      <c r="F236" t="s">
        <v>181</v>
      </c>
      <c r="G236" t="str">
        <f t="shared" si="6"/>
        <v>SPI</v>
      </c>
      <c r="H236" t="s">
        <v>19</v>
      </c>
      <c r="I236" t="s">
        <v>20</v>
      </c>
      <c r="J236" t="s">
        <v>62</v>
      </c>
      <c r="K236" s="6">
        <v>0.03</v>
      </c>
      <c r="L236" s="7">
        <f t="shared" si="7"/>
        <v>2E-3</v>
      </c>
      <c r="M236" s="7">
        <v>3.0000000000000001E-3</v>
      </c>
      <c r="N236">
        <v>6</v>
      </c>
      <c r="O236" s="8">
        <v>14.260089507934383</v>
      </c>
      <c r="P236" s="9">
        <v>14.260089507934383</v>
      </c>
      <c r="Q236" s="9">
        <v>14.260089507934383</v>
      </c>
      <c r="R236" s="9">
        <v>14.434686024139818</v>
      </c>
      <c r="S236" s="9">
        <v>14.722027102535575</v>
      </c>
      <c r="T236" s="9">
        <v>15.677715915555218</v>
      </c>
      <c r="U236" s="9">
        <v>17.010379604817192</v>
      </c>
      <c r="V236" s="9">
        <v>17.010379604817192</v>
      </c>
      <c r="W236" s="9">
        <v>17.010379604817192</v>
      </c>
      <c r="X236" s="9">
        <v>16.884570568466835</v>
      </c>
      <c r="Y236" s="9">
        <v>16.884570568466835</v>
      </c>
      <c r="Z236" s="9">
        <v>18.617757359760585</v>
      </c>
      <c r="AA236" s="9">
        <v>18.617757359760585</v>
      </c>
      <c r="AB236" s="9">
        <v>20.52292271594289</v>
      </c>
      <c r="AC236" s="9">
        <v>20.52292271594289</v>
      </c>
      <c r="AD236" s="9">
        <v>22.530627040176761</v>
      </c>
      <c r="AE236" s="9">
        <v>24.654059850225856</v>
      </c>
      <c r="AF236" s="9">
        <v>28.622962393602329</v>
      </c>
      <c r="AG236" s="9">
        <v>28.622962393602329</v>
      </c>
      <c r="AH236" s="9">
        <v>31.011605245024167</v>
      </c>
      <c r="AI236" s="9">
        <v>33.330799286496742</v>
      </c>
      <c r="AJ236" s="9">
        <v>3.0428788910505911</v>
      </c>
    </row>
    <row r="237" spans="1:36" x14ac:dyDescent="0.25">
      <c r="A237" t="s">
        <v>5411</v>
      </c>
      <c r="B237" t="s">
        <v>16</v>
      </c>
      <c r="C237" t="s">
        <v>17</v>
      </c>
      <c r="D237">
        <v>13571000</v>
      </c>
      <c r="E237">
        <v>13579999</v>
      </c>
      <c r="F237" t="s">
        <v>181</v>
      </c>
      <c r="G237" t="str">
        <f t="shared" si="6"/>
        <v>SPI</v>
      </c>
      <c r="H237" t="s">
        <v>19</v>
      </c>
      <c r="I237" t="s">
        <v>20</v>
      </c>
      <c r="J237" t="s">
        <v>62</v>
      </c>
      <c r="K237" s="6">
        <v>0.03</v>
      </c>
      <c r="L237" s="7">
        <f t="shared" si="7"/>
        <v>2E-3</v>
      </c>
      <c r="M237" s="7">
        <v>3.0000000000000001E-3</v>
      </c>
      <c r="N237">
        <v>6</v>
      </c>
      <c r="O237" s="8">
        <v>14.260089507934383</v>
      </c>
      <c r="P237" s="9">
        <v>14.260089507934383</v>
      </c>
      <c r="Q237" s="9">
        <v>14.260089507934383</v>
      </c>
      <c r="R237" s="9">
        <v>14.434686024139818</v>
      </c>
      <c r="S237" s="9">
        <v>14.722027102535575</v>
      </c>
      <c r="T237" s="9">
        <v>15.677715915555218</v>
      </c>
      <c r="U237" s="9">
        <v>17.010379604817192</v>
      </c>
      <c r="V237" s="9">
        <v>17.010379604817192</v>
      </c>
      <c r="W237" s="9">
        <v>17.010379604817192</v>
      </c>
      <c r="X237" s="9">
        <v>16.884570568466835</v>
      </c>
      <c r="Y237" s="9">
        <v>16.884570568466835</v>
      </c>
      <c r="Z237" s="9">
        <v>18.617757359760585</v>
      </c>
      <c r="AA237" s="9">
        <v>18.617757359760585</v>
      </c>
      <c r="AB237" s="9">
        <v>20.52292271594289</v>
      </c>
      <c r="AC237" s="9">
        <v>20.52292271594289</v>
      </c>
      <c r="AD237" s="9">
        <v>22.530627040176761</v>
      </c>
      <c r="AE237" s="9">
        <v>24.654059850225856</v>
      </c>
      <c r="AF237" s="9">
        <v>28.622962393602329</v>
      </c>
      <c r="AG237" s="9">
        <v>28.622962393602329</v>
      </c>
      <c r="AH237" s="9">
        <v>31.011605245024167</v>
      </c>
      <c r="AI237" s="9">
        <v>33.330799286496742</v>
      </c>
      <c r="AJ237" s="9">
        <v>3.0428788910505911</v>
      </c>
    </row>
    <row r="238" spans="1:36" x14ac:dyDescent="0.25">
      <c r="A238" t="s">
        <v>5411</v>
      </c>
      <c r="B238" t="s">
        <v>16</v>
      </c>
      <c r="C238" t="s">
        <v>17</v>
      </c>
      <c r="D238">
        <v>13580000</v>
      </c>
      <c r="E238">
        <v>13589999</v>
      </c>
      <c r="F238" t="s">
        <v>182</v>
      </c>
      <c r="G238" t="str">
        <f t="shared" si="6"/>
        <v>SPI II</v>
      </c>
      <c r="H238" t="s">
        <v>19</v>
      </c>
      <c r="I238" t="s">
        <v>20</v>
      </c>
      <c r="J238" t="s">
        <v>64</v>
      </c>
      <c r="K238" s="6">
        <v>0.03</v>
      </c>
      <c r="L238" s="7">
        <f t="shared" si="7"/>
        <v>2E-3</v>
      </c>
      <c r="M238" s="7">
        <v>3.0000000000000001E-3</v>
      </c>
      <c r="N238">
        <v>6</v>
      </c>
      <c r="O238" s="8">
        <v>17.934556092922943</v>
      </c>
      <c r="P238" s="9">
        <v>17.934556092922943</v>
      </c>
      <c r="Q238" s="9">
        <v>17.934556092922943</v>
      </c>
      <c r="R238" s="9">
        <v>18.35577997371016</v>
      </c>
      <c r="S238" s="9">
        <v>18.404835306435746</v>
      </c>
      <c r="T238" s="9">
        <v>19.112621008962602</v>
      </c>
      <c r="U238" s="9">
        <v>20.35176903227914</v>
      </c>
      <c r="V238" s="9">
        <v>20.35176903227914</v>
      </c>
      <c r="W238" s="9">
        <v>20.35176903227914</v>
      </c>
      <c r="X238" s="9">
        <v>19.91589544268896</v>
      </c>
      <c r="Y238" s="9">
        <v>19.91589544268896</v>
      </c>
      <c r="Z238" s="9">
        <v>21.609947773831163</v>
      </c>
      <c r="AA238" s="9">
        <v>21.609947773831163</v>
      </c>
      <c r="AB238" s="9">
        <v>23.372671736151272</v>
      </c>
      <c r="AC238" s="9">
        <v>23.372671736151272</v>
      </c>
      <c r="AD238" s="9">
        <v>26.430826810726163</v>
      </c>
      <c r="AE238" s="9">
        <v>27.959768706413232</v>
      </c>
      <c r="AF238" s="9">
        <v>29.772701744670762</v>
      </c>
      <c r="AG238" s="9">
        <v>29.772701744670762</v>
      </c>
      <c r="AH238" s="9">
        <v>32.589351949315954</v>
      </c>
      <c r="AI238" s="9">
        <v>34.825222308406182</v>
      </c>
      <c r="AJ238" s="9">
        <v>3.0428788910505911</v>
      </c>
    </row>
    <row r="239" spans="1:36" x14ac:dyDescent="0.25">
      <c r="A239" t="s">
        <v>5411</v>
      </c>
      <c r="B239" t="s">
        <v>16</v>
      </c>
      <c r="C239" t="s">
        <v>17</v>
      </c>
      <c r="D239">
        <v>13590000</v>
      </c>
      <c r="E239">
        <v>13599999</v>
      </c>
      <c r="F239" t="s">
        <v>183</v>
      </c>
      <c r="G239" t="str">
        <f t="shared" si="6"/>
        <v>SPI</v>
      </c>
      <c r="H239" t="s">
        <v>19</v>
      </c>
      <c r="I239" t="s">
        <v>20</v>
      </c>
      <c r="J239" t="s">
        <v>62</v>
      </c>
      <c r="K239" s="6">
        <v>0.03</v>
      </c>
      <c r="L239" s="7">
        <f t="shared" si="7"/>
        <v>2E-3</v>
      </c>
      <c r="M239" s="7">
        <v>3.0000000000000001E-3</v>
      </c>
      <c r="N239">
        <v>6</v>
      </c>
      <c r="O239" s="8">
        <v>14.260089507934383</v>
      </c>
      <c r="P239" s="9">
        <v>14.260089507934383</v>
      </c>
      <c r="Q239" s="9">
        <v>14.260089507934383</v>
      </c>
      <c r="R239" s="9">
        <v>14.434686024139818</v>
      </c>
      <c r="S239" s="9">
        <v>14.722027102535575</v>
      </c>
      <c r="T239" s="9">
        <v>15.677715915555218</v>
      </c>
      <c r="U239" s="9">
        <v>17.010379604817192</v>
      </c>
      <c r="V239" s="9">
        <v>17.010379604817192</v>
      </c>
      <c r="W239" s="9">
        <v>17.010379604817192</v>
      </c>
      <c r="X239" s="9">
        <v>16.884570568466835</v>
      </c>
      <c r="Y239" s="9">
        <v>16.884570568466835</v>
      </c>
      <c r="Z239" s="9">
        <v>18.617757359760585</v>
      </c>
      <c r="AA239" s="9">
        <v>18.617757359760585</v>
      </c>
      <c r="AB239" s="9">
        <v>20.52292271594289</v>
      </c>
      <c r="AC239" s="9">
        <v>20.52292271594289</v>
      </c>
      <c r="AD239" s="9">
        <v>22.530627040176761</v>
      </c>
      <c r="AE239" s="9">
        <v>24.654059850225856</v>
      </c>
      <c r="AF239" s="9">
        <v>28.622962393602329</v>
      </c>
      <c r="AG239" s="9">
        <v>28.622962393602329</v>
      </c>
      <c r="AH239" s="9">
        <v>31.011605245024167</v>
      </c>
      <c r="AI239" s="9">
        <v>33.330799286496742</v>
      </c>
      <c r="AJ239" s="9">
        <v>3.0428788910505911</v>
      </c>
    </row>
    <row r="240" spans="1:36" x14ac:dyDescent="0.25">
      <c r="A240" t="s">
        <v>5411</v>
      </c>
      <c r="B240" t="s">
        <v>16</v>
      </c>
      <c r="C240" t="s">
        <v>17</v>
      </c>
      <c r="D240">
        <v>13600000</v>
      </c>
      <c r="E240">
        <v>13624999</v>
      </c>
      <c r="F240" t="s">
        <v>184</v>
      </c>
      <c r="G240" t="str">
        <f t="shared" si="6"/>
        <v>SPI</v>
      </c>
      <c r="H240" t="s">
        <v>19</v>
      </c>
      <c r="I240" t="s">
        <v>20</v>
      </c>
      <c r="J240" t="s">
        <v>62</v>
      </c>
      <c r="K240" s="6">
        <v>0.03</v>
      </c>
      <c r="L240" s="7">
        <f t="shared" si="7"/>
        <v>2E-3</v>
      </c>
      <c r="M240" s="7">
        <v>3.0000000000000001E-3</v>
      </c>
      <c r="N240">
        <v>7</v>
      </c>
      <c r="O240" s="8">
        <v>14.260089507934383</v>
      </c>
      <c r="P240" s="9">
        <v>14.260089507934383</v>
      </c>
      <c r="Q240" s="9">
        <v>14.260089507934383</v>
      </c>
      <c r="R240" s="9">
        <v>14.434686024139818</v>
      </c>
      <c r="S240" s="9">
        <v>14.722027102535575</v>
      </c>
      <c r="T240" s="9">
        <v>15.677715915555218</v>
      </c>
      <c r="U240" s="9">
        <v>17.010379604817192</v>
      </c>
      <c r="V240" s="9">
        <v>17.010379604817192</v>
      </c>
      <c r="W240" s="9">
        <v>17.010379604817192</v>
      </c>
      <c r="X240" s="9">
        <v>16.884570568466835</v>
      </c>
      <c r="Y240" s="9">
        <v>16.884570568466835</v>
      </c>
      <c r="Z240" s="9">
        <v>18.617757359760585</v>
      </c>
      <c r="AA240" s="9">
        <v>18.617757359760585</v>
      </c>
      <c r="AB240" s="9">
        <v>20.52292271594289</v>
      </c>
      <c r="AC240" s="9">
        <v>20.52292271594289</v>
      </c>
      <c r="AD240" s="9">
        <v>22.530627040176761</v>
      </c>
      <c r="AE240" s="9">
        <v>24.654059850225856</v>
      </c>
      <c r="AF240" s="9">
        <v>28.622962393602329</v>
      </c>
      <c r="AG240" s="9">
        <v>28.622962393602329</v>
      </c>
      <c r="AH240" s="9">
        <v>31.011605245024167</v>
      </c>
      <c r="AI240" s="9">
        <v>33.330799286496742</v>
      </c>
      <c r="AJ240" s="9">
        <v>3.0428788910505911</v>
      </c>
    </row>
    <row r="241" spans="1:36" x14ac:dyDescent="0.25">
      <c r="A241" t="s">
        <v>5411</v>
      </c>
      <c r="B241" t="s">
        <v>16</v>
      </c>
      <c r="C241" t="s">
        <v>17</v>
      </c>
      <c r="D241">
        <v>13625000</v>
      </c>
      <c r="E241">
        <v>13629999</v>
      </c>
      <c r="F241" t="s">
        <v>185</v>
      </c>
      <c r="G241" t="str">
        <f t="shared" si="6"/>
        <v>SPI II</v>
      </c>
      <c r="H241" t="s">
        <v>19</v>
      </c>
      <c r="I241" t="s">
        <v>20</v>
      </c>
      <c r="J241" t="s">
        <v>64</v>
      </c>
      <c r="K241" s="6">
        <v>0.03</v>
      </c>
      <c r="L241" s="7">
        <f t="shared" si="7"/>
        <v>2E-3</v>
      </c>
      <c r="M241" s="7">
        <v>3.0000000000000001E-3</v>
      </c>
      <c r="N241">
        <v>7</v>
      </c>
      <c r="O241" s="8">
        <v>17.934556092922943</v>
      </c>
      <c r="P241" s="9">
        <v>17.934556092922943</v>
      </c>
      <c r="Q241" s="9">
        <v>17.934556092922943</v>
      </c>
      <c r="R241" s="9">
        <v>18.35577997371016</v>
      </c>
      <c r="S241" s="9">
        <v>18.404835306435746</v>
      </c>
      <c r="T241" s="9">
        <v>19.112621008962602</v>
      </c>
      <c r="U241" s="9">
        <v>20.35176903227914</v>
      </c>
      <c r="V241" s="9">
        <v>20.35176903227914</v>
      </c>
      <c r="W241" s="9">
        <v>20.35176903227914</v>
      </c>
      <c r="X241" s="9">
        <v>19.91589544268896</v>
      </c>
      <c r="Y241" s="9">
        <v>19.91589544268896</v>
      </c>
      <c r="Z241" s="9">
        <v>21.609947773831163</v>
      </c>
      <c r="AA241" s="9">
        <v>21.609947773831163</v>
      </c>
      <c r="AB241" s="9">
        <v>23.372671736151272</v>
      </c>
      <c r="AC241" s="9">
        <v>23.372671736151272</v>
      </c>
      <c r="AD241" s="9">
        <v>26.430826810726163</v>
      </c>
      <c r="AE241" s="9">
        <v>27.959768706413232</v>
      </c>
      <c r="AF241" s="9">
        <v>29.772701744670762</v>
      </c>
      <c r="AG241" s="9">
        <v>29.772701744670762</v>
      </c>
      <c r="AH241" s="9">
        <v>32.589351949315954</v>
      </c>
      <c r="AI241" s="9">
        <v>34.825222308406182</v>
      </c>
      <c r="AJ241" s="9">
        <v>3.0428788910505911</v>
      </c>
    </row>
    <row r="242" spans="1:36" x14ac:dyDescent="0.25">
      <c r="A242" t="s">
        <v>5411</v>
      </c>
      <c r="B242" t="s">
        <v>16</v>
      </c>
      <c r="C242" t="s">
        <v>17</v>
      </c>
      <c r="D242">
        <v>13630000</v>
      </c>
      <c r="E242">
        <v>13649999</v>
      </c>
      <c r="F242" t="s">
        <v>186</v>
      </c>
      <c r="G242" t="str">
        <f t="shared" si="6"/>
        <v>SPI II</v>
      </c>
      <c r="H242" t="s">
        <v>19</v>
      </c>
      <c r="I242" t="s">
        <v>20</v>
      </c>
      <c r="J242" t="s">
        <v>64</v>
      </c>
      <c r="K242" s="6">
        <v>0.03</v>
      </c>
      <c r="L242" s="7">
        <f t="shared" si="7"/>
        <v>2E-3</v>
      </c>
      <c r="M242" s="7">
        <v>3.0000000000000001E-3</v>
      </c>
      <c r="N242">
        <v>7</v>
      </c>
      <c r="O242" s="8">
        <v>17.934556092922943</v>
      </c>
      <c r="P242" s="9">
        <v>17.934556092922943</v>
      </c>
      <c r="Q242" s="9">
        <v>17.934556092922943</v>
      </c>
      <c r="R242" s="9">
        <v>18.35577997371016</v>
      </c>
      <c r="S242" s="9">
        <v>18.404835306435746</v>
      </c>
      <c r="T242" s="9">
        <v>19.112621008962602</v>
      </c>
      <c r="U242" s="9">
        <v>20.35176903227914</v>
      </c>
      <c r="V242" s="9">
        <v>20.35176903227914</v>
      </c>
      <c r="W242" s="9">
        <v>20.35176903227914</v>
      </c>
      <c r="X242" s="9">
        <v>19.91589544268896</v>
      </c>
      <c r="Y242" s="9">
        <v>19.91589544268896</v>
      </c>
      <c r="Z242" s="9">
        <v>21.609947773831163</v>
      </c>
      <c r="AA242" s="9">
        <v>21.609947773831163</v>
      </c>
      <c r="AB242" s="9">
        <v>23.372671736151272</v>
      </c>
      <c r="AC242" s="9">
        <v>23.372671736151272</v>
      </c>
      <c r="AD242" s="9">
        <v>26.430826810726163</v>
      </c>
      <c r="AE242" s="9">
        <v>27.959768706413232</v>
      </c>
      <c r="AF242" s="9">
        <v>29.772701744670762</v>
      </c>
      <c r="AG242" s="9">
        <v>29.772701744670762</v>
      </c>
      <c r="AH242" s="9">
        <v>32.589351949315954</v>
      </c>
      <c r="AI242" s="9">
        <v>34.825222308406182</v>
      </c>
      <c r="AJ242" s="9">
        <v>3.0428788910505911</v>
      </c>
    </row>
    <row r="243" spans="1:36" x14ac:dyDescent="0.25">
      <c r="A243" t="s">
        <v>5411</v>
      </c>
      <c r="B243" t="s">
        <v>16</v>
      </c>
      <c r="C243" t="s">
        <v>17</v>
      </c>
      <c r="D243">
        <v>13650000</v>
      </c>
      <c r="E243">
        <v>13659999</v>
      </c>
      <c r="F243" t="s">
        <v>187</v>
      </c>
      <c r="G243" t="str">
        <f t="shared" si="6"/>
        <v>SPI II</v>
      </c>
      <c r="H243" t="s">
        <v>19</v>
      </c>
      <c r="I243" t="s">
        <v>20</v>
      </c>
      <c r="J243" t="s">
        <v>64</v>
      </c>
      <c r="K243" s="6">
        <v>0.03</v>
      </c>
      <c r="L243" s="7">
        <f t="shared" si="7"/>
        <v>2E-3</v>
      </c>
      <c r="M243" s="7">
        <v>3.0000000000000001E-3</v>
      </c>
      <c r="N243">
        <v>7</v>
      </c>
      <c r="O243" s="8">
        <v>17.934556092922943</v>
      </c>
      <c r="P243" s="9">
        <v>17.934556092922943</v>
      </c>
      <c r="Q243" s="9">
        <v>17.934556092922943</v>
      </c>
      <c r="R243" s="9">
        <v>18.35577997371016</v>
      </c>
      <c r="S243" s="9">
        <v>18.404835306435746</v>
      </c>
      <c r="T243" s="9">
        <v>19.112621008962602</v>
      </c>
      <c r="U243" s="9">
        <v>20.35176903227914</v>
      </c>
      <c r="V243" s="9">
        <v>20.35176903227914</v>
      </c>
      <c r="W243" s="9">
        <v>20.35176903227914</v>
      </c>
      <c r="X243" s="9">
        <v>19.91589544268896</v>
      </c>
      <c r="Y243" s="9">
        <v>19.91589544268896</v>
      </c>
      <c r="Z243" s="9">
        <v>21.609947773831163</v>
      </c>
      <c r="AA243" s="9">
        <v>21.609947773831163</v>
      </c>
      <c r="AB243" s="9">
        <v>23.372671736151272</v>
      </c>
      <c r="AC243" s="9">
        <v>23.372671736151272</v>
      </c>
      <c r="AD243" s="9">
        <v>26.430826810726163</v>
      </c>
      <c r="AE243" s="9">
        <v>27.959768706413232</v>
      </c>
      <c r="AF243" s="9">
        <v>29.772701744670762</v>
      </c>
      <c r="AG243" s="9">
        <v>29.772701744670762</v>
      </c>
      <c r="AH243" s="9">
        <v>32.589351949315954</v>
      </c>
      <c r="AI243" s="9">
        <v>34.825222308406182</v>
      </c>
      <c r="AJ243" s="9">
        <v>3.0428788910505911</v>
      </c>
    </row>
    <row r="244" spans="1:36" x14ac:dyDescent="0.25">
      <c r="A244" t="s">
        <v>5411</v>
      </c>
      <c r="B244" t="s">
        <v>16</v>
      </c>
      <c r="C244" t="s">
        <v>17</v>
      </c>
      <c r="D244">
        <v>13660000</v>
      </c>
      <c r="E244">
        <v>13669999</v>
      </c>
      <c r="F244" t="s">
        <v>188</v>
      </c>
      <c r="G244" t="str">
        <f t="shared" si="6"/>
        <v>SPI II</v>
      </c>
      <c r="H244" t="s">
        <v>19</v>
      </c>
      <c r="I244" t="s">
        <v>20</v>
      </c>
      <c r="J244" t="s">
        <v>64</v>
      </c>
      <c r="K244" s="6">
        <v>0.03</v>
      </c>
      <c r="L244" s="7">
        <f t="shared" si="7"/>
        <v>2E-3</v>
      </c>
      <c r="M244" s="7">
        <v>3.0000000000000001E-3</v>
      </c>
      <c r="N244">
        <v>7</v>
      </c>
      <c r="O244" s="8">
        <v>17.934556092922943</v>
      </c>
      <c r="P244" s="9">
        <v>17.934556092922943</v>
      </c>
      <c r="Q244" s="9">
        <v>17.934556092922943</v>
      </c>
      <c r="R244" s="9">
        <v>18.35577997371016</v>
      </c>
      <c r="S244" s="9">
        <v>18.404835306435746</v>
      </c>
      <c r="T244" s="9">
        <v>19.112621008962602</v>
      </c>
      <c r="U244" s="9">
        <v>20.35176903227914</v>
      </c>
      <c r="V244" s="9">
        <v>20.35176903227914</v>
      </c>
      <c r="W244" s="9">
        <v>20.35176903227914</v>
      </c>
      <c r="X244" s="9">
        <v>19.91589544268896</v>
      </c>
      <c r="Y244" s="9">
        <v>19.91589544268896</v>
      </c>
      <c r="Z244" s="9">
        <v>21.609947773831163</v>
      </c>
      <c r="AA244" s="9">
        <v>21.609947773831163</v>
      </c>
      <c r="AB244" s="9">
        <v>23.372671736151272</v>
      </c>
      <c r="AC244" s="9">
        <v>23.372671736151272</v>
      </c>
      <c r="AD244" s="9">
        <v>26.430826810726163</v>
      </c>
      <c r="AE244" s="9">
        <v>27.959768706413232</v>
      </c>
      <c r="AF244" s="9">
        <v>29.772701744670762</v>
      </c>
      <c r="AG244" s="9">
        <v>29.772701744670762</v>
      </c>
      <c r="AH244" s="9">
        <v>32.589351949315954</v>
      </c>
      <c r="AI244" s="9">
        <v>34.825222308406182</v>
      </c>
      <c r="AJ244" s="9">
        <v>3.0428788910505911</v>
      </c>
    </row>
    <row r="245" spans="1:36" x14ac:dyDescent="0.25">
      <c r="A245" t="s">
        <v>5411</v>
      </c>
      <c r="B245" t="s">
        <v>16</v>
      </c>
      <c r="C245" t="s">
        <v>17</v>
      </c>
      <c r="D245">
        <v>13670000</v>
      </c>
      <c r="E245">
        <v>13689999</v>
      </c>
      <c r="F245" t="s">
        <v>189</v>
      </c>
      <c r="G245" t="str">
        <f t="shared" si="6"/>
        <v>SPI II</v>
      </c>
      <c r="H245" t="s">
        <v>19</v>
      </c>
      <c r="I245" t="s">
        <v>20</v>
      </c>
      <c r="J245" t="s">
        <v>64</v>
      </c>
      <c r="K245" s="6">
        <v>0.03</v>
      </c>
      <c r="L245" s="7">
        <f t="shared" si="7"/>
        <v>2E-3</v>
      </c>
      <c r="M245" s="7">
        <v>3.0000000000000001E-3</v>
      </c>
      <c r="N245">
        <v>7</v>
      </c>
      <c r="O245" s="8">
        <v>17.934556092922943</v>
      </c>
      <c r="P245" s="9">
        <v>17.934556092922943</v>
      </c>
      <c r="Q245" s="9">
        <v>17.934556092922943</v>
      </c>
      <c r="R245" s="9">
        <v>18.35577997371016</v>
      </c>
      <c r="S245" s="9">
        <v>18.404835306435746</v>
      </c>
      <c r="T245" s="9">
        <v>19.112621008962602</v>
      </c>
      <c r="U245" s="9">
        <v>20.35176903227914</v>
      </c>
      <c r="V245" s="9">
        <v>20.35176903227914</v>
      </c>
      <c r="W245" s="9">
        <v>20.35176903227914</v>
      </c>
      <c r="X245" s="9">
        <v>19.91589544268896</v>
      </c>
      <c r="Y245" s="9">
        <v>19.91589544268896</v>
      </c>
      <c r="Z245" s="9">
        <v>21.609947773831163</v>
      </c>
      <c r="AA245" s="9">
        <v>21.609947773831163</v>
      </c>
      <c r="AB245" s="9">
        <v>23.372671736151272</v>
      </c>
      <c r="AC245" s="9">
        <v>23.372671736151272</v>
      </c>
      <c r="AD245" s="9">
        <v>26.430826810726163</v>
      </c>
      <c r="AE245" s="9">
        <v>27.959768706413232</v>
      </c>
      <c r="AF245" s="9">
        <v>29.772701744670762</v>
      </c>
      <c r="AG245" s="9">
        <v>29.772701744670762</v>
      </c>
      <c r="AH245" s="9">
        <v>32.589351949315954</v>
      </c>
      <c r="AI245" s="9">
        <v>34.825222308406182</v>
      </c>
      <c r="AJ245" s="9">
        <v>3.0428788910505911</v>
      </c>
    </row>
    <row r="246" spans="1:36" x14ac:dyDescent="0.25">
      <c r="A246" t="s">
        <v>5411</v>
      </c>
      <c r="B246" t="s">
        <v>16</v>
      </c>
      <c r="C246" t="s">
        <v>17</v>
      </c>
      <c r="D246">
        <v>13690000</v>
      </c>
      <c r="E246">
        <v>13699999</v>
      </c>
      <c r="F246" t="s">
        <v>190</v>
      </c>
      <c r="G246" t="str">
        <f t="shared" si="6"/>
        <v>SPI II</v>
      </c>
      <c r="H246" t="s">
        <v>19</v>
      </c>
      <c r="I246" t="s">
        <v>20</v>
      </c>
      <c r="J246" t="s">
        <v>64</v>
      </c>
      <c r="K246" s="6">
        <v>0.03</v>
      </c>
      <c r="L246" s="7">
        <f t="shared" si="7"/>
        <v>2E-3</v>
      </c>
      <c r="M246" s="7">
        <v>3.0000000000000001E-3</v>
      </c>
      <c r="N246">
        <v>7</v>
      </c>
      <c r="O246" s="8">
        <v>17.934556092922943</v>
      </c>
      <c r="P246" s="9">
        <v>17.934556092922943</v>
      </c>
      <c r="Q246" s="9">
        <v>17.934556092922943</v>
      </c>
      <c r="R246" s="9">
        <v>18.35577997371016</v>
      </c>
      <c r="S246" s="9">
        <v>18.404835306435746</v>
      </c>
      <c r="T246" s="9">
        <v>19.112621008962602</v>
      </c>
      <c r="U246" s="9">
        <v>20.35176903227914</v>
      </c>
      <c r="V246" s="9">
        <v>20.35176903227914</v>
      </c>
      <c r="W246" s="9">
        <v>20.35176903227914</v>
      </c>
      <c r="X246" s="9">
        <v>19.91589544268896</v>
      </c>
      <c r="Y246" s="9">
        <v>19.91589544268896</v>
      </c>
      <c r="Z246" s="9">
        <v>21.609947773831163</v>
      </c>
      <c r="AA246" s="9">
        <v>21.609947773831163</v>
      </c>
      <c r="AB246" s="9">
        <v>23.372671736151272</v>
      </c>
      <c r="AC246" s="9">
        <v>23.372671736151272</v>
      </c>
      <c r="AD246" s="9">
        <v>26.430826810726163</v>
      </c>
      <c r="AE246" s="9">
        <v>27.959768706413232</v>
      </c>
      <c r="AF246" s="9">
        <v>29.772701744670762</v>
      </c>
      <c r="AG246" s="9">
        <v>29.772701744670762</v>
      </c>
      <c r="AH246" s="9">
        <v>32.589351949315954</v>
      </c>
      <c r="AI246" s="9">
        <v>34.825222308406182</v>
      </c>
      <c r="AJ246" s="9">
        <v>3.0428788910505911</v>
      </c>
    </row>
    <row r="247" spans="1:36" x14ac:dyDescent="0.25">
      <c r="A247" t="s">
        <v>5411</v>
      </c>
      <c r="B247" t="s">
        <v>16</v>
      </c>
      <c r="C247" t="s">
        <v>17</v>
      </c>
      <c r="D247">
        <v>13700000</v>
      </c>
      <c r="E247">
        <v>13709999</v>
      </c>
      <c r="F247" t="s">
        <v>191</v>
      </c>
      <c r="G247" t="str">
        <f t="shared" si="6"/>
        <v>SPI II</v>
      </c>
      <c r="H247" t="s">
        <v>19</v>
      </c>
      <c r="I247" t="s">
        <v>20</v>
      </c>
      <c r="J247" t="s">
        <v>64</v>
      </c>
      <c r="K247" s="6">
        <v>0.03</v>
      </c>
      <c r="L247" s="7">
        <f t="shared" si="7"/>
        <v>2E-3</v>
      </c>
      <c r="M247" s="7">
        <v>3.0000000000000001E-3</v>
      </c>
      <c r="N247">
        <v>7</v>
      </c>
      <c r="O247" s="8">
        <v>17.934556092922943</v>
      </c>
      <c r="P247" s="9">
        <v>17.934556092922943</v>
      </c>
      <c r="Q247" s="9">
        <v>17.934556092922943</v>
      </c>
      <c r="R247" s="9">
        <v>18.35577997371016</v>
      </c>
      <c r="S247" s="9">
        <v>18.404835306435746</v>
      </c>
      <c r="T247" s="9">
        <v>19.112621008962602</v>
      </c>
      <c r="U247" s="9">
        <v>20.35176903227914</v>
      </c>
      <c r="V247" s="9">
        <v>20.35176903227914</v>
      </c>
      <c r="W247" s="9">
        <v>20.35176903227914</v>
      </c>
      <c r="X247" s="9">
        <v>19.91589544268896</v>
      </c>
      <c r="Y247" s="9">
        <v>19.91589544268896</v>
      </c>
      <c r="Z247" s="9">
        <v>21.609947773831163</v>
      </c>
      <c r="AA247" s="9">
        <v>21.609947773831163</v>
      </c>
      <c r="AB247" s="9">
        <v>23.372671736151272</v>
      </c>
      <c r="AC247" s="9">
        <v>23.372671736151272</v>
      </c>
      <c r="AD247" s="9">
        <v>26.430826810726163</v>
      </c>
      <c r="AE247" s="9">
        <v>27.959768706413232</v>
      </c>
      <c r="AF247" s="9">
        <v>29.772701744670762</v>
      </c>
      <c r="AG247" s="9">
        <v>29.772701744670762</v>
      </c>
      <c r="AH247" s="9">
        <v>32.589351949315954</v>
      </c>
      <c r="AI247" s="9">
        <v>34.825222308406182</v>
      </c>
      <c r="AJ247" s="9">
        <v>3.0428788910505911</v>
      </c>
    </row>
    <row r="248" spans="1:36" x14ac:dyDescent="0.25">
      <c r="A248" t="s">
        <v>5411</v>
      </c>
      <c r="B248" t="s">
        <v>16</v>
      </c>
      <c r="C248" t="s">
        <v>17</v>
      </c>
      <c r="D248">
        <v>13710000</v>
      </c>
      <c r="E248">
        <v>13714999</v>
      </c>
      <c r="F248" t="s">
        <v>192</v>
      </c>
      <c r="G248" t="str">
        <f t="shared" si="6"/>
        <v>SPI II</v>
      </c>
      <c r="H248" t="s">
        <v>19</v>
      </c>
      <c r="I248" t="s">
        <v>20</v>
      </c>
      <c r="J248" t="s">
        <v>64</v>
      </c>
      <c r="K248" s="6">
        <v>0.03</v>
      </c>
      <c r="L248" s="7">
        <f t="shared" si="7"/>
        <v>2E-3</v>
      </c>
      <c r="M248" s="7">
        <v>3.0000000000000001E-3</v>
      </c>
      <c r="N248">
        <v>6</v>
      </c>
      <c r="O248" s="8">
        <v>17.934556092922943</v>
      </c>
      <c r="P248" s="9">
        <v>17.934556092922943</v>
      </c>
      <c r="Q248" s="9">
        <v>17.934556092922943</v>
      </c>
      <c r="R248" s="9">
        <v>18.35577997371016</v>
      </c>
      <c r="S248" s="9">
        <v>18.404835306435746</v>
      </c>
      <c r="T248" s="9">
        <v>19.112621008962602</v>
      </c>
      <c r="U248" s="9">
        <v>20.35176903227914</v>
      </c>
      <c r="V248" s="9">
        <v>20.35176903227914</v>
      </c>
      <c r="W248" s="9">
        <v>20.35176903227914</v>
      </c>
      <c r="X248" s="9">
        <v>19.91589544268896</v>
      </c>
      <c r="Y248" s="9">
        <v>19.91589544268896</v>
      </c>
      <c r="Z248" s="9">
        <v>21.609947773831163</v>
      </c>
      <c r="AA248" s="9">
        <v>21.609947773831163</v>
      </c>
      <c r="AB248" s="9">
        <v>23.372671736151272</v>
      </c>
      <c r="AC248" s="9">
        <v>23.372671736151272</v>
      </c>
      <c r="AD248" s="9">
        <v>26.430826810726163</v>
      </c>
      <c r="AE248" s="9">
        <v>27.959768706413232</v>
      </c>
      <c r="AF248" s="9">
        <v>29.772701744670762</v>
      </c>
      <c r="AG248" s="9">
        <v>29.772701744670762</v>
      </c>
      <c r="AH248" s="9">
        <v>32.589351949315954</v>
      </c>
      <c r="AI248" s="9">
        <v>34.825222308406182</v>
      </c>
      <c r="AJ248" s="9">
        <v>3.0428788910505911</v>
      </c>
    </row>
    <row r="249" spans="1:36" x14ac:dyDescent="0.25">
      <c r="A249" t="s">
        <v>5411</v>
      </c>
      <c r="B249" t="s">
        <v>16</v>
      </c>
      <c r="C249" t="s">
        <v>17</v>
      </c>
      <c r="D249">
        <v>13715000</v>
      </c>
      <c r="E249">
        <v>13719999</v>
      </c>
      <c r="F249" t="s">
        <v>193</v>
      </c>
      <c r="G249" t="str">
        <f t="shared" si="6"/>
        <v>SPI II</v>
      </c>
      <c r="H249" t="s">
        <v>19</v>
      </c>
      <c r="I249" t="s">
        <v>20</v>
      </c>
      <c r="J249" t="s">
        <v>64</v>
      </c>
      <c r="K249" s="6">
        <v>0.03</v>
      </c>
      <c r="L249" s="7">
        <f t="shared" si="7"/>
        <v>2E-3</v>
      </c>
      <c r="M249" s="7">
        <v>3.0000000000000001E-3</v>
      </c>
      <c r="N249">
        <v>7</v>
      </c>
      <c r="O249" s="8">
        <v>17.934556092922943</v>
      </c>
      <c r="P249" s="9">
        <v>17.934556092922943</v>
      </c>
      <c r="Q249" s="9">
        <v>17.934556092922943</v>
      </c>
      <c r="R249" s="9">
        <v>18.35577997371016</v>
      </c>
      <c r="S249" s="9">
        <v>18.404835306435746</v>
      </c>
      <c r="T249" s="9">
        <v>19.112621008962602</v>
      </c>
      <c r="U249" s="9">
        <v>20.35176903227914</v>
      </c>
      <c r="V249" s="9">
        <v>20.35176903227914</v>
      </c>
      <c r="W249" s="9">
        <v>20.35176903227914</v>
      </c>
      <c r="X249" s="9">
        <v>19.91589544268896</v>
      </c>
      <c r="Y249" s="9">
        <v>19.91589544268896</v>
      </c>
      <c r="Z249" s="9">
        <v>21.609947773831163</v>
      </c>
      <c r="AA249" s="9">
        <v>21.609947773831163</v>
      </c>
      <c r="AB249" s="9">
        <v>23.372671736151272</v>
      </c>
      <c r="AC249" s="9">
        <v>23.372671736151272</v>
      </c>
      <c r="AD249" s="9">
        <v>26.430826810726163</v>
      </c>
      <c r="AE249" s="9">
        <v>27.959768706413232</v>
      </c>
      <c r="AF249" s="9">
        <v>29.772701744670762</v>
      </c>
      <c r="AG249" s="9">
        <v>29.772701744670762</v>
      </c>
      <c r="AH249" s="9">
        <v>32.589351949315954</v>
      </c>
      <c r="AI249" s="9">
        <v>34.825222308406182</v>
      </c>
      <c r="AJ249" s="9">
        <v>3.0428788910505911</v>
      </c>
    </row>
    <row r="250" spans="1:36" x14ac:dyDescent="0.25">
      <c r="A250" t="s">
        <v>5411</v>
      </c>
      <c r="B250" t="s">
        <v>16</v>
      </c>
      <c r="C250" t="s">
        <v>17</v>
      </c>
      <c r="D250">
        <v>13720000</v>
      </c>
      <c r="E250">
        <v>13729999</v>
      </c>
      <c r="F250" t="s">
        <v>194</v>
      </c>
      <c r="G250" t="str">
        <f t="shared" si="6"/>
        <v>SPI II</v>
      </c>
      <c r="H250" t="s">
        <v>19</v>
      </c>
      <c r="I250" t="s">
        <v>20</v>
      </c>
      <c r="J250" t="s">
        <v>64</v>
      </c>
      <c r="K250" s="6">
        <v>0.03</v>
      </c>
      <c r="L250" s="7">
        <f t="shared" si="7"/>
        <v>2E-3</v>
      </c>
      <c r="M250" s="7">
        <v>3.0000000000000001E-3</v>
      </c>
      <c r="N250">
        <v>7</v>
      </c>
      <c r="O250" s="8">
        <v>17.934556092922943</v>
      </c>
      <c r="P250" s="9">
        <v>17.934556092922943</v>
      </c>
      <c r="Q250" s="9">
        <v>17.934556092922943</v>
      </c>
      <c r="R250" s="9">
        <v>18.35577997371016</v>
      </c>
      <c r="S250" s="9">
        <v>18.404835306435746</v>
      </c>
      <c r="T250" s="9">
        <v>19.112621008962602</v>
      </c>
      <c r="U250" s="9">
        <v>20.35176903227914</v>
      </c>
      <c r="V250" s="9">
        <v>20.35176903227914</v>
      </c>
      <c r="W250" s="9">
        <v>20.35176903227914</v>
      </c>
      <c r="X250" s="9">
        <v>19.91589544268896</v>
      </c>
      <c r="Y250" s="9">
        <v>19.91589544268896</v>
      </c>
      <c r="Z250" s="9">
        <v>21.609947773831163</v>
      </c>
      <c r="AA250" s="9">
        <v>21.609947773831163</v>
      </c>
      <c r="AB250" s="9">
        <v>23.372671736151272</v>
      </c>
      <c r="AC250" s="9">
        <v>23.372671736151272</v>
      </c>
      <c r="AD250" s="9">
        <v>26.430826810726163</v>
      </c>
      <c r="AE250" s="9">
        <v>27.959768706413232</v>
      </c>
      <c r="AF250" s="9">
        <v>29.772701744670762</v>
      </c>
      <c r="AG250" s="9">
        <v>29.772701744670762</v>
      </c>
      <c r="AH250" s="9">
        <v>32.589351949315954</v>
      </c>
      <c r="AI250" s="9">
        <v>34.825222308406182</v>
      </c>
      <c r="AJ250" s="9">
        <v>3.0428788910505911</v>
      </c>
    </row>
    <row r="251" spans="1:36" x14ac:dyDescent="0.25">
      <c r="A251" t="s">
        <v>5411</v>
      </c>
      <c r="B251" t="s">
        <v>16</v>
      </c>
      <c r="C251" t="s">
        <v>17</v>
      </c>
      <c r="D251">
        <v>13730000</v>
      </c>
      <c r="E251">
        <v>13759999</v>
      </c>
      <c r="F251" t="s">
        <v>195</v>
      </c>
      <c r="G251" t="str">
        <f t="shared" si="6"/>
        <v>SPI II</v>
      </c>
      <c r="H251" t="s">
        <v>19</v>
      </c>
      <c r="I251" t="s">
        <v>20</v>
      </c>
      <c r="J251" t="s">
        <v>64</v>
      </c>
      <c r="K251" s="6">
        <v>0.03</v>
      </c>
      <c r="L251" s="7">
        <f t="shared" si="7"/>
        <v>2E-3</v>
      </c>
      <c r="M251" s="7">
        <v>3.0000000000000001E-3</v>
      </c>
      <c r="N251">
        <v>8</v>
      </c>
      <c r="O251" s="8">
        <v>17.934556092922943</v>
      </c>
      <c r="P251" s="9">
        <v>17.934556092922943</v>
      </c>
      <c r="Q251" s="9">
        <v>17.934556092922943</v>
      </c>
      <c r="R251" s="9">
        <v>18.35577997371016</v>
      </c>
      <c r="S251" s="9">
        <v>18.404835306435746</v>
      </c>
      <c r="T251" s="9">
        <v>19.112621008962602</v>
      </c>
      <c r="U251" s="9">
        <v>20.35176903227914</v>
      </c>
      <c r="V251" s="9">
        <v>20.35176903227914</v>
      </c>
      <c r="W251" s="9">
        <v>20.35176903227914</v>
      </c>
      <c r="X251" s="9">
        <v>19.91589544268896</v>
      </c>
      <c r="Y251" s="9">
        <v>19.91589544268896</v>
      </c>
      <c r="Z251" s="9">
        <v>21.609947773831163</v>
      </c>
      <c r="AA251" s="9">
        <v>21.609947773831163</v>
      </c>
      <c r="AB251" s="9">
        <v>23.372671736151272</v>
      </c>
      <c r="AC251" s="9">
        <v>23.372671736151272</v>
      </c>
      <c r="AD251" s="9">
        <v>26.430826810726163</v>
      </c>
      <c r="AE251" s="9">
        <v>27.959768706413232</v>
      </c>
      <c r="AF251" s="9">
        <v>29.772701744670762</v>
      </c>
      <c r="AG251" s="9">
        <v>29.772701744670762</v>
      </c>
      <c r="AH251" s="9">
        <v>32.589351949315954</v>
      </c>
      <c r="AI251" s="9">
        <v>34.825222308406182</v>
      </c>
      <c r="AJ251" s="9">
        <v>3.0428788910505911</v>
      </c>
    </row>
    <row r="252" spans="1:36" x14ac:dyDescent="0.25">
      <c r="A252" t="s">
        <v>5411</v>
      </c>
      <c r="B252" t="s">
        <v>16</v>
      </c>
      <c r="C252" t="s">
        <v>17</v>
      </c>
      <c r="D252">
        <v>13760000</v>
      </c>
      <c r="E252">
        <v>13769999</v>
      </c>
      <c r="F252" t="s">
        <v>196</v>
      </c>
      <c r="G252" t="str">
        <f t="shared" si="6"/>
        <v>SPI II</v>
      </c>
      <c r="H252" t="s">
        <v>19</v>
      </c>
      <c r="I252" t="s">
        <v>20</v>
      </c>
      <c r="J252" t="s">
        <v>64</v>
      </c>
      <c r="K252" s="6">
        <v>0.03</v>
      </c>
      <c r="L252" s="7">
        <f t="shared" si="7"/>
        <v>2E-3</v>
      </c>
      <c r="M252" s="7">
        <v>3.0000000000000001E-3</v>
      </c>
      <c r="N252">
        <v>7</v>
      </c>
      <c r="O252" s="8">
        <v>17.934556092922943</v>
      </c>
      <c r="P252" s="9">
        <v>17.934556092922943</v>
      </c>
      <c r="Q252" s="9">
        <v>17.934556092922943</v>
      </c>
      <c r="R252" s="9">
        <v>18.35577997371016</v>
      </c>
      <c r="S252" s="9">
        <v>18.404835306435746</v>
      </c>
      <c r="T252" s="9">
        <v>19.112621008962602</v>
      </c>
      <c r="U252" s="9">
        <v>20.35176903227914</v>
      </c>
      <c r="V252" s="9">
        <v>20.35176903227914</v>
      </c>
      <c r="W252" s="9">
        <v>20.35176903227914</v>
      </c>
      <c r="X252" s="9">
        <v>19.91589544268896</v>
      </c>
      <c r="Y252" s="9">
        <v>19.91589544268896</v>
      </c>
      <c r="Z252" s="9">
        <v>21.609947773831163</v>
      </c>
      <c r="AA252" s="9">
        <v>21.609947773831163</v>
      </c>
      <c r="AB252" s="9">
        <v>23.372671736151272</v>
      </c>
      <c r="AC252" s="9">
        <v>23.372671736151272</v>
      </c>
      <c r="AD252" s="9">
        <v>26.430826810726163</v>
      </c>
      <c r="AE252" s="9">
        <v>27.959768706413232</v>
      </c>
      <c r="AF252" s="9">
        <v>29.772701744670762</v>
      </c>
      <c r="AG252" s="9">
        <v>29.772701744670762</v>
      </c>
      <c r="AH252" s="9">
        <v>32.589351949315954</v>
      </c>
      <c r="AI252" s="9">
        <v>34.825222308406182</v>
      </c>
      <c r="AJ252" s="9">
        <v>3.0428788910505911</v>
      </c>
    </row>
    <row r="253" spans="1:36" x14ac:dyDescent="0.25">
      <c r="A253" t="s">
        <v>5411</v>
      </c>
      <c r="B253" t="s">
        <v>16</v>
      </c>
      <c r="C253" t="s">
        <v>17</v>
      </c>
      <c r="D253">
        <v>13770000</v>
      </c>
      <c r="E253">
        <v>13779999</v>
      </c>
      <c r="F253" t="s">
        <v>197</v>
      </c>
      <c r="G253" t="str">
        <f t="shared" si="6"/>
        <v>SPI II</v>
      </c>
      <c r="H253" t="s">
        <v>19</v>
      </c>
      <c r="I253" t="s">
        <v>20</v>
      </c>
      <c r="J253" t="s">
        <v>64</v>
      </c>
      <c r="K253" s="6">
        <v>0.03</v>
      </c>
      <c r="L253" s="7">
        <f t="shared" si="7"/>
        <v>2E-3</v>
      </c>
      <c r="M253" s="7">
        <v>3.0000000000000001E-3</v>
      </c>
      <c r="N253">
        <v>7</v>
      </c>
      <c r="O253" s="8">
        <v>17.934556092922943</v>
      </c>
      <c r="P253" s="9">
        <v>17.934556092922943</v>
      </c>
      <c r="Q253" s="9">
        <v>17.934556092922943</v>
      </c>
      <c r="R253" s="9">
        <v>18.35577997371016</v>
      </c>
      <c r="S253" s="9">
        <v>18.404835306435746</v>
      </c>
      <c r="T253" s="9">
        <v>19.112621008962602</v>
      </c>
      <c r="U253" s="9">
        <v>20.35176903227914</v>
      </c>
      <c r="V253" s="9">
        <v>20.35176903227914</v>
      </c>
      <c r="W253" s="9">
        <v>20.35176903227914</v>
      </c>
      <c r="X253" s="9">
        <v>19.91589544268896</v>
      </c>
      <c r="Y253" s="9">
        <v>19.91589544268896</v>
      </c>
      <c r="Z253" s="9">
        <v>21.609947773831163</v>
      </c>
      <c r="AA253" s="9">
        <v>21.609947773831163</v>
      </c>
      <c r="AB253" s="9">
        <v>23.372671736151272</v>
      </c>
      <c r="AC253" s="9">
        <v>23.372671736151272</v>
      </c>
      <c r="AD253" s="9">
        <v>26.430826810726163</v>
      </c>
      <c r="AE253" s="9">
        <v>27.959768706413232</v>
      </c>
      <c r="AF253" s="9">
        <v>29.772701744670762</v>
      </c>
      <c r="AG253" s="9">
        <v>29.772701744670762</v>
      </c>
      <c r="AH253" s="9">
        <v>32.589351949315954</v>
      </c>
      <c r="AI253" s="9">
        <v>34.825222308406182</v>
      </c>
      <c r="AJ253" s="9">
        <v>3.0428788910505911</v>
      </c>
    </row>
    <row r="254" spans="1:36" x14ac:dyDescent="0.25">
      <c r="A254" t="s">
        <v>5411</v>
      </c>
      <c r="B254" t="s">
        <v>16</v>
      </c>
      <c r="C254" t="s">
        <v>17</v>
      </c>
      <c r="D254">
        <v>13780000</v>
      </c>
      <c r="E254">
        <v>13789999</v>
      </c>
      <c r="F254" t="s">
        <v>198</v>
      </c>
      <c r="G254" t="str">
        <f t="shared" si="6"/>
        <v>SPI II</v>
      </c>
      <c r="H254" t="s">
        <v>19</v>
      </c>
      <c r="I254" t="s">
        <v>20</v>
      </c>
      <c r="J254" t="s">
        <v>64</v>
      </c>
      <c r="K254" s="6">
        <v>0.03</v>
      </c>
      <c r="L254" s="7">
        <f t="shared" si="7"/>
        <v>2E-3</v>
      </c>
      <c r="M254" s="7">
        <v>3.0000000000000001E-3</v>
      </c>
      <c r="N254">
        <v>7</v>
      </c>
      <c r="O254" s="8">
        <v>17.934556092922943</v>
      </c>
      <c r="P254" s="9">
        <v>17.934556092922943</v>
      </c>
      <c r="Q254" s="9">
        <v>17.934556092922943</v>
      </c>
      <c r="R254" s="9">
        <v>18.35577997371016</v>
      </c>
      <c r="S254" s="9">
        <v>18.404835306435746</v>
      </c>
      <c r="T254" s="9">
        <v>19.112621008962602</v>
      </c>
      <c r="U254" s="9">
        <v>20.35176903227914</v>
      </c>
      <c r="V254" s="9">
        <v>20.35176903227914</v>
      </c>
      <c r="W254" s="9">
        <v>20.35176903227914</v>
      </c>
      <c r="X254" s="9">
        <v>19.91589544268896</v>
      </c>
      <c r="Y254" s="9">
        <v>19.91589544268896</v>
      </c>
      <c r="Z254" s="9">
        <v>21.609947773831163</v>
      </c>
      <c r="AA254" s="9">
        <v>21.609947773831163</v>
      </c>
      <c r="AB254" s="9">
        <v>23.372671736151272</v>
      </c>
      <c r="AC254" s="9">
        <v>23.372671736151272</v>
      </c>
      <c r="AD254" s="9">
        <v>26.430826810726163</v>
      </c>
      <c r="AE254" s="9">
        <v>27.959768706413232</v>
      </c>
      <c r="AF254" s="9">
        <v>29.772701744670762</v>
      </c>
      <c r="AG254" s="9">
        <v>29.772701744670762</v>
      </c>
      <c r="AH254" s="9">
        <v>32.589351949315954</v>
      </c>
      <c r="AI254" s="9">
        <v>34.825222308406182</v>
      </c>
      <c r="AJ254" s="9">
        <v>3.0428788910505911</v>
      </c>
    </row>
    <row r="255" spans="1:36" x14ac:dyDescent="0.25">
      <c r="A255" t="s">
        <v>5411</v>
      </c>
      <c r="B255" t="s">
        <v>16</v>
      </c>
      <c r="C255" t="s">
        <v>17</v>
      </c>
      <c r="D255">
        <v>13790000</v>
      </c>
      <c r="E255">
        <v>13799999</v>
      </c>
      <c r="F255" t="s">
        <v>199</v>
      </c>
      <c r="G255" t="str">
        <f t="shared" si="6"/>
        <v>SPI II</v>
      </c>
      <c r="H255" t="s">
        <v>19</v>
      </c>
      <c r="I255" t="s">
        <v>20</v>
      </c>
      <c r="J255" t="s">
        <v>64</v>
      </c>
      <c r="K255" s="6">
        <v>0.03</v>
      </c>
      <c r="L255" s="7">
        <f t="shared" si="7"/>
        <v>2E-3</v>
      </c>
      <c r="M255" s="7">
        <v>3.0000000000000001E-3</v>
      </c>
      <c r="N255">
        <v>7</v>
      </c>
      <c r="O255" s="8">
        <v>17.934556092922943</v>
      </c>
      <c r="P255" s="9">
        <v>17.934556092922943</v>
      </c>
      <c r="Q255" s="9">
        <v>17.934556092922943</v>
      </c>
      <c r="R255" s="9">
        <v>18.35577997371016</v>
      </c>
      <c r="S255" s="9">
        <v>18.404835306435746</v>
      </c>
      <c r="T255" s="9">
        <v>19.112621008962602</v>
      </c>
      <c r="U255" s="9">
        <v>20.35176903227914</v>
      </c>
      <c r="V255" s="9">
        <v>20.35176903227914</v>
      </c>
      <c r="W255" s="9">
        <v>20.35176903227914</v>
      </c>
      <c r="X255" s="9">
        <v>19.91589544268896</v>
      </c>
      <c r="Y255" s="9">
        <v>19.91589544268896</v>
      </c>
      <c r="Z255" s="9">
        <v>21.609947773831163</v>
      </c>
      <c r="AA255" s="9">
        <v>21.609947773831163</v>
      </c>
      <c r="AB255" s="9">
        <v>23.372671736151272</v>
      </c>
      <c r="AC255" s="9">
        <v>23.372671736151272</v>
      </c>
      <c r="AD255" s="9">
        <v>26.430826810726163</v>
      </c>
      <c r="AE255" s="9">
        <v>27.959768706413232</v>
      </c>
      <c r="AF255" s="9">
        <v>29.772701744670762</v>
      </c>
      <c r="AG255" s="9">
        <v>29.772701744670762</v>
      </c>
      <c r="AH255" s="9">
        <v>32.589351949315954</v>
      </c>
      <c r="AI255" s="9">
        <v>34.825222308406182</v>
      </c>
      <c r="AJ255" s="9">
        <v>3.0428788910505911</v>
      </c>
    </row>
    <row r="256" spans="1:36" x14ac:dyDescent="0.25">
      <c r="A256" t="s">
        <v>5411</v>
      </c>
      <c r="B256" t="s">
        <v>16</v>
      </c>
      <c r="C256" t="s">
        <v>17</v>
      </c>
      <c r="D256">
        <v>13800000</v>
      </c>
      <c r="E256">
        <v>13819999</v>
      </c>
      <c r="F256" t="s">
        <v>200</v>
      </c>
      <c r="G256" t="str">
        <f t="shared" si="6"/>
        <v>SPI II</v>
      </c>
      <c r="H256" t="s">
        <v>19</v>
      </c>
      <c r="I256" t="s">
        <v>20</v>
      </c>
      <c r="J256" t="s">
        <v>64</v>
      </c>
      <c r="K256" s="6">
        <v>0.03</v>
      </c>
      <c r="L256" s="7">
        <f t="shared" si="7"/>
        <v>2E-3</v>
      </c>
      <c r="M256" s="7">
        <v>3.0000000000000001E-3</v>
      </c>
      <c r="N256">
        <v>6</v>
      </c>
      <c r="O256" s="8">
        <v>17.934556092922943</v>
      </c>
      <c r="P256" s="9">
        <v>17.934556092922943</v>
      </c>
      <c r="Q256" s="9">
        <v>17.934556092922943</v>
      </c>
      <c r="R256" s="9">
        <v>18.35577997371016</v>
      </c>
      <c r="S256" s="9">
        <v>18.404835306435746</v>
      </c>
      <c r="T256" s="9">
        <v>19.112621008962602</v>
      </c>
      <c r="U256" s="9">
        <v>20.35176903227914</v>
      </c>
      <c r="V256" s="9">
        <v>20.35176903227914</v>
      </c>
      <c r="W256" s="9">
        <v>20.35176903227914</v>
      </c>
      <c r="X256" s="9">
        <v>19.91589544268896</v>
      </c>
      <c r="Y256" s="9">
        <v>19.91589544268896</v>
      </c>
      <c r="Z256" s="9">
        <v>21.609947773831163</v>
      </c>
      <c r="AA256" s="9">
        <v>21.609947773831163</v>
      </c>
      <c r="AB256" s="9">
        <v>23.372671736151272</v>
      </c>
      <c r="AC256" s="9">
        <v>23.372671736151272</v>
      </c>
      <c r="AD256" s="9">
        <v>26.430826810726163</v>
      </c>
      <c r="AE256" s="9">
        <v>27.959768706413232</v>
      </c>
      <c r="AF256" s="9">
        <v>29.772701744670762</v>
      </c>
      <c r="AG256" s="9">
        <v>29.772701744670762</v>
      </c>
      <c r="AH256" s="9">
        <v>32.589351949315954</v>
      </c>
      <c r="AI256" s="9">
        <v>34.825222308406182</v>
      </c>
      <c r="AJ256" s="9">
        <v>3.0428788910505911</v>
      </c>
    </row>
    <row r="257" spans="1:36" x14ac:dyDescent="0.25">
      <c r="A257" t="s">
        <v>5411</v>
      </c>
      <c r="B257" t="s">
        <v>16</v>
      </c>
      <c r="C257" t="s">
        <v>17</v>
      </c>
      <c r="D257">
        <v>13820000</v>
      </c>
      <c r="E257">
        <v>13824999</v>
      </c>
      <c r="F257" t="s">
        <v>201</v>
      </c>
      <c r="G257" t="str">
        <f t="shared" si="6"/>
        <v>SPI II</v>
      </c>
      <c r="H257" t="s">
        <v>19</v>
      </c>
      <c r="I257" t="s">
        <v>20</v>
      </c>
      <c r="J257" t="s">
        <v>64</v>
      </c>
      <c r="K257" s="6">
        <v>0.03</v>
      </c>
      <c r="L257" s="7">
        <f t="shared" si="7"/>
        <v>2E-3</v>
      </c>
      <c r="M257" s="7">
        <v>3.0000000000000001E-3</v>
      </c>
      <c r="N257">
        <v>7</v>
      </c>
      <c r="O257" s="8">
        <v>17.934556092922943</v>
      </c>
      <c r="P257" s="9">
        <v>17.934556092922943</v>
      </c>
      <c r="Q257" s="9">
        <v>17.934556092922943</v>
      </c>
      <c r="R257" s="9">
        <v>18.35577997371016</v>
      </c>
      <c r="S257" s="9">
        <v>18.404835306435746</v>
      </c>
      <c r="T257" s="9">
        <v>19.112621008962602</v>
      </c>
      <c r="U257" s="9">
        <v>20.35176903227914</v>
      </c>
      <c r="V257" s="9">
        <v>20.35176903227914</v>
      </c>
      <c r="W257" s="9">
        <v>20.35176903227914</v>
      </c>
      <c r="X257" s="9">
        <v>19.91589544268896</v>
      </c>
      <c r="Y257" s="9">
        <v>19.91589544268896</v>
      </c>
      <c r="Z257" s="9">
        <v>21.609947773831163</v>
      </c>
      <c r="AA257" s="9">
        <v>21.609947773831163</v>
      </c>
      <c r="AB257" s="9">
        <v>23.372671736151272</v>
      </c>
      <c r="AC257" s="9">
        <v>23.372671736151272</v>
      </c>
      <c r="AD257" s="9">
        <v>26.430826810726163</v>
      </c>
      <c r="AE257" s="9">
        <v>27.959768706413232</v>
      </c>
      <c r="AF257" s="9">
        <v>29.772701744670762</v>
      </c>
      <c r="AG257" s="9">
        <v>29.772701744670762</v>
      </c>
      <c r="AH257" s="9">
        <v>32.589351949315954</v>
      </c>
      <c r="AI257" s="9">
        <v>34.825222308406182</v>
      </c>
      <c r="AJ257" s="9">
        <v>3.0428788910505911</v>
      </c>
    </row>
    <row r="258" spans="1:36" x14ac:dyDescent="0.25">
      <c r="A258" t="s">
        <v>5411</v>
      </c>
      <c r="B258" t="s">
        <v>16</v>
      </c>
      <c r="C258" t="s">
        <v>17</v>
      </c>
      <c r="D258">
        <v>13825000</v>
      </c>
      <c r="E258">
        <v>13834999</v>
      </c>
      <c r="F258" t="s">
        <v>202</v>
      </c>
      <c r="G258" t="str">
        <f t="shared" si="6"/>
        <v>SPI</v>
      </c>
      <c r="H258" t="s">
        <v>19</v>
      </c>
      <c r="I258" t="s">
        <v>20</v>
      </c>
      <c r="J258" t="s">
        <v>62</v>
      </c>
      <c r="K258" s="6">
        <v>0.03</v>
      </c>
      <c r="L258" s="7">
        <f t="shared" si="7"/>
        <v>2E-3</v>
      </c>
      <c r="M258" s="7">
        <v>3.0000000000000001E-3</v>
      </c>
      <c r="N258">
        <v>7</v>
      </c>
      <c r="O258" s="8">
        <v>14.260089507934383</v>
      </c>
      <c r="P258" s="9">
        <v>14.260089507934383</v>
      </c>
      <c r="Q258" s="9">
        <v>14.260089507934383</v>
      </c>
      <c r="R258" s="9">
        <v>14.434686024139818</v>
      </c>
      <c r="S258" s="9">
        <v>14.722027102535575</v>
      </c>
      <c r="T258" s="9">
        <v>15.677715915555218</v>
      </c>
      <c r="U258" s="9">
        <v>17.010379604817192</v>
      </c>
      <c r="V258" s="9">
        <v>17.010379604817192</v>
      </c>
      <c r="W258" s="9">
        <v>17.010379604817192</v>
      </c>
      <c r="X258" s="9">
        <v>16.884570568466835</v>
      </c>
      <c r="Y258" s="9">
        <v>16.884570568466835</v>
      </c>
      <c r="Z258" s="9">
        <v>18.617757359760585</v>
      </c>
      <c r="AA258" s="9">
        <v>18.617757359760585</v>
      </c>
      <c r="AB258" s="9">
        <v>20.52292271594289</v>
      </c>
      <c r="AC258" s="9">
        <v>20.52292271594289</v>
      </c>
      <c r="AD258" s="9">
        <v>22.530627040176761</v>
      </c>
      <c r="AE258" s="9">
        <v>24.654059850225856</v>
      </c>
      <c r="AF258" s="9">
        <v>28.622962393602329</v>
      </c>
      <c r="AG258" s="9">
        <v>28.622962393602329</v>
      </c>
      <c r="AH258" s="9">
        <v>31.011605245024167</v>
      </c>
      <c r="AI258" s="9">
        <v>33.330799286496742</v>
      </c>
      <c r="AJ258" s="9">
        <v>3.0428788910505911</v>
      </c>
    </row>
    <row r="259" spans="1:36" x14ac:dyDescent="0.25">
      <c r="A259" t="s">
        <v>5411</v>
      </c>
      <c r="B259" t="s">
        <v>16</v>
      </c>
      <c r="C259" t="s">
        <v>17</v>
      </c>
      <c r="D259">
        <v>13835000</v>
      </c>
      <c r="E259">
        <v>13839999</v>
      </c>
      <c r="F259" t="s">
        <v>203</v>
      </c>
      <c r="G259" t="str">
        <f t="shared" si="6"/>
        <v>SPI II</v>
      </c>
      <c r="H259" t="s">
        <v>19</v>
      </c>
      <c r="I259" t="s">
        <v>20</v>
      </c>
      <c r="J259" t="s">
        <v>64</v>
      </c>
      <c r="K259" s="6">
        <v>0.03</v>
      </c>
      <c r="L259" s="7">
        <f t="shared" si="7"/>
        <v>2E-3</v>
      </c>
      <c r="M259" s="7">
        <v>3.0000000000000001E-3</v>
      </c>
      <c r="N259">
        <v>7</v>
      </c>
      <c r="O259" s="8">
        <v>17.934556092922943</v>
      </c>
      <c r="P259" s="9">
        <v>17.934556092922943</v>
      </c>
      <c r="Q259" s="9">
        <v>17.934556092922943</v>
      </c>
      <c r="R259" s="9">
        <v>18.35577997371016</v>
      </c>
      <c r="S259" s="9">
        <v>18.404835306435746</v>
      </c>
      <c r="T259" s="9">
        <v>19.112621008962602</v>
      </c>
      <c r="U259" s="9">
        <v>20.35176903227914</v>
      </c>
      <c r="V259" s="9">
        <v>20.35176903227914</v>
      </c>
      <c r="W259" s="9">
        <v>20.35176903227914</v>
      </c>
      <c r="X259" s="9">
        <v>19.91589544268896</v>
      </c>
      <c r="Y259" s="9">
        <v>19.91589544268896</v>
      </c>
      <c r="Z259" s="9">
        <v>21.609947773831163</v>
      </c>
      <c r="AA259" s="9">
        <v>21.609947773831163</v>
      </c>
      <c r="AB259" s="9">
        <v>23.372671736151272</v>
      </c>
      <c r="AC259" s="9">
        <v>23.372671736151272</v>
      </c>
      <c r="AD259" s="9">
        <v>26.430826810726163</v>
      </c>
      <c r="AE259" s="9">
        <v>27.959768706413232</v>
      </c>
      <c r="AF259" s="9">
        <v>29.772701744670762</v>
      </c>
      <c r="AG259" s="9">
        <v>29.772701744670762</v>
      </c>
      <c r="AH259" s="9">
        <v>32.589351949315954</v>
      </c>
      <c r="AI259" s="9">
        <v>34.825222308406182</v>
      </c>
      <c r="AJ259" s="9">
        <v>3.0428788910505911</v>
      </c>
    </row>
    <row r="260" spans="1:36" x14ac:dyDescent="0.25">
      <c r="A260" t="s">
        <v>5411</v>
      </c>
      <c r="B260" t="s">
        <v>16</v>
      </c>
      <c r="C260" t="s">
        <v>17</v>
      </c>
      <c r="D260">
        <v>13840000</v>
      </c>
      <c r="E260">
        <v>13856999</v>
      </c>
      <c r="F260" t="s">
        <v>204</v>
      </c>
      <c r="G260" t="str">
        <f t="shared" ref="G260:G323" si="8">H260&amp;IF(J260="CAPITAL","C",IF(J260="INTERIOR","I",IF(J260="INTERIOR II","I II","R")))</f>
        <v>SPI II</v>
      </c>
      <c r="H260" t="s">
        <v>19</v>
      </c>
      <c r="I260" t="s">
        <v>20</v>
      </c>
      <c r="J260" t="s">
        <v>64</v>
      </c>
      <c r="K260" s="6">
        <v>0.03</v>
      </c>
      <c r="L260" s="7">
        <f t="shared" ref="L260:L323" si="9">IF(I260="(0) Não",0.2%,3%)</f>
        <v>2E-3</v>
      </c>
      <c r="M260" s="7">
        <v>3.0000000000000001E-3</v>
      </c>
      <c r="N260">
        <v>6</v>
      </c>
      <c r="O260" s="8">
        <v>17.934556092922943</v>
      </c>
      <c r="P260" s="9">
        <v>17.934556092922943</v>
      </c>
      <c r="Q260" s="9">
        <v>17.934556092922943</v>
      </c>
      <c r="R260" s="9">
        <v>18.35577997371016</v>
      </c>
      <c r="S260" s="9">
        <v>18.404835306435746</v>
      </c>
      <c r="T260" s="9">
        <v>19.112621008962602</v>
      </c>
      <c r="U260" s="9">
        <v>20.35176903227914</v>
      </c>
      <c r="V260" s="9">
        <v>20.35176903227914</v>
      </c>
      <c r="W260" s="9">
        <v>20.35176903227914</v>
      </c>
      <c r="X260" s="9">
        <v>19.91589544268896</v>
      </c>
      <c r="Y260" s="9">
        <v>19.91589544268896</v>
      </c>
      <c r="Z260" s="9">
        <v>21.609947773831163</v>
      </c>
      <c r="AA260" s="9">
        <v>21.609947773831163</v>
      </c>
      <c r="AB260" s="9">
        <v>23.372671736151272</v>
      </c>
      <c r="AC260" s="9">
        <v>23.372671736151272</v>
      </c>
      <c r="AD260" s="9">
        <v>26.430826810726163</v>
      </c>
      <c r="AE260" s="9">
        <v>27.959768706413232</v>
      </c>
      <c r="AF260" s="9">
        <v>29.772701744670762</v>
      </c>
      <c r="AG260" s="9">
        <v>29.772701744670762</v>
      </c>
      <c r="AH260" s="9">
        <v>32.589351949315954</v>
      </c>
      <c r="AI260" s="9">
        <v>34.825222308406182</v>
      </c>
      <c r="AJ260" s="9">
        <v>3.0428788910505911</v>
      </c>
    </row>
    <row r="261" spans="1:36" x14ac:dyDescent="0.25">
      <c r="A261" t="s">
        <v>5411</v>
      </c>
      <c r="B261" t="s">
        <v>16</v>
      </c>
      <c r="C261" t="s">
        <v>17</v>
      </c>
      <c r="D261">
        <v>13857000</v>
      </c>
      <c r="E261">
        <v>13859999</v>
      </c>
      <c r="F261" t="s">
        <v>205</v>
      </c>
      <c r="G261" t="str">
        <f t="shared" si="8"/>
        <v>SPI II</v>
      </c>
      <c r="H261" t="s">
        <v>19</v>
      </c>
      <c r="I261" t="s">
        <v>20</v>
      </c>
      <c r="J261" t="s">
        <v>64</v>
      </c>
      <c r="K261" s="6">
        <v>0.03</v>
      </c>
      <c r="L261" s="7">
        <f t="shared" si="9"/>
        <v>2E-3</v>
      </c>
      <c r="M261" s="7">
        <v>3.0000000000000001E-3</v>
      </c>
      <c r="N261">
        <v>7</v>
      </c>
      <c r="O261" s="8">
        <v>17.934556092922943</v>
      </c>
      <c r="P261" s="9">
        <v>17.934556092922943</v>
      </c>
      <c r="Q261" s="9">
        <v>17.934556092922943</v>
      </c>
      <c r="R261" s="9">
        <v>18.35577997371016</v>
      </c>
      <c r="S261" s="9">
        <v>18.404835306435746</v>
      </c>
      <c r="T261" s="9">
        <v>19.112621008962602</v>
      </c>
      <c r="U261" s="9">
        <v>20.35176903227914</v>
      </c>
      <c r="V261" s="9">
        <v>20.35176903227914</v>
      </c>
      <c r="W261" s="9">
        <v>20.35176903227914</v>
      </c>
      <c r="X261" s="9">
        <v>19.91589544268896</v>
      </c>
      <c r="Y261" s="9">
        <v>19.91589544268896</v>
      </c>
      <c r="Z261" s="9">
        <v>21.609947773831163</v>
      </c>
      <c r="AA261" s="9">
        <v>21.609947773831163</v>
      </c>
      <c r="AB261" s="9">
        <v>23.372671736151272</v>
      </c>
      <c r="AC261" s="9">
        <v>23.372671736151272</v>
      </c>
      <c r="AD261" s="9">
        <v>26.430826810726163</v>
      </c>
      <c r="AE261" s="9">
        <v>27.959768706413232</v>
      </c>
      <c r="AF261" s="9">
        <v>29.772701744670762</v>
      </c>
      <c r="AG261" s="9">
        <v>29.772701744670762</v>
      </c>
      <c r="AH261" s="9">
        <v>32.589351949315954</v>
      </c>
      <c r="AI261" s="9">
        <v>34.825222308406182</v>
      </c>
      <c r="AJ261" s="9">
        <v>3.0428788910505911</v>
      </c>
    </row>
    <row r="262" spans="1:36" x14ac:dyDescent="0.25">
      <c r="A262" t="s">
        <v>5411</v>
      </c>
      <c r="B262" t="s">
        <v>16</v>
      </c>
      <c r="C262" t="s">
        <v>17</v>
      </c>
      <c r="D262">
        <v>13860000</v>
      </c>
      <c r="E262">
        <v>13869999</v>
      </c>
      <c r="F262" t="s">
        <v>206</v>
      </c>
      <c r="G262" t="str">
        <f t="shared" si="8"/>
        <v>SPI II</v>
      </c>
      <c r="H262" t="s">
        <v>19</v>
      </c>
      <c r="I262" t="s">
        <v>20</v>
      </c>
      <c r="J262" t="s">
        <v>64</v>
      </c>
      <c r="K262" s="6">
        <v>0.03</v>
      </c>
      <c r="L262" s="7">
        <f t="shared" si="9"/>
        <v>2E-3</v>
      </c>
      <c r="M262" s="7">
        <v>3.0000000000000001E-3</v>
      </c>
      <c r="N262">
        <v>7</v>
      </c>
      <c r="O262" s="8">
        <v>17.934556092922943</v>
      </c>
      <c r="P262" s="9">
        <v>17.934556092922943</v>
      </c>
      <c r="Q262" s="9">
        <v>17.934556092922943</v>
      </c>
      <c r="R262" s="9">
        <v>18.35577997371016</v>
      </c>
      <c r="S262" s="9">
        <v>18.404835306435746</v>
      </c>
      <c r="T262" s="9">
        <v>19.112621008962602</v>
      </c>
      <c r="U262" s="9">
        <v>20.35176903227914</v>
      </c>
      <c r="V262" s="9">
        <v>20.35176903227914</v>
      </c>
      <c r="W262" s="9">
        <v>20.35176903227914</v>
      </c>
      <c r="X262" s="9">
        <v>19.91589544268896</v>
      </c>
      <c r="Y262" s="9">
        <v>19.91589544268896</v>
      </c>
      <c r="Z262" s="9">
        <v>21.609947773831163</v>
      </c>
      <c r="AA262" s="9">
        <v>21.609947773831163</v>
      </c>
      <c r="AB262" s="9">
        <v>23.372671736151272</v>
      </c>
      <c r="AC262" s="9">
        <v>23.372671736151272</v>
      </c>
      <c r="AD262" s="9">
        <v>26.430826810726163</v>
      </c>
      <c r="AE262" s="9">
        <v>27.959768706413232</v>
      </c>
      <c r="AF262" s="9">
        <v>29.772701744670762</v>
      </c>
      <c r="AG262" s="9">
        <v>29.772701744670762</v>
      </c>
      <c r="AH262" s="9">
        <v>32.589351949315954</v>
      </c>
      <c r="AI262" s="9">
        <v>34.825222308406182</v>
      </c>
      <c r="AJ262" s="9">
        <v>3.0428788910505911</v>
      </c>
    </row>
    <row r="263" spans="1:36" x14ac:dyDescent="0.25">
      <c r="A263" t="s">
        <v>5411</v>
      </c>
      <c r="B263" t="s">
        <v>16</v>
      </c>
      <c r="C263" t="s">
        <v>17</v>
      </c>
      <c r="D263">
        <v>13870000</v>
      </c>
      <c r="E263">
        <v>13879999</v>
      </c>
      <c r="F263" t="s">
        <v>207</v>
      </c>
      <c r="G263" t="str">
        <f t="shared" si="8"/>
        <v>SPI II</v>
      </c>
      <c r="H263" t="s">
        <v>19</v>
      </c>
      <c r="I263" t="s">
        <v>20</v>
      </c>
      <c r="J263" t="s">
        <v>64</v>
      </c>
      <c r="K263" s="6">
        <v>0.03</v>
      </c>
      <c r="L263" s="7">
        <f t="shared" si="9"/>
        <v>2E-3</v>
      </c>
      <c r="M263" s="7">
        <v>3.0000000000000001E-3</v>
      </c>
      <c r="N263">
        <v>7</v>
      </c>
      <c r="O263" s="8">
        <v>17.934556092922943</v>
      </c>
      <c r="P263" s="9">
        <v>17.934556092922943</v>
      </c>
      <c r="Q263" s="9">
        <v>17.934556092922943</v>
      </c>
      <c r="R263" s="9">
        <v>18.35577997371016</v>
      </c>
      <c r="S263" s="9">
        <v>18.404835306435746</v>
      </c>
      <c r="T263" s="9">
        <v>19.112621008962602</v>
      </c>
      <c r="U263" s="9">
        <v>20.35176903227914</v>
      </c>
      <c r="V263" s="9">
        <v>20.35176903227914</v>
      </c>
      <c r="W263" s="9">
        <v>20.35176903227914</v>
      </c>
      <c r="X263" s="9">
        <v>19.91589544268896</v>
      </c>
      <c r="Y263" s="9">
        <v>19.91589544268896</v>
      </c>
      <c r="Z263" s="9">
        <v>21.609947773831163</v>
      </c>
      <c r="AA263" s="9">
        <v>21.609947773831163</v>
      </c>
      <c r="AB263" s="9">
        <v>23.372671736151272</v>
      </c>
      <c r="AC263" s="9">
        <v>23.372671736151272</v>
      </c>
      <c r="AD263" s="9">
        <v>26.430826810726163</v>
      </c>
      <c r="AE263" s="9">
        <v>27.959768706413232</v>
      </c>
      <c r="AF263" s="9">
        <v>29.772701744670762</v>
      </c>
      <c r="AG263" s="9">
        <v>29.772701744670762</v>
      </c>
      <c r="AH263" s="9">
        <v>32.589351949315954</v>
      </c>
      <c r="AI263" s="9">
        <v>34.825222308406182</v>
      </c>
      <c r="AJ263" s="9">
        <v>3.0428788910505911</v>
      </c>
    </row>
    <row r="264" spans="1:36" x14ac:dyDescent="0.25">
      <c r="A264" t="s">
        <v>5411</v>
      </c>
      <c r="B264" t="s">
        <v>16</v>
      </c>
      <c r="C264" t="s">
        <v>17</v>
      </c>
      <c r="D264">
        <v>13880000</v>
      </c>
      <c r="E264">
        <v>13889999</v>
      </c>
      <c r="F264" t="s">
        <v>208</v>
      </c>
      <c r="G264" t="str">
        <f t="shared" si="8"/>
        <v>SPI II</v>
      </c>
      <c r="H264" t="s">
        <v>19</v>
      </c>
      <c r="I264" t="s">
        <v>20</v>
      </c>
      <c r="J264" t="s">
        <v>64</v>
      </c>
      <c r="K264" s="6">
        <v>0.03</v>
      </c>
      <c r="L264" s="7">
        <f t="shared" si="9"/>
        <v>2E-3</v>
      </c>
      <c r="M264" s="7">
        <v>3.0000000000000001E-3</v>
      </c>
      <c r="N264">
        <v>7</v>
      </c>
      <c r="O264" s="8">
        <v>17.934556092922943</v>
      </c>
      <c r="P264" s="9">
        <v>17.934556092922943</v>
      </c>
      <c r="Q264" s="9">
        <v>17.934556092922943</v>
      </c>
      <c r="R264" s="9">
        <v>18.35577997371016</v>
      </c>
      <c r="S264" s="9">
        <v>18.404835306435746</v>
      </c>
      <c r="T264" s="9">
        <v>19.112621008962602</v>
      </c>
      <c r="U264" s="9">
        <v>20.35176903227914</v>
      </c>
      <c r="V264" s="9">
        <v>20.35176903227914</v>
      </c>
      <c r="W264" s="9">
        <v>20.35176903227914</v>
      </c>
      <c r="X264" s="9">
        <v>19.91589544268896</v>
      </c>
      <c r="Y264" s="9">
        <v>19.91589544268896</v>
      </c>
      <c r="Z264" s="9">
        <v>21.609947773831163</v>
      </c>
      <c r="AA264" s="9">
        <v>21.609947773831163</v>
      </c>
      <c r="AB264" s="9">
        <v>23.372671736151272</v>
      </c>
      <c r="AC264" s="9">
        <v>23.372671736151272</v>
      </c>
      <c r="AD264" s="9">
        <v>26.430826810726163</v>
      </c>
      <c r="AE264" s="9">
        <v>27.959768706413232</v>
      </c>
      <c r="AF264" s="9">
        <v>29.772701744670762</v>
      </c>
      <c r="AG264" s="9">
        <v>29.772701744670762</v>
      </c>
      <c r="AH264" s="9">
        <v>32.589351949315954</v>
      </c>
      <c r="AI264" s="9">
        <v>34.825222308406182</v>
      </c>
      <c r="AJ264" s="9">
        <v>3.0428788910505911</v>
      </c>
    </row>
    <row r="265" spans="1:36" x14ac:dyDescent="0.25">
      <c r="A265" t="s">
        <v>5411</v>
      </c>
      <c r="B265" t="s">
        <v>16</v>
      </c>
      <c r="C265" t="s">
        <v>17</v>
      </c>
      <c r="D265">
        <v>13890000</v>
      </c>
      <c r="E265">
        <v>13899999</v>
      </c>
      <c r="F265" t="s">
        <v>209</v>
      </c>
      <c r="G265" t="str">
        <f t="shared" si="8"/>
        <v>SPI II</v>
      </c>
      <c r="H265" t="s">
        <v>19</v>
      </c>
      <c r="I265" t="s">
        <v>20</v>
      </c>
      <c r="J265" t="s">
        <v>64</v>
      </c>
      <c r="K265" s="6">
        <v>0.03</v>
      </c>
      <c r="L265" s="7">
        <f t="shared" si="9"/>
        <v>2E-3</v>
      </c>
      <c r="M265" s="7">
        <v>3.0000000000000001E-3</v>
      </c>
      <c r="N265">
        <v>7</v>
      </c>
      <c r="O265" s="8">
        <v>17.934556092922943</v>
      </c>
      <c r="P265" s="9">
        <v>17.934556092922943</v>
      </c>
      <c r="Q265" s="9">
        <v>17.934556092922943</v>
      </c>
      <c r="R265" s="9">
        <v>18.35577997371016</v>
      </c>
      <c r="S265" s="9">
        <v>18.404835306435746</v>
      </c>
      <c r="T265" s="9">
        <v>19.112621008962602</v>
      </c>
      <c r="U265" s="9">
        <v>20.35176903227914</v>
      </c>
      <c r="V265" s="9">
        <v>20.35176903227914</v>
      </c>
      <c r="W265" s="9">
        <v>20.35176903227914</v>
      </c>
      <c r="X265" s="9">
        <v>19.91589544268896</v>
      </c>
      <c r="Y265" s="9">
        <v>19.91589544268896</v>
      </c>
      <c r="Z265" s="9">
        <v>21.609947773831163</v>
      </c>
      <c r="AA265" s="9">
        <v>21.609947773831163</v>
      </c>
      <c r="AB265" s="9">
        <v>23.372671736151272</v>
      </c>
      <c r="AC265" s="9">
        <v>23.372671736151272</v>
      </c>
      <c r="AD265" s="9">
        <v>26.430826810726163</v>
      </c>
      <c r="AE265" s="9">
        <v>27.959768706413232</v>
      </c>
      <c r="AF265" s="9">
        <v>29.772701744670762</v>
      </c>
      <c r="AG265" s="9">
        <v>29.772701744670762</v>
      </c>
      <c r="AH265" s="9">
        <v>32.589351949315954</v>
      </c>
      <c r="AI265" s="9">
        <v>34.825222308406182</v>
      </c>
      <c r="AJ265" s="9">
        <v>3.0428788910505911</v>
      </c>
    </row>
    <row r="266" spans="1:36" x14ac:dyDescent="0.25">
      <c r="A266" t="s">
        <v>5411</v>
      </c>
      <c r="B266" t="s">
        <v>16</v>
      </c>
      <c r="C266" t="s">
        <v>17</v>
      </c>
      <c r="D266">
        <v>13900000</v>
      </c>
      <c r="E266">
        <v>13909999</v>
      </c>
      <c r="F266" t="s">
        <v>210</v>
      </c>
      <c r="G266" t="str">
        <f t="shared" si="8"/>
        <v>SPI</v>
      </c>
      <c r="H266" t="s">
        <v>19</v>
      </c>
      <c r="I266" t="s">
        <v>20</v>
      </c>
      <c r="J266" t="s">
        <v>62</v>
      </c>
      <c r="K266" s="6">
        <v>0.03</v>
      </c>
      <c r="L266" s="7">
        <f t="shared" si="9"/>
        <v>2E-3</v>
      </c>
      <c r="M266" s="7">
        <v>3.0000000000000001E-3</v>
      </c>
      <c r="N266">
        <v>7</v>
      </c>
      <c r="O266" s="8">
        <v>14.260089507934383</v>
      </c>
      <c r="P266" s="9">
        <v>14.260089507934383</v>
      </c>
      <c r="Q266" s="9">
        <v>14.260089507934383</v>
      </c>
      <c r="R266" s="9">
        <v>14.434686024139818</v>
      </c>
      <c r="S266" s="9">
        <v>14.722027102535575</v>
      </c>
      <c r="T266" s="9">
        <v>15.677715915555218</v>
      </c>
      <c r="U266" s="9">
        <v>17.010379604817192</v>
      </c>
      <c r="V266" s="9">
        <v>17.010379604817192</v>
      </c>
      <c r="W266" s="9">
        <v>17.010379604817192</v>
      </c>
      <c r="X266" s="9">
        <v>16.884570568466835</v>
      </c>
      <c r="Y266" s="9">
        <v>16.884570568466835</v>
      </c>
      <c r="Z266" s="9">
        <v>18.617757359760585</v>
      </c>
      <c r="AA266" s="9">
        <v>18.617757359760585</v>
      </c>
      <c r="AB266" s="9">
        <v>20.52292271594289</v>
      </c>
      <c r="AC266" s="9">
        <v>20.52292271594289</v>
      </c>
      <c r="AD266" s="9">
        <v>22.530627040176761</v>
      </c>
      <c r="AE266" s="9">
        <v>24.654059850225856</v>
      </c>
      <c r="AF266" s="9">
        <v>28.622962393602329</v>
      </c>
      <c r="AG266" s="9">
        <v>28.622962393602329</v>
      </c>
      <c r="AH266" s="9">
        <v>31.011605245024167</v>
      </c>
      <c r="AI266" s="9">
        <v>33.330799286496742</v>
      </c>
      <c r="AJ266" s="9">
        <v>3.0428788910505911</v>
      </c>
    </row>
    <row r="267" spans="1:36" x14ac:dyDescent="0.25">
      <c r="A267" t="s">
        <v>5411</v>
      </c>
      <c r="B267" t="s">
        <v>16</v>
      </c>
      <c r="C267" t="s">
        <v>17</v>
      </c>
      <c r="D267">
        <v>13910000</v>
      </c>
      <c r="E267">
        <v>13919999</v>
      </c>
      <c r="F267" t="s">
        <v>211</v>
      </c>
      <c r="G267" t="str">
        <f t="shared" si="8"/>
        <v>SPI</v>
      </c>
      <c r="H267" t="s">
        <v>19</v>
      </c>
      <c r="I267" t="s">
        <v>20</v>
      </c>
      <c r="J267" t="s">
        <v>62</v>
      </c>
      <c r="K267" s="6">
        <v>0.03</v>
      </c>
      <c r="L267" s="7">
        <f t="shared" si="9"/>
        <v>2E-3</v>
      </c>
      <c r="M267" s="7">
        <v>3.0000000000000001E-3</v>
      </c>
      <c r="N267">
        <v>6</v>
      </c>
      <c r="O267" s="8">
        <v>14.260089507934383</v>
      </c>
      <c r="P267" s="9">
        <v>14.260089507934383</v>
      </c>
      <c r="Q267" s="9">
        <v>14.260089507934383</v>
      </c>
      <c r="R267" s="9">
        <v>14.434686024139818</v>
      </c>
      <c r="S267" s="9">
        <v>14.722027102535575</v>
      </c>
      <c r="T267" s="9">
        <v>15.677715915555218</v>
      </c>
      <c r="U267" s="9">
        <v>17.010379604817192</v>
      </c>
      <c r="V267" s="9">
        <v>17.010379604817192</v>
      </c>
      <c r="W267" s="9">
        <v>17.010379604817192</v>
      </c>
      <c r="X267" s="9">
        <v>16.884570568466835</v>
      </c>
      <c r="Y267" s="9">
        <v>16.884570568466835</v>
      </c>
      <c r="Z267" s="9">
        <v>18.617757359760585</v>
      </c>
      <c r="AA267" s="9">
        <v>18.617757359760585</v>
      </c>
      <c r="AB267" s="9">
        <v>20.52292271594289</v>
      </c>
      <c r="AC267" s="9">
        <v>20.52292271594289</v>
      </c>
      <c r="AD267" s="9">
        <v>22.530627040176761</v>
      </c>
      <c r="AE267" s="9">
        <v>24.654059850225856</v>
      </c>
      <c r="AF267" s="9">
        <v>28.622962393602329</v>
      </c>
      <c r="AG267" s="9">
        <v>28.622962393602329</v>
      </c>
      <c r="AH267" s="9">
        <v>31.011605245024167</v>
      </c>
      <c r="AI267" s="9">
        <v>33.330799286496742</v>
      </c>
      <c r="AJ267" s="9">
        <v>3.0428788910505911</v>
      </c>
    </row>
    <row r="268" spans="1:36" x14ac:dyDescent="0.25">
      <c r="A268" t="s">
        <v>5411</v>
      </c>
      <c r="B268" t="s">
        <v>16</v>
      </c>
      <c r="C268" t="s">
        <v>17</v>
      </c>
      <c r="D268">
        <v>13920000</v>
      </c>
      <c r="E268">
        <v>13929999</v>
      </c>
      <c r="F268" t="s">
        <v>212</v>
      </c>
      <c r="G268" t="str">
        <f t="shared" si="8"/>
        <v>SPI</v>
      </c>
      <c r="H268" t="s">
        <v>19</v>
      </c>
      <c r="I268" t="s">
        <v>20</v>
      </c>
      <c r="J268" t="s">
        <v>62</v>
      </c>
      <c r="K268" s="6">
        <v>0.03</v>
      </c>
      <c r="L268" s="7">
        <f t="shared" si="9"/>
        <v>2E-3</v>
      </c>
      <c r="M268" s="7">
        <v>3.0000000000000001E-3</v>
      </c>
      <c r="N268">
        <v>7</v>
      </c>
      <c r="O268" s="8">
        <v>14.260089507934383</v>
      </c>
      <c r="P268" s="9">
        <v>14.260089507934383</v>
      </c>
      <c r="Q268" s="9">
        <v>14.260089507934383</v>
      </c>
      <c r="R268" s="9">
        <v>14.434686024139818</v>
      </c>
      <c r="S268" s="9">
        <v>14.722027102535575</v>
      </c>
      <c r="T268" s="9">
        <v>15.677715915555218</v>
      </c>
      <c r="U268" s="9">
        <v>17.010379604817192</v>
      </c>
      <c r="V268" s="9">
        <v>17.010379604817192</v>
      </c>
      <c r="W268" s="9">
        <v>17.010379604817192</v>
      </c>
      <c r="X268" s="9">
        <v>16.884570568466835</v>
      </c>
      <c r="Y268" s="9">
        <v>16.884570568466835</v>
      </c>
      <c r="Z268" s="9">
        <v>18.617757359760585</v>
      </c>
      <c r="AA268" s="9">
        <v>18.617757359760585</v>
      </c>
      <c r="AB268" s="9">
        <v>20.52292271594289</v>
      </c>
      <c r="AC268" s="9">
        <v>20.52292271594289</v>
      </c>
      <c r="AD268" s="9">
        <v>22.530627040176761</v>
      </c>
      <c r="AE268" s="9">
        <v>24.654059850225856</v>
      </c>
      <c r="AF268" s="9">
        <v>28.622962393602329</v>
      </c>
      <c r="AG268" s="9">
        <v>28.622962393602329</v>
      </c>
      <c r="AH268" s="9">
        <v>31.011605245024167</v>
      </c>
      <c r="AI268" s="9">
        <v>33.330799286496742</v>
      </c>
      <c r="AJ268" s="9">
        <v>3.0428788910505911</v>
      </c>
    </row>
    <row r="269" spans="1:36" x14ac:dyDescent="0.25">
      <c r="A269" t="s">
        <v>5411</v>
      </c>
      <c r="B269" t="s">
        <v>16</v>
      </c>
      <c r="C269" t="s">
        <v>17</v>
      </c>
      <c r="D269">
        <v>13930000</v>
      </c>
      <c r="E269">
        <v>13939999</v>
      </c>
      <c r="F269" t="s">
        <v>213</v>
      </c>
      <c r="G269" t="str">
        <f t="shared" si="8"/>
        <v>SPI</v>
      </c>
      <c r="H269" t="s">
        <v>19</v>
      </c>
      <c r="I269" t="s">
        <v>20</v>
      </c>
      <c r="J269" t="s">
        <v>62</v>
      </c>
      <c r="K269" s="6">
        <v>0.03</v>
      </c>
      <c r="L269" s="7">
        <f t="shared" si="9"/>
        <v>2E-3</v>
      </c>
      <c r="M269" s="7">
        <v>3.0000000000000001E-3</v>
      </c>
      <c r="N269">
        <v>7</v>
      </c>
      <c r="O269" s="8">
        <v>14.260089507934383</v>
      </c>
      <c r="P269" s="9">
        <v>14.260089507934383</v>
      </c>
      <c r="Q269" s="9">
        <v>14.260089507934383</v>
      </c>
      <c r="R269" s="9">
        <v>14.434686024139818</v>
      </c>
      <c r="S269" s="9">
        <v>14.722027102535575</v>
      </c>
      <c r="T269" s="9">
        <v>15.677715915555218</v>
      </c>
      <c r="U269" s="9">
        <v>17.010379604817192</v>
      </c>
      <c r="V269" s="9">
        <v>17.010379604817192</v>
      </c>
      <c r="W269" s="9">
        <v>17.010379604817192</v>
      </c>
      <c r="X269" s="9">
        <v>16.884570568466835</v>
      </c>
      <c r="Y269" s="9">
        <v>16.884570568466835</v>
      </c>
      <c r="Z269" s="9">
        <v>18.617757359760585</v>
      </c>
      <c r="AA269" s="9">
        <v>18.617757359760585</v>
      </c>
      <c r="AB269" s="9">
        <v>20.52292271594289</v>
      </c>
      <c r="AC269" s="9">
        <v>20.52292271594289</v>
      </c>
      <c r="AD269" s="9">
        <v>22.530627040176761</v>
      </c>
      <c r="AE269" s="9">
        <v>24.654059850225856</v>
      </c>
      <c r="AF269" s="9">
        <v>28.622962393602329</v>
      </c>
      <c r="AG269" s="9">
        <v>28.622962393602329</v>
      </c>
      <c r="AH269" s="9">
        <v>31.011605245024167</v>
      </c>
      <c r="AI269" s="9">
        <v>33.330799286496742</v>
      </c>
      <c r="AJ269" s="9">
        <v>3.0428788910505911</v>
      </c>
    </row>
    <row r="270" spans="1:36" x14ac:dyDescent="0.25">
      <c r="A270" t="s">
        <v>5411</v>
      </c>
      <c r="B270" t="s">
        <v>16</v>
      </c>
      <c r="C270" t="s">
        <v>17</v>
      </c>
      <c r="D270">
        <v>13940000</v>
      </c>
      <c r="E270">
        <v>13949999</v>
      </c>
      <c r="F270" t="s">
        <v>214</v>
      </c>
      <c r="G270" t="str">
        <f t="shared" si="8"/>
        <v>SPI</v>
      </c>
      <c r="H270" t="s">
        <v>19</v>
      </c>
      <c r="I270" t="s">
        <v>20</v>
      </c>
      <c r="J270" t="s">
        <v>62</v>
      </c>
      <c r="K270" s="6">
        <v>0.03</v>
      </c>
      <c r="L270" s="7">
        <f t="shared" si="9"/>
        <v>2E-3</v>
      </c>
      <c r="M270" s="7">
        <v>3.0000000000000001E-3</v>
      </c>
      <c r="N270">
        <v>7</v>
      </c>
      <c r="O270" s="8">
        <v>14.260089507934383</v>
      </c>
      <c r="P270" s="9">
        <v>14.260089507934383</v>
      </c>
      <c r="Q270" s="9">
        <v>14.260089507934383</v>
      </c>
      <c r="R270" s="9">
        <v>14.434686024139818</v>
      </c>
      <c r="S270" s="9">
        <v>14.722027102535575</v>
      </c>
      <c r="T270" s="9">
        <v>15.677715915555218</v>
      </c>
      <c r="U270" s="9">
        <v>17.010379604817192</v>
      </c>
      <c r="V270" s="9">
        <v>17.010379604817192</v>
      </c>
      <c r="W270" s="9">
        <v>17.010379604817192</v>
      </c>
      <c r="X270" s="9">
        <v>16.884570568466835</v>
      </c>
      <c r="Y270" s="9">
        <v>16.884570568466835</v>
      </c>
      <c r="Z270" s="9">
        <v>18.617757359760585</v>
      </c>
      <c r="AA270" s="9">
        <v>18.617757359760585</v>
      </c>
      <c r="AB270" s="9">
        <v>20.52292271594289</v>
      </c>
      <c r="AC270" s="9">
        <v>20.52292271594289</v>
      </c>
      <c r="AD270" s="9">
        <v>22.530627040176761</v>
      </c>
      <c r="AE270" s="9">
        <v>24.654059850225856</v>
      </c>
      <c r="AF270" s="9">
        <v>28.622962393602329</v>
      </c>
      <c r="AG270" s="9">
        <v>28.622962393602329</v>
      </c>
      <c r="AH270" s="9">
        <v>31.011605245024167</v>
      </c>
      <c r="AI270" s="9">
        <v>33.330799286496742</v>
      </c>
      <c r="AJ270" s="9">
        <v>3.0428788910505911</v>
      </c>
    </row>
    <row r="271" spans="1:36" x14ac:dyDescent="0.25">
      <c r="A271" t="s">
        <v>5411</v>
      </c>
      <c r="B271" t="s">
        <v>16</v>
      </c>
      <c r="C271" t="s">
        <v>17</v>
      </c>
      <c r="D271">
        <v>13950000</v>
      </c>
      <c r="E271">
        <v>13959999</v>
      </c>
      <c r="F271" t="s">
        <v>215</v>
      </c>
      <c r="G271" t="str">
        <f t="shared" si="8"/>
        <v>SPI II</v>
      </c>
      <c r="H271" t="s">
        <v>19</v>
      </c>
      <c r="I271" t="s">
        <v>20</v>
      </c>
      <c r="J271" t="s">
        <v>64</v>
      </c>
      <c r="K271" s="6">
        <v>0.03</v>
      </c>
      <c r="L271" s="7">
        <f t="shared" si="9"/>
        <v>2E-3</v>
      </c>
      <c r="M271" s="7">
        <v>3.0000000000000001E-3</v>
      </c>
      <c r="N271">
        <v>7</v>
      </c>
      <c r="O271" s="8">
        <v>17.934556092922943</v>
      </c>
      <c r="P271" s="9">
        <v>17.934556092922943</v>
      </c>
      <c r="Q271" s="9">
        <v>17.934556092922943</v>
      </c>
      <c r="R271" s="9">
        <v>18.35577997371016</v>
      </c>
      <c r="S271" s="9">
        <v>18.404835306435746</v>
      </c>
      <c r="T271" s="9">
        <v>19.112621008962602</v>
      </c>
      <c r="U271" s="9">
        <v>20.35176903227914</v>
      </c>
      <c r="V271" s="9">
        <v>20.35176903227914</v>
      </c>
      <c r="W271" s="9">
        <v>20.35176903227914</v>
      </c>
      <c r="X271" s="9">
        <v>19.91589544268896</v>
      </c>
      <c r="Y271" s="9">
        <v>19.91589544268896</v>
      </c>
      <c r="Z271" s="9">
        <v>21.609947773831163</v>
      </c>
      <c r="AA271" s="9">
        <v>21.609947773831163</v>
      </c>
      <c r="AB271" s="9">
        <v>23.372671736151272</v>
      </c>
      <c r="AC271" s="9">
        <v>23.372671736151272</v>
      </c>
      <c r="AD271" s="9">
        <v>26.430826810726163</v>
      </c>
      <c r="AE271" s="9">
        <v>27.959768706413232</v>
      </c>
      <c r="AF271" s="9">
        <v>29.772701744670762</v>
      </c>
      <c r="AG271" s="9">
        <v>29.772701744670762</v>
      </c>
      <c r="AH271" s="9">
        <v>32.589351949315954</v>
      </c>
      <c r="AI271" s="9">
        <v>34.825222308406182</v>
      </c>
      <c r="AJ271" s="9">
        <v>3.0428788910505911</v>
      </c>
    </row>
    <row r="272" spans="1:36" x14ac:dyDescent="0.25">
      <c r="A272" t="s">
        <v>5411</v>
      </c>
      <c r="B272" t="s">
        <v>16</v>
      </c>
      <c r="C272" t="s">
        <v>17</v>
      </c>
      <c r="D272">
        <v>13960000</v>
      </c>
      <c r="E272">
        <v>13989999</v>
      </c>
      <c r="F272" t="s">
        <v>216</v>
      </c>
      <c r="G272" t="str">
        <f t="shared" si="8"/>
        <v>SPI</v>
      </c>
      <c r="H272" t="s">
        <v>19</v>
      </c>
      <c r="I272" t="s">
        <v>20</v>
      </c>
      <c r="J272" t="s">
        <v>62</v>
      </c>
      <c r="K272" s="6">
        <v>0.03</v>
      </c>
      <c r="L272" s="7">
        <f t="shared" si="9"/>
        <v>2E-3</v>
      </c>
      <c r="M272" s="7">
        <v>3.0000000000000001E-3</v>
      </c>
      <c r="N272">
        <v>6</v>
      </c>
      <c r="O272" s="8">
        <v>14.260089507934383</v>
      </c>
      <c r="P272" s="9">
        <v>14.260089507934383</v>
      </c>
      <c r="Q272" s="9">
        <v>14.260089507934383</v>
      </c>
      <c r="R272" s="9">
        <v>14.434686024139818</v>
      </c>
      <c r="S272" s="9">
        <v>14.722027102535575</v>
      </c>
      <c r="T272" s="9">
        <v>15.677715915555218</v>
      </c>
      <c r="U272" s="9">
        <v>17.010379604817192</v>
      </c>
      <c r="V272" s="9">
        <v>17.010379604817192</v>
      </c>
      <c r="W272" s="9">
        <v>17.010379604817192</v>
      </c>
      <c r="X272" s="9">
        <v>16.884570568466835</v>
      </c>
      <c r="Y272" s="9">
        <v>16.884570568466835</v>
      </c>
      <c r="Z272" s="9">
        <v>18.617757359760585</v>
      </c>
      <c r="AA272" s="9">
        <v>18.617757359760585</v>
      </c>
      <c r="AB272" s="9">
        <v>20.52292271594289</v>
      </c>
      <c r="AC272" s="9">
        <v>20.52292271594289</v>
      </c>
      <c r="AD272" s="9">
        <v>22.530627040176761</v>
      </c>
      <c r="AE272" s="9">
        <v>24.654059850225856</v>
      </c>
      <c r="AF272" s="9">
        <v>28.622962393602329</v>
      </c>
      <c r="AG272" s="9">
        <v>28.622962393602329</v>
      </c>
      <c r="AH272" s="9">
        <v>31.011605245024167</v>
      </c>
      <c r="AI272" s="9">
        <v>33.330799286496742</v>
      </c>
      <c r="AJ272" s="9">
        <v>3.0428788910505911</v>
      </c>
    </row>
    <row r="273" spans="1:36" x14ac:dyDescent="0.25">
      <c r="A273" t="s">
        <v>5411</v>
      </c>
      <c r="B273" t="s">
        <v>16</v>
      </c>
      <c r="C273" t="s">
        <v>17</v>
      </c>
      <c r="D273">
        <v>13990000</v>
      </c>
      <c r="E273">
        <v>13994999</v>
      </c>
      <c r="F273" t="s">
        <v>217</v>
      </c>
      <c r="G273" t="str">
        <f t="shared" si="8"/>
        <v>SPI II</v>
      </c>
      <c r="H273" t="s">
        <v>19</v>
      </c>
      <c r="I273" t="s">
        <v>20</v>
      </c>
      <c r="J273" t="s">
        <v>64</v>
      </c>
      <c r="K273" s="6">
        <v>0.03</v>
      </c>
      <c r="L273" s="7">
        <f t="shared" si="9"/>
        <v>2E-3</v>
      </c>
      <c r="M273" s="7">
        <v>3.0000000000000001E-3</v>
      </c>
      <c r="N273">
        <v>7</v>
      </c>
      <c r="O273" s="8">
        <v>17.934556092922943</v>
      </c>
      <c r="P273" s="9">
        <v>17.934556092922943</v>
      </c>
      <c r="Q273" s="9">
        <v>17.934556092922943</v>
      </c>
      <c r="R273" s="9">
        <v>18.35577997371016</v>
      </c>
      <c r="S273" s="9">
        <v>18.404835306435746</v>
      </c>
      <c r="T273" s="9">
        <v>19.112621008962602</v>
      </c>
      <c r="U273" s="9">
        <v>20.35176903227914</v>
      </c>
      <c r="V273" s="9">
        <v>20.35176903227914</v>
      </c>
      <c r="W273" s="9">
        <v>20.35176903227914</v>
      </c>
      <c r="X273" s="9">
        <v>19.91589544268896</v>
      </c>
      <c r="Y273" s="9">
        <v>19.91589544268896</v>
      </c>
      <c r="Z273" s="9">
        <v>21.609947773831163</v>
      </c>
      <c r="AA273" s="9">
        <v>21.609947773831163</v>
      </c>
      <c r="AB273" s="9">
        <v>23.372671736151272</v>
      </c>
      <c r="AC273" s="9">
        <v>23.372671736151272</v>
      </c>
      <c r="AD273" s="9">
        <v>26.430826810726163</v>
      </c>
      <c r="AE273" s="9">
        <v>27.959768706413232</v>
      </c>
      <c r="AF273" s="9">
        <v>29.772701744670762</v>
      </c>
      <c r="AG273" s="9">
        <v>29.772701744670762</v>
      </c>
      <c r="AH273" s="9">
        <v>32.589351949315954</v>
      </c>
      <c r="AI273" s="9">
        <v>34.825222308406182</v>
      </c>
      <c r="AJ273" s="9">
        <v>3.0428788910505911</v>
      </c>
    </row>
    <row r="274" spans="1:36" x14ac:dyDescent="0.25">
      <c r="A274" t="s">
        <v>5411</v>
      </c>
      <c r="B274" t="s">
        <v>16</v>
      </c>
      <c r="C274" t="s">
        <v>17</v>
      </c>
      <c r="D274">
        <v>13995000</v>
      </c>
      <c r="E274">
        <v>13999999</v>
      </c>
      <c r="F274" t="s">
        <v>218</v>
      </c>
      <c r="G274" t="str">
        <f t="shared" si="8"/>
        <v>SPI II</v>
      </c>
      <c r="H274" t="s">
        <v>19</v>
      </c>
      <c r="I274" t="s">
        <v>20</v>
      </c>
      <c r="J274" t="s">
        <v>64</v>
      </c>
      <c r="K274" s="6">
        <v>0.03</v>
      </c>
      <c r="L274" s="7">
        <f t="shared" si="9"/>
        <v>2E-3</v>
      </c>
      <c r="M274" s="7">
        <v>3.0000000000000001E-3</v>
      </c>
      <c r="N274">
        <v>7</v>
      </c>
      <c r="O274" s="8">
        <v>17.934556092922943</v>
      </c>
      <c r="P274" s="9">
        <v>17.934556092922943</v>
      </c>
      <c r="Q274" s="9">
        <v>17.934556092922943</v>
      </c>
      <c r="R274" s="9">
        <v>18.35577997371016</v>
      </c>
      <c r="S274" s="9">
        <v>18.404835306435746</v>
      </c>
      <c r="T274" s="9">
        <v>19.112621008962602</v>
      </c>
      <c r="U274" s="9">
        <v>20.35176903227914</v>
      </c>
      <c r="V274" s="9">
        <v>20.35176903227914</v>
      </c>
      <c r="W274" s="9">
        <v>20.35176903227914</v>
      </c>
      <c r="X274" s="9">
        <v>19.91589544268896</v>
      </c>
      <c r="Y274" s="9">
        <v>19.91589544268896</v>
      </c>
      <c r="Z274" s="9">
        <v>21.609947773831163</v>
      </c>
      <c r="AA274" s="9">
        <v>21.609947773831163</v>
      </c>
      <c r="AB274" s="9">
        <v>23.372671736151272</v>
      </c>
      <c r="AC274" s="9">
        <v>23.372671736151272</v>
      </c>
      <c r="AD274" s="9">
        <v>26.430826810726163</v>
      </c>
      <c r="AE274" s="9">
        <v>27.959768706413232</v>
      </c>
      <c r="AF274" s="9">
        <v>29.772701744670762</v>
      </c>
      <c r="AG274" s="9">
        <v>29.772701744670762</v>
      </c>
      <c r="AH274" s="9">
        <v>32.589351949315954</v>
      </c>
      <c r="AI274" s="9">
        <v>34.825222308406182</v>
      </c>
      <c r="AJ274" s="9">
        <v>3.0428788910505911</v>
      </c>
    </row>
    <row r="275" spans="1:36" x14ac:dyDescent="0.25">
      <c r="A275" t="s">
        <v>5411</v>
      </c>
      <c r="B275" t="s">
        <v>16</v>
      </c>
      <c r="C275" t="s">
        <v>17</v>
      </c>
      <c r="D275">
        <v>14000000</v>
      </c>
      <c r="E275">
        <v>14114999</v>
      </c>
      <c r="F275" t="s">
        <v>219</v>
      </c>
      <c r="G275" t="str">
        <f t="shared" si="8"/>
        <v>SPI</v>
      </c>
      <c r="H275" t="s">
        <v>19</v>
      </c>
      <c r="I275" t="s">
        <v>20</v>
      </c>
      <c r="J275" t="s">
        <v>62</v>
      </c>
      <c r="K275" s="6">
        <v>0.03</v>
      </c>
      <c r="L275" s="7">
        <f t="shared" si="9"/>
        <v>2E-3</v>
      </c>
      <c r="M275" s="7">
        <v>3.0000000000000001E-3</v>
      </c>
      <c r="N275">
        <v>6</v>
      </c>
      <c r="O275" s="8">
        <v>14.260089507934383</v>
      </c>
      <c r="P275" s="9">
        <v>14.260089507934383</v>
      </c>
      <c r="Q275" s="9">
        <v>14.260089507934383</v>
      </c>
      <c r="R275" s="9">
        <v>14.434686024139818</v>
      </c>
      <c r="S275" s="9">
        <v>14.722027102535575</v>
      </c>
      <c r="T275" s="9">
        <v>15.677715915555218</v>
      </c>
      <c r="U275" s="9">
        <v>17.010379604817192</v>
      </c>
      <c r="V275" s="9">
        <v>17.010379604817192</v>
      </c>
      <c r="W275" s="9">
        <v>17.010379604817192</v>
      </c>
      <c r="X275" s="9">
        <v>16.884570568466835</v>
      </c>
      <c r="Y275" s="9">
        <v>16.884570568466835</v>
      </c>
      <c r="Z275" s="9">
        <v>18.617757359760585</v>
      </c>
      <c r="AA275" s="9">
        <v>18.617757359760585</v>
      </c>
      <c r="AB275" s="9">
        <v>20.52292271594289</v>
      </c>
      <c r="AC275" s="9">
        <v>20.52292271594289</v>
      </c>
      <c r="AD275" s="9">
        <v>22.530627040176761</v>
      </c>
      <c r="AE275" s="9">
        <v>24.654059850225856</v>
      </c>
      <c r="AF275" s="9">
        <v>28.622962393602329</v>
      </c>
      <c r="AG275" s="9">
        <v>28.622962393602329</v>
      </c>
      <c r="AH275" s="9">
        <v>31.011605245024167</v>
      </c>
      <c r="AI275" s="9">
        <v>33.330799286496742</v>
      </c>
      <c r="AJ275" s="9">
        <v>3.0428788910505911</v>
      </c>
    </row>
    <row r="276" spans="1:36" x14ac:dyDescent="0.25">
      <c r="A276" t="s">
        <v>5411</v>
      </c>
      <c r="B276" t="s">
        <v>16</v>
      </c>
      <c r="C276" t="s">
        <v>17</v>
      </c>
      <c r="D276">
        <v>14115000</v>
      </c>
      <c r="E276">
        <v>14119999</v>
      </c>
      <c r="F276" t="s">
        <v>220</v>
      </c>
      <c r="G276" t="str">
        <f t="shared" si="8"/>
        <v>SPI II</v>
      </c>
      <c r="H276" t="s">
        <v>19</v>
      </c>
      <c r="I276" t="s">
        <v>20</v>
      </c>
      <c r="J276" t="s">
        <v>64</v>
      </c>
      <c r="K276" s="6">
        <v>0.03</v>
      </c>
      <c r="L276" s="7">
        <f t="shared" si="9"/>
        <v>2E-3</v>
      </c>
      <c r="M276" s="7">
        <v>3.0000000000000001E-3</v>
      </c>
      <c r="N276">
        <v>9</v>
      </c>
      <c r="O276" s="8">
        <v>17.934556092922943</v>
      </c>
      <c r="P276" s="9">
        <v>17.934556092922943</v>
      </c>
      <c r="Q276" s="9">
        <v>17.934556092922943</v>
      </c>
      <c r="R276" s="9">
        <v>18.35577997371016</v>
      </c>
      <c r="S276" s="9">
        <v>18.404835306435746</v>
      </c>
      <c r="T276" s="9">
        <v>19.112621008962602</v>
      </c>
      <c r="U276" s="9">
        <v>20.35176903227914</v>
      </c>
      <c r="V276" s="9">
        <v>20.35176903227914</v>
      </c>
      <c r="W276" s="9">
        <v>20.35176903227914</v>
      </c>
      <c r="X276" s="9">
        <v>19.91589544268896</v>
      </c>
      <c r="Y276" s="9">
        <v>19.91589544268896</v>
      </c>
      <c r="Z276" s="9">
        <v>21.609947773831163</v>
      </c>
      <c r="AA276" s="9">
        <v>21.609947773831163</v>
      </c>
      <c r="AB276" s="9">
        <v>23.372671736151272</v>
      </c>
      <c r="AC276" s="9">
        <v>23.372671736151272</v>
      </c>
      <c r="AD276" s="9">
        <v>26.430826810726163</v>
      </c>
      <c r="AE276" s="9">
        <v>27.959768706413232</v>
      </c>
      <c r="AF276" s="9">
        <v>29.772701744670762</v>
      </c>
      <c r="AG276" s="9">
        <v>29.772701744670762</v>
      </c>
      <c r="AH276" s="9">
        <v>32.589351949315954</v>
      </c>
      <c r="AI276" s="9">
        <v>34.825222308406182</v>
      </c>
      <c r="AJ276" s="9">
        <v>3.0428788910505911</v>
      </c>
    </row>
    <row r="277" spans="1:36" x14ac:dyDescent="0.25">
      <c r="A277" t="s">
        <v>5411</v>
      </c>
      <c r="B277" t="s">
        <v>16</v>
      </c>
      <c r="C277" t="s">
        <v>17</v>
      </c>
      <c r="D277">
        <v>14120000</v>
      </c>
      <c r="E277">
        <v>14139999</v>
      </c>
      <c r="F277" t="s">
        <v>221</v>
      </c>
      <c r="G277" t="str">
        <f t="shared" si="8"/>
        <v>SPI II</v>
      </c>
      <c r="H277" t="s">
        <v>19</v>
      </c>
      <c r="I277" t="s">
        <v>20</v>
      </c>
      <c r="J277" t="s">
        <v>64</v>
      </c>
      <c r="K277" s="6">
        <v>0.03</v>
      </c>
      <c r="L277" s="7">
        <f t="shared" si="9"/>
        <v>2E-3</v>
      </c>
      <c r="M277" s="7">
        <v>3.0000000000000001E-3</v>
      </c>
      <c r="N277">
        <v>6</v>
      </c>
      <c r="O277" s="8">
        <v>17.934556092922943</v>
      </c>
      <c r="P277" s="9">
        <v>17.934556092922943</v>
      </c>
      <c r="Q277" s="9">
        <v>17.934556092922943</v>
      </c>
      <c r="R277" s="9">
        <v>18.35577997371016</v>
      </c>
      <c r="S277" s="9">
        <v>18.404835306435746</v>
      </c>
      <c r="T277" s="9">
        <v>19.112621008962602</v>
      </c>
      <c r="U277" s="9">
        <v>20.35176903227914</v>
      </c>
      <c r="V277" s="9">
        <v>20.35176903227914</v>
      </c>
      <c r="W277" s="9">
        <v>20.35176903227914</v>
      </c>
      <c r="X277" s="9">
        <v>19.91589544268896</v>
      </c>
      <c r="Y277" s="9">
        <v>19.91589544268896</v>
      </c>
      <c r="Z277" s="9">
        <v>21.609947773831163</v>
      </c>
      <c r="AA277" s="9">
        <v>21.609947773831163</v>
      </c>
      <c r="AB277" s="9">
        <v>23.372671736151272</v>
      </c>
      <c r="AC277" s="9">
        <v>23.372671736151272</v>
      </c>
      <c r="AD277" s="9">
        <v>26.430826810726163</v>
      </c>
      <c r="AE277" s="9">
        <v>27.959768706413232</v>
      </c>
      <c r="AF277" s="9">
        <v>29.772701744670762</v>
      </c>
      <c r="AG277" s="9">
        <v>29.772701744670762</v>
      </c>
      <c r="AH277" s="9">
        <v>32.589351949315954</v>
      </c>
      <c r="AI277" s="9">
        <v>34.825222308406182</v>
      </c>
      <c r="AJ277" s="9">
        <v>3.0428788910505911</v>
      </c>
    </row>
    <row r="278" spans="1:36" x14ac:dyDescent="0.25">
      <c r="A278" t="s">
        <v>5411</v>
      </c>
      <c r="B278" t="s">
        <v>16</v>
      </c>
      <c r="C278" t="s">
        <v>17</v>
      </c>
      <c r="D278">
        <v>14140000</v>
      </c>
      <c r="E278">
        <v>14149999</v>
      </c>
      <c r="F278" t="s">
        <v>222</v>
      </c>
      <c r="G278" t="str">
        <f t="shared" si="8"/>
        <v>SPI II</v>
      </c>
      <c r="H278" t="s">
        <v>19</v>
      </c>
      <c r="I278" t="s">
        <v>20</v>
      </c>
      <c r="J278" t="s">
        <v>64</v>
      </c>
      <c r="K278" s="6">
        <v>0.03</v>
      </c>
      <c r="L278" s="7">
        <f t="shared" si="9"/>
        <v>2E-3</v>
      </c>
      <c r="M278" s="7">
        <v>3.0000000000000001E-3</v>
      </c>
      <c r="N278">
        <v>7</v>
      </c>
      <c r="O278" s="8">
        <v>17.934556092922943</v>
      </c>
      <c r="P278" s="9">
        <v>17.934556092922943</v>
      </c>
      <c r="Q278" s="9">
        <v>17.934556092922943</v>
      </c>
      <c r="R278" s="9">
        <v>18.35577997371016</v>
      </c>
      <c r="S278" s="9">
        <v>18.404835306435746</v>
      </c>
      <c r="T278" s="9">
        <v>19.112621008962602</v>
      </c>
      <c r="U278" s="9">
        <v>20.35176903227914</v>
      </c>
      <c r="V278" s="9">
        <v>20.35176903227914</v>
      </c>
      <c r="W278" s="9">
        <v>20.35176903227914</v>
      </c>
      <c r="X278" s="9">
        <v>19.91589544268896</v>
      </c>
      <c r="Y278" s="9">
        <v>19.91589544268896</v>
      </c>
      <c r="Z278" s="9">
        <v>21.609947773831163</v>
      </c>
      <c r="AA278" s="9">
        <v>21.609947773831163</v>
      </c>
      <c r="AB278" s="9">
        <v>23.372671736151272</v>
      </c>
      <c r="AC278" s="9">
        <v>23.372671736151272</v>
      </c>
      <c r="AD278" s="9">
        <v>26.430826810726163</v>
      </c>
      <c r="AE278" s="9">
        <v>27.959768706413232</v>
      </c>
      <c r="AF278" s="9">
        <v>29.772701744670762</v>
      </c>
      <c r="AG278" s="9">
        <v>29.772701744670762</v>
      </c>
      <c r="AH278" s="9">
        <v>32.589351949315954</v>
      </c>
      <c r="AI278" s="9">
        <v>34.825222308406182</v>
      </c>
      <c r="AJ278" s="9">
        <v>3.0428788910505911</v>
      </c>
    </row>
    <row r="279" spans="1:36" x14ac:dyDescent="0.25">
      <c r="A279" t="s">
        <v>5411</v>
      </c>
      <c r="B279" t="s">
        <v>16</v>
      </c>
      <c r="C279" t="s">
        <v>17</v>
      </c>
      <c r="D279">
        <v>14150000</v>
      </c>
      <c r="E279">
        <v>14159999</v>
      </c>
      <c r="F279" t="s">
        <v>223</v>
      </c>
      <c r="G279" t="str">
        <f t="shared" si="8"/>
        <v>SPI II</v>
      </c>
      <c r="H279" t="s">
        <v>19</v>
      </c>
      <c r="I279" t="s">
        <v>20</v>
      </c>
      <c r="J279" t="s">
        <v>64</v>
      </c>
      <c r="K279" s="6">
        <v>0.03</v>
      </c>
      <c r="L279" s="7">
        <f t="shared" si="9"/>
        <v>2E-3</v>
      </c>
      <c r="M279" s="7">
        <v>3.0000000000000001E-3</v>
      </c>
      <c r="N279">
        <v>7</v>
      </c>
      <c r="O279" s="8">
        <v>17.934556092922943</v>
      </c>
      <c r="P279" s="9">
        <v>17.934556092922943</v>
      </c>
      <c r="Q279" s="9">
        <v>17.934556092922943</v>
      </c>
      <c r="R279" s="9">
        <v>18.35577997371016</v>
      </c>
      <c r="S279" s="9">
        <v>18.404835306435746</v>
      </c>
      <c r="T279" s="9">
        <v>19.112621008962602</v>
      </c>
      <c r="U279" s="9">
        <v>20.35176903227914</v>
      </c>
      <c r="V279" s="9">
        <v>20.35176903227914</v>
      </c>
      <c r="W279" s="9">
        <v>20.35176903227914</v>
      </c>
      <c r="X279" s="9">
        <v>19.91589544268896</v>
      </c>
      <c r="Y279" s="9">
        <v>19.91589544268896</v>
      </c>
      <c r="Z279" s="9">
        <v>21.609947773831163</v>
      </c>
      <c r="AA279" s="9">
        <v>21.609947773831163</v>
      </c>
      <c r="AB279" s="9">
        <v>23.372671736151272</v>
      </c>
      <c r="AC279" s="9">
        <v>23.372671736151272</v>
      </c>
      <c r="AD279" s="9">
        <v>26.430826810726163</v>
      </c>
      <c r="AE279" s="9">
        <v>27.959768706413232</v>
      </c>
      <c r="AF279" s="9">
        <v>29.772701744670762</v>
      </c>
      <c r="AG279" s="9">
        <v>29.772701744670762</v>
      </c>
      <c r="AH279" s="9">
        <v>32.589351949315954</v>
      </c>
      <c r="AI279" s="9">
        <v>34.825222308406182</v>
      </c>
      <c r="AJ279" s="9">
        <v>3.0428788910505911</v>
      </c>
    </row>
    <row r="280" spans="1:36" x14ac:dyDescent="0.25">
      <c r="A280" t="s">
        <v>5411</v>
      </c>
      <c r="B280" t="s">
        <v>16</v>
      </c>
      <c r="C280" t="s">
        <v>17</v>
      </c>
      <c r="D280">
        <v>14160000</v>
      </c>
      <c r="E280">
        <v>14179999</v>
      </c>
      <c r="F280" t="s">
        <v>224</v>
      </c>
      <c r="G280" t="str">
        <f t="shared" si="8"/>
        <v>SPI</v>
      </c>
      <c r="H280" t="s">
        <v>19</v>
      </c>
      <c r="I280" t="s">
        <v>20</v>
      </c>
      <c r="J280" t="s">
        <v>62</v>
      </c>
      <c r="K280" s="6">
        <v>0.03</v>
      </c>
      <c r="L280" s="7">
        <f t="shared" si="9"/>
        <v>2E-3</v>
      </c>
      <c r="M280" s="7">
        <v>3.0000000000000001E-3</v>
      </c>
      <c r="N280">
        <v>7</v>
      </c>
      <c r="O280" s="8">
        <v>14.260089507934383</v>
      </c>
      <c r="P280" s="9">
        <v>14.260089507934383</v>
      </c>
      <c r="Q280" s="9">
        <v>14.260089507934383</v>
      </c>
      <c r="R280" s="9">
        <v>14.434686024139818</v>
      </c>
      <c r="S280" s="9">
        <v>14.722027102535575</v>
      </c>
      <c r="T280" s="9">
        <v>15.677715915555218</v>
      </c>
      <c r="U280" s="9">
        <v>17.010379604817192</v>
      </c>
      <c r="V280" s="9">
        <v>17.010379604817192</v>
      </c>
      <c r="W280" s="9">
        <v>17.010379604817192</v>
      </c>
      <c r="X280" s="9">
        <v>16.884570568466835</v>
      </c>
      <c r="Y280" s="9">
        <v>16.884570568466835</v>
      </c>
      <c r="Z280" s="9">
        <v>18.617757359760585</v>
      </c>
      <c r="AA280" s="9">
        <v>18.617757359760585</v>
      </c>
      <c r="AB280" s="9">
        <v>20.52292271594289</v>
      </c>
      <c r="AC280" s="9">
        <v>20.52292271594289</v>
      </c>
      <c r="AD280" s="9">
        <v>22.530627040176761</v>
      </c>
      <c r="AE280" s="9">
        <v>24.654059850225856</v>
      </c>
      <c r="AF280" s="9">
        <v>28.622962393602329</v>
      </c>
      <c r="AG280" s="9">
        <v>28.622962393602329</v>
      </c>
      <c r="AH280" s="9">
        <v>31.011605245024167</v>
      </c>
      <c r="AI280" s="9">
        <v>33.330799286496742</v>
      </c>
      <c r="AJ280" s="9">
        <v>3.0428788910505911</v>
      </c>
    </row>
    <row r="281" spans="1:36" x14ac:dyDescent="0.25">
      <c r="A281" t="s">
        <v>5411</v>
      </c>
      <c r="B281" t="s">
        <v>16</v>
      </c>
      <c r="C281" t="s">
        <v>17</v>
      </c>
      <c r="D281">
        <v>14180000</v>
      </c>
      <c r="E281">
        <v>14199999</v>
      </c>
      <c r="F281" t="s">
        <v>225</v>
      </c>
      <c r="G281" t="str">
        <f t="shared" si="8"/>
        <v>SPI II</v>
      </c>
      <c r="H281" t="s">
        <v>19</v>
      </c>
      <c r="I281" t="s">
        <v>20</v>
      </c>
      <c r="J281" t="s">
        <v>64</v>
      </c>
      <c r="K281" s="6">
        <v>0.03</v>
      </c>
      <c r="L281" s="7">
        <f t="shared" si="9"/>
        <v>2E-3</v>
      </c>
      <c r="M281" s="7">
        <v>3.0000000000000001E-3</v>
      </c>
      <c r="N281">
        <v>8</v>
      </c>
      <c r="O281" s="8">
        <v>17.934556092922943</v>
      </c>
      <c r="P281" s="9">
        <v>17.934556092922943</v>
      </c>
      <c r="Q281" s="9">
        <v>17.934556092922943</v>
      </c>
      <c r="R281" s="9">
        <v>18.35577997371016</v>
      </c>
      <c r="S281" s="9">
        <v>18.404835306435746</v>
      </c>
      <c r="T281" s="9">
        <v>19.112621008962602</v>
      </c>
      <c r="U281" s="9">
        <v>20.35176903227914</v>
      </c>
      <c r="V281" s="9">
        <v>20.35176903227914</v>
      </c>
      <c r="W281" s="9">
        <v>20.35176903227914</v>
      </c>
      <c r="X281" s="9">
        <v>19.91589544268896</v>
      </c>
      <c r="Y281" s="9">
        <v>19.91589544268896</v>
      </c>
      <c r="Z281" s="9">
        <v>21.609947773831163</v>
      </c>
      <c r="AA281" s="9">
        <v>21.609947773831163</v>
      </c>
      <c r="AB281" s="9">
        <v>23.372671736151272</v>
      </c>
      <c r="AC281" s="9">
        <v>23.372671736151272</v>
      </c>
      <c r="AD281" s="9">
        <v>26.430826810726163</v>
      </c>
      <c r="AE281" s="9">
        <v>27.959768706413232</v>
      </c>
      <c r="AF281" s="9">
        <v>29.772701744670762</v>
      </c>
      <c r="AG281" s="9">
        <v>29.772701744670762</v>
      </c>
      <c r="AH281" s="9">
        <v>32.589351949315954</v>
      </c>
      <c r="AI281" s="9">
        <v>34.825222308406182</v>
      </c>
      <c r="AJ281" s="9">
        <v>3.0428788910505911</v>
      </c>
    </row>
    <row r="282" spans="1:36" x14ac:dyDescent="0.25">
      <c r="A282" t="s">
        <v>5411</v>
      </c>
      <c r="B282" t="s">
        <v>16</v>
      </c>
      <c r="C282" t="s">
        <v>17</v>
      </c>
      <c r="D282">
        <v>14200000</v>
      </c>
      <c r="E282">
        <v>14209999</v>
      </c>
      <c r="F282" t="s">
        <v>226</v>
      </c>
      <c r="G282" t="str">
        <f t="shared" si="8"/>
        <v>SPI II</v>
      </c>
      <c r="H282" t="s">
        <v>19</v>
      </c>
      <c r="I282" t="s">
        <v>20</v>
      </c>
      <c r="J282" t="s">
        <v>64</v>
      </c>
      <c r="K282" s="6">
        <v>0.03</v>
      </c>
      <c r="L282" s="7">
        <f t="shared" si="9"/>
        <v>2E-3</v>
      </c>
      <c r="M282" s="7">
        <v>3.0000000000000001E-3</v>
      </c>
      <c r="N282">
        <v>7</v>
      </c>
      <c r="O282" s="8">
        <v>17.934556092922943</v>
      </c>
      <c r="P282" s="9">
        <v>17.934556092922943</v>
      </c>
      <c r="Q282" s="9">
        <v>17.934556092922943</v>
      </c>
      <c r="R282" s="9">
        <v>18.35577997371016</v>
      </c>
      <c r="S282" s="9">
        <v>18.404835306435746</v>
      </c>
      <c r="T282" s="9">
        <v>19.112621008962602</v>
      </c>
      <c r="U282" s="9">
        <v>20.35176903227914</v>
      </c>
      <c r="V282" s="9">
        <v>20.35176903227914</v>
      </c>
      <c r="W282" s="9">
        <v>20.35176903227914</v>
      </c>
      <c r="X282" s="9">
        <v>19.91589544268896</v>
      </c>
      <c r="Y282" s="9">
        <v>19.91589544268896</v>
      </c>
      <c r="Z282" s="9">
        <v>21.609947773831163</v>
      </c>
      <c r="AA282" s="9">
        <v>21.609947773831163</v>
      </c>
      <c r="AB282" s="9">
        <v>23.372671736151272</v>
      </c>
      <c r="AC282" s="9">
        <v>23.372671736151272</v>
      </c>
      <c r="AD282" s="9">
        <v>26.430826810726163</v>
      </c>
      <c r="AE282" s="9">
        <v>27.959768706413232</v>
      </c>
      <c r="AF282" s="9">
        <v>29.772701744670762</v>
      </c>
      <c r="AG282" s="9">
        <v>29.772701744670762</v>
      </c>
      <c r="AH282" s="9">
        <v>32.589351949315954</v>
      </c>
      <c r="AI282" s="9">
        <v>34.825222308406182</v>
      </c>
      <c r="AJ282" s="9">
        <v>3.0428788910505911</v>
      </c>
    </row>
    <row r="283" spans="1:36" x14ac:dyDescent="0.25">
      <c r="A283" t="s">
        <v>5411</v>
      </c>
      <c r="B283" t="s">
        <v>16</v>
      </c>
      <c r="C283" t="s">
        <v>17</v>
      </c>
      <c r="D283">
        <v>14210000</v>
      </c>
      <c r="E283">
        <v>14229999</v>
      </c>
      <c r="F283" t="s">
        <v>227</v>
      </c>
      <c r="G283" t="str">
        <f t="shared" si="8"/>
        <v>SPI II</v>
      </c>
      <c r="H283" t="s">
        <v>19</v>
      </c>
      <c r="I283" t="s">
        <v>20</v>
      </c>
      <c r="J283" t="s">
        <v>64</v>
      </c>
      <c r="K283" s="6">
        <v>0.03</v>
      </c>
      <c r="L283" s="7">
        <f t="shared" si="9"/>
        <v>2E-3</v>
      </c>
      <c r="M283" s="7">
        <v>3.0000000000000001E-3</v>
      </c>
      <c r="N283">
        <v>7</v>
      </c>
      <c r="O283" s="8">
        <v>17.934556092922943</v>
      </c>
      <c r="P283" s="9">
        <v>17.934556092922943</v>
      </c>
      <c r="Q283" s="9">
        <v>17.934556092922943</v>
      </c>
      <c r="R283" s="9">
        <v>18.35577997371016</v>
      </c>
      <c r="S283" s="9">
        <v>18.404835306435746</v>
      </c>
      <c r="T283" s="9">
        <v>19.112621008962602</v>
      </c>
      <c r="U283" s="9">
        <v>20.35176903227914</v>
      </c>
      <c r="V283" s="9">
        <v>20.35176903227914</v>
      </c>
      <c r="W283" s="9">
        <v>20.35176903227914</v>
      </c>
      <c r="X283" s="9">
        <v>19.91589544268896</v>
      </c>
      <c r="Y283" s="9">
        <v>19.91589544268896</v>
      </c>
      <c r="Z283" s="9">
        <v>21.609947773831163</v>
      </c>
      <c r="AA283" s="9">
        <v>21.609947773831163</v>
      </c>
      <c r="AB283" s="9">
        <v>23.372671736151272</v>
      </c>
      <c r="AC283" s="9">
        <v>23.372671736151272</v>
      </c>
      <c r="AD283" s="9">
        <v>26.430826810726163</v>
      </c>
      <c r="AE283" s="9">
        <v>27.959768706413232</v>
      </c>
      <c r="AF283" s="9">
        <v>29.772701744670762</v>
      </c>
      <c r="AG283" s="9">
        <v>29.772701744670762</v>
      </c>
      <c r="AH283" s="9">
        <v>32.589351949315954</v>
      </c>
      <c r="AI283" s="9">
        <v>34.825222308406182</v>
      </c>
      <c r="AJ283" s="9">
        <v>3.0428788910505911</v>
      </c>
    </row>
    <row r="284" spans="1:36" x14ac:dyDescent="0.25">
      <c r="A284" t="s">
        <v>5411</v>
      </c>
      <c r="B284" t="s">
        <v>16</v>
      </c>
      <c r="C284" t="s">
        <v>17</v>
      </c>
      <c r="D284">
        <v>14230000</v>
      </c>
      <c r="E284">
        <v>14239999</v>
      </c>
      <c r="F284" t="s">
        <v>228</v>
      </c>
      <c r="G284" t="str">
        <f t="shared" si="8"/>
        <v>SPI II</v>
      </c>
      <c r="H284" t="s">
        <v>19</v>
      </c>
      <c r="I284" t="s">
        <v>20</v>
      </c>
      <c r="J284" t="s">
        <v>64</v>
      </c>
      <c r="K284" s="6">
        <v>0.03</v>
      </c>
      <c r="L284" s="7">
        <f t="shared" si="9"/>
        <v>2E-3</v>
      </c>
      <c r="M284" s="7">
        <v>3.0000000000000001E-3</v>
      </c>
      <c r="N284">
        <v>8</v>
      </c>
      <c r="O284" s="8">
        <v>17.934556092922943</v>
      </c>
      <c r="P284" s="9">
        <v>17.934556092922943</v>
      </c>
      <c r="Q284" s="9">
        <v>17.934556092922943</v>
      </c>
      <c r="R284" s="9">
        <v>18.35577997371016</v>
      </c>
      <c r="S284" s="9">
        <v>18.404835306435746</v>
      </c>
      <c r="T284" s="9">
        <v>19.112621008962602</v>
      </c>
      <c r="U284" s="9">
        <v>20.35176903227914</v>
      </c>
      <c r="V284" s="9">
        <v>20.35176903227914</v>
      </c>
      <c r="W284" s="9">
        <v>20.35176903227914</v>
      </c>
      <c r="X284" s="9">
        <v>19.91589544268896</v>
      </c>
      <c r="Y284" s="9">
        <v>19.91589544268896</v>
      </c>
      <c r="Z284" s="9">
        <v>21.609947773831163</v>
      </c>
      <c r="AA284" s="9">
        <v>21.609947773831163</v>
      </c>
      <c r="AB284" s="9">
        <v>23.372671736151272</v>
      </c>
      <c r="AC284" s="9">
        <v>23.372671736151272</v>
      </c>
      <c r="AD284" s="9">
        <v>26.430826810726163</v>
      </c>
      <c r="AE284" s="9">
        <v>27.959768706413232</v>
      </c>
      <c r="AF284" s="9">
        <v>29.772701744670762</v>
      </c>
      <c r="AG284" s="9">
        <v>29.772701744670762</v>
      </c>
      <c r="AH284" s="9">
        <v>32.589351949315954</v>
      </c>
      <c r="AI284" s="9">
        <v>34.825222308406182</v>
      </c>
      <c r="AJ284" s="9">
        <v>3.0428788910505911</v>
      </c>
    </row>
    <row r="285" spans="1:36" x14ac:dyDescent="0.25">
      <c r="A285" t="s">
        <v>5411</v>
      </c>
      <c r="B285" t="s">
        <v>16</v>
      </c>
      <c r="C285" t="s">
        <v>17</v>
      </c>
      <c r="D285">
        <v>14240000</v>
      </c>
      <c r="E285">
        <v>14249999</v>
      </c>
      <c r="F285" t="s">
        <v>229</v>
      </c>
      <c r="G285" t="str">
        <f t="shared" si="8"/>
        <v>SPI II</v>
      </c>
      <c r="H285" t="s">
        <v>19</v>
      </c>
      <c r="I285" t="s">
        <v>20</v>
      </c>
      <c r="J285" t="s">
        <v>64</v>
      </c>
      <c r="K285" s="6">
        <v>0.03</v>
      </c>
      <c r="L285" s="7">
        <f t="shared" si="9"/>
        <v>2E-3</v>
      </c>
      <c r="M285" s="7">
        <v>3.0000000000000001E-3</v>
      </c>
      <c r="N285">
        <v>7</v>
      </c>
      <c r="O285" s="8">
        <v>17.934556092922943</v>
      </c>
      <c r="P285" s="9">
        <v>17.934556092922943</v>
      </c>
      <c r="Q285" s="9">
        <v>17.934556092922943</v>
      </c>
      <c r="R285" s="9">
        <v>18.35577997371016</v>
      </c>
      <c r="S285" s="9">
        <v>18.404835306435746</v>
      </c>
      <c r="T285" s="9">
        <v>19.112621008962602</v>
      </c>
      <c r="U285" s="9">
        <v>20.35176903227914</v>
      </c>
      <c r="V285" s="9">
        <v>20.35176903227914</v>
      </c>
      <c r="W285" s="9">
        <v>20.35176903227914</v>
      </c>
      <c r="X285" s="9">
        <v>19.91589544268896</v>
      </c>
      <c r="Y285" s="9">
        <v>19.91589544268896</v>
      </c>
      <c r="Z285" s="9">
        <v>21.609947773831163</v>
      </c>
      <c r="AA285" s="9">
        <v>21.609947773831163</v>
      </c>
      <c r="AB285" s="9">
        <v>23.372671736151272</v>
      </c>
      <c r="AC285" s="9">
        <v>23.372671736151272</v>
      </c>
      <c r="AD285" s="9">
        <v>26.430826810726163</v>
      </c>
      <c r="AE285" s="9">
        <v>27.959768706413232</v>
      </c>
      <c r="AF285" s="9">
        <v>29.772701744670762</v>
      </c>
      <c r="AG285" s="9">
        <v>29.772701744670762</v>
      </c>
      <c r="AH285" s="9">
        <v>32.589351949315954</v>
      </c>
      <c r="AI285" s="9">
        <v>34.825222308406182</v>
      </c>
      <c r="AJ285" s="9">
        <v>3.0428788910505911</v>
      </c>
    </row>
    <row r="286" spans="1:36" x14ac:dyDescent="0.25">
      <c r="A286" t="s">
        <v>5411</v>
      </c>
      <c r="B286" t="s">
        <v>16</v>
      </c>
      <c r="C286" t="s">
        <v>17</v>
      </c>
      <c r="D286">
        <v>14250000</v>
      </c>
      <c r="E286">
        <v>14259999</v>
      </c>
      <c r="F286" t="s">
        <v>230</v>
      </c>
      <c r="G286" t="str">
        <f t="shared" si="8"/>
        <v>SPI II</v>
      </c>
      <c r="H286" t="s">
        <v>19</v>
      </c>
      <c r="I286" t="s">
        <v>20</v>
      </c>
      <c r="J286" t="s">
        <v>64</v>
      </c>
      <c r="K286" s="6">
        <v>0.03</v>
      </c>
      <c r="L286" s="7">
        <f t="shared" si="9"/>
        <v>2E-3</v>
      </c>
      <c r="M286" s="7">
        <v>3.0000000000000001E-3</v>
      </c>
      <c r="N286">
        <v>8</v>
      </c>
      <c r="O286" s="8">
        <v>17.934556092922943</v>
      </c>
      <c r="P286" s="9">
        <v>17.934556092922943</v>
      </c>
      <c r="Q286" s="9">
        <v>17.934556092922943</v>
      </c>
      <c r="R286" s="9">
        <v>18.35577997371016</v>
      </c>
      <c r="S286" s="9">
        <v>18.404835306435746</v>
      </c>
      <c r="T286" s="9">
        <v>19.112621008962602</v>
      </c>
      <c r="U286" s="9">
        <v>20.35176903227914</v>
      </c>
      <c r="V286" s="9">
        <v>20.35176903227914</v>
      </c>
      <c r="W286" s="9">
        <v>20.35176903227914</v>
      </c>
      <c r="X286" s="9">
        <v>19.91589544268896</v>
      </c>
      <c r="Y286" s="9">
        <v>19.91589544268896</v>
      </c>
      <c r="Z286" s="9">
        <v>21.609947773831163</v>
      </c>
      <c r="AA286" s="9">
        <v>21.609947773831163</v>
      </c>
      <c r="AB286" s="9">
        <v>23.372671736151272</v>
      </c>
      <c r="AC286" s="9">
        <v>23.372671736151272</v>
      </c>
      <c r="AD286" s="9">
        <v>26.430826810726163</v>
      </c>
      <c r="AE286" s="9">
        <v>27.959768706413232</v>
      </c>
      <c r="AF286" s="9">
        <v>29.772701744670762</v>
      </c>
      <c r="AG286" s="9">
        <v>29.772701744670762</v>
      </c>
      <c r="AH286" s="9">
        <v>32.589351949315954</v>
      </c>
      <c r="AI286" s="9">
        <v>34.825222308406182</v>
      </c>
      <c r="AJ286" s="9">
        <v>3.0428788910505911</v>
      </c>
    </row>
    <row r="287" spans="1:36" x14ac:dyDescent="0.25">
      <c r="A287" t="s">
        <v>5411</v>
      </c>
      <c r="B287" t="s">
        <v>16</v>
      </c>
      <c r="C287" t="s">
        <v>17</v>
      </c>
      <c r="D287">
        <v>14260000</v>
      </c>
      <c r="E287">
        <v>14269999</v>
      </c>
      <c r="F287" t="s">
        <v>231</v>
      </c>
      <c r="G287" t="str">
        <f t="shared" si="8"/>
        <v>SPI II</v>
      </c>
      <c r="H287" t="s">
        <v>19</v>
      </c>
      <c r="I287" t="s">
        <v>20</v>
      </c>
      <c r="J287" t="s">
        <v>64</v>
      </c>
      <c r="K287" s="6">
        <v>0.03</v>
      </c>
      <c r="L287" s="7">
        <f t="shared" si="9"/>
        <v>2E-3</v>
      </c>
      <c r="M287" s="7">
        <v>3.0000000000000001E-3</v>
      </c>
      <c r="N287">
        <v>9</v>
      </c>
      <c r="O287" s="8">
        <v>17.934556092922943</v>
      </c>
      <c r="P287" s="9">
        <v>17.934556092922943</v>
      </c>
      <c r="Q287" s="9">
        <v>17.934556092922943</v>
      </c>
      <c r="R287" s="9">
        <v>18.35577997371016</v>
      </c>
      <c r="S287" s="9">
        <v>18.404835306435746</v>
      </c>
      <c r="T287" s="9">
        <v>19.112621008962602</v>
      </c>
      <c r="U287" s="9">
        <v>20.35176903227914</v>
      </c>
      <c r="V287" s="9">
        <v>20.35176903227914</v>
      </c>
      <c r="W287" s="9">
        <v>20.35176903227914</v>
      </c>
      <c r="X287" s="9">
        <v>19.91589544268896</v>
      </c>
      <c r="Y287" s="9">
        <v>19.91589544268896</v>
      </c>
      <c r="Z287" s="9">
        <v>21.609947773831163</v>
      </c>
      <c r="AA287" s="9">
        <v>21.609947773831163</v>
      </c>
      <c r="AB287" s="9">
        <v>23.372671736151272</v>
      </c>
      <c r="AC287" s="9">
        <v>23.372671736151272</v>
      </c>
      <c r="AD287" s="9">
        <v>26.430826810726163</v>
      </c>
      <c r="AE287" s="9">
        <v>27.959768706413232</v>
      </c>
      <c r="AF287" s="9">
        <v>29.772701744670762</v>
      </c>
      <c r="AG287" s="9">
        <v>29.772701744670762</v>
      </c>
      <c r="AH287" s="9">
        <v>32.589351949315954</v>
      </c>
      <c r="AI287" s="9">
        <v>34.825222308406182</v>
      </c>
      <c r="AJ287" s="9">
        <v>3.0428788910505911</v>
      </c>
    </row>
    <row r="288" spans="1:36" x14ac:dyDescent="0.25">
      <c r="A288" t="s">
        <v>5411</v>
      </c>
      <c r="B288" t="s">
        <v>16</v>
      </c>
      <c r="C288" t="s">
        <v>17</v>
      </c>
      <c r="D288">
        <v>14270000</v>
      </c>
      <c r="E288">
        <v>14299999</v>
      </c>
      <c r="F288" t="s">
        <v>232</v>
      </c>
      <c r="G288" t="str">
        <f t="shared" si="8"/>
        <v>SPI II</v>
      </c>
      <c r="H288" t="s">
        <v>19</v>
      </c>
      <c r="I288" t="s">
        <v>20</v>
      </c>
      <c r="J288" t="s">
        <v>64</v>
      </c>
      <c r="K288" s="6">
        <v>0.03</v>
      </c>
      <c r="L288" s="7">
        <f t="shared" si="9"/>
        <v>2E-3</v>
      </c>
      <c r="M288" s="7">
        <v>3.0000000000000001E-3</v>
      </c>
      <c r="N288">
        <v>7</v>
      </c>
      <c r="O288" s="8">
        <v>17.934556092922943</v>
      </c>
      <c r="P288" s="9">
        <v>17.934556092922943</v>
      </c>
      <c r="Q288" s="9">
        <v>17.934556092922943</v>
      </c>
      <c r="R288" s="9">
        <v>18.35577997371016</v>
      </c>
      <c r="S288" s="9">
        <v>18.404835306435746</v>
      </c>
      <c r="T288" s="9">
        <v>19.112621008962602</v>
      </c>
      <c r="U288" s="9">
        <v>20.35176903227914</v>
      </c>
      <c r="V288" s="9">
        <v>20.35176903227914</v>
      </c>
      <c r="W288" s="9">
        <v>20.35176903227914</v>
      </c>
      <c r="X288" s="9">
        <v>19.91589544268896</v>
      </c>
      <c r="Y288" s="9">
        <v>19.91589544268896</v>
      </c>
      <c r="Z288" s="9">
        <v>21.609947773831163</v>
      </c>
      <c r="AA288" s="9">
        <v>21.609947773831163</v>
      </c>
      <c r="AB288" s="9">
        <v>23.372671736151272</v>
      </c>
      <c r="AC288" s="9">
        <v>23.372671736151272</v>
      </c>
      <c r="AD288" s="9">
        <v>26.430826810726163</v>
      </c>
      <c r="AE288" s="9">
        <v>27.959768706413232</v>
      </c>
      <c r="AF288" s="9">
        <v>29.772701744670762</v>
      </c>
      <c r="AG288" s="9">
        <v>29.772701744670762</v>
      </c>
      <c r="AH288" s="9">
        <v>32.589351949315954</v>
      </c>
      <c r="AI288" s="9">
        <v>34.825222308406182</v>
      </c>
      <c r="AJ288" s="9">
        <v>3.0428788910505911</v>
      </c>
    </row>
    <row r="289" spans="1:36" x14ac:dyDescent="0.25">
      <c r="A289" t="s">
        <v>5411</v>
      </c>
      <c r="B289" t="s">
        <v>16</v>
      </c>
      <c r="C289" t="s">
        <v>17</v>
      </c>
      <c r="D289">
        <v>14300000</v>
      </c>
      <c r="E289">
        <v>14339999</v>
      </c>
      <c r="F289" t="s">
        <v>233</v>
      </c>
      <c r="G289" t="str">
        <f t="shared" si="8"/>
        <v>SPI II</v>
      </c>
      <c r="H289" t="s">
        <v>19</v>
      </c>
      <c r="I289" t="s">
        <v>20</v>
      </c>
      <c r="J289" t="s">
        <v>64</v>
      </c>
      <c r="K289" s="6">
        <v>0.03</v>
      </c>
      <c r="L289" s="7">
        <f t="shared" si="9"/>
        <v>2E-3</v>
      </c>
      <c r="M289" s="7">
        <v>3.0000000000000001E-3</v>
      </c>
      <c r="N289">
        <v>7</v>
      </c>
      <c r="O289" s="8">
        <v>17.934556092922943</v>
      </c>
      <c r="P289" s="9">
        <v>17.934556092922943</v>
      </c>
      <c r="Q289" s="9">
        <v>17.934556092922943</v>
      </c>
      <c r="R289" s="9">
        <v>18.35577997371016</v>
      </c>
      <c r="S289" s="9">
        <v>18.404835306435746</v>
      </c>
      <c r="T289" s="9">
        <v>19.112621008962602</v>
      </c>
      <c r="U289" s="9">
        <v>20.35176903227914</v>
      </c>
      <c r="V289" s="9">
        <v>20.35176903227914</v>
      </c>
      <c r="W289" s="9">
        <v>20.35176903227914</v>
      </c>
      <c r="X289" s="9">
        <v>19.91589544268896</v>
      </c>
      <c r="Y289" s="9">
        <v>19.91589544268896</v>
      </c>
      <c r="Z289" s="9">
        <v>21.609947773831163</v>
      </c>
      <c r="AA289" s="9">
        <v>21.609947773831163</v>
      </c>
      <c r="AB289" s="9">
        <v>23.372671736151272</v>
      </c>
      <c r="AC289" s="9">
        <v>23.372671736151272</v>
      </c>
      <c r="AD289" s="9">
        <v>26.430826810726163</v>
      </c>
      <c r="AE289" s="9">
        <v>27.959768706413232</v>
      </c>
      <c r="AF289" s="9">
        <v>29.772701744670762</v>
      </c>
      <c r="AG289" s="9">
        <v>29.772701744670762</v>
      </c>
      <c r="AH289" s="9">
        <v>32.589351949315954</v>
      </c>
      <c r="AI289" s="9">
        <v>34.825222308406182</v>
      </c>
      <c r="AJ289" s="9">
        <v>3.0428788910505911</v>
      </c>
    </row>
    <row r="290" spans="1:36" x14ac:dyDescent="0.25">
      <c r="A290" t="s">
        <v>5411</v>
      </c>
      <c r="B290" t="s">
        <v>16</v>
      </c>
      <c r="C290" t="s">
        <v>17</v>
      </c>
      <c r="D290">
        <v>14340000</v>
      </c>
      <c r="E290">
        <v>14349999</v>
      </c>
      <c r="F290" t="s">
        <v>234</v>
      </c>
      <c r="G290" t="str">
        <f t="shared" si="8"/>
        <v>SPI II</v>
      </c>
      <c r="H290" t="s">
        <v>19</v>
      </c>
      <c r="I290" t="s">
        <v>20</v>
      </c>
      <c r="J290" t="s">
        <v>64</v>
      </c>
      <c r="K290" s="6">
        <v>0.03</v>
      </c>
      <c r="L290" s="7">
        <f t="shared" si="9"/>
        <v>2E-3</v>
      </c>
      <c r="M290" s="7">
        <v>3.0000000000000001E-3</v>
      </c>
      <c r="N290">
        <v>7</v>
      </c>
      <c r="O290" s="8">
        <v>17.934556092922943</v>
      </c>
      <c r="P290" s="9">
        <v>17.934556092922943</v>
      </c>
      <c r="Q290" s="9">
        <v>17.934556092922943</v>
      </c>
      <c r="R290" s="9">
        <v>18.35577997371016</v>
      </c>
      <c r="S290" s="9">
        <v>18.404835306435746</v>
      </c>
      <c r="T290" s="9">
        <v>19.112621008962602</v>
      </c>
      <c r="U290" s="9">
        <v>20.35176903227914</v>
      </c>
      <c r="V290" s="9">
        <v>20.35176903227914</v>
      </c>
      <c r="W290" s="9">
        <v>20.35176903227914</v>
      </c>
      <c r="X290" s="9">
        <v>19.91589544268896</v>
      </c>
      <c r="Y290" s="9">
        <v>19.91589544268896</v>
      </c>
      <c r="Z290" s="9">
        <v>21.609947773831163</v>
      </c>
      <c r="AA290" s="9">
        <v>21.609947773831163</v>
      </c>
      <c r="AB290" s="9">
        <v>23.372671736151272</v>
      </c>
      <c r="AC290" s="9">
        <v>23.372671736151272</v>
      </c>
      <c r="AD290" s="9">
        <v>26.430826810726163</v>
      </c>
      <c r="AE290" s="9">
        <v>27.959768706413232</v>
      </c>
      <c r="AF290" s="9">
        <v>29.772701744670762</v>
      </c>
      <c r="AG290" s="9">
        <v>29.772701744670762</v>
      </c>
      <c r="AH290" s="9">
        <v>32.589351949315954</v>
      </c>
      <c r="AI290" s="9">
        <v>34.825222308406182</v>
      </c>
      <c r="AJ290" s="9">
        <v>3.0428788910505911</v>
      </c>
    </row>
    <row r="291" spans="1:36" x14ac:dyDescent="0.25">
      <c r="A291" t="s">
        <v>5411</v>
      </c>
      <c r="B291" t="s">
        <v>16</v>
      </c>
      <c r="C291" t="s">
        <v>17</v>
      </c>
      <c r="D291">
        <v>14350000</v>
      </c>
      <c r="E291">
        <v>14389999</v>
      </c>
      <c r="F291" t="s">
        <v>235</v>
      </c>
      <c r="G291" t="str">
        <f t="shared" si="8"/>
        <v>SPI II</v>
      </c>
      <c r="H291" t="s">
        <v>19</v>
      </c>
      <c r="I291" t="s">
        <v>20</v>
      </c>
      <c r="J291" t="s">
        <v>64</v>
      </c>
      <c r="K291" s="6">
        <v>0.03</v>
      </c>
      <c r="L291" s="7">
        <f t="shared" si="9"/>
        <v>2E-3</v>
      </c>
      <c r="M291" s="7">
        <v>3.0000000000000001E-3</v>
      </c>
      <c r="N291">
        <v>7</v>
      </c>
      <c r="O291" s="8">
        <v>17.934556092922943</v>
      </c>
      <c r="P291" s="9">
        <v>17.934556092922943</v>
      </c>
      <c r="Q291" s="9">
        <v>17.934556092922943</v>
      </c>
      <c r="R291" s="9">
        <v>18.35577997371016</v>
      </c>
      <c r="S291" s="9">
        <v>18.404835306435746</v>
      </c>
      <c r="T291" s="9">
        <v>19.112621008962602</v>
      </c>
      <c r="U291" s="9">
        <v>20.35176903227914</v>
      </c>
      <c r="V291" s="9">
        <v>20.35176903227914</v>
      </c>
      <c r="W291" s="9">
        <v>20.35176903227914</v>
      </c>
      <c r="X291" s="9">
        <v>19.91589544268896</v>
      </c>
      <c r="Y291" s="9">
        <v>19.91589544268896</v>
      </c>
      <c r="Z291" s="9">
        <v>21.609947773831163</v>
      </c>
      <c r="AA291" s="9">
        <v>21.609947773831163</v>
      </c>
      <c r="AB291" s="9">
        <v>23.372671736151272</v>
      </c>
      <c r="AC291" s="9">
        <v>23.372671736151272</v>
      </c>
      <c r="AD291" s="9">
        <v>26.430826810726163</v>
      </c>
      <c r="AE291" s="9">
        <v>27.959768706413232</v>
      </c>
      <c r="AF291" s="9">
        <v>29.772701744670762</v>
      </c>
      <c r="AG291" s="9">
        <v>29.772701744670762</v>
      </c>
      <c r="AH291" s="9">
        <v>32.589351949315954</v>
      </c>
      <c r="AI291" s="9">
        <v>34.825222308406182</v>
      </c>
      <c r="AJ291" s="9">
        <v>3.0428788910505911</v>
      </c>
    </row>
    <row r="292" spans="1:36" x14ac:dyDescent="0.25">
      <c r="A292" t="s">
        <v>5411</v>
      </c>
      <c r="B292" t="s">
        <v>16</v>
      </c>
      <c r="C292" t="s">
        <v>17</v>
      </c>
      <c r="D292">
        <v>14390000</v>
      </c>
      <c r="E292">
        <v>14399999</v>
      </c>
      <c r="F292" t="s">
        <v>236</v>
      </c>
      <c r="G292" t="str">
        <f t="shared" si="8"/>
        <v>SPI II</v>
      </c>
      <c r="H292" t="s">
        <v>19</v>
      </c>
      <c r="I292" t="s">
        <v>20</v>
      </c>
      <c r="J292" t="s">
        <v>64</v>
      </c>
      <c r="K292" s="6">
        <v>0.03</v>
      </c>
      <c r="L292" s="7">
        <f t="shared" si="9"/>
        <v>2E-3</v>
      </c>
      <c r="M292" s="7">
        <v>3.0000000000000001E-3</v>
      </c>
      <c r="N292">
        <v>7</v>
      </c>
      <c r="O292" s="8">
        <v>17.934556092922943</v>
      </c>
      <c r="P292" s="9">
        <v>17.934556092922943</v>
      </c>
      <c r="Q292" s="9">
        <v>17.934556092922943</v>
      </c>
      <c r="R292" s="9">
        <v>18.35577997371016</v>
      </c>
      <c r="S292" s="9">
        <v>18.404835306435746</v>
      </c>
      <c r="T292" s="9">
        <v>19.112621008962602</v>
      </c>
      <c r="U292" s="9">
        <v>20.35176903227914</v>
      </c>
      <c r="V292" s="9">
        <v>20.35176903227914</v>
      </c>
      <c r="W292" s="9">
        <v>20.35176903227914</v>
      </c>
      <c r="X292" s="9">
        <v>19.91589544268896</v>
      </c>
      <c r="Y292" s="9">
        <v>19.91589544268896</v>
      </c>
      <c r="Z292" s="9">
        <v>21.609947773831163</v>
      </c>
      <c r="AA292" s="9">
        <v>21.609947773831163</v>
      </c>
      <c r="AB292" s="9">
        <v>23.372671736151272</v>
      </c>
      <c r="AC292" s="9">
        <v>23.372671736151272</v>
      </c>
      <c r="AD292" s="9">
        <v>26.430826810726163</v>
      </c>
      <c r="AE292" s="9">
        <v>27.959768706413232</v>
      </c>
      <c r="AF292" s="9">
        <v>29.772701744670762</v>
      </c>
      <c r="AG292" s="9">
        <v>29.772701744670762</v>
      </c>
      <c r="AH292" s="9">
        <v>32.589351949315954</v>
      </c>
      <c r="AI292" s="9">
        <v>34.825222308406182</v>
      </c>
      <c r="AJ292" s="9">
        <v>3.0428788910505911</v>
      </c>
    </row>
    <row r="293" spans="1:36" x14ac:dyDescent="0.25">
      <c r="A293" t="s">
        <v>5411</v>
      </c>
      <c r="B293" t="s">
        <v>16</v>
      </c>
      <c r="C293" t="s">
        <v>17</v>
      </c>
      <c r="D293">
        <v>14400000</v>
      </c>
      <c r="E293">
        <v>14414999</v>
      </c>
      <c r="F293" t="s">
        <v>237</v>
      </c>
      <c r="G293" t="str">
        <f t="shared" si="8"/>
        <v>SPI</v>
      </c>
      <c r="H293" t="s">
        <v>19</v>
      </c>
      <c r="I293" t="s">
        <v>20</v>
      </c>
      <c r="J293" t="s">
        <v>62</v>
      </c>
      <c r="K293" s="6">
        <v>0.03</v>
      </c>
      <c r="L293" s="7">
        <f t="shared" si="9"/>
        <v>2E-3</v>
      </c>
      <c r="M293" s="7">
        <v>3.0000000000000001E-3</v>
      </c>
      <c r="N293">
        <v>6</v>
      </c>
      <c r="O293" s="8">
        <v>14.260089507934383</v>
      </c>
      <c r="P293" s="9">
        <v>14.260089507934383</v>
      </c>
      <c r="Q293" s="9">
        <v>14.260089507934383</v>
      </c>
      <c r="R293" s="9">
        <v>14.434686024139818</v>
      </c>
      <c r="S293" s="9">
        <v>14.722027102535575</v>
      </c>
      <c r="T293" s="9">
        <v>15.677715915555218</v>
      </c>
      <c r="U293" s="9">
        <v>17.010379604817192</v>
      </c>
      <c r="V293" s="9">
        <v>17.010379604817192</v>
      </c>
      <c r="W293" s="9">
        <v>17.010379604817192</v>
      </c>
      <c r="X293" s="9">
        <v>16.884570568466835</v>
      </c>
      <c r="Y293" s="9">
        <v>16.884570568466835</v>
      </c>
      <c r="Z293" s="9">
        <v>18.617757359760585</v>
      </c>
      <c r="AA293" s="9">
        <v>18.617757359760585</v>
      </c>
      <c r="AB293" s="9">
        <v>20.52292271594289</v>
      </c>
      <c r="AC293" s="9">
        <v>20.52292271594289</v>
      </c>
      <c r="AD293" s="9">
        <v>22.530627040176761</v>
      </c>
      <c r="AE293" s="9">
        <v>24.654059850225856</v>
      </c>
      <c r="AF293" s="9">
        <v>28.622962393602329</v>
      </c>
      <c r="AG293" s="9">
        <v>28.622962393602329</v>
      </c>
      <c r="AH293" s="9">
        <v>31.011605245024167</v>
      </c>
      <c r="AI293" s="9">
        <v>33.330799286496742</v>
      </c>
      <c r="AJ293" s="9">
        <v>3.0428788910505911</v>
      </c>
    </row>
    <row r="294" spans="1:36" x14ac:dyDescent="0.25">
      <c r="A294" t="s">
        <v>5411</v>
      </c>
      <c r="B294" t="s">
        <v>16</v>
      </c>
      <c r="C294" t="s">
        <v>17</v>
      </c>
      <c r="D294">
        <v>14415000</v>
      </c>
      <c r="E294">
        <v>14419999</v>
      </c>
      <c r="F294" t="s">
        <v>238</v>
      </c>
      <c r="G294" t="str">
        <f t="shared" si="8"/>
        <v>SPI II</v>
      </c>
      <c r="H294" t="s">
        <v>19</v>
      </c>
      <c r="I294" t="s">
        <v>20</v>
      </c>
      <c r="J294" t="s">
        <v>64</v>
      </c>
      <c r="K294" s="6">
        <v>0.03</v>
      </c>
      <c r="L294" s="7">
        <f t="shared" si="9"/>
        <v>2E-3</v>
      </c>
      <c r="M294" s="7">
        <v>3.0000000000000001E-3</v>
      </c>
      <c r="N294">
        <v>7</v>
      </c>
      <c r="O294" s="8">
        <v>17.934556092922943</v>
      </c>
      <c r="P294" s="9">
        <v>17.934556092922943</v>
      </c>
      <c r="Q294" s="9">
        <v>17.934556092922943</v>
      </c>
      <c r="R294" s="9">
        <v>18.35577997371016</v>
      </c>
      <c r="S294" s="9">
        <v>18.404835306435746</v>
      </c>
      <c r="T294" s="9">
        <v>19.112621008962602</v>
      </c>
      <c r="U294" s="9">
        <v>20.35176903227914</v>
      </c>
      <c r="V294" s="9">
        <v>20.35176903227914</v>
      </c>
      <c r="W294" s="9">
        <v>20.35176903227914</v>
      </c>
      <c r="X294" s="9">
        <v>19.91589544268896</v>
      </c>
      <c r="Y294" s="9">
        <v>19.91589544268896</v>
      </c>
      <c r="Z294" s="9">
        <v>21.609947773831163</v>
      </c>
      <c r="AA294" s="9">
        <v>21.609947773831163</v>
      </c>
      <c r="AB294" s="9">
        <v>23.372671736151272</v>
      </c>
      <c r="AC294" s="9">
        <v>23.372671736151272</v>
      </c>
      <c r="AD294" s="9">
        <v>26.430826810726163</v>
      </c>
      <c r="AE294" s="9">
        <v>27.959768706413232</v>
      </c>
      <c r="AF294" s="9">
        <v>29.772701744670762</v>
      </c>
      <c r="AG294" s="9">
        <v>29.772701744670762</v>
      </c>
      <c r="AH294" s="9">
        <v>32.589351949315954</v>
      </c>
      <c r="AI294" s="9">
        <v>34.825222308406182</v>
      </c>
      <c r="AJ294" s="9">
        <v>3.0428788910505911</v>
      </c>
    </row>
    <row r="295" spans="1:36" x14ac:dyDescent="0.25">
      <c r="A295" t="s">
        <v>5411</v>
      </c>
      <c r="B295" t="s">
        <v>16</v>
      </c>
      <c r="C295" t="s">
        <v>17</v>
      </c>
      <c r="D295">
        <v>14420000</v>
      </c>
      <c r="E295">
        <v>14429999</v>
      </c>
      <c r="F295" t="s">
        <v>239</v>
      </c>
      <c r="G295" t="str">
        <f t="shared" si="8"/>
        <v>SPI II</v>
      </c>
      <c r="H295" t="s">
        <v>19</v>
      </c>
      <c r="I295" t="s">
        <v>20</v>
      </c>
      <c r="J295" t="s">
        <v>64</v>
      </c>
      <c r="K295" s="6">
        <v>0.03</v>
      </c>
      <c r="L295" s="7">
        <f t="shared" si="9"/>
        <v>2E-3</v>
      </c>
      <c r="M295" s="7">
        <v>3.0000000000000001E-3</v>
      </c>
      <c r="N295">
        <v>7</v>
      </c>
      <c r="O295" s="8">
        <v>17.934556092922943</v>
      </c>
      <c r="P295" s="9">
        <v>17.934556092922943</v>
      </c>
      <c r="Q295" s="9">
        <v>17.934556092922943</v>
      </c>
      <c r="R295" s="9">
        <v>18.35577997371016</v>
      </c>
      <c r="S295" s="9">
        <v>18.404835306435746</v>
      </c>
      <c r="T295" s="9">
        <v>19.112621008962602</v>
      </c>
      <c r="U295" s="9">
        <v>20.35176903227914</v>
      </c>
      <c r="V295" s="9">
        <v>20.35176903227914</v>
      </c>
      <c r="W295" s="9">
        <v>20.35176903227914</v>
      </c>
      <c r="X295" s="9">
        <v>19.91589544268896</v>
      </c>
      <c r="Y295" s="9">
        <v>19.91589544268896</v>
      </c>
      <c r="Z295" s="9">
        <v>21.609947773831163</v>
      </c>
      <c r="AA295" s="9">
        <v>21.609947773831163</v>
      </c>
      <c r="AB295" s="9">
        <v>23.372671736151272</v>
      </c>
      <c r="AC295" s="9">
        <v>23.372671736151272</v>
      </c>
      <c r="AD295" s="9">
        <v>26.430826810726163</v>
      </c>
      <c r="AE295" s="9">
        <v>27.959768706413232</v>
      </c>
      <c r="AF295" s="9">
        <v>29.772701744670762</v>
      </c>
      <c r="AG295" s="9">
        <v>29.772701744670762</v>
      </c>
      <c r="AH295" s="9">
        <v>32.589351949315954</v>
      </c>
      <c r="AI295" s="9">
        <v>34.825222308406182</v>
      </c>
      <c r="AJ295" s="9">
        <v>3.0428788910505911</v>
      </c>
    </row>
    <row r="296" spans="1:36" x14ac:dyDescent="0.25">
      <c r="A296" t="s">
        <v>5411</v>
      </c>
      <c r="B296" t="s">
        <v>16</v>
      </c>
      <c r="C296" t="s">
        <v>17</v>
      </c>
      <c r="D296">
        <v>14430000</v>
      </c>
      <c r="E296">
        <v>14439999</v>
      </c>
      <c r="F296" t="s">
        <v>240</v>
      </c>
      <c r="G296" t="str">
        <f t="shared" si="8"/>
        <v>SPI II</v>
      </c>
      <c r="H296" t="s">
        <v>19</v>
      </c>
      <c r="I296" t="s">
        <v>20</v>
      </c>
      <c r="J296" t="s">
        <v>64</v>
      </c>
      <c r="K296" s="6">
        <v>0.03</v>
      </c>
      <c r="L296" s="7">
        <f t="shared" si="9"/>
        <v>2E-3</v>
      </c>
      <c r="M296" s="7">
        <v>3.0000000000000001E-3</v>
      </c>
      <c r="N296">
        <v>7</v>
      </c>
      <c r="O296" s="8">
        <v>17.934556092922943</v>
      </c>
      <c r="P296" s="9">
        <v>17.934556092922943</v>
      </c>
      <c r="Q296" s="9">
        <v>17.934556092922943</v>
      </c>
      <c r="R296" s="9">
        <v>18.35577997371016</v>
      </c>
      <c r="S296" s="9">
        <v>18.404835306435746</v>
      </c>
      <c r="T296" s="9">
        <v>19.112621008962602</v>
      </c>
      <c r="U296" s="9">
        <v>20.35176903227914</v>
      </c>
      <c r="V296" s="9">
        <v>20.35176903227914</v>
      </c>
      <c r="W296" s="9">
        <v>20.35176903227914</v>
      </c>
      <c r="X296" s="9">
        <v>19.91589544268896</v>
      </c>
      <c r="Y296" s="9">
        <v>19.91589544268896</v>
      </c>
      <c r="Z296" s="9">
        <v>21.609947773831163</v>
      </c>
      <c r="AA296" s="9">
        <v>21.609947773831163</v>
      </c>
      <c r="AB296" s="9">
        <v>23.372671736151272</v>
      </c>
      <c r="AC296" s="9">
        <v>23.372671736151272</v>
      </c>
      <c r="AD296" s="9">
        <v>26.430826810726163</v>
      </c>
      <c r="AE296" s="9">
        <v>27.959768706413232</v>
      </c>
      <c r="AF296" s="9">
        <v>29.772701744670762</v>
      </c>
      <c r="AG296" s="9">
        <v>29.772701744670762</v>
      </c>
      <c r="AH296" s="9">
        <v>32.589351949315954</v>
      </c>
      <c r="AI296" s="9">
        <v>34.825222308406182</v>
      </c>
      <c r="AJ296" s="9">
        <v>3.0428788910505911</v>
      </c>
    </row>
    <row r="297" spans="1:36" x14ac:dyDescent="0.25">
      <c r="A297" t="s">
        <v>5411</v>
      </c>
      <c r="B297" t="s">
        <v>16</v>
      </c>
      <c r="C297" t="s">
        <v>17</v>
      </c>
      <c r="D297">
        <v>14440000</v>
      </c>
      <c r="E297">
        <v>14444999</v>
      </c>
      <c r="F297" t="s">
        <v>241</v>
      </c>
      <c r="G297" t="str">
        <f t="shared" si="8"/>
        <v>SPI II</v>
      </c>
      <c r="H297" t="s">
        <v>19</v>
      </c>
      <c r="I297" t="s">
        <v>20</v>
      </c>
      <c r="J297" t="s">
        <v>64</v>
      </c>
      <c r="K297" s="6">
        <v>0.03</v>
      </c>
      <c r="L297" s="7">
        <f t="shared" si="9"/>
        <v>2E-3</v>
      </c>
      <c r="M297" s="7">
        <v>3.0000000000000001E-3</v>
      </c>
      <c r="N297">
        <v>7</v>
      </c>
      <c r="O297" s="8">
        <v>17.934556092922943</v>
      </c>
      <c r="P297" s="9">
        <v>17.934556092922943</v>
      </c>
      <c r="Q297" s="9">
        <v>17.934556092922943</v>
      </c>
      <c r="R297" s="9">
        <v>18.35577997371016</v>
      </c>
      <c r="S297" s="9">
        <v>18.404835306435746</v>
      </c>
      <c r="T297" s="9">
        <v>19.112621008962602</v>
      </c>
      <c r="U297" s="9">
        <v>20.35176903227914</v>
      </c>
      <c r="V297" s="9">
        <v>20.35176903227914</v>
      </c>
      <c r="W297" s="9">
        <v>20.35176903227914</v>
      </c>
      <c r="X297" s="9">
        <v>19.91589544268896</v>
      </c>
      <c r="Y297" s="9">
        <v>19.91589544268896</v>
      </c>
      <c r="Z297" s="9">
        <v>21.609947773831163</v>
      </c>
      <c r="AA297" s="9">
        <v>21.609947773831163</v>
      </c>
      <c r="AB297" s="9">
        <v>23.372671736151272</v>
      </c>
      <c r="AC297" s="9">
        <v>23.372671736151272</v>
      </c>
      <c r="AD297" s="9">
        <v>26.430826810726163</v>
      </c>
      <c r="AE297" s="9">
        <v>27.959768706413232</v>
      </c>
      <c r="AF297" s="9">
        <v>29.772701744670762</v>
      </c>
      <c r="AG297" s="9">
        <v>29.772701744670762</v>
      </c>
      <c r="AH297" s="9">
        <v>32.589351949315954</v>
      </c>
      <c r="AI297" s="9">
        <v>34.825222308406182</v>
      </c>
      <c r="AJ297" s="9">
        <v>3.0428788910505911</v>
      </c>
    </row>
    <row r="298" spans="1:36" x14ac:dyDescent="0.25">
      <c r="A298" t="s">
        <v>5411</v>
      </c>
      <c r="B298" t="s">
        <v>16</v>
      </c>
      <c r="C298" t="s">
        <v>17</v>
      </c>
      <c r="D298">
        <v>14445000</v>
      </c>
      <c r="E298">
        <v>14449999</v>
      </c>
      <c r="F298" t="s">
        <v>242</v>
      </c>
      <c r="G298" t="str">
        <f t="shared" si="8"/>
        <v>SPI II</v>
      </c>
      <c r="H298" t="s">
        <v>19</v>
      </c>
      <c r="I298" t="s">
        <v>20</v>
      </c>
      <c r="J298" t="s">
        <v>64</v>
      </c>
      <c r="K298" s="6">
        <v>0.03</v>
      </c>
      <c r="L298" s="7">
        <f t="shared" si="9"/>
        <v>2E-3</v>
      </c>
      <c r="M298" s="7">
        <v>3.0000000000000001E-3</v>
      </c>
      <c r="N298">
        <v>6</v>
      </c>
      <c r="O298" s="8">
        <v>17.934556092922943</v>
      </c>
      <c r="P298" s="9">
        <v>17.934556092922943</v>
      </c>
      <c r="Q298" s="9">
        <v>17.934556092922943</v>
      </c>
      <c r="R298" s="9">
        <v>18.35577997371016</v>
      </c>
      <c r="S298" s="9">
        <v>18.404835306435746</v>
      </c>
      <c r="T298" s="9">
        <v>19.112621008962602</v>
      </c>
      <c r="U298" s="9">
        <v>20.35176903227914</v>
      </c>
      <c r="V298" s="9">
        <v>20.35176903227914</v>
      </c>
      <c r="W298" s="9">
        <v>20.35176903227914</v>
      </c>
      <c r="X298" s="9">
        <v>19.91589544268896</v>
      </c>
      <c r="Y298" s="9">
        <v>19.91589544268896</v>
      </c>
      <c r="Z298" s="9">
        <v>21.609947773831163</v>
      </c>
      <c r="AA298" s="9">
        <v>21.609947773831163</v>
      </c>
      <c r="AB298" s="9">
        <v>23.372671736151272</v>
      </c>
      <c r="AC298" s="9">
        <v>23.372671736151272</v>
      </c>
      <c r="AD298" s="9">
        <v>26.430826810726163</v>
      </c>
      <c r="AE298" s="9">
        <v>27.959768706413232</v>
      </c>
      <c r="AF298" s="9">
        <v>29.772701744670762</v>
      </c>
      <c r="AG298" s="9">
        <v>29.772701744670762</v>
      </c>
      <c r="AH298" s="9">
        <v>32.589351949315954</v>
      </c>
      <c r="AI298" s="9">
        <v>34.825222308406182</v>
      </c>
      <c r="AJ298" s="9">
        <v>3.0428788910505911</v>
      </c>
    </row>
    <row r="299" spans="1:36" x14ac:dyDescent="0.25">
      <c r="A299" t="s">
        <v>5411</v>
      </c>
      <c r="B299" t="s">
        <v>16</v>
      </c>
      <c r="C299" t="s">
        <v>17</v>
      </c>
      <c r="D299">
        <v>14450000</v>
      </c>
      <c r="E299">
        <v>14459999</v>
      </c>
      <c r="F299" t="s">
        <v>243</v>
      </c>
      <c r="G299" t="str">
        <f t="shared" si="8"/>
        <v>SPI II</v>
      </c>
      <c r="H299" t="s">
        <v>19</v>
      </c>
      <c r="I299" t="s">
        <v>20</v>
      </c>
      <c r="J299" t="s">
        <v>64</v>
      </c>
      <c r="K299" s="6">
        <v>0.03</v>
      </c>
      <c r="L299" s="7">
        <f t="shared" si="9"/>
        <v>2E-3</v>
      </c>
      <c r="M299" s="7">
        <v>3.0000000000000001E-3</v>
      </c>
      <c r="N299">
        <v>7</v>
      </c>
      <c r="O299" s="8">
        <v>17.934556092922943</v>
      </c>
      <c r="P299" s="9">
        <v>17.934556092922943</v>
      </c>
      <c r="Q299" s="9">
        <v>17.934556092922943</v>
      </c>
      <c r="R299" s="9">
        <v>18.35577997371016</v>
      </c>
      <c r="S299" s="9">
        <v>18.404835306435746</v>
      </c>
      <c r="T299" s="9">
        <v>19.112621008962602</v>
      </c>
      <c r="U299" s="9">
        <v>20.35176903227914</v>
      </c>
      <c r="V299" s="9">
        <v>20.35176903227914</v>
      </c>
      <c r="W299" s="9">
        <v>20.35176903227914</v>
      </c>
      <c r="X299" s="9">
        <v>19.91589544268896</v>
      </c>
      <c r="Y299" s="9">
        <v>19.91589544268896</v>
      </c>
      <c r="Z299" s="9">
        <v>21.609947773831163</v>
      </c>
      <c r="AA299" s="9">
        <v>21.609947773831163</v>
      </c>
      <c r="AB299" s="9">
        <v>23.372671736151272</v>
      </c>
      <c r="AC299" s="9">
        <v>23.372671736151272</v>
      </c>
      <c r="AD299" s="9">
        <v>26.430826810726163</v>
      </c>
      <c r="AE299" s="9">
        <v>27.959768706413232</v>
      </c>
      <c r="AF299" s="9">
        <v>29.772701744670762</v>
      </c>
      <c r="AG299" s="9">
        <v>29.772701744670762</v>
      </c>
      <c r="AH299" s="9">
        <v>32.589351949315954</v>
      </c>
      <c r="AI299" s="9">
        <v>34.825222308406182</v>
      </c>
      <c r="AJ299" s="9">
        <v>3.0428788910505911</v>
      </c>
    </row>
    <row r="300" spans="1:36" x14ac:dyDescent="0.25">
      <c r="A300" t="s">
        <v>5411</v>
      </c>
      <c r="B300" t="s">
        <v>16</v>
      </c>
      <c r="C300" t="s">
        <v>17</v>
      </c>
      <c r="D300">
        <v>14460000</v>
      </c>
      <c r="E300">
        <v>14469999</v>
      </c>
      <c r="F300" t="s">
        <v>244</v>
      </c>
      <c r="G300" t="str">
        <f t="shared" si="8"/>
        <v>SPR</v>
      </c>
      <c r="H300" t="s">
        <v>19</v>
      </c>
      <c r="I300" t="s">
        <v>20</v>
      </c>
      <c r="J300" t="s">
        <v>77</v>
      </c>
      <c r="K300" s="6">
        <v>0.03</v>
      </c>
      <c r="L300" s="7">
        <f t="shared" si="9"/>
        <v>2E-3</v>
      </c>
      <c r="M300" s="7">
        <v>3.0000000000000001E-3</v>
      </c>
      <c r="N300">
        <v>13</v>
      </c>
      <c r="O300" s="8">
        <v>26.611209830054129</v>
      </c>
      <c r="P300" s="9">
        <v>26.611209830054129</v>
      </c>
      <c r="Q300" s="9">
        <v>26.611209830054129</v>
      </c>
      <c r="R300" s="9">
        <v>27.647760246913514</v>
      </c>
      <c r="S300" s="9">
        <v>28.483539200322319</v>
      </c>
      <c r="T300" s="9">
        <v>29.244822799499698</v>
      </c>
      <c r="U300" s="9">
        <v>31.379671510701762</v>
      </c>
      <c r="V300" s="9">
        <v>31.379671510701762</v>
      </c>
      <c r="W300" s="9">
        <v>31.379671510701762</v>
      </c>
      <c r="X300" s="9">
        <v>34.250510560182867</v>
      </c>
      <c r="Y300" s="9">
        <v>34.250510560182867</v>
      </c>
      <c r="Z300" s="9">
        <v>37.271704438917176</v>
      </c>
      <c r="AA300" s="9">
        <v>37.271704438917176</v>
      </c>
      <c r="AB300" s="9">
        <v>40.458288629830058</v>
      </c>
      <c r="AC300" s="9">
        <v>40.458288629830058</v>
      </c>
      <c r="AD300" s="9">
        <v>43.826802164139323</v>
      </c>
      <c r="AE300" s="9">
        <v>47.523241367157013</v>
      </c>
      <c r="AF300" s="9">
        <v>51.713576824258396</v>
      </c>
      <c r="AG300" s="9">
        <v>51.713576824258396</v>
      </c>
      <c r="AH300" s="9">
        <v>56.658816723629734</v>
      </c>
      <c r="AI300" s="9">
        <v>61.577420347834391</v>
      </c>
      <c r="AJ300" s="9">
        <v>3.0428788910505911</v>
      </c>
    </row>
    <row r="301" spans="1:36" x14ac:dyDescent="0.25">
      <c r="A301" t="s">
        <v>5411</v>
      </c>
      <c r="B301" t="s">
        <v>16</v>
      </c>
      <c r="C301" t="s">
        <v>17</v>
      </c>
      <c r="D301">
        <v>14470000</v>
      </c>
      <c r="E301">
        <v>14489999</v>
      </c>
      <c r="F301" t="s">
        <v>245</v>
      </c>
      <c r="G301" t="str">
        <f t="shared" si="8"/>
        <v>SPI II</v>
      </c>
      <c r="H301" t="s">
        <v>19</v>
      </c>
      <c r="I301" t="s">
        <v>20</v>
      </c>
      <c r="J301" t="s">
        <v>64</v>
      </c>
      <c r="K301" s="6">
        <v>0.03</v>
      </c>
      <c r="L301" s="7">
        <f t="shared" si="9"/>
        <v>2E-3</v>
      </c>
      <c r="M301" s="7">
        <v>3.0000000000000001E-3</v>
      </c>
      <c r="N301">
        <v>6</v>
      </c>
      <c r="O301" s="8">
        <v>17.934556092922943</v>
      </c>
      <c r="P301" s="9">
        <v>17.934556092922943</v>
      </c>
      <c r="Q301" s="9">
        <v>17.934556092922943</v>
      </c>
      <c r="R301" s="9">
        <v>18.35577997371016</v>
      </c>
      <c r="S301" s="9">
        <v>18.404835306435746</v>
      </c>
      <c r="T301" s="9">
        <v>19.112621008962602</v>
      </c>
      <c r="U301" s="9">
        <v>20.35176903227914</v>
      </c>
      <c r="V301" s="9">
        <v>20.35176903227914</v>
      </c>
      <c r="W301" s="9">
        <v>20.35176903227914</v>
      </c>
      <c r="X301" s="9">
        <v>19.91589544268896</v>
      </c>
      <c r="Y301" s="9">
        <v>19.91589544268896</v>
      </c>
      <c r="Z301" s="9">
        <v>21.609947773831163</v>
      </c>
      <c r="AA301" s="9">
        <v>21.609947773831163</v>
      </c>
      <c r="AB301" s="9">
        <v>23.372671736151272</v>
      </c>
      <c r="AC301" s="9">
        <v>23.372671736151272</v>
      </c>
      <c r="AD301" s="9">
        <v>26.430826810726163</v>
      </c>
      <c r="AE301" s="9">
        <v>27.959768706413232</v>
      </c>
      <c r="AF301" s="9">
        <v>29.772701744670762</v>
      </c>
      <c r="AG301" s="9">
        <v>29.772701744670762</v>
      </c>
      <c r="AH301" s="9">
        <v>32.589351949315954</v>
      </c>
      <c r="AI301" s="9">
        <v>34.825222308406182</v>
      </c>
      <c r="AJ301" s="9">
        <v>3.0428788910505911</v>
      </c>
    </row>
    <row r="302" spans="1:36" x14ac:dyDescent="0.25">
      <c r="A302" t="s">
        <v>5411</v>
      </c>
      <c r="B302" t="s">
        <v>16</v>
      </c>
      <c r="C302" t="s">
        <v>17</v>
      </c>
      <c r="D302">
        <v>14490000</v>
      </c>
      <c r="E302">
        <v>14499999</v>
      </c>
      <c r="F302" t="s">
        <v>246</v>
      </c>
      <c r="G302" t="str">
        <f t="shared" si="8"/>
        <v>SPR</v>
      </c>
      <c r="H302" t="s">
        <v>19</v>
      </c>
      <c r="I302" t="s">
        <v>20</v>
      </c>
      <c r="J302" t="s">
        <v>77</v>
      </c>
      <c r="K302" s="6">
        <v>0.03</v>
      </c>
      <c r="L302" s="7">
        <f t="shared" si="9"/>
        <v>2E-3</v>
      </c>
      <c r="M302" s="7">
        <v>3.0000000000000001E-3</v>
      </c>
      <c r="N302">
        <v>13</v>
      </c>
      <c r="O302" s="8">
        <v>26.611209830054129</v>
      </c>
      <c r="P302" s="9">
        <v>26.611209830054129</v>
      </c>
      <c r="Q302" s="9">
        <v>26.611209830054129</v>
      </c>
      <c r="R302" s="9">
        <v>27.647760246913514</v>
      </c>
      <c r="S302" s="9">
        <v>28.483539200322319</v>
      </c>
      <c r="T302" s="9">
        <v>29.244822799499698</v>
      </c>
      <c r="U302" s="9">
        <v>31.379671510701762</v>
      </c>
      <c r="V302" s="9">
        <v>31.379671510701762</v>
      </c>
      <c r="W302" s="9">
        <v>31.379671510701762</v>
      </c>
      <c r="X302" s="9">
        <v>34.250510560182867</v>
      </c>
      <c r="Y302" s="9">
        <v>34.250510560182867</v>
      </c>
      <c r="Z302" s="9">
        <v>37.271704438917176</v>
      </c>
      <c r="AA302" s="9">
        <v>37.271704438917176</v>
      </c>
      <c r="AB302" s="9">
        <v>40.458288629830058</v>
      </c>
      <c r="AC302" s="9">
        <v>40.458288629830058</v>
      </c>
      <c r="AD302" s="9">
        <v>43.826802164139323</v>
      </c>
      <c r="AE302" s="9">
        <v>47.523241367157013</v>
      </c>
      <c r="AF302" s="9">
        <v>51.713576824258396</v>
      </c>
      <c r="AG302" s="9">
        <v>51.713576824258396</v>
      </c>
      <c r="AH302" s="9">
        <v>56.658816723629734</v>
      </c>
      <c r="AI302" s="9">
        <v>61.577420347834391</v>
      </c>
      <c r="AJ302" s="9">
        <v>3.0428788910505911</v>
      </c>
    </row>
    <row r="303" spans="1:36" x14ac:dyDescent="0.25">
      <c r="A303" t="s">
        <v>5411</v>
      </c>
      <c r="B303" t="s">
        <v>16</v>
      </c>
      <c r="C303" t="s">
        <v>17</v>
      </c>
      <c r="D303">
        <v>14500000</v>
      </c>
      <c r="E303">
        <v>14529999</v>
      </c>
      <c r="F303" t="s">
        <v>247</v>
      </c>
      <c r="G303" t="str">
        <f t="shared" si="8"/>
        <v>SPI II</v>
      </c>
      <c r="H303" t="s">
        <v>19</v>
      </c>
      <c r="I303" t="s">
        <v>20</v>
      </c>
      <c r="J303" t="s">
        <v>64</v>
      </c>
      <c r="K303" s="6">
        <v>0.03</v>
      </c>
      <c r="L303" s="7">
        <f t="shared" si="9"/>
        <v>2E-3</v>
      </c>
      <c r="M303" s="7">
        <v>3.0000000000000001E-3</v>
      </c>
      <c r="N303">
        <v>7</v>
      </c>
      <c r="O303" s="8">
        <v>17.934556092922943</v>
      </c>
      <c r="P303" s="9">
        <v>17.934556092922943</v>
      </c>
      <c r="Q303" s="9">
        <v>17.934556092922943</v>
      </c>
      <c r="R303" s="9">
        <v>18.35577997371016</v>
      </c>
      <c r="S303" s="9">
        <v>18.404835306435746</v>
      </c>
      <c r="T303" s="9">
        <v>19.112621008962602</v>
      </c>
      <c r="U303" s="9">
        <v>20.35176903227914</v>
      </c>
      <c r="V303" s="9">
        <v>20.35176903227914</v>
      </c>
      <c r="W303" s="9">
        <v>20.35176903227914</v>
      </c>
      <c r="X303" s="9">
        <v>19.91589544268896</v>
      </c>
      <c r="Y303" s="9">
        <v>19.91589544268896</v>
      </c>
      <c r="Z303" s="9">
        <v>21.609947773831163</v>
      </c>
      <c r="AA303" s="9">
        <v>21.609947773831163</v>
      </c>
      <c r="AB303" s="9">
        <v>23.372671736151272</v>
      </c>
      <c r="AC303" s="9">
        <v>23.372671736151272</v>
      </c>
      <c r="AD303" s="9">
        <v>26.430826810726163</v>
      </c>
      <c r="AE303" s="9">
        <v>27.959768706413232</v>
      </c>
      <c r="AF303" s="9">
        <v>29.772701744670762</v>
      </c>
      <c r="AG303" s="9">
        <v>29.772701744670762</v>
      </c>
      <c r="AH303" s="9">
        <v>32.589351949315954</v>
      </c>
      <c r="AI303" s="9">
        <v>34.825222308406182</v>
      </c>
      <c r="AJ303" s="9">
        <v>3.0428788910505911</v>
      </c>
    </row>
    <row r="304" spans="1:36" x14ac:dyDescent="0.25">
      <c r="A304" t="s">
        <v>5411</v>
      </c>
      <c r="B304" t="s">
        <v>16</v>
      </c>
      <c r="C304" t="s">
        <v>17</v>
      </c>
      <c r="D304">
        <v>14530000</v>
      </c>
      <c r="E304">
        <v>14539999</v>
      </c>
      <c r="F304" t="s">
        <v>248</v>
      </c>
      <c r="G304" t="str">
        <f t="shared" si="8"/>
        <v>SPI II</v>
      </c>
      <c r="H304" t="s">
        <v>19</v>
      </c>
      <c r="I304" t="s">
        <v>20</v>
      </c>
      <c r="J304" t="s">
        <v>64</v>
      </c>
      <c r="K304" s="6">
        <v>0.03</v>
      </c>
      <c r="L304" s="7">
        <f t="shared" si="9"/>
        <v>2E-3</v>
      </c>
      <c r="M304" s="7">
        <v>3.0000000000000001E-3</v>
      </c>
      <c r="N304">
        <v>7</v>
      </c>
      <c r="O304" s="8">
        <v>17.934556092922943</v>
      </c>
      <c r="P304" s="9">
        <v>17.934556092922943</v>
      </c>
      <c r="Q304" s="9">
        <v>17.934556092922943</v>
      </c>
      <c r="R304" s="9">
        <v>18.35577997371016</v>
      </c>
      <c r="S304" s="9">
        <v>18.404835306435746</v>
      </c>
      <c r="T304" s="9">
        <v>19.112621008962602</v>
      </c>
      <c r="U304" s="9">
        <v>20.35176903227914</v>
      </c>
      <c r="V304" s="9">
        <v>20.35176903227914</v>
      </c>
      <c r="W304" s="9">
        <v>20.35176903227914</v>
      </c>
      <c r="X304" s="9">
        <v>19.91589544268896</v>
      </c>
      <c r="Y304" s="9">
        <v>19.91589544268896</v>
      </c>
      <c r="Z304" s="9">
        <v>21.609947773831163</v>
      </c>
      <c r="AA304" s="9">
        <v>21.609947773831163</v>
      </c>
      <c r="AB304" s="9">
        <v>23.372671736151272</v>
      </c>
      <c r="AC304" s="9">
        <v>23.372671736151272</v>
      </c>
      <c r="AD304" s="9">
        <v>26.430826810726163</v>
      </c>
      <c r="AE304" s="9">
        <v>27.959768706413232</v>
      </c>
      <c r="AF304" s="9">
        <v>29.772701744670762</v>
      </c>
      <c r="AG304" s="9">
        <v>29.772701744670762</v>
      </c>
      <c r="AH304" s="9">
        <v>32.589351949315954</v>
      </c>
      <c r="AI304" s="9">
        <v>34.825222308406182</v>
      </c>
      <c r="AJ304" s="9">
        <v>3.0428788910505911</v>
      </c>
    </row>
    <row r="305" spans="1:36" x14ac:dyDescent="0.25">
      <c r="A305" t="s">
        <v>5411</v>
      </c>
      <c r="B305" t="s">
        <v>16</v>
      </c>
      <c r="C305" t="s">
        <v>17</v>
      </c>
      <c r="D305">
        <v>14540000</v>
      </c>
      <c r="E305">
        <v>14549999</v>
      </c>
      <c r="F305" t="s">
        <v>249</v>
      </c>
      <c r="G305" t="str">
        <f t="shared" si="8"/>
        <v>SPI II</v>
      </c>
      <c r="H305" t="s">
        <v>19</v>
      </c>
      <c r="I305" t="s">
        <v>20</v>
      </c>
      <c r="J305" t="s">
        <v>64</v>
      </c>
      <c r="K305" s="6">
        <v>0.03</v>
      </c>
      <c r="L305" s="7">
        <f t="shared" si="9"/>
        <v>2E-3</v>
      </c>
      <c r="M305" s="7">
        <v>3.0000000000000001E-3</v>
      </c>
      <c r="N305">
        <v>7</v>
      </c>
      <c r="O305" s="8">
        <v>17.934556092922943</v>
      </c>
      <c r="P305" s="9">
        <v>17.934556092922943</v>
      </c>
      <c r="Q305" s="9">
        <v>17.934556092922943</v>
      </c>
      <c r="R305" s="9">
        <v>18.35577997371016</v>
      </c>
      <c r="S305" s="9">
        <v>18.404835306435746</v>
      </c>
      <c r="T305" s="9">
        <v>19.112621008962602</v>
      </c>
      <c r="U305" s="9">
        <v>20.35176903227914</v>
      </c>
      <c r="V305" s="9">
        <v>20.35176903227914</v>
      </c>
      <c r="W305" s="9">
        <v>20.35176903227914</v>
      </c>
      <c r="X305" s="9">
        <v>19.91589544268896</v>
      </c>
      <c r="Y305" s="9">
        <v>19.91589544268896</v>
      </c>
      <c r="Z305" s="9">
        <v>21.609947773831163</v>
      </c>
      <c r="AA305" s="9">
        <v>21.609947773831163</v>
      </c>
      <c r="AB305" s="9">
        <v>23.372671736151272</v>
      </c>
      <c r="AC305" s="9">
        <v>23.372671736151272</v>
      </c>
      <c r="AD305" s="9">
        <v>26.430826810726163</v>
      </c>
      <c r="AE305" s="9">
        <v>27.959768706413232</v>
      </c>
      <c r="AF305" s="9">
        <v>29.772701744670762</v>
      </c>
      <c r="AG305" s="9">
        <v>29.772701744670762</v>
      </c>
      <c r="AH305" s="9">
        <v>32.589351949315954</v>
      </c>
      <c r="AI305" s="9">
        <v>34.825222308406182</v>
      </c>
      <c r="AJ305" s="9">
        <v>3.0428788910505911</v>
      </c>
    </row>
    <row r="306" spans="1:36" x14ac:dyDescent="0.25">
      <c r="A306" t="s">
        <v>5411</v>
      </c>
      <c r="B306" t="s">
        <v>16</v>
      </c>
      <c r="C306" t="s">
        <v>17</v>
      </c>
      <c r="D306">
        <v>14550000</v>
      </c>
      <c r="E306">
        <v>14569999</v>
      </c>
      <c r="F306" t="s">
        <v>250</v>
      </c>
      <c r="G306" t="str">
        <f t="shared" si="8"/>
        <v>SPI II</v>
      </c>
      <c r="H306" t="s">
        <v>19</v>
      </c>
      <c r="I306" t="s">
        <v>20</v>
      </c>
      <c r="J306" t="s">
        <v>64</v>
      </c>
      <c r="K306" s="6">
        <v>0.03</v>
      </c>
      <c r="L306" s="7">
        <f t="shared" si="9"/>
        <v>2E-3</v>
      </c>
      <c r="M306" s="7">
        <v>3.0000000000000001E-3</v>
      </c>
      <c r="N306">
        <v>7</v>
      </c>
      <c r="O306" s="8">
        <v>17.934556092922943</v>
      </c>
      <c r="P306" s="9">
        <v>17.934556092922943</v>
      </c>
      <c r="Q306" s="9">
        <v>17.934556092922943</v>
      </c>
      <c r="R306" s="9">
        <v>18.35577997371016</v>
      </c>
      <c r="S306" s="9">
        <v>18.404835306435746</v>
      </c>
      <c r="T306" s="9">
        <v>19.112621008962602</v>
      </c>
      <c r="U306" s="9">
        <v>20.35176903227914</v>
      </c>
      <c r="V306" s="9">
        <v>20.35176903227914</v>
      </c>
      <c r="W306" s="9">
        <v>20.35176903227914</v>
      </c>
      <c r="X306" s="9">
        <v>19.91589544268896</v>
      </c>
      <c r="Y306" s="9">
        <v>19.91589544268896</v>
      </c>
      <c r="Z306" s="9">
        <v>21.609947773831163</v>
      </c>
      <c r="AA306" s="9">
        <v>21.609947773831163</v>
      </c>
      <c r="AB306" s="9">
        <v>23.372671736151272</v>
      </c>
      <c r="AC306" s="9">
        <v>23.372671736151272</v>
      </c>
      <c r="AD306" s="9">
        <v>26.430826810726163</v>
      </c>
      <c r="AE306" s="9">
        <v>27.959768706413232</v>
      </c>
      <c r="AF306" s="9">
        <v>29.772701744670762</v>
      </c>
      <c r="AG306" s="9">
        <v>29.772701744670762</v>
      </c>
      <c r="AH306" s="9">
        <v>32.589351949315954</v>
      </c>
      <c r="AI306" s="9">
        <v>34.825222308406182</v>
      </c>
      <c r="AJ306" s="9">
        <v>3.0428788910505911</v>
      </c>
    </row>
    <row r="307" spans="1:36" x14ac:dyDescent="0.25">
      <c r="A307" t="s">
        <v>5411</v>
      </c>
      <c r="B307" t="s">
        <v>16</v>
      </c>
      <c r="C307" t="s">
        <v>17</v>
      </c>
      <c r="D307">
        <v>14570000</v>
      </c>
      <c r="E307">
        <v>14579999</v>
      </c>
      <c r="F307" t="s">
        <v>251</v>
      </c>
      <c r="G307" t="str">
        <f t="shared" si="8"/>
        <v>SPI II</v>
      </c>
      <c r="H307" t="s">
        <v>19</v>
      </c>
      <c r="I307" t="s">
        <v>20</v>
      </c>
      <c r="J307" t="s">
        <v>64</v>
      </c>
      <c r="K307" s="6">
        <v>0.03</v>
      </c>
      <c r="L307" s="7">
        <f t="shared" si="9"/>
        <v>2E-3</v>
      </c>
      <c r="M307" s="7">
        <v>3.0000000000000001E-3</v>
      </c>
      <c r="N307">
        <v>7</v>
      </c>
      <c r="O307" s="8">
        <v>17.934556092922943</v>
      </c>
      <c r="P307" s="9">
        <v>17.934556092922943</v>
      </c>
      <c r="Q307" s="9">
        <v>17.934556092922943</v>
      </c>
      <c r="R307" s="9">
        <v>18.35577997371016</v>
      </c>
      <c r="S307" s="9">
        <v>18.404835306435746</v>
      </c>
      <c r="T307" s="9">
        <v>19.112621008962602</v>
      </c>
      <c r="U307" s="9">
        <v>20.35176903227914</v>
      </c>
      <c r="V307" s="9">
        <v>20.35176903227914</v>
      </c>
      <c r="W307" s="9">
        <v>20.35176903227914</v>
      </c>
      <c r="X307" s="9">
        <v>19.91589544268896</v>
      </c>
      <c r="Y307" s="9">
        <v>19.91589544268896</v>
      </c>
      <c r="Z307" s="9">
        <v>21.609947773831163</v>
      </c>
      <c r="AA307" s="9">
        <v>21.609947773831163</v>
      </c>
      <c r="AB307" s="9">
        <v>23.372671736151272</v>
      </c>
      <c r="AC307" s="9">
        <v>23.372671736151272</v>
      </c>
      <c r="AD307" s="9">
        <v>26.430826810726163</v>
      </c>
      <c r="AE307" s="9">
        <v>27.959768706413232</v>
      </c>
      <c r="AF307" s="9">
        <v>29.772701744670762</v>
      </c>
      <c r="AG307" s="9">
        <v>29.772701744670762</v>
      </c>
      <c r="AH307" s="9">
        <v>32.589351949315954</v>
      </c>
      <c r="AI307" s="9">
        <v>34.825222308406182</v>
      </c>
      <c r="AJ307" s="9">
        <v>3.0428788910505911</v>
      </c>
    </row>
    <row r="308" spans="1:36" x14ac:dyDescent="0.25">
      <c r="A308" t="s">
        <v>5411</v>
      </c>
      <c r="B308" t="s">
        <v>16</v>
      </c>
      <c r="C308" t="s">
        <v>17</v>
      </c>
      <c r="D308">
        <v>14580000</v>
      </c>
      <c r="E308">
        <v>14599999</v>
      </c>
      <c r="F308" t="s">
        <v>252</v>
      </c>
      <c r="G308" t="str">
        <f t="shared" si="8"/>
        <v>SPI II</v>
      </c>
      <c r="H308" t="s">
        <v>19</v>
      </c>
      <c r="I308" t="s">
        <v>20</v>
      </c>
      <c r="J308" t="s">
        <v>64</v>
      </c>
      <c r="K308" s="6">
        <v>0.03</v>
      </c>
      <c r="L308" s="7">
        <f t="shared" si="9"/>
        <v>2E-3</v>
      </c>
      <c r="M308" s="7">
        <v>3.0000000000000001E-3</v>
      </c>
      <c r="N308">
        <v>7</v>
      </c>
      <c r="O308" s="8">
        <v>17.934556092922943</v>
      </c>
      <c r="P308" s="9">
        <v>17.934556092922943</v>
      </c>
      <c r="Q308" s="9">
        <v>17.934556092922943</v>
      </c>
      <c r="R308" s="9">
        <v>18.35577997371016</v>
      </c>
      <c r="S308" s="9">
        <v>18.404835306435746</v>
      </c>
      <c r="T308" s="9">
        <v>19.112621008962602</v>
      </c>
      <c r="U308" s="9">
        <v>20.35176903227914</v>
      </c>
      <c r="V308" s="9">
        <v>20.35176903227914</v>
      </c>
      <c r="W308" s="9">
        <v>20.35176903227914</v>
      </c>
      <c r="X308" s="9">
        <v>19.91589544268896</v>
      </c>
      <c r="Y308" s="9">
        <v>19.91589544268896</v>
      </c>
      <c r="Z308" s="9">
        <v>21.609947773831163</v>
      </c>
      <c r="AA308" s="9">
        <v>21.609947773831163</v>
      </c>
      <c r="AB308" s="9">
        <v>23.372671736151272</v>
      </c>
      <c r="AC308" s="9">
        <v>23.372671736151272</v>
      </c>
      <c r="AD308" s="9">
        <v>26.430826810726163</v>
      </c>
      <c r="AE308" s="9">
        <v>27.959768706413232</v>
      </c>
      <c r="AF308" s="9">
        <v>29.772701744670762</v>
      </c>
      <c r="AG308" s="9">
        <v>29.772701744670762</v>
      </c>
      <c r="AH308" s="9">
        <v>32.589351949315954</v>
      </c>
      <c r="AI308" s="9">
        <v>34.825222308406182</v>
      </c>
      <c r="AJ308" s="9">
        <v>3.0428788910505911</v>
      </c>
    </row>
    <row r="309" spans="1:36" x14ac:dyDescent="0.25">
      <c r="A309" t="s">
        <v>5411</v>
      </c>
      <c r="B309" t="s">
        <v>16</v>
      </c>
      <c r="C309" t="s">
        <v>17</v>
      </c>
      <c r="D309">
        <v>14600000</v>
      </c>
      <c r="E309">
        <v>14609999</v>
      </c>
      <c r="F309" t="s">
        <v>253</v>
      </c>
      <c r="G309" t="str">
        <f t="shared" si="8"/>
        <v>SPI II</v>
      </c>
      <c r="H309" t="s">
        <v>19</v>
      </c>
      <c r="I309" t="s">
        <v>20</v>
      </c>
      <c r="J309" t="s">
        <v>64</v>
      </c>
      <c r="K309" s="6">
        <v>0.03</v>
      </c>
      <c r="L309" s="7">
        <f t="shared" si="9"/>
        <v>2E-3</v>
      </c>
      <c r="M309" s="7">
        <v>3.0000000000000001E-3</v>
      </c>
      <c r="N309">
        <v>7</v>
      </c>
      <c r="O309" s="8">
        <v>17.934556092922943</v>
      </c>
      <c r="P309" s="9">
        <v>17.934556092922943</v>
      </c>
      <c r="Q309" s="9">
        <v>17.934556092922943</v>
      </c>
      <c r="R309" s="9">
        <v>18.35577997371016</v>
      </c>
      <c r="S309" s="9">
        <v>18.404835306435746</v>
      </c>
      <c r="T309" s="9">
        <v>19.112621008962602</v>
      </c>
      <c r="U309" s="9">
        <v>20.35176903227914</v>
      </c>
      <c r="V309" s="9">
        <v>20.35176903227914</v>
      </c>
      <c r="W309" s="9">
        <v>20.35176903227914</v>
      </c>
      <c r="X309" s="9">
        <v>19.91589544268896</v>
      </c>
      <c r="Y309" s="9">
        <v>19.91589544268896</v>
      </c>
      <c r="Z309" s="9">
        <v>21.609947773831163</v>
      </c>
      <c r="AA309" s="9">
        <v>21.609947773831163</v>
      </c>
      <c r="AB309" s="9">
        <v>23.372671736151272</v>
      </c>
      <c r="AC309" s="9">
        <v>23.372671736151272</v>
      </c>
      <c r="AD309" s="9">
        <v>26.430826810726163</v>
      </c>
      <c r="AE309" s="9">
        <v>27.959768706413232</v>
      </c>
      <c r="AF309" s="9">
        <v>29.772701744670762</v>
      </c>
      <c r="AG309" s="9">
        <v>29.772701744670762</v>
      </c>
      <c r="AH309" s="9">
        <v>32.589351949315954</v>
      </c>
      <c r="AI309" s="9">
        <v>34.825222308406182</v>
      </c>
      <c r="AJ309" s="9">
        <v>3.0428788910505911</v>
      </c>
    </row>
    <row r="310" spans="1:36" x14ac:dyDescent="0.25">
      <c r="A310" t="s">
        <v>5411</v>
      </c>
      <c r="B310" t="s">
        <v>16</v>
      </c>
      <c r="C310" t="s">
        <v>17</v>
      </c>
      <c r="D310">
        <v>14610000</v>
      </c>
      <c r="E310">
        <v>14619999</v>
      </c>
      <c r="F310" t="s">
        <v>254</v>
      </c>
      <c r="G310" t="str">
        <f t="shared" si="8"/>
        <v>SPI II</v>
      </c>
      <c r="H310" t="s">
        <v>19</v>
      </c>
      <c r="I310" t="s">
        <v>20</v>
      </c>
      <c r="J310" t="s">
        <v>64</v>
      </c>
      <c r="K310" s="6">
        <v>0.03</v>
      </c>
      <c r="L310" s="7">
        <f t="shared" si="9"/>
        <v>2E-3</v>
      </c>
      <c r="M310" s="7">
        <v>3.0000000000000001E-3</v>
      </c>
      <c r="N310">
        <v>7</v>
      </c>
      <c r="O310" s="8">
        <v>17.934556092922943</v>
      </c>
      <c r="P310" s="9">
        <v>17.934556092922943</v>
      </c>
      <c r="Q310" s="9">
        <v>17.934556092922943</v>
      </c>
      <c r="R310" s="9">
        <v>18.35577997371016</v>
      </c>
      <c r="S310" s="9">
        <v>18.404835306435746</v>
      </c>
      <c r="T310" s="9">
        <v>19.112621008962602</v>
      </c>
      <c r="U310" s="9">
        <v>20.35176903227914</v>
      </c>
      <c r="V310" s="9">
        <v>20.35176903227914</v>
      </c>
      <c r="W310" s="9">
        <v>20.35176903227914</v>
      </c>
      <c r="X310" s="9">
        <v>19.91589544268896</v>
      </c>
      <c r="Y310" s="9">
        <v>19.91589544268896</v>
      </c>
      <c r="Z310" s="9">
        <v>21.609947773831163</v>
      </c>
      <c r="AA310" s="9">
        <v>21.609947773831163</v>
      </c>
      <c r="AB310" s="9">
        <v>23.372671736151272</v>
      </c>
      <c r="AC310" s="9">
        <v>23.372671736151272</v>
      </c>
      <c r="AD310" s="9">
        <v>26.430826810726163</v>
      </c>
      <c r="AE310" s="9">
        <v>27.959768706413232</v>
      </c>
      <c r="AF310" s="9">
        <v>29.772701744670762</v>
      </c>
      <c r="AG310" s="9">
        <v>29.772701744670762</v>
      </c>
      <c r="AH310" s="9">
        <v>32.589351949315954</v>
      </c>
      <c r="AI310" s="9">
        <v>34.825222308406182</v>
      </c>
      <c r="AJ310" s="9">
        <v>3.0428788910505911</v>
      </c>
    </row>
    <row r="311" spans="1:36" x14ac:dyDescent="0.25">
      <c r="A311" t="s">
        <v>5411</v>
      </c>
      <c r="B311" t="s">
        <v>16</v>
      </c>
      <c r="C311" t="s">
        <v>17</v>
      </c>
      <c r="D311">
        <v>14620000</v>
      </c>
      <c r="E311">
        <v>14639999</v>
      </c>
      <c r="F311" t="s">
        <v>255</v>
      </c>
      <c r="G311" t="str">
        <f t="shared" si="8"/>
        <v>SPI II</v>
      </c>
      <c r="H311" t="s">
        <v>19</v>
      </c>
      <c r="I311" t="s">
        <v>20</v>
      </c>
      <c r="J311" t="s">
        <v>64</v>
      </c>
      <c r="K311" s="6">
        <v>0.03</v>
      </c>
      <c r="L311" s="7">
        <f t="shared" si="9"/>
        <v>2E-3</v>
      </c>
      <c r="M311" s="7">
        <v>3.0000000000000001E-3</v>
      </c>
      <c r="N311">
        <v>7</v>
      </c>
      <c r="O311" s="8">
        <v>17.934556092922943</v>
      </c>
      <c r="P311" s="9">
        <v>17.934556092922943</v>
      </c>
      <c r="Q311" s="9">
        <v>17.934556092922943</v>
      </c>
      <c r="R311" s="9">
        <v>18.35577997371016</v>
      </c>
      <c r="S311" s="9">
        <v>18.404835306435746</v>
      </c>
      <c r="T311" s="9">
        <v>19.112621008962602</v>
      </c>
      <c r="U311" s="9">
        <v>20.35176903227914</v>
      </c>
      <c r="V311" s="9">
        <v>20.35176903227914</v>
      </c>
      <c r="W311" s="9">
        <v>20.35176903227914</v>
      </c>
      <c r="X311" s="9">
        <v>19.91589544268896</v>
      </c>
      <c r="Y311" s="9">
        <v>19.91589544268896</v>
      </c>
      <c r="Z311" s="9">
        <v>21.609947773831163</v>
      </c>
      <c r="AA311" s="9">
        <v>21.609947773831163</v>
      </c>
      <c r="AB311" s="9">
        <v>23.372671736151272</v>
      </c>
      <c r="AC311" s="9">
        <v>23.372671736151272</v>
      </c>
      <c r="AD311" s="9">
        <v>26.430826810726163</v>
      </c>
      <c r="AE311" s="9">
        <v>27.959768706413232</v>
      </c>
      <c r="AF311" s="9">
        <v>29.772701744670762</v>
      </c>
      <c r="AG311" s="9">
        <v>29.772701744670762</v>
      </c>
      <c r="AH311" s="9">
        <v>32.589351949315954</v>
      </c>
      <c r="AI311" s="9">
        <v>34.825222308406182</v>
      </c>
      <c r="AJ311" s="9">
        <v>3.0428788910505911</v>
      </c>
    </row>
    <row r="312" spans="1:36" x14ac:dyDescent="0.25">
      <c r="A312" t="s">
        <v>5411</v>
      </c>
      <c r="B312" t="s">
        <v>16</v>
      </c>
      <c r="C312" t="s">
        <v>17</v>
      </c>
      <c r="D312">
        <v>14640000</v>
      </c>
      <c r="E312">
        <v>14659999</v>
      </c>
      <c r="F312" t="s">
        <v>256</v>
      </c>
      <c r="G312" t="str">
        <f t="shared" si="8"/>
        <v>SPI II</v>
      </c>
      <c r="H312" t="s">
        <v>19</v>
      </c>
      <c r="I312" t="s">
        <v>20</v>
      </c>
      <c r="J312" t="s">
        <v>64</v>
      </c>
      <c r="K312" s="6">
        <v>0.03</v>
      </c>
      <c r="L312" s="7">
        <f t="shared" si="9"/>
        <v>2E-3</v>
      </c>
      <c r="M312" s="7">
        <v>3.0000000000000001E-3</v>
      </c>
      <c r="N312">
        <v>7</v>
      </c>
      <c r="O312" s="8">
        <v>17.934556092922943</v>
      </c>
      <c r="P312" s="9">
        <v>17.934556092922943</v>
      </c>
      <c r="Q312" s="9">
        <v>17.934556092922943</v>
      </c>
      <c r="R312" s="9">
        <v>18.35577997371016</v>
      </c>
      <c r="S312" s="9">
        <v>18.404835306435746</v>
      </c>
      <c r="T312" s="9">
        <v>19.112621008962602</v>
      </c>
      <c r="U312" s="9">
        <v>20.35176903227914</v>
      </c>
      <c r="V312" s="9">
        <v>20.35176903227914</v>
      </c>
      <c r="W312" s="9">
        <v>20.35176903227914</v>
      </c>
      <c r="X312" s="9">
        <v>19.91589544268896</v>
      </c>
      <c r="Y312" s="9">
        <v>19.91589544268896</v>
      </c>
      <c r="Z312" s="9">
        <v>21.609947773831163</v>
      </c>
      <c r="AA312" s="9">
        <v>21.609947773831163</v>
      </c>
      <c r="AB312" s="9">
        <v>23.372671736151272</v>
      </c>
      <c r="AC312" s="9">
        <v>23.372671736151272</v>
      </c>
      <c r="AD312" s="9">
        <v>26.430826810726163</v>
      </c>
      <c r="AE312" s="9">
        <v>27.959768706413232</v>
      </c>
      <c r="AF312" s="9">
        <v>29.772701744670762</v>
      </c>
      <c r="AG312" s="9">
        <v>29.772701744670762</v>
      </c>
      <c r="AH312" s="9">
        <v>32.589351949315954</v>
      </c>
      <c r="AI312" s="9">
        <v>34.825222308406182</v>
      </c>
      <c r="AJ312" s="9">
        <v>3.0428788910505911</v>
      </c>
    </row>
    <row r="313" spans="1:36" x14ac:dyDescent="0.25">
      <c r="A313" t="s">
        <v>5411</v>
      </c>
      <c r="B313" t="s">
        <v>16</v>
      </c>
      <c r="C313" t="s">
        <v>17</v>
      </c>
      <c r="D313">
        <v>14660000</v>
      </c>
      <c r="E313">
        <v>14669999</v>
      </c>
      <c r="F313" t="s">
        <v>257</v>
      </c>
      <c r="G313" t="str">
        <f t="shared" si="8"/>
        <v>SPI II</v>
      </c>
      <c r="H313" t="s">
        <v>19</v>
      </c>
      <c r="I313" t="s">
        <v>20</v>
      </c>
      <c r="J313" t="s">
        <v>64</v>
      </c>
      <c r="K313" s="6">
        <v>0.03</v>
      </c>
      <c r="L313" s="7">
        <f t="shared" si="9"/>
        <v>2E-3</v>
      </c>
      <c r="M313" s="7">
        <v>3.0000000000000001E-3</v>
      </c>
      <c r="N313">
        <v>6</v>
      </c>
      <c r="O313" s="8">
        <v>17.934556092922943</v>
      </c>
      <c r="P313" s="9">
        <v>17.934556092922943</v>
      </c>
      <c r="Q313" s="9">
        <v>17.934556092922943</v>
      </c>
      <c r="R313" s="9">
        <v>18.35577997371016</v>
      </c>
      <c r="S313" s="9">
        <v>18.404835306435746</v>
      </c>
      <c r="T313" s="9">
        <v>19.112621008962602</v>
      </c>
      <c r="U313" s="9">
        <v>20.35176903227914</v>
      </c>
      <c r="V313" s="9">
        <v>20.35176903227914</v>
      </c>
      <c r="W313" s="9">
        <v>20.35176903227914</v>
      </c>
      <c r="X313" s="9">
        <v>19.91589544268896</v>
      </c>
      <c r="Y313" s="9">
        <v>19.91589544268896</v>
      </c>
      <c r="Z313" s="9">
        <v>21.609947773831163</v>
      </c>
      <c r="AA313" s="9">
        <v>21.609947773831163</v>
      </c>
      <c r="AB313" s="9">
        <v>23.372671736151272</v>
      </c>
      <c r="AC313" s="9">
        <v>23.372671736151272</v>
      </c>
      <c r="AD313" s="9">
        <v>26.430826810726163</v>
      </c>
      <c r="AE313" s="9">
        <v>27.959768706413232</v>
      </c>
      <c r="AF313" s="9">
        <v>29.772701744670762</v>
      </c>
      <c r="AG313" s="9">
        <v>29.772701744670762</v>
      </c>
      <c r="AH313" s="9">
        <v>32.589351949315954</v>
      </c>
      <c r="AI313" s="9">
        <v>34.825222308406182</v>
      </c>
      <c r="AJ313" s="9">
        <v>3.0428788910505911</v>
      </c>
    </row>
    <row r="314" spans="1:36" x14ac:dyDescent="0.25">
      <c r="A314" t="s">
        <v>5411</v>
      </c>
      <c r="B314" t="s">
        <v>16</v>
      </c>
      <c r="C314" t="s">
        <v>17</v>
      </c>
      <c r="D314">
        <v>14670000</v>
      </c>
      <c r="E314">
        <v>14679999</v>
      </c>
      <c r="F314" t="s">
        <v>258</v>
      </c>
      <c r="G314" t="str">
        <f t="shared" si="8"/>
        <v>SPI II</v>
      </c>
      <c r="H314" t="s">
        <v>19</v>
      </c>
      <c r="I314" t="s">
        <v>20</v>
      </c>
      <c r="J314" t="s">
        <v>64</v>
      </c>
      <c r="K314" s="6">
        <v>0.03</v>
      </c>
      <c r="L314" s="7">
        <f t="shared" si="9"/>
        <v>2E-3</v>
      </c>
      <c r="M314" s="7">
        <v>3.0000000000000001E-3</v>
      </c>
      <c r="N314">
        <v>7</v>
      </c>
      <c r="O314" s="8">
        <v>17.934556092922943</v>
      </c>
      <c r="P314" s="9">
        <v>17.934556092922943</v>
      </c>
      <c r="Q314" s="9">
        <v>17.934556092922943</v>
      </c>
      <c r="R314" s="9">
        <v>18.35577997371016</v>
      </c>
      <c r="S314" s="9">
        <v>18.404835306435746</v>
      </c>
      <c r="T314" s="9">
        <v>19.112621008962602</v>
      </c>
      <c r="U314" s="9">
        <v>20.35176903227914</v>
      </c>
      <c r="V314" s="9">
        <v>20.35176903227914</v>
      </c>
      <c r="W314" s="9">
        <v>20.35176903227914</v>
      </c>
      <c r="X314" s="9">
        <v>19.91589544268896</v>
      </c>
      <c r="Y314" s="9">
        <v>19.91589544268896</v>
      </c>
      <c r="Z314" s="9">
        <v>21.609947773831163</v>
      </c>
      <c r="AA314" s="9">
        <v>21.609947773831163</v>
      </c>
      <c r="AB314" s="9">
        <v>23.372671736151272</v>
      </c>
      <c r="AC314" s="9">
        <v>23.372671736151272</v>
      </c>
      <c r="AD314" s="9">
        <v>26.430826810726163</v>
      </c>
      <c r="AE314" s="9">
        <v>27.959768706413232</v>
      </c>
      <c r="AF314" s="9">
        <v>29.772701744670762</v>
      </c>
      <c r="AG314" s="9">
        <v>29.772701744670762</v>
      </c>
      <c r="AH314" s="9">
        <v>32.589351949315954</v>
      </c>
      <c r="AI314" s="9">
        <v>34.825222308406182</v>
      </c>
      <c r="AJ314" s="9">
        <v>3.0428788910505911</v>
      </c>
    </row>
    <row r="315" spans="1:36" x14ac:dyDescent="0.25">
      <c r="A315" t="s">
        <v>5411</v>
      </c>
      <c r="B315" t="s">
        <v>16</v>
      </c>
      <c r="C315" t="s">
        <v>17</v>
      </c>
      <c r="D315">
        <v>14680000</v>
      </c>
      <c r="E315">
        <v>14699999</v>
      </c>
      <c r="F315" t="s">
        <v>259</v>
      </c>
      <c r="G315" t="str">
        <f t="shared" si="8"/>
        <v>SPI II</v>
      </c>
      <c r="H315" t="s">
        <v>19</v>
      </c>
      <c r="I315" t="s">
        <v>20</v>
      </c>
      <c r="J315" t="s">
        <v>64</v>
      </c>
      <c r="K315" s="6">
        <v>0.03</v>
      </c>
      <c r="L315" s="7">
        <f t="shared" si="9"/>
        <v>2E-3</v>
      </c>
      <c r="M315" s="7">
        <v>3.0000000000000001E-3</v>
      </c>
      <c r="N315">
        <v>7</v>
      </c>
      <c r="O315" s="8">
        <v>17.934556092922943</v>
      </c>
      <c r="P315" s="9">
        <v>17.934556092922943</v>
      </c>
      <c r="Q315" s="9">
        <v>17.934556092922943</v>
      </c>
      <c r="R315" s="9">
        <v>18.35577997371016</v>
      </c>
      <c r="S315" s="9">
        <v>18.404835306435746</v>
      </c>
      <c r="T315" s="9">
        <v>19.112621008962602</v>
      </c>
      <c r="U315" s="9">
        <v>20.35176903227914</v>
      </c>
      <c r="V315" s="9">
        <v>20.35176903227914</v>
      </c>
      <c r="W315" s="9">
        <v>20.35176903227914</v>
      </c>
      <c r="X315" s="9">
        <v>19.91589544268896</v>
      </c>
      <c r="Y315" s="9">
        <v>19.91589544268896</v>
      </c>
      <c r="Z315" s="9">
        <v>21.609947773831163</v>
      </c>
      <c r="AA315" s="9">
        <v>21.609947773831163</v>
      </c>
      <c r="AB315" s="9">
        <v>23.372671736151272</v>
      </c>
      <c r="AC315" s="9">
        <v>23.372671736151272</v>
      </c>
      <c r="AD315" s="9">
        <v>26.430826810726163</v>
      </c>
      <c r="AE315" s="9">
        <v>27.959768706413232</v>
      </c>
      <c r="AF315" s="9">
        <v>29.772701744670762</v>
      </c>
      <c r="AG315" s="9">
        <v>29.772701744670762</v>
      </c>
      <c r="AH315" s="9">
        <v>32.589351949315954</v>
      </c>
      <c r="AI315" s="9">
        <v>34.825222308406182</v>
      </c>
      <c r="AJ315" s="9">
        <v>3.0428788910505911</v>
      </c>
    </row>
    <row r="316" spans="1:36" x14ac:dyDescent="0.25">
      <c r="A316" t="s">
        <v>5411</v>
      </c>
      <c r="B316" t="s">
        <v>16</v>
      </c>
      <c r="C316" t="s">
        <v>17</v>
      </c>
      <c r="D316">
        <v>14700000</v>
      </c>
      <c r="E316">
        <v>14719999</v>
      </c>
      <c r="F316" t="s">
        <v>260</v>
      </c>
      <c r="G316" t="str">
        <f t="shared" si="8"/>
        <v>SPI II</v>
      </c>
      <c r="H316" t="s">
        <v>19</v>
      </c>
      <c r="I316" t="s">
        <v>20</v>
      </c>
      <c r="J316" t="s">
        <v>64</v>
      </c>
      <c r="K316" s="6">
        <v>0.03</v>
      </c>
      <c r="L316" s="7">
        <f t="shared" si="9"/>
        <v>2E-3</v>
      </c>
      <c r="M316" s="7">
        <v>3.0000000000000001E-3</v>
      </c>
      <c r="N316">
        <v>7</v>
      </c>
      <c r="O316" s="8">
        <v>17.934556092922943</v>
      </c>
      <c r="P316" s="9">
        <v>17.934556092922943</v>
      </c>
      <c r="Q316" s="9">
        <v>17.934556092922943</v>
      </c>
      <c r="R316" s="9">
        <v>18.35577997371016</v>
      </c>
      <c r="S316" s="9">
        <v>18.404835306435746</v>
      </c>
      <c r="T316" s="9">
        <v>19.112621008962602</v>
      </c>
      <c r="U316" s="9">
        <v>20.35176903227914</v>
      </c>
      <c r="V316" s="9">
        <v>20.35176903227914</v>
      </c>
      <c r="W316" s="9">
        <v>20.35176903227914</v>
      </c>
      <c r="X316" s="9">
        <v>19.91589544268896</v>
      </c>
      <c r="Y316" s="9">
        <v>19.91589544268896</v>
      </c>
      <c r="Z316" s="9">
        <v>21.609947773831163</v>
      </c>
      <c r="AA316" s="9">
        <v>21.609947773831163</v>
      </c>
      <c r="AB316" s="9">
        <v>23.372671736151272</v>
      </c>
      <c r="AC316" s="9">
        <v>23.372671736151272</v>
      </c>
      <c r="AD316" s="9">
        <v>26.430826810726163</v>
      </c>
      <c r="AE316" s="9">
        <v>27.959768706413232</v>
      </c>
      <c r="AF316" s="9">
        <v>29.772701744670762</v>
      </c>
      <c r="AG316" s="9">
        <v>29.772701744670762</v>
      </c>
      <c r="AH316" s="9">
        <v>32.589351949315954</v>
      </c>
      <c r="AI316" s="9">
        <v>34.825222308406182</v>
      </c>
      <c r="AJ316" s="9">
        <v>3.0428788910505911</v>
      </c>
    </row>
    <row r="317" spans="1:36" x14ac:dyDescent="0.25">
      <c r="A317" t="s">
        <v>5411</v>
      </c>
      <c r="B317" t="s">
        <v>16</v>
      </c>
      <c r="C317" t="s">
        <v>17</v>
      </c>
      <c r="D317">
        <v>14720000</v>
      </c>
      <c r="E317">
        <v>14724999</v>
      </c>
      <c r="F317" t="s">
        <v>261</v>
      </c>
      <c r="G317" t="str">
        <f t="shared" si="8"/>
        <v>SPI II</v>
      </c>
      <c r="H317" t="s">
        <v>19</v>
      </c>
      <c r="I317" t="s">
        <v>20</v>
      </c>
      <c r="J317" t="s">
        <v>64</v>
      </c>
      <c r="K317" s="6">
        <v>0.03</v>
      </c>
      <c r="L317" s="7">
        <f t="shared" si="9"/>
        <v>2E-3</v>
      </c>
      <c r="M317" s="7">
        <v>3.0000000000000001E-3</v>
      </c>
      <c r="N317">
        <v>7</v>
      </c>
      <c r="O317" s="8">
        <v>17.934556092922943</v>
      </c>
      <c r="P317" s="9">
        <v>17.934556092922943</v>
      </c>
      <c r="Q317" s="9">
        <v>17.934556092922943</v>
      </c>
      <c r="R317" s="9">
        <v>18.35577997371016</v>
      </c>
      <c r="S317" s="9">
        <v>18.404835306435746</v>
      </c>
      <c r="T317" s="9">
        <v>19.112621008962602</v>
      </c>
      <c r="U317" s="9">
        <v>20.35176903227914</v>
      </c>
      <c r="V317" s="9">
        <v>20.35176903227914</v>
      </c>
      <c r="W317" s="9">
        <v>20.35176903227914</v>
      </c>
      <c r="X317" s="9">
        <v>19.91589544268896</v>
      </c>
      <c r="Y317" s="9">
        <v>19.91589544268896</v>
      </c>
      <c r="Z317" s="9">
        <v>21.609947773831163</v>
      </c>
      <c r="AA317" s="9">
        <v>21.609947773831163</v>
      </c>
      <c r="AB317" s="9">
        <v>23.372671736151272</v>
      </c>
      <c r="AC317" s="9">
        <v>23.372671736151272</v>
      </c>
      <c r="AD317" s="9">
        <v>26.430826810726163</v>
      </c>
      <c r="AE317" s="9">
        <v>27.959768706413232</v>
      </c>
      <c r="AF317" s="9">
        <v>29.772701744670762</v>
      </c>
      <c r="AG317" s="9">
        <v>29.772701744670762</v>
      </c>
      <c r="AH317" s="9">
        <v>32.589351949315954</v>
      </c>
      <c r="AI317" s="9">
        <v>34.825222308406182</v>
      </c>
      <c r="AJ317" s="9">
        <v>3.0428788910505911</v>
      </c>
    </row>
    <row r="318" spans="1:36" x14ac:dyDescent="0.25">
      <c r="A318" t="s">
        <v>5411</v>
      </c>
      <c r="B318" t="s">
        <v>16</v>
      </c>
      <c r="C318" t="s">
        <v>17</v>
      </c>
      <c r="D318">
        <v>14725000</v>
      </c>
      <c r="E318">
        <v>14729999</v>
      </c>
      <c r="F318" t="s">
        <v>262</v>
      </c>
      <c r="G318" t="str">
        <f t="shared" si="8"/>
        <v>SPI II</v>
      </c>
      <c r="H318" t="s">
        <v>19</v>
      </c>
      <c r="I318" t="s">
        <v>20</v>
      </c>
      <c r="J318" t="s">
        <v>64</v>
      </c>
      <c r="K318" s="6">
        <v>0.03</v>
      </c>
      <c r="L318" s="7">
        <f t="shared" si="9"/>
        <v>2E-3</v>
      </c>
      <c r="M318" s="7">
        <v>3.0000000000000001E-3</v>
      </c>
      <c r="N318">
        <v>9</v>
      </c>
      <c r="O318" s="8">
        <v>17.934556092922943</v>
      </c>
      <c r="P318" s="9">
        <v>17.934556092922943</v>
      </c>
      <c r="Q318" s="9">
        <v>17.934556092922943</v>
      </c>
      <c r="R318" s="9">
        <v>18.35577997371016</v>
      </c>
      <c r="S318" s="9">
        <v>18.404835306435746</v>
      </c>
      <c r="T318" s="9">
        <v>19.112621008962602</v>
      </c>
      <c r="U318" s="9">
        <v>20.35176903227914</v>
      </c>
      <c r="V318" s="9">
        <v>20.35176903227914</v>
      </c>
      <c r="W318" s="9">
        <v>20.35176903227914</v>
      </c>
      <c r="X318" s="9">
        <v>19.91589544268896</v>
      </c>
      <c r="Y318" s="9">
        <v>19.91589544268896</v>
      </c>
      <c r="Z318" s="9">
        <v>21.609947773831163</v>
      </c>
      <c r="AA318" s="9">
        <v>21.609947773831163</v>
      </c>
      <c r="AB318" s="9">
        <v>23.372671736151272</v>
      </c>
      <c r="AC318" s="9">
        <v>23.372671736151272</v>
      </c>
      <c r="AD318" s="9">
        <v>26.430826810726163</v>
      </c>
      <c r="AE318" s="9">
        <v>27.959768706413232</v>
      </c>
      <c r="AF318" s="9">
        <v>29.772701744670762</v>
      </c>
      <c r="AG318" s="9">
        <v>29.772701744670762</v>
      </c>
      <c r="AH318" s="9">
        <v>32.589351949315954</v>
      </c>
      <c r="AI318" s="9">
        <v>34.825222308406182</v>
      </c>
      <c r="AJ318" s="9">
        <v>3.0428788910505911</v>
      </c>
    </row>
    <row r="319" spans="1:36" x14ac:dyDescent="0.25">
      <c r="A319" t="s">
        <v>5411</v>
      </c>
      <c r="B319" t="s">
        <v>16</v>
      </c>
      <c r="C319" t="s">
        <v>17</v>
      </c>
      <c r="D319">
        <v>14730000</v>
      </c>
      <c r="E319">
        <v>14734999</v>
      </c>
      <c r="F319" t="s">
        <v>263</v>
      </c>
      <c r="G319" t="str">
        <f t="shared" si="8"/>
        <v>SPI II</v>
      </c>
      <c r="H319" t="s">
        <v>19</v>
      </c>
      <c r="I319" t="s">
        <v>20</v>
      </c>
      <c r="J319" t="s">
        <v>64</v>
      </c>
      <c r="K319" s="6">
        <v>0.03</v>
      </c>
      <c r="L319" s="7">
        <f t="shared" si="9"/>
        <v>2E-3</v>
      </c>
      <c r="M319" s="7">
        <v>3.0000000000000001E-3</v>
      </c>
      <c r="N319">
        <v>7</v>
      </c>
      <c r="O319" s="8">
        <v>17.934556092922943</v>
      </c>
      <c r="P319" s="9">
        <v>17.934556092922943</v>
      </c>
      <c r="Q319" s="9">
        <v>17.934556092922943</v>
      </c>
      <c r="R319" s="9">
        <v>18.35577997371016</v>
      </c>
      <c r="S319" s="9">
        <v>18.404835306435746</v>
      </c>
      <c r="T319" s="9">
        <v>19.112621008962602</v>
      </c>
      <c r="U319" s="9">
        <v>20.35176903227914</v>
      </c>
      <c r="V319" s="9">
        <v>20.35176903227914</v>
      </c>
      <c r="W319" s="9">
        <v>20.35176903227914</v>
      </c>
      <c r="X319" s="9">
        <v>19.91589544268896</v>
      </c>
      <c r="Y319" s="9">
        <v>19.91589544268896</v>
      </c>
      <c r="Z319" s="9">
        <v>21.609947773831163</v>
      </c>
      <c r="AA319" s="9">
        <v>21.609947773831163</v>
      </c>
      <c r="AB319" s="9">
        <v>23.372671736151272</v>
      </c>
      <c r="AC319" s="9">
        <v>23.372671736151272</v>
      </c>
      <c r="AD319" s="9">
        <v>26.430826810726163</v>
      </c>
      <c r="AE319" s="9">
        <v>27.959768706413232</v>
      </c>
      <c r="AF319" s="9">
        <v>29.772701744670762</v>
      </c>
      <c r="AG319" s="9">
        <v>29.772701744670762</v>
      </c>
      <c r="AH319" s="9">
        <v>32.589351949315954</v>
      </c>
      <c r="AI319" s="9">
        <v>34.825222308406182</v>
      </c>
      <c r="AJ319" s="9">
        <v>3.0428788910505911</v>
      </c>
    </row>
    <row r="320" spans="1:36" x14ac:dyDescent="0.25">
      <c r="A320" t="s">
        <v>5411</v>
      </c>
      <c r="B320" t="s">
        <v>16</v>
      </c>
      <c r="C320" t="s">
        <v>17</v>
      </c>
      <c r="D320">
        <v>14735000</v>
      </c>
      <c r="E320">
        <v>14739999</v>
      </c>
      <c r="F320" t="s">
        <v>264</v>
      </c>
      <c r="G320" t="str">
        <f t="shared" si="8"/>
        <v>SPI II</v>
      </c>
      <c r="H320" t="s">
        <v>19</v>
      </c>
      <c r="I320" t="s">
        <v>20</v>
      </c>
      <c r="J320" t="s">
        <v>64</v>
      </c>
      <c r="K320" s="6">
        <v>0.03</v>
      </c>
      <c r="L320" s="7">
        <f t="shared" si="9"/>
        <v>2E-3</v>
      </c>
      <c r="M320" s="7">
        <v>3.0000000000000001E-3</v>
      </c>
      <c r="N320">
        <v>7</v>
      </c>
      <c r="O320" s="8">
        <v>17.934556092922943</v>
      </c>
      <c r="P320" s="9">
        <v>17.934556092922943</v>
      </c>
      <c r="Q320" s="9">
        <v>17.934556092922943</v>
      </c>
      <c r="R320" s="9">
        <v>18.35577997371016</v>
      </c>
      <c r="S320" s="9">
        <v>18.404835306435746</v>
      </c>
      <c r="T320" s="9">
        <v>19.112621008962602</v>
      </c>
      <c r="U320" s="9">
        <v>20.35176903227914</v>
      </c>
      <c r="V320" s="9">
        <v>20.35176903227914</v>
      </c>
      <c r="W320" s="9">
        <v>20.35176903227914</v>
      </c>
      <c r="X320" s="9">
        <v>19.91589544268896</v>
      </c>
      <c r="Y320" s="9">
        <v>19.91589544268896</v>
      </c>
      <c r="Z320" s="9">
        <v>21.609947773831163</v>
      </c>
      <c r="AA320" s="9">
        <v>21.609947773831163</v>
      </c>
      <c r="AB320" s="9">
        <v>23.372671736151272</v>
      </c>
      <c r="AC320" s="9">
        <v>23.372671736151272</v>
      </c>
      <c r="AD320" s="9">
        <v>26.430826810726163</v>
      </c>
      <c r="AE320" s="9">
        <v>27.959768706413232</v>
      </c>
      <c r="AF320" s="9">
        <v>29.772701744670762</v>
      </c>
      <c r="AG320" s="9">
        <v>29.772701744670762</v>
      </c>
      <c r="AH320" s="9">
        <v>32.589351949315954</v>
      </c>
      <c r="AI320" s="9">
        <v>34.825222308406182</v>
      </c>
      <c r="AJ320" s="9">
        <v>3.0428788910505911</v>
      </c>
    </row>
    <row r="321" spans="1:36" x14ac:dyDescent="0.25">
      <c r="A321" t="s">
        <v>5411</v>
      </c>
      <c r="B321" t="s">
        <v>16</v>
      </c>
      <c r="C321" t="s">
        <v>17</v>
      </c>
      <c r="D321">
        <v>14740000</v>
      </c>
      <c r="E321">
        <v>14744999</v>
      </c>
      <c r="F321" t="s">
        <v>265</v>
      </c>
      <c r="G321" t="str">
        <f t="shared" si="8"/>
        <v>SPI II</v>
      </c>
      <c r="H321" t="s">
        <v>19</v>
      </c>
      <c r="I321" t="s">
        <v>20</v>
      </c>
      <c r="J321" t="s">
        <v>64</v>
      </c>
      <c r="K321" s="6">
        <v>0.03</v>
      </c>
      <c r="L321" s="7">
        <f t="shared" si="9"/>
        <v>2E-3</v>
      </c>
      <c r="M321" s="7">
        <v>3.0000000000000001E-3</v>
      </c>
      <c r="N321">
        <v>7</v>
      </c>
      <c r="O321" s="8">
        <v>17.934556092922943</v>
      </c>
      <c r="P321" s="9">
        <v>17.934556092922943</v>
      </c>
      <c r="Q321" s="9">
        <v>17.934556092922943</v>
      </c>
      <c r="R321" s="9">
        <v>18.35577997371016</v>
      </c>
      <c r="S321" s="9">
        <v>18.404835306435746</v>
      </c>
      <c r="T321" s="9">
        <v>19.112621008962602</v>
      </c>
      <c r="U321" s="9">
        <v>20.35176903227914</v>
      </c>
      <c r="V321" s="9">
        <v>20.35176903227914</v>
      </c>
      <c r="W321" s="9">
        <v>20.35176903227914</v>
      </c>
      <c r="X321" s="9">
        <v>19.91589544268896</v>
      </c>
      <c r="Y321" s="9">
        <v>19.91589544268896</v>
      </c>
      <c r="Z321" s="9">
        <v>21.609947773831163</v>
      </c>
      <c r="AA321" s="9">
        <v>21.609947773831163</v>
      </c>
      <c r="AB321" s="9">
        <v>23.372671736151272</v>
      </c>
      <c r="AC321" s="9">
        <v>23.372671736151272</v>
      </c>
      <c r="AD321" s="9">
        <v>26.430826810726163</v>
      </c>
      <c r="AE321" s="9">
        <v>27.959768706413232</v>
      </c>
      <c r="AF321" s="9">
        <v>29.772701744670762</v>
      </c>
      <c r="AG321" s="9">
        <v>29.772701744670762</v>
      </c>
      <c r="AH321" s="9">
        <v>32.589351949315954</v>
      </c>
      <c r="AI321" s="9">
        <v>34.825222308406182</v>
      </c>
      <c r="AJ321" s="9">
        <v>3.0428788910505911</v>
      </c>
    </row>
    <row r="322" spans="1:36" x14ac:dyDescent="0.25">
      <c r="A322" t="s">
        <v>5411</v>
      </c>
      <c r="B322" t="s">
        <v>16</v>
      </c>
      <c r="C322" t="s">
        <v>17</v>
      </c>
      <c r="D322">
        <v>14745000</v>
      </c>
      <c r="E322">
        <v>14749999</v>
      </c>
      <c r="F322" t="s">
        <v>266</v>
      </c>
      <c r="G322" t="str">
        <f t="shared" si="8"/>
        <v>SPI II</v>
      </c>
      <c r="H322" t="s">
        <v>19</v>
      </c>
      <c r="I322" t="s">
        <v>20</v>
      </c>
      <c r="J322" t="s">
        <v>64</v>
      </c>
      <c r="K322" s="6">
        <v>0.03</v>
      </c>
      <c r="L322" s="7">
        <f t="shared" si="9"/>
        <v>2E-3</v>
      </c>
      <c r="M322" s="7">
        <v>3.0000000000000001E-3</v>
      </c>
      <c r="N322">
        <v>7</v>
      </c>
      <c r="O322" s="8">
        <v>17.934556092922943</v>
      </c>
      <c r="P322" s="9">
        <v>17.934556092922943</v>
      </c>
      <c r="Q322" s="9">
        <v>17.934556092922943</v>
      </c>
      <c r="R322" s="9">
        <v>18.35577997371016</v>
      </c>
      <c r="S322" s="9">
        <v>18.404835306435746</v>
      </c>
      <c r="T322" s="9">
        <v>19.112621008962602</v>
      </c>
      <c r="U322" s="9">
        <v>20.35176903227914</v>
      </c>
      <c r="V322" s="9">
        <v>20.35176903227914</v>
      </c>
      <c r="W322" s="9">
        <v>20.35176903227914</v>
      </c>
      <c r="X322" s="9">
        <v>19.91589544268896</v>
      </c>
      <c r="Y322" s="9">
        <v>19.91589544268896</v>
      </c>
      <c r="Z322" s="9">
        <v>21.609947773831163</v>
      </c>
      <c r="AA322" s="9">
        <v>21.609947773831163</v>
      </c>
      <c r="AB322" s="9">
        <v>23.372671736151272</v>
      </c>
      <c r="AC322" s="9">
        <v>23.372671736151272</v>
      </c>
      <c r="AD322" s="9">
        <v>26.430826810726163</v>
      </c>
      <c r="AE322" s="9">
        <v>27.959768706413232</v>
      </c>
      <c r="AF322" s="9">
        <v>29.772701744670762</v>
      </c>
      <c r="AG322" s="9">
        <v>29.772701744670762</v>
      </c>
      <c r="AH322" s="9">
        <v>32.589351949315954</v>
      </c>
      <c r="AI322" s="9">
        <v>34.825222308406182</v>
      </c>
      <c r="AJ322" s="9">
        <v>3.0428788910505911</v>
      </c>
    </row>
    <row r="323" spans="1:36" x14ac:dyDescent="0.25">
      <c r="A323" t="s">
        <v>5411</v>
      </c>
      <c r="B323" t="s">
        <v>16</v>
      </c>
      <c r="C323" t="s">
        <v>17</v>
      </c>
      <c r="D323">
        <v>14750000</v>
      </c>
      <c r="E323">
        <v>14764999</v>
      </c>
      <c r="F323" t="s">
        <v>267</v>
      </c>
      <c r="G323" t="str">
        <f t="shared" si="8"/>
        <v>SPI II</v>
      </c>
      <c r="H323" t="s">
        <v>19</v>
      </c>
      <c r="I323" t="s">
        <v>20</v>
      </c>
      <c r="J323" t="s">
        <v>64</v>
      </c>
      <c r="K323" s="6">
        <v>0.03</v>
      </c>
      <c r="L323" s="7">
        <f t="shared" si="9"/>
        <v>2E-3</v>
      </c>
      <c r="M323" s="7">
        <v>3.0000000000000001E-3</v>
      </c>
      <c r="N323">
        <v>7</v>
      </c>
      <c r="O323" s="8">
        <v>17.934556092922943</v>
      </c>
      <c r="P323" s="9">
        <v>17.934556092922943</v>
      </c>
      <c r="Q323" s="9">
        <v>17.934556092922943</v>
      </c>
      <c r="R323" s="9">
        <v>18.35577997371016</v>
      </c>
      <c r="S323" s="9">
        <v>18.404835306435746</v>
      </c>
      <c r="T323" s="9">
        <v>19.112621008962602</v>
      </c>
      <c r="U323" s="9">
        <v>20.35176903227914</v>
      </c>
      <c r="V323" s="9">
        <v>20.35176903227914</v>
      </c>
      <c r="W323" s="9">
        <v>20.35176903227914</v>
      </c>
      <c r="X323" s="9">
        <v>19.91589544268896</v>
      </c>
      <c r="Y323" s="9">
        <v>19.91589544268896</v>
      </c>
      <c r="Z323" s="9">
        <v>21.609947773831163</v>
      </c>
      <c r="AA323" s="9">
        <v>21.609947773831163</v>
      </c>
      <c r="AB323" s="9">
        <v>23.372671736151272</v>
      </c>
      <c r="AC323" s="9">
        <v>23.372671736151272</v>
      </c>
      <c r="AD323" s="9">
        <v>26.430826810726163</v>
      </c>
      <c r="AE323" s="9">
        <v>27.959768706413232</v>
      </c>
      <c r="AF323" s="9">
        <v>29.772701744670762</v>
      </c>
      <c r="AG323" s="9">
        <v>29.772701744670762</v>
      </c>
      <c r="AH323" s="9">
        <v>32.589351949315954</v>
      </c>
      <c r="AI323" s="9">
        <v>34.825222308406182</v>
      </c>
      <c r="AJ323" s="9">
        <v>3.0428788910505911</v>
      </c>
    </row>
    <row r="324" spans="1:36" x14ac:dyDescent="0.25">
      <c r="A324" t="s">
        <v>5411</v>
      </c>
      <c r="B324" t="s">
        <v>16</v>
      </c>
      <c r="C324" t="s">
        <v>17</v>
      </c>
      <c r="D324">
        <v>14765000</v>
      </c>
      <c r="E324">
        <v>14769999</v>
      </c>
      <c r="F324" t="s">
        <v>268</v>
      </c>
      <c r="G324" t="str">
        <f t="shared" ref="G324:G387" si="10">H324&amp;IF(J324="CAPITAL","C",IF(J324="INTERIOR","I",IF(J324="INTERIOR II","I II","R")))</f>
        <v>SPI II</v>
      </c>
      <c r="H324" t="s">
        <v>19</v>
      </c>
      <c r="I324" t="s">
        <v>20</v>
      </c>
      <c r="J324" t="s">
        <v>64</v>
      </c>
      <c r="K324" s="6">
        <v>0.03</v>
      </c>
      <c r="L324" s="7">
        <f t="shared" ref="L324:L387" si="11">IF(I324="(0) Não",0.2%,3%)</f>
        <v>2E-3</v>
      </c>
      <c r="M324" s="7">
        <v>3.0000000000000001E-3</v>
      </c>
      <c r="N324">
        <v>6</v>
      </c>
      <c r="O324" s="8">
        <v>17.934556092922943</v>
      </c>
      <c r="P324" s="9">
        <v>17.934556092922943</v>
      </c>
      <c r="Q324" s="9">
        <v>17.934556092922943</v>
      </c>
      <c r="R324" s="9">
        <v>18.35577997371016</v>
      </c>
      <c r="S324" s="9">
        <v>18.404835306435746</v>
      </c>
      <c r="T324" s="9">
        <v>19.112621008962602</v>
      </c>
      <c r="U324" s="9">
        <v>20.35176903227914</v>
      </c>
      <c r="V324" s="9">
        <v>20.35176903227914</v>
      </c>
      <c r="W324" s="9">
        <v>20.35176903227914</v>
      </c>
      <c r="X324" s="9">
        <v>19.91589544268896</v>
      </c>
      <c r="Y324" s="9">
        <v>19.91589544268896</v>
      </c>
      <c r="Z324" s="9">
        <v>21.609947773831163</v>
      </c>
      <c r="AA324" s="9">
        <v>21.609947773831163</v>
      </c>
      <c r="AB324" s="9">
        <v>23.372671736151272</v>
      </c>
      <c r="AC324" s="9">
        <v>23.372671736151272</v>
      </c>
      <c r="AD324" s="9">
        <v>26.430826810726163</v>
      </c>
      <c r="AE324" s="9">
        <v>27.959768706413232</v>
      </c>
      <c r="AF324" s="9">
        <v>29.772701744670762</v>
      </c>
      <c r="AG324" s="9">
        <v>29.772701744670762</v>
      </c>
      <c r="AH324" s="9">
        <v>32.589351949315954</v>
      </c>
      <c r="AI324" s="9">
        <v>34.825222308406182</v>
      </c>
      <c r="AJ324" s="9">
        <v>3.0428788910505911</v>
      </c>
    </row>
    <row r="325" spans="1:36" x14ac:dyDescent="0.25">
      <c r="A325" t="s">
        <v>5411</v>
      </c>
      <c r="B325" t="s">
        <v>16</v>
      </c>
      <c r="C325" t="s">
        <v>17</v>
      </c>
      <c r="D325">
        <v>14770000</v>
      </c>
      <c r="E325">
        <v>14774999</v>
      </c>
      <c r="F325" t="s">
        <v>269</v>
      </c>
      <c r="G325" t="str">
        <f t="shared" si="10"/>
        <v>SPI II</v>
      </c>
      <c r="H325" t="s">
        <v>19</v>
      </c>
      <c r="I325" t="s">
        <v>20</v>
      </c>
      <c r="J325" t="s">
        <v>64</v>
      </c>
      <c r="K325" s="6">
        <v>0.03</v>
      </c>
      <c r="L325" s="7">
        <f t="shared" si="11"/>
        <v>2E-3</v>
      </c>
      <c r="M325" s="7">
        <v>3.0000000000000001E-3</v>
      </c>
      <c r="N325">
        <v>7</v>
      </c>
      <c r="O325" s="8">
        <v>17.934556092922943</v>
      </c>
      <c r="P325" s="9">
        <v>17.934556092922943</v>
      </c>
      <c r="Q325" s="9">
        <v>17.934556092922943</v>
      </c>
      <c r="R325" s="9">
        <v>18.35577997371016</v>
      </c>
      <c r="S325" s="9">
        <v>18.404835306435746</v>
      </c>
      <c r="T325" s="9">
        <v>19.112621008962602</v>
      </c>
      <c r="U325" s="9">
        <v>20.35176903227914</v>
      </c>
      <c r="V325" s="9">
        <v>20.35176903227914</v>
      </c>
      <c r="W325" s="9">
        <v>20.35176903227914</v>
      </c>
      <c r="X325" s="9">
        <v>19.91589544268896</v>
      </c>
      <c r="Y325" s="9">
        <v>19.91589544268896</v>
      </c>
      <c r="Z325" s="9">
        <v>21.609947773831163</v>
      </c>
      <c r="AA325" s="9">
        <v>21.609947773831163</v>
      </c>
      <c r="AB325" s="9">
        <v>23.372671736151272</v>
      </c>
      <c r="AC325" s="9">
        <v>23.372671736151272</v>
      </c>
      <c r="AD325" s="9">
        <v>26.430826810726163</v>
      </c>
      <c r="AE325" s="9">
        <v>27.959768706413232</v>
      </c>
      <c r="AF325" s="9">
        <v>29.772701744670762</v>
      </c>
      <c r="AG325" s="9">
        <v>29.772701744670762</v>
      </c>
      <c r="AH325" s="9">
        <v>32.589351949315954</v>
      </c>
      <c r="AI325" s="9">
        <v>34.825222308406182</v>
      </c>
      <c r="AJ325" s="9">
        <v>3.0428788910505911</v>
      </c>
    </row>
    <row r="326" spans="1:36" x14ac:dyDescent="0.25">
      <c r="A326" t="s">
        <v>5411</v>
      </c>
      <c r="B326" t="s">
        <v>16</v>
      </c>
      <c r="C326" t="s">
        <v>17</v>
      </c>
      <c r="D326">
        <v>14775000</v>
      </c>
      <c r="E326">
        <v>14779999</v>
      </c>
      <c r="F326" t="s">
        <v>270</v>
      </c>
      <c r="G326" t="str">
        <f t="shared" si="10"/>
        <v>SPI II</v>
      </c>
      <c r="H326" t="s">
        <v>19</v>
      </c>
      <c r="I326" t="s">
        <v>20</v>
      </c>
      <c r="J326" t="s">
        <v>64</v>
      </c>
      <c r="K326" s="6">
        <v>0.03</v>
      </c>
      <c r="L326" s="7">
        <f t="shared" si="11"/>
        <v>2E-3</v>
      </c>
      <c r="M326" s="7">
        <v>3.0000000000000001E-3</v>
      </c>
      <c r="N326">
        <v>7</v>
      </c>
      <c r="O326" s="8">
        <v>17.934556092922943</v>
      </c>
      <c r="P326" s="9">
        <v>17.934556092922943</v>
      </c>
      <c r="Q326" s="9">
        <v>17.934556092922943</v>
      </c>
      <c r="R326" s="9">
        <v>18.35577997371016</v>
      </c>
      <c r="S326" s="9">
        <v>18.404835306435746</v>
      </c>
      <c r="T326" s="9">
        <v>19.112621008962602</v>
      </c>
      <c r="U326" s="9">
        <v>20.35176903227914</v>
      </c>
      <c r="V326" s="9">
        <v>20.35176903227914</v>
      </c>
      <c r="W326" s="9">
        <v>20.35176903227914</v>
      </c>
      <c r="X326" s="9">
        <v>19.91589544268896</v>
      </c>
      <c r="Y326" s="9">
        <v>19.91589544268896</v>
      </c>
      <c r="Z326" s="9">
        <v>21.609947773831163</v>
      </c>
      <c r="AA326" s="9">
        <v>21.609947773831163</v>
      </c>
      <c r="AB326" s="9">
        <v>23.372671736151272</v>
      </c>
      <c r="AC326" s="9">
        <v>23.372671736151272</v>
      </c>
      <c r="AD326" s="9">
        <v>26.430826810726163</v>
      </c>
      <c r="AE326" s="9">
        <v>27.959768706413232</v>
      </c>
      <c r="AF326" s="9">
        <v>29.772701744670762</v>
      </c>
      <c r="AG326" s="9">
        <v>29.772701744670762</v>
      </c>
      <c r="AH326" s="9">
        <v>32.589351949315954</v>
      </c>
      <c r="AI326" s="9">
        <v>34.825222308406182</v>
      </c>
      <c r="AJ326" s="9">
        <v>3.0428788910505911</v>
      </c>
    </row>
    <row r="327" spans="1:36" x14ac:dyDescent="0.25">
      <c r="A327" t="s">
        <v>5411</v>
      </c>
      <c r="B327" t="s">
        <v>16</v>
      </c>
      <c r="C327" t="s">
        <v>17</v>
      </c>
      <c r="D327">
        <v>14780000</v>
      </c>
      <c r="E327">
        <v>14789999</v>
      </c>
      <c r="F327" t="s">
        <v>271</v>
      </c>
      <c r="G327" t="str">
        <f t="shared" si="10"/>
        <v>SPI II</v>
      </c>
      <c r="H327" t="s">
        <v>19</v>
      </c>
      <c r="I327" t="s">
        <v>20</v>
      </c>
      <c r="J327" t="s">
        <v>64</v>
      </c>
      <c r="K327" s="6">
        <v>0.03</v>
      </c>
      <c r="L327" s="7">
        <f t="shared" si="11"/>
        <v>2E-3</v>
      </c>
      <c r="M327" s="7">
        <v>3.0000000000000001E-3</v>
      </c>
      <c r="N327">
        <v>6</v>
      </c>
      <c r="O327" s="8">
        <v>17.934556092922943</v>
      </c>
      <c r="P327" s="9">
        <v>17.934556092922943</v>
      </c>
      <c r="Q327" s="9">
        <v>17.934556092922943</v>
      </c>
      <c r="R327" s="9">
        <v>18.35577997371016</v>
      </c>
      <c r="S327" s="9">
        <v>18.404835306435746</v>
      </c>
      <c r="T327" s="9">
        <v>19.112621008962602</v>
      </c>
      <c r="U327" s="9">
        <v>20.35176903227914</v>
      </c>
      <c r="V327" s="9">
        <v>20.35176903227914</v>
      </c>
      <c r="W327" s="9">
        <v>20.35176903227914</v>
      </c>
      <c r="X327" s="9">
        <v>19.91589544268896</v>
      </c>
      <c r="Y327" s="9">
        <v>19.91589544268896</v>
      </c>
      <c r="Z327" s="9">
        <v>21.609947773831163</v>
      </c>
      <c r="AA327" s="9">
        <v>21.609947773831163</v>
      </c>
      <c r="AB327" s="9">
        <v>23.372671736151272</v>
      </c>
      <c r="AC327" s="9">
        <v>23.372671736151272</v>
      </c>
      <c r="AD327" s="9">
        <v>26.430826810726163</v>
      </c>
      <c r="AE327" s="9">
        <v>27.959768706413232</v>
      </c>
      <c r="AF327" s="9">
        <v>29.772701744670762</v>
      </c>
      <c r="AG327" s="9">
        <v>29.772701744670762</v>
      </c>
      <c r="AH327" s="9">
        <v>32.589351949315954</v>
      </c>
      <c r="AI327" s="9">
        <v>34.825222308406182</v>
      </c>
      <c r="AJ327" s="9">
        <v>3.0428788910505911</v>
      </c>
    </row>
    <row r="328" spans="1:36" x14ac:dyDescent="0.25">
      <c r="A328" t="s">
        <v>5411</v>
      </c>
      <c r="B328" t="s">
        <v>16</v>
      </c>
      <c r="C328" t="s">
        <v>17</v>
      </c>
      <c r="D328">
        <v>14790000</v>
      </c>
      <c r="E328">
        <v>14794999</v>
      </c>
      <c r="F328" t="s">
        <v>272</v>
      </c>
      <c r="G328" t="str">
        <f t="shared" si="10"/>
        <v>SPI II</v>
      </c>
      <c r="H328" t="s">
        <v>19</v>
      </c>
      <c r="I328" t="s">
        <v>20</v>
      </c>
      <c r="J328" t="s">
        <v>64</v>
      </c>
      <c r="K328" s="6">
        <v>0.03</v>
      </c>
      <c r="L328" s="7">
        <f t="shared" si="11"/>
        <v>2E-3</v>
      </c>
      <c r="M328" s="7">
        <v>3.0000000000000001E-3</v>
      </c>
      <c r="N328">
        <v>7</v>
      </c>
      <c r="O328" s="8">
        <v>17.934556092922943</v>
      </c>
      <c r="P328" s="9">
        <v>17.934556092922943</v>
      </c>
      <c r="Q328" s="9">
        <v>17.934556092922943</v>
      </c>
      <c r="R328" s="9">
        <v>18.35577997371016</v>
      </c>
      <c r="S328" s="9">
        <v>18.404835306435746</v>
      </c>
      <c r="T328" s="9">
        <v>19.112621008962602</v>
      </c>
      <c r="U328" s="9">
        <v>20.35176903227914</v>
      </c>
      <c r="V328" s="9">
        <v>20.35176903227914</v>
      </c>
      <c r="W328" s="9">
        <v>20.35176903227914</v>
      </c>
      <c r="X328" s="9">
        <v>19.91589544268896</v>
      </c>
      <c r="Y328" s="9">
        <v>19.91589544268896</v>
      </c>
      <c r="Z328" s="9">
        <v>21.609947773831163</v>
      </c>
      <c r="AA328" s="9">
        <v>21.609947773831163</v>
      </c>
      <c r="AB328" s="9">
        <v>23.372671736151272</v>
      </c>
      <c r="AC328" s="9">
        <v>23.372671736151272</v>
      </c>
      <c r="AD328" s="9">
        <v>26.430826810726163</v>
      </c>
      <c r="AE328" s="9">
        <v>27.959768706413232</v>
      </c>
      <c r="AF328" s="9">
        <v>29.772701744670762</v>
      </c>
      <c r="AG328" s="9">
        <v>29.772701744670762</v>
      </c>
      <c r="AH328" s="9">
        <v>32.589351949315954</v>
      </c>
      <c r="AI328" s="9">
        <v>34.825222308406182</v>
      </c>
      <c r="AJ328" s="9">
        <v>3.0428788910505911</v>
      </c>
    </row>
    <row r="329" spans="1:36" x14ac:dyDescent="0.25">
      <c r="A329" t="s">
        <v>5411</v>
      </c>
      <c r="B329" t="s">
        <v>16</v>
      </c>
      <c r="C329" t="s">
        <v>17</v>
      </c>
      <c r="D329">
        <v>14795000</v>
      </c>
      <c r="E329">
        <v>14799999</v>
      </c>
      <c r="F329" t="s">
        <v>273</v>
      </c>
      <c r="G329" t="str">
        <f t="shared" si="10"/>
        <v>SPI II</v>
      </c>
      <c r="H329" t="s">
        <v>19</v>
      </c>
      <c r="I329" t="s">
        <v>20</v>
      </c>
      <c r="J329" t="s">
        <v>64</v>
      </c>
      <c r="K329" s="6">
        <v>0.03</v>
      </c>
      <c r="L329" s="7">
        <f t="shared" si="11"/>
        <v>2E-3</v>
      </c>
      <c r="M329" s="7">
        <v>3.0000000000000001E-3</v>
      </c>
      <c r="N329">
        <v>9</v>
      </c>
      <c r="O329" s="8">
        <v>17.934556092922943</v>
      </c>
      <c r="P329" s="9">
        <v>17.934556092922943</v>
      </c>
      <c r="Q329" s="9">
        <v>17.934556092922943</v>
      </c>
      <c r="R329" s="9">
        <v>18.35577997371016</v>
      </c>
      <c r="S329" s="9">
        <v>18.404835306435746</v>
      </c>
      <c r="T329" s="9">
        <v>19.112621008962602</v>
      </c>
      <c r="U329" s="9">
        <v>20.35176903227914</v>
      </c>
      <c r="V329" s="9">
        <v>20.35176903227914</v>
      </c>
      <c r="W329" s="9">
        <v>20.35176903227914</v>
      </c>
      <c r="X329" s="9">
        <v>19.91589544268896</v>
      </c>
      <c r="Y329" s="9">
        <v>19.91589544268896</v>
      </c>
      <c r="Z329" s="9">
        <v>21.609947773831163</v>
      </c>
      <c r="AA329" s="9">
        <v>21.609947773831163</v>
      </c>
      <c r="AB329" s="9">
        <v>23.372671736151272</v>
      </c>
      <c r="AC329" s="9">
        <v>23.372671736151272</v>
      </c>
      <c r="AD329" s="9">
        <v>26.430826810726163</v>
      </c>
      <c r="AE329" s="9">
        <v>27.959768706413232</v>
      </c>
      <c r="AF329" s="9">
        <v>29.772701744670762</v>
      </c>
      <c r="AG329" s="9">
        <v>29.772701744670762</v>
      </c>
      <c r="AH329" s="9">
        <v>32.589351949315954</v>
      </c>
      <c r="AI329" s="9">
        <v>34.825222308406182</v>
      </c>
      <c r="AJ329" s="9">
        <v>3.0428788910505911</v>
      </c>
    </row>
    <row r="330" spans="1:36" x14ac:dyDescent="0.25">
      <c r="A330" t="s">
        <v>5411</v>
      </c>
      <c r="B330" t="s">
        <v>16</v>
      </c>
      <c r="C330" t="s">
        <v>17</v>
      </c>
      <c r="D330">
        <v>14800000</v>
      </c>
      <c r="E330">
        <v>14801999</v>
      </c>
      <c r="F330" t="s">
        <v>274</v>
      </c>
      <c r="G330" t="str">
        <f t="shared" si="10"/>
        <v>SPI</v>
      </c>
      <c r="H330" t="s">
        <v>19</v>
      </c>
      <c r="I330" t="s">
        <v>20</v>
      </c>
      <c r="J330" t="s">
        <v>62</v>
      </c>
      <c r="K330" s="6">
        <v>0.03</v>
      </c>
      <c r="L330" s="7">
        <f t="shared" si="11"/>
        <v>2E-3</v>
      </c>
      <c r="M330" s="7">
        <v>3.0000000000000001E-3</v>
      </c>
      <c r="N330">
        <v>6</v>
      </c>
      <c r="O330" s="8">
        <v>14.260089507934383</v>
      </c>
      <c r="P330" s="9">
        <v>14.260089507934383</v>
      </c>
      <c r="Q330" s="9">
        <v>14.260089507934383</v>
      </c>
      <c r="R330" s="9">
        <v>14.434686024139818</v>
      </c>
      <c r="S330" s="9">
        <v>14.722027102535575</v>
      </c>
      <c r="T330" s="9">
        <v>15.677715915555218</v>
      </c>
      <c r="U330" s="9">
        <v>17.010379604817192</v>
      </c>
      <c r="V330" s="9">
        <v>17.010379604817192</v>
      </c>
      <c r="W330" s="9">
        <v>17.010379604817192</v>
      </c>
      <c r="X330" s="9">
        <v>16.884570568466835</v>
      </c>
      <c r="Y330" s="9">
        <v>16.884570568466835</v>
      </c>
      <c r="Z330" s="9">
        <v>18.617757359760585</v>
      </c>
      <c r="AA330" s="9">
        <v>18.617757359760585</v>
      </c>
      <c r="AB330" s="9">
        <v>20.52292271594289</v>
      </c>
      <c r="AC330" s="9">
        <v>20.52292271594289</v>
      </c>
      <c r="AD330" s="9">
        <v>22.530627040176761</v>
      </c>
      <c r="AE330" s="9">
        <v>24.654059850225856</v>
      </c>
      <c r="AF330" s="9">
        <v>28.622962393602329</v>
      </c>
      <c r="AG330" s="9">
        <v>28.622962393602329</v>
      </c>
      <c r="AH330" s="9">
        <v>31.011605245024167</v>
      </c>
      <c r="AI330" s="9">
        <v>33.330799286496742</v>
      </c>
      <c r="AJ330" s="9">
        <v>3.0428788910505911</v>
      </c>
    </row>
    <row r="331" spans="1:36" x14ac:dyDescent="0.25">
      <c r="A331" t="s">
        <v>5411</v>
      </c>
      <c r="B331" t="s">
        <v>16</v>
      </c>
      <c r="C331" t="s">
        <v>17</v>
      </c>
      <c r="D331">
        <v>14802000</v>
      </c>
      <c r="E331">
        <v>14812999</v>
      </c>
      <c r="F331" t="s">
        <v>274</v>
      </c>
      <c r="G331" t="str">
        <f t="shared" si="10"/>
        <v>SPI</v>
      </c>
      <c r="H331" t="s">
        <v>19</v>
      </c>
      <c r="I331" t="s">
        <v>20</v>
      </c>
      <c r="J331" t="s">
        <v>62</v>
      </c>
      <c r="K331" s="6">
        <v>0.03</v>
      </c>
      <c r="L331" s="7">
        <f t="shared" si="11"/>
        <v>2E-3</v>
      </c>
      <c r="M331" s="7">
        <v>3.0000000000000001E-3</v>
      </c>
      <c r="N331">
        <v>6</v>
      </c>
      <c r="O331" s="8">
        <v>14.260089507934383</v>
      </c>
      <c r="P331" s="9">
        <v>14.260089507934383</v>
      </c>
      <c r="Q331" s="9">
        <v>14.260089507934383</v>
      </c>
      <c r="R331" s="9">
        <v>14.434686024139818</v>
      </c>
      <c r="S331" s="9">
        <v>14.722027102535575</v>
      </c>
      <c r="T331" s="9">
        <v>15.677715915555218</v>
      </c>
      <c r="U331" s="9">
        <v>17.010379604817192</v>
      </c>
      <c r="V331" s="9">
        <v>17.010379604817192</v>
      </c>
      <c r="W331" s="9">
        <v>17.010379604817192</v>
      </c>
      <c r="X331" s="9">
        <v>16.884570568466835</v>
      </c>
      <c r="Y331" s="9">
        <v>16.884570568466835</v>
      </c>
      <c r="Z331" s="9">
        <v>18.617757359760585</v>
      </c>
      <c r="AA331" s="9">
        <v>18.617757359760585</v>
      </c>
      <c r="AB331" s="9">
        <v>20.52292271594289</v>
      </c>
      <c r="AC331" s="9">
        <v>20.52292271594289</v>
      </c>
      <c r="AD331" s="9">
        <v>22.530627040176761</v>
      </c>
      <c r="AE331" s="9">
        <v>24.654059850225856</v>
      </c>
      <c r="AF331" s="9">
        <v>28.622962393602329</v>
      </c>
      <c r="AG331" s="9">
        <v>28.622962393602329</v>
      </c>
      <c r="AH331" s="9">
        <v>31.011605245024167</v>
      </c>
      <c r="AI331" s="9">
        <v>33.330799286496742</v>
      </c>
      <c r="AJ331" s="9">
        <v>3.0428788910505911</v>
      </c>
    </row>
    <row r="332" spans="1:36" x14ac:dyDescent="0.25">
      <c r="A332" t="s">
        <v>5411</v>
      </c>
      <c r="B332" t="s">
        <v>16</v>
      </c>
      <c r="C332" t="s">
        <v>17</v>
      </c>
      <c r="D332">
        <v>14813000</v>
      </c>
      <c r="E332">
        <v>14814999</v>
      </c>
      <c r="F332" t="s">
        <v>275</v>
      </c>
      <c r="G332" t="str">
        <f t="shared" si="10"/>
        <v>SPI II</v>
      </c>
      <c r="H332" t="s">
        <v>19</v>
      </c>
      <c r="I332" t="s">
        <v>20</v>
      </c>
      <c r="J332" t="s">
        <v>64</v>
      </c>
      <c r="K332" s="6">
        <v>0.03</v>
      </c>
      <c r="L332" s="7">
        <f t="shared" si="11"/>
        <v>2E-3</v>
      </c>
      <c r="M332" s="7">
        <v>3.0000000000000001E-3</v>
      </c>
      <c r="N332">
        <v>9</v>
      </c>
      <c r="O332" s="8">
        <v>17.934556092922943</v>
      </c>
      <c r="P332" s="9">
        <v>17.934556092922943</v>
      </c>
      <c r="Q332" s="9">
        <v>17.934556092922943</v>
      </c>
      <c r="R332" s="9">
        <v>18.35577997371016</v>
      </c>
      <c r="S332" s="9">
        <v>18.404835306435746</v>
      </c>
      <c r="T332" s="9">
        <v>19.112621008962602</v>
      </c>
      <c r="U332" s="9">
        <v>20.35176903227914</v>
      </c>
      <c r="V332" s="9">
        <v>20.35176903227914</v>
      </c>
      <c r="W332" s="9">
        <v>20.35176903227914</v>
      </c>
      <c r="X332" s="9">
        <v>19.91589544268896</v>
      </c>
      <c r="Y332" s="9">
        <v>19.91589544268896</v>
      </c>
      <c r="Z332" s="9">
        <v>21.609947773831163</v>
      </c>
      <c r="AA332" s="9">
        <v>21.609947773831163</v>
      </c>
      <c r="AB332" s="9">
        <v>23.372671736151272</v>
      </c>
      <c r="AC332" s="9">
        <v>23.372671736151272</v>
      </c>
      <c r="AD332" s="9">
        <v>26.430826810726163</v>
      </c>
      <c r="AE332" s="9">
        <v>27.959768706413232</v>
      </c>
      <c r="AF332" s="9">
        <v>29.772701744670762</v>
      </c>
      <c r="AG332" s="9">
        <v>29.772701744670762</v>
      </c>
      <c r="AH332" s="9">
        <v>32.589351949315954</v>
      </c>
      <c r="AI332" s="9">
        <v>34.825222308406182</v>
      </c>
      <c r="AJ332" s="9">
        <v>3.0428788910505911</v>
      </c>
    </row>
    <row r="333" spans="1:36" x14ac:dyDescent="0.25">
      <c r="A333" t="s">
        <v>5411</v>
      </c>
      <c r="B333" t="s">
        <v>16</v>
      </c>
      <c r="C333" t="s">
        <v>17</v>
      </c>
      <c r="D333">
        <v>14815000</v>
      </c>
      <c r="E333">
        <v>14819999</v>
      </c>
      <c r="F333" t="s">
        <v>276</v>
      </c>
      <c r="G333" t="str">
        <f t="shared" si="10"/>
        <v>SPI II</v>
      </c>
      <c r="H333" t="s">
        <v>19</v>
      </c>
      <c r="I333" t="s">
        <v>20</v>
      </c>
      <c r="J333" t="s">
        <v>64</v>
      </c>
      <c r="K333" s="6">
        <v>0.03</v>
      </c>
      <c r="L333" s="7">
        <f t="shared" si="11"/>
        <v>2E-3</v>
      </c>
      <c r="M333" s="7">
        <v>3.0000000000000001E-3</v>
      </c>
      <c r="N333">
        <v>7</v>
      </c>
      <c r="O333" s="8">
        <v>17.934556092922943</v>
      </c>
      <c r="P333" s="9">
        <v>17.934556092922943</v>
      </c>
      <c r="Q333" s="9">
        <v>17.934556092922943</v>
      </c>
      <c r="R333" s="9">
        <v>18.35577997371016</v>
      </c>
      <c r="S333" s="9">
        <v>18.404835306435746</v>
      </c>
      <c r="T333" s="9">
        <v>19.112621008962602</v>
      </c>
      <c r="U333" s="9">
        <v>20.35176903227914</v>
      </c>
      <c r="V333" s="9">
        <v>20.35176903227914</v>
      </c>
      <c r="W333" s="9">
        <v>20.35176903227914</v>
      </c>
      <c r="X333" s="9">
        <v>19.91589544268896</v>
      </c>
      <c r="Y333" s="9">
        <v>19.91589544268896</v>
      </c>
      <c r="Z333" s="9">
        <v>21.609947773831163</v>
      </c>
      <c r="AA333" s="9">
        <v>21.609947773831163</v>
      </c>
      <c r="AB333" s="9">
        <v>23.372671736151272</v>
      </c>
      <c r="AC333" s="9">
        <v>23.372671736151272</v>
      </c>
      <c r="AD333" s="9">
        <v>26.430826810726163</v>
      </c>
      <c r="AE333" s="9">
        <v>27.959768706413232</v>
      </c>
      <c r="AF333" s="9">
        <v>29.772701744670762</v>
      </c>
      <c r="AG333" s="9">
        <v>29.772701744670762</v>
      </c>
      <c r="AH333" s="9">
        <v>32.589351949315954</v>
      </c>
      <c r="AI333" s="9">
        <v>34.825222308406182</v>
      </c>
      <c r="AJ333" s="9">
        <v>3.0428788910505911</v>
      </c>
    </row>
    <row r="334" spans="1:36" x14ac:dyDescent="0.25">
      <c r="A334" t="s">
        <v>5411</v>
      </c>
      <c r="B334" t="s">
        <v>16</v>
      </c>
      <c r="C334" t="s">
        <v>17</v>
      </c>
      <c r="D334">
        <v>14820000</v>
      </c>
      <c r="E334">
        <v>14824999</v>
      </c>
      <c r="F334" t="s">
        <v>277</v>
      </c>
      <c r="G334" t="str">
        <f t="shared" si="10"/>
        <v>SPI II</v>
      </c>
      <c r="H334" t="s">
        <v>19</v>
      </c>
      <c r="I334" t="s">
        <v>20</v>
      </c>
      <c r="J334" t="s">
        <v>64</v>
      </c>
      <c r="K334" s="6">
        <v>0.03</v>
      </c>
      <c r="L334" s="7">
        <f t="shared" si="11"/>
        <v>2E-3</v>
      </c>
      <c r="M334" s="7">
        <v>3.0000000000000001E-3</v>
      </c>
      <c r="N334">
        <v>6</v>
      </c>
      <c r="O334" s="8">
        <v>17.934556092922943</v>
      </c>
      <c r="P334" s="9">
        <v>17.934556092922943</v>
      </c>
      <c r="Q334" s="9">
        <v>17.934556092922943</v>
      </c>
      <c r="R334" s="9">
        <v>18.35577997371016</v>
      </c>
      <c r="S334" s="9">
        <v>18.404835306435746</v>
      </c>
      <c r="T334" s="9">
        <v>19.112621008962602</v>
      </c>
      <c r="U334" s="9">
        <v>20.35176903227914</v>
      </c>
      <c r="V334" s="9">
        <v>20.35176903227914</v>
      </c>
      <c r="W334" s="9">
        <v>20.35176903227914</v>
      </c>
      <c r="X334" s="9">
        <v>19.91589544268896</v>
      </c>
      <c r="Y334" s="9">
        <v>19.91589544268896</v>
      </c>
      <c r="Z334" s="9">
        <v>21.609947773831163</v>
      </c>
      <c r="AA334" s="9">
        <v>21.609947773831163</v>
      </c>
      <c r="AB334" s="9">
        <v>23.372671736151272</v>
      </c>
      <c r="AC334" s="9">
        <v>23.372671736151272</v>
      </c>
      <c r="AD334" s="9">
        <v>26.430826810726163</v>
      </c>
      <c r="AE334" s="9">
        <v>27.959768706413232</v>
      </c>
      <c r="AF334" s="9">
        <v>29.772701744670762</v>
      </c>
      <c r="AG334" s="9">
        <v>29.772701744670762</v>
      </c>
      <c r="AH334" s="9">
        <v>32.589351949315954</v>
      </c>
      <c r="AI334" s="9">
        <v>34.825222308406182</v>
      </c>
      <c r="AJ334" s="9">
        <v>3.0428788910505911</v>
      </c>
    </row>
    <row r="335" spans="1:36" x14ac:dyDescent="0.25">
      <c r="A335" t="s">
        <v>5411</v>
      </c>
      <c r="B335" t="s">
        <v>16</v>
      </c>
      <c r="C335" t="s">
        <v>17</v>
      </c>
      <c r="D335">
        <v>14825000</v>
      </c>
      <c r="E335">
        <v>14829999</v>
      </c>
      <c r="F335" t="s">
        <v>278</v>
      </c>
      <c r="G335" t="str">
        <f t="shared" si="10"/>
        <v>SPI II</v>
      </c>
      <c r="H335" t="s">
        <v>19</v>
      </c>
      <c r="I335" t="s">
        <v>20</v>
      </c>
      <c r="J335" t="s">
        <v>64</v>
      </c>
      <c r="K335" s="6">
        <v>0.03</v>
      </c>
      <c r="L335" s="7">
        <f t="shared" si="11"/>
        <v>2E-3</v>
      </c>
      <c r="M335" s="7">
        <v>3.0000000000000001E-3</v>
      </c>
      <c r="N335">
        <v>8</v>
      </c>
      <c r="O335" s="8">
        <v>17.934556092922943</v>
      </c>
      <c r="P335" s="9">
        <v>17.934556092922943</v>
      </c>
      <c r="Q335" s="9">
        <v>17.934556092922943</v>
      </c>
      <c r="R335" s="9">
        <v>18.35577997371016</v>
      </c>
      <c r="S335" s="9">
        <v>18.404835306435746</v>
      </c>
      <c r="T335" s="9">
        <v>19.112621008962602</v>
      </c>
      <c r="U335" s="9">
        <v>20.35176903227914</v>
      </c>
      <c r="V335" s="9">
        <v>20.35176903227914</v>
      </c>
      <c r="W335" s="9">
        <v>20.35176903227914</v>
      </c>
      <c r="X335" s="9">
        <v>19.91589544268896</v>
      </c>
      <c r="Y335" s="9">
        <v>19.91589544268896</v>
      </c>
      <c r="Z335" s="9">
        <v>21.609947773831163</v>
      </c>
      <c r="AA335" s="9">
        <v>21.609947773831163</v>
      </c>
      <c r="AB335" s="9">
        <v>23.372671736151272</v>
      </c>
      <c r="AC335" s="9">
        <v>23.372671736151272</v>
      </c>
      <c r="AD335" s="9">
        <v>26.430826810726163</v>
      </c>
      <c r="AE335" s="9">
        <v>27.959768706413232</v>
      </c>
      <c r="AF335" s="9">
        <v>29.772701744670762</v>
      </c>
      <c r="AG335" s="9">
        <v>29.772701744670762</v>
      </c>
      <c r="AH335" s="9">
        <v>32.589351949315954</v>
      </c>
      <c r="AI335" s="9">
        <v>34.825222308406182</v>
      </c>
      <c r="AJ335" s="9">
        <v>3.0428788910505911</v>
      </c>
    </row>
    <row r="336" spans="1:36" x14ac:dyDescent="0.25">
      <c r="A336" t="s">
        <v>5411</v>
      </c>
      <c r="B336" t="s">
        <v>16</v>
      </c>
      <c r="C336" t="s">
        <v>17</v>
      </c>
      <c r="D336">
        <v>14830000</v>
      </c>
      <c r="E336">
        <v>14834999</v>
      </c>
      <c r="F336" t="s">
        <v>279</v>
      </c>
      <c r="G336" t="str">
        <f t="shared" si="10"/>
        <v>SPI II</v>
      </c>
      <c r="H336" t="s">
        <v>19</v>
      </c>
      <c r="I336" t="s">
        <v>20</v>
      </c>
      <c r="J336" t="s">
        <v>64</v>
      </c>
      <c r="K336" s="6">
        <v>0.03</v>
      </c>
      <c r="L336" s="7">
        <f t="shared" si="11"/>
        <v>2E-3</v>
      </c>
      <c r="M336" s="7">
        <v>3.0000000000000001E-3</v>
      </c>
      <c r="N336">
        <v>9</v>
      </c>
      <c r="O336" s="8">
        <v>17.934556092922943</v>
      </c>
      <c r="P336" s="9">
        <v>17.934556092922943</v>
      </c>
      <c r="Q336" s="9">
        <v>17.934556092922943</v>
      </c>
      <c r="R336" s="9">
        <v>18.35577997371016</v>
      </c>
      <c r="S336" s="9">
        <v>18.404835306435746</v>
      </c>
      <c r="T336" s="9">
        <v>19.112621008962602</v>
      </c>
      <c r="U336" s="9">
        <v>20.35176903227914</v>
      </c>
      <c r="V336" s="9">
        <v>20.35176903227914</v>
      </c>
      <c r="W336" s="9">
        <v>20.35176903227914</v>
      </c>
      <c r="X336" s="9">
        <v>19.91589544268896</v>
      </c>
      <c r="Y336" s="9">
        <v>19.91589544268896</v>
      </c>
      <c r="Z336" s="9">
        <v>21.609947773831163</v>
      </c>
      <c r="AA336" s="9">
        <v>21.609947773831163</v>
      </c>
      <c r="AB336" s="9">
        <v>23.372671736151272</v>
      </c>
      <c r="AC336" s="9">
        <v>23.372671736151272</v>
      </c>
      <c r="AD336" s="9">
        <v>26.430826810726163</v>
      </c>
      <c r="AE336" s="9">
        <v>27.959768706413232</v>
      </c>
      <c r="AF336" s="9">
        <v>29.772701744670762</v>
      </c>
      <c r="AG336" s="9">
        <v>29.772701744670762</v>
      </c>
      <c r="AH336" s="9">
        <v>32.589351949315954</v>
      </c>
      <c r="AI336" s="9">
        <v>34.825222308406182</v>
      </c>
      <c r="AJ336" s="9">
        <v>3.0428788910505911</v>
      </c>
    </row>
    <row r="337" spans="1:36" x14ac:dyDescent="0.25">
      <c r="A337" t="s">
        <v>5411</v>
      </c>
      <c r="B337" t="s">
        <v>16</v>
      </c>
      <c r="C337" t="s">
        <v>17</v>
      </c>
      <c r="D337">
        <v>14835000</v>
      </c>
      <c r="E337">
        <v>14839999</v>
      </c>
      <c r="F337" t="s">
        <v>280</v>
      </c>
      <c r="G337" t="str">
        <f t="shared" si="10"/>
        <v>SPI II</v>
      </c>
      <c r="H337" t="s">
        <v>19</v>
      </c>
      <c r="I337" t="s">
        <v>20</v>
      </c>
      <c r="J337" t="s">
        <v>64</v>
      </c>
      <c r="K337" s="6">
        <v>0.03</v>
      </c>
      <c r="L337" s="7">
        <f t="shared" si="11"/>
        <v>2E-3</v>
      </c>
      <c r="M337" s="7">
        <v>3.0000000000000001E-3</v>
      </c>
      <c r="N337">
        <v>7</v>
      </c>
      <c r="O337" s="8">
        <v>17.934556092922943</v>
      </c>
      <c r="P337" s="9">
        <v>17.934556092922943</v>
      </c>
      <c r="Q337" s="9">
        <v>17.934556092922943</v>
      </c>
      <c r="R337" s="9">
        <v>18.35577997371016</v>
      </c>
      <c r="S337" s="9">
        <v>18.404835306435746</v>
      </c>
      <c r="T337" s="9">
        <v>19.112621008962602</v>
      </c>
      <c r="U337" s="9">
        <v>20.35176903227914</v>
      </c>
      <c r="V337" s="9">
        <v>20.35176903227914</v>
      </c>
      <c r="W337" s="9">
        <v>20.35176903227914</v>
      </c>
      <c r="X337" s="9">
        <v>19.91589544268896</v>
      </c>
      <c r="Y337" s="9">
        <v>19.91589544268896</v>
      </c>
      <c r="Z337" s="9">
        <v>21.609947773831163</v>
      </c>
      <c r="AA337" s="9">
        <v>21.609947773831163</v>
      </c>
      <c r="AB337" s="9">
        <v>23.372671736151272</v>
      </c>
      <c r="AC337" s="9">
        <v>23.372671736151272</v>
      </c>
      <c r="AD337" s="9">
        <v>26.430826810726163</v>
      </c>
      <c r="AE337" s="9">
        <v>27.959768706413232</v>
      </c>
      <c r="AF337" s="9">
        <v>29.772701744670762</v>
      </c>
      <c r="AG337" s="9">
        <v>29.772701744670762</v>
      </c>
      <c r="AH337" s="9">
        <v>32.589351949315954</v>
      </c>
      <c r="AI337" s="9">
        <v>34.825222308406182</v>
      </c>
      <c r="AJ337" s="9">
        <v>3.0428788910505911</v>
      </c>
    </row>
    <row r="338" spans="1:36" x14ac:dyDescent="0.25">
      <c r="A338" t="s">
        <v>5411</v>
      </c>
      <c r="B338" t="s">
        <v>16</v>
      </c>
      <c r="C338" t="s">
        <v>17</v>
      </c>
      <c r="D338">
        <v>14840000</v>
      </c>
      <c r="E338">
        <v>14849999</v>
      </c>
      <c r="F338" t="s">
        <v>281</v>
      </c>
      <c r="G338" t="str">
        <f t="shared" si="10"/>
        <v>SPI II</v>
      </c>
      <c r="H338" t="s">
        <v>19</v>
      </c>
      <c r="I338" t="s">
        <v>20</v>
      </c>
      <c r="J338" t="s">
        <v>64</v>
      </c>
      <c r="K338" s="6">
        <v>0.03</v>
      </c>
      <c r="L338" s="7">
        <f t="shared" si="11"/>
        <v>2E-3</v>
      </c>
      <c r="M338" s="7">
        <v>3.0000000000000001E-3</v>
      </c>
      <c r="N338">
        <v>7</v>
      </c>
      <c r="O338" s="8">
        <v>17.934556092922943</v>
      </c>
      <c r="P338" s="9">
        <v>17.934556092922943</v>
      </c>
      <c r="Q338" s="9">
        <v>17.934556092922943</v>
      </c>
      <c r="R338" s="9">
        <v>18.35577997371016</v>
      </c>
      <c r="S338" s="9">
        <v>18.404835306435746</v>
      </c>
      <c r="T338" s="9">
        <v>19.112621008962602</v>
      </c>
      <c r="U338" s="9">
        <v>20.35176903227914</v>
      </c>
      <c r="V338" s="9">
        <v>20.35176903227914</v>
      </c>
      <c r="W338" s="9">
        <v>20.35176903227914</v>
      </c>
      <c r="X338" s="9">
        <v>19.91589544268896</v>
      </c>
      <c r="Y338" s="9">
        <v>19.91589544268896</v>
      </c>
      <c r="Z338" s="9">
        <v>21.609947773831163</v>
      </c>
      <c r="AA338" s="9">
        <v>21.609947773831163</v>
      </c>
      <c r="AB338" s="9">
        <v>23.372671736151272</v>
      </c>
      <c r="AC338" s="9">
        <v>23.372671736151272</v>
      </c>
      <c r="AD338" s="9">
        <v>26.430826810726163</v>
      </c>
      <c r="AE338" s="9">
        <v>27.959768706413232</v>
      </c>
      <c r="AF338" s="9">
        <v>29.772701744670762</v>
      </c>
      <c r="AG338" s="9">
        <v>29.772701744670762</v>
      </c>
      <c r="AH338" s="9">
        <v>32.589351949315954</v>
      </c>
      <c r="AI338" s="9">
        <v>34.825222308406182</v>
      </c>
      <c r="AJ338" s="9">
        <v>3.0428788910505911</v>
      </c>
    </row>
    <row r="339" spans="1:36" x14ac:dyDescent="0.25">
      <c r="A339" t="s">
        <v>5411</v>
      </c>
      <c r="B339" t="s">
        <v>16</v>
      </c>
      <c r="C339" t="s">
        <v>17</v>
      </c>
      <c r="D339">
        <v>14850000</v>
      </c>
      <c r="E339">
        <v>14859999</v>
      </c>
      <c r="F339" t="s">
        <v>282</v>
      </c>
      <c r="G339" t="str">
        <f t="shared" si="10"/>
        <v>SPI II</v>
      </c>
      <c r="H339" t="s">
        <v>19</v>
      </c>
      <c r="I339" t="s">
        <v>20</v>
      </c>
      <c r="J339" t="s">
        <v>64</v>
      </c>
      <c r="K339" s="6">
        <v>0.03</v>
      </c>
      <c r="L339" s="7">
        <f t="shared" si="11"/>
        <v>2E-3</v>
      </c>
      <c r="M339" s="7">
        <v>3.0000000000000001E-3</v>
      </c>
      <c r="N339">
        <v>7</v>
      </c>
      <c r="O339" s="8">
        <v>17.934556092922943</v>
      </c>
      <c r="P339" s="9">
        <v>17.934556092922943</v>
      </c>
      <c r="Q339" s="9">
        <v>17.934556092922943</v>
      </c>
      <c r="R339" s="9">
        <v>18.35577997371016</v>
      </c>
      <c r="S339" s="9">
        <v>18.404835306435746</v>
      </c>
      <c r="T339" s="9">
        <v>19.112621008962602</v>
      </c>
      <c r="U339" s="9">
        <v>20.35176903227914</v>
      </c>
      <c r="V339" s="9">
        <v>20.35176903227914</v>
      </c>
      <c r="W339" s="9">
        <v>20.35176903227914</v>
      </c>
      <c r="X339" s="9">
        <v>19.91589544268896</v>
      </c>
      <c r="Y339" s="9">
        <v>19.91589544268896</v>
      </c>
      <c r="Z339" s="9">
        <v>21.609947773831163</v>
      </c>
      <c r="AA339" s="9">
        <v>21.609947773831163</v>
      </c>
      <c r="AB339" s="9">
        <v>23.372671736151272</v>
      </c>
      <c r="AC339" s="9">
        <v>23.372671736151272</v>
      </c>
      <c r="AD339" s="9">
        <v>26.430826810726163</v>
      </c>
      <c r="AE339" s="9">
        <v>27.959768706413232</v>
      </c>
      <c r="AF339" s="9">
        <v>29.772701744670762</v>
      </c>
      <c r="AG339" s="9">
        <v>29.772701744670762</v>
      </c>
      <c r="AH339" s="9">
        <v>32.589351949315954</v>
      </c>
      <c r="AI339" s="9">
        <v>34.825222308406182</v>
      </c>
      <c r="AJ339" s="9">
        <v>3.0428788910505911</v>
      </c>
    </row>
    <row r="340" spans="1:36" x14ac:dyDescent="0.25">
      <c r="A340" t="s">
        <v>5411</v>
      </c>
      <c r="B340" t="s">
        <v>16</v>
      </c>
      <c r="C340" t="s">
        <v>17</v>
      </c>
      <c r="D340">
        <v>14860000</v>
      </c>
      <c r="E340">
        <v>14869999</v>
      </c>
      <c r="F340" t="s">
        <v>283</v>
      </c>
      <c r="G340" t="str">
        <f t="shared" si="10"/>
        <v>SPI II</v>
      </c>
      <c r="H340" t="s">
        <v>19</v>
      </c>
      <c r="I340" t="s">
        <v>20</v>
      </c>
      <c r="J340" t="s">
        <v>64</v>
      </c>
      <c r="K340" s="6">
        <v>0.03</v>
      </c>
      <c r="L340" s="7">
        <f t="shared" si="11"/>
        <v>2E-3</v>
      </c>
      <c r="M340" s="7">
        <v>3.0000000000000001E-3</v>
      </c>
      <c r="N340">
        <v>7</v>
      </c>
      <c r="O340" s="8">
        <v>17.934556092922943</v>
      </c>
      <c r="P340" s="9">
        <v>17.934556092922943</v>
      </c>
      <c r="Q340" s="9">
        <v>17.934556092922943</v>
      </c>
      <c r="R340" s="9">
        <v>18.35577997371016</v>
      </c>
      <c r="S340" s="9">
        <v>18.404835306435746</v>
      </c>
      <c r="T340" s="9">
        <v>19.112621008962602</v>
      </c>
      <c r="U340" s="9">
        <v>20.35176903227914</v>
      </c>
      <c r="V340" s="9">
        <v>20.35176903227914</v>
      </c>
      <c r="W340" s="9">
        <v>20.35176903227914</v>
      </c>
      <c r="X340" s="9">
        <v>19.91589544268896</v>
      </c>
      <c r="Y340" s="9">
        <v>19.91589544268896</v>
      </c>
      <c r="Z340" s="9">
        <v>21.609947773831163</v>
      </c>
      <c r="AA340" s="9">
        <v>21.609947773831163</v>
      </c>
      <c r="AB340" s="9">
        <v>23.372671736151272</v>
      </c>
      <c r="AC340" s="9">
        <v>23.372671736151272</v>
      </c>
      <c r="AD340" s="9">
        <v>26.430826810726163</v>
      </c>
      <c r="AE340" s="9">
        <v>27.959768706413232</v>
      </c>
      <c r="AF340" s="9">
        <v>29.772701744670762</v>
      </c>
      <c r="AG340" s="9">
        <v>29.772701744670762</v>
      </c>
      <c r="AH340" s="9">
        <v>32.589351949315954</v>
      </c>
      <c r="AI340" s="9">
        <v>34.825222308406182</v>
      </c>
      <c r="AJ340" s="9">
        <v>3.0428788910505911</v>
      </c>
    </row>
    <row r="341" spans="1:36" x14ac:dyDescent="0.25">
      <c r="A341" t="s">
        <v>5411</v>
      </c>
      <c r="B341" t="s">
        <v>16</v>
      </c>
      <c r="C341" t="s">
        <v>17</v>
      </c>
      <c r="D341">
        <v>14870000</v>
      </c>
      <c r="E341">
        <v>14899999</v>
      </c>
      <c r="F341" t="s">
        <v>284</v>
      </c>
      <c r="G341" t="str">
        <f t="shared" si="10"/>
        <v>SPI II</v>
      </c>
      <c r="H341" t="s">
        <v>19</v>
      </c>
      <c r="I341" t="s">
        <v>20</v>
      </c>
      <c r="J341" t="s">
        <v>64</v>
      </c>
      <c r="K341" s="6">
        <v>0.03</v>
      </c>
      <c r="L341" s="7">
        <f t="shared" si="11"/>
        <v>2E-3</v>
      </c>
      <c r="M341" s="7">
        <v>3.0000000000000001E-3</v>
      </c>
      <c r="N341">
        <v>7</v>
      </c>
      <c r="O341" s="8">
        <v>17.934556092922943</v>
      </c>
      <c r="P341" s="9">
        <v>17.934556092922943</v>
      </c>
      <c r="Q341" s="9">
        <v>17.934556092922943</v>
      </c>
      <c r="R341" s="9">
        <v>18.35577997371016</v>
      </c>
      <c r="S341" s="9">
        <v>18.404835306435746</v>
      </c>
      <c r="T341" s="9">
        <v>19.112621008962602</v>
      </c>
      <c r="U341" s="9">
        <v>20.35176903227914</v>
      </c>
      <c r="V341" s="9">
        <v>20.35176903227914</v>
      </c>
      <c r="W341" s="9">
        <v>20.35176903227914</v>
      </c>
      <c r="X341" s="9">
        <v>19.91589544268896</v>
      </c>
      <c r="Y341" s="9">
        <v>19.91589544268896</v>
      </c>
      <c r="Z341" s="9">
        <v>21.609947773831163</v>
      </c>
      <c r="AA341" s="9">
        <v>21.609947773831163</v>
      </c>
      <c r="AB341" s="9">
        <v>23.372671736151272</v>
      </c>
      <c r="AC341" s="9">
        <v>23.372671736151272</v>
      </c>
      <c r="AD341" s="9">
        <v>26.430826810726163</v>
      </c>
      <c r="AE341" s="9">
        <v>27.959768706413232</v>
      </c>
      <c r="AF341" s="9">
        <v>29.772701744670762</v>
      </c>
      <c r="AG341" s="9">
        <v>29.772701744670762</v>
      </c>
      <c r="AH341" s="9">
        <v>32.589351949315954</v>
      </c>
      <c r="AI341" s="9">
        <v>34.825222308406182</v>
      </c>
      <c r="AJ341" s="9">
        <v>3.0428788910505911</v>
      </c>
    </row>
    <row r="342" spans="1:36" x14ac:dyDescent="0.25">
      <c r="A342" t="s">
        <v>5411</v>
      </c>
      <c r="B342" t="s">
        <v>16</v>
      </c>
      <c r="C342" t="s">
        <v>17</v>
      </c>
      <c r="D342">
        <v>14900000</v>
      </c>
      <c r="E342">
        <v>14909999</v>
      </c>
      <c r="F342" t="s">
        <v>285</v>
      </c>
      <c r="G342" t="str">
        <f t="shared" si="10"/>
        <v>SPI II</v>
      </c>
      <c r="H342" t="s">
        <v>19</v>
      </c>
      <c r="I342" t="s">
        <v>20</v>
      </c>
      <c r="J342" t="s">
        <v>64</v>
      </c>
      <c r="K342" s="6">
        <v>0.03</v>
      </c>
      <c r="L342" s="7">
        <f t="shared" si="11"/>
        <v>2E-3</v>
      </c>
      <c r="M342" s="7">
        <v>3.0000000000000001E-3</v>
      </c>
      <c r="N342">
        <v>7</v>
      </c>
      <c r="O342" s="8">
        <v>17.934556092922943</v>
      </c>
      <c r="P342" s="9">
        <v>17.934556092922943</v>
      </c>
      <c r="Q342" s="9">
        <v>17.934556092922943</v>
      </c>
      <c r="R342" s="9">
        <v>18.35577997371016</v>
      </c>
      <c r="S342" s="9">
        <v>18.404835306435746</v>
      </c>
      <c r="T342" s="9">
        <v>19.112621008962602</v>
      </c>
      <c r="U342" s="9">
        <v>20.35176903227914</v>
      </c>
      <c r="V342" s="9">
        <v>20.35176903227914</v>
      </c>
      <c r="W342" s="9">
        <v>20.35176903227914</v>
      </c>
      <c r="X342" s="9">
        <v>19.91589544268896</v>
      </c>
      <c r="Y342" s="9">
        <v>19.91589544268896</v>
      </c>
      <c r="Z342" s="9">
        <v>21.609947773831163</v>
      </c>
      <c r="AA342" s="9">
        <v>21.609947773831163</v>
      </c>
      <c r="AB342" s="9">
        <v>23.372671736151272</v>
      </c>
      <c r="AC342" s="9">
        <v>23.372671736151272</v>
      </c>
      <c r="AD342" s="9">
        <v>26.430826810726163</v>
      </c>
      <c r="AE342" s="9">
        <v>27.959768706413232</v>
      </c>
      <c r="AF342" s="9">
        <v>29.772701744670762</v>
      </c>
      <c r="AG342" s="9">
        <v>29.772701744670762</v>
      </c>
      <c r="AH342" s="9">
        <v>32.589351949315954</v>
      </c>
      <c r="AI342" s="9">
        <v>34.825222308406182</v>
      </c>
      <c r="AJ342" s="9">
        <v>3.0428788910505911</v>
      </c>
    </row>
    <row r="343" spans="1:36" x14ac:dyDescent="0.25">
      <c r="A343" t="s">
        <v>5411</v>
      </c>
      <c r="B343" t="s">
        <v>16</v>
      </c>
      <c r="C343" t="s">
        <v>17</v>
      </c>
      <c r="D343">
        <v>14910000</v>
      </c>
      <c r="E343">
        <v>14919999</v>
      </c>
      <c r="F343" t="s">
        <v>286</v>
      </c>
      <c r="G343" t="str">
        <f t="shared" si="10"/>
        <v>SPI II</v>
      </c>
      <c r="H343" t="s">
        <v>19</v>
      </c>
      <c r="I343" t="s">
        <v>20</v>
      </c>
      <c r="J343" t="s">
        <v>64</v>
      </c>
      <c r="K343" s="6">
        <v>0.03</v>
      </c>
      <c r="L343" s="7">
        <f t="shared" si="11"/>
        <v>2E-3</v>
      </c>
      <c r="M343" s="7">
        <v>3.0000000000000001E-3</v>
      </c>
      <c r="N343">
        <v>8</v>
      </c>
      <c r="O343" s="8">
        <v>17.934556092922943</v>
      </c>
      <c r="P343" s="9">
        <v>17.934556092922943</v>
      </c>
      <c r="Q343" s="9">
        <v>17.934556092922943</v>
      </c>
      <c r="R343" s="9">
        <v>18.35577997371016</v>
      </c>
      <c r="S343" s="9">
        <v>18.404835306435746</v>
      </c>
      <c r="T343" s="9">
        <v>19.112621008962602</v>
      </c>
      <c r="U343" s="9">
        <v>20.35176903227914</v>
      </c>
      <c r="V343" s="9">
        <v>20.35176903227914</v>
      </c>
      <c r="W343" s="9">
        <v>20.35176903227914</v>
      </c>
      <c r="X343" s="9">
        <v>19.91589544268896</v>
      </c>
      <c r="Y343" s="9">
        <v>19.91589544268896</v>
      </c>
      <c r="Z343" s="9">
        <v>21.609947773831163</v>
      </c>
      <c r="AA343" s="9">
        <v>21.609947773831163</v>
      </c>
      <c r="AB343" s="9">
        <v>23.372671736151272</v>
      </c>
      <c r="AC343" s="9">
        <v>23.372671736151272</v>
      </c>
      <c r="AD343" s="9">
        <v>26.430826810726163</v>
      </c>
      <c r="AE343" s="9">
        <v>27.959768706413232</v>
      </c>
      <c r="AF343" s="9">
        <v>29.772701744670762</v>
      </c>
      <c r="AG343" s="9">
        <v>29.772701744670762</v>
      </c>
      <c r="AH343" s="9">
        <v>32.589351949315954</v>
      </c>
      <c r="AI343" s="9">
        <v>34.825222308406182</v>
      </c>
      <c r="AJ343" s="9">
        <v>3.0428788910505911</v>
      </c>
    </row>
    <row r="344" spans="1:36" x14ac:dyDescent="0.25">
      <c r="A344" t="s">
        <v>5411</v>
      </c>
      <c r="B344" t="s">
        <v>16</v>
      </c>
      <c r="C344" t="s">
        <v>17</v>
      </c>
      <c r="D344">
        <v>14920000</v>
      </c>
      <c r="E344">
        <v>14929999</v>
      </c>
      <c r="F344" t="s">
        <v>287</v>
      </c>
      <c r="G344" t="str">
        <f t="shared" si="10"/>
        <v>SPI II</v>
      </c>
      <c r="H344" t="s">
        <v>19</v>
      </c>
      <c r="I344" t="s">
        <v>20</v>
      </c>
      <c r="J344" t="s">
        <v>64</v>
      </c>
      <c r="K344" s="6">
        <v>0.03</v>
      </c>
      <c r="L344" s="7">
        <f t="shared" si="11"/>
        <v>2E-3</v>
      </c>
      <c r="M344" s="7">
        <v>3.0000000000000001E-3</v>
      </c>
      <c r="N344">
        <v>8</v>
      </c>
      <c r="O344" s="8">
        <v>17.934556092922943</v>
      </c>
      <c r="P344" s="9">
        <v>17.934556092922943</v>
      </c>
      <c r="Q344" s="9">
        <v>17.934556092922943</v>
      </c>
      <c r="R344" s="9">
        <v>18.35577997371016</v>
      </c>
      <c r="S344" s="9">
        <v>18.404835306435746</v>
      </c>
      <c r="T344" s="9">
        <v>19.112621008962602</v>
      </c>
      <c r="U344" s="9">
        <v>20.35176903227914</v>
      </c>
      <c r="V344" s="9">
        <v>20.35176903227914</v>
      </c>
      <c r="W344" s="9">
        <v>20.35176903227914</v>
      </c>
      <c r="X344" s="9">
        <v>19.91589544268896</v>
      </c>
      <c r="Y344" s="9">
        <v>19.91589544268896</v>
      </c>
      <c r="Z344" s="9">
        <v>21.609947773831163</v>
      </c>
      <c r="AA344" s="9">
        <v>21.609947773831163</v>
      </c>
      <c r="AB344" s="9">
        <v>23.372671736151272</v>
      </c>
      <c r="AC344" s="9">
        <v>23.372671736151272</v>
      </c>
      <c r="AD344" s="9">
        <v>26.430826810726163</v>
      </c>
      <c r="AE344" s="9">
        <v>27.959768706413232</v>
      </c>
      <c r="AF344" s="9">
        <v>29.772701744670762</v>
      </c>
      <c r="AG344" s="9">
        <v>29.772701744670762</v>
      </c>
      <c r="AH344" s="9">
        <v>32.589351949315954</v>
      </c>
      <c r="AI344" s="9">
        <v>34.825222308406182</v>
      </c>
      <c r="AJ344" s="9">
        <v>3.0428788910505911</v>
      </c>
    </row>
    <row r="345" spans="1:36" x14ac:dyDescent="0.25">
      <c r="A345" t="s">
        <v>5411</v>
      </c>
      <c r="B345" t="s">
        <v>16</v>
      </c>
      <c r="C345" t="s">
        <v>17</v>
      </c>
      <c r="D345">
        <v>14930000</v>
      </c>
      <c r="E345">
        <v>14934999</v>
      </c>
      <c r="F345" t="s">
        <v>288</v>
      </c>
      <c r="G345" t="str">
        <f t="shared" si="10"/>
        <v>SPI II</v>
      </c>
      <c r="H345" t="s">
        <v>19</v>
      </c>
      <c r="I345" t="s">
        <v>20</v>
      </c>
      <c r="J345" t="s">
        <v>64</v>
      </c>
      <c r="K345" s="6">
        <v>0.03</v>
      </c>
      <c r="L345" s="7">
        <f t="shared" si="11"/>
        <v>2E-3</v>
      </c>
      <c r="M345" s="7">
        <v>3.0000000000000001E-3</v>
      </c>
      <c r="N345">
        <v>9</v>
      </c>
      <c r="O345" s="8">
        <v>17.934556092922943</v>
      </c>
      <c r="P345" s="9">
        <v>17.934556092922943</v>
      </c>
      <c r="Q345" s="9">
        <v>17.934556092922943</v>
      </c>
      <c r="R345" s="9">
        <v>18.35577997371016</v>
      </c>
      <c r="S345" s="9">
        <v>18.404835306435746</v>
      </c>
      <c r="T345" s="9">
        <v>19.112621008962602</v>
      </c>
      <c r="U345" s="9">
        <v>20.35176903227914</v>
      </c>
      <c r="V345" s="9">
        <v>20.35176903227914</v>
      </c>
      <c r="W345" s="9">
        <v>20.35176903227914</v>
      </c>
      <c r="X345" s="9">
        <v>19.91589544268896</v>
      </c>
      <c r="Y345" s="9">
        <v>19.91589544268896</v>
      </c>
      <c r="Z345" s="9">
        <v>21.609947773831163</v>
      </c>
      <c r="AA345" s="9">
        <v>21.609947773831163</v>
      </c>
      <c r="AB345" s="9">
        <v>23.372671736151272</v>
      </c>
      <c r="AC345" s="9">
        <v>23.372671736151272</v>
      </c>
      <c r="AD345" s="9">
        <v>26.430826810726163</v>
      </c>
      <c r="AE345" s="9">
        <v>27.959768706413232</v>
      </c>
      <c r="AF345" s="9">
        <v>29.772701744670762</v>
      </c>
      <c r="AG345" s="9">
        <v>29.772701744670762</v>
      </c>
      <c r="AH345" s="9">
        <v>32.589351949315954</v>
      </c>
      <c r="AI345" s="9">
        <v>34.825222308406182</v>
      </c>
      <c r="AJ345" s="9">
        <v>3.0428788910505911</v>
      </c>
    </row>
    <row r="346" spans="1:36" x14ac:dyDescent="0.25">
      <c r="A346" t="s">
        <v>5411</v>
      </c>
      <c r="B346" t="s">
        <v>16</v>
      </c>
      <c r="C346" t="s">
        <v>17</v>
      </c>
      <c r="D346">
        <v>14935000</v>
      </c>
      <c r="E346">
        <v>14939999</v>
      </c>
      <c r="F346" t="s">
        <v>289</v>
      </c>
      <c r="G346" t="str">
        <f t="shared" si="10"/>
        <v>SPI II</v>
      </c>
      <c r="H346" t="s">
        <v>19</v>
      </c>
      <c r="I346" t="s">
        <v>20</v>
      </c>
      <c r="J346" t="s">
        <v>64</v>
      </c>
      <c r="K346" s="6">
        <v>0.03</v>
      </c>
      <c r="L346" s="7">
        <f t="shared" si="11"/>
        <v>2E-3</v>
      </c>
      <c r="M346" s="7">
        <v>3.0000000000000001E-3</v>
      </c>
      <c r="N346">
        <v>9</v>
      </c>
      <c r="O346" s="8">
        <v>17.934556092922943</v>
      </c>
      <c r="P346" s="9">
        <v>17.934556092922943</v>
      </c>
      <c r="Q346" s="9">
        <v>17.934556092922943</v>
      </c>
      <c r="R346" s="9">
        <v>18.35577997371016</v>
      </c>
      <c r="S346" s="9">
        <v>18.404835306435746</v>
      </c>
      <c r="T346" s="9">
        <v>19.112621008962602</v>
      </c>
      <c r="U346" s="9">
        <v>20.35176903227914</v>
      </c>
      <c r="V346" s="9">
        <v>20.35176903227914</v>
      </c>
      <c r="W346" s="9">
        <v>20.35176903227914</v>
      </c>
      <c r="X346" s="9">
        <v>19.91589544268896</v>
      </c>
      <c r="Y346" s="9">
        <v>19.91589544268896</v>
      </c>
      <c r="Z346" s="9">
        <v>21.609947773831163</v>
      </c>
      <c r="AA346" s="9">
        <v>21.609947773831163</v>
      </c>
      <c r="AB346" s="9">
        <v>23.372671736151272</v>
      </c>
      <c r="AC346" s="9">
        <v>23.372671736151272</v>
      </c>
      <c r="AD346" s="9">
        <v>26.430826810726163</v>
      </c>
      <c r="AE346" s="9">
        <v>27.959768706413232</v>
      </c>
      <c r="AF346" s="9">
        <v>29.772701744670762</v>
      </c>
      <c r="AG346" s="9">
        <v>29.772701744670762</v>
      </c>
      <c r="AH346" s="9">
        <v>32.589351949315954</v>
      </c>
      <c r="AI346" s="9">
        <v>34.825222308406182</v>
      </c>
      <c r="AJ346" s="9">
        <v>3.0428788910505911</v>
      </c>
    </row>
    <row r="347" spans="1:36" x14ac:dyDescent="0.25">
      <c r="A347" t="s">
        <v>5411</v>
      </c>
      <c r="B347" t="s">
        <v>16</v>
      </c>
      <c r="C347" t="s">
        <v>17</v>
      </c>
      <c r="D347">
        <v>14940000</v>
      </c>
      <c r="E347">
        <v>14954999</v>
      </c>
      <c r="F347" t="s">
        <v>290</v>
      </c>
      <c r="G347" t="str">
        <f t="shared" si="10"/>
        <v>SPI II</v>
      </c>
      <c r="H347" t="s">
        <v>19</v>
      </c>
      <c r="I347" t="s">
        <v>20</v>
      </c>
      <c r="J347" t="s">
        <v>64</v>
      </c>
      <c r="K347" s="6">
        <v>0.03</v>
      </c>
      <c r="L347" s="7">
        <f t="shared" si="11"/>
        <v>2E-3</v>
      </c>
      <c r="M347" s="7">
        <v>3.0000000000000001E-3</v>
      </c>
      <c r="N347">
        <v>8</v>
      </c>
      <c r="O347" s="8">
        <v>17.934556092922943</v>
      </c>
      <c r="P347" s="9">
        <v>17.934556092922943</v>
      </c>
      <c r="Q347" s="9">
        <v>17.934556092922943</v>
      </c>
      <c r="R347" s="9">
        <v>18.35577997371016</v>
      </c>
      <c r="S347" s="9">
        <v>18.404835306435746</v>
      </c>
      <c r="T347" s="9">
        <v>19.112621008962602</v>
      </c>
      <c r="U347" s="9">
        <v>20.35176903227914</v>
      </c>
      <c r="V347" s="9">
        <v>20.35176903227914</v>
      </c>
      <c r="W347" s="9">
        <v>20.35176903227914</v>
      </c>
      <c r="X347" s="9">
        <v>19.91589544268896</v>
      </c>
      <c r="Y347" s="9">
        <v>19.91589544268896</v>
      </c>
      <c r="Z347" s="9">
        <v>21.609947773831163</v>
      </c>
      <c r="AA347" s="9">
        <v>21.609947773831163</v>
      </c>
      <c r="AB347" s="9">
        <v>23.372671736151272</v>
      </c>
      <c r="AC347" s="9">
        <v>23.372671736151272</v>
      </c>
      <c r="AD347" s="9">
        <v>26.430826810726163</v>
      </c>
      <c r="AE347" s="9">
        <v>27.959768706413232</v>
      </c>
      <c r="AF347" s="9">
        <v>29.772701744670762</v>
      </c>
      <c r="AG347" s="9">
        <v>29.772701744670762</v>
      </c>
      <c r="AH347" s="9">
        <v>32.589351949315954</v>
      </c>
      <c r="AI347" s="9">
        <v>34.825222308406182</v>
      </c>
      <c r="AJ347" s="9">
        <v>3.0428788910505911</v>
      </c>
    </row>
    <row r="348" spans="1:36" x14ac:dyDescent="0.25">
      <c r="A348" t="s">
        <v>5411</v>
      </c>
      <c r="B348" t="s">
        <v>16</v>
      </c>
      <c r="C348" t="s">
        <v>17</v>
      </c>
      <c r="D348">
        <v>14955000</v>
      </c>
      <c r="E348">
        <v>14959999</v>
      </c>
      <c r="F348" t="s">
        <v>291</v>
      </c>
      <c r="G348" t="str">
        <f t="shared" si="10"/>
        <v>SPI II</v>
      </c>
      <c r="H348" t="s">
        <v>19</v>
      </c>
      <c r="I348" t="s">
        <v>20</v>
      </c>
      <c r="J348" t="s">
        <v>64</v>
      </c>
      <c r="K348" s="6">
        <v>0.03</v>
      </c>
      <c r="L348" s="7">
        <f t="shared" si="11"/>
        <v>2E-3</v>
      </c>
      <c r="M348" s="7">
        <v>3.0000000000000001E-3</v>
      </c>
      <c r="N348">
        <v>8</v>
      </c>
      <c r="O348" s="8">
        <v>17.934556092922943</v>
      </c>
      <c r="P348" s="9">
        <v>17.934556092922943</v>
      </c>
      <c r="Q348" s="9">
        <v>17.934556092922943</v>
      </c>
      <c r="R348" s="9">
        <v>18.35577997371016</v>
      </c>
      <c r="S348" s="9">
        <v>18.404835306435746</v>
      </c>
      <c r="T348" s="9">
        <v>19.112621008962602</v>
      </c>
      <c r="U348" s="9">
        <v>20.35176903227914</v>
      </c>
      <c r="V348" s="9">
        <v>20.35176903227914</v>
      </c>
      <c r="W348" s="9">
        <v>20.35176903227914</v>
      </c>
      <c r="X348" s="9">
        <v>19.91589544268896</v>
      </c>
      <c r="Y348" s="9">
        <v>19.91589544268896</v>
      </c>
      <c r="Z348" s="9">
        <v>21.609947773831163</v>
      </c>
      <c r="AA348" s="9">
        <v>21.609947773831163</v>
      </c>
      <c r="AB348" s="9">
        <v>23.372671736151272</v>
      </c>
      <c r="AC348" s="9">
        <v>23.372671736151272</v>
      </c>
      <c r="AD348" s="9">
        <v>26.430826810726163</v>
      </c>
      <c r="AE348" s="9">
        <v>27.959768706413232</v>
      </c>
      <c r="AF348" s="9">
        <v>29.772701744670762</v>
      </c>
      <c r="AG348" s="9">
        <v>29.772701744670762</v>
      </c>
      <c r="AH348" s="9">
        <v>32.589351949315954</v>
      </c>
      <c r="AI348" s="9">
        <v>34.825222308406182</v>
      </c>
      <c r="AJ348" s="9">
        <v>3.0428788910505911</v>
      </c>
    </row>
    <row r="349" spans="1:36" x14ac:dyDescent="0.25">
      <c r="A349" t="s">
        <v>5411</v>
      </c>
      <c r="B349" t="s">
        <v>16</v>
      </c>
      <c r="C349" t="s">
        <v>17</v>
      </c>
      <c r="D349">
        <v>14960000</v>
      </c>
      <c r="E349">
        <v>14979999</v>
      </c>
      <c r="F349" t="s">
        <v>292</v>
      </c>
      <c r="G349" t="str">
        <f t="shared" si="10"/>
        <v>SPI II</v>
      </c>
      <c r="H349" t="s">
        <v>19</v>
      </c>
      <c r="I349" t="s">
        <v>20</v>
      </c>
      <c r="J349" t="s">
        <v>64</v>
      </c>
      <c r="K349" s="6">
        <v>0.03</v>
      </c>
      <c r="L349" s="7">
        <f t="shared" si="11"/>
        <v>2E-3</v>
      </c>
      <c r="M349" s="7">
        <v>3.0000000000000001E-3</v>
      </c>
      <c r="N349">
        <v>7</v>
      </c>
      <c r="O349" s="8">
        <v>17.934556092922943</v>
      </c>
      <c r="P349" s="9">
        <v>17.934556092922943</v>
      </c>
      <c r="Q349" s="9">
        <v>17.934556092922943</v>
      </c>
      <c r="R349" s="9">
        <v>18.35577997371016</v>
      </c>
      <c r="S349" s="9">
        <v>18.404835306435746</v>
      </c>
      <c r="T349" s="9">
        <v>19.112621008962602</v>
      </c>
      <c r="U349" s="9">
        <v>20.35176903227914</v>
      </c>
      <c r="V349" s="9">
        <v>20.35176903227914</v>
      </c>
      <c r="W349" s="9">
        <v>20.35176903227914</v>
      </c>
      <c r="X349" s="9">
        <v>19.91589544268896</v>
      </c>
      <c r="Y349" s="9">
        <v>19.91589544268896</v>
      </c>
      <c r="Z349" s="9">
        <v>21.609947773831163</v>
      </c>
      <c r="AA349" s="9">
        <v>21.609947773831163</v>
      </c>
      <c r="AB349" s="9">
        <v>23.372671736151272</v>
      </c>
      <c r="AC349" s="9">
        <v>23.372671736151272</v>
      </c>
      <c r="AD349" s="9">
        <v>26.430826810726163</v>
      </c>
      <c r="AE349" s="9">
        <v>27.959768706413232</v>
      </c>
      <c r="AF349" s="9">
        <v>29.772701744670762</v>
      </c>
      <c r="AG349" s="9">
        <v>29.772701744670762</v>
      </c>
      <c r="AH349" s="9">
        <v>32.589351949315954</v>
      </c>
      <c r="AI349" s="9">
        <v>34.825222308406182</v>
      </c>
      <c r="AJ349" s="9">
        <v>3.0428788910505911</v>
      </c>
    </row>
    <row r="350" spans="1:36" x14ac:dyDescent="0.25">
      <c r="A350" t="s">
        <v>5411</v>
      </c>
      <c r="B350" t="s">
        <v>16</v>
      </c>
      <c r="C350" t="s">
        <v>17</v>
      </c>
      <c r="D350">
        <v>14980000</v>
      </c>
      <c r="E350">
        <v>14989999</v>
      </c>
      <c r="F350" t="s">
        <v>293</v>
      </c>
      <c r="G350" t="str">
        <f t="shared" si="10"/>
        <v>SPI II</v>
      </c>
      <c r="H350" t="s">
        <v>19</v>
      </c>
      <c r="I350" t="s">
        <v>20</v>
      </c>
      <c r="J350" t="s">
        <v>64</v>
      </c>
      <c r="K350" s="6">
        <v>0.03</v>
      </c>
      <c r="L350" s="7">
        <f t="shared" si="11"/>
        <v>2E-3</v>
      </c>
      <c r="M350" s="7">
        <v>3.0000000000000001E-3</v>
      </c>
      <c r="N350">
        <v>7</v>
      </c>
      <c r="O350" s="8">
        <v>17.934556092922943</v>
      </c>
      <c r="P350" s="9">
        <v>17.934556092922943</v>
      </c>
      <c r="Q350" s="9">
        <v>17.934556092922943</v>
      </c>
      <c r="R350" s="9">
        <v>18.35577997371016</v>
      </c>
      <c r="S350" s="9">
        <v>18.404835306435746</v>
      </c>
      <c r="T350" s="9">
        <v>19.112621008962602</v>
      </c>
      <c r="U350" s="9">
        <v>20.35176903227914</v>
      </c>
      <c r="V350" s="9">
        <v>20.35176903227914</v>
      </c>
      <c r="W350" s="9">
        <v>20.35176903227914</v>
      </c>
      <c r="X350" s="9">
        <v>19.91589544268896</v>
      </c>
      <c r="Y350" s="9">
        <v>19.91589544268896</v>
      </c>
      <c r="Z350" s="9">
        <v>21.609947773831163</v>
      </c>
      <c r="AA350" s="9">
        <v>21.609947773831163</v>
      </c>
      <c r="AB350" s="9">
        <v>23.372671736151272</v>
      </c>
      <c r="AC350" s="9">
        <v>23.372671736151272</v>
      </c>
      <c r="AD350" s="9">
        <v>26.430826810726163</v>
      </c>
      <c r="AE350" s="9">
        <v>27.959768706413232</v>
      </c>
      <c r="AF350" s="9">
        <v>29.772701744670762</v>
      </c>
      <c r="AG350" s="9">
        <v>29.772701744670762</v>
      </c>
      <c r="AH350" s="9">
        <v>32.589351949315954</v>
      </c>
      <c r="AI350" s="9">
        <v>34.825222308406182</v>
      </c>
      <c r="AJ350" s="9">
        <v>3.0428788910505911</v>
      </c>
    </row>
    <row r="351" spans="1:36" x14ac:dyDescent="0.25">
      <c r="A351" t="s">
        <v>5411</v>
      </c>
      <c r="B351" t="s">
        <v>16</v>
      </c>
      <c r="C351" t="s">
        <v>17</v>
      </c>
      <c r="D351">
        <v>14990000</v>
      </c>
      <c r="E351">
        <v>14999999</v>
      </c>
      <c r="F351" t="s">
        <v>294</v>
      </c>
      <c r="G351" t="str">
        <f t="shared" si="10"/>
        <v>SPI II</v>
      </c>
      <c r="H351" t="s">
        <v>19</v>
      </c>
      <c r="I351" t="s">
        <v>20</v>
      </c>
      <c r="J351" t="s">
        <v>64</v>
      </c>
      <c r="K351" s="6">
        <v>0.03</v>
      </c>
      <c r="L351" s="7">
        <f t="shared" si="11"/>
        <v>2E-3</v>
      </c>
      <c r="M351" s="7">
        <v>3.0000000000000001E-3</v>
      </c>
      <c r="N351">
        <v>7</v>
      </c>
      <c r="O351" s="8">
        <v>17.934556092922943</v>
      </c>
      <c r="P351" s="9">
        <v>17.934556092922943</v>
      </c>
      <c r="Q351" s="9">
        <v>17.934556092922943</v>
      </c>
      <c r="R351" s="9">
        <v>18.35577997371016</v>
      </c>
      <c r="S351" s="9">
        <v>18.404835306435746</v>
      </c>
      <c r="T351" s="9">
        <v>19.112621008962602</v>
      </c>
      <c r="U351" s="9">
        <v>20.35176903227914</v>
      </c>
      <c r="V351" s="9">
        <v>20.35176903227914</v>
      </c>
      <c r="W351" s="9">
        <v>20.35176903227914</v>
      </c>
      <c r="X351" s="9">
        <v>19.91589544268896</v>
      </c>
      <c r="Y351" s="9">
        <v>19.91589544268896</v>
      </c>
      <c r="Z351" s="9">
        <v>21.609947773831163</v>
      </c>
      <c r="AA351" s="9">
        <v>21.609947773831163</v>
      </c>
      <c r="AB351" s="9">
        <v>23.372671736151272</v>
      </c>
      <c r="AC351" s="9">
        <v>23.372671736151272</v>
      </c>
      <c r="AD351" s="9">
        <v>26.430826810726163</v>
      </c>
      <c r="AE351" s="9">
        <v>27.959768706413232</v>
      </c>
      <c r="AF351" s="9">
        <v>29.772701744670762</v>
      </c>
      <c r="AG351" s="9">
        <v>29.772701744670762</v>
      </c>
      <c r="AH351" s="9">
        <v>32.589351949315954</v>
      </c>
      <c r="AI351" s="9">
        <v>34.825222308406182</v>
      </c>
      <c r="AJ351" s="9">
        <v>3.0428788910505911</v>
      </c>
    </row>
    <row r="352" spans="1:36" x14ac:dyDescent="0.25">
      <c r="A352" t="s">
        <v>5411</v>
      </c>
      <c r="B352" t="s">
        <v>16</v>
      </c>
      <c r="C352" t="s">
        <v>17</v>
      </c>
      <c r="D352">
        <v>15000000</v>
      </c>
      <c r="E352">
        <v>15104999</v>
      </c>
      <c r="F352" t="s">
        <v>295</v>
      </c>
      <c r="G352" t="str">
        <f t="shared" si="10"/>
        <v>SPI</v>
      </c>
      <c r="H352" t="s">
        <v>19</v>
      </c>
      <c r="I352" t="s">
        <v>20</v>
      </c>
      <c r="J352" t="s">
        <v>62</v>
      </c>
      <c r="K352" s="6">
        <v>0.03</v>
      </c>
      <c r="L352" s="7">
        <f t="shared" si="11"/>
        <v>2E-3</v>
      </c>
      <c r="M352" s="7">
        <v>3.0000000000000001E-3</v>
      </c>
      <c r="N352">
        <v>6</v>
      </c>
      <c r="O352" s="8">
        <v>14.260089507934383</v>
      </c>
      <c r="P352" s="9">
        <v>14.260089507934383</v>
      </c>
      <c r="Q352" s="9">
        <v>14.260089507934383</v>
      </c>
      <c r="R352" s="9">
        <v>14.434686024139818</v>
      </c>
      <c r="S352" s="9">
        <v>14.722027102535575</v>
      </c>
      <c r="T352" s="9">
        <v>15.677715915555218</v>
      </c>
      <c r="U352" s="9">
        <v>17.010379604817192</v>
      </c>
      <c r="V352" s="9">
        <v>17.010379604817192</v>
      </c>
      <c r="W352" s="9">
        <v>17.010379604817192</v>
      </c>
      <c r="X352" s="9">
        <v>16.884570568466835</v>
      </c>
      <c r="Y352" s="9">
        <v>16.884570568466835</v>
      </c>
      <c r="Z352" s="9">
        <v>18.617757359760585</v>
      </c>
      <c r="AA352" s="9">
        <v>18.617757359760585</v>
      </c>
      <c r="AB352" s="9">
        <v>20.52292271594289</v>
      </c>
      <c r="AC352" s="9">
        <v>20.52292271594289</v>
      </c>
      <c r="AD352" s="9">
        <v>22.530627040176761</v>
      </c>
      <c r="AE352" s="9">
        <v>24.654059850225856</v>
      </c>
      <c r="AF352" s="9">
        <v>28.622962393602329</v>
      </c>
      <c r="AG352" s="9">
        <v>28.622962393602329</v>
      </c>
      <c r="AH352" s="9">
        <v>31.011605245024167</v>
      </c>
      <c r="AI352" s="9">
        <v>33.330799286496742</v>
      </c>
      <c r="AJ352" s="9">
        <v>3.0428788910505911</v>
      </c>
    </row>
    <row r="353" spans="1:36" x14ac:dyDescent="0.25">
      <c r="A353" t="s">
        <v>5411</v>
      </c>
      <c r="B353" t="s">
        <v>16</v>
      </c>
      <c r="C353" t="s">
        <v>17</v>
      </c>
      <c r="D353">
        <v>15105000</v>
      </c>
      <c r="E353">
        <v>15107999</v>
      </c>
      <c r="F353" t="s">
        <v>296</v>
      </c>
      <c r="G353" t="str">
        <f t="shared" si="10"/>
        <v>SPI II</v>
      </c>
      <c r="H353" t="s">
        <v>19</v>
      </c>
      <c r="I353" t="s">
        <v>20</v>
      </c>
      <c r="J353" t="s">
        <v>64</v>
      </c>
      <c r="K353" s="6">
        <v>0.03</v>
      </c>
      <c r="L353" s="7">
        <f t="shared" si="11"/>
        <v>2E-3</v>
      </c>
      <c r="M353" s="7">
        <v>3.0000000000000001E-3</v>
      </c>
      <c r="N353">
        <v>7</v>
      </c>
      <c r="O353" s="8">
        <v>17.934556092922943</v>
      </c>
      <c r="P353" s="9">
        <v>17.934556092922943</v>
      </c>
      <c r="Q353" s="9">
        <v>17.934556092922943</v>
      </c>
      <c r="R353" s="9">
        <v>18.35577997371016</v>
      </c>
      <c r="S353" s="9">
        <v>18.404835306435746</v>
      </c>
      <c r="T353" s="9">
        <v>19.112621008962602</v>
      </c>
      <c r="U353" s="9">
        <v>20.35176903227914</v>
      </c>
      <c r="V353" s="9">
        <v>20.35176903227914</v>
      </c>
      <c r="W353" s="9">
        <v>20.35176903227914</v>
      </c>
      <c r="X353" s="9">
        <v>19.91589544268896</v>
      </c>
      <c r="Y353" s="9">
        <v>19.91589544268896</v>
      </c>
      <c r="Z353" s="9">
        <v>21.609947773831163</v>
      </c>
      <c r="AA353" s="9">
        <v>21.609947773831163</v>
      </c>
      <c r="AB353" s="9">
        <v>23.372671736151272</v>
      </c>
      <c r="AC353" s="9">
        <v>23.372671736151272</v>
      </c>
      <c r="AD353" s="9">
        <v>26.430826810726163</v>
      </c>
      <c r="AE353" s="9">
        <v>27.959768706413232</v>
      </c>
      <c r="AF353" s="9">
        <v>29.772701744670762</v>
      </c>
      <c r="AG353" s="9">
        <v>29.772701744670762</v>
      </c>
      <c r="AH353" s="9">
        <v>32.589351949315954</v>
      </c>
      <c r="AI353" s="9">
        <v>34.825222308406182</v>
      </c>
      <c r="AJ353" s="9">
        <v>3.0428788910505911</v>
      </c>
    </row>
    <row r="354" spans="1:36" x14ac:dyDescent="0.25">
      <c r="A354" t="s">
        <v>5411</v>
      </c>
      <c r="B354" t="s">
        <v>16</v>
      </c>
      <c r="C354" t="s">
        <v>17</v>
      </c>
      <c r="D354">
        <v>15108000</v>
      </c>
      <c r="E354">
        <v>15109999</v>
      </c>
      <c r="F354" t="s">
        <v>297</v>
      </c>
      <c r="G354" t="str">
        <f t="shared" si="10"/>
        <v>SPI II</v>
      </c>
      <c r="H354" t="s">
        <v>19</v>
      </c>
      <c r="I354" t="s">
        <v>20</v>
      </c>
      <c r="J354" t="s">
        <v>64</v>
      </c>
      <c r="K354" s="6">
        <v>0.03</v>
      </c>
      <c r="L354" s="7">
        <f t="shared" si="11"/>
        <v>2E-3</v>
      </c>
      <c r="M354" s="7">
        <v>3.0000000000000001E-3</v>
      </c>
      <c r="N354">
        <v>7</v>
      </c>
      <c r="O354" s="8">
        <v>17.934556092922943</v>
      </c>
      <c r="P354" s="9">
        <v>17.934556092922943</v>
      </c>
      <c r="Q354" s="9">
        <v>17.934556092922943</v>
      </c>
      <c r="R354" s="9">
        <v>18.35577997371016</v>
      </c>
      <c r="S354" s="9">
        <v>18.404835306435746</v>
      </c>
      <c r="T354" s="9">
        <v>19.112621008962602</v>
      </c>
      <c r="U354" s="9">
        <v>20.35176903227914</v>
      </c>
      <c r="V354" s="9">
        <v>20.35176903227914</v>
      </c>
      <c r="W354" s="9">
        <v>20.35176903227914</v>
      </c>
      <c r="X354" s="9">
        <v>19.91589544268896</v>
      </c>
      <c r="Y354" s="9">
        <v>19.91589544268896</v>
      </c>
      <c r="Z354" s="9">
        <v>21.609947773831163</v>
      </c>
      <c r="AA354" s="9">
        <v>21.609947773831163</v>
      </c>
      <c r="AB354" s="9">
        <v>23.372671736151272</v>
      </c>
      <c r="AC354" s="9">
        <v>23.372671736151272</v>
      </c>
      <c r="AD354" s="9">
        <v>26.430826810726163</v>
      </c>
      <c r="AE354" s="9">
        <v>27.959768706413232</v>
      </c>
      <c r="AF354" s="9">
        <v>29.772701744670762</v>
      </c>
      <c r="AG354" s="9">
        <v>29.772701744670762</v>
      </c>
      <c r="AH354" s="9">
        <v>32.589351949315954</v>
      </c>
      <c r="AI354" s="9">
        <v>34.825222308406182</v>
      </c>
      <c r="AJ354" s="9">
        <v>3.0428788910505911</v>
      </c>
    </row>
    <row r="355" spans="1:36" x14ac:dyDescent="0.25">
      <c r="A355" t="s">
        <v>5411</v>
      </c>
      <c r="B355" t="s">
        <v>16</v>
      </c>
      <c r="C355" t="s">
        <v>17</v>
      </c>
      <c r="D355">
        <v>15110000</v>
      </c>
      <c r="E355">
        <v>15114999</v>
      </c>
      <c r="F355" t="s">
        <v>298</v>
      </c>
      <c r="G355" t="str">
        <f t="shared" si="10"/>
        <v>SPI II</v>
      </c>
      <c r="H355" t="s">
        <v>19</v>
      </c>
      <c r="I355" t="s">
        <v>20</v>
      </c>
      <c r="J355" t="s">
        <v>64</v>
      </c>
      <c r="K355" s="6">
        <v>0.03</v>
      </c>
      <c r="L355" s="7">
        <f t="shared" si="11"/>
        <v>2E-3</v>
      </c>
      <c r="M355" s="7">
        <v>3.0000000000000001E-3</v>
      </c>
      <c r="N355">
        <v>7</v>
      </c>
      <c r="O355" s="8">
        <v>17.934556092922943</v>
      </c>
      <c r="P355" s="9">
        <v>17.934556092922943</v>
      </c>
      <c r="Q355" s="9">
        <v>17.934556092922943</v>
      </c>
      <c r="R355" s="9">
        <v>18.35577997371016</v>
      </c>
      <c r="S355" s="9">
        <v>18.404835306435746</v>
      </c>
      <c r="T355" s="9">
        <v>19.112621008962602</v>
      </c>
      <c r="U355" s="9">
        <v>20.35176903227914</v>
      </c>
      <c r="V355" s="9">
        <v>20.35176903227914</v>
      </c>
      <c r="W355" s="9">
        <v>20.35176903227914</v>
      </c>
      <c r="X355" s="9">
        <v>19.91589544268896</v>
      </c>
      <c r="Y355" s="9">
        <v>19.91589544268896</v>
      </c>
      <c r="Z355" s="9">
        <v>21.609947773831163</v>
      </c>
      <c r="AA355" s="9">
        <v>21.609947773831163</v>
      </c>
      <c r="AB355" s="9">
        <v>23.372671736151272</v>
      </c>
      <c r="AC355" s="9">
        <v>23.372671736151272</v>
      </c>
      <c r="AD355" s="9">
        <v>26.430826810726163</v>
      </c>
      <c r="AE355" s="9">
        <v>27.959768706413232</v>
      </c>
      <c r="AF355" s="9">
        <v>29.772701744670762</v>
      </c>
      <c r="AG355" s="9">
        <v>29.772701744670762</v>
      </c>
      <c r="AH355" s="9">
        <v>32.589351949315954</v>
      </c>
      <c r="AI355" s="9">
        <v>34.825222308406182</v>
      </c>
      <c r="AJ355" s="9">
        <v>3.0428788910505911</v>
      </c>
    </row>
    <row r="356" spans="1:36" x14ac:dyDescent="0.25">
      <c r="A356" t="s">
        <v>5411</v>
      </c>
      <c r="B356" t="s">
        <v>16</v>
      </c>
      <c r="C356" t="s">
        <v>17</v>
      </c>
      <c r="D356">
        <v>15115000</v>
      </c>
      <c r="E356">
        <v>15119999</v>
      </c>
      <c r="F356" t="s">
        <v>299</v>
      </c>
      <c r="G356" t="str">
        <f t="shared" si="10"/>
        <v>SPI II</v>
      </c>
      <c r="H356" t="s">
        <v>19</v>
      </c>
      <c r="I356" t="s">
        <v>20</v>
      </c>
      <c r="J356" t="s">
        <v>64</v>
      </c>
      <c r="K356" s="6">
        <v>0.03</v>
      </c>
      <c r="L356" s="7">
        <f t="shared" si="11"/>
        <v>2E-3</v>
      </c>
      <c r="M356" s="7">
        <v>3.0000000000000001E-3</v>
      </c>
      <c r="N356">
        <v>6</v>
      </c>
      <c r="O356" s="8">
        <v>17.934556092922943</v>
      </c>
      <c r="P356" s="9">
        <v>17.934556092922943</v>
      </c>
      <c r="Q356" s="9">
        <v>17.934556092922943</v>
      </c>
      <c r="R356" s="9">
        <v>18.35577997371016</v>
      </c>
      <c r="S356" s="9">
        <v>18.404835306435746</v>
      </c>
      <c r="T356" s="9">
        <v>19.112621008962602</v>
      </c>
      <c r="U356" s="9">
        <v>20.35176903227914</v>
      </c>
      <c r="V356" s="9">
        <v>20.35176903227914</v>
      </c>
      <c r="W356" s="9">
        <v>20.35176903227914</v>
      </c>
      <c r="X356" s="9">
        <v>19.91589544268896</v>
      </c>
      <c r="Y356" s="9">
        <v>19.91589544268896</v>
      </c>
      <c r="Z356" s="9">
        <v>21.609947773831163</v>
      </c>
      <c r="AA356" s="9">
        <v>21.609947773831163</v>
      </c>
      <c r="AB356" s="9">
        <v>23.372671736151272</v>
      </c>
      <c r="AC356" s="9">
        <v>23.372671736151272</v>
      </c>
      <c r="AD356" s="9">
        <v>26.430826810726163</v>
      </c>
      <c r="AE356" s="9">
        <v>27.959768706413232</v>
      </c>
      <c r="AF356" s="9">
        <v>29.772701744670762</v>
      </c>
      <c r="AG356" s="9">
        <v>29.772701744670762</v>
      </c>
      <c r="AH356" s="9">
        <v>32.589351949315954</v>
      </c>
      <c r="AI356" s="9">
        <v>34.825222308406182</v>
      </c>
      <c r="AJ356" s="9">
        <v>3.0428788910505911</v>
      </c>
    </row>
    <row r="357" spans="1:36" x14ac:dyDescent="0.25">
      <c r="A357" t="s">
        <v>5411</v>
      </c>
      <c r="B357" t="s">
        <v>16</v>
      </c>
      <c r="C357" t="s">
        <v>17</v>
      </c>
      <c r="D357">
        <v>15120000</v>
      </c>
      <c r="E357">
        <v>15129999</v>
      </c>
      <c r="F357" t="s">
        <v>300</v>
      </c>
      <c r="G357" t="str">
        <f t="shared" si="10"/>
        <v>SPI II</v>
      </c>
      <c r="H357" t="s">
        <v>19</v>
      </c>
      <c r="I357" t="s">
        <v>20</v>
      </c>
      <c r="J357" t="s">
        <v>64</v>
      </c>
      <c r="K357" s="6">
        <v>0.03</v>
      </c>
      <c r="L357" s="7">
        <f t="shared" si="11"/>
        <v>2E-3</v>
      </c>
      <c r="M357" s="7">
        <v>3.0000000000000001E-3</v>
      </c>
      <c r="N357">
        <v>7</v>
      </c>
      <c r="O357" s="8">
        <v>17.934556092922943</v>
      </c>
      <c r="P357" s="9">
        <v>17.934556092922943</v>
      </c>
      <c r="Q357" s="9">
        <v>17.934556092922943</v>
      </c>
      <c r="R357" s="9">
        <v>18.35577997371016</v>
      </c>
      <c r="S357" s="9">
        <v>18.404835306435746</v>
      </c>
      <c r="T357" s="9">
        <v>19.112621008962602</v>
      </c>
      <c r="U357" s="9">
        <v>20.35176903227914</v>
      </c>
      <c r="V357" s="9">
        <v>20.35176903227914</v>
      </c>
      <c r="W357" s="9">
        <v>20.35176903227914</v>
      </c>
      <c r="X357" s="9">
        <v>19.91589544268896</v>
      </c>
      <c r="Y357" s="9">
        <v>19.91589544268896</v>
      </c>
      <c r="Z357" s="9">
        <v>21.609947773831163</v>
      </c>
      <c r="AA357" s="9">
        <v>21.609947773831163</v>
      </c>
      <c r="AB357" s="9">
        <v>23.372671736151272</v>
      </c>
      <c r="AC357" s="9">
        <v>23.372671736151272</v>
      </c>
      <c r="AD357" s="9">
        <v>26.430826810726163</v>
      </c>
      <c r="AE357" s="9">
        <v>27.959768706413232</v>
      </c>
      <c r="AF357" s="9">
        <v>29.772701744670762</v>
      </c>
      <c r="AG357" s="9">
        <v>29.772701744670762</v>
      </c>
      <c r="AH357" s="9">
        <v>32.589351949315954</v>
      </c>
      <c r="AI357" s="9">
        <v>34.825222308406182</v>
      </c>
      <c r="AJ357" s="9">
        <v>3.0428788910505911</v>
      </c>
    </row>
    <row r="358" spans="1:36" x14ac:dyDescent="0.25">
      <c r="A358" t="s">
        <v>5411</v>
      </c>
      <c r="B358" t="s">
        <v>16</v>
      </c>
      <c r="C358" t="s">
        <v>17</v>
      </c>
      <c r="D358">
        <v>15130000</v>
      </c>
      <c r="E358">
        <v>15139999</v>
      </c>
      <c r="F358" t="s">
        <v>301</v>
      </c>
      <c r="G358" t="str">
        <f t="shared" si="10"/>
        <v>SPI II</v>
      </c>
      <c r="H358" t="s">
        <v>19</v>
      </c>
      <c r="I358" t="s">
        <v>20</v>
      </c>
      <c r="J358" t="s">
        <v>64</v>
      </c>
      <c r="K358" s="6">
        <v>0.03</v>
      </c>
      <c r="L358" s="7">
        <f t="shared" si="11"/>
        <v>2E-3</v>
      </c>
      <c r="M358" s="7">
        <v>3.0000000000000001E-3</v>
      </c>
      <c r="N358">
        <v>7</v>
      </c>
      <c r="O358" s="8">
        <v>17.934556092922943</v>
      </c>
      <c r="P358" s="9">
        <v>17.934556092922943</v>
      </c>
      <c r="Q358" s="9">
        <v>17.934556092922943</v>
      </c>
      <c r="R358" s="9">
        <v>18.35577997371016</v>
      </c>
      <c r="S358" s="9">
        <v>18.404835306435746</v>
      </c>
      <c r="T358" s="9">
        <v>19.112621008962602</v>
      </c>
      <c r="U358" s="9">
        <v>20.35176903227914</v>
      </c>
      <c r="V358" s="9">
        <v>20.35176903227914</v>
      </c>
      <c r="W358" s="9">
        <v>20.35176903227914</v>
      </c>
      <c r="X358" s="9">
        <v>19.91589544268896</v>
      </c>
      <c r="Y358" s="9">
        <v>19.91589544268896</v>
      </c>
      <c r="Z358" s="9">
        <v>21.609947773831163</v>
      </c>
      <c r="AA358" s="9">
        <v>21.609947773831163</v>
      </c>
      <c r="AB358" s="9">
        <v>23.372671736151272</v>
      </c>
      <c r="AC358" s="9">
        <v>23.372671736151272</v>
      </c>
      <c r="AD358" s="9">
        <v>26.430826810726163</v>
      </c>
      <c r="AE358" s="9">
        <v>27.959768706413232</v>
      </c>
      <c r="AF358" s="9">
        <v>29.772701744670762</v>
      </c>
      <c r="AG358" s="9">
        <v>29.772701744670762</v>
      </c>
      <c r="AH358" s="9">
        <v>32.589351949315954</v>
      </c>
      <c r="AI358" s="9">
        <v>34.825222308406182</v>
      </c>
      <c r="AJ358" s="9">
        <v>3.0428788910505911</v>
      </c>
    </row>
    <row r="359" spans="1:36" x14ac:dyDescent="0.25">
      <c r="A359" t="s">
        <v>5411</v>
      </c>
      <c r="B359" t="s">
        <v>16</v>
      </c>
      <c r="C359" t="s">
        <v>17</v>
      </c>
      <c r="D359">
        <v>15140000</v>
      </c>
      <c r="E359">
        <v>15144999</v>
      </c>
      <c r="F359" t="s">
        <v>302</v>
      </c>
      <c r="G359" t="str">
        <f t="shared" si="10"/>
        <v>SPI II</v>
      </c>
      <c r="H359" t="s">
        <v>19</v>
      </c>
      <c r="I359" t="s">
        <v>20</v>
      </c>
      <c r="J359" t="s">
        <v>64</v>
      </c>
      <c r="K359" s="6">
        <v>0.03</v>
      </c>
      <c r="L359" s="7">
        <f t="shared" si="11"/>
        <v>2E-3</v>
      </c>
      <c r="M359" s="7">
        <v>3.0000000000000001E-3</v>
      </c>
      <c r="N359">
        <v>7</v>
      </c>
      <c r="O359" s="8">
        <v>17.934556092922943</v>
      </c>
      <c r="P359" s="9">
        <v>17.934556092922943</v>
      </c>
      <c r="Q359" s="9">
        <v>17.934556092922943</v>
      </c>
      <c r="R359" s="9">
        <v>18.35577997371016</v>
      </c>
      <c r="S359" s="9">
        <v>18.404835306435746</v>
      </c>
      <c r="T359" s="9">
        <v>19.112621008962602</v>
      </c>
      <c r="U359" s="9">
        <v>20.35176903227914</v>
      </c>
      <c r="V359" s="9">
        <v>20.35176903227914</v>
      </c>
      <c r="W359" s="9">
        <v>20.35176903227914</v>
      </c>
      <c r="X359" s="9">
        <v>19.91589544268896</v>
      </c>
      <c r="Y359" s="9">
        <v>19.91589544268896</v>
      </c>
      <c r="Z359" s="9">
        <v>21.609947773831163</v>
      </c>
      <c r="AA359" s="9">
        <v>21.609947773831163</v>
      </c>
      <c r="AB359" s="9">
        <v>23.372671736151272</v>
      </c>
      <c r="AC359" s="9">
        <v>23.372671736151272</v>
      </c>
      <c r="AD359" s="9">
        <v>26.430826810726163</v>
      </c>
      <c r="AE359" s="9">
        <v>27.959768706413232</v>
      </c>
      <c r="AF359" s="9">
        <v>29.772701744670762</v>
      </c>
      <c r="AG359" s="9">
        <v>29.772701744670762</v>
      </c>
      <c r="AH359" s="9">
        <v>32.589351949315954</v>
      </c>
      <c r="AI359" s="9">
        <v>34.825222308406182</v>
      </c>
      <c r="AJ359" s="9">
        <v>3.0428788910505911</v>
      </c>
    </row>
    <row r="360" spans="1:36" x14ac:dyDescent="0.25">
      <c r="A360" t="s">
        <v>5411</v>
      </c>
      <c r="B360" t="s">
        <v>16</v>
      </c>
      <c r="C360" t="s">
        <v>17</v>
      </c>
      <c r="D360">
        <v>15145000</v>
      </c>
      <c r="E360">
        <v>15149999</v>
      </c>
      <c r="F360" t="s">
        <v>303</v>
      </c>
      <c r="G360" t="str">
        <f t="shared" si="10"/>
        <v>SPI II</v>
      </c>
      <c r="H360" t="s">
        <v>19</v>
      </c>
      <c r="I360" t="s">
        <v>20</v>
      </c>
      <c r="J360" t="s">
        <v>64</v>
      </c>
      <c r="K360" s="6">
        <v>0.03</v>
      </c>
      <c r="L360" s="7">
        <f t="shared" si="11"/>
        <v>2E-3</v>
      </c>
      <c r="M360" s="7">
        <v>3.0000000000000001E-3</v>
      </c>
      <c r="N360">
        <v>7</v>
      </c>
      <c r="O360" s="8">
        <v>17.934556092922943</v>
      </c>
      <c r="P360" s="9">
        <v>17.934556092922943</v>
      </c>
      <c r="Q360" s="9">
        <v>17.934556092922943</v>
      </c>
      <c r="R360" s="9">
        <v>18.35577997371016</v>
      </c>
      <c r="S360" s="9">
        <v>18.404835306435746</v>
      </c>
      <c r="T360" s="9">
        <v>19.112621008962602</v>
      </c>
      <c r="U360" s="9">
        <v>20.35176903227914</v>
      </c>
      <c r="V360" s="9">
        <v>20.35176903227914</v>
      </c>
      <c r="W360" s="9">
        <v>20.35176903227914</v>
      </c>
      <c r="X360" s="9">
        <v>19.91589544268896</v>
      </c>
      <c r="Y360" s="9">
        <v>19.91589544268896</v>
      </c>
      <c r="Z360" s="9">
        <v>21.609947773831163</v>
      </c>
      <c r="AA360" s="9">
        <v>21.609947773831163</v>
      </c>
      <c r="AB360" s="9">
        <v>23.372671736151272</v>
      </c>
      <c r="AC360" s="9">
        <v>23.372671736151272</v>
      </c>
      <c r="AD360" s="9">
        <v>26.430826810726163</v>
      </c>
      <c r="AE360" s="9">
        <v>27.959768706413232</v>
      </c>
      <c r="AF360" s="9">
        <v>29.772701744670762</v>
      </c>
      <c r="AG360" s="9">
        <v>29.772701744670762</v>
      </c>
      <c r="AH360" s="9">
        <v>32.589351949315954</v>
      </c>
      <c r="AI360" s="9">
        <v>34.825222308406182</v>
      </c>
      <c r="AJ360" s="9">
        <v>3.0428788910505911</v>
      </c>
    </row>
    <row r="361" spans="1:36" x14ac:dyDescent="0.25">
      <c r="A361" t="s">
        <v>5411</v>
      </c>
      <c r="B361" t="s">
        <v>16</v>
      </c>
      <c r="C361" t="s">
        <v>17</v>
      </c>
      <c r="D361">
        <v>15150000</v>
      </c>
      <c r="E361">
        <v>15154999</v>
      </c>
      <c r="F361" t="s">
        <v>304</v>
      </c>
      <c r="G361" t="str">
        <f t="shared" si="10"/>
        <v>SPI II</v>
      </c>
      <c r="H361" t="s">
        <v>19</v>
      </c>
      <c r="I361" t="s">
        <v>20</v>
      </c>
      <c r="J361" t="s">
        <v>64</v>
      </c>
      <c r="K361" s="6">
        <v>0.03</v>
      </c>
      <c r="L361" s="7">
        <f t="shared" si="11"/>
        <v>2E-3</v>
      </c>
      <c r="M361" s="7">
        <v>3.0000000000000001E-3</v>
      </c>
      <c r="N361">
        <v>7</v>
      </c>
      <c r="O361" s="8">
        <v>17.934556092922943</v>
      </c>
      <c r="P361" s="9">
        <v>17.934556092922943</v>
      </c>
      <c r="Q361" s="9">
        <v>17.934556092922943</v>
      </c>
      <c r="R361" s="9">
        <v>18.35577997371016</v>
      </c>
      <c r="S361" s="9">
        <v>18.404835306435746</v>
      </c>
      <c r="T361" s="9">
        <v>19.112621008962602</v>
      </c>
      <c r="U361" s="9">
        <v>20.35176903227914</v>
      </c>
      <c r="V361" s="9">
        <v>20.35176903227914</v>
      </c>
      <c r="W361" s="9">
        <v>20.35176903227914</v>
      </c>
      <c r="X361" s="9">
        <v>19.91589544268896</v>
      </c>
      <c r="Y361" s="9">
        <v>19.91589544268896</v>
      </c>
      <c r="Z361" s="9">
        <v>21.609947773831163</v>
      </c>
      <c r="AA361" s="9">
        <v>21.609947773831163</v>
      </c>
      <c r="AB361" s="9">
        <v>23.372671736151272</v>
      </c>
      <c r="AC361" s="9">
        <v>23.372671736151272</v>
      </c>
      <c r="AD361" s="9">
        <v>26.430826810726163</v>
      </c>
      <c r="AE361" s="9">
        <v>27.959768706413232</v>
      </c>
      <c r="AF361" s="9">
        <v>29.772701744670762</v>
      </c>
      <c r="AG361" s="9">
        <v>29.772701744670762</v>
      </c>
      <c r="AH361" s="9">
        <v>32.589351949315954</v>
      </c>
      <c r="AI361" s="9">
        <v>34.825222308406182</v>
      </c>
      <c r="AJ361" s="9">
        <v>3.0428788910505911</v>
      </c>
    </row>
    <row r="362" spans="1:36" x14ac:dyDescent="0.25">
      <c r="A362" t="s">
        <v>5411</v>
      </c>
      <c r="B362" t="s">
        <v>16</v>
      </c>
      <c r="C362" t="s">
        <v>17</v>
      </c>
      <c r="D362">
        <v>15155000</v>
      </c>
      <c r="E362">
        <v>15159999</v>
      </c>
      <c r="F362" t="s">
        <v>305</v>
      </c>
      <c r="G362" t="str">
        <f t="shared" si="10"/>
        <v>SPI II</v>
      </c>
      <c r="H362" t="s">
        <v>19</v>
      </c>
      <c r="I362" t="s">
        <v>20</v>
      </c>
      <c r="J362" t="s">
        <v>64</v>
      </c>
      <c r="K362" s="6">
        <v>0.03</v>
      </c>
      <c r="L362" s="7">
        <f t="shared" si="11"/>
        <v>2E-3</v>
      </c>
      <c r="M362" s="7">
        <v>3.0000000000000001E-3</v>
      </c>
      <c r="N362">
        <v>7</v>
      </c>
      <c r="O362" s="8">
        <v>17.934556092922943</v>
      </c>
      <c r="P362" s="9">
        <v>17.934556092922943</v>
      </c>
      <c r="Q362" s="9">
        <v>17.934556092922943</v>
      </c>
      <c r="R362" s="9">
        <v>18.35577997371016</v>
      </c>
      <c r="S362" s="9">
        <v>18.404835306435746</v>
      </c>
      <c r="T362" s="9">
        <v>19.112621008962602</v>
      </c>
      <c r="U362" s="9">
        <v>20.35176903227914</v>
      </c>
      <c r="V362" s="9">
        <v>20.35176903227914</v>
      </c>
      <c r="W362" s="9">
        <v>20.35176903227914</v>
      </c>
      <c r="X362" s="9">
        <v>19.91589544268896</v>
      </c>
      <c r="Y362" s="9">
        <v>19.91589544268896</v>
      </c>
      <c r="Z362" s="9">
        <v>21.609947773831163</v>
      </c>
      <c r="AA362" s="9">
        <v>21.609947773831163</v>
      </c>
      <c r="AB362" s="9">
        <v>23.372671736151272</v>
      </c>
      <c r="AC362" s="9">
        <v>23.372671736151272</v>
      </c>
      <c r="AD362" s="9">
        <v>26.430826810726163</v>
      </c>
      <c r="AE362" s="9">
        <v>27.959768706413232</v>
      </c>
      <c r="AF362" s="9">
        <v>29.772701744670762</v>
      </c>
      <c r="AG362" s="9">
        <v>29.772701744670762</v>
      </c>
      <c r="AH362" s="9">
        <v>32.589351949315954</v>
      </c>
      <c r="AI362" s="9">
        <v>34.825222308406182</v>
      </c>
      <c r="AJ362" s="9">
        <v>3.0428788910505911</v>
      </c>
    </row>
    <row r="363" spans="1:36" x14ac:dyDescent="0.25">
      <c r="A363" t="s">
        <v>5411</v>
      </c>
      <c r="B363" t="s">
        <v>16</v>
      </c>
      <c r="C363" t="s">
        <v>17</v>
      </c>
      <c r="D363">
        <v>15160000</v>
      </c>
      <c r="E363">
        <v>15169999</v>
      </c>
      <c r="F363" t="s">
        <v>306</v>
      </c>
      <c r="G363" t="str">
        <f t="shared" si="10"/>
        <v>SPI II</v>
      </c>
      <c r="H363" t="s">
        <v>19</v>
      </c>
      <c r="I363" t="s">
        <v>20</v>
      </c>
      <c r="J363" t="s">
        <v>64</v>
      </c>
      <c r="K363" s="6">
        <v>0.03</v>
      </c>
      <c r="L363" s="7">
        <f t="shared" si="11"/>
        <v>2E-3</v>
      </c>
      <c r="M363" s="7">
        <v>3.0000000000000001E-3</v>
      </c>
      <c r="N363">
        <v>7</v>
      </c>
      <c r="O363" s="8">
        <v>17.934556092922943</v>
      </c>
      <c r="P363" s="9">
        <v>17.934556092922943</v>
      </c>
      <c r="Q363" s="9">
        <v>17.934556092922943</v>
      </c>
      <c r="R363" s="9">
        <v>18.35577997371016</v>
      </c>
      <c r="S363" s="9">
        <v>18.404835306435746</v>
      </c>
      <c r="T363" s="9">
        <v>19.112621008962602</v>
      </c>
      <c r="U363" s="9">
        <v>20.35176903227914</v>
      </c>
      <c r="V363" s="9">
        <v>20.35176903227914</v>
      </c>
      <c r="W363" s="9">
        <v>20.35176903227914</v>
      </c>
      <c r="X363" s="9">
        <v>19.91589544268896</v>
      </c>
      <c r="Y363" s="9">
        <v>19.91589544268896</v>
      </c>
      <c r="Z363" s="9">
        <v>21.609947773831163</v>
      </c>
      <c r="AA363" s="9">
        <v>21.609947773831163</v>
      </c>
      <c r="AB363" s="9">
        <v>23.372671736151272</v>
      </c>
      <c r="AC363" s="9">
        <v>23.372671736151272</v>
      </c>
      <c r="AD363" s="9">
        <v>26.430826810726163</v>
      </c>
      <c r="AE363" s="9">
        <v>27.959768706413232</v>
      </c>
      <c r="AF363" s="9">
        <v>29.772701744670762</v>
      </c>
      <c r="AG363" s="9">
        <v>29.772701744670762</v>
      </c>
      <c r="AH363" s="9">
        <v>32.589351949315954</v>
      </c>
      <c r="AI363" s="9">
        <v>34.825222308406182</v>
      </c>
      <c r="AJ363" s="9">
        <v>3.0428788910505911</v>
      </c>
    </row>
    <row r="364" spans="1:36" x14ac:dyDescent="0.25">
      <c r="A364" t="s">
        <v>5411</v>
      </c>
      <c r="B364" t="s">
        <v>16</v>
      </c>
      <c r="C364" t="s">
        <v>17</v>
      </c>
      <c r="D364">
        <v>15170000</v>
      </c>
      <c r="E364">
        <v>15179999</v>
      </c>
      <c r="F364" t="s">
        <v>307</v>
      </c>
      <c r="G364" t="str">
        <f t="shared" si="10"/>
        <v>SPI II</v>
      </c>
      <c r="H364" t="s">
        <v>19</v>
      </c>
      <c r="I364" t="s">
        <v>20</v>
      </c>
      <c r="J364" t="s">
        <v>64</v>
      </c>
      <c r="K364" s="6">
        <v>0.03</v>
      </c>
      <c r="L364" s="7">
        <f t="shared" si="11"/>
        <v>2E-3</v>
      </c>
      <c r="M364" s="7">
        <v>3.0000000000000001E-3</v>
      </c>
      <c r="N364">
        <v>6</v>
      </c>
      <c r="O364" s="8">
        <v>17.934556092922943</v>
      </c>
      <c r="P364" s="9">
        <v>17.934556092922943</v>
      </c>
      <c r="Q364" s="9">
        <v>17.934556092922943</v>
      </c>
      <c r="R364" s="9">
        <v>18.35577997371016</v>
      </c>
      <c r="S364" s="9">
        <v>18.404835306435746</v>
      </c>
      <c r="T364" s="9">
        <v>19.112621008962602</v>
      </c>
      <c r="U364" s="9">
        <v>20.35176903227914</v>
      </c>
      <c r="V364" s="9">
        <v>20.35176903227914</v>
      </c>
      <c r="W364" s="9">
        <v>20.35176903227914</v>
      </c>
      <c r="X364" s="9">
        <v>19.91589544268896</v>
      </c>
      <c r="Y364" s="9">
        <v>19.91589544268896</v>
      </c>
      <c r="Z364" s="9">
        <v>21.609947773831163</v>
      </c>
      <c r="AA364" s="9">
        <v>21.609947773831163</v>
      </c>
      <c r="AB364" s="9">
        <v>23.372671736151272</v>
      </c>
      <c r="AC364" s="9">
        <v>23.372671736151272</v>
      </c>
      <c r="AD364" s="9">
        <v>26.430826810726163</v>
      </c>
      <c r="AE364" s="9">
        <v>27.959768706413232</v>
      </c>
      <c r="AF364" s="9">
        <v>29.772701744670762</v>
      </c>
      <c r="AG364" s="9">
        <v>29.772701744670762</v>
      </c>
      <c r="AH364" s="9">
        <v>32.589351949315954</v>
      </c>
      <c r="AI364" s="9">
        <v>34.825222308406182</v>
      </c>
      <c r="AJ364" s="9">
        <v>3.0428788910505911</v>
      </c>
    </row>
    <row r="365" spans="1:36" x14ac:dyDescent="0.25">
      <c r="A365" t="s">
        <v>5411</v>
      </c>
      <c r="B365" t="s">
        <v>16</v>
      </c>
      <c r="C365" t="s">
        <v>17</v>
      </c>
      <c r="D365">
        <v>15180000</v>
      </c>
      <c r="E365">
        <v>15189999</v>
      </c>
      <c r="F365" t="s">
        <v>308</v>
      </c>
      <c r="G365" t="str">
        <f t="shared" si="10"/>
        <v>SPI II</v>
      </c>
      <c r="H365" t="s">
        <v>19</v>
      </c>
      <c r="I365" t="s">
        <v>20</v>
      </c>
      <c r="J365" t="s">
        <v>64</v>
      </c>
      <c r="K365" s="6">
        <v>0.03</v>
      </c>
      <c r="L365" s="7">
        <f t="shared" si="11"/>
        <v>2E-3</v>
      </c>
      <c r="M365" s="7">
        <v>3.0000000000000001E-3</v>
      </c>
      <c r="N365">
        <v>7</v>
      </c>
      <c r="O365" s="8">
        <v>17.934556092922943</v>
      </c>
      <c r="P365" s="9">
        <v>17.934556092922943</v>
      </c>
      <c r="Q365" s="9">
        <v>17.934556092922943</v>
      </c>
      <c r="R365" s="9">
        <v>18.35577997371016</v>
      </c>
      <c r="S365" s="9">
        <v>18.404835306435746</v>
      </c>
      <c r="T365" s="9">
        <v>19.112621008962602</v>
      </c>
      <c r="U365" s="9">
        <v>20.35176903227914</v>
      </c>
      <c r="V365" s="9">
        <v>20.35176903227914</v>
      </c>
      <c r="W365" s="9">
        <v>20.35176903227914</v>
      </c>
      <c r="X365" s="9">
        <v>19.91589544268896</v>
      </c>
      <c r="Y365" s="9">
        <v>19.91589544268896</v>
      </c>
      <c r="Z365" s="9">
        <v>21.609947773831163</v>
      </c>
      <c r="AA365" s="9">
        <v>21.609947773831163</v>
      </c>
      <c r="AB365" s="9">
        <v>23.372671736151272</v>
      </c>
      <c r="AC365" s="9">
        <v>23.372671736151272</v>
      </c>
      <c r="AD365" s="9">
        <v>26.430826810726163</v>
      </c>
      <c r="AE365" s="9">
        <v>27.959768706413232</v>
      </c>
      <c r="AF365" s="9">
        <v>29.772701744670762</v>
      </c>
      <c r="AG365" s="9">
        <v>29.772701744670762</v>
      </c>
      <c r="AH365" s="9">
        <v>32.589351949315954</v>
      </c>
      <c r="AI365" s="9">
        <v>34.825222308406182</v>
      </c>
      <c r="AJ365" s="9">
        <v>3.0428788910505911</v>
      </c>
    </row>
    <row r="366" spans="1:36" x14ac:dyDescent="0.25">
      <c r="A366" t="s">
        <v>5411</v>
      </c>
      <c r="B366" t="s">
        <v>16</v>
      </c>
      <c r="C366" t="s">
        <v>17</v>
      </c>
      <c r="D366">
        <v>15190000</v>
      </c>
      <c r="E366">
        <v>15199999</v>
      </c>
      <c r="F366" t="s">
        <v>309</v>
      </c>
      <c r="G366" t="str">
        <f t="shared" si="10"/>
        <v>SPI II</v>
      </c>
      <c r="H366" t="s">
        <v>19</v>
      </c>
      <c r="I366" t="s">
        <v>20</v>
      </c>
      <c r="J366" t="s">
        <v>64</v>
      </c>
      <c r="K366" s="6">
        <v>0.03</v>
      </c>
      <c r="L366" s="7">
        <f t="shared" si="11"/>
        <v>2E-3</v>
      </c>
      <c r="M366" s="7">
        <v>3.0000000000000001E-3</v>
      </c>
      <c r="N366">
        <v>7</v>
      </c>
      <c r="O366" s="8">
        <v>17.934556092922943</v>
      </c>
      <c r="P366" s="9">
        <v>17.934556092922943</v>
      </c>
      <c r="Q366" s="9">
        <v>17.934556092922943</v>
      </c>
      <c r="R366" s="9">
        <v>18.35577997371016</v>
      </c>
      <c r="S366" s="9">
        <v>18.404835306435746</v>
      </c>
      <c r="T366" s="9">
        <v>19.112621008962602</v>
      </c>
      <c r="U366" s="9">
        <v>20.35176903227914</v>
      </c>
      <c r="V366" s="9">
        <v>20.35176903227914</v>
      </c>
      <c r="W366" s="9">
        <v>20.35176903227914</v>
      </c>
      <c r="X366" s="9">
        <v>19.91589544268896</v>
      </c>
      <c r="Y366" s="9">
        <v>19.91589544268896</v>
      </c>
      <c r="Z366" s="9">
        <v>21.609947773831163</v>
      </c>
      <c r="AA366" s="9">
        <v>21.609947773831163</v>
      </c>
      <c r="AB366" s="9">
        <v>23.372671736151272</v>
      </c>
      <c r="AC366" s="9">
        <v>23.372671736151272</v>
      </c>
      <c r="AD366" s="9">
        <v>26.430826810726163</v>
      </c>
      <c r="AE366" s="9">
        <v>27.959768706413232</v>
      </c>
      <c r="AF366" s="9">
        <v>29.772701744670762</v>
      </c>
      <c r="AG366" s="9">
        <v>29.772701744670762</v>
      </c>
      <c r="AH366" s="9">
        <v>32.589351949315954</v>
      </c>
      <c r="AI366" s="9">
        <v>34.825222308406182</v>
      </c>
      <c r="AJ366" s="9">
        <v>3.0428788910505911</v>
      </c>
    </row>
    <row r="367" spans="1:36" x14ac:dyDescent="0.25">
      <c r="A367" t="s">
        <v>5411</v>
      </c>
      <c r="B367" t="s">
        <v>16</v>
      </c>
      <c r="C367" t="s">
        <v>17</v>
      </c>
      <c r="D367">
        <v>15200000</v>
      </c>
      <c r="E367">
        <v>15209999</v>
      </c>
      <c r="F367" t="s">
        <v>310</v>
      </c>
      <c r="G367" t="str">
        <f t="shared" si="10"/>
        <v>SPI II</v>
      </c>
      <c r="H367" t="s">
        <v>19</v>
      </c>
      <c r="I367" t="s">
        <v>20</v>
      </c>
      <c r="J367" t="s">
        <v>64</v>
      </c>
      <c r="K367" s="6">
        <v>0.03</v>
      </c>
      <c r="L367" s="7">
        <f t="shared" si="11"/>
        <v>2E-3</v>
      </c>
      <c r="M367" s="7">
        <v>3.0000000000000001E-3</v>
      </c>
      <c r="N367">
        <v>6</v>
      </c>
      <c r="O367" s="8">
        <v>17.934556092922943</v>
      </c>
      <c r="P367" s="9">
        <v>17.934556092922943</v>
      </c>
      <c r="Q367" s="9">
        <v>17.934556092922943</v>
      </c>
      <c r="R367" s="9">
        <v>18.35577997371016</v>
      </c>
      <c r="S367" s="9">
        <v>18.404835306435746</v>
      </c>
      <c r="T367" s="9">
        <v>19.112621008962602</v>
      </c>
      <c r="U367" s="9">
        <v>20.35176903227914</v>
      </c>
      <c r="V367" s="9">
        <v>20.35176903227914</v>
      </c>
      <c r="W367" s="9">
        <v>20.35176903227914</v>
      </c>
      <c r="X367" s="9">
        <v>19.91589544268896</v>
      </c>
      <c r="Y367" s="9">
        <v>19.91589544268896</v>
      </c>
      <c r="Z367" s="9">
        <v>21.609947773831163</v>
      </c>
      <c r="AA367" s="9">
        <v>21.609947773831163</v>
      </c>
      <c r="AB367" s="9">
        <v>23.372671736151272</v>
      </c>
      <c r="AC367" s="9">
        <v>23.372671736151272</v>
      </c>
      <c r="AD367" s="9">
        <v>26.430826810726163</v>
      </c>
      <c r="AE367" s="9">
        <v>27.959768706413232</v>
      </c>
      <c r="AF367" s="9">
        <v>29.772701744670762</v>
      </c>
      <c r="AG367" s="9">
        <v>29.772701744670762</v>
      </c>
      <c r="AH367" s="9">
        <v>32.589351949315954</v>
      </c>
      <c r="AI367" s="9">
        <v>34.825222308406182</v>
      </c>
      <c r="AJ367" s="9">
        <v>3.0428788910505911</v>
      </c>
    </row>
    <row r="368" spans="1:36" x14ac:dyDescent="0.25">
      <c r="A368" t="s">
        <v>5411</v>
      </c>
      <c r="B368" t="s">
        <v>16</v>
      </c>
      <c r="C368" t="s">
        <v>17</v>
      </c>
      <c r="D368">
        <v>15210000</v>
      </c>
      <c r="E368">
        <v>15219999</v>
      </c>
      <c r="F368" t="s">
        <v>311</v>
      </c>
      <c r="G368" t="str">
        <f t="shared" si="10"/>
        <v>SPI II</v>
      </c>
      <c r="H368" t="s">
        <v>19</v>
      </c>
      <c r="I368" t="s">
        <v>20</v>
      </c>
      <c r="J368" t="s">
        <v>64</v>
      </c>
      <c r="K368" s="6">
        <v>0.03</v>
      </c>
      <c r="L368" s="7">
        <f t="shared" si="11"/>
        <v>2E-3</v>
      </c>
      <c r="M368" s="7">
        <v>3.0000000000000001E-3</v>
      </c>
      <c r="N368">
        <v>7</v>
      </c>
      <c r="O368" s="8">
        <v>17.934556092922943</v>
      </c>
      <c r="P368" s="9">
        <v>17.934556092922943</v>
      </c>
      <c r="Q368" s="9">
        <v>17.934556092922943</v>
      </c>
      <c r="R368" s="9">
        <v>18.35577997371016</v>
      </c>
      <c r="S368" s="9">
        <v>18.404835306435746</v>
      </c>
      <c r="T368" s="9">
        <v>19.112621008962602</v>
      </c>
      <c r="U368" s="9">
        <v>20.35176903227914</v>
      </c>
      <c r="V368" s="9">
        <v>20.35176903227914</v>
      </c>
      <c r="W368" s="9">
        <v>20.35176903227914</v>
      </c>
      <c r="X368" s="9">
        <v>19.91589544268896</v>
      </c>
      <c r="Y368" s="9">
        <v>19.91589544268896</v>
      </c>
      <c r="Z368" s="9">
        <v>21.609947773831163</v>
      </c>
      <c r="AA368" s="9">
        <v>21.609947773831163</v>
      </c>
      <c r="AB368" s="9">
        <v>23.372671736151272</v>
      </c>
      <c r="AC368" s="9">
        <v>23.372671736151272</v>
      </c>
      <c r="AD368" s="9">
        <v>26.430826810726163</v>
      </c>
      <c r="AE368" s="9">
        <v>27.959768706413232</v>
      </c>
      <c r="AF368" s="9">
        <v>29.772701744670762</v>
      </c>
      <c r="AG368" s="9">
        <v>29.772701744670762</v>
      </c>
      <c r="AH368" s="9">
        <v>32.589351949315954</v>
      </c>
      <c r="AI368" s="9">
        <v>34.825222308406182</v>
      </c>
      <c r="AJ368" s="9">
        <v>3.0428788910505911</v>
      </c>
    </row>
    <row r="369" spans="1:36" x14ac:dyDescent="0.25">
      <c r="A369" t="s">
        <v>5411</v>
      </c>
      <c r="B369" t="s">
        <v>16</v>
      </c>
      <c r="C369" t="s">
        <v>17</v>
      </c>
      <c r="D369">
        <v>15220000</v>
      </c>
      <c r="E369">
        <v>15224999</v>
      </c>
      <c r="F369" t="s">
        <v>312</v>
      </c>
      <c r="G369" t="str">
        <f t="shared" si="10"/>
        <v>SPI II</v>
      </c>
      <c r="H369" t="s">
        <v>19</v>
      </c>
      <c r="I369" t="s">
        <v>20</v>
      </c>
      <c r="J369" t="s">
        <v>64</v>
      </c>
      <c r="K369" s="6">
        <v>0.03</v>
      </c>
      <c r="L369" s="7">
        <f t="shared" si="11"/>
        <v>2E-3</v>
      </c>
      <c r="M369" s="7">
        <v>3.0000000000000001E-3</v>
      </c>
      <c r="N369">
        <v>7</v>
      </c>
      <c r="O369" s="8">
        <v>17.934556092922943</v>
      </c>
      <c r="P369" s="9">
        <v>17.934556092922943</v>
      </c>
      <c r="Q369" s="9">
        <v>17.934556092922943</v>
      </c>
      <c r="R369" s="9">
        <v>18.35577997371016</v>
      </c>
      <c r="S369" s="9">
        <v>18.404835306435746</v>
      </c>
      <c r="T369" s="9">
        <v>19.112621008962602</v>
      </c>
      <c r="U369" s="9">
        <v>20.35176903227914</v>
      </c>
      <c r="V369" s="9">
        <v>20.35176903227914</v>
      </c>
      <c r="W369" s="9">
        <v>20.35176903227914</v>
      </c>
      <c r="X369" s="9">
        <v>19.91589544268896</v>
      </c>
      <c r="Y369" s="9">
        <v>19.91589544268896</v>
      </c>
      <c r="Z369" s="9">
        <v>21.609947773831163</v>
      </c>
      <c r="AA369" s="9">
        <v>21.609947773831163</v>
      </c>
      <c r="AB369" s="9">
        <v>23.372671736151272</v>
      </c>
      <c r="AC369" s="9">
        <v>23.372671736151272</v>
      </c>
      <c r="AD369" s="9">
        <v>26.430826810726163</v>
      </c>
      <c r="AE369" s="9">
        <v>27.959768706413232</v>
      </c>
      <c r="AF369" s="9">
        <v>29.772701744670762</v>
      </c>
      <c r="AG369" s="9">
        <v>29.772701744670762</v>
      </c>
      <c r="AH369" s="9">
        <v>32.589351949315954</v>
      </c>
      <c r="AI369" s="9">
        <v>34.825222308406182</v>
      </c>
      <c r="AJ369" s="9">
        <v>3.0428788910505911</v>
      </c>
    </row>
    <row r="370" spans="1:36" x14ac:dyDescent="0.25">
      <c r="A370" t="s">
        <v>5411</v>
      </c>
      <c r="B370" t="s">
        <v>16</v>
      </c>
      <c r="C370" t="s">
        <v>17</v>
      </c>
      <c r="D370">
        <v>15225000</v>
      </c>
      <c r="E370">
        <v>15229999</v>
      </c>
      <c r="F370" t="s">
        <v>313</v>
      </c>
      <c r="G370" t="str">
        <f t="shared" si="10"/>
        <v>SPI II</v>
      </c>
      <c r="H370" t="s">
        <v>19</v>
      </c>
      <c r="I370" t="s">
        <v>20</v>
      </c>
      <c r="J370" t="s">
        <v>64</v>
      </c>
      <c r="K370" s="6">
        <v>0.03</v>
      </c>
      <c r="L370" s="7">
        <f t="shared" si="11"/>
        <v>2E-3</v>
      </c>
      <c r="M370" s="7">
        <v>3.0000000000000001E-3</v>
      </c>
      <c r="N370">
        <v>7</v>
      </c>
      <c r="O370" s="8">
        <v>17.934556092922943</v>
      </c>
      <c r="P370" s="9">
        <v>17.934556092922943</v>
      </c>
      <c r="Q370" s="9">
        <v>17.934556092922943</v>
      </c>
      <c r="R370" s="9">
        <v>18.35577997371016</v>
      </c>
      <c r="S370" s="9">
        <v>18.404835306435746</v>
      </c>
      <c r="T370" s="9">
        <v>19.112621008962602</v>
      </c>
      <c r="U370" s="9">
        <v>20.35176903227914</v>
      </c>
      <c r="V370" s="9">
        <v>20.35176903227914</v>
      </c>
      <c r="W370" s="9">
        <v>20.35176903227914</v>
      </c>
      <c r="X370" s="9">
        <v>19.91589544268896</v>
      </c>
      <c r="Y370" s="9">
        <v>19.91589544268896</v>
      </c>
      <c r="Z370" s="9">
        <v>21.609947773831163</v>
      </c>
      <c r="AA370" s="9">
        <v>21.609947773831163</v>
      </c>
      <c r="AB370" s="9">
        <v>23.372671736151272</v>
      </c>
      <c r="AC370" s="9">
        <v>23.372671736151272</v>
      </c>
      <c r="AD370" s="9">
        <v>26.430826810726163</v>
      </c>
      <c r="AE370" s="9">
        <v>27.959768706413232</v>
      </c>
      <c r="AF370" s="9">
        <v>29.772701744670762</v>
      </c>
      <c r="AG370" s="9">
        <v>29.772701744670762</v>
      </c>
      <c r="AH370" s="9">
        <v>32.589351949315954</v>
      </c>
      <c r="AI370" s="9">
        <v>34.825222308406182</v>
      </c>
      <c r="AJ370" s="9">
        <v>3.0428788910505911</v>
      </c>
    </row>
    <row r="371" spans="1:36" x14ac:dyDescent="0.25">
      <c r="A371" t="s">
        <v>5411</v>
      </c>
      <c r="B371" t="s">
        <v>16</v>
      </c>
      <c r="C371" t="s">
        <v>17</v>
      </c>
      <c r="D371">
        <v>15230000</v>
      </c>
      <c r="E371">
        <v>15239999</v>
      </c>
      <c r="F371" t="s">
        <v>314</v>
      </c>
      <c r="G371" t="str">
        <f t="shared" si="10"/>
        <v>SPI II</v>
      </c>
      <c r="H371" t="s">
        <v>19</v>
      </c>
      <c r="I371" t="s">
        <v>20</v>
      </c>
      <c r="J371" t="s">
        <v>64</v>
      </c>
      <c r="K371" s="6">
        <v>0.03</v>
      </c>
      <c r="L371" s="7">
        <f t="shared" si="11"/>
        <v>2E-3</v>
      </c>
      <c r="M371" s="7">
        <v>3.0000000000000001E-3</v>
      </c>
      <c r="N371">
        <v>7</v>
      </c>
      <c r="O371" s="8">
        <v>17.934556092922943</v>
      </c>
      <c r="P371" s="9">
        <v>17.934556092922943</v>
      </c>
      <c r="Q371" s="9">
        <v>17.934556092922943</v>
      </c>
      <c r="R371" s="9">
        <v>18.35577997371016</v>
      </c>
      <c r="S371" s="9">
        <v>18.404835306435746</v>
      </c>
      <c r="T371" s="9">
        <v>19.112621008962602</v>
      </c>
      <c r="U371" s="9">
        <v>20.35176903227914</v>
      </c>
      <c r="V371" s="9">
        <v>20.35176903227914</v>
      </c>
      <c r="W371" s="9">
        <v>20.35176903227914</v>
      </c>
      <c r="X371" s="9">
        <v>19.91589544268896</v>
      </c>
      <c r="Y371" s="9">
        <v>19.91589544268896</v>
      </c>
      <c r="Z371" s="9">
        <v>21.609947773831163</v>
      </c>
      <c r="AA371" s="9">
        <v>21.609947773831163</v>
      </c>
      <c r="AB371" s="9">
        <v>23.372671736151272</v>
      </c>
      <c r="AC371" s="9">
        <v>23.372671736151272</v>
      </c>
      <c r="AD371" s="9">
        <v>26.430826810726163</v>
      </c>
      <c r="AE371" s="9">
        <v>27.959768706413232</v>
      </c>
      <c r="AF371" s="9">
        <v>29.772701744670762</v>
      </c>
      <c r="AG371" s="9">
        <v>29.772701744670762</v>
      </c>
      <c r="AH371" s="9">
        <v>32.589351949315954</v>
      </c>
      <c r="AI371" s="9">
        <v>34.825222308406182</v>
      </c>
      <c r="AJ371" s="9">
        <v>3.0428788910505911</v>
      </c>
    </row>
    <row r="372" spans="1:36" x14ac:dyDescent="0.25">
      <c r="A372" t="s">
        <v>5411</v>
      </c>
      <c r="B372" t="s">
        <v>16</v>
      </c>
      <c r="C372" t="s">
        <v>17</v>
      </c>
      <c r="D372">
        <v>15240000</v>
      </c>
      <c r="E372">
        <v>15249999</v>
      </c>
      <c r="F372" t="s">
        <v>315</v>
      </c>
      <c r="G372" t="str">
        <f t="shared" si="10"/>
        <v>SPI II</v>
      </c>
      <c r="H372" t="s">
        <v>19</v>
      </c>
      <c r="I372" t="s">
        <v>20</v>
      </c>
      <c r="J372" t="s">
        <v>64</v>
      </c>
      <c r="K372" s="6">
        <v>0.03</v>
      </c>
      <c r="L372" s="7">
        <f t="shared" si="11"/>
        <v>2E-3</v>
      </c>
      <c r="M372" s="7">
        <v>3.0000000000000001E-3</v>
      </c>
      <c r="N372">
        <v>7</v>
      </c>
      <c r="O372" s="8">
        <v>17.934556092922943</v>
      </c>
      <c r="P372" s="9">
        <v>17.934556092922943</v>
      </c>
      <c r="Q372" s="9">
        <v>17.934556092922943</v>
      </c>
      <c r="R372" s="9">
        <v>18.35577997371016</v>
      </c>
      <c r="S372" s="9">
        <v>18.404835306435746</v>
      </c>
      <c r="T372" s="9">
        <v>19.112621008962602</v>
      </c>
      <c r="U372" s="9">
        <v>20.35176903227914</v>
      </c>
      <c r="V372" s="9">
        <v>20.35176903227914</v>
      </c>
      <c r="W372" s="9">
        <v>20.35176903227914</v>
      </c>
      <c r="X372" s="9">
        <v>19.91589544268896</v>
      </c>
      <c r="Y372" s="9">
        <v>19.91589544268896</v>
      </c>
      <c r="Z372" s="9">
        <v>21.609947773831163</v>
      </c>
      <c r="AA372" s="9">
        <v>21.609947773831163</v>
      </c>
      <c r="AB372" s="9">
        <v>23.372671736151272</v>
      </c>
      <c r="AC372" s="9">
        <v>23.372671736151272</v>
      </c>
      <c r="AD372" s="9">
        <v>26.430826810726163</v>
      </c>
      <c r="AE372" s="9">
        <v>27.959768706413232</v>
      </c>
      <c r="AF372" s="9">
        <v>29.772701744670762</v>
      </c>
      <c r="AG372" s="9">
        <v>29.772701744670762</v>
      </c>
      <c r="AH372" s="9">
        <v>32.589351949315954</v>
      </c>
      <c r="AI372" s="9">
        <v>34.825222308406182</v>
      </c>
      <c r="AJ372" s="9">
        <v>3.0428788910505911</v>
      </c>
    </row>
    <row r="373" spans="1:36" x14ac:dyDescent="0.25">
      <c r="A373" t="s">
        <v>5411</v>
      </c>
      <c r="B373" t="s">
        <v>16</v>
      </c>
      <c r="C373" t="s">
        <v>17</v>
      </c>
      <c r="D373">
        <v>15250000</v>
      </c>
      <c r="E373">
        <v>15259999</v>
      </c>
      <c r="F373" t="s">
        <v>316</v>
      </c>
      <c r="G373" t="str">
        <f t="shared" si="10"/>
        <v>SPI II</v>
      </c>
      <c r="H373" t="s">
        <v>19</v>
      </c>
      <c r="I373" t="s">
        <v>20</v>
      </c>
      <c r="J373" t="s">
        <v>64</v>
      </c>
      <c r="K373" s="6">
        <v>0.03</v>
      </c>
      <c r="L373" s="7">
        <f t="shared" si="11"/>
        <v>2E-3</v>
      </c>
      <c r="M373" s="7">
        <v>3.0000000000000001E-3</v>
      </c>
      <c r="N373">
        <v>7</v>
      </c>
      <c r="O373" s="8">
        <v>17.934556092922943</v>
      </c>
      <c r="P373" s="9">
        <v>17.934556092922943</v>
      </c>
      <c r="Q373" s="9">
        <v>17.934556092922943</v>
      </c>
      <c r="R373" s="9">
        <v>18.35577997371016</v>
      </c>
      <c r="S373" s="9">
        <v>18.404835306435746</v>
      </c>
      <c r="T373" s="9">
        <v>19.112621008962602</v>
      </c>
      <c r="U373" s="9">
        <v>20.35176903227914</v>
      </c>
      <c r="V373" s="9">
        <v>20.35176903227914</v>
      </c>
      <c r="W373" s="9">
        <v>20.35176903227914</v>
      </c>
      <c r="X373" s="9">
        <v>19.91589544268896</v>
      </c>
      <c r="Y373" s="9">
        <v>19.91589544268896</v>
      </c>
      <c r="Z373" s="9">
        <v>21.609947773831163</v>
      </c>
      <c r="AA373" s="9">
        <v>21.609947773831163</v>
      </c>
      <c r="AB373" s="9">
        <v>23.372671736151272</v>
      </c>
      <c r="AC373" s="9">
        <v>23.372671736151272</v>
      </c>
      <c r="AD373" s="9">
        <v>26.430826810726163</v>
      </c>
      <c r="AE373" s="9">
        <v>27.959768706413232</v>
      </c>
      <c r="AF373" s="9">
        <v>29.772701744670762</v>
      </c>
      <c r="AG373" s="9">
        <v>29.772701744670762</v>
      </c>
      <c r="AH373" s="9">
        <v>32.589351949315954</v>
      </c>
      <c r="AI373" s="9">
        <v>34.825222308406182</v>
      </c>
      <c r="AJ373" s="9">
        <v>3.0428788910505911</v>
      </c>
    </row>
    <row r="374" spans="1:36" x14ac:dyDescent="0.25">
      <c r="A374" t="s">
        <v>5411</v>
      </c>
      <c r="B374" t="s">
        <v>16</v>
      </c>
      <c r="C374" t="s">
        <v>17</v>
      </c>
      <c r="D374">
        <v>15260000</v>
      </c>
      <c r="E374">
        <v>15264999</v>
      </c>
      <c r="F374" t="s">
        <v>317</v>
      </c>
      <c r="G374" t="str">
        <f t="shared" si="10"/>
        <v>SPI II</v>
      </c>
      <c r="H374" t="s">
        <v>19</v>
      </c>
      <c r="I374" t="s">
        <v>20</v>
      </c>
      <c r="J374" t="s">
        <v>64</v>
      </c>
      <c r="K374" s="6">
        <v>0.03</v>
      </c>
      <c r="L374" s="7">
        <f t="shared" si="11"/>
        <v>2E-3</v>
      </c>
      <c r="M374" s="7">
        <v>3.0000000000000001E-3</v>
      </c>
      <c r="N374">
        <v>7</v>
      </c>
      <c r="O374" s="8">
        <v>17.934556092922943</v>
      </c>
      <c r="P374" s="9">
        <v>17.934556092922943</v>
      </c>
      <c r="Q374" s="9">
        <v>17.934556092922943</v>
      </c>
      <c r="R374" s="9">
        <v>18.35577997371016</v>
      </c>
      <c r="S374" s="9">
        <v>18.404835306435746</v>
      </c>
      <c r="T374" s="9">
        <v>19.112621008962602</v>
      </c>
      <c r="U374" s="9">
        <v>20.35176903227914</v>
      </c>
      <c r="V374" s="9">
        <v>20.35176903227914</v>
      </c>
      <c r="W374" s="9">
        <v>20.35176903227914</v>
      </c>
      <c r="X374" s="9">
        <v>19.91589544268896</v>
      </c>
      <c r="Y374" s="9">
        <v>19.91589544268896</v>
      </c>
      <c r="Z374" s="9">
        <v>21.609947773831163</v>
      </c>
      <c r="AA374" s="9">
        <v>21.609947773831163</v>
      </c>
      <c r="AB374" s="9">
        <v>23.372671736151272</v>
      </c>
      <c r="AC374" s="9">
        <v>23.372671736151272</v>
      </c>
      <c r="AD374" s="9">
        <v>26.430826810726163</v>
      </c>
      <c r="AE374" s="9">
        <v>27.959768706413232</v>
      </c>
      <c r="AF374" s="9">
        <v>29.772701744670762</v>
      </c>
      <c r="AG374" s="9">
        <v>29.772701744670762</v>
      </c>
      <c r="AH374" s="9">
        <v>32.589351949315954</v>
      </c>
      <c r="AI374" s="9">
        <v>34.825222308406182</v>
      </c>
      <c r="AJ374" s="9">
        <v>3.0428788910505911</v>
      </c>
    </row>
    <row r="375" spans="1:36" x14ac:dyDescent="0.25">
      <c r="A375" t="s">
        <v>5411</v>
      </c>
      <c r="B375" t="s">
        <v>16</v>
      </c>
      <c r="C375" t="s">
        <v>17</v>
      </c>
      <c r="D375">
        <v>15265000</v>
      </c>
      <c r="E375">
        <v>15269999</v>
      </c>
      <c r="F375" t="s">
        <v>318</v>
      </c>
      <c r="G375" t="str">
        <f t="shared" si="10"/>
        <v>SPI II</v>
      </c>
      <c r="H375" t="s">
        <v>19</v>
      </c>
      <c r="I375" t="s">
        <v>20</v>
      </c>
      <c r="J375" t="s">
        <v>64</v>
      </c>
      <c r="K375" s="6">
        <v>0.03</v>
      </c>
      <c r="L375" s="7">
        <f t="shared" si="11"/>
        <v>2E-3</v>
      </c>
      <c r="M375" s="7">
        <v>3.0000000000000001E-3</v>
      </c>
      <c r="N375">
        <v>7</v>
      </c>
      <c r="O375" s="8">
        <v>17.934556092922943</v>
      </c>
      <c r="P375" s="9">
        <v>17.934556092922943</v>
      </c>
      <c r="Q375" s="9">
        <v>17.934556092922943</v>
      </c>
      <c r="R375" s="9">
        <v>18.35577997371016</v>
      </c>
      <c r="S375" s="9">
        <v>18.404835306435746</v>
      </c>
      <c r="T375" s="9">
        <v>19.112621008962602</v>
      </c>
      <c r="U375" s="9">
        <v>20.35176903227914</v>
      </c>
      <c r="V375" s="9">
        <v>20.35176903227914</v>
      </c>
      <c r="W375" s="9">
        <v>20.35176903227914</v>
      </c>
      <c r="X375" s="9">
        <v>19.91589544268896</v>
      </c>
      <c r="Y375" s="9">
        <v>19.91589544268896</v>
      </c>
      <c r="Z375" s="9">
        <v>21.609947773831163</v>
      </c>
      <c r="AA375" s="9">
        <v>21.609947773831163</v>
      </c>
      <c r="AB375" s="9">
        <v>23.372671736151272</v>
      </c>
      <c r="AC375" s="9">
        <v>23.372671736151272</v>
      </c>
      <c r="AD375" s="9">
        <v>26.430826810726163</v>
      </c>
      <c r="AE375" s="9">
        <v>27.959768706413232</v>
      </c>
      <c r="AF375" s="9">
        <v>29.772701744670762</v>
      </c>
      <c r="AG375" s="9">
        <v>29.772701744670762</v>
      </c>
      <c r="AH375" s="9">
        <v>32.589351949315954</v>
      </c>
      <c r="AI375" s="9">
        <v>34.825222308406182</v>
      </c>
      <c r="AJ375" s="9">
        <v>3.0428788910505911</v>
      </c>
    </row>
    <row r="376" spans="1:36" x14ac:dyDescent="0.25">
      <c r="A376" t="s">
        <v>5411</v>
      </c>
      <c r="B376" t="s">
        <v>16</v>
      </c>
      <c r="C376" t="s">
        <v>17</v>
      </c>
      <c r="D376">
        <v>15270000</v>
      </c>
      <c r="E376">
        <v>15274999</v>
      </c>
      <c r="F376" t="s">
        <v>319</v>
      </c>
      <c r="G376" t="str">
        <f t="shared" si="10"/>
        <v>SPI II</v>
      </c>
      <c r="H376" t="s">
        <v>19</v>
      </c>
      <c r="I376" t="s">
        <v>20</v>
      </c>
      <c r="J376" t="s">
        <v>64</v>
      </c>
      <c r="K376" s="6">
        <v>0.03</v>
      </c>
      <c r="L376" s="7">
        <f t="shared" si="11"/>
        <v>2E-3</v>
      </c>
      <c r="M376" s="7">
        <v>3.0000000000000001E-3</v>
      </c>
      <c r="N376">
        <v>7</v>
      </c>
      <c r="O376" s="8">
        <v>17.934556092922943</v>
      </c>
      <c r="P376" s="9">
        <v>17.934556092922943</v>
      </c>
      <c r="Q376" s="9">
        <v>17.934556092922943</v>
      </c>
      <c r="R376" s="9">
        <v>18.35577997371016</v>
      </c>
      <c r="S376" s="9">
        <v>18.404835306435746</v>
      </c>
      <c r="T376" s="9">
        <v>19.112621008962602</v>
      </c>
      <c r="U376" s="9">
        <v>20.35176903227914</v>
      </c>
      <c r="V376" s="9">
        <v>20.35176903227914</v>
      </c>
      <c r="W376" s="9">
        <v>20.35176903227914</v>
      </c>
      <c r="X376" s="9">
        <v>19.91589544268896</v>
      </c>
      <c r="Y376" s="9">
        <v>19.91589544268896</v>
      </c>
      <c r="Z376" s="9">
        <v>21.609947773831163</v>
      </c>
      <c r="AA376" s="9">
        <v>21.609947773831163</v>
      </c>
      <c r="AB376" s="9">
        <v>23.372671736151272</v>
      </c>
      <c r="AC376" s="9">
        <v>23.372671736151272</v>
      </c>
      <c r="AD376" s="9">
        <v>26.430826810726163</v>
      </c>
      <c r="AE376" s="9">
        <v>27.959768706413232</v>
      </c>
      <c r="AF376" s="9">
        <v>29.772701744670762</v>
      </c>
      <c r="AG376" s="9">
        <v>29.772701744670762</v>
      </c>
      <c r="AH376" s="9">
        <v>32.589351949315954</v>
      </c>
      <c r="AI376" s="9">
        <v>34.825222308406182</v>
      </c>
      <c r="AJ376" s="9">
        <v>3.0428788910505911</v>
      </c>
    </row>
    <row r="377" spans="1:36" x14ac:dyDescent="0.25">
      <c r="A377" t="s">
        <v>5411</v>
      </c>
      <c r="B377" t="s">
        <v>16</v>
      </c>
      <c r="C377" t="s">
        <v>17</v>
      </c>
      <c r="D377">
        <v>15275000</v>
      </c>
      <c r="E377">
        <v>15279999</v>
      </c>
      <c r="F377" t="s">
        <v>320</v>
      </c>
      <c r="G377" t="str">
        <f t="shared" si="10"/>
        <v>SPI II</v>
      </c>
      <c r="H377" t="s">
        <v>19</v>
      </c>
      <c r="I377" t="s">
        <v>20</v>
      </c>
      <c r="J377" t="s">
        <v>64</v>
      </c>
      <c r="K377" s="6">
        <v>0.03</v>
      </c>
      <c r="L377" s="7">
        <f t="shared" si="11"/>
        <v>2E-3</v>
      </c>
      <c r="M377" s="7">
        <v>3.0000000000000001E-3</v>
      </c>
      <c r="N377">
        <v>7</v>
      </c>
      <c r="O377" s="8">
        <v>17.934556092922943</v>
      </c>
      <c r="P377" s="9">
        <v>17.934556092922943</v>
      </c>
      <c r="Q377" s="9">
        <v>17.934556092922943</v>
      </c>
      <c r="R377" s="9">
        <v>18.35577997371016</v>
      </c>
      <c r="S377" s="9">
        <v>18.404835306435746</v>
      </c>
      <c r="T377" s="9">
        <v>19.112621008962602</v>
      </c>
      <c r="U377" s="9">
        <v>20.35176903227914</v>
      </c>
      <c r="V377" s="9">
        <v>20.35176903227914</v>
      </c>
      <c r="W377" s="9">
        <v>20.35176903227914</v>
      </c>
      <c r="X377" s="9">
        <v>19.91589544268896</v>
      </c>
      <c r="Y377" s="9">
        <v>19.91589544268896</v>
      </c>
      <c r="Z377" s="9">
        <v>21.609947773831163</v>
      </c>
      <c r="AA377" s="9">
        <v>21.609947773831163</v>
      </c>
      <c r="AB377" s="9">
        <v>23.372671736151272</v>
      </c>
      <c r="AC377" s="9">
        <v>23.372671736151272</v>
      </c>
      <c r="AD377" s="9">
        <v>26.430826810726163</v>
      </c>
      <c r="AE377" s="9">
        <v>27.959768706413232</v>
      </c>
      <c r="AF377" s="9">
        <v>29.772701744670762</v>
      </c>
      <c r="AG377" s="9">
        <v>29.772701744670762</v>
      </c>
      <c r="AH377" s="9">
        <v>32.589351949315954</v>
      </c>
      <c r="AI377" s="9">
        <v>34.825222308406182</v>
      </c>
      <c r="AJ377" s="9">
        <v>3.0428788910505911</v>
      </c>
    </row>
    <row r="378" spans="1:36" x14ac:dyDescent="0.25">
      <c r="A378" t="s">
        <v>5411</v>
      </c>
      <c r="B378" t="s">
        <v>16</v>
      </c>
      <c r="C378" t="s">
        <v>17</v>
      </c>
      <c r="D378">
        <v>15280000</v>
      </c>
      <c r="E378">
        <v>15284999</v>
      </c>
      <c r="F378" t="s">
        <v>321</v>
      </c>
      <c r="G378" t="str">
        <f t="shared" si="10"/>
        <v>SPI II</v>
      </c>
      <c r="H378" t="s">
        <v>19</v>
      </c>
      <c r="I378" t="s">
        <v>20</v>
      </c>
      <c r="J378" t="s">
        <v>64</v>
      </c>
      <c r="K378" s="6">
        <v>0.03</v>
      </c>
      <c r="L378" s="7">
        <f t="shared" si="11"/>
        <v>2E-3</v>
      </c>
      <c r="M378" s="7">
        <v>3.0000000000000001E-3</v>
      </c>
      <c r="N378">
        <v>7</v>
      </c>
      <c r="O378" s="8">
        <v>17.934556092922943</v>
      </c>
      <c r="P378" s="9">
        <v>17.934556092922943</v>
      </c>
      <c r="Q378" s="9">
        <v>17.934556092922943</v>
      </c>
      <c r="R378" s="9">
        <v>18.35577997371016</v>
      </c>
      <c r="S378" s="9">
        <v>18.404835306435746</v>
      </c>
      <c r="T378" s="9">
        <v>19.112621008962602</v>
      </c>
      <c r="U378" s="9">
        <v>20.35176903227914</v>
      </c>
      <c r="V378" s="9">
        <v>20.35176903227914</v>
      </c>
      <c r="W378" s="9">
        <v>20.35176903227914</v>
      </c>
      <c r="X378" s="9">
        <v>19.91589544268896</v>
      </c>
      <c r="Y378" s="9">
        <v>19.91589544268896</v>
      </c>
      <c r="Z378" s="9">
        <v>21.609947773831163</v>
      </c>
      <c r="AA378" s="9">
        <v>21.609947773831163</v>
      </c>
      <c r="AB378" s="9">
        <v>23.372671736151272</v>
      </c>
      <c r="AC378" s="9">
        <v>23.372671736151272</v>
      </c>
      <c r="AD378" s="9">
        <v>26.430826810726163</v>
      </c>
      <c r="AE378" s="9">
        <v>27.959768706413232</v>
      </c>
      <c r="AF378" s="9">
        <v>29.772701744670762</v>
      </c>
      <c r="AG378" s="9">
        <v>29.772701744670762</v>
      </c>
      <c r="AH378" s="9">
        <v>32.589351949315954</v>
      </c>
      <c r="AI378" s="9">
        <v>34.825222308406182</v>
      </c>
      <c r="AJ378" s="9">
        <v>3.0428788910505911</v>
      </c>
    </row>
    <row r="379" spans="1:36" x14ac:dyDescent="0.25">
      <c r="A379" t="s">
        <v>5411</v>
      </c>
      <c r="B379" t="s">
        <v>16</v>
      </c>
      <c r="C379" t="s">
        <v>17</v>
      </c>
      <c r="D379">
        <v>15285000</v>
      </c>
      <c r="E379">
        <v>15289999</v>
      </c>
      <c r="F379" t="s">
        <v>322</v>
      </c>
      <c r="G379" t="str">
        <f t="shared" si="10"/>
        <v>SPI II</v>
      </c>
      <c r="H379" t="s">
        <v>19</v>
      </c>
      <c r="I379" t="s">
        <v>20</v>
      </c>
      <c r="J379" t="s">
        <v>64</v>
      </c>
      <c r="K379" s="6">
        <v>0.03</v>
      </c>
      <c r="L379" s="7">
        <f t="shared" si="11"/>
        <v>2E-3</v>
      </c>
      <c r="M379" s="7">
        <v>3.0000000000000001E-3</v>
      </c>
      <c r="N379">
        <v>7</v>
      </c>
      <c r="O379" s="8">
        <v>17.934556092922943</v>
      </c>
      <c r="P379" s="9">
        <v>17.934556092922943</v>
      </c>
      <c r="Q379" s="9">
        <v>17.934556092922943</v>
      </c>
      <c r="R379" s="9">
        <v>18.35577997371016</v>
      </c>
      <c r="S379" s="9">
        <v>18.404835306435746</v>
      </c>
      <c r="T379" s="9">
        <v>19.112621008962602</v>
      </c>
      <c r="U379" s="9">
        <v>20.35176903227914</v>
      </c>
      <c r="V379" s="9">
        <v>20.35176903227914</v>
      </c>
      <c r="W379" s="9">
        <v>20.35176903227914</v>
      </c>
      <c r="X379" s="9">
        <v>19.91589544268896</v>
      </c>
      <c r="Y379" s="9">
        <v>19.91589544268896</v>
      </c>
      <c r="Z379" s="9">
        <v>21.609947773831163</v>
      </c>
      <c r="AA379" s="9">
        <v>21.609947773831163</v>
      </c>
      <c r="AB379" s="9">
        <v>23.372671736151272</v>
      </c>
      <c r="AC379" s="9">
        <v>23.372671736151272</v>
      </c>
      <c r="AD379" s="9">
        <v>26.430826810726163</v>
      </c>
      <c r="AE379" s="9">
        <v>27.959768706413232</v>
      </c>
      <c r="AF379" s="9">
        <v>29.772701744670762</v>
      </c>
      <c r="AG379" s="9">
        <v>29.772701744670762</v>
      </c>
      <c r="AH379" s="9">
        <v>32.589351949315954</v>
      </c>
      <c r="AI379" s="9">
        <v>34.825222308406182</v>
      </c>
      <c r="AJ379" s="9">
        <v>3.0428788910505911</v>
      </c>
    </row>
    <row r="380" spans="1:36" x14ac:dyDescent="0.25">
      <c r="A380" t="s">
        <v>5411</v>
      </c>
      <c r="B380" t="s">
        <v>16</v>
      </c>
      <c r="C380" t="s">
        <v>17</v>
      </c>
      <c r="D380">
        <v>15290000</v>
      </c>
      <c r="E380">
        <v>15299999</v>
      </c>
      <c r="F380" t="s">
        <v>323</v>
      </c>
      <c r="G380" t="str">
        <f t="shared" si="10"/>
        <v>SPI II</v>
      </c>
      <c r="H380" t="s">
        <v>19</v>
      </c>
      <c r="I380" t="s">
        <v>20</v>
      </c>
      <c r="J380" t="s">
        <v>64</v>
      </c>
      <c r="K380" s="6">
        <v>0.03</v>
      </c>
      <c r="L380" s="7">
        <f t="shared" si="11"/>
        <v>2E-3</v>
      </c>
      <c r="M380" s="7">
        <v>3.0000000000000001E-3</v>
      </c>
      <c r="N380">
        <v>7</v>
      </c>
      <c r="O380" s="8">
        <v>17.934556092922943</v>
      </c>
      <c r="P380" s="9">
        <v>17.934556092922943</v>
      </c>
      <c r="Q380" s="9">
        <v>17.934556092922943</v>
      </c>
      <c r="R380" s="9">
        <v>18.35577997371016</v>
      </c>
      <c r="S380" s="9">
        <v>18.404835306435746</v>
      </c>
      <c r="T380" s="9">
        <v>19.112621008962602</v>
      </c>
      <c r="U380" s="9">
        <v>20.35176903227914</v>
      </c>
      <c r="V380" s="9">
        <v>20.35176903227914</v>
      </c>
      <c r="W380" s="9">
        <v>20.35176903227914</v>
      </c>
      <c r="X380" s="9">
        <v>19.91589544268896</v>
      </c>
      <c r="Y380" s="9">
        <v>19.91589544268896</v>
      </c>
      <c r="Z380" s="9">
        <v>21.609947773831163</v>
      </c>
      <c r="AA380" s="9">
        <v>21.609947773831163</v>
      </c>
      <c r="AB380" s="9">
        <v>23.372671736151272</v>
      </c>
      <c r="AC380" s="9">
        <v>23.372671736151272</v>
      </c>
      <c r="AD380" s="9">
        <v>26.430826810726163</v>
      </c>
      <c r="AE380" s="9">
        <v>27.959768706413232</v>
      </c>
      <c r="AF380" s="9">
        <v>29.772701744670762</v>
      </c>
      <c r="AG380" s="9">
        <v>29.772701744670762</v>
      </c>
      <c r="AH380" s="9">
        <v>32.589351949315954</v>
      </c>
      <c r="AI380" s="9">
        <v>34.825222308406182</v>
      </c>
      <c r="AJ380" s="9">
        <v>3.0428788910505911</v>
      </c>
    </row>
    <row r="381" spans="1:36" x14ac:dyDescent="0.25">
      <c r="A381" t="s">
        <v>5411</v>
      </c>
      <c r="B381" t="s">
        <v>16</v>
      </c>
      <c r="C381" t="s">
        <v>17</v>
      </c>
      <c r="D381">
        <v>15300000</v>
      </c>
      <c r="E381">
        <v>15309999</v>
      </c>
      <c r="F381" t="s">
        <v>324</v>
      </c>
      <c r="G381" t="str">
        <f t="shared" si="10"/>
        <v>SPI II</v>
      </c>
      <c r="H381" t="s">
        <v>19</v>
      </c>
      <c r="I381" t="s">
        <v>20</v>
      </c>
      <c r="J381" t="s">
        <v>64</v>
      </c>
      <c r="K381" s="6">
        <v>0.03</v>
      </c>
      <c r="L381" s="7">
        <f t="shared" si="11"/>
        <v>2E-3</v>
      </c>
      <c r="M381" s="7">
        <v>3.0000000000000001E-3</v>
      </c>
      <c r="N381">
        <v>7</v>
      </c>
      <c r="O381" s="8">
        <v>17.934556092922943</v>
      </c>
      <c r="P381" s="9">
        <v>17.934556092922943</v>
      </c>
      <c r="Q381" s="9">
        <v>17.934556092922943</v>
      </c>
      <c r="R381" s="9">
        <v>18.35577997371016</v>
      </c>
      <c r="S381" s="9">
        <v>18.404835306435746</v>
      </c>
      <c r="T381" s="9">
        <v>19.112621008962602</v>
      </c>
      <c r="U381" s="9">
        <v>20.35176903227914</v>
      </c>
      <c r="V381" s="9">
        <v>20.35176903227914</v>
      </c>
      <c r="W381" s="9">
        <v>20.35176903227914</v>
      </c>
      <c r="X381" s="9">
        <v>19.91589544268896</v>
      </c>
      <c r="Y381" s="9">
        <v>19.91589544268896</v>
      </c>
      <c r="Z381" s="9">
        <v>21.609947773831163</v>
      </c>
      <c r="AA381" s="9">
        <v>21.609947773831163</v>
      </c>
      <c r="AB381" s="9">
        <v>23.372671736151272</v>
      </c>
      <c r="AC381" s="9">
        <v>23.372671736151272</v>
      </c>
      <c r="AD381" s="9">
        <v>26.430826810726163</v>
      </c>
      <c r="AE381" s="9">
        <v>27.959768706413232</v>
      </c>
      <c r="AF381" s="9">
        <v>29.772701744670762</v>
      </c>
      <c r="AG381" s="9">
        <v>29.772701744670762</v>
      </c>
      <c r="AH381" s="9">
        <v>32.589351949315954</v>
      </c>
      <c r="AI381" s="9">
        <v>34.825222308406182</v>
      </c>
      <c r="AJ381" s="9">
        <v>3.0428788910505911</v>
      </c>
    </row>
    <row r="382" spans="1:36" x14ac:dyDescent="0.25">
      <c r="A382" t="s">
        <v>5411</v>
      </c>
      <c r="B382" t="s">
        <v>16</v>
      </c>
      <c r="C382" t="s">
        <v>17</v>
      </c>
      <c r="D382">
        <v>15310000</v>
      </c>
      <c r="E382">
        <v>15312999</v>
      </c>
      <c r="F382" t="s">
        <v>325</v>
      </c>
      <c r="G382" t="str">
        <f t="shared" si="10"/>
        <v>SPI II</v>
      </c>
      <c r="H382" t="s">
        <v>19</v>
      </c>
      <c r="I382" t="s">
        <v>20</v>
      </c>
      <c r="J382" t="s">
        <v>64</v>
      </c>
      <c r="K382" s="6">
        <v>0.03</v>
      </c>
      <c r="L382" s="7">
        <f t="shared" si="11"/>
        <v>2E-3</v>
      </c>
      <c r="M382" s="7">
        <v>3.0000000000000001E-3</v>
      </c>
      <c r="N382">
        <v>8</v>
      </c>
      <c r="O382" s="8">
        <v>17.934556092922943</v>
      </c>
      <c r="P382" s="9">
        <v>17.934556092922943</v>
      </c>
      <c r="Q382" s="9">
        <v>17.934556092922943</v>
      </c>
      <c r="R382" s="9">
        <v>18.35577997371016</v>
      </c>
      <c r="S382" s="9">
        <v>18.404835306435746</v>
      </c>
      <c r="T382" s="9">
        <v>19.112621008962602</v>
      </c>
      <c r="U382" s="9">
        <v>20.35176903227914</v>
      </c>
      <c r="V382" s="9">
        <v>20.35176903227914</v>
      </c>
      <c r="W382" s="9">
        <v>20.35176903227914</v>
      </c>
      <c r="X382" s="9">
        <v>19.91589544268896</v>
      </c>
      <c r="Y382" s="9">
        <v>19.91589544268896</v>
      </c>
      <c r="Z382" s="9">
        <v>21.609947773831163</v>
      </c>
      <c r="AA382" s="9">
        <v>21.609947773831163</v>
      </c>
      <c r="AB382" s="9">
        <v>23.372671736151272</v>
      </c>
      <c r="AC382" s="9">
        <v>23.372671736151272</v>
      </c>
      <c r="AD382" s="9">
        <v>26.430826810726163</v>
      </c>
      <c r="AE382" s="9">
        <v>27.959768706413232</v>
      </c>
      <c r="AF382" s="9">
        <v>29.772701744670762</v>
      </c>
      <c r="AG382" s="9">
        <v>29.772701744670762</v>
      </c>
      <c r="AH382" s="9">
        <v>32.589351949315954</v>
      </c>
      <c r="AI382" s="9">
        <v>34.825222308406182</v>
      </c>
      <c r="AJ382" s="9">
        <v>3.0428788910505911</v>
      </c>
    </row>
    <row r="383" spans="1:36" x14ac:dyDescent="0.25">
      <c r="A383" t="s">
        <v>5411</v>
      </c>
      <c r="B383" t="s">
        <v>16</v>
      </c>
      <c r="C383" t="s">
        <v>17</v>
      </c>
      <c r="D383">
        <v>15313000</v>
      </c>
      <c r="E383">
        <v>15314999</v>
      </c>
      <c r="F383" t="s">
        <v>326</v>
      </c>
      <c r="G383" t="str">
        <f t="shared" si="10"/>
        <v>SPI II</v>
      </c>
      <c r="H383" t="s">
        <v>19</v>
      </c>
      <c r="I383" t="s">
        <v>20</v>
      </c>
      <c r="J383" t="s">
        <v>64</v>
      </c>
      <c r="K383" s="6">
        <v>0.03</v>
      </c>
      <c r="L383" s="7">
        <f t="shared" si="11"/>
        <v>2E-3</v>
      </c>
      <c r="M383" s="7">
        <v>3.0000000000000001E-3</v>
      </c>
      <c r="N383">
        <v>7</v>
      </c>
      <c r="O383" s="8">
        <v>17.934556092922943</v>
      </c>
      <c r="P383" s="9">
        <v>17.934556092922943</v>
      </c>
      <c r="Q383" s="9">
        <v>17.934556092922943</v>
      </c>
      <c r="R383" s="9">
        <v>18.35577997371016</v>
      </c>
      <c r="S383" s="9">
        <v>18.404835306435746</v>
      </c>
      <c r="T383" s="9">
        <v>19.112621008962602</v>
      </c>
      <c r="U383" s="9">
        <v>20.35176903227914</v>
      </c>
      <c r="V383" s="9">
        <v>20.35176903227914</v>
      </c>
      <c r="W383" s="9">
        <v>20.35176903227914</v>
      </c>
      <c r="X383" s="9">
        <v>19.91589544268896</v>
      </c>
      <c r="Y383" s="9">
        <v>19.91589544268896</v>
      </c>
      <c r="Z383" s="9">
        <v>21.609947773831163</v>
      </c>
      <c r="AA383" s="9">
        <v>21.609947773831163</v>
      </c>
      <c r="AB383" s="9">
        <v>23.372671736151272</v>
      </c>
      <c r="AC383" s="9">
        <v>23.372671736151272</v>
      </c>
      <c r="AD383" s="9">
        <v>26.430826810726163</v>
      </c>
      <c r="AE383" s="9">
        <v>27.959768706413232</v>
      </c>
      <c r="AF383" s="9">
        <v>29.772701744670762</v>
      </c>
      <c r="AG383" s="9">
        <v>29.772701744670762</v>
      </c>
      <c r="AH383" s="9">
        <v>32.589351949315954</v>
      </c>
      <c r="AI383" s="9">
        <v>34.825222308406182</v>
      </c>
      <c r="AJ383" s="9">
        <v>3.0428788910505911</v>
      </c>
    </row>
    <row r="384" spans="1:36" x14ac:dyDescent="0.25">
      <c r="A384" t="s">
        <v>5411</v>
      </c>
      <c r="B384" t="s">
        <v>16</v>
      </c>
      <c r="C384" t="s">
        <v>17</v>
      </c>
      <c r="D384">
        <v>15315000</v>
      </c>
      <c r="E384">
        <v>15319999</v>
      </c>
      <c r="F384" t="s">
        <v>327</v>
      </c>
      <c r="G384" t="str">
        <f t="shared" si="10"/>
        <v>SPI II</v>
      </c>
      <c r="H384" t="s">
        <v>19</v>
      </c>
      <c r="I384" t="s">
        <v>20</v>
      </c>
      <c r="J384" t="s">
        <v>64</v>
      </c>
      <c r="K384" s="6">
        <v>0.03</v>
      </c>
      <c r="L384" s="7">
        <f t="shared" si="11"/>
        <v>2E-3</v>
      </c>
      <c r="M384" s="7">
        <v>3.0000000000000001E-3</v>
      </c>
      <c r="N384">
        <v>7</v>
      </c>
      <c r="O384" s="8">
        <v>17.934556092922943</v>
      </c>
      <c r="P384" s="9">
        <v>17.934556092922943</v>
      </c>
      <c r="Q384" s="9">
        <v>17.934556092922943</v>
      </c>
      <c r="R384" s="9">
        <v>18.35577997371016</v>
      </c>
      <c r="S384" s="9">
        <v>18.404835306435746</v>
      </c>
      <c r="T384" s="9">
        <v>19.112621008962602</v>
      </c>
      <c r="U384" s="9">
        <v>20.35176903227914</v>
      </c>
      <c r="V384" s="9">
        <v>20.35176903227914</v>
      </c>
      <c r="W384" s="9">
        <v>20.35176903227914</v>
      </c>
      <c r="X384" s="9">
        <v>19.91589544268896</v>
      </c>
      <c r="Y384" s="9">
        <v>19.91589544268896</v>
      </c>
      <c r="Z384" s="9">
        <v>21.609947773831163</v>
      </c>
      <c r="AA384" s="9">
        <v>21.609947773831163</v>
      </c>
      <c r="AB384" s="9">
        <v>23.372671736151272</v>
      </c>
      <c r="AC384" s="9">
        <v>23.372671736151272</v>
      </c>
      <c r="AD384" s="9">
        <v>26.430826810726163</v>
      </c>
      <c r="AE384" s="9">
        <v>27.959768706413232</v>
      </c>
      <c r="AF384" s="9">
        <v>29.772701744670762</v>
      </c>
      <c r="AG384" s="9">
        <v>29.772701744670762</v>
      </c>
      <c r="AH384" s="9">
        <v>32.589351949315954</v>
      </c>
      <c r="AI384" s="9">
        <v>34.825222308406182</v>
      </c>
      <c r="AJ384" s="9">
        <v>3.0428788910505911</v>
      </c>
    </row>
    <row r="385" spans="1:36" x14ac:dyDescent="0.25">
      <c r="A385" t="s">
        <v>5411</v>
      </c>
      <c r="B385" t="s">
        <v>16</v>
      </c>
      <c r="C385" t="s">
        <v>17</v>
      </c>
      <c r="D385">
        <v>15320000</v>
      </c>
      <c r="E385">
        <v>15329999</v>
      </c>
      <c r="F385" t="s">
        <v>328</v>
      </c>
      <c r="G385" t="str">
        <f t="shared" si="10"/>
        <v>SPI II</v>
      </c>
      <c r="H385" t="s">
        <v>19</v>
      </c>
      <c r="I385" t="s">
        <v>20</v>
      </c>
      <c r="J385" t="s">
        <v>64</v>
      </c>
      <c r="K385" s="6">
        <v>0.03</v>
      </c>
      <c r="L385" s="7">
        <f t="shared" si="11"/>
        <v>2E-3</v>
      </c>
      <c r="M385" s="7">
        <v>3.0000000000000001E-3</v>
      </c>
      <c r="N385">
        <v>7</v>
      </c>
      <c r="O385" s="8">
        <v>17.934556092922943</v>
      </c>
      <c r="P385" s="9">
        <v>17.934556092922943</v>
      </c>
      <c r="Q385" s="9">
        <v>17.934556092922943</v>
      </c>
      <c r="R385" s="9">
        <v>18.35577997371016</v>
      </c>
      <c r="S385" s="9">
        <v>18.404835306435746</v>
      </c>
      <c r="T385" s="9">
        <v>19.112621008962602</v>
      </c>
      <c r="U385" s="9">
        <v>20.35176903227914</v>
      </c>
      <c r="V385" s="9">
        <v>20.35176903227914</v>
      </c>
      <c r="W385" s="9">
        <v>20.35176903227914</v>
      </c>
      <c r="X385" s="9">
        <v>19.91589544268896</v>
      </c>
      <c r="Y385" s="9">
        <v>19.91589544268896</v>
      </c>
      <c r="Z385" s="9">
        <v>21.609947773831163</v>
      </c>
      <c r="AA385" s="9">
        <v>21.609947773831163</v>
      </c>
      <c r="AB385" s="9">
        <v>23.372671736151272</v>
      </c>
      <c r="AC385" s="9">
        <v>23.372671736151272</v>
      </c>
      <c r="AD385" s="9">
        <v>26.430826810726163</v>
      </c>
      <c r="AE385" s="9">
        <v>27.959768706413232</v>
      </c>
      <c r="AF385" s="9">
        <v>29.772701744670762</v>
      </c>
      <c r="AG385" s="9">
        <v>29.772701744670762</v>
      </c>
      <c r="AH385" s="9">
        <v>32.589351949315954</v>
      </c>
      <c r="AI385" s="9">
        <v>34.825222308406182</v>
      </c>
      <c r="AJ385" s="9">
        <v>3.0428788910505911</v>
      </c>
    </row>
    <row r="386" spans="1:36" x14ac:dyDescent="0.25">
      <c r="A386" t="s">
        <v>5411</v>
      </c>
      <c r="B386" t="s">
        <v>16</v>
      </c>
      <c r="C386" t="s">
        <v>17</v>
      </c>
      <c r="D386">
        <v>15330000</v>
      </c>
      <c r="E386">
        <v>15339999</v>
      </c>
      <c r="F386" t="s">
        <v>329</v>
      </c>
      <c r="G386" t="str">
        <f t="shared" si="10"/>
        <v>SPI II</v>
      </c>
      <c r="H386" t="s">
        <v>19</v>
      </c>
      <c r="I386" t="s">
        <v>20</v>
      </c>
      <c r="J386" t="s">
        <v>64</v>
      </c>
      <c r="K386" s="6">
        <v>0.03</v>
      </c>
      <c r="L386" s="7">
        <f t="shared" si="11"/>
        <v>2E-3</v>
      </c>
      <c r="M386" s="7">
        <v>3.0000000000000001E-3</v>
      </c>
      <c r="N386">
        <v>7</v>
      </c>
      <c r="O386" s="8">
        <v>17.934556092922943</v>
      </c>
      <c r="P386" s="9">
        <v>17.934556092922943</v>
      </c>
      <c r="Q386" s="9">
        <v>17.934556092922943</v>
      </c>
      <c r="R386" s="9">
        <v>18.35577997371016</v>
      </c>
      <c r="S386" s="9">
        <v>18.404835306435746</v>
      </c>
      <c r="T386" s="9">
        <v>19.112621008962602</v>
      </c>
      <c r="U386" s="9">
        <v>20.35176903227914</v>
      </c>
      <c r="V386" s="9">
        <v>20.35176903227914</v>
      </c>
      <c r="W386" s="9">
        <v>20.35176903227914</v>
      </c>
      <c r="X386" s="9">
        <v>19.91589544268896</v>
      </c>
      <c r="Y386" s="9">
        <v>19.91589544268896</v>
      </c>
      <c r="Z386" s="9">
        <v>21.609947773831163</v>
      </c>
      <c r="AA386" s="9">
        <v>21.609947773831163</v>
      </c>
      <c r="AB386" s="9">
        <v>23.372671736151272</v>
      </c>
      <c r="AC386" s="9">
        <v>23.372671736151272</v>
      </c>
      <c r="AD386" s="9">
        <v>26.430826810726163</v>
      </c>
      <c r="AE386" s="9">
        <v>27.959768706413232</v>
      </c>
      <c r="AF386" s="9">
        <v>29.772701744670762</v>
      </c>
      <c r="AG386" s="9">
        <v>29.772701744670762</v>
      </c>
      <c r="AH386" s="9">
        <v>32.589351949315954</v>
      </c>
      <c r="AI386" s="9">
        <v>34.825222308406182</v>
      </c>
      <c r="AJ386" s="9">
        <v>3.0428788910505911</v>
      </c>
    </row>
    <row r="387" spans="1:36" x14ac:dyDescent="0.25">
      <c r="A387" t="s">
        <v>5411</v>
      </c>
      <c r="B387" t="s">
        <v>16</v>
      </c>
      <c r="C387" t="s">
        <v>17</v>
      </c>
      <c r="D387">
        <v>15340000</v>
      </c>
      <c r="E387">
        <v>15349999</v>
      </c>
      <c r="F387" t="s">
        <v>330</v>
      </c>
      <c r="G387" t="str">
        <f t="shared" si="10"/>
        <v>SPI II</v>
      </c>
      <c r="H387" t="s">
        <v>19</v>
      </c>
      <c r="I387" t="s">
        <v>20</v>
      </c>
      <c r="J387" t="s">
        <v>64</v>
      </c>
      <c r="K387" s="6">
        <v>0.03</v>
      </c>
      <c r="L387" s="7">
        <f t="shared" si="11"/>
        <v>2E-3</v>
      </c>
      <c r="M387" s="7">
        <v>3.0000000000000001E-3</v>
      </c>
      <c r="N387">
        <v>7</v>
      </c>
      <c r="O387" s="8">
        <v>17.934556092922943</v>
      </c>
      <c r="P387" s="9">
        <v>17.934556092922943</v>
      </c>
      <c r="Q387" s="9">
        <v>17.934556092922943</v>
      </c>
      <c r="R387" s="9">
        <v>18.35577997371016</v>
      </c>
      <c r="S387" s="9">
        <v>18.404835306435746</v>
      </c>
      <c r="T387" s="9">
        <v>19.112621008962602</v>
      </c>
      <c r="U387" s="9">
        <v>20.35176903227914</v>
      </c>
      <c r="V387" s="9">
        <v>20.35176903227914</v>
      </c>
      <c r="W387" s="9">
        <v>20.35176903227914</v>
      </c>
      <c r="X387" s="9">
        <v>19.91589544268896</v>
      </c>
      <c r="Y387" s="9">
        <v>19.91589544268896</v>
      </c>
      <c r="Z387" s="9">
        <v>21.609947773831163</v>
      </c>
      <c r="AA387" s="9">
        <v>21.609947773831163</v>
      </c>
      <c r="AB387" s="9">
        <v>23.372671736151272</v>
      </c>
      <c r="AC387" s="9">
        <v>23.372671736151272</v>
      </c>
      <c r="AD387" s="9">
        <v>26.430826810726163</v>
      </c>
      <c r="AE387" s="9">
        <v>27.959768706413232</v>
      </c>
      <c r="AF387" s="9">
        <v>29.772701744670762</v>
      </c>
      <c r="AG387" s="9">
        <v>29.772701744670762</v>
      </c>
      <c r="AH387" s="9">
        <v>32.589351949315954</v>
      </c>
      <c r="AI387" s="9">
        <v>34.825222308406182</v>
      </c>
      <c r="AJ387" s="9">
        <v>3.0428788910505911</v>
      </c>
    </row>
    <row r="388" spans="1:36" x14ac:dyDescent="0.25">
      <c r="A388" t="s">
        <v>5411</v>
      </c>
      <c r="B388" t="s">
        <v>16</v>
      </c>
      <c r="C388" t="s">
        <v>17</v>
      </c>
      <c r="D388">
        <v>15350000</v>
      </c>
      <c r="E388">
        <v>15354999</v>
      </c>
      <c r="F388" t="s">
        <v>331</v>
      </c>
      <c r="G388" t="str">
        <f t="shared" ref="G388:G451" si="12">H388&amp;IF(J388="CAPITAL","C",IF(J388="INTERIOR","I",IF(J388="INTERIOR II","I II","R")))</f>
        <v>SPI II</v>
      </c>
      <c r="H388" t="s">
        <v>19</v>
      </c>
      <c r="I388" t="s">
        <v>20</v>
      </c>
      <c r="J388" t="s">
        <v>64</v>
      </c>
      <c r="K388" s="6">
        <v>0.03</v>
      </c>
      <c r="L388" s="7">
        <f t="shared" ref="L388:L451" si="13">IF(I388="(0) Não",0.2%,3%)</f>
        <v>2E-3</v>
      </c>
      <c r="M388" s="7">
        <v>3.0000000000000001E-3</v>
      </c>
      <c r="N388">
        <v>7</v>
      </c>
      <c r="O388" s="8">
        <v>17.934556092922943</v>
      </c>
      <c r="P388" s="9">
        <v>17.934556092922943</v>
      </c>
      <c r="Q388" s="9">
        <v>17.934556092922943</v>
      </c>
      <c r="R388" s="9">
        <v>18.35577997371016</v>
      </c>
      <c r="S388" s="9">
        <v>18.404835306435746</v>
      </c>
      <c r="T388" s="9">
        <v>19.112621008962602</v>
      </c>
      <c r="U388" s="9">
        <v>20.35176903227914</v>
      </c>
      <c r="V388" s="9">
        <v>20.35176903227914</v>
      </c>
      <c r="W388" s="9">
        <v>20.35176903227914</v>
      </c>
      <c r="X388" s="9">
        <v>19.91589544268896</v>
      </c>
      <c r="Y388" s="9">
        <v>19.91589544268896</v>
      </c>
      <c r="Z388" s="9">
        <v>21.609947773831163</v>
      </c>
      <c r="AA388" s="9">
        <v>21.609947773831163</v>
      </c>
      <c r="AB388" s="9">
        <v>23.372671736151272</v>
      </c>
      <c r="AC388" s="9">
        <v>23.372671736151272</v>
      </c>
      <c r="AD388" s="9">
        <v>26.430826810726163</v>
      </c>
      <c r="AE388" s="9">
        <v>27.959768706413232</v>
      </c>
      <c r="AF388" s="9">
        <v>29.772701744670762</v>
      </c>
      <c r="AG388" s="9">
        <v>29.772701744670762</v>
      </c>
      <c r="AH388" s="9">
        <v>32.589351949315954</v>
      </c>
      <c r="AI388" s="9">
        <v>34.825222308406182</v>
      </c>
      <c r="AJ388" s="9">
        <v>3.0428788910505911</v>
      </c>
    </row>
    <row r="389" spans="1:36" x14ac:dyDescent="0.25">
      <c r="A389" t="s">
        <v>5411</v>
      </c>
      <c r="B389" t="s">
        <v>16</v>
      </c>
      <c r="C389" t="s">
        <v>17</v>
      </c>
      <c r="D389">
        <v>15355000</v>
      </c>
      <c r="E389">
        <v>15359999</v>
      </c>
      <c r="F389" t="s">
        <v>332</v>
      </c>
      <c r="G389" t="str">
        <f t="shared" si="12"/>
        <v>SPI II</v>
      </c>
      <c r="H389" t="s">
        <v>19</v>
      </c>
      <c r="I389" t="s">
        <v>20</v>
      </c>
      <c r="J389" t="s">
        <v>64</v>
      </c>
      <c r="K389" s="6">
        <v>0.03</v>
      </c>
      <c r="L389" s="7">
        <f t="shared" si="13"/>
        <v>2E-3</v>
      </c>
      <c r="M389" s="7">
        <v>3.0000000000000001E-3</v>
      </c>
      <c r="N389">
        <v>7</v>
      </c>
      <c r="O389" s="8">
        <v>17.934556092922943</v>
      </c>
      <c r="P389" s="9">
        <v>17.934556092922943</v>
      </c>
      <c r="Q389" s="9">
        <v>17.934556092922943</v>
      </c>
      <c r="R389" s="9">
        <v>18.35577997371016</v>
      </c>
      <c r="S389" s="9">
        <v>18.404835306435746</v>
      </c>
      <c r="T389" s="9">
        <v>19.112621008962602</v>
      </c>
      <c r="U389" s="9">
        <v>20.35176903227914</v>
      </c>
      <c r="V389" s="9">
        <v>20.35176903227914</v>
      </c>
      <c r="W389" s="9">
        <v>20.35176903227914</v>
      </c>
      <c r="X389" s="9">
        <v>19.91589544268896</v>
      </c>
      <c r="Y389" s="9">
        <v>19.91589544268896</v>
      </c>
      <c r="Z389" s="9">
        <v>21.609947773831163</v>
      </c>
      <c r="AA389" s="9">
        <v>21.609947773831163</v>
      </c>
      <c r="AB389" s="9">
        <v>23.372671736151272</v>
      </c>
      <c r="AC389" s="9">
        <v>23.372671736151272</v>
      </c>
      <c r="AD389" s="9">
        <v>26.430826810726163</v>
      </c>
      <c r="AE389" s="9">
        <v>27.959768706413232</v>
      </c>
      <c r="AF389" s="9">
        <v>29.772701744670762</v>
      </c>
      <c r="AG389" s="9">
        <v>29.772701744670762</v>
      </c>
      <c r="AH389" s="9">
        <v>32.589351949315954</v>
      </c>
      <c r="AI389" s="9">
        <v>34.825222308406182</v>
      </c>
      <c r="AJ389" s="9">
        <v>3.0428788910505911</v>
      </c>
    </row>
    <row r="390" spans="1:36" x14ac:dyDescent="0.25">
      <c r="A390" t="s">
        <v>5411</v>
      </c>
      <c r="B390" t="s">
        <v>16</v>
      </c>
      <c r="C390" t="s">
        <v>17</v>
      </c>
      <c r="D390">
        <v>15360000</v>
      </c>
      <c r="E390">
        <v>15369999</v>
      </c>
      <c r="F390" t="s">
        <v>333</v>
      </c>
      <c r="G390" t="str">
        <f t="shared" si="12"/>
        <v>SPI II</v>
      </c>
      <c r="H390" t="s">
        <v>19</v>
      </c>
      <c r="I390" t="s">
        <v>20</v>
      </c>
      <c r="J390" t="s">
        <v>64</v>
      </c>
      <c r="K390" s="6">
        <v>0.03</v>
      </c>
      <c r="L390" s="7">
        <f t="shared" si="13"/>
        <v>2E-3</v>
      </c>
      <c r="M390" s="7">
        <v>3.0000000000000001E-3</v>
      </c>
      <c r="N390">
        <v>7</v>
      </c>
      <c r="O390" s="8">
        <v>17.934556092922943</v>
      </c>
      <c r="P390" s="9">
        <v>17.934556092922943</v>
      </c>
      <c r="Q390" s="9">
        <v>17.934556092922943</v>
      </c>
      <c r="R390" s="9">
        <v>18.35577997371016</v>
      </c>
      <c r="S390" s="9">
        <v>18.404835306435746</v>
      </c>
      <c r="T390" s="9">
        <v>19.112621008962602</v>
      </c>
      <c r="U390" s="9">
        <v>20.35176903227914</v>
      </c>
      <c r="V390" s="9">
        <v>20.35176903227914</v>
      </c>
      <c r="W390" s="9">
        <v>20.35176903227914</v>
      </c>
      <c r="X390" s="9">
        <v>19.91589544268896</v>
      </c>
      <c r="Y390" s="9">
        <v>19.91589544268896</v>
      </c>
      <c r="Z390" s="9">
        <v>21.609947773831163</v>
      </c>
      <c r="AA390" s="9">
        <v>21.609947773831163</v>
      </c>
      <c r="AB390" s="9">
        <v>23.372671736151272</v>
      </c>
      <c r="AC390" s="9">
        <v>23.372671736151272</v>
      </c>
      <c r="AD390" s="9">
        <v>26.430826810726163</v>
      </c>
      <c r="AE390" s="9">
        <v>27.959768706413232</v>
      </c>
      <c r="AF390" s="9">
        <v>29.772701744670762</v>
      </c>
      <c r="AG390" s="9">
        <v>29.772701744670762</v>
      </c>
      <c r="AH390" s="9">
        <v>32.589351949315954</v>
      </c>
      <c r="AI390" s="9">
        <v>34.825222308406182</v>
      </c>
      <c r="AJ390" s="9">
        <v>3.0428788910505911</v>
      </c>
    </row>
    <row r="391" spans="1:36" x14ac:dyDescent="0.25">
      <c r="A391" t="s">
        <v>5411</v>
      </c>
      <c r="B391" t="s">
        <v>16</v>
      </c>
      <c r="C391" t="s">
        <v>17</v>
      </c>
      <c r="D391">
        <v>15370000</v>
      </c>
      <c r="E391">
        <v>15379999</v>
      </c>
      <c r="F391" t="s">
        <v>334</v>
      </c>
      <c r="G391" t="str">
        <f t="shared" si="12"/>
        <v>SPI II</v>
      </c>
      <c r="H391" t="s">
        <v>19</v>
      </c>
      <c r="I391" t="s">
        <v>20</v>
      </c>
      <c r="J391" t="s">
        <v>64</v>
      </c>
      <c r="K391" s="6">
        <v>0.03</v>
      </c>
      <c r="L391" s="7">
        <f t="shared" si="13"/>
        <v>2E-3</v>
      </c>
      <c r="M391" s="7">
        <v>3.0000000000000001E-3</v>
      </c>
      <c r="N391">
        <v>7</v>
      </c>
      <c r="O391" s="8">
        <v>17.934556092922943</v>
      </c>
      <c r="P391" s="9">
        <v>17.934556092922943</v>
      </c>
      <c r="Q391" s="9">
        <v>17.934556092922943</v>
      </c>
      <c r="R391" s="9">
        <v>18.35577997371016</v>
      </c>
      <c r="S391" s="9">
        <v>18.404835306435746</v>
      </c>
      <c r="T391" s="9">
        <v>19.112621008962602</v>
      </c>
      <c r="U391" s="9">
        <v>20.35176903227914</v>
      </c>
      <c r="V391" s="9">
        <v>20.35176903227914</v>
      </c>
      <c r="W391" s="9">
        <v>20.35176903227914</v>
      </c>
      <c r="X391" s="9">
        <v>19.91589544268896</v>
      </c>
      <c r="Y391" s="9">
        <v>19.91589544268896</v>
      </c>
      <c r="Z391" s="9">
        <v>21.609947773831163</v>
      </c>
      <c r="AA391" s="9">
        <v>21.609947773831163</v>
      </c>
      <c r="AB391" s="9">
        <v>23.372671736151272</v>
      </c>
      <c r="AC391" s="9">
        <v>23.372671736151272</v>
      </c>
      <c r="AD391" s="9">
        <v>26.430826810726163</v>
      </c>
      <c r="AE391" s="9">
        <v>27.959768706413232</v>
      </c>
      <c r="AF391" s="9">
        <v>29.772701744670762</v>
      </c>
      <c r="AG391" s="9">
        <v>29.772701744670762</v>
      </c>
      <c r="AH391" s="9">
        <v>32.589351949315954</v>
      </c>
      <c r="AI391" s="9">
        <v>34.825222308406182</v>
      </c>
      <c r="AJ391" s="9">
        <v>3.0428788910505911</v>
      </c>
    </row>
    <row r="392" spans="1:36" x14ac:dyDescent="0.25">
      <c r="A392" t="s">
        <v>5411</v>
      </c>
      <c r="B392" t="s">
        <v>16</v>
      </c>
      <c r="C392" t="s">
        <v>17</v>
      </c>
      <c r="D392">
        <v>15380000</v>
      </c>
      <c r="E392">
        <v>15384999</v>
      </c>
      <c r="F392" t="s">
        <v>335</v>
      </c>
      <c r="G392" t="str">
        <f t="shared" si="12"/>
        <v>SPI II</v>
      </c>
      <c r="H392" t="s">
        <v>19</v>
      </c>
      <c r="I392" t="s">
        <v>20</v>
      </c>
      <c r="J392" t="s">
        <v>64</v>
      </c>
      <c r="K392" s="6">
        <v>0.03</v>
      </c>
      <c r="L392" s="7">
        <f t="shared" si="13"/>
        <v>2E-3</v>
      </c>
      <c r="M392" s="7">
        <v>3.0000000000000001E-3</v>
      </c>
      <c r="N392">
        <v>7</v>
      </c>
      <c r="O392" s="8">
        <v>17.934556092922943</v>
      </c>
      <c r="P392" s="9">
        <v>17.934556092922943</v>
      </c>
      <c r="Q392" s="9">
        <v>17.934556092922943</v>
      </c>
      <c r="R392" s="9">
        <v>18.35577997371016</v>
      </c>
      <c r="S392" s="9">
        <v>18.404835306435746</v>
      </c>
      <c r="T392" s="9">
        <v>19.112621008962602</v>
      </c>
      <c r="U392" s="9">
        <v>20.35176903227914</v>
      </c>
      <c r="V392" s="9">
        <v>20.35176903227914</v>
      </c>
      <c r="W392" s="9">
        <v>20.35176903227914</v>
      </c>
      <c r="X392" s="9">
        <v>19.91589544268896</v>
      </c>
      <c r="Y392" s="9">
        <v>19.91589544268896</v>
      </c>
      <c r="Z392" s="9">
        <v>21.609947773831163</v>
      </c>
      <c r="AA392" s="9">
        <v>21.609947773831163</v>
      </c>
      <c r="AB392" s="9">
        <v>23.372671736151272</v>
      </c>
      <c r="AC392" s="9">
        <v>23.372671736151272</v>
      </c>
      <c r="AD392" s="9">
        <v>26.430826810726163</v>
      </c>
      <c r="AE392" s="9">
        <v>27.959768706413232</v>
      </c>
      <c r="AF392" s="9">
        <v>29.772701744670762</v>
      </c>
      <c r="AG392" s="9">
        <v>29.772701744670762</v>
      </c>
      <c r="AH392" s="9">
        <v>32.589351949315954</v>
      </c>
      <c r="AI392" s="9">
        <v>34.825222308406182</v>
      </c>
      <c r="AJ392" s="9">
        <v>3.0428788910505911</v>
      </c>
    </row>
    <row r="393" spans="1:36" x14ac:dyDescent="0.25">
      <c r="A393" t="s">
        <v>5411</v>
      </c>
      <c r="B393" t="s">
        <v>16</v>
      </c>
      <c r="C393" t="s">
        <v>17</v>
      </c>
      <c r="D393">
        <v>15385000</v>
      </c>
      <c r="E393">
        <v>15389999</v>
      </c>
      <c r="F393" t="s">
        <v>336</v>
      </c>
      <c r="G393" t="str">
        <f t="shared" si="12"/>
        <v>SPI II</v>
      </c>
      <c r="H393" t="s">
        <v>19</v>
      </c>
      <c r="I393" t="s">
        <v>20</v>
      </c>
      <c r="J393" t="s">
        <v>64</v>
      </c>
      <c r="K393" s="6">
        <v>0.03</v>
      </c>
      <c r="L393" s="7">
        <f t="shared" si="13"/>
        <v>2E-3</v>
      </c>
      <c r="M393" s="7">
        <v>3.0000000000000001E-3</v>
      </c>
      <c r="N393">
        <v>7</v>
      </c>
      <c r="O393" s="8">
        <v>17.934556092922943</v>
      </c>
      <c r="P393" s="9">
        <v>17.934556092922943</v>
      </c>
      <c r="Q393" s="9">
        <v>17.934556092922943</v>
      </c>
      <c r="R393" s="9">
        <v>18.35577997371016</v>
      </c>
      <c r="S393" s="9">
        <v>18.404835306435746</v>
      </c>
      <c r="T393" s="9">
        <v>19.112621008962602</v>
      </c>
      <c r="U393" s="9">
        <v>20.35176903227914</v>
      </c>
      <c r="V393" s="9">
        <v>20.35176903227914</v>
      </c>
      <c r="W393" s="9">
        <v>20.35176903227914</v>
      </c>
      <c r="X393" s="9">
        <v>19.91589544268896</v>
      </c>
      <c r="Y393" s="9">
        <v>19.91589544268896</v>
      </c>
      <c r="Z393" s="9">
        <v>21.609947773831163</v>
      </c>
      <c r="AA393" s="9">
        <v>21.609947773831163</v>
      </c>
      <c r="AB393" s="9">
        <v>23.372671736151272</v>
      </c>
      <c r="AC393" s="9">
        <v>23.372671736151272</v>
      </c>
      <c r="AD393" s="9">
        <v>26.430826810726163</v>
      </c>
      <c r="AE393" s="9">
        <v>27.959768706413232</v>
      </c>
      <c r="AF393" s="9">
        <v>29.772701744670762</v>
      </c>
      <c r="AG393" s="9">
        <v>29.772701744670762</v>
      </c>
      <c r="AH393" s="9">
        <v>32.589351949315954</v>
      </c>
      <c r="AI393" s="9">
        <v>34.825222308406182</v>
      </c>
      <c r="AJ393" s="9">
        <v>3.0428788910505911</v>
      </c>
    </row>
    <row r="394" spans="1:36" x14ac:dyDescent="0.25">
      <c r="A394" t="s">
        <v>5411</v>
      </c>
      <c r="B394" t="s">
        <v>16</v>
      </c>
      <c r="C394" t="s">
        <v>17</v>
      </c>
      <c r="D394">
        <v>15390000</v>
      </c>
      <c r="E394">
        <v>15399999</v>
      </c>
      <c r="F394" t="s">
        <v>337</v>
      </c>
      <c r="G394" t="str">
        <f t="shared" si="12"/>
        <v>SPI II</v>
      </c>
      <c r="H394" t="s">
        <v>19</v>
      </c>
      <c r="I394" t="s">
        <v>20</v>
      </c>
      <c r="J394" t="s">
        <v>64</v>
      </c>
      <c r="K394" s="6">
        <v>0.03</v>
      </c>
      <c r="L394" s="7">
        <f t="shared" si="13"/>
        <v>2E-3</v>
      </c>
      <c r="M394" s="7">
        <v>3.0000000000000001E-3</v>
      </c>
      <c r="N394">
        <v>7</v>
      </c>
      <c r="O394" s="8">
        <v>17.934556092922943</v>
      </c>
      <c r="P394" s="9">
        <v>17.934556092922943</v>
      </c>
      <c r="Q394" s="9">
        <v>17.934556092922943</v>
      </c>
      <c r="R394" s="9">
        <v>18.35577997371016</v>
      </c>
      <c r="S394" s="9">
        <v>18.404835306435746</v>
      </c>
      <c r="T394" s="9">
        <v>19.112621008962602</v>
      </c>
      <c r="U394" s="9">
        <v>20.35176903227914</v>
      </c>
      <c r="V394" s="9">
        <v>20.35176903227914</v>
      </c>
      <c r="W394" s="9">
        <v>20.35176903227914</v>
      </c>
      <c r="X394" s="9">
        <v>19.91589544268896</v>
      </c>
      <c r="Y394" s="9">
        <v>19.91589544268896</v>
      </c>
      <c r="Z394" s="9">
        <v>21.609947773831163</v>
      </c>
      <c r="AA394" s="9">
        <v>21.609947773831163</v>
      </c>
      <c r="AB394" s="9">
        <v>23.372671736151272</v>
      </c>
      <c r="AC394" s="9">
        <v>23.372671736151272</v>
      </c>
      <c r="AD394" s="9">
        <v>26.430826810726163</v>
      </c>
      <c r="AE394" s="9">
        <v>27.959768706413232</v>
      </c>
      <c r="AF394" s="9">
        <v>29.772701744670762</v>
      </c>
      <c r="AG394" s="9">
        <v>29.772701744670762</v>
      </c>
      <c r="AH394" s="9">
        <v>32.589351949315954</v>
      </c>
      <c r="AI394" s="9">
        <v>34.825222308406182</v>
      </c>
      <c r="AJ394" s="9">
        <v>3.0428788910505911</v>
      </c>
    </row>
    <row r="395" spans="1:36" x14ac:dyDescent="0.25">
      <c r="A395" t="s">
        <v>5411</v>
      </c>
      <c r="B395" t="s">
        <v>16</v>
      </c>
      <c r="C395" t="s">
        <v>17</v>
      </c>
      <c r="D395">
        <v>15400000</v>
      </c>
      <c r="E395">
        <v>15409999</v>
      </c>
      <c r="F395" t="s">
        <v>338</v>
      </c>
      <c r="G395" t="str">
        <f t="shared" si="12"/>
        <v>SPI II</v>
      </c>
      <c r="H395" t="s">
        <v>19</v>
      </c>
      <c r="I395" t="s">
        <v>20</v>
      </c>
      <c r="J395" t="s">
        <v>64</v>
      </c>
      <c r="K395" s="6">
        <v>0.03</v>
      </c>
      <c r="L395" s="7">
        <f t="shared" si="13"/>
        <v>2E-3</v>
      </c>
      <c r="M395" s="7">
        <v>3.0000000000000001E-3</v>
      </c>
      <c r="N395">
        <v>7</v>
      </c>
      <c r="O395" s="8">
        <v>17.934556092922943</v>
      </c>
      <c r="P395" s="9">
        <v>17.934556092922943</v>
      </c>
      <c r="Q395" s="9">
        <v>17.934556092922943</v>
      </c>
      <c r="R395" s="9">
        <v>18.35577997371016</v>
      </c>
      <c r="S395" s="9">
        <v>18.404835306435746</v>
      </c>
      <c r="T395" s="9">
        <v>19.112621008962602</v>
      </c>
      <c r="U395" s="9">
        <v>20.35176903227914</v>
      </c>
      <c r="V395" s="9">
        <v>20.35176903227914</v>
      </c>
      <c r="W395" s="9">
        <v>20.35176903227914</v>
      </c>
      <c r="X395" s="9">
        <v>19.91589544268896</v>
      </c>
      <c r="Y395" s="9">
        <v>19.91589544268896</v>
      </c>
      <c r="Z395" s="9">
        <v>21.609947773831163</v>
      </c>
      <c r="AA395" s="9">
        <v>21.609947773831163</v>
      </c>
      <c r="AB395" s="9">
        <v>23.372671736151272</v>
      </c>
      <c r="AC395" s="9">
        <v>23.372671736151272</v>
      </c>
      <c r="AD395" s="9">
        <v>26.430826810726163</v>
      </c>
      <c r="AE395" s="9">
        <v>27.959768706413232</v>
      </c>
      <c r="AF395" s="9">
        <v>29.772701744670762</v>
      </c>
      <c r="AG395" s="9">
        <v>29.772701744670762</v>
      </c>
      <c r="AH395" s="9">
        <v>32.589351949315954</v>
      </c>
      <c r="AI395" s="9">
        <v>34.825222308406182</v>
      </c>
      <c r="AJ395" s="9">
        <v>3.0428788910505911</v>
      </c>
    </row>
    <row r="396" spans="1:36" x14ac:dyDescent="0.25">
      <c r="A396" t="s">
        <v>5411</v>
      </c>
      <c r="B396" t="s">
        <v>16</v>
      </c>
      <c r="C396" t="s">
        <v>17</v>
      </c>
      <c r="D396">
        <v>15410000</v>
      </c>
      <c r="E396">
        <v>15419999</v>
      </c>
      <c r="F396" t="s">
        <v>339</v>
      </c>
      <c r="G396" t="str">
        <f t="shared" si="12"/>
        <v>SPI II</v>
      </c>
      <c r="H396" t="s">
        <v>19</v>
      </c>
      <c r="I396" t="s">
        <v>20</v>
      </c>
      <c r="J396" t="s">
        <v>64</v>
      </c>
      <c r="K396" s="6">
        <v>0.03</v>
      </c>
      <c r="L396" s="7">
        <f t="shared" si="13"/>
        <v>2E-3</v>
      </c>
      <c r="M396" s="7">
        <v>3.0000000000000001E-3</v>
      </c>
      <c r="N396">
        <v>7</v>
      </c>
      <c r="O396" s="8">
        <v>17.934556092922943</v>
      </c>
      <c r="P396" s="9">
        <v>17.934556092922943</v>
      </c>
      <c r="Q396" s="9">
        <v>17.934556092922943</v>
      </c>
      <c r="R396" s="9">
        <v>18.35577997371016</v>
      </c>
      <c r="S396" s="9">
        <v>18.404835306435746</v>
      </c>
      <c r="T396" s="9">
        <v>19.112621008962602</v>
      </c>
      <c r="U396" s="9">
        <v>20.35176903227914</v>
      </c>
      <c r="V396" s="9">
        <v>20.35176903227914</v>
      </c>
      <c r="W396" s="9">
        <v>20.35176903227914</v>
      </c>
      <c r="X396" s="9">
        <v>19.91589544268896</v>
      </c>
      <c r="Y396" s="9">
        <v>19.91589544268896</v>
      </c>
      <c r="Z396" s="9">
        <v>21.609947773831163</v>
      </c>
      <c r="AA396" s="9">
        <v>21.609947773831163</v>
      </c>
      <c r="AB396" s="9">
        <v>23.372671736151272</v>
      </c>
      <c r="AC396" s="9">
        <v>23.372671736151272</v>
      </c>
      <c r="AD396" s="9">
        <v>26.430826810726163</v>
      </c>
      <c r="AE396" s="9">
        <v>27.959768706413232</v>
      </c>
      <c r="AF396" s="9">
        <v>29.772701744670762</v>
      </c>
      <c r="AG396" s="9">
        <v>29.772701744670762</v>
      </c>
      <c r="AH396" s="9">
        <v>32.589351949315954</v>
      </c>
      <c r="AI396" s="9">
        <v>34.825222308406182</v>
      </c>
      <c r="AJ396" s="9">
        <v>3.0428788910505911</v>
      </c>
    </row>
    <row r="397" spans="1:36" x14ac:dyDescent="0.25">
      <c r="A397" t="s">
        <v>5411</v>
      </c>
      <c r="B397" t="s">
        <v>16</v>
      </c>
      <c r="C397" t="s">
        <v>17</v>
      </c>
      <c r="D397">
        <v>15420000</v>
      </c>
      <c r="E397">
        <v>15424999</v>
      </c>
      <c r="F397" t="s">
        <v>340</v>
      </c>
      <c r="G397" t="str">
        <f t="shared" si="12"/>
        <v>SPI II</v>
      </c>
      <c r="H397" t="s">
        <v>19</v>
      </c>
      <c r="I397" t="s">
        <v>20</v>
      </c>
      <c r="J397" t="s">
        <v>64</v>
      </c>
      <c r="K397" s="6">
        <v>0.03</v>
      </c>
      <c r="L397" s="7">
        <f t="shared" si="13"/>
        <v>2E-3</v>
      </c>
      <c r="M397" s="7">
        <v>3.0000000000000001E-3</v>
      </c>
      <c r="N397">
        <v>7</v>
      </c>
      <c r="O397" s="8">
        <v>17.934556092922943</v>
      </c>
      <c r="P397" s="9">
        <v>17.934556092922943</v>
      </c>
      <c r="Q397" s="9">
        <v>17.934556092922943</v>
      </c>
      <c r="R397" s="9">
        <v>18.35577997371016</v>
      </c>
      <c r="S397" s="9">
        <v>18.404835306435746</v>
      </c>
      <c r="T397" s="9">
        <v>19.112621008962602</v>
      </c>
      <c r="U397" s="9">
        <v>20.35176903227914</v>
      </c>
      <c r="V397" s="9">
        <v>20.35176903227914</v>
      </c>
      <c r="W397" s="9">
        <v>20.35176903227914</v>
      </c>
      <c r="X397" s="9">
        <v>19.91589544268896</v>
      </c>
      <c r="Y397" s="9">
        <v>19.91589544268896</v>
      </c>
      <c r="Z397" s="9">
        <v>21.609947773831163</v>
      </c>
      <c r="AA397" s="9">
        <v>21.609947773831163</v>
      </c>
      <c r="AB397" s="9">
        <v>23.372671736151272</v>
      </c>
      <c r="AC397" s="9">
        <v>23.372671736151272</v>
      </c>
      <c r="AD397" s="9">
        <v>26.430826810726163</v>
      </c>
      <c r="AE397" s="9">
        <v>27.959768706413232</v>
      </c>
      <c r="AF397" s="9">
        <v>29.772701744670762</v>
      </c>
      <c r="AG397" s="9">
        <v>29.772701744670762</v>
      </c>
      <c r="AH397" s="9">
        <v>32.589351949315954</v>
      </c>
      <c r="AI397" s="9">
        <v>34.825222308406182</v>
      </c>
      <c r="AJ397" s="9">
        <v>3.0428788910505911</v>
      </c>
    </row>
    <row r="398" spans="1:36" x14ac:dyDescent="0.25">
      <c r="A398" t="s">
        <v>5411</v>
      </c>
      <c r="B398" t="s">
        <v>16</v>
      </c>
      <c r="C398" t="s">
        <v>17</v>
      </c>
      <c r="D398">
        <v>15425000</v>
      </c>
      <c r="E398">
        <v>15429999</v>
      </c>
      <c r="F398" t="s">
        <v>341</v>
      </c>
      <c r="G398" t="str">
        <f t="shared" si="12"/>
        <v>SPI II</v>
      </c>
      <c r="H398" t="s">
        <v>19</v>
      </c>
      <c r="I398" t="s">
        <v>20</v>
      </c>
      <c r="J398" t="s">
        <v>64</v>
      </c>
      <c r="K398" s="6">
        <v>0.03</v>
      </c>
      <c r="L398" s="7">
        <f t="shared" si="13"/>
        <v>2E-3</v>
      </c>
      <c r="M398" s="7">
        <v>3.0000000000000001E-3</v>
      </c>
      <c r="N398">
        <v>7</v>
      </c>
      <c r="O398" s="8">
        <v>17.934556092922943</v>
      </c>
      <c r="P398" s="9">
        <v>17.934556092922943</v>
      </c>
      <c r="Q398" s="9">
        <v>17.934556092922943</v>
      </c>
      <c r="R398" s="9">
        <v>18.35577997371016</v>
      </c>
      <c r="S398" s="9">
        <v>18.404835306435746</v>
      </c>
      <c r="T398" s="9">
        <v>19.112621008962602</v>
      </c>
      <c r="U398" s="9">
        <v>20.35176903227914</v>
      </c>
      <c r="V398" s="9">
        <v>20.35176903227914</v>
      </c>
      <c r="W398" s="9">
        <v>20.35176903227914</v>
      </c>
      <c r="X398" s="9">
        <v>19.91589544268896</v>
      </c>
      <c r="Y398" s="9">
        <v>19.91589544268896</v>
      </c>
      <c r="Z398" s="9">
        <v>21.609947773831163</v>
      </c>
      <c r="AA398" s="9">
        <v>21.609947773831163</v>
      </c>
      <c r="AB398" s="9">
        <v>23.372671736151272</v>
      </c>
      <c r="AC398" s="9">
        <v>23.372671736151272</v>
      </c>
      <c r="AD398" s="9">
        <v>26.430826810726163</v>
      </c>
      <c r="AE398" s="9">
        <v>27.959768706413232</v>
      </c>
      <c r="AF398" s="9">
        <v>29.772701744670762</v>
      </c>
      <c r="AG398" s="9">
        <v>29.772701744670762</v>
      </c>
      <c r="AH398" s="9">
        <v>32.589351949315954</v>
      </c>
      <c r="AI398" s="9">
        <v>34.825222308406182</v>
      </c>
      <c r="AJ398" s="9">
        <v>3.0428788910505911</v>
      </c>
    </row>
    <row r="399" spans="1:36" x14ac:dyDescent="0.25">
      <c r="A399" t="s">
        <v>5411</v>
      </c>
      <c r="B399" t="s">
        <v>16</v>
      </c>
      <c r="C399" t="s">
        <v>17</v>
      </c>
      <c r="D399">
        <v>15430000</v>
      </c>
      <c r="E399">
        <v>15439999</v>
      </c>
      <c r="F399" t="s">
        <v>342</v>
      </c>
      <c r="G399" t="str">
        <f t="shared" si="12"/>
        <v>SPI II</v>
      </c>
      <c r="H399" t="s">
        <v>19</v>
      </c>
      <c r="I399" t="s">
        <v>20</v>
      </c>
      <c r="J399" t="s">
        <v>64</v>
      </c>
      <c r="K399" s="6">
        <v>0.03</v>
      </c>
      <c r="L399" s="7">
        <f t="shared" si="13"/>
        <v>2E-3</v>
      </c>
      <c r="M399" s="7">
        <v>3.0000000000000001E-3</v>
      </c>
      <c r="N399">
        <v>7</v>
      </c>
      <c r="O399" s="8">
        <v>17.934556092922943</v>
      </c>
      <c r="P399" s="9">
        <v>17.934556092922943</v>
      </c>
      <c r="Q399" s="9">
        <v>17.934556092922943</v>
      </c>
      <c r="R399" s="9">
        <v>18.35577997371016</v>
      </c>
      <c r="S399" s="9">
        <v>18.404835306435746</v>
      </c>
      <c r="T399" s="9">
        <v>19.112621008962602</v>
      </c>
      <c r="U399" s="9">
        <v>20.35176903227914</v>
      </c>
      <c r="V399" s="9">
        <v>20.35176903227914</v>
      </c>
      <c r="W399" s="9">
        <v>20.35176903227914</v>
      </c>
      <c r="X399" s="9">
        <v>19.91589544268896</v>
      </c>
      <c r="Y399" s="9">
        <v>19.91589544268896</v>
      </c>
      <c r="Z399" s="9">
        <v>21.609947773831163</v>
      </c>
      <c r="AA399" s="9">
        <v>21.609947773831163</v>
      </c>
      <c r="AB399" s="9">
        <v>23.372671736151272</v>
      </c>
      <c r="AC399" s="9">
        <v>23.372671736151272</v>
      </c>
      <c r="AD399" s="9">
        <v>26.430826810726163</v>
      </c>
      <c r="AE399" s="9">
        <v>27.959768706413232</v>
      </c>
      <c r="AF399" s="9">
        <v>29.772701744670762</v>
      </c>
      <c r="AG399" s="9">
        <v>29.772701744670762</v>
      </c>
      <c r="AH399" s="9">
        <v>32.589351949315954</v>
      </c>
      <c r="AI399" s="9">
        <v>34.825222308406182</v>
      </c>
      <c r="AJ399" s="9">
        <v>3.0428788910505911</v>
      </c>
    </row>
    <row r="400" spans="1:36" x14ac:dyDescent="0.25">
      <c r="A400" t="s">
        <v>5411</v>
      </c>
      <c r="B400" t="s">
        <v>16</v>
      </c>
      <c r="C400" t="s">
        <v>17</v>
      </c>
      <c r="D400">
        <v>15440000</v>
      </c>
      <c r="E400">
        <v>15449999</v>
      </c>
      <c r="F400" t="s">
        <v>343</v>
      </c>
      <c r="G400" t="str">
        <f t="shared" si="12"/>
        <v>SPI II</v>
      </c>
      <c r="H400" t="s">
        <v>19</v>
      </c>
      <c r="I400" t="s">
        <v>20</v>
      </c>
      <c r="J400" t="s">
        <v>64</v>
      </c>
      <c r="K400" s="6">
        <v>0.03</v>
      </c>
      <c r="L400" s="7">
        <f t="shared" si="13"/>
        <v>2E-3</v>
      </c>
      <c r="M400" s="7">
        <v>3.0000000000000001E-3</v>
      </c>
      <c r="N400">
        <v>7</v>
      </c>
      <c r="O400" s="8">
        <v>17.934556092922943</v>
      </c>
      <c r="P400" s="9">
        <v>17.934556092922943</v>
      </c>
      <c r="Q400" s="9">
        <v>17.934556092922943</v>
      </c>
      <c r="R400" s="9">
        <v>18.35577997371016</v>
      </c>
      <c r="S400" s="9">
        <v>18.404835306435746</v>
      </c>
      <c r="T400" s="9">
        <v>19.112621008962602</v>
      </c>
      <c r="U400" s="9">
        <v>20.35176903227914</v>
      </c>
      <c r="V400" s="9">
        <v>20.35176903227914</v>
      </c>
      <c r="W400" s="9">
        <v>20.35176903227914</v>
      </c>
      <c r="X400" s="9">
        <v>19.91589544268896</v>
      </c>
      <c r="Y400" s="9">
        <v>19.91589544268896</v>
      </c>
      <c r="Z400" s="9">
        <v>21.609947773831163</v>
      </c>
      <c r="AA400" s="9">
        <v>21.609947773831163</v>
      </c>
      <c r="AB400" s="9">
        <v>23.372671736151272</v>
      </c>
      <c r="AC400" s="9">
        <v>23.372671736151272</v>
      </c>
      <c r="AD400" s="9">
        <v>26.430826810726163</v>
      </c>
      <c r="AE400" s="9">
        <v>27.959768706413232</v>
      </c>
      <c r="AF400" s="9">
        <v>29.772701744670762</v>
      </c>
      <c r="AG400" s="9">
        <v>29.772701744670762</v>
      </c>
      <c r="AH400" s="9">
        <v>32.589351949315954</v>
      </c>
      <c r="AI400" s="9">
        <v>34.825222308406182</v>
      </c>
      <c r="AJ400" s="9">
        <v>3.0428788910505911</v>
      </c>
    </row>
    <row r="401" spans="1:36" x14ac:dyDescent="0.25">
      <c r="A401" t="s">
        <v>5411</v>
      </c>
      <c r="B401" t="s">
        <v>16</v>
      </c>
      <c r="C401" t="s">
        <v>17</v>
      </c>
      <c r="D401">
        <v>15450000</v>
      </c>
      <c r="E401">
        <v>15459999</v>
      </c>
      <c r="F401" t="s">
        <v>344</v>
      </c>
      <c r="G401" t="str">
        <f t="shared" si="12"/>
        <v>SPI II</v>
      </c>
      <c r="H401" t="s">
        <v>19</v>
      </c>
      <c r="I401" t="s">
        <v>20</v>
      </c>
      <c r="J401" t="s">
        <v>64</v>
      </c>
      <c r="K401" s="6">
        <v>0.03</v>
      </c>
      <c r="L401" s="7">
        <f t="shared" si="13"/>
        <v>2E-3</v>
      </c>
      <c r="M401" s="7">
        <v>3.0000000000000001E-3</v>
      </c>
      <c r="N401">
        <v>7</v>
      </c>
      <c r="O401" s="8">
        <v>17.934556092922943</v>
      </c>
      <c r="P401" s="9">
        <v>17.934556092922943</v>
      </c>
      <c r="Q401" s="9">
        <v>17.934556092922943</v>
      </c>
      <c r="R401" s="9">
        <v>18.35577997371016</v>
      </c>
      <c r="S401" s="9">
        <v>18.404835306435746</v>
      </c>
      <c r="T401" s="9">
        <v>19.112621008962602</v>
      </c>
      <c r="U401" s="9">
        <v>20.35176903227914</v>
      </c>
      <c r="V401" s="9">
        <v>20.35176903227914</v>
      </c>
      <c r="W401" s="9">
        <v>20.35176903227914</v>
      </c>
      <c r="X401" s="9">
        <v>19.91589544268896</v>
      </c>
      <c r="Y401" s="9">
        <v>19.91589544268896</v>
      </c>
      <c r="Z401" s="9">
        <v>21.609947773831163</v>
      </c>
      <c r="AA401" s="9">
        <v>21.609947773831163</v>
      </c>
      <c r="AB401" s="9">
        <v>23.372671736151272</v>
      </c>
      <c r="AC401" s="9">
        <v>23.372671736151272</v>
      </c>
      <c r="AD401" s="9">
        <v>26.430826810726163</v>
      </c>
      <c r="AE401" s="9">
        <v>27.959768706413232</v>
      </c>
      <c r="AF401" s="9">
        <v>29.772701744670762</v>
      </c>
      <c r="AG401" s="9">
        <v>29.772701744670762</v>
      </c>
      <c r="AH401" s="9">
        <v>32.589351949315954</v>
      </c>
      <c r="AI401" s="9">
        <v>34.825222308406182</v>
      </c>
      <c r="AJ401" s="9">
        <v>3.0428788910505911</v>
      </c>
    </row>
    <row r="402" spans="1:36" x14ac:dyDescent="0.25">
      <c r="A402" t="s">
        <v>5411</v>
      </c>
      <c r="B402" t="s">
        <v>16</v>
      </c>
      <c r="C402" t="s">
        <v>17</v>
      </c>
      <c r="D402">
        <v>15460000</v>
      </c>
      <c r="E402">
        <v>15469999</v>
      </c>
      <c r="F402" t="s">
        <v>345</v>
      </c>
      <c r="G402" t="str">
        <f t="shared" si="12"/>
        <v>SPI II</v>
      </c>
      <c r="H402" t="s">
        <v>19</v>
      </c>
      <c r="I402" t="s">
        <v>20</v>
      </c>
      <c r="J402" t="s">
        <v>64</v>
      </c>
      <c r="K402" s="6">
        <v>0.03</v>
      </c>
      <c r="L402" s="7">
        <f t="shared" si="13"/>
        <v>2E-3</v>
      </c>
      <c r="M402" s="7">
        <v>3.0000000000000001E-3</v>
      </c>
      <c r="N402">
        <v>7</v>
      </c>
      <c r="O402" s="8">
        <v>17.934556092922943</v>
      </c>
      <c r="P402" s="9">
        <v>17.934556092922943</v>
      </c>
      <c r="Q402" s="9">
        <v>17.934556092922943</v>
      </c>
      <c r="R402" s="9">
        <v>18.35577997371016</v>
      </c>
      <c r="S402" s="9">
        <v>18.404835306435746</v>
      </c>
      <c r="T402" s="9">
        <v>19.112621008962602</v>
      </c>
      <c r="U402" s="9">
        <v>20.35176903227914</v>
      </c>
      <c r="V402" s="9">
        <v>20.35176903227914</v>
      </c>
      <c r="W402" s="9">
        <v>20.35176903227914</v>
      </c>
      <c r="X402" s="9">
        <v>19.91589544268896</v>
      </c>
      <c r="Y402" s="9">
        <v>19.91589544268896</v>
      </c>
      <c r="Z402" s="9">
        <v>21.609947773831163</v>
      </c>
      <c r="AA402" s="9">
        <v>21.609947773831163</v>
      </c>
      <c r="AB402" s="9">
        <v>23.372671736151272</v>
      </c>
      <c r="AC402" s="9">
        <v>23.372671736151272</v>
      </c>
      <c r="AD402" s="9">
        <v>26.430826810726163</v>
      </c>
      <c r="AE402" s="9">
        <v>27.959768706413232</v>
      </c>
      <c r="AF402" s="9">
        <v>29.772701744670762</v>
      </c>
      <c r="AG402" s="9">
        <v>29.772701744670762</v>
      </c>
      <c r="AH402" s="9">
        <v>32.589351949315954</v>
      </c>
      <c r="AI402" s="9">
        <v>34.825222308406182</v>
      </c>
      <c r="AJ402" s="9">
        <v>3.0428788910505911</v>
      </c>
    </row>
    <row r="403" spans="1:36" x14ac:dyDescent="0.25">
      <c r="A403" t="s">
        <v>5411</v>
      </c>
      <c r="B403" t="s">
        <v>16</v>
      </c>
      <c r="C403" t="s">
        <v>17</v>
      </c>
      <c r="D403">
        <v>15470000</v>
      </c>
      <c r="E403">
        <v>15479999</v>
      </c>
      <c r="F403" t="s">
        <v>346</v>
      </c>
      <c r="G403" t="str">
        <f t="shared" si="12"/>
        <v>SPI II</v>
      </c>
      <c r="H403" t="s">
        <v>19</v>
      </c>
      <c r="I403" t="s">
        <v>20</v>
      </c>
      <c r="J403" t="s">
        <v>64</v>
      </c>
      <c r="K403" s="6">
        <v>0.03</v>
      </c>
      <c r="L403" s="7">
        <f t="shared" si="13"/>
        <v>2E-3</v>
      </c>
      <c r="M403" s="7">
        <v>3.0000000000000001E-3</v>
      </c>
      <c r="N403">
        <v>7</v>
      </c>
      <c r="O403" s="8">
        <v>17.934556092922943</v>
      </c>
      <c r="P403" s="9">
        <v>17.934556092922943</v>
      </c>
      <c r="Q403" s="9">
        <v>17.934556092922943</v>
      </c>
      <c r="R403" s="9">
        <v>18.35577997371016</v>
      </c>
      <c r="S403" s="9">
        <v>18.404835306435746</v>
      </c>
      <c r="T403" s="9">
        <v>19.112621008962602</v>
      </c>
      <c r="U403" s="9">
        <v>20.35176903227914</v>
      </c>
      <c r="V403" s="9">
        <v>20.35176903227914</v>
      </c>
      <c r="W403" s="9">
        <v>20.35176903227914</v>
      </c>
      <c r="X403" s="9">
        <v>19.91589544268896</v>
      </c>
      <c r="Y403" s="9">
        <v>19.91589544268896</v>
      </c>
      <c r="Z403" s="9">
        <v>21.609947773831163</v>
      </c>
      <c r="AA403" s="9">
        <v>21.609947773831163</v>
      </c>
      <c r="AB403" s="9">
        <v>23.372671736151272</v>
      </c>
      <c r="AC403" s="9">
        <v>23.372671736151272</v>
      </c>
      <c r="AD403" s="9">
        <v>26.430826810726163</v>
      </c>
      <c r="AE403" s="9">
        <v>27.959768706413232</v>
      </c>
      <c r="AF403" s="9">
        <v>29.772701744670762</v>
      </c>
      <c r="AG403" s="9">
        <v>29.772701744670762</v>
      </c>
      <c r="AH403" s="9">
        <v>32.589351949315954</v>
      </c>
      <c r="AI403" s="9">
        <v>34.825222308406182</v>
      </c>
      <c r="AJ403" s="9">
        <v>3.0428788910505911</v>
      </c>
    </row>
    <row r="404" spans="1:36" x14ac:dyDescent="0.25">
      <c r="A404" t="s">
        <v>5411</v>
      </c>
      <c r="B404" t="s">
        <v>16</v>
      </c>
      <c r="C404" t="s">
        <v>17</v>
      </c>
      <c r="D404">
        <v>15480000</v>
      </c>
      <c r="E404">
        <v>15489999</v>
      </c>
      <c r="F404" t="s">
        <v>347</v>
      </c>
      <c r="G404" t="str">
        <f t="shared" si="12"/>
        <v>SPI II</v>
      </c>
      <c r="H404" t="s">
        <v>19</v>
      </c>
      <c r="I404" t="s">
        <v>20</v>
      </c>
      <c r="J404" t="s">
        <v>64</v>
      </c>
      <c r="K404" s="6">
        <v>0.03</v>
      </c>
      <c r="L404" s="7">
        <f t="shared" si="13"/>
        <v>2E-3</v>
      </c>
      <c r="M404" s="7">
        <v>3.0000000000000001E-3</v>
      </c>
      <c r="N404">
        <v>7</v>
      </c>
      <c r="O404" s="8">
        <v>17.934556092922943</v>
      </c>
      <c r="P404" s="9">
        <v>17.934556092922943</v>
      </c>
      <c r="Q404" s="9">
        <v>17.934556092922943</v>
      </c>
      <c r="R404" s="9">
        <v>18.35577997371016</v>
      </c>
      <c r="S404" s="9">
        <v>18.404835306435746</v>
      </c>
      <c r="T404" s="9">
        <v>19.112621008962602</v>
      </c>
      <c r="U404" s="9">
        <v>20.35176903227914</v>
      </c>
      <c r="V404" s="9">
        <v>20.35176903227914</v>
      </c>
      <c r="W404" s="9">
        <v>20.35176903227914</v>
      </c>
      <c r="X404" s="9">
        <v>19.91589544268896</v>
      </c>
      <c r="Y404" s="9">
        <v>19.91589544268896</v>
      </c>
      <c r="Z404" s="9">
        <v>21.609947773831163</v>
      </c>
      <c r="AA404" s="9">
        <v>21.609947773831163</v>
      </c>
      <c r="AB404" s="9">
        <v>23.372671736151272</v>
      </c>
      <c r="AC404" s="9">
        <v>23.372671736151272</v>
      </c>
      <c r="AD404" s="9">
        <v>26.430826810726163</v>
      </c>
      <c r="AE404" s="9">
        <v>27.959768706413232</v>
      </c>
      <c r="AF404" s="9">
        <v>29.772701744670762</v>
      </c>
      <c r="AG404" s="9">
        <v>29.772701744670762</v>
      </c>
      <c r="AH404" s="9">
        <v>32.589351949315954</v>
      </c>
      <c r="AI404" s="9">
        <v>34.825222308406182</v>
      </c>
      <c r="AJ404" s="9">
        <v>3.0428788910505911</v>
      </c>
    </row>
    <row r="405" spans="1:36" x14ac:dyDescent="0.25">
      <c r="A405" t="s">
        <v>5411</v>
      </c>
      <c r="B405" t="s">
        <v>16</v>
      </c>
      <c r="C405" t="s">
        <v>17</v>
      </c>
      <c r="D405">
        <v>15490000</v>
      </c>
      <c r="E405">
        <v>15494999</v>
      </c>
      <c r="F405" t="s">
        <v>348</v>
      </c>
      <c r="G405" t="str">
        <f t="shared" si="12"/>
        <v>SPI II</v>
      </c>
      <c r="H405" t="s">
        <v>19</v>
      </c>
      <c r="I405" t="s">
        <v>20</v>
      </c>
      <c r="J405" t="s">
        <v>64</v>
      </c>
      <c r="K405" s="6">
        <v>0.03</v>
      </c>
      <c r="L405" s="7">
        <f t="shared" si="13"/>
        <v>2E-3</v>
      </c>
      <c r="M405" s="7">
        <v>3.0000000000000001E-3</v>
      </c>
      <c r="N405">
        <v>7</v>
      </c>
      <c r="O405" s="8">
        <v>17.934556092922943</v>
      </c>
      <c r="P405" s="9">
        <v>17.934556092922943</v>
      </c>
      <c r="Q405" s="9">
        <v>17.934556092922943</v>
      </c>
      <c r="R405" s="9">
        <v>18.35577997371016</v>
      </c>
      <c r="S405" s="9">
        <v>18.404835306435746</v>
      </c>
      <c r="T405" s="9">
        <v>19.112621008962602</v>
      </c>
      <c r="U405" s="9">
        <v>20.35176903227914</v>
      </c>
      <c r="V405" s="9">
        <v>20.35176903227914</v>
      </c>
      <c r="W405" s="9">
        <v>20.35176903227914</v>
      </c>
      <c r="X405" s="9">
        <v>19.91589544268896</v>
      </c>
      <c r="Y405" s="9">
        <v>19.91589544268896</v>
      </c>
      <c r="Z405" s="9">
        <v>21.609947773831163</v>
      </c>
      <c r="AA405" s="9">
        <v>21.609947773831163</v>
      </c>
      <c r="AB405" s="9">
        <v>23.372671736151272</v>
      </c>
      <c r="AC405" s="9">
        <v>23.372671736151272</v>
      </c>
      <c r="AD405" s="9">
        <v>26.430826810726163</v>
      </c>
      <c r="AE405" s="9">
        <v>27.959768706413232</v>
      </c>
      <c r="AF405" s="9">
        <v>29.772701744670762</v>
      </c>
      <c r="AG405" s="9">
        <v>29.772701744670762</v>
      </c>
      <c r="AH405" s="9">
        <v>32.589351949315954</v>
      </c>
      <c r="AI405" s="9">
        <v>34.825222308406182</v>
      </c>
      <c r="AJ405" s="9">
        <v>3.0428788910505911</v>
      </c>
    </row>
    <row r="406" spans="1:36" x14ac:dyDescent="0.25">
      <c r="A406" t="s">
        <v>5411</v>
      </c>
      <c r="B406" t="s">
        <v>16</v>
      </c>
      <c r="C406" t="s">
        <v>17</v>
      </c>
      <c r="D406">
        <v>15495000</v>
      </c>
      <c r="E406">
        <v>15499999</v>
      </c>
      <c r="F406" t="s">
        <v>349</v>
      </c>
      <c r="G406" t="str">
        <f t="shared" si="12"/>
        <v>SPI II</v>
      </c>
      <c r="H406" t="s">
        <v>19</v>
      </c>
      <c r="I406" t="s">
        <v>20</v>
      </c>
      <c r="J406" t="s">
        <v>64</v>
      </c>
      <c r="K406" s="6">
        <v>0.03</v>
      </c>
      <c r="L406" s="7">
        <f t="shared" si="13"/>
        <v>2E-3</v>
      </c>
      <c r="M406" s="7">
        <v>3.0000000000000001E-3</v>
      </c>
      <c r="N406">
        <v>7</v>
      </c>
      <c r="O406" s="8">
        <v>17.934556092922943</v>
      </c>
      <c r="P406" s="9">
        <v>17.934556092922943</v>
      </c>
      <c r="Q406" s="9">
        <v>17.934556092922943</v>
      </c>
      <c r="R406" s="9">
        <v>18.35577997371016</v>
      </c>
      <c r="S406" s="9">
        <v>18.404835306435746</v>
      </c>
      <c r="T406" s="9">
        <v>19.112621008962602</v>
      </c>
      <c r="U406" s="9">
        <v>20.35176903227914</v>
      </c>
      <c r="V406" s="9">
        <v>20.35176903227914</v>
      </c>
      <c r="W406" s="9">
        <v>20.35176903227914</v>
      </c>
      <c r="X406" s="9">
        <v>19.91589544268896</v>
      </c>
      <c r="Y406" s="9">
        <v>19.91589544268896</v>
      </c>
      <c r="Z406" s="9">
        <v>21.609947773831163</v>
      </c>
      <c r="AA406" s="9">
        <v>21.609947773831163</v>
      </c>
      <c r="AB406" s="9">
        <v>23.372671736151272</v>
      </c>
      <c r="AC406" s="9">
        <v>23.372671736151272</v>
      </c>
      <c r="AD406" s="9">
        <v>26.430826810726163</v>
      </c>
      <c r="AE406" s="9">
        <v>27.959768706413232</v>
      </c>
      <c r="AF406" s="9">
        <v>29.772701744670762</v>
      </c>
      <c r="AG406" s="9">
        <v>29.772701744670762</v>
      </c>
      <c r="AH406" s="9">
        <v>32.589351949315954</v>
      </c>
      <c r="AI406" s="9">
        <v>34.825222308406182</v>
      </c>
      <c r="AJ406" s="9">
        <v>3.0428788910505911</v>
      </c>
    </row>
    <row r="407" spans="1:36" x14ac:dyDescent="0.25">
      <c r="A407" t="s">
        <v>5411</v>
      </c>
      <c r="B407" t="s">
        <v>16</v>
      </c>
      <c r="C407" t="s">
        <v>17</v>
      </c>
      <c r="D407">
        <v>15500000</v>
      </c>
      <c r="E407">
        <v>15519999</v>
      </c>
      <c r="F407" t="s">
        <v>350</v>
      </c>
      <c r="G407" t="str">
        <f t="shared" si="12"/>
        <v>SPI</v>
      </c>
      <c r="H407" t="s">
        <v>19</v>
      </c>
      <c r="I407" t="s">
        <v>20</v>
      </c>
      <c r="J407" t="s">
        <v>62</v>
      </c>
      <c r="K407" s="6">
        <v>0.03</v>
      </c>
      <c r="L407" s="7">
        <f t="shared" si="13"/>
        <v>2E-3</v>
      </c>
      <c r="M407" s="7">
        <v>3.0000000000000001E-3</v>
      </c>
      <c r="N407">
        <v>6</v>
      </c>
      <c r="O407" s="8">
        <v>14.260089507934383</v>
      </c>
      <c r="P407" s="9">
        <v>14.260089507934383</v>
      </c>
      <c r="Q407" s="9">
        <v>14.260089507934383</v>
      </c>
      <c r="R407" s="9">
        <v>14.434686024139818</v>
      </c>
      <c r="S407" s="9">
        <v>14.722027102535575</v>
      </c>
      <c r="T407" s="9">
        <v>15.677715915555218</v>
      </c>
      <c r="U407" s="9">
        <v>17.010379604817192</v>
      </c>
      <c r="V407" s="9">
        <v>17.010379604817192</v>
      </c>
      <c r="W407" s="9">
        <v>17.010379604817192</v>
      </c>
      <c r="X407" s="9">
        <v>16.884570568466835</v>
      </c>
      <c r="Y407" s="9">
        <v>16.884570568466835</v>
      </c>
      <c r="Z407" s="9">
        <v>18.617757359760585</v>
      </c>
      <c r="AA407" s="9">
        <v>18.617757359760585</v>
      </c>
      <c r="AB407" s="9">
        <v>20.52292271594289</v>
      </c>
      <c r="AC407" s="9">
        <v>20.52292271594289</v>
      </c>
      <c r="AD407" s="9">
        <v>22.530627040176761</v>
      </c>
      <c r="AE407" s="9">
        <v>24.654059850225856</v>
      </c>
      <c r="AF407" s="9">
        <v>28.622962393602329</v>
      </c>
      <c r="AG407" s="9">
        <v>28.622962393602329</v>
      </c>
      <c r="AH407" s="9">
        <v>31.011605245024167</v>
      </c>
      <c r="AI407" s="9">
        <v>33.330799286496742</v>
      </c>
      <c r="AJ407" s="9">
        <v>3.0428788910505911</v>
      </c>
    </row>
    <row r="408" spans="1:36" x14ac:dyDescent="0.25">
      <c r="A408" t="s">
        <v>5411</v>
      </c>
      <c r="B408" t="s">
        <v>16</v>
      </c>
      <c r="C408" t="s">
        <v>17</v>
      </c>
      <c r="D408">
        <v>15520000</v>
      </c>
      <c r="E408">
        <v>15524999</v>
      </c>
      <c r="F408" t="s">
        <v>351</v>
      </c>
      <c r="G408" t="str">
        <f t="shared" si="12"/>
        <v>SPI II</v>
      </c>
      <c r="H408" t="s">
        <v>19</v>
      </c>
      <c r="I408" t="s">
        <v>20</v>
      </c>
      <c r="J408" t="s">
        <v>64</v>
      </c>
      <c r="K408" s="6">
        <v>0.03</v>
      </c>
      <c r="L408" s="7">
        <f t="shared" si="13"/>
        <v>2E-3</v>
      </c>
      <c r="M408" s="7">
        <v>3.0000000000000001E-3</v>
      </c>
      <c r="N408">
        <v>7</v>
      </c>
      <c r="O408" s="8">
        <v>17.934556092922943</v>
      </c>
      <c r="P408" s="9">
        <v>17.934556092922943</v>
      </c>
      <c r="Q408" s="9">
        <v>17.934556092922943</v>
      </c>
      <c r="R408" s="9">
        <v>18.35577997371016</v>
      </c>
      <c r="S408" s="9">
        <v>18.404835306435746</v>
      </c>
      <c r="T408" s="9">
        <v>19.112621008962602</v>
      </c>
      <c r="U408" s="9">
        <v>20.35176903227914</v>
      </c>
      <c r="V408" s="9">
        <v>20.35176903227914</v>
      </c>
      <c r="W408" s="9">
        <v>20.35176903227914</v>
      </c>
      <c r="X408" s="9">
        <v>19.91589544268896</v>
      </c>
      <c r="Y408" s="9">
        <v>19.91589544268896</v>
      </c>
      <c r="Z408" s="9">
        <v>21.609947773831163</v>
      </c>
      <c r="AA408" s="9">
        <v>21.609947773831163</v>
      </c>
      <c r="AB408" s="9">
        <v>23.372671736151272</v>
      </c>
      <c r="AC408" s="9">
        <v>23.372671736151272</v>
      </c>
      <c r="AD408" s="9">
        <v>26.430826810726163</v>
      </c>
      <c r="AE408" s="9">
        <v>27.959768706413232</v>
      </c>
      <c r="AF408" s="9">
        <v>29.772701744670762</v>
      </c>
      <c r="AG408" s="9">
        <v>29.772701744670762</v>
      </c>
      <c r="AH408" s="9">
        <v>32.589351949315954</v>
      </c>
      <c r="AI408" s="9">
        <v>34.825222308406182</v>
      </c>
      <c r="AJ408" s="9">
        <v>3.0428788910505911</v>
      </c>
    </row>
    <row r="409" spans="1:36" x14ac:dyDescent="0.25">
      <c r="A409" t="s">
        <v>5411</v>
      </c>
      <c r="B409" t="s">
        <v>16</v>
      </c>
      <c r="C409" t="s">
        <v>17</v>
      </c>
      <c r="D409">
        <v>15525000</v>
      </c>
      <c r="E409">
        <v>15529999</v>
      </c>
      <c r="F409" t="s">
        <v>352</v>
      </c>
      <c r="G409" t="str">
        <f t="shared" si="12"/>
        <v>SPI II</v>
      </c>
      <c r="H409" t="s">
        <v>19</v>
      </c>
      <c r="I409" t="s">
        <v>20</v>
      </c>
      <c r="J409" t="s">
        <v>64</v>
      </c>
      <c r="K409" s="6">
        <v>0.03</v>
      </c>
      <c r="L409" s="7">
        <f t="shared" si="13"/>
        <v>2E-3</v>
      </c>
      <c r="M409" s="7">
        <v>3.0000000000000001E-3</v>
      </c>
      <c r="N409">
        <v>7</v>
      </c>
      <c r="O409" s="8">
        <v>17.934556092922943</v>
      </c>
      <c r="P409" s="9">
        <v>17.934556092922943</v>
      </c>
      <c r="Q409" s="9">
        <v>17.934556092922943</v>
      </c>
      <c r="R409" s="9">
        <v>18.35577997371016</v>
      </c>
      <c r="S409" s="9">
        <v>18.404835306435746</v>
      </c>
      <c r="T409" s="9">
        <v>19.112621008962602</v>
      </c>
      <c r="U409" s="9">
        <v>20.35176903227914</v>
      </c>
      <c r="V409" s="9">
        <v>20.35176903227914</v>
      </c>
      <c r="W409" s="9">
        <v>20.35176903227914</v>
      </c>
      <c r="X409" s="9">
        <v>19.91589544268896</v>
      </c>
      <c r="Y409" s="9">
        <v>19.91589544268896</v>
      </c>
      <c r="Z409" s="9">
        <v>21.609947773831163</v>
      </c>
      <c r="AA409" s="9">
        <v>21.609947773831163</v>
      </c>
      <c r="AB409" s="9">
        <v>23.372671736151272</v>
      </c>
      <c r="AC409" s="9">
        <v>23.372671736151272</v>
      </c>
      <c r="AD409" s="9">
        <v>26.430826810726163</v>
      </c>
      <c r="AE409" s="9">
        <v>27.959768706413232</v>
      </c>
      <c r="AF409" s="9">
        <v>29.772701744670762</v>
      </c>
      <c r="AG409" s="9">
        <v>29.772701744670762</v>
      </c>
      <c r="AH409" s="9">
        <v>32.589351949315954</v>
      </c>
      <c r="AI409" s="9">
        <v>34.825222308406182</v>
      </c>
      <c r="AJ409" s="9">
        <v>3.0428788910505911</v>
      </c>
    </row>
    <row r="410" spans="1:36" x14ac:dyDescent="0.25">
      <c r="A410" t="s">
        <v>5411</v>
      </c>
      <c r="B410" t="s">
        <v>16</v>
      </c>
      <c r="C410" t="s">
        <v>17</v>
      </c>
      <c r="D410">
        <v>15530000</v>
      </c>
      <c r="E410">
        <v>15539999</v>
      </c>
      <c r="F410" t="s">
        <v>353</v>
      </c>
      <c r="G410" t="str">
        <f t="shared" si="12"/>
        <v>SPI II</v>
      </c>
      <c r="H410" t="s">
        <v>19</v>
      </c>
      <c r="I410" t="s">
        <v>20</v>
      </c>
      <c r="J410" t="s">
        <v>64</v>
      </c>
      <c r="K410" s="6">
        <v>0.03</v>
      </c>
      <c r="L410" s="7">
        <f t="shared" si="13"/>
        <v>2E-3</v>
      </c>
      <c r="M410" s="7">
        <v>3.0000000000000001E-3</v>
      </c>
      <c r="N410">
        <v>7</v>
      </c>
      <c r="O410" s="8">
        <v>17.934556092922943</v>
      </c>
      <c r="P410" s="9">
        <v>17.934556092922943</v>
      </c>
      <c r="Q410" s="9">
        <v>17.934556092922943</v>
      </c>
      <c r="R410" s="9">
        <v>18.35577997371016</v>
      </c>
      <c r="S410" s="9">
        <v>18.404835306435746</v>
      </c>
      <c r="T410" s="9">
        <v>19.112621008962602</v>
      </c>
      <c r="U410" s="9">
        <v>20.35176903227914</v>
      </c>
      <c r="V410" s="9">
        <v>20.35176903227914</v>
      </c>
      <c r="W410" s="9">
        <v>20.35176903227914</v>
      </c>
      <c r="X410" s="9">
        <v>19.91589544268896</v>
      </c>
      <c r="Y410" s="9">
        <v>19.91589544268896</v>
      </c>
      <c r="Z410" s="9">
        <v>21.609947773831163</v>
      </c>
      <c r="AA410" s="9">
        <v>21.609947773831163</v>
      </c>
      <c r="AB410" s="9">
        <v>23.372671736151272</v>
      </c>
      <c r="AC410" s="9">
        <v>23.372671736151272</v>
      </c>
      <c r="AD410" s="9">
        <v>26.430826810726163</v>
      </c>
      <c r="AE410" s="9">
        <v>27.959768706413232</v>
      </c>
      <c r="AF410" s="9">
        <v>29.772701744670762</v>
      </c>
      <c r="AG410" s="9">
        <v>29.772701744670762</v>
      </c>
      <c r="AH410" s="9">
        <v>32.589351949315954</v>
      </c>
      <c r="AI410" s="9">
        <v>34.825222308406182</v>
      </c>
      <c r="AJ410" s="9">
        <v>3.0428788910505911</v>
      </c>
    </row>
    <row r="411" spans="1:36" x14ac:dyDescent="0.25">
      <c r="A411" t="s">
        <v>5411</v>
      </c>
      <c r="B411" t="s">
        <v>16</v>
      </c>
      <c r="C411" t="s">
        <v>17</v>
      </c>
      <c r="D411">
        <v>15540000</v>
      </c>
      <c r="E411">
        <v>15549999</v>
      </c>
      <c r="F411" t="s">
        <v>354</v>
      </c>
      <c r="G411" t="str">
        <f t="shared" si="12"/>
        <v>SPI II</v>
      </c>
      <c r="H411" t="s">
        <v>19</v>
      </c>
      <c r="I411" t="s">
        <v>20</v>
      </c>
      <c r="J411" t="s">
        <v>64</v>
      </c>
      <c r="K411" s="6">
        <v>0.03</v>
      </c>
      <c r="L411" s="7">
        <f t="shared" si="13"/>
        <v>2E-3</v>
      </c>
      <c r="M411" s="7">
        <v>3.0000000000000001E-3</v>
      </c>
      <c r="N411">
        <v>7</v>
      </c>
      <c r="O411" s="8">
        <v>17.934556092922943</v>
      </c>
      <c r="P411" s="9">
        <v>17.934556092922943</v>
      </c>
      <c r="Q411" s="9">
        <v>17.934556092922943</v>
      </c>
      <c r="R411" s="9">
        <v>18.35577997371016</v>
      </c>
      <c r="S411" s="9">
        <v>18.404835306435746</v>
      </c>
      <c r="T411" s="9">
        <v>19.112621008962602</v>
      </c>
      <c r="U411" s="9">
        <v>20.35176903227914</v>
      </c>
      <c r="V411" s="9">
        <v>20.35176903227914</v>
      </c>
      <c r="W411" s="9">
        <v>20.35176903227914</v>
      </c>
      <c r="X411" s="9">
        <v>19.91589544268896</v>
      </c>
      <c r="Y411" s="9">
        <v>19.91589544268896</v>
      </c>
      <c r="Z411" s="9">
        <v>21.609947773831163</v>
      </c>
      <c r="AA411" s="9">
        <v>21.609947773831163</v>
      </c>
      <c r="AB411" s="9">
        <v>23.372671736151272</v>
      </c>
      <c r="AC411" s="9">
        <v>23.372671736151272</v>
      </c>
      <c r="AD411" s="9">
        <v>26.430826810726163</v>
      </c>
      <c r="AE411" s="9">
        <v>27.959768706413232</v>
      </c>
      <c r="AF411" s="9">
        <v>29.772701744670762</v>
      </c>
      <c r="AG411" s="9">
        <v>29.772701744670762</v>
      </c>
      <c r="AH411" s="9">
        <v>32.589351949315954</v>
      </c>
      <c r="AI411" s="9">
        <v>34.825222308406182</v>
      </c>
      <c r="AJ411" s="9">
        <v>3.0428788910505911</v>
      </c>
    </row>
    <row r="412" spans="1:36" x14ac:dyDescent="0.25">
      <c r="A412" t="s">
        <v>5411</v>
      </c>
      <c r="B412" t="s">
        <v>16</v>
      </c>
      <c r="C412" t="s">
        <v>17</v>
      </c>
      <c r="D412">
        <v>15550000</v>
      </c>
      <c r="E412">
        <v>15559999</v>
      </c>
      <c r="F412" t="s">
        <v>355</v>
      </c>
      <c r="G412" t="str">
        <f t="shared" si="12"/>
        <v>SPI II</v>
      </c>
      <c r="H412" t="s">
        <v>19</v>
      </c>
      <c r="I412" t="s">
        <v>20</v>
      </c>
      <c r="J412" t="s">
        <v>64</v>
      </c>
      <c r="K412" s="6">
        <v>0.03</v>
      </c>
      <c r="L412" s="7">
        <f t="shared" si="13"/>
        <v>2E-3</v>
      </c>
      <c r="M412" s="7">
        <v>3.0000000000000001E-3</v>
      </c>
      <c r="N412">
        <v>7</v>
      </c>
      <c r="O412" s="8">
        <v>17.934556092922943</v>
      </c>
      <c r="P412" s="9">
        <v>17.934556092922943</v>
      </c>
      <c r="Q412" s="9">
        <v>17.934556092922943</v>
      </c>
      <c r="R412" s="9">
        <v>18.35577997371016</v>
      </c>
      <c r="S412" s="9">
        <v>18.404835306435746</v>
      </c>
      <c r="T412" s="9">
        <v>19.112621008962602</v>
      </c>
      <c r="U412" s="9">
        <v>20.35176903227914</v>
      </c>
      <c r="V412" s="9">
        <v>20.35176903227914</v>
      </c>
      <c r="W412" s="9">
        <v>20.35176903227914</v>
      </c>
      <c r="X412" s="9">
        <v>19.91589544268896</v>
      </c>
      <c r="Y412" s="9">
        <v>19.91589544268896</v>
      </c>
      <c r="Z412" s="9">
        <v>21.609947773831163</v>
      </c>
      <c r="AA412" s="9">
        <v>21.609947773831163</v>
      </c>
      <c r="AB412" s="9">
        <v>23.372671736151272</v>
      </c>
      <c r="AC412" s="9">
        <v>23.372671736151272</v>
      </c>
      <c r="AD412" s="9">
        <v>26.430826810726163</v>
      </c>
      <c r="AE412" s="9">
        <v>27.959768706413232</v>
      </c>
      <c r="AF412" s="9">
        <v>29.772701744670762</v>
      </c>
      <c r="AG412" s="9">
        <v>29.772701744670762</v>
      </c>
      <c r="AH412" s="9">
        <v>32.589351949315954</v>
      </c>
      <c r="AI412" s="9">
        <v>34.825222308406182</v>
      </c>
      <c r="AJ412" s="9">
        <v>3.0428788910505911</v>
      </c>
    </row>
    <row r="413" spans="1:36" x14ac:dyDescent="0.25">
      <c r="A413" t="s">
        <v>5411</v>
      </c>
      <c r="B413" t="s">
        <v>16</v>
      </c>
      <c r="C413" t="s">
        <v>17</v>
      </c>
      <c r="D413">
        <v>15560000</v>
      </c>
      <c r="E413">
        <v>15569999</v>
      </c>
      <c r="F413" t="s">
        <v>356</v>
      </c>
      <c r="G413" t="str">
        <f t="shared" si="12"/>
        <v>SPI II</v>
      </c>
      <c r="H413" t="s">
        <v>19</v>
      </c>
      <c r="I413" t="s">
        <v>20</v>
      </c>
      <c r="J413" t="s">
        <v>64</v>
      </c>
      <c r="K413" s="6">
        <v>0.03</v>
      </c>
      <c r="L413" s="7">
        <f t="shared" si="13"/>
        <v>2E-3</v>
      </c>
      <c r="M413" s="7">
        <v>3.0000000000000001E-3</v>
      </c>
      <c r="N413">
        <v>8</v>
      </c>
      <c r="O413" s="8">
        <v>17.934556092922943</v>
      </c>
      <c r="P413" s="9">
        <v>17.934556092922943</v>
      </c>
      <c r="Q413" s="9">
        <v>17.934556092922943</v>
      </c>
      <c r="R413" s="9">
        <v>18.35577997371016</v>
      </c>
      <c r="S413" s="9">
        <v>18.404835306435746</v>
      </c>
      <c r="T413" s="9">
        <v>19.112621008962602</v>
      </c>
      <c r="U413" s="9">
        <v>20.35176903227914</v>
      </c>
      <c r="V413" s="9">
        <v>20.35176903227914</v>
      </c>
      <c r="W413" s="9">
        <v>20.35176903227914</v>
      </c>
      <c r="X413" s="9">
        <v>19.91589544268896</v>
      </c>
      <c r="Y413" s="9">
        <v>19.91589544268896</v>
      </c>
      <c r="Z413" s="9">
        <v>21.609947773831163</v>
      </c>
      <c r="AA413" s="9">
        <v>21.609947773831163</v>
      </c>
      <c r="AB413" s="9">
        <v>23.372671736151272</v>
      </c>
      <c r="AC413" s="9">
        <v>23.372671736151272</v>
      </c>
      <c r="AD413" s="9">
        <v>26.430826810726163</v>
      </c>
      <c r="AE413" s="9">
        <v>27.959768706413232</v>
      </c>
      <c r="AF413" s="9">
        <v>29.772701744670762</v>
      </c>
      <c r="AG413" s="9">
        <v>29.772701744670762</v>
      </c>
      <c r="AH413" s="9">
        <v>32.589351949315954</v>
      </c>
      <c r="AI413" s="9">
        <v>34.825222308406182</v>
      </c>
      <c r="AJ413" s="9">
        <v>3.0428788910505911</v>
      </c>
    </row>
    <row r="414" spans="1:36" x14ac:dyDescent="0.25">
      <c r="A414" t="s">
        <v>5411</v>
      </c>
      <c r="B414" t="s">
        <v>16</v>
      </c>
      <c r="C414" t="s">
        <v>17</v>
      </c>
      <c r="D414">
        <v>15570000</v>
      </c>
      <c r="E414">
        <v>15579999</v>
      </c>
      <c r="F414" t="s">
        <v>357</v>
      </c>
      <c r="G414" t="str">
        <f t="shared" si="12"/>
        <v>SPI II</v>
      </c>
      <c r="H414" t="s">
        <v>19</v>
      </c>
      <c r="I414" t="s">
        <v>20</v>
      </c>
      <c r="J414" t="s">
        <v>64</v>
      </c>
      <c r="K414" s="6">
        <v>0.03</v>
      </c>
      <c r="L414" s="7">
        <f t="shared" si="13"/>
        <v>2E-3</v>
      </c>
      <c r="M414" s="7">
        <v>3.0000000000000001E-3</v>
      </c>
      <c r="N414">
        <v>7</v>
      </c>
      <c r="O414" s="8">
        <v>17.934556092922943</v>
      </c>
      <c r="P414" s="9">
        <v>17.934556092922943</v>
      </c>
      <c r="Q414" s="9">
        <v>17.934556092922943</v>
      </c>
      <c r="R414" s="9">
        <v>18.35577997371016</v>
      </c>
      <c r="S414" s="9">
        <v>18.404835306435746</v>
      </c>
      <c r="T414" s="9">
        <v>19.112621008962602</v>
      </c>
      <c r="U414" s="9">
        <v>20.35176903227914</v>
      </c>
      <c r="V414" s="9">
        <v>20.35176903227914</v>
      </c>
      <c r="W414" s="9">
        <v>20.35176903227914</v>
      </c>
      <c r="X414" s="9">
        <v>19.91589544268896</v>
      </c>
      <c r="Y414" s="9">
        <v>19.91589544268896</v>
      </c>
      <c r="Z414" s="9">
        <v>21.609947773831163</v>
      </c>
      <c r="AA414" s="9">
        <v>21.609947773831163</v>
      </c>
      <c r="AB414" s="9">
        <v>23.372671736151272</v>
      </c>
      <c r="AC414" s="9">
        <v>23.372671736151272</v>
      </c>
      <c r="AD414" s="9">
        <v>26.430826810726163</v>
      </c>
      <c r="AE414" s="9">
        <v>27.959768706413232</v>
      </c>
      <c r="AF414" s="9">
        <v>29.772701744670762</v>
      </c>
      <c r="AG414" s="9">
        <v>29.772701744670762</v>
      </c>
      <c r="AH414" s="9">
        <v>32.589351949315954</v>
      </c>
      <c r="AI414" s="9">
        <v>34.825222308406182</v>
      </c>
      <c r="AJ414" s="9">
        <v>3.0428788910505911</v>
      </c>
    </row>
    <row r="415" spans="1:36" x14ac:dyDescent="0.25">
      <c r="A415" t="s">
        <v>5411</v>
      </c>
      <c r="B415" t="s">
        <v>16</v>
      </c>
      <c r="C415" t="s">
        <v>17</v>
      </c>
      <c r="D415">
        <v>15580000</v>
      </c>
      <c r="E415">
        <v>15599999</v>
      </c>
      <c r="F415" t="s">
        <v>358</v>
      </c>
      <c r="G415" t="str">
        <f t="shared" si="12"/>
        <v>SPI II</v>
      </c>
      <c r="H415" t="s">
        <v>19</v>
      </c>
      <c r="I415" t="s">
        <v>20</v>
      </c>
      <c r="J415" t="s">
        <v>64</v>
      </c>
      <c r="K415" s="6">
        <v>0.03</v>
      </c>
      <c r="L415" s="7">
        <f t="shared" si="13"/>
        <v>2E-3</v>
      </c>
      <c r="M415" s="7">
        <v>3.0000000000000001E-3</v>
      </c>
      <c r="N415">
        <v>7</v>
      </c>
      <c r="O415" s="8">
        <v>17.934556092922943</v>
      </c>
      <c r="P415" s="9">
        <v>17.934556092922943</v>
      </c>
      <c r="Q415" s="9">
        <v>17.934556092922943</v>
      </c>
      <c r="R415" s="9">
        <v>18.35577997371016</v>
      </c>
      <c r="S415" s="9">
        <v>18.404835306435746</v>
      </c>
      <c r="T415" s="9">
        <v>19.112621008962602</v>
      </c>
      <c r="U415" s="9">
        <v>20.35176903227914</v>
      </c>
      <c r="V415" s="9">
        <v>20.35176903227914</v>
      </c>
      <c r="W415" s="9">
        <v>20.35176903227914</v>
      </c>
      <c r="X415" s="9">
        <v>19.91589544268896</v>
      </c>
      <c r="Y415" s="9">
        <v>19.91589544268896</v>
      </c>
      <c r="Z415" s="9">
        <v>21.609947773831163</v>
      </c>
      <c r="AA415" s="9">
        <v>21.609947773831163</v>
      </c>
      <c r="AB415" s="9">
        <v>23.372671736151272</v>
      </c>
      <c r="AC415" s="9">
        <v>23.372671736151272</v>
      </c>
      <c r="AD415" s="9">
        <v>26.430826810726163</v>
      </c>
      <c r="AE415" s="9">
        <v>27.959768706413232</v>
      </c>
      <c r="AF415" s="9">
        <v>29.772701744670762</v>
      </c>
      <c r="AG415" s="9">
        <v>29.772701744670762</v>
      </c>
      <c r="AH415" s="9">
        <v>32.589351949315954</v>
      </c>
      <c r="AI415" s="9">
        <v>34.825222308406182</v>
      </c>
      <c r="AJ415" s="9">
        <v>3.0428788910505911</v>
      </c>
    </row>
    <row r="416" spans="1:36" x14ac:dyDescent="0.25">
      <c r="A416" t="s">
        <v>5411</v>
      </c>
      <c r="B416" t="s">
        <v>16</v>
      </c>
      <c r="C416" t="s">
        <v>17</v>
      </c>
      <c r="D416">
        <v>15600000</v>
      </c>
      <c r="E416">
        <v>15619999</v>
      </c>
      <c r="F416" t="s">
        <v>359</v>
      </c>
      <c r="G416" t="str">
        <f t="shared" si="12"/>
        <v>SPI II</v>
      </c>
      <c r="H416" t="s">
        <v>19</v>
      </c>
      <c r="I416" t="s">
        <v>20</v>
      </c>
      <c r="J416" t="s">
        <v>64</v>
      </c>
      <c r="K416" s="6">
        <v>0.03</v>
      </c>
      <c r="L416" s="7">
        <f t="shared" si="13"/>
        <v>2E-3</v>
      </c>
      <c r="M416" s="7">
        <v>3.0000000000000001E-3</v>
      </c>
      <c r="N416">
        <v>7</v>
      </c>
      <c r="O416" s="8">
        <v>17.934556092922943</v>
      </c>
      <c r="P416" s="9">
        <v>17.934556092922943</v>
      </c>
      <c r="Q416" s="9">
        <v>17.934556092922943</v>
      </c>
      <c r="R416" s="9">
        <v>18.35577997371016</v>
      </c>
      <c r="S416" s="9">
        <v>18.404835306435746</v>
      </c>
      <c r="T416" s="9">
        <v>19.112621008962602</v>
      </c>
      <c r="U416" s="9">
        <v>20.35176903227914</v>
      </c>
      <c r="V416" s="9">
        <v>20.35176903227914</v>
      </c>
      <c r="W416" s="9">
        <v>20.35176903227914</v>
      </c>
      <c r="X416" s="9">
        <v>19.91589544268896</v>
      </c>
      <c r="Y416" s="9">
        <v>19.91589544268896</v>
      </c>
      <c r="Z416" s="9">
        <v>21.609947773831163</v>
      </c>
      <c r="AA416" s="9">
        <v>21.609947773831163</v>
      </c>
      <c r="AB416" s="9">
        <v>23.372671736151272</v>
      </c>
      <c r="AC416" s="9">
        <v>23.372671736151272</v>
      </c>
      <c r="AD416" s="9">
        <v>26.430826810726163</v>
      </c>
      <c r="AE416" s="9">
        <v>27.959768706413232</v>
      </c>
      <c r="AF416" s="9">
        <v>29.772701744670762</v>
      </c>
      <c r="AG416" s="9">
        <v>29.772701744670762</v>
      </c>
      <c r="AH416" s="9">
        <v>32.589351949315954</v>
      </c>
      <c r="AI416" s="9">
        <v>34.825222308406182</v>
      </c>
      <c r="AJ416" s="9">
        <v>3.0428788910505911</v>
      </c>
    </row>
    <row r="417" spans="1:36" x14ac:dyDescent="0.25">
      <c r="A417" t="s">
        <v>5411</v>
      </c>
      <c r="B417" t="s">
        <v>16</v>
      </c>
      <c r="C417" t="s">
        <v>17</v>
      </c>
      <c r="D417">
        <v>15620000</v>
      </c>
      <c r="E417">
        <v>15624999</v>
      </c>
      <c r="F417" t="s">
        <v>360</v>
      </c>
      <c r="G417" t="str">
        <f t="shared" si="12"/>
        <v>SPI II</v>
      </c>
      <c r="H417" t="s">
        <v>19</v>
      </c>
      <c r="I417" t="s">
        <v>20</v>
      </c>
      <c r="J417" t="s">
        <v>64</v>
      </c>
      <c r="K417" s="6">
        <v>0.03</v>
      </c>
      <c r="L417" s="7">
        <f t="shared" si="13"/>
        <v>2E-3</v>
      </c>
      <c r="M417" s="7">
        <v>3.0000000000000001E-3</v>
      </c>
      <c r="N417">
        <v>7</v>
      </c>
      <c r="O417" s="8">
        <v>17.934556092922943</v>
      </c>
      <c r="P417" s="9">
        <v>17.934556092922943</v>
      </c>
      <c r="Q417" s="9">
        <v>17.934556092922943</v>
      </c>
      <c r="R417" s="9">
        <v>18.35577997371016</v>
      </c>
      <c r="S417" s="9">
        <v>18.404835306435746</v>
      </c>
      <c r="T417" s="9">
        <v>19.112621008962602</v>
      </c>
      <c r="U417" s="9">
        <v>20.35176903227914</v>
      </c>
      <c r="V417" s="9">
        <v>20.35176903227914</v>
      </c>
      <c r="W417" s="9">
        <v>20.35176903227914</v>
      </c>
      <c r="X417" s="9">
        <v>19.91589544268896</v>
      </c>
      <c r="Y417" s="9">
        <v>19.91589544268896</v>
      </c>
      <c r="Z417" s="9">
        <v>21.609947773831163</v>
      </c>
      <c r="AA417" s="9">
        <v>21.609947773831163</v>
      </c>
      <c r="AB417" s="9">
        <v>23.372671736151272</v>
      </c>
      <c r="AC417" s="9">
        <v>23.372671736151272</v>
      </c>
      <c r="AD417" s="9">
        <v>26.430826810726163</v>
      </c>
      <c r="AE417" s="9">
        <v>27.959768706413232</v>
      </c>
      <c r="AF417" s="9">
        <v>29.772701744670762</v>
      </c>
      <c r="AG417" s="9">
        <v>29.772701744670762</v>
      </c>
      <c r="AH417" s="9">
        <v>32.589351949315954</v>
      </c>
      <c r="AI417" s="9">
        <v>34.825222308406182</v>
      </c>
      <c r="AJ417" s="9">
        <v>3.0428788910505911</v>
      </c>
    </row>
    <row r="418" spans="1:36" x14ac:dyDescent="0.25">
      <c r="A418" t="s">
        <v>5411</v>
      </c>
      <c r="B418" t="s">
        <v>16</v>
      </c>
      <c r="C418" t="s">
        <v>17</v>
      </c>
      <c r="D418">
        <v>15625000</v>
      </c>
      <c r="E418">
        <v>15629999</v>
      </c>
      <c r="F418" t="s">
        <v>361</v>
      </c>
      <c r="G418" t="str">
        <f t="shared" si="12"/>
        <v>SPI II</v>
      </c>
      <c r="H418" t="s">
        <v>19</v>
      </c>
      <c r="I418" t="s">
        <v>20</v>
      </c>
      <c r="J418" t="s">
        <v>64</v>
      </c>
      <c r="K418" s="6">
        <v>0.03</v>
      </c>
      <c r="L418" s="7">
        <f t="shared" si="13"/>
        <v>2E-3</v>
      </c>
      <c r="M418" s="7">
        <v>3.0000000000000001E-3</v>
      </c>
      <c r="N418">
        <v>7</v>
      </c>
      <c r="O418" s="8">
        <v>17.934556092922943</v>
      </c>
      <c r="P418" s="9">
        <v>17.934556092922943</v>
      </c>
      <c r="Q418" s="9">
        <v>17.934556092922943</v>
      </c>
      <c r="R418" s="9">
        <v>18.35577997371016</v>
      </c>
      <c r="S418" s="9">
        <v>18.404835306435746</v>
      </c>
      <c r="T418" s="9">
        <v>19.112621008962602</v>
      </c>
      <c r="U418" s="9">
        <v>20.35176903227914</v>
      </c>
      <c r="V418" s="9">
        <v>20.35176903227914</v>
      </c>
      <c r="W418" s="9">
        <v>20.35176903227914</v>
      </c>
      <c r="X418" s="9">
        <v>19.91589544268896</v>
      </c>
      <c r="Y418" s="9">
        <v>19.91589544268896</v>
      </c>
      <c r="Z418" s="9">
        <v>21.609947773831163</v>
      </c>
      <c r="AA418" s="9">
        <v>21.609947773831163</v>
      </c>
      <c r="AB418" s="9">
        <v>23.372671736151272</v>
      </c>
      <c r="AC418" s="9">
        <v>23.372671736151272</v>
      </c>
      <c r="AD418" s="9">
        <v>26.430826810726163</v>
      </c>
      <c r="AE418" s="9">
        <v>27.959768706413232</v>
      </c>
      <c r="AF418" s="9">
        <v>29.772701744670762</v>
      </c>
      <c r="AG418" s="9">
        <v>29.772701744670762</v>
      </c>
      <c r="AH418" s="9">
        <v>32.589351949315954</v>
      </c>
      <c r="AI418" s="9">
        <v>34.825222308406182</v>
      </c>
      <c r="AJ418" s="9">
        <v>3.0428788910505911</v>
      </c>
    </row>
    <row r="419" spans="1:36" x14ac:dyDescent="0.25">
      <c r="A419" t="s">
        <v>5411</v>
      </c>
      <c r="B419" t="s">
        <v>16</v>
      </c>
      <c r="C419" t="s">
        <v>17</v>
      </c>
      <c r="D419">
        <v>15630000</v>
      </c>
      <c r="E419">
        <v>15639999</v>
      </c>
      <c r="F419" t="s">
        <v>362</v>
      </c>
      <c r="G419" t="str">
        <f t="shared" si="12"/>
        <v>SPI II</v>
      </c>
      <c r="H419" t="s">
        <v>19</v>
      </c>
      <c r="I419" t="s">
        <v>20</v>
      </c>
      <c r="J419" t="s">
        <v>64</v>
      </c>
      <c r="K419" s="6">
        <v>0.03</v>
      </c>
      <c r="L419" s="7">
        <f t="shared" si="13"/>
        <v>2E-3</v>
      </c>
      <c r="M419" s="7">
        <v>3.0000000000000001E-3</v>
      </c>
      <c r="N419">
        <v>7</v>
      </c>
      <c r="O419" s="8">
        <v>17.934556092922943</v>
      </c>
      <c r="P419" s="9">
        <v>17.934556092922943</v>
      </c>
      <c r="Q419" s="9">
        <v>17.934556092922943</v>
      </c>
      <c r="R419" s="9">
        <v>18.35577997371016</v>
      </c>
      <c r="S419" s="9">
        <v>18.404835306435746</v>
      </c>
      <c r="T419" s="9">
        <v>19.112621008962602</v>
      </c>
      <c r="U419" s="9">
        <v>20.35176903227914</v>
      </c>
      <c r="V419" s="9">
        <v>20.35176903227914</v>
      </c>
      <c r="W419" s="9">
        <v>20.35176903227914</v>
      </c>
      <c r="X419" s="9">
        <v>19.91589544268896</v>
      </c>
      <c r="Y419" s="9">
        <v>19.91589544268896</v>
      </c>
      <c r="Z419" s="9">
        <v>21.609947773831163</v>
      </c>
      <c r="AA419" s="9">
        <v>21.609947773831163</v>
      </c>
      <c r="AB419" s="9">
        <v>23.372671736151272</v>
      </c>
      <c r="AC419" s="9">
        <v>23.372671736151272</v>
      </c>
      <c r="AD419" s="9">
        <v>26.430826810726163</v>
      </c>
      <c r="AE419" s="9">
        <v>27.959768706413232</v>
      </c>
      <c r="AF419" s="9">
        <v>29.772701744670762</v>
      </c>
      <c r="AG419" s="9">
        <v>29.772701744670762</v>
      </c>
      <c r="AH419" s="9">
        <v>32.589351949315954</v>
      </c>
      <c r="AI419" s="9">
        <v>34.825222308406182</v>
      </c>
      <c r="AJ419" s="9">
        <v>3.0428788910505911</v>
      </c>
    </row>
    <row r="420" spans="1:36" x14ac:dyDescent="0.25">
      <c r="A420" t="s">
        <v>5411</v>
      </c>
      <c r="B420" t="s">
        <v>16</v>
      </c>
      <c r="C420" t="s">
        <v>17</v>
      </c>
      <c r="D420">
        <v>15640000</v>
      </c>
      <c r="E420">
        <v>15649999</v>
      </c>
      <c r="F420" t="s">
        <v>363</v>
      </c>
      <c r="G420" t="str">
        <f t="shared" si="12"/>
        <v>SPI II</v>
      </c>
      <c r="H420" t="s">
        <v>19</v>
      </c>
      <c r="I420" t="s">
        <v>20</v>
      </c>
      <c r="J420" t="s">
        <v>64</v>
      </c>
      <c r="K420" s="6">
        <v>0.03</v>
      </c>
      <c r="L420" s="7">
        <f t="shared" si="13"/>
        <v>2E-3</v>
      </c>
      <c r="M420" s="7">
        <v>3.0000000000000001E-3</v>
      </c>
      <c r="N420">
        <v>7</v>
      </c>
      <c r="O420" s="8">
        <v>17.934556092922943</v>
      </c>
      <c r="P420" s="9">
        <v>17.934556092922943</v>
      </c>
      <c r="Q420" s="9">
        <v>17.934556092922943</v>
      </c>
      <c r="R420" s="9">
        <v>18.35577997371016</v>
      </c>
      <c r="S420" s="9">
        <v>18.404835306435746</v>
      </c>
      <c r="T420" s="9">
        <v>19.112621008962602</v>
      </c>
      <c r="U420" s="9">
        <v>20.35176903227914</v>
      </c>
      <c r="V420" s="9">
        <v>20.35176903227914</v>
      </c>
      <c r="W420" s="9">
        <v>20.35176903227914</v>
      </c>
      <c r="X420" s="9">
        <v>19.91589544268896</v>
      </c>
      <c r="Y420" s="9">
        <v>19.91589544268896</v>
      </c>
      <c r="Z420" s="9">
        <v>21.609947773831163</v>
      </c>
      <c r="AA420" s="9">
        <v>21.609947773831163</v>
      </c>
      <c r="AB420" s="9">
        <v>23.372671736151272</v>
      </c>
      <c r="AC420" s="9">
        <v>23.372671736151272</v>
      </c>
      <c r="AD420" s="9">
        <v>26.430826810726163</v>
      </c>
      <c r="AE420" s="9">
        <v>27.959768706413232</v>
      </c>
      <c r="AF420" s="9">
        <v>29.772701744670762</v>
      </c>
      <c r="AG420" s="9">
        <v>29.772701744670762</v>
      </c>
      <c r="AH420" s="9">
        <v>32.589351949315954</v>
      </c>
      <c r="AI420" s="9">
        <v>34.825222308406182</v>
      </c>
      <c r="AJ420" s="9">
        <v>3.0428788910505911</v>
      </c>
    </row>
    <row r="421" spans="1:36" x14ac:dyDescent="0.25">
      <c r="A421" t="s">
        <v>5411</v>
      </c>
      <c r="B421" t="s">
        <v>16</v>
      </c>
      <c r="C421" t="s">
        <v>17</v>
      </c>
      <c r="D421">
        <v>15650000</v>
      </c>
      <c r="E421">
        <v>15669999</v>
      </c>
      <c r="F421" t="s">
        <v>364</v>
      </c>
      <c r="G421" t="str">
        <f t="shared" si="12"/>
        <v>SPI II</v>
      </c>
      <c r="H421" t="s">
        <v>19</v>
      </c>
      <c r="I421" t="s">
        <v>20</v>
      </c>
      <c r="J421" t="s">
        <v>64</v>
      </c>
      <c r="K421" s="6">
        <v>0.03</v>
      </c>
      <c r="L421" s="7">
        <f t="shared" si="13"/>
        <v>2E-3</v>
      </c>
      <c r="M421" s="7">
        <v>3.0000000000000001E-3</v>
      </c>
      <c r="N421">
        <v>7</v>
      </c>
      <c r="O421" s="8">
        <v>17.934556092922943</v>
      </c>
      <c r="P421" s="9">
        <v>17.934556092922943</v>
      </c>
      <c r="Q421" s="9">
        <v>17.934556092922943</v>
      </c>
      <c r="R421" s="9">
        <v>18.35577997371016</v>
      </c>
      <c r="S421" s="9">
        <v>18.404835306435746</v>
      </c>
      <c r="T421" s="9">
        <v>19.112621008962602</v>
      </c>
      <c r="U421" s="9">
        <v>20.35176903227914</v>
      </c>
      <c r="V421" s="9">
        <v>20.35176903227914</v>
      </c>
      <c r="W421" s="9">
        <v>20.35176903227914</v>
      </c>
      <c r="X421" s="9">
        <v>19.91589544268896</v>
      </c>
      <c r="Y421" s="9">
        <v>19.91589544268896</v>
      </c>
      <c r="Z421" s="9">
        <v>21.609947773831163</v>
      </c>
      <c r="AA421" s="9">
        <v>21.609947773831163</v>
      </c>
      <c r="AB421" s="9">
        <v>23.372671736151272</v>
      </c>
      <c r="AC421" s="9">
        <v>23.372671736151272</v>
      </c>
      <c r="AD421" s="9">
        <v>26.430826810726163</v>
      </c>
      <c r="AE421" s="9">
        <v>27.959768706413232</v>
      </c>
      <c r="AF421" s="9">
        <v>29.772701744670762</v>
      </c>
      <c r="AG421" s="9">
        <v>29.772701744670762</v>
      </c>
      <c r="AH421" s="9">
        <v>32.589351949315954</v>
      </c>
      <c r="AI421" s="9">
        <v>34.825222308406182</v>
      </c>
      <c r="AJ421" s="9">
        <v>3.0428788910505911</v>
      </c>
    </row>
    <row r="422" spans="1:36" x14ac:dyDescent="0.25">
      <c r="A422" t="s">
        <v>5411</v>
      </c>
      <c r="B422" t="s">
        <v>16</v>
      </c>
      <c r="C422" t="s">
        <v>17</v>
      </c>
      <c r="D422">
        <v>15670000</v>
      </c>
      <c r="E422">
        <v>15679999</v>
      </c>
      <c r="F422" t="s">
        <v>365</v>
      </c>
      <c r="G422" t="str">
        <f t="shared" si="12"/>
        <v>SPI II</v>
      </c>
      <c r="H422" t="s">
        <v>19</v>
      </c>
      <c r="I422" t="s">
        <v>20</v>
      </c>
      <c r="J422" t="s">
        <v>64</v>
      </c>
      <c r="K422" s="6">
        <v>0.03</v>
      </c>
      <c r="L422" s="7">
        <f t="shared" si="13"/>
        <v>2E-3</v>
      </c>
      <c r="M422" s="7">
        <v>3.0000000000000001E-3</v>
      </c>
      <c r="N422">
        <v>7</v>
      </c>
      <c r="O422" s="8">
        <v>17.934556092922943</v>
      </c>
      <c r="P422" s="9">
        <v>17.934556092922943</v>
      </c>
      <c r="Q422" s="9">
        <v>17.934556092922943</v>
      </c>
      <c r="R422" s="9">
        <v>18.35577997371016</v>
      </c>
      <c r="S422" s="9">
        <v>18.404835306435746</v>
      </c>
      <c r="T422" s="9">
        <v>19.112621008962602</v>
      </c>
      <c r="U422" s="9">
        <v>20.35176903227914</v>
      </c>
      <c r="V422" s="9">
        <v>20.35176903227914</v>
      </c>
      <c r="W422" s="9">
        <v>20.35176903227914</v>
      </c>
      <c r="X422" s="9">
        <v>19.91589544268896</v>
      </c>
      <c r="Y422" s="9">
        <v>19.91589544268896</v>
      </c>
      <c r="Z422" s="9">
        <v>21.609947773831163</v>
      </c>
      <c r="AA422" s="9">
        <v>21.609947773831163</v>
      </c>
      <c r="AB422" s="9">
        <v>23.372671736151272</v>
      </c>
      <c r="AC422" s="9">
        <v>23.372671736151272</v>
      </c>
      <c r="AD422" s="9">
        <v>26.430826810726163</v>
      </c>
      <c r="AE422" s="9">
        <v>27.959768706413232</v>
      </c>
      <c r="AF422" s="9">
        <v>29.772701744670762</v>
      </c>
      <c r="AG422" s="9">
        <v>29.772701744670762</v>
      </c>
      <c r="AH422" s="9">
        <v>32.589351949315954</v>
      </c>
      <c r="AI422" s="9">
        <v>34.825222308406182</v>
      </c>
      <c r="AJ422" s="9">
        <v>3.0428788910505911</v>
      </c>
    </row>
    <row r="423" spans="1:36" x14ac:dyDescent="0.25">
      <c r="A423" t="s">
        <v>5411</v>
      </c>
      <c r="B423" t="s">
        <v>16</v>
      </c>
      <c r="C423" t="s">
        <v>17</v>
      </c>
      <c r="D423">
        <v>15680000</v>
      </c>
      <c r="E423">
        <v>15684999</v>
      </c>
      <c r="F423" t="s">
        <v>366</v>
      </c>
      <c r="G423" t="str">
        <f t="shared" si="12"/>
        <v>SPI II</v>
      </c>
      <c r="H423" t="s">
        <v>19</v>
      </c>
      <c r="I423" t="s">
        <v>20</v>
      </c>
      <c r="J423" t="s">
        <v>64</v>
      </c>
      <c r="K423" s="6">
        <v>0.03</v>
      </c>
      <c r="L423" s="7">
        <f t="shared" si="13"/>
        <v>2E-3</v>
      </c>
      <c r="M423" s="7">
        <v>3.0000000000000001E-3</v>
      </c>
      <c r="N423">
        <v>7</v>
      </c>
      <c r="O423" s="8">
        <v>17.934556092922943</v>
      </c>
      <c r="P423" s="9">
        <v>17.934556092922943</v>
      </c>
      <c r="Q423" s="9">
        <v>17.934556092922943</v>
      </c>
      <c r="R423" s="9">
        <v>18.35577997371016</v>
      </c>
      <c r="S423" s="9">
        <v>18.404835306435746</v>
      </c>
      <c r="T423" s="9">
        <v>19.112621008962602</v>
      </c>
      <c r="U423" s="9">
        <v>20.35176903227914</v>
      </c>
      <c r="V423" s="9">
        <v>20.35176903227914</v>
      </c>
      <c r="W423" s="9">
        <v>20.35176903227914</v>
      </c>
      <c r="X423" s="9">
        <v>19.91589544268896</v>
      </c>
      <c r="Y423" s="9">
        <v>19.91589544268896</v>
      </c>
      <c r="Z423" s="9">
        <v>21.609947773831163</v>
      </c>
      <c r="AA423" s="9">
        <v>21.609947773831163</v>
      </c>
      <c r="AB423" s="9">
        <v>23.372671736151272</v>
      </c>
      <c r="AC423" s="9">
        <v>23.372671736151272</v>
      </c>
      <c r="AD423" s="9">
        <v>26.430826810726163</v>
      </c>
      <c r="AE423" s="9">
        <v>27.959768706413232</v>
      </c>
      <c r="AF423" s="9">
        <v>29.772701744670762</v>
      </c>
      <c r="AG423" s="9">
        <v>29.772701744670762</v>
      </c>
      <c r="AH423" s="9">
        <v>32.589351949315954</v>
      </c>
      <c r="AI423" s="9">
        <v>34.825222308406182</v>
      </c>
      <c r="AJ423" s="9">
        <v>3.0428788910505911</v>
      </c>
    </row>
    <row r="424" spans="1:36" x14ac:dyDescent="0.25">
      <c r="A424" t="s">
        <v>5411</v>
      </c>
      <c r="B424" t="s">
        <v>16</v>
      </c>
      <c r="C424" t="s">
        <v>17</v>
      </c>
      <c r="D424">
        <v>15685000</v>
      </c>
      <c r="E424">
        <v>15689999</v>
      </c>
      <c r="F424" t="s">
        <v>367</v>
      </c>
      <c r="G424" t="str">
        <f t="shared" si="12"/>
        <v>SPI II</v>
      </c>
      <c r="H424" t="s">
        <v>19</v>
      </c>
      <c r="I424" t="s">
        <v>20</v>
      </c>
      <c r="J424" t="s">
        <v>64</v>
      </c>
      <c r="K424" s="6">
        <v>0.03</v>
      </c>
      <c r="L424" s="7">
        <f t="shared" si="13"/>
        <v>2E-3</v>
      </c>
      <c r="M424" s="7">
        <v>3.0000000000000001E-3</v>
      </c>
      <c r="N424">
        <v>7</v>
      </c>
      <c r="O424" s="8">
        <v>17.934556092922943</v>
      </c>
      <c r="P424" s="9">
        <v>17.934556092922943</v>
      </c>
      <c r="Q424" s="9">
        <v>17.934556092922943</v>
      </c>
      <c r="R424" s="9">
        <v>18.35577997371016</v>
      </c>
      <c r="S424" s="9">
        <v>18.404835306435746</v>
      </c>
      <c r="T424" s="9">
        <v>19.112621008962602</v>
      </c>
      <c r="U424" s="9">
        <v>20.35176903227914</v>
      </c>
      <c r="V424" s="9">
        <v>20.35176903227914</v>
      </c>
      <c r="W424" s="9">
        <v>20.35176903227914</v>
      </c>
      <c r="X424" s="9">
        <v>19.91589544268896</v>
      </c>
      <c r="Y424" s="9">
        <v>19.91589544268896</v>
      </c>
      <c r="Z424" s="9">
        <v>21.609947773831163</v>
      </c>
      <c r="AA424" s="9">
        <v>21.609947773831163</v>
      </c>
      <c r="AB424" s="9">
        <v>23.372671736151272</v>
      </c>
      <c r="AC424" s="9">
        <v>23.372671736151272</v>
      </c>
      <c r="AD424" s="9">
        <v>26.430826810726163</v>
      </c>
      <c r="AE424" s="9">
        <v>27.959768706413232</v>
      </c>
      <c r="AF424" s="9">
        <v>29.772701744670762</v>
      </c>
      <c r="AG424" s="9">
        <v>29.772701744670762</v>
      </c>
      <c r="AH424" s="9">
        <v>32.589351949315954</v>
      </c>
      <c r="AI424" s="9">
        <v>34.825222308406182</v>
      </c>
      <c r="AJ424" s="9">
        <v>3.0428788910505911</v>
      </c>
    </row>
    <row r="425" spans="1:36" x14ac:dyDescent="0.25">
      <c r="A425" t="s">
        <v>5411</v>
      </c>
      <c r="B425" t="s">
        <v>16</v>
      </c>
      <c r="C425" t="s">
        <v>17</v>
      </c>
      <c r="D425">
        <v>15690000</v>
      </c>
      <c r="E425">
        <v>15699999</v>
      </c>
      <c r="F425" t="s">
        <v>368</v>
      </c>
      <c r="G425" t="str">
        <f t="shared" si="12"/>
        <v>SPI II</v>
      </c>
      <c r="H425" t="s">
        <v>19</v>
      </c>
      <c r="I425" t="s">
        <v>20</v>
      </c>
      <c r="J425" t="s">
        <v>64</v>
      </c>
      <c r="K425" s="6">
        <v>0.03</v>
      </c>
      <c r="L425" s="7">
        <f t="shared" si="13"/>
        <v>2E-3</v>
      </c>
      <c r="M425" s="7">
        <v>3.0000000000000001E-3</v>
      </c>
      <c r="N425">
        <v>7</v>
      </c>
      <c r="O425" s="8">
        <v>17.934556092922943</v>
      </c>
      <c r="P425" s="9">
        <v>17.934556092922943</v>
      </c>
      <c r="Q425" s="9">
        <v>17.934556092922943</v>
      </c>
      <c r="R425" s="9">
        <v>18.35577997371016</v>
      </c>
      <c r="S425" s="9">
        <v>18.404835306435746</v>
      </c>
      <c r="T425" s="9">
        <v>19.112621008962602</v>
      </c>
      <c r="U425" s="9">
        <v>20.35176903227914</v>
      </c>
      <c r="V425" s="9">
        <v>20.35176903227914</v>
      </c>
      <c r="W425" s="9">
        <v>20.35176903227914</v>
      </c>
      <c r="X425" s="9">
        <v>19.91589544268896</v>
      </c>
      <c r="Y425" s="9">
        <v>19.91589544268896</v>
      </c>
      <c r="Z425" s="9">
        <v>21.609947773831163</v>
      </c>
      <c r="AA425" s="9">
        <v>21.609947773831163</v>
      </c>
      <c r="AB425" s="9">
        <v>23.372671736151272</v>
      </c>
      <c r="AC425" s="9">
        <v>23.372671736151272</v>
      </c>
      <c r="AD425" s="9">
        <v>26.430826810726163</v>
      </c>
      <c r="AE425" s="9">
        <v>27.959768706413232</v>
      </c>
      <c r="AF425" s="9">
        <v>29.772701744670762</v>
      </c>
      <c r="AG425" s="9">
        <v>29.772701744670762</v>
      </c>
      <c r="AH425" s="9">
        <v>32.589351949315954</v>
      </c>
      <c r="AI425" s="9">
        <v>34.825222308406182</v>
      </c>
      <c r="AJ425" s="9">
        <v>3.0428788910505911</v>
      </c>
    </row>
    <row r="426" spans="1:36" x14ac:dyDescent="0.25">
      <c r="A426" t="s">
        <v>5411</v>
      </c>
      <c r="B426" t="s">
        <v>16</v>
      </c>
      <c r="C426" t="s">
        <v>17</v>
      </c>
      <c r="D426">
        <v>15700000</v>
      </c>
      <c r="E426">
        <v>15709999</v>
      </c>
      <c r="F426" t="s">
        <v>369</v>
      </c>
      <c r="G426" t="str">
        <f t="shared" si="12"/>
        <v>SPI II</v>
      </c>
      <c r="H426" t="s">
        <v>19</v>
      </c>
      <c r="I426" t="s">
        <v>20</v>
      </c>
      <c r="J426" t="s">
        <v>64</v>
      </c>
      <c r="K426" s="6">
        <v>0.03</v>
      </c>
      <c r="L426" s="7">
        <f t="shared" si="13"/>
        <v>2E-3</v>
      </c>
      <c r="M426" s="7">
        <v>3.0000000000000001E-3</v>
      </c>
      <c r="N426">
        <v>7</v>
      </c>
      <c r="O426" s="8">
        <v>17.934556092922943</v>
      </c>
      <c r="P426" s="9">
        <v>17.934556092922943</v>
      </c>
      <c r="Q426" s="9">
        <v>17.934556092922943</v>
      </c>
      <c r="R426" s="9">
        <v>18.35577997371016</v>
      </c>
      <c r="S426" s="9">
        <v>18.404835306435746</v>
      </c>
      <c r="T426" s="9">
        <v>19.112621008962602</v>
      </c>
      <c r="U426" s="9">
        <v>20.35176903227914</v>
      </c>
      <c r="V426" s="9">
        <v>20.35176903227914</v>
      </c>
      <c r="W426" s="9">
        <v>20.35176903227914</v>
      </c>
      <c r="X426" s="9">
        <v>19.91589544268896</v>
      </c>
      <c r="Y426" s="9">
        <v>19.91589544268896</v>
      </c>
      <c r="Z426" s="9">
        <v>21.609947773831163</v>
      </c>
      <c r="AA426" s="9">
        <v>21.609947773831163</v>
      </c>
      <c r="AB426" s="9">
        <v>23.372671736151272</v>
      </c>
      <c r="AC426" s="9">
        <v>23.372671736151272</v>
      </c>
      <c r="AD426" s="9">
        <v>26.430826810726163</v>
      </c>
      <c r="AE426" s="9">
        <v>27.959768706413232</v>
      </c>
      <c r="AF426" s="9">
        <v>29.772701744670762</v>
      </c>
      <c r="AG426" s="9">
        <v>29.772701744670762</v>
      </c>
      <c r="AH426" s="9">
        <v>32.589351949315954</v>
      </c>
      <c r="AI426" s="9">
        <v>34.825222308406182</v>
      </c>
      <c r="AJ426" s="9">
        <v>3.0428788910505911</v>
      </c>
    </row>
    <row r="427" spans="1:36" x14ac:dyDescent="0.25">
      <c r="A427" t="s">
        <v>5411</v>
      </c>
      <c r="B427" t="s">
        <v>16</v>
      </c>
      <c r="C427" t="s">
        <v>17</v>
      </c>
      <c r="D427">
        <v>15710000</v>
      </c>
      <c r="E427">
        <v>15712999</v>
      </c>
      <c r="F427" t="s">
        <v>370</v>
      </c>
      <c r="G427" t="str">
        <f t="shared" si="12"/>
        <v>SPI II</v>
      </c>
      <c r="H427" t="s">
        <v>19</v>
      </c>
      <c r="I427" t="s">
        <v>20</v>
      </c>
      <c r="J427" t="s">
        <v>64</v>
      </c>
      <c r="K427" s="6">
        <v>0.03</v>
      </c>
      <c r="L427" s="7">
        <f t="shared" si="13"/>
        <v>2E-3</v>
      </c>
      <c r="M427" s="7">
        <v>3.0000000000000001E-3</v>
      </c>
      <c r="N427">
        <v>7</v>
      </c>
      <c r="O427" s="8">
        <v>17.934556092922943</v>
      </c>
      <c r="P427" s="9">
        <v>17.934556092922943</v>
      </c>
      <c r="Q427" s="9">
        <v>17.934556092922943</v>
      </c>
      <c r="R427" s="9">
        <v>18.35577997371016</v>
      </c>
      <c r="S427" s="9">
        <v>18.404835306435746</v>
      </c>
      <c r="T427" s="9">
        <v>19.112621008962602</v>
      </c>
      <c r="U427" s="9">
        <v>20.35176903227914</v>
      </c>
      <c r="V427" s="9">
        <v>20.35176903227914</v>
      </c>
      <c r="W427" s="9">
        <v>20.35176903227914</v>
      </c>
      <c r="X427" s="9">
        <v>19.91589544268896</v>
      </c>
      <c r="Y427" s="9">
        <v>19.91589544268896</v>
      </c>
      <c r="Z427" s="9">
        <v>21.609947773831163</v>
      </c>
      <c r="AA427" s="9">
        <v>21.609947773831163</v>
      </c>
      <c r="AB427" s="9">
        <v>23.372671736151272</v>
      </c>
      <c r="AC427" s="9">
        <v>23.372671736151272</v>
      </c>
      <c r="AD427" s="9">
        <v>26.430826810726163</v>
      </c>
      <c r="AE427" s="9">
        <v>27.959768706413232</v>
      </c>
      <c r="AF427" s="9">
        <v>29.772701744670762</v>
      </c>
      <c r="AG427" s="9">
        <v>29.772701744670762</v>
      </c>
      <c r="AH427" s="9">
        <v>32.589351949315954</v>
      </c>
      <c r="AI427" s="9">
        <v>34.825222308406182</v>
      </c>
      <c r="AJ427" s="9">
        <v>3.0428788910505911</v>
      </c>
    </row>
    <row r="428" spans="1:36" x14ac:dyDescent="0.25">
      <c r="A428" t="s">
        <v>5411</v>
      </c>
      <c r="B428" t="s">
        <v>16</v>
      </c>
      <c r="C428" t="s">
        <v>17</v>
      </c>
      <c r="D428">
        <v>15713000</v>
      </c>
      <c r="E428">
        <v>15714999</v>
      </c>
      <c r="F428" t="s">
        <v>371</v>
      </c>
      <c r="G428" t="str">
        <f t="shared" si="12"/>
        <v>SPI II</v>
      </c>
      <c r="H428" t="s">
        <v>19</v>
      </c>
      <c r="I428" t="s">
        <v>20</v>
      </c>
      <c r="J428" t="s">
        <v>64</v>
      </c>
      <c r="K428" s="6">
        <v>0.03</v>
      </c>
      <c r="L428" s="7">
        <f t="shared" si="13"/>
        <v>2E-3</v>
      </c>
      <c r="M428" s="7">
        <v>3.0000000000000001E-3</v>
      </c>
      <c r="N428">
        <v>7</v>
      </c>
      <c r="O428" s="8">
        <v>17.934556092922943</v>
      </c>
      <c r="P428" s="9">
        <v>17.934556092922943</v>
      </c>
      <c r="Q428" s="9">
        <v>17.934556092922943</v>
      </c>
      <c r="R428" s="9">
        <v>18.35577997371016</v>
      </c>
      <c r="S428" s="9">
        <v>18.404835306435746</v>
      </c>
      <c r="T428" s="9">
        <v>19.112621008962602</v>
      </c>
      <c r="U428" s="9">
        <v>20.35176903227914</v>
      </c>
      <c r="V428" s="9">
        <v>20.35176903227914</v>
      </c>
      <c r="W428" s="9">
        <v>20.35176903227914</v>
      </c>
      <c r="X428" s="9">
        <v>19.91589544268896</v>
      </c>
      <c r="Y428" s="9">
        <v>19.91589544268896</v>
      </c>
      <c r="Z428" s="9">
        <v>21.609947773831163</v>
      </c>
      <c r="AA428" s="9">
        <v>21.609947773831163</v>
      </c>
      <c r="AB428" s="9">
        <v>23.372671736151272</v>
      </c>
      <c r="AC428" s="9">
        <v>23.372671736151272</v>
      </c>
      <c r="AD428" s="9">
        <v>26.430826810726163</v>
      </c>
      <c r="AE428" s="9">
        <v>27.959768706413232</v>
      </c>
      <c r="AF428" s="9">
        <v>29.772701744670762</v>
      </c>
      <c r="AG428" s="9">
        <v>29.772701744670762</v>
      </c>
      <c r="AH428" s="9">
        <v>32.589351949315954</v>
      </c>
      <c r="AI428" s="9">
        <v>34.825222308406182</v>
      </c>
      <c r="AJ428" s="9">
        <v>3.0428788910505911</v>
      </c>
    </row>
    <row r="429" spans="1:36" x14ac:dyDescent="0.25">
      <c r="A429" t="s">
        <v>5411</v>
      </c>
      <c r="B429" t="s">
        <v>16</v>
      </c>
      <c r="C429" t="s">
        <v>17</v>
      </c>
      <c r="D429">
        <v>15715000</v>
      </c>
      <c r="E429">
        <v>15717999</v>
      </c>
      <c r="F429" t="s">
        <v>372</v>
      </c>
      <c r="G429" t="str">
        <f t="shared" si="12"/>
        <v>SPI II</v>
      </c>
      <c r="H429" t="s">
        <v>19</v>
      </c>
      <c r="I429" t="s">
        <v>20</v>
      </c>
      <c r="J429" t="s">
        <v>64</v>
      </c>
      <c r="K429" s="6">
        <v>0.03</v>
      </c>
      <c r="L429" s="7">
        <f t="shared" si="13"/>
        <v>2E-3</v>
      </c>
      <c r="M429" s="7">
        <v>3.0000000000000001E-3</v>
      </c>
      <c r="N429">
        <v>7</v>
      </c>
      <c r="O429" s="8">
        <v>17.934556092922943</v>
      </c>
      <c r="P429" s="9">
        <v>17.934556092922943</v>
      </c>
      <c r="Q429" s="9">
        <v>17.934556092922943</v>
      </c>
      <c r="R429" s="9">
        <v>18.35577997371016</v>
      </c>
      <c r="S429" s="9">
        <v>18.404835306435746</v>
      </c>
      <c r="T429" s="9">
        <v>19.112621008962602</v>
      </c>
      <c r="U429" s="9">
        <v>20.35176903227914</v>
      </c>
      <c r="V429" s="9">
        <v>20.35176903227914</v>
      </c>
      <c r="W429" s="9">
        <v>20.35176903227914</v>
      </c>
      <c r="X429" s="9">
        <v>19.91589544268896</v>
      </c>
      <c r="Y429" s="9">
        <v>19.91589544268896</v>
      </c>
      <c r="Z429" s="9">
        <v>21.609947773831163</v>
      </c>
      <c r="AA429" s="9">
        <v>21.609947773831163</v>
      </c>
      <c r="AB429" s="9">
        <v>23.372671736151272</v>
      </c>
      <c r="AC429" s="9">
        <v>23.372671736151272</v>
      </c>
      <c r="AD429" s="9">
        <v>26.430826810726163</v>
      </c>
      <c r="AE429" s="9">
        <v>27.959768706413232</v>
      </c>
      <c r="AF429" s="9">
        <v>29.772701744670762</v>
      </c>
      <c r="AG429" s="9">
        <v>29.772701744670762</v>
      </c>
      <c r="AH429" s="9">
        <v>32.589351949315954</v>
      </c>
      <c r="AI429" s="9">
        <v>34.825222308406182</v>
      </c>
      <c r="AJ429" s="9">
        <v>3.0428788910505911</v>
      </c>
    </row>
    <row r="430" spans="1:36" x14ac:dyDescent="0.25">
      <c r="A430" t="s">
        <v>5411</v>
      </c>
      <c r="B430" t="s">
        <v>16</v>
      </c>
      <c r="C430" t="s">
        <v>17</v>
      </c>
      <c r="D430">
        <v>15718000</v>
      </c>
      <c r="E430">
        <v>15719999</v>
      </c>
      <c r="F430" t="s">
        <v>373</v>
      </c>
      <c r="G430" t="str">
        <f t="shared" si="12"/>
        <v>SPI II</v>
      </c>
      <c r="H430" t="s">
        <v>19</v>
      </c>
      <c r="I430" t="s">
        <v>20</v>
      </c>
      <c r="J430" t="s">
        <v>64</v>
      </c>
      <c r="K430" s="6">
        <v>0.03</v>
      </c>
      <c r="L430" s="7">
        <f t="shared" si="13"/>
        <v>2E-3</v>
      </c>
      <c r="M430" s="7">
        <v>3.0000000000000001E-3</v>
      </c>
      <c r="N430">
        <v>7</v>
      </c>
      <c r="O430" s="8">
        <v>17.934556092922943</v>
      </c>
      <c r="P430" s="9">
        <v>17.934556092922943</v>
      </c>
      <c r="Q430" s="9">
        <v>17.934556092922943</v>
      </c>
      <c r="R430" s="9">
        <v>18.35577997371016</v>
      </c>
      <c r="S430" s="9">
        <v>18.404835306435746</v>
      </c>
      <c r="T430" s="9">
        <v>19.112621008962602</v>
      </c>
      <c r="U430" s="9">
        <v>20.35176903227914</v>
      </c>
      <c r="V430" s="9">
        <v>20.35176903227914</v>
      </c>
      <c r="W430" s="9">
        <v>20.35176903227914</v>
      </c>
      <c r="X430" s="9">
        <v>19.91589544268896</v>
      </c>
      <c r="Y430" s="9">
        <v>19.91589544268896</v>
      </c>
      <c r="Z430" s="9">
        <v>21.609947773831163</v>
      </c>
      <c r="AA430" s="9">
        <v>21.609947773831163</v>
      </c>
      <c r="AB430" s="9">
        <v>23.372671736151272</v>
      </c>
      <c r="AC430" s="9">
        <v>23.372671736151272</v>
      </c>
      <c r="AD430" s="9">
        <v>26.430826810726163</v>
      </c>
      <c r="AE430" s="9">
        <v>27.959768706413232</v>
      </c>
      <c r="AF430" s="9">
        <v>29.772701744670762</v>
      </c>
      <c r="AG430" s="9">
        <v>29.772701744670762</v>
      </c>
      <c r="AH430" s="9">
        <v>32.589351949315954</v>
      </c>
      <c r="AI430" s="9">
        <v>34.825222308406182</v>
      </c>
      <c r="AJ430" s="9">
        <v>3.0428788910505911</v>
      </c>
    </row>
    <row r="431" spans="1:36" x14ac:dyDescent="0.25">
      <c r="A431" t="s">
        <v>5411</v>
      </c>
      <c r="B431" t="s">
        <v>16</v>
      </c>
      <c r="C431" t="s">
        <v>17</v>
      </c>
      <c r="D431">
        <v>15720000</v>
      </c>
      <c r="E431">
        <v>15729999</v>
      </c>
      <c r="F431" t="s">
        <v>374</v>
      </c>
      <c r="G431" t="str">
        <f t="shared" si="12"/>
        <v>SPI II</v>
      </c>
      <c r="H431" t="s">
        <v>19</v>
      </c>
      <c r="I431" t="s">
        <v>20</v>
      </c>
      <c r="J431" t="s">
        <v>64</v>
      </c>
      <c r="K431" s="6">
        <v>0.03</v>
      </c>
      <c r="L431" s="7">
        <f t="shared" si="13"/>
        <v>2E-3</v>
      </c>
      <c r="M431" s="7">
        <v>3.0000000000000001E-3</v>
      </c>
      <c r="N431">
        <v>7</v>
      </c>
      <c r="O431" s="8">
        <v>17.934556092922943</v>
      </c>
      <c r="P431" s="9">
        <v>17.934556092922943</v>
      </c>
      <c r="Q431" s="9">
        <v>17.934556092922943</v>
      </c>
      <c r="R431" s="9">
        <v>18.35577997371016</v>
      </c>
      <c r="S431" s="9">
        <v>18.404835306435746</v>
      </c>
      <c r="T431" s="9">
        <v>19.112621008962602</v>
      </c>
      <c r="U431" s="9">
        <v>20.35176903227914</v>
      </c>
      <c r="V431" s="9">
        <v>20.35176903227914</v>
      </c>
      <c r="W431" s="9">
        <v>20.35176903227914</v>
      </c>
      <c r="X431" s="9">
        <v>19.91589544268896</v>
      </c>
      <c r="Y431" s="9">
        <v>19.91589544268896</v>
      </c>
      <c r="Z431" s="9">
        <v>21.609947773831163</v>
      </c>
      <c r="AA431" s="9">
        <v>21.609947773831163</v>
      </c>
      <c r="AB431" s="9">
        <v>23.372671736151272</v>
      </c>
      <c r="AC431" s="9">
        <v>23.372671736151272</v>
      </c>
      <c r="AD431" s="9">
        <v>26.430826810726163</v>
      </c>
      <c r="AE431" s="9">
        <v>27.959768706413232</v>
      </c>
      <c r="AF431" s="9">
        <v>29.772701744670762</v>
      </c>
      <c r="AG431" s="9">
        <v>29.772701744670762</v>
      </c>
      <c r="AH431" s="9">
        <v>32.589351949315954</v>
      </c>
      <c r="AI431" s="9">
        <v>34.825222308406182</v>
      </c>
      <c r="AJ431" s="9">
        <v>3.0428788910505911</v>
      </c>
    </row>
    <row r="432" spans="1:36" x14ac:dyDescent="0.25">
      <c r="A432" t="s">
        <v>5411</v>
      </c>
      <c r="B432" t="s">
        <v>16</v>
      </c>
      <c r="C432" t="s">
        <v>17</v>
      </c>
      <c r="D432">
        <v>15730000</v>
      </c>
      <c r="E432">
        <v>15734999</v>
      </c>
      <c r="F432" t="s">
        <v>375</v>
      </c>
      <c r="G432" t="str">
        <f t="shared" si="12"/>
        <v>SPI II</v>
      </c>
      <c r="H432" t="s">
        <v>19</v>
      </c>
      <c r="I432" t="s">
        <v>20</v>
      </c>
      <c r="J432" t="s">
        <v>64</v>
      </c>
      <c r="K432" s="6">
        <v>0.03</v>
      </c>
      <c r="L432" s="7">
        <f t="shared" si="13"/>
        <v>2E-3</v>
      </c>
      <c r="M432" s="7">
        <v>3.0000000000000001E-3</v>
      </c>
      <c r="N432">
        <v>7</v>
      </c>
      <c r="O432" s="8">
        <v>17.934556092922943</v>
      </c>
      <c r="P432" s="9">
        <v>17.934556092922943</v>
      </c>
      <c r="Q432" s="9">
        <v>17.934556092922943</v>
      </c>
      <c r="R432" s="9">
        <v>18.35577997371016</v>
      </c>
      <c r="S432" s="9">
        <v>18.404835306435746</v>
      </c>
      <c r="T432" s="9">
        <v>19.112621008962602</v>
      </c>
      <c r="U432" s="9">
        <v>20.35176903227914</v>
      </c>
      <c r="V432" s="9">
        <v>20.35176903227914</v>
      </c>
      <c r="W432" s="9">
        <v>20.35176903227914</v>
      </c>
      <c r="X432" s="9">
        <v>19.91589544268896</v>
      </c>
      <c r="Y432" s="9">
        <v>19.91589544268896</v>
      </c>
      <c r="Z432" s="9">
        <v>21.609947773831163</v>
      </c>
      <c r="AA432" s="9">
        <v>21.609947773831163</v>
      </c>
      <c r="AB432" s="9">
        <v>23.372671736151272</v>
      </c>
      <c r="AC432" s="9">
        <v>23.372671736151272</v>
      </c>
      <c r="AD432" s="9">
        <v>26.430826810726163</v>
      </c>
      <c r="AE432" s="9">
        <v>27.959768706413232</v>
      </c>
      <c r="AF432" s="9">
        <v>29.772701744670762</v>
      </c>
      <c r="AG432" s="9">
        <v>29.772701744670762</v>
      </c>
      <c r="AH432" s="9">
        <v>32.589351949315954</v>
      </c>
      <c r="AI432" s="9">
        <v>34.825222308406182</v>
      </c>
      <c r="AJ432" s="9">
        <v>3.0428788910505911</v>
      </c>
    </row>
    <row r="433" spans="1:36" x14ac:dyDescent="0.25">
      <c r="A433" t="s">
        <v>5411</v>
      </c>
      <c r="B433" t="s">
        <v>16</v>
      </c>
      <c r="C433" t="s">
        <v>17</v>
      </c>
      <c r="D433">
        <v>15735000</v>
      </c>
      <c r="E433">
        <v>15739999</v>
      </c>
      <c r="F433" t="s">
        <v>376</v>
      </c>
      <c r="G433" t="str">
        <f t="shared" si="12"/>
        <v>SPI II</v>
      </c>
      <c r="H433" t="s">
        <v>19</v>
      </c>
      <c r="I433" t="s">
        <v>20</v>
      </c>
      <c r="J433" t="s">
        <v>64</v>
      </c>
      <c r="K433" s="6">
        <v>0.03</v>
      </c>
      <c r="L433" s="7">
        <f t="shared" si="13"/>
        <v>2E-3</v>
      </c>
      <c r="M433" s="7">
        <v>3.0000000000000001E-3</v>
      </c>
      <c r="N433">
        <v>7</v>
      </c>
      <c r="O433" s="8">
        <v>17.934556092922943</v>
      </c>
      <c r="P433" s="9">
        <v>17.934556092922943</v>
      </c>
      <c r="Q433" s="9">
        <v>17.934556092922943</v>
      </c>
      <c r="R433" s="9">
        <v>18.35577997371016</v>
      </c>
      <c r="S433" s="9">
        <v>18.404835306435746</v>
      </c>
      <c r="T433" s="9">
        <v>19.112621008962602</v>
      </c>
      <c r="U433" s="9">
        <v>20.35176903227914</v>
      </c>
      <c r="V433" s="9">
        <v>20.35176903227914</v>
      </c>
      <c r="W433" s="9">
        <v>20.35176903227914</v>
      </c>
      <c r="X433" s="9">
        <v>19.91589544268896</v>
      </c>
      <c r="Y433" s="9">
        <v>19.91589544268896</v>
      </c>
      <c r="Z433" s="9">
        <v>21.609947773831163</v>
      </c>
      <c r="AA433" s="9">
        <v>21.609947773831163</v>
      </c>
      <c r="AB433" s="9">
        <v>23.372671736151272</v>
      </c>
      <c r="AC433" s="9">
        <v>23.372671736151272</v>
      </c>
      <c r="AD433" s="9">
        <v>26.430826810726163</v>
      </c>
      <c r="AE433" s="9">
        <v>27.959768706413232</v>
      </c>
      <c r="AF433" s="9">
        <v>29.772701744670762</v>
      </c>
      <c r="AG433" s="9">
        <v>29.772701744670762</v>
      </c>
      <c r="AH433" s="9">
        <v>32.589351949315954</v>
      </c>
      <c r="AI433" s="9">
        <v>34.825222308406182</v>
      </c>
      <c r="AJ433" s="9">
        <v>3.0428788910505911</v>
      </c>
    </row>
    <row r="434" spans="1:36" x14ac:dyDescent="0.25">
      <c r="A434" t="s">
        <v>5411</v>
      </c>
      <c r="B434" t="s">
        <v>16</v>
      </c>
      <c r="C434" t="s">
        <v>17</v>
      </c>
      <c r="D434">
        <v>15740000</v>
      </c>
      <c r="E434">
        <v>15744999</v>
      </c>
      <c r="F434" t="s">
        <v>377</v>
      </c>
      <c r="G434" t="str">
        <f t="shared" si="12"/>
        <v>SPI II</v>
      </c>
      <c r="H434" t="s">
        <v>19</v>
      </c>
      <c r="I434" t="s">
        <v>20</v>
      </c>
      <c r="J434" t="s">
        <v>64</v>
      </c>
      <c r="K434" s="6">
        <v>0.03</v>
      </c>
      <c r="L434" s="7">
        <f t="shared" si="13"/>
        <v>2E-3</v>
      </c>
      <c r="M434" s="7">
        <v>3.0000000000000001E-3</v>
      </c>
      <c r="N434">
        <v>7</v>
      </c>
      <c r="O434" s="8">
        <v>17.934556092922943</v>
      </c>
      <c r="P434" s="9">
        <v>17.934556092922943</v>
      </c>
      <c r="Q434" s="9">
        <v>17.934556092922943</v>
      </c>
      <c r="R434" s="9">
        <v>18.35577997371016</v>
      </c>
      <c r="S434" s="9">
        <v>18.404835306435746</v>
      </c>
      <c r="T434" s="9">
        <v>19.112621008962602</v>
      </c>
      <c r="U434" s="9">
        <v>20.35176903227914</v>
      </c>
      <c r="V434" s="9">
        <v>20.35176903227914</v>
      </c>
      <c r="W434" s="9">
        <v>20.35176903227914</v>
      </c>
      <c r="X434" s="9">
        <v>19.91589544268896</v>
      </c>
      <c r="Y434" s="9">
        <v>19.91589544268896</v>
      </c>
      <c r="Z434" s="9">
        <v>21.609947773831163</v>
      </c>
      <c r="AA434" s="9">
        <v>21.609947773831163</v>
      </c>
      <c r="AB434" s="9">
        <v>23.372671736151272</v>
      </c>
      <c r="AC434" s="9">
        <v>23.372671736151272</v>
      </c>
      <c r="AD434" s="9">
        <v>26.430826810726163</v>
      </c>
      <c r="AE434" s="9">
        <v>27.959768706413232</v>
      </c>
      <c r="AF434" s="9">
        <v>29.772701744670762</v>
      </c>
      <c r="AG434" s="9">
        <v>29.772701744670762</v>
      </c>
      <c r="AH434" s="9">
        <v>32.589351949315954</v>
      </c>
      <c r="AI434" s="9">
        <v>34.825222308406182</v>
      </c>
      <c r="AJ434" s="9">
        <v>3.0428788910505911</v>
      </c>
    </row>
    <row r="435" spans="1:36" x14ac:dyDescent="0.25">
      <c r="A435" t="s">
        <v>5411</v>
      </c>
      <c r="B435" t="s">
        <v>16</v>
      </c>
      <c r="C435" t="s">
        <v>17</v>
      </c>
      <c r="D435">
        <v>15745000</v>
      </c>
      <c r="E435">
        <v>15747999</v>
      </c>
      <c r="F435" t="s">
        <v>378</v>
      </c>
      <c r="G435" t="str">
        <f t="shared" si="12"/>
        <v>SPI II</v>
      </c>
      <c r="H435" t="s">
        <v>19</v>
      </c>
      <c r="I435" t="s">
        <v>20</v>
      </c>
      <c r="J435" t="s">
        <v>64</v>
      </c>
      <c r="K435" s="6">
        <v>0.03</v>
      </c>
      <c r="L435" s="7">
        <f t="shared" si="13"/>
        <v>2E-3</v>
      </c>
      <c r="M435" s="7">
        <v>3.0000000000000001E-3</v>
      </c>
      <c r="N435">
        <v>7</v>
      </c>
      <c r="O435" s="8">
        <v>17.934556092922943</v>
      </c>
      <c r="P435" s="9">
        <v>17.934556092922943</v>
      </c>
      <c r="Q435" s="9">
        <v>17.934556092922943</v>
      </c>
      <c r="R435" s="9">
        <v>18.35577997371016</v>
      </c>
      <c r="S435" s="9">
        <v>18.404835306435746</v>
      </c>
      <c r="T435" s="9">
        <v>19.112621008962602</v>
      </c>
      <c r="U435" s="9">
        <v>20.35176903227914</v>
      </c>
      <c r="V435" s="9">
        <v>20.35176903227914</v>
      </c>
      <c r="W435" s="9">
        <v>20.35176903227914</v>
      </c>
      <c r="X435" s="9">
        <v>19.91589544268896</v>
      </c>
      <c r="Y435" s="9">
        <v>19.91589544268896</v>
      </c>
      <c r="Z435" s="9">
        <v>21.609947773831163</v>
      </c>
      <c r="AA435" s="9">
        <v>21.609947773831163</v>
      </c>
      <c r="AB435" s="9">
        <v>23.372671736151272</v>
      </c>
      <c r="AC435" s="9">
        <v>23.372671736151272</v>
      </c>
      <c r="AD435" s="9">
        <v>26.430826810726163</v>
      </c>
      <c r="AE435" s="9">
        <v>27.959768706413232</v>
      </c>
      <c r="AF435" s="9">
        <v>29.772701744670762</v>
      </c>
      <c r="AG435" s="9">
        <v>29.772701744670762</v>
      </c>
      <c r="AH435" s="9">
        <v>32.589351949315954</v>
      </c>
      <c r="AI435" s="9">
        <v>34.825222308406182</v>
      </c>
      <c r="AJ435" s="9">
        <v>3.0428788910505911</v>
      </c>
    </row>
    <row r="436" spans="1:36" x14ac:dyDescent="0.25">
      <c r="A436" t="s">
        <v>5411</v>
      </c>
      <c r="B436" t="s">
        <v>16</v>
      </c>
      <c r="C436" t="s">
        <v>17</v>
      </c>
      <c r="D436">
        <v>15748000</v>
      </c>
      <c r="E436">
        <v>15749999</v>
      </c>
      <c r="F436" t="s">
        <v>379</v>
      </c>
      <c r="G436" t="str">
        <f t="shared" si="12"/>
        <v>SPI II</v>
      </c>
      <c r="H436" t="s">
        <v>19</v>
      </c>
      <c r="I436" t="s">
        <v>20</v>
      </c>
      <c r="J436" t="s">
        <v>64</v>
      </c>
      <c r="K436" s="6">
        <v>0.03</v>
      </c>
      <c r="L436" s="7">
        <f t="shared" si="13"/>
        <v>2E-3</v>
      </c>
      <c r="M436" s="7">
        <v>3.0000000000000001E-3</v>
      </c>
      <c r="N436">
        <v>7</v>
      </c>
      <c r="O436" s="8">
        <v>17.934556092922943</v>
      </c>
      <c r="P436" s="9">
        <v>17.934556092922943</v>
      </c>
      <c r="Q436" s="9">
        <v>17.934556092922943</v>
      </c>
      <c r="R436" s="9">
        <v>18.35577997371016</v>
      </c>
      <c r="S436" s="9">
        <v>18.404835306435746</v>
      </c>
      <c r="T436" s="9">
        <v>19.112621008962602</v>
      </c>
      <c r="U436" s="9">
        <v>20.35176903227914</v>
      </c>
      <c r="V436" s="9">
        <v>20.35176903227914</v>
      </c>
      <c r="W436" s="9">
        <v>20.35176903227914</v>
      </c>
      <c r="X436" s="9">
        <v>19.91589544268896</v>
      </c>
      <c r="Y436" s="9">
        <v>19.91589544268896</v>
      </c>
      <c r="Z436" s="9">
        <v>21.609947773831163</v>
      </c>
      <c r="AA436" s="9">
        <v>21.609947773831163</v>
      </c>
      <c r="AB436" s="9">
        <v>23.372671736151272</v>
      </c>
      <c r="AC436" s="9">
        <v>23.372671736151272</v>
      </c>
      <c r="AD436" s="9">
        <v>26.430826810726163</v>
      </c>
      <c r="AE436" s="9">
        <v>27.959768706413232</v>
      </c>
      <c r="AF436" s="9">
        <v>29.772701744670762</v>
      </c>
      <c r="AG436" s="9">
        <v>29.772701744670762</v>
      </c>
      <c r="AH436" s="9">
        <v>32.589351949315954</v>
      </c>
      <c r="AI436" s="9">
        <v>34.825222308406182</v>
      </c>
      <c r="AJ436" s="9">
        <v>3.0428788910505911</v>
      </c>
    </row>
    <row r="437" spans="1:36" x14ac:dyDescent="0.25">
      <c r="A437" t="s">
        <v>5411</v>
      </c>
      <c r="B437" t="s">
        <v>16</v>
      </c>
      <c r="C437" t="s">
        <v>17</v>
      </c>
      <c r="D437">
        <v>15750000</v>
      </c>
      <c r="E437">
        <v>15754999</v>
      </c>
      <c r="F437" t="s">
        <v>380</v>
      </c>
      <c r="G437" t="str">
        <f t="shared" si="12"/>
        <v>SPI II</v>
      </c>
      <c r="H437" t="s">
        <v>19</v>
      </c>
      <c r="I437" t="s">
        <v>20</v>
      </c>
      <c r="J437" t="s">
        <v>64</v>
      </c>
      <c r="K437" s="6">
        <v>0.03</v>
      </c>
      <c r="L437" s="7">
        <f t="shared" si="13"/>
        <v>2E-3</v>
      </c>
      <c r="M437" s="7">
        <v>3.0000000000000001E-3</v>
      </c>
      <c r="N437">
        <v>7</v>
      </c>
      <c r="O437" s="8">
        <v>17.934556092922943</v>
      </c>
      <c r="P437" s="9">
        <v>17.934556092922943</v>
      </c>
      <c r="Q437" s="9">
        <v>17.934556092922943</v>
      </c>
      <c r="R437" s="9">
        <v>18.35577997371016</v>
      </c>
      <c r="S437" s="9">
        <v>18.404835306435746</v>
      </c>
      <c r="T437" s="9">
        <v>19.112621008962602</v>
      </c>
      <c r="U437" s="9">
        <v>20.35176903227914</v>
      </c>
      <c r="V437" s="9">
        <v>20.35176903227914</v>
      </c>
      <c r="W437" s="9">
        <v>20.35176903227914</v>
      </c>
      <c r="X437" s="9">
        <v>19.91589544268896</v>
      </c>
      <c r="Y437" s="9">
        <v>19.91589544268896</v>
      </c>
      <c r="Z437" s="9">
        <v>21.609947773831163</v>
      </c>
      <c r="AA437" s="9">
        <v>21.609947773831163</v>
      </c>
      <c r="AB437" s="9">
        <v>23.372671736151272</v>
      </c>
      <c r="AC437" s="9">
        <v>23.372671736151272</v>
      </c>
      <c r="AD437" s="9">
        <v>26.430826810726163</v>
      </c>
      <c r="AE437" s="9">
        <v>27.959768706413232</v>
      </c>
      <c r="AF437" s="9">
        <v>29.772701744670762</v>
      </c>
      <c r="AG437" s="9">
        <v>29.772701744670762</v>
      </c>
      <c r="AH437" s="9">
        <v>32.589351949315954</v>
      </c>
      <c r="AI437" s="9">
        <v>34.825222308406182</v>
      </c>
      <c r="AJ437" s="9">
        <v>3.0428788910505911</v>
      </c>
    </row>
    <row r="438" spans="1:36" x14ac:dyDescent="0.25">
      <c r="A438" t="s">
        <v>5411</v>
      </c>
      <c r="B438" t="s">
        <v>16</v>
      </c>
      <c r="C438" t="s">
        <v>17</v>
      </c>
      <c r="D438">
        <v>15755000</v>
      </c>
      <c r="E438">
        <v>15759999</v>
      </c>
      <c r="F438" t="s">
        <v>381</v>
      </c>
      <c r="G438" t="str">
        <f t="shared" si="12"/>
        <v>SPI II</v>
      </c>
      <c r="H438" t="s">
        <v>19</v>
      </c>
      <c r="I438" t="s">
        <v>20</v>
      </c>
      <c r="J438" t="s">
        <v>64</v>
      </c>
      <c r="K438" s="6">
        <v>0.03</v>
      </c>
      <c r="L438" s="7">
        <f t="shared" si="13"/>
        <v>2E-3</v>
      </c>
      <c r="M438" s="7">
        <v>3.0000000000000001E-3</v>
      </c>
      <c r="N438">
        <v>7</v>
      </c>
      <c r="O438" s="8">
        <v>17.934556092922943</v>
      </c>
      <c r="P438" s="9">
        <v>17.934556092922943</v>
      </c>
      <c r="Q438" s="9">
        <v>17.934556092922943</v>
      </c>
      <c r="R438" s="9">
        <v>18.35577997371016</v>
      </c>
      <c r="S438" s="9">
        <v>18.404835306435746</v>
      </c>
      <c r="T438" s="9">
        <v>19.112621008962602</v>
      </c>
      <c r="U438" s="9">
        <v>20.35176903227914</v>
      </c>
      <c r="V438" s="9">
        <v>20.35176903227914</v>
      </c>
      <c r="W438" s="9">
        <v>20.35176903227914</v>
      </c>
      <c r="X438" s="9">
        <v>19.91589544268896</v>
      </c>
      <c r="Y438" s="9">
        <v>19.91589544268896</v>
      </c>
      <c r="Z438" s="9">
        <v>21.609947773831163</v>
      </c>
      <c r="AA438" s="9">
        <v>21.609947773831163</v>
      </c>
      <c r="AB438" s="9">
        <v>23.372671736151272</v>
      </c>
      <c r="AC438" s="9">
        <v>23.372671736151272</v>
      </c>
      <c r="AD438" s="9">
        <v>26.430826810726163</v>
      </c>
      <c r="AE438" s="9">
        <v>27.959768706413232</v>
      </c>
      <c r="AF438" s="9">
        <v>29.772701744670762</v>
      </c>
      <c r="AG438" s="9">
        <v>29.772701744670762</v>
      </c>
      <c r="AH438" s="9">
        <v>32.589351949315954</v>
      </c>
      <c r="AI438" s="9">
        <v>34.825222308406182</v>
      </c>
      <c r="AJ438" s="9">
        <v>3.0428788910505911</v>
      </c>
    </row>
    <row r="439" spans="1:36" x14ac:dyDescent="0.25">
      <c r="A439" t="s">
        <v>5411</v>
      </c>
      <c r="B439" t="s">
        <v>16</v>
      </c>
      <c r="C439" t="s">
        <v>17</v>
      </c>
      <c r="D439">
        <v>15760000</v>
      </c>
      <c r="E439">
        <v>15762999</v>
      </c>
      <c r="F439" t="s">
        <v>382</v>
      </c>
      <c r="G439" t="str">
        <f t="shared" si="12"/>
        <v>SPI II</v>
      </c>
      <c r="H439" t="s">
        <v>19</v>
      </c>
      <c r="I439" t="s">
        <v>20</v>
      </c>
      <c r="J439" t="s">
        <v>64</v>
      </c>
      <c r="K439" s="6">
        <v>0.03</v>
      </c>
      <c r="L439" s="7">
        <f t="shared" si="13"/>
        <v>2E-3</v>
      </c>
      <c r="M439" s="7">
        <v>3.0000000000000001E-3</v>
      </c>
      <c r="N439">
        <v>7</v>
      </c>
      <c r="O439" s="8">
        <v>17.934556092922943</v>
      </c>
      <c r="P439" s="9">
        <v>17.934556092922943</v>
      </c>
      <c r="Q439" s="9">
        <v>17.934556092922943</v>
      </c>
      <c r="R439" s="9">
        <v>18.35577997371016</v>
      </c>
      <c r="S439" s="9">
        <v>18.404835306435746</v>
      </c>
      <c r="T439" s="9">
        <v>19.112621008962602</v>
      </c>
      <c r="U439" s="9">
        <v>20.35176903227914</v>
      </c>
      <c r="V439" s="9">
        <v>20.35176903227914</v>
      </c>
      <c r="W439" s="9">
        <v>20.35176903227914</v>
      </c>
      <c r="X439" s="9">
        <v>19.91589544268896</v>
      </c>
      <c r="Y439" s="9">
        <v>19.91589544268896</v>
      </c>
      <c r="Z439" s="9">
        <v>21.609947773831163</v>
      </c>
      <c r="AA439" s="9">
        <v>21.609947773831163</v>
      </c>
      <c r="AB439" s="9">
        <v>23.372671736151272</v>
      </c>
      <c r="AC439" s="9">
        <v>23.372671736151272</v>
      </c>
      <c r="AD439" s="9">
        <v>26.430826810726163</v>
      </c>
      <c r="AE439" s="9">
        <v>27.959768706413232</v>
      </c>
      <c r="AF439" s="9">
        <v>29.772701744670762</v>
      </c>
      <c r="AG439" s="9">
        <v>29.772701744670762</v>
      </c>
      <c r="AH439" s="9">
        <v>32.589351949315954</v>
      </c>
      <c r="AI439" s="9">
        <v>34.825222308406182</v>
      </c>
      <c r="AJ439" s="9">
        <v>3.0428788910505911</v>
      </c>
    </row>
    <row r="440" spans="1:36" x14ac:dyDescent="0.25">
      <c r="A440" t="s">
        <v>5411</v>
      </c>
      <c r="B440" t="s">
        <v>16</v>
      </c>
      <c r="C440" t="s">
        <v>17</v>
      </c>
      <c r="D440">
        <v>15763000</v>
      </c>
      <c r="E440">
        <v>15764999</v>
      </c>
      <c r="F440" t="s">
        <v>383</v>
      </c>
      <c r="G440" t="str">
        <f t="shared" si="12"/>
        <v>SPI II</v>
      </c>
      <c r="H440" t="s">
        <v>19</v>
      </c>
      <c r="I440" t="s">
        <v>20</v>
      </c>
      <c r="J440" t="s">
        <v>64</v>
      </c>
      <c r="K440" s="6">
        <v>0.03</v>
      </c>
      <c r="L440" s="7">
        <f t="shared" si="13"/>
        <v>2E-3</v>
      </c>
      <c r="M440" s="7">
        <v>3.0000000000000001E-3</v>
      </c>
      <c r="N440">
        <v>7</v>
      </c>
      <c r="O440" s="8">
        <v>17.934556092922943</v>
      </c>
      <c r="P440" s="9">
        <v>17.934556092922943</v>
      </c>
      <c r="Q440" s="9">
        <v>17.934556092922943</v>
      </c>
      <c r="R440" s="9">
        <v>18.35577997371016</v>
      </c>
      <c r="S440" s="9">
        <v>18.404835306435746</v>
      </c>
      <c r="T440" s="9">
        <v>19.112621008962602</v>
      </c>
      <c r="U440" s="9">
        <v>20.35176903227914</v>
      </c>
      <c r="V440" s="9">
        <v>20.35176903227914</v>
      </c>
      <c r="W440" s="9">
        <v>20.35176903227914</v>
      </c>
      <c r="X440" s="9">
        <v>19.91589544268896</v>
      </c>
      <c r="Y440" s="9">
        <v>19.91589544268896</v>
      </c>
      <c r="Z440" s="9">
        <v>21.609947773831163</v>
      </c>
      <c r="AA440" s="9">
        <v>21.609947773831163</v>
      </c>
      <c r="AB440" s="9">
        <v>23.372671736151272</v>
      </c>
      <c r="AC440" s="9">
        <v>23.372671736151272</v>
      </c>
      <c r="AD440" s="9">
        <v>26.430826810726163</v>
      </c>
      <c r="AE440" s="9">
        <v>27.959768706413232</v>
      </c>
      <c r="AF440" s="9">
        <v>29.772701744670762</v>
      </c>
      <c r="AG440" s="9">
        <v>29.772701744670762</v>
      </c>
      <c r="AH440" s="9">
        <v>32.589351949315954</v>
      </c>
      <c r="AI440" s="9">
        <v>34.825222308406182</v>
      </c>
      <c r="AJ440" s="9">
        <v>3.0428788910505911</v>
      </c>
    </row>
    <row r="441" spans="1:36" x14ac:dyDescent="0.25">
      <c r="A441" t="s">
        <v>5411</v>
      </c>
      <c r="B441" t="s">
        <v>16</v>
      </c>
      <c r="C441" t="s">
        <v>17</v>
      </c>
      <c r="D441">
        <v>15765000</v>
      </c>
      <c r="E441">
        <v>15767999</v>
      </c>
      <c r="F441" t="s">
        <v>384</v>
      </c>
      <c r="G441" t="str">
        <f t="shared" si="12"/>
        <v>SPI II</v>
      </c>
      <c r="H441" t="s">
        <v>19</v>
      </c>
      <c r="I441" t="s">
        <v>20</v>
      </c>
      <c r="J441" t="s">
        <v>64</v>
      </c>
      <c r="K441" s="6">
        <v>0.03</v>
      </c>
      <c r="L441" s="7">
        <f t="shared" si="13"/>
        <v>2E-3</v>
      </c>
      <c r="M441" s="7">
        <v>3.0000000000000001E-3</v>
      </c>
      <c r="N441">
        <v>7</v>
      </c>
      <c r="O441" s="8">
        <v>17.934556092922943</v>
      </c>
      <c r="P441" s="9">
        <v>17.934556092922943</v>
      </c>
      <c r="Q441" s="9">
        <v>17.934556092922943</v>
      </c>
      <c r="R441" s="9">
        <v>18.35577997371016</v>
      </c>
      <c r="S441" s="9">
        <v>18.404835306435746</v>
      </c>
      <c r="T441" s="9">
        <v>19.112621008962602</v>
      </c>
      <c r="U441" s="9">
        <v>20.35176903227914</v>
      </c>
      <c r="V441" s="9">
        <v>20.35176903227914</v>
      </c>
      <c r="W441" s="9">
        <v>20.35176903227914</v>
      </c>
      <c r="X441" s="9">
        <v>19.91589544268896</v>
      </c>
      <c r="Y441" s="9">
        <v>19.91589544268896</v>
      </c>
      <c r="Z441" s="9">
        <v>21.609947773831163</v>
      </c>
      <c r="AA441" s="9">
        <v>21.609947773831163</v>
      </c>
      <c r="AB441" s="9">
        <v>23.372671736151272</v>
      </c>
      <c r="AC441" s="9">
        <v>23.372671736151272</v>
      </c>
      <c r="AD441" s="9">
        <v>26.430826810726163</v>
      </c>
      <c r="AE441" s="9">
        <v>27.959768706413232</v>
      </c>
      <c r="AF441" s="9">
        <v>29.772701744670762</v>
      </c>
      <c r="AG441" s="9">
        <v>29.772701744670762</v>
      </c>
      <c r="AH441" s="9">
        <v>32.589351949315954</v>
      </c>
      <c r="AI441" s="9">
        <v>34.825222308406182</v>
      </c>
      <c r="AJ441" s="9">
        <v>3.0428788910505911</v>
      </c>
    </row>
    <row r="442" spans="1:36" x14ac:dyDescent="0.25">
      <c r="A442" t="s">
        <v>5411</v>
      </c>
      <c r="B442" t="s">
        <v>16</v>
      </c>
      <c r="C442" t="s">
        <v>17</v>
      </c>
      <c r="D442">
        <v>15768000</v>
      </c>
      <c r="E442">
        <v>15769999</v>
      </c>
      <c r="F442" t="s">
        <v>385</v>
      </c>
      <c r="G442" t="str">
        <f t="shared" si="12"/>
        <v>SPI II</v>
      </c>
      <c r="H442" t="s">
        <v>19</v>
      </c>
      <c r="I442" t="s">
        <v>20</v>
      </c>
      <c r="J442" t="s">
        <v>64</v>
      </c>
      <c r="K442" s="6">
        <v>0.03</v>
      </c>
      <c r="L442" s="7">
        <f t="shared" si="13"/>
        <v>2E-3</v>
      </c>
      <c r="M442" s="7">
        <v>3.0000000000000001E-3</v>
      </c>
      <c r="N442">
        <v>7</v>
      </c>
      <c r="O442" s="8">
        <v>17.934556092922943</v>
      </c>
      <c r="P442" s="9">
        <v>17.934556092922943</v>
      </c>
      <c r="Q442" s="9">
        <v>17.934556092922943</v>
      </c>
      <c r="R442" s="9">
        <v>18.35577997371016</v>
      </c>
      <c r="S442" s="9">
        <v>18.404835306435746</v>
      </c>
      <c r="T442" s="9">
        <v>19.112621008962602</v>
      </c>
      <c r="U442" s="9">
        <v>20.35176903227914</v>
      </c>
      <c r="V442" s="9">
        <v>20.35176903227914</v>
      </c>
      <c r="W442" s="9">
        <v>20.35176903227914</v>
      </c>
      <c r="X442" s="9">
        <v>19.91589544268896</v>
      </c>
      <c r="Y442" s="9">
        <v>19.91589544268896</v>
      </c>
      <c r="Z442" s="9">
        <v>21.609947773831163</v>
      </c>
      <c r="AA442" s="9">
        <v>21.609947773831163</v>
      </c>
      <c r="AB442" s="9">
        <v>23.372671736151272</v>
      </c>
      <c r="AC442" s="9">
        <v>23.372671736151272</v>
      </c>
      <c r="AD442" s="9">
        <v>26.430826810726163</v>
      </c>
      <c r="AE442" s="9">
        <v>27.959768706413232</v>
      </c>
      <c r="AF442" s="9">
        <v>29.772701744670762</v>
      </c>
      <c r="AG442" s="9">
        <v>29.772701744670762</v>
      </c>
      <c r="AH442" s="9">
        <v>32.589351949315954</v>
      </c>
      <c r="AI442" s="9">
        <v>34.825222308406182</v>
      </c>
      <c r="AJ442" s="9">
        <v>3.0428788910505911</v>
      </c>
    </row>
    <row r="443" spans="1:36" x14ac:dyDescent="0.25">
      <c r="A443" t="s">
        <v>5411</v>
      </c>
      <c r="B443" t="s">
        <v>16</v>
      </c>
      <c r="C443" t="s">
        <v>17</v>
      </c>
      <c r="D443">
        <v>15770000</v>
      </c>
      <c r="E443">
        <v>15772999</v>
      </c>
      <c r="F443" t="s">
        <v>386</v>
      </c>
      <c r="G443" t="str">
        <f t="shared" si="12"/>
        <v>SPI II</v>
      </c>
      <c r="H443" t="s">
        <v>19</v>
      </c>
      <c r="I443" t="s">
        <v>20</v>
      </c>
      <c r="J443" t="s">
        <v>64</v>
      </c>
      <c r="K443" s="6">
        <v>0.03</v>
      </c>
      <c r="L443" s="7">
        <f t="shared" si="13"/>
        <v>2E-3</v>
      </c>
      <c r="M443" s="7">
        <v>3.0000000000000001E-3</v>
      </c>
      <c r="N443">
        <v>7</v>
      </c>
      <c r="O443" s="8">
        <v>17.934556092922943</v>
      </c>
      <c r="P443" s="9">
        <v>17.934556092922943</v>
      </c>
      <c r="Q443" s="9">
        <v>17.934556092922943</v>
      </c>
      <c r="R443" s="9">
        <v>18.35577997371016</v>
      </c>
      <c r="S443" s="9">
        <v>18.404835306435746</v>
      </c>
      <c r="T443" s="9">
        <v>19.112621008962602</v>
      </c>
      <c r="U443" s="9">
        <v>20.35176903227914</v>
      </c>
      <c r="V443" s="9">
        <v>20.35176903227914</v>
      </c>
      <c r="W443" s="9">
        <v>20.35176903227914</v>
      </c>
      <c r="X443" s="9">
        <v>19.91589544268896</v>
      </c>
      <c r="Y443" s="9">
        <v>19.91589544268896</v>
      </c>
      <c r="Z443" s="9">
        <v>21.609947773831163</v>
      </c>
      <c r="AA443" s="9">
        <v>21.609947773831163</v>
      </c>
      <c r="AB443" s="9">
        <v>23.372671736151272</v>
      </c>
      <c r="AC443" s="9">
        <v>23.372671736151272</v>
      </c>
      <c r="AD443" s="9">
        <v>26.430826810726163</v>
      </c>
      <c r="AE443" s="9">
        <v>27.959768706413232</v>
      </c>
      <c r="AF443" s="9">
        <v>29.772701744670762</v>
      </c>
      <c r="AG443" s="9">
        <v>29.772701744670762</v>
      </c>
      <c r="AH443" s="9">
        <v>32.589351949315954</v>
      </c>
      <c r="AI443" s="9">
        <v>34.825222308406182</v>
      </c>
      <c r="AJ443" s="9">
        <v>3.0428788910505911</v>
      </c>
    </row>
    <row r="444" spans="1:36" x14ac:dyDescent="0.25">
      <c r="A444" t="s">
        <v>5411</v>
      </c>
      <c r="B444" t="s">
        <v>16</v>
      </c>
      <c r="C444" t="s">
        <v>17</v>
      </c>
      <c r="D444">
        <v>15773000</v>
      </c>
      <c r="E444">
        <v>15774999</v>
      </c>
      <c r="F444" t="s">
        <v>387</v>
      </c>
      <c r="G444" t="str">
        <f t="shared" si="12"/>
        <v>SPI II</v>
      </c>
      <c r="H444" t="s">
        <v>19</v>
      </c>
      <c r="I444" t="s">
        <v>20</v>
      </c>
      <c r="J444" t="s">
        <v>64</v>
      </c>
      <c r="K444" s="6">
        <v>0.03</v>
      </c>
      <c r="L444" s="7">
        <f t="shared" si="13"/>
        <v>2E-3</v>
      </c>
      <c r="M444" s="7">
        <v>3.0000000000000001E-3</v>
      </c>
      <c r="N444">
        <v>7</v>
      </c>
      <c r="O444" s="8">
        <v>17.934556092922943</v>
      </c>
      <c r="P444" s="9">
        <v>17.934556092922943</v>
      </c>
      <c r="Q444" s="9">
        <v>17.934556092922943</v>
      </c>
      <c r="R444" s="9">
        <v>18.35577997371016</v>
      </c>
      <c r="S444" s="9">
        <v>18.404835306435746</v>
      </c>
      <c r="T444" s="9">
        <v>19.112621008962602</v>
      </c>
      <c r="U444" s="9">
        <v>20.35176903227914</v>
      </c>
      <c r="V444" s="9">
        <v>20.35176903227914</v>
      </c>
      <c r="W444" s="9">
        <v>20.35176903227914</v>
      </c>
      <c r="X444" s="9">
        <v>19.91589544268896</v>
      </c>
      <c r="Y444" s="9">
        <v>19.91589544268896</v>
      </c>
      <c r="Z444" s="9">
        <v>21.609947773831163</v>
      </c>
      <c r="AA444" s="9">
        <v>21.609947773831163</v>
      </c>
      <c r="AB444" s="9">
        <v>23.372671736151272</v>
      </c>
      <c r="AC444" s="9">
        <v>23.372671736151272</v>
      </c>
      <c r="AD444" s="9">
        <v>26.430826810726163</v>
      </c>
      <c r="AE444" s="9">
        <v>27.959768706413232</v>
      </c>
      <c r="AF444" s="9">
        <v>29.772701744670762</v>
      </c>
      <c r="AG444" s="9">
        <v>29.772701744670762</v>
      </c>
      <c r="AH444" s="9">
        <v>32.589351949315954</v>
      </c>
      <c r="AI444" s="9">
        <v>34.825222308406182</v>
      </c>
      <c r="AJ444" s="9">
        <v>3.0428788910505911</v>
      </c>
    </row>
    <row r="445" spans="1:36" x14ac:dyDescent="0.25">
      <c r="A445" t="s">
        <v>5411</v>
      </c>
      <c r="B445" t="s">
        <v>16</v>
      </c>
      <c r="C445" t="s">
        <v>17</v>
      </c>
      <c r="D445">
        <v>15775000</v>
      </c>
      <c r="E445">
        <v>15779999</v>
      </c>
      <c r="F445" t="s">
        <v>388</v>
      </c>
      <c r="G445" t="str">
        <f t="shared" si="12"/>
        <v>SPI II</v>
      </c>
      <c r="H445" t="s">
        <v>19</v>
      </c>
      <c r="I445" t="s">
        <v>20</v>
      </c>
      <c r="J445" t="s">
        <v>64</v>
      </c>
      <c r="K445" s="6">
        <v>0.03</v>
      </c>
      <c r="L445" s="7">
        <f t="shared" si="13"/>
        <v>2E-3</v>
      </c>
      <c r="M445" s="7">
        <v>3.0000000000000001E-3</v>
      </c>
      <c r="N445">
        <v>7</v>
      </c>
      <c r="O445" s="8">
        <v>17.934556092922943</v>
      </c>
      <c r="P445" s="9">
        <v>17.934556092922943</v>
      </c>
      <c r="Q445" s="9">
        <v>17.934556092922943</v>
      </c>
      <c r="R445" s="9">
        <v>18.35577997371016</v>
      </c>
      <c r="S445" s="9">
        <v>18.404835306435746</v>
      </c>
      <c r="T445" s="9">
        <v>19.112621008962602</v>
      </c>
      <c r="U445" s="9">
        <v>20.35176903227914</v>
      </c>
      <c r="V445" s="9">
        <v>20.35176903227914</v>
      </c>
      <c r="W445" s="9">
        <v>20.35176903227914</v>
      </c>
      <c r="X445" s="9">
        <v>19.91589544268896</v>
      </c>
      <c r="Y445" s="9">
        <v>19.91589544268896</v>
      </c>
      <c r="Z445" s="9">
        <v>21.609947773831163</v>
      </c>
      <c r="AA445" s="9">
        <v>21.609947773831163</v>
      </c>
      <c r="AB445" s="9">
        <v>23.372671736151272</v>
      </c>
      <c r="AC445" s="9">
        <v>23.372671736151272</v>
      </c>
      <c r="AD445" s="9">
        <v>26.430826810726163</v>
      </c>
      <c r="AE445" s="9">
        <v>27.959768706413232</v>
      </c>
      <c r="AF445" s="9">
        <v>29.772701744670762</v>
      </c>
      <c r="AG445" s="9">
        <v>29.772701744670762</v>
      </c>
      <c r="AH445" s="9">
        <v>32.589351949315954</v>
      </c>
      <c r="AI445" s="9">
        <v>34.825222308406182</v>
      </c>
      <c r="AJ445" s="9">
        <v>3.0428788910505911</v>
      </c>
    </row>
    <row r="446" spans="1:36" x14ac:dyDescent="0.25">
      <c r="A446" t="s">
        <v>5411</v>
      </c>
      <c r="B446" t="s">
        <v>16</v>
      </c>
      <c r="C446" t="s">
        <v>17</v>
      </c>
      <c r="D446">
        <v>15780000</v>
      </c>
      <c r="E446">
        <v>15784999</v>
      </c>
      <c r="F446" t="s">
        <v>389</v>
      </c>
      <c r="G446" t="str">
        <f t="shared" si="12"/>
        <v>SPI II</v>
      </c>
      <c r="H446" t="s">
        <v>19</v>
      </c>
      <c r="I446" t="s">
        <v>20</v>
      </c>
      <c r="J446" t="s">
        <v>64</v>
      </c>
      <c r="K446" s="6">
        <v>0.03</v>
      </c>
      <c r="L446" s="7">
        <f t="shared" si="13"/>
        <v>2E-3</v>
      </c>
      <c r="M446" s="7">
        <v>3.0000000000000001E-3</v>
      </c>
      <c r="N446">
        <v>7</v>
      </c>
      <c r="O446" s="8">
        <v>17.934556092922943</v>
      </c>
      <c r="P446" s="9">
        <v>17.934556092922943</v>
      </c>
      <c r="Q446" s="9">
        <v>17.934556092922943</v>
      </c>
      <c r="R446" s="9">
        <v>18.35577997371016</v>
      </c>
      <c r="S446" s="9">
        <v>18.404835306435746</v>
      </c>
      <c r="T446" s="9">
        <v>19.112621008962602</v>
      </c>
      <c r="U446" s="9">
        <v>20.35176903227914</v>
      </c>
      <c r="V446" s="9">
        <v>20.35176903227914</v>
      </c>
      <c r="W446" s="9">
        <v>20.35176903227914</v>
      </c>
      <c r="X446" s="9">
        <v>19.91589544268896</v>
      </c>
      <c r="Y446" s="9">
        <v>19.91589544268896</v>
      </c>
      <c r="Z446" s="9">
        <v>21.609947773831163</v>
      </c>
      <c r="AA446" s="9">
        <v>21.609947773831163</v>
      </c>
      <c r="AB446" s="9">
        <v>23.372671736151272</v>
      </c>
      <c r="AC446" s="9">
        <v>23.372671736151272</v>
      </c>
      <c r="AD446" s="9">
        <v>26.430826810726163</v>
      </c>
      <c r="AE446" s="9">
        <v>27.959768706413232</v>
      </c>
      <c r="AF446" s="9">
        <v>29.772701744670762</v>
      </c>
      <c r="AG446" s="9">
        <v>29.772701744670762</v>
      </c>
      <c r="AH446" s="9">
        <v>32.589351949315954</v>
      </c>
      <c r="AI446" s="9">
        <v>34.825222308406182</v>
      </c>
      <c r="AJ446" s="9">
        <v>3.0428788910505911</v>
      </c>
    </row>
    <row r="447" spans="1:36" x14ac:dyDescent="0.25">
      <c r="A447" t="s">
        <v>5411</v>
      </c>
      <c r="B447" t="s">
        <v>16</v>
      </c>
      <c r="C447" t="s">
        <v>17</v>
      </c>
      <c r="D447">
        <v>15785000</v>
      </c>
      <c r="E447">
        <v>15789999</v>
      </c>
      <c r="F447" t="s">
        <v>390</v>
      </c>
      <c r="G447" t="str">
        <f t="shared" si="12"/>
        <v>SPI II</v>
      </c>
      <c r="H447" t="s">
        <v>19</v>
      </c>
      <c r="I447" t="s">
        <v>20</v>
      </c>
      <c r="J447" t="s">
        <v>64</v>
      </c>
      <c r="K447" s="6">
        <v>0.03</v>
      </c>
      <c r="L447" s="7">
        <f t="shared" si="13"/>
        <v>2E-3</v>
      </c>
      <c r="M447" s="7">
        <v>3.0000000000000001E-3</v>
      </c>
      <c r="N447">
        <v>7</v>
      </c>
      <c r="O447" s="8">
        <v>17.934556092922943</v>
      </c>
      <c r="P447" s="9">
        <v>17.934556092922943</v>
      </c>
      <c r="Q447" s="9">
        <v>17.934556092922943</v>
      </c>
      <c r="R447" s="9">
        <v>18.35577997371016</v>
      </c>
      <c r="S447" s="9">
        <v>18.404835306435746</v>
      </c>
      <c r="T447" s="9">
        <v>19.112621008962602</v>
      </c>
      <c r="U447" s="9">
        <v>20.35176903227914</v>
      </c>
      <c r="V447" s="9">
        <v>20.35176903227914</v>
      </c>
      <c r="W447" s="9">
        <v>20.35176903227914</v>
      </c>
      <c r="X447" s="9">
        <v>19.91589544268896</v>
      </c>
      <c r="Y447" s="9">
        <v>19.91589544268896</v>
      </c>
      <c r="Z447" s="9">
        <v>21.609947773831163</v>
      </c>
      <c r="AA447" s="9">
        <v>21.609947773831163</v>
      </c>
      <c r="AB447" s="9">
        <v>23.372671736151272</v>
      </c>
      <c r="AC447" s="9">
        <v>23.372671736151272</v>
      </c>
      <c r="AD447" s="9">
        <v>26.430826810726163</v>
      </c>
      <c r="AE447" s="9">
        <v>27.959768706413232</v>
      </c>
      <c r="AF447" s="9">
        <v>29.772701744670762</v>
      </c>
      <c r="AG447" s="9">
        <v>29.772701744670762</v>
      </c>
      <c r="AH447" s="9">
        <v>32.589351949315954</v>
      </c>
      <c r="AI447" s="9">
        <v>34.825222308406182</v>
      </c>
      <c r="AJ447" s="9">
        <v>3.0428788910505911</v>
      </c>
    </row>
    <row r="448" spans="1:36" x14ac:dyDescent="0.25">
      <c r="A448" t="s">
        <v>5411</v>
      </c>
      <c r="B448" t="s">
        <v>16</v>
      </c>
      <c r="C448" t="s">
        <v>17</v>
      </c>
      <c r="D448">
        <v>15790000</v>
      </c>
      <c r="E448">
        <v>15799999</v>
      </c>
      <c r="F448" t="s">
        <v>391</v>
      </c>
      <c r="G448" t="str">
        <f t="shared" si="12"/>
        <v>SPI II</v>
      </c>
      <c r="H448" t="s">
        <v>19</v>
      </c>
      <c r="I448" t="s">
        <v>20</v>
      </c>
      <c r="J448" t="s">
        <v>64</v>
      </c>
      <c r="K448" s="6">
        <v>0.03</v>
      </c>
      <c r="L448" s="7">
        <f t="shared" si="13"/>
        <v>2E-3</v>
      </c>
      <c r="M448" s="7">
        <v>3.0000000000000001E-3</v>
      </c>
      <c r="N448">
        <v>7</v>
      </c>
      <c r="O448" s="8">
        <v>17.934556092922943</v>
      </c>
      <c r="P448" s="9">
        <v>17.934556092922943</v>
      </c>
      <c r="Q448" s="9">
        <v>17.934556092922943</v>
      </c>
      <c r="R448" s="9">
        <v>18.35577997371016</v>
      </c>
      <c r="S448" s="9">
        <v>18.404835306435746</v>
      </c>
      <c r="T448" s="9">
        <v>19.112621008962602</v>
      </c>
      <c r="U448" s="9">
        <v>20.35176903227914</v>
      </c>
      <c r="V448" s="9">
        <v>20.35176903227914</v>
      </c>
      <c r="W448" s="9">
        <v>20.35176903227914</v>
      </c>
      <c r="X448" s="9">
        <v>19.91589544268896</v>
      </c>
      <c r="Y448" s="9">
        <v>19.91589544268896</v>
      </c>
      <c r="Z448" s="9">
        <v>21.609947773831163</v>
      </c>
      <c r="AA448" s="9">
        <v>21.609947773831163</v>
      </c>
      <c r="AB448" s="9">
        <v>23.372671736151272</v>
      </c>
      <c r="AC448" s="9">
        <v>23.372671736151272</v>
      </c>
      <c r="AD448" s="9">
        <v>26.430826810726163</v>
      </c>
      <c r="AE448" s="9">
        <v>27.959768706413232</v>
      </c>
      <c r="AF448" s="9">
        <v>29.772701744670762</v>
      </c>
      <c r="AG448" s="9">
        <v>29.772701744670762</v>
      </c>
      <c r="AH448" s="9">
        <v>32.589351949315954</v>
      </c>
      <c r="AI448" s="9">
        <v>34.825222308406182</v>
      </c>
      <c r="AJ448" s="9">
        <v>3.0428788910505911</v>
      </c>
    </row>
    <row r="449" spans="1:36" x14ac:dyDescent="0.25">
      <c r="A449" t="s">
        <v>5411</v>
      </c>
      <c r="B449" t="s">
        <v>16</v>
      </c>
      <c r="C449" t="s">
        <v>17</v>
      </c>
      <c r="D449">
        <v>15800000</v>
      </c>
      <c r="E449">
        <v>15819999</v>
      </c>
      <c r="F449" t="s">
        <v>392</v>
      </c>
      <c r="G449" t="str">
        <f t="shared" si="12"/>
        <v>SPI II</v>
      </c>
      <c r="H449" t="s">
        <v>19</v>
      </c>
      <c r="I449" t="s">
        <v>20</v>
      </c>
      <c r="J449" t="s">
        <v>64</v>
      </c>
      <c r="K449" s="6">
        <v>0.03</v>
      </c>
      <c r="L449" s="7">
        <f t="shared" si="13"/>
        <v>2E-3</v>
      </c>
      <c r="M449" s="7">
        <v>3.0000000000000001E-3</v>
      </c>
      <c r="N449">
        <v>6</v>
      </c>
      <c r="O449" s="8">
        <v>17.934556092922943</v>
      </c>
      <c r="P449" s="9">
        <v>17.934556092922943</v>
      </c>
      <c r="Q449" s="9">
        <v>17.934556092922943</v>
      </c>
      <c r="R449" s="9">
        <v>18.35577997371016</v>
      </c>
      <c r="S449" s="9">
        <v>18.404835306435746</v>
      </c>
      <c r="T449" s="9">
        <v>19.112621008962602</v>
      </c>
      <c r="U449" s="9">
        <v>20.35176903227914</v>
      </c>
      <c r="V449" s="9">
        <v>20.35176903227914</v>
      </c>
      <c r="W449" s="9">
        <v>20.35176903227914</v>
      </c>
      <c r="X449" s="9">
        <v>19.91589544268896</v>
      </c>
      <c r="Y449" s="9">
        <v>19.91589544268896</v>
      </c>
      <c r="Z449" s="9">
        <v>21.609947773831163</v>
      </c>
      <c r="AA449" s="9">
        <v>21.609947773831163</v>
      </c>
      <c r="AB449" s="9">
        <v>23.372671736151272</v>
      </c>
      <c r="AC449" s="9">
        <v>23.372671736151272</v>
      </c>
      <c r="AD449" s="9">
        <v>26.430826810726163</v>
      </c>
      <c r="AE449" s="9">
        <v>27.959768706413232</v>
      </c>
      <c r="AF449" s="9">
        <v>29.772701744670762</v>
      </c>
      <c r="AG449" s="9">
        <v>29.772701744670762</v>
      </c>
      <c r="AH449" s="9">
        <v>32.589351949315954</v>
      </c>
      <c r="AI449" s="9">
        <v>34.825222308406182</v>
      </c>
      <c r="AJ449" s="9">
        <v>3.0428788910505911</v>
      </c>
    </row>
    <row r="450" spans="1:36" x14ac:dyDescent="0.25">
      <c r="A450" t="s">
        <v>5411</v>
      </c>
      <c r="B450" t="s">
        <v>16</v>
      </c>
      <c r="C450" t="s">
        <v>17</v>
      </c>
      <c r="D450">
        <v>15820000</v>
      </c>
      <c r="E450">
        <v>15822999</v>
      </c>
      <c r="F450" t="s">
        <v>393</v>
      </c>
      <c r="G450" t="str">
        <f t="shared" si="12"/>
        <v>SPI II</v>
      </c>
      <c r="H450" t="s">
        <v>19</v>
      </c>
      <c r="I450" t="s">
        <v>20</v>
      </c>
      <c r="J450" t="s">
        <v>64</v>
      </c>
      <c r="K450" s="6">
        <v>0.03</v>
      </c>
      <c r="L450" s="7">
        <f t="shared" si="13"/>
        <v>2E-3</v>
      </c>
      <c r="M450" s="7">
        <v>3.0000000000000001E-3</v>
      </c>
      <c r="N450">
        <v>7</v>
      </c>
      <c r="O450" s="8">
        <v>17.934556092922943</v>
      </c>
      <c r="P450" s="9">
        <v>17.934556092922943</v>
      </c>
      <c r="Q450" s="9">
        <v>17.934556092922943</v>
      </c>
      <c r="R450" s="9">
        <v>18.35577997371016</v>
      </c>
      <c r="S450" s="9">
        <v>18.404835306435746</v>
      </c>
      <c r="T450" s="9">
        <v>19.112621008962602</v>
      </c>
      <c r="U450" s="9">
        <v>20.35176903227914</v>
      </c>
      <c r="V450" s="9">
        <v>20.35176903227914</v>
      </c>
      <c r="W450" s="9">
        <v>20.35176903227914</v>
      </c>
      <c r="X450" s="9">
        <v>19.91589544268896</v>
      </c>
      <c r="Y450" s="9">
        <v>19.91589544268896</v>
      </c>
      <c r="Z450" s="9">
        <v>21.609947773831163</v>
      </c>
      <c r="AA450" s="9">
        <v>21.609947773831163</v>
      </c>
      <c r="AB450" s="9">
        <v>23.372671736151272</v>
      </c>
      <c r="AC450" s="9">
        <v>23.372671736151272</v>
      </c>
      <c r="AD450" s="9">
        <v>26.430826810726163</v>
      </c>
      <c r="AE450" s="9">
        <v>27.959768706413232</v>
      </c>
      <c r="AF450" s="9">
        <v>29.772701744670762</v>
      </c>
      <c r="AG450" s="9">
        <v>29.772701744670762</v>
      </c>
      <c r="AH450" s="9">
        <v>32.589351949315954</v>
      </c>
      <c r="AI450" s="9">
        <v>34.825222308406182</v>
      </c>
      <c r="AJ450" s="9">
        <v>3.0428788910505911</v>
      </c>
    </row>
    <row r="451" spans="1:36" x14ac:dyDescent="0.25">
      <c r="A451" t="s">
        <v>5411</v>
      </c>
      <c r="B451" t="s">
        <v>16</v>
      </c>
      <c r="C451" t="s">
        <v>17</v>
      </c>
      <c r="D451">
        <v>15823000</v>
      </c>
      <c r="E451">
        <v>15824999</v>
      </c>
      <c r="F451" t="s">
        <v>394</v>
      </c>
      <c r="G451" t="str">
        <f t="shared" si="12"/>
        <v>SPI II</v>
      </c>
      <c r="H451" t="s">
        <v>19</v>
      </c>
      <c r="I451" t="s">
        <v>20</v>
      </c>
      <c r="J451" t="s">
        <v>64</v>
      </c>
      <c r="K451" s="6">
        <v>0.03</v>
      </c>
      <c r="L451" s="7">
        <f t="shared" si="13"/>
        <v>2E-3</v>
      </c>
      <c r="M451" s="7">
        <v>3.0000000000000001E-3</v>
      </c>
      <c r="N451">
        <v>7</v>
      </c>
      <c r="O451" s="8">
        <v>17.934556092922943</v>
      </c>
      <c r="P451" s="9">
        <v>17.934556092922943</v>
      </c>
      <c r="Q451" s="9">
        <v>17.934556092922943</v>
      </c>
      <c r="R451" s="9">
        <v>18.35577997371016</v>
      </c>
      <c r="S451" s="9">
        <v>18.404835306435746</v>
      </c>
      <c r="T451" s="9">
        <v>19.112621008962602</v>
      </c>
      <c r="U451" s="9">
        <v>20.35176903227914</v>
      </c>
      <c r="V451" s="9">
        <v>20.35176903227914</v>
      </c>
      <c r="W451" s="9">
        <v>20.35176903227914</v>
      </c>
      <c r="X451" s="9">
        <v>19.91589544268896</v>
      </c>
      <c r="Y451" s="9">
        <v>19.91589544268896</v>
      </c>
      <c r="Z451" s="9">
        <v>21.609947773831163</v>
      </c>
      <c r="AA451" s="9">
        <v>21.609947773831163</v>
      </c>
      <c r="AB451" s="9">
        <v>23.372671736151272</v>
      </c>
      <c r="AC451" s="9">
        <v>23.372671736151272</v>
      </c>
      <c r="AD451" s="9">
        <v>26.430826810726163</v>
      </c>
      <c r="AE451" s="9">
        <v>27.959768706413232</v>
      </c>
      <c r="AF451" s="9">
        <v>29.772701744670762</v>
      </c>
      <c r="AG451" s="9">
        <v>29.772701744670762</v>
      </c>
      <c r="AH451" s="9">
        <v>32.589351949315954</v>
      </c>
      <c r="AI451" s="9">
        <v>34.825222308406182</v>
      </c>
      <c r="AJ451" s="9">
        <v>3.0428788910505911</v>
      </c>
    </row>
    <row r="452" spans="1:36" x14ac:dyDescent="0.25">
      <c r="A452" t="s">
        <v>5411</v>
      </c>
      <c r="B452" t="s">
        <v>16</v>
      </c>
      <c r="C452" t="s">
        <v>17</v>
      </c>
      <c r="D452">
        <v>15825000</v>
      </c>
      <c r="E452">
        <v>15827999</v>
      </c>
      <c r="F452" t="s">
        <v>395</v>
      </c>
      <c r="G452" t="str">
        <f t="shared" ref="G452:G515" si="14">H452&amp;IF(J452="CAPITAL","C",IF(J452="INTERIOR","I",IF(J452="INTERIOR II","I II","R")))</f>
        <v>SPI II</v>
      </c>
      <c r="H452" t="s">
        <v>19</v>
      </c>
      <c r="I452" t="s">
        <v>20</v>
      </c>
      <c r="J452" t="s">
        <v>64</v>
      </c>
      <c r="K452" s="6">
        <v>0.03</v>
      </c>
      <c r="L452" s="7">
        <f t="shared" ref="L452:L515" si="15">IF(I452="(0) Não",0.2%,3%)</f>
        <v>2E-3</v>
      </c>
      <c r="M452" s="7">
        <v>3.0000000000000001E-3</v>
      </c>
      <c r="N452">
        <v>7</v>
      </c>
      <c r="O452" s="8">
        <v>17.934556092922943</v>
      </c>
      <c r="P452" s="9">
        <v>17.934556092922943</v>
      </c>
      <c r="Q452" s="9">
        <v>17.934556092922943</v>
      </c>
      <c r="R452" s="9">
        <v>18.35577997371016</v>
      </c>
      <c r="S452" s="9">
        <v>18.404835306435746</v>
      </c>
      <c r="T452" s="9">
        <v>19.112621008962602</v>
      </c>
      <c r="U452" s="9">
        <v>20.35176903227914</v>
      </c>
      <c r="V452" s="9">
        <v>20.35176903227914</v>
      </c>
      <c r="W452" s="9">
        <v>20.35176903227914</v>
      </c>
      <c r="X452" s="9">
        <v>19.91589544268896</v>
      </c>
      <c r="Y452" s="9">
        <v>19.91589544268896</v>
      </c>
      <c r="Z452" s="9">
        <v>21.609947773831163</v>
      </c>
      <c r="AA452" s="9">
        <v>21.609947773831163</v>
      </c>
      <c r="AB452" s="9">
        <v>23.372671736151272</v>
      </c>
      <c r="AC452" s="9">
        <v>23.372671736151272</v>
      </c>
      <c r="AD452" s="9">
        <v>26.430826810726163</v>
      </c>
      <c r="AE452" s="9">
        <v>27.959768706413232</v>
      </c>
      <c r="AF452" s="9">
        <v>29.772701744670762</v>
      </c>
      <c r="AG452" s="9">
        <v>29.772701744670762</v>
      </c>
      <c r="AH452" s="9">
        <v>32.589351949315954</v>
      </c>
      <c r="AI452" s="9">
        <v>34.825222308406182</v>
      </c>
      <c r="AJ452" s="9">
        <v>3.0428788910505911</v>
      </c>
    </row>
    <row r="453" spans="1:36" x14ac:dyDescent="0.25">
      <c r="A453" t="s">
        <v>5411</v>
      </c>
      <c r="B453" t="s">
        <v>16</v>
      </c>
      <c r="C453" t="s">
        <v>17</v>
      </c>
      <c r="D453">
        <v>15828000</v>
      </c>
      <c r="E453">
        <v>15829999</v>
      </c>
      <c r="F453" t="s">
        <v>396</v>
      </c>
      <c r="G453" t="str">
        <f t="shared" si="14"/>
        <v>SPI II</v>
      </c>
      <c r="H453" t="s">
        <v>19</v>
      </c>
      <c r="I453" t="s">
        <v>20</v>
      </c>
      <c r="J453" t="s">
        <v>64</v>
      </c>
      <c r="K453" s="6">
        <v>0.03</v>
      </c>
      <c r="L453" s="7">
        <f t="shared" si="15"/>
        <v>2E-3</v>
      </c>
      <c r="M453" s="7">
        <v>3.0000000000000001E-3</v>
      </c>
      <c r="N453">
        <v>7</v>
      </c>
      <c r="O453" s="8">
        <v>17.934556092922943</v>
      </c>
      <c r="P453" s="9">
        <v>17.934556092922943</v>
      </c>
      <c r="Q453" s="9">
        <v>17.934556092922943</v>
      </c>
      <c r="R453" s="9">
        <v>18.35577997371016</v>
      </c>
      <c r="S453" s="9">
        <v>18.404835306435746</v>
      </c>
      <c r="T453" s="9">
        <v>19.112621008962602</v>
      </c>
      <c r="U453" s="9">
        <v>20.35176903227914</v>
      </c>
      <c r="V453" s="9">
        <v>20.35176903227914</v>
      </c>
      <c r="W453" s="9">
        <v>20.35176903227914</v>
      </c>
      <c r="X453" s="9">
        <v>19.91589544268896</v>
      </c>
      <c r="Y453" s="9">
        <v>19.91589544268896</v>
      </c>
      <c r="Z453" s="9">
        <v>21.609947773831163</v>
      </c>
      <c r="AA453" s="9">
        <v>21.609947773831163</v>
      </c>
      <c r="AB453" s="9">
        <v>23.372671736151272</v>
      </c>
      <c r="AC453" s="9">
        <v>23.372671736151272</v>
      </c>
      <c r="AD453" s="9">
        <v>26.430826810726163</v>
      </c>
      <c r="AE453" s="9">
        <v>27.959768706413232</v>
      </c>
      <c r="AF453" s="9">
        <v>29.772701744670762</v>
      </c>
      <c r="AG453" s="9">
        <v>29.772701744670762</v>
      </c>
      <c r="AH453" s="9">
        <v>32.589351949315954</v>
      </c>
      <c r="AI453" s="9">
        <v>34.825222308406182</v>
      </c>
      <c r="AJ453" s="9">
        <v>3.0428788910505911</v>
      </c>
    </row>
    <row r="454" spans="1:36" x14ac:dyDescent="0.25">
      <c r="A454" t="s">
        <v>5411</v>
      </c>
      <c r="B454" t="s">
        <v>16</v>
      </c>
      <c r="C454" t="s">
        <v>17</v>
      </c>
      <c r="D454">
        <v>15830000</v>
      </c>
      <c r="E454">
        <v>15839999</v>
      </c>
      <c r="F454" t="s">
        <v>397</v>
      </c>
      <c r="G454" t="str">
        <f t="shared" si="14"/>
        <v>SPI II</v>
      </c>
      <c r="H454" t="s">
        <v>19</v>
      </c>
      <c r="I454" t="s">
        <v>20</v>
      </c>
      <c r="J454" t="s">
        <v>64</v>
      </c>
      <c r="K454" s="6">
        <v>0.03</v>
      </c>
      <c r="L454" s="7">
        <f t="shared" si="15"/>
        <v>2E-3</v>
      </c>
      <c r="M454" s="7">
        <v>3.0000000000000001E-3</v>
      </c>
      <c r="N454">
        <v>7</v>
      </c>
      <c r="O454" s="8">
        <v>17.934556092922943</v>
      </c>
      <c r="P454" s="9">
        <v>17.934556092922943</v>
      </c>
      <c r="Q454" s="9">
        <v>17.934556092922943</v>
      </c>
      <c r="R454" s="9">
        <v>18.35577997371016</v>
      </c>
      <c r="S454" s="9">
        <v>18.404835306435746</v>
      </c>
      <c r="T454" s="9">
        <v>19.112621008962602</v>
      </c>
      <c r="U454" s="9">
        <v>20.35176903227914</v>
      </c>
      <c r="V454" s="9">
        <v>20.35176903227914</v>
      </c>
      <c r="W454" s="9">
        <v>20.35176903227914</v>
      </c>
      <c r="X454" s="9">
        <v>19.91589544268896</v>
      </c>
      <c r="Y454" s="9">
        <v>19.91589544268896</v>
      </c>
      <c r="Z454" s="9">
        <v>21.609947773831163</v>
      </c>
      <c r="AA454" s="9">
        <v>21.609947773831163</v>
      </c>
      <c r="AB454" s="9">
        <v>23.372671736151272</v>
      </c>
      <c r="AC454" s="9">
        <v>23.372671736151272</v>
      </c>
      <c r="AD454" s="9">
        <v>26.430826810726163</v>
      </c>
      <c r="AE454" s="9">
        <v>27.959768706413232</v>
      </c>
      <c r="AF454" s="9">
        <v>29.772701744670762</v>
      </c>
      <c r="AG454" s="9">
        <v>29.772701744670762</v>
      </c>
      <c r="AH454" s="9">
        <v>32.589351949315954</v>
      </c>
      <c r="AI454" s="9">
        <v>34.825222308406182</v>
      </c>
      <c r="AJ454" s="9">
        <v>3.0428788910505911</v>
      </c>
    </row>
    <row r="455" spans="1:36" x14ac:dyDescent="0.25">
      <c r="A455" t="s">
        <v>5411</v>
      </c>
      <c r="B455" t="s">
        <v>16</v>
      </c>
      <c r="C455" t="s">
        <v>17</v>
      </c>
      <c r="D455">
        <v>15840000</v>
      </c>
      <c r="E455">
        <v>15844999</v>
      </c>
      <c r="F455" t="s">
        <v>398</v>
      </c>
      <c r="G455" t="str">
        <f t="shared" si="14"/>
        <v>SPI II</v>
      </c>
      <c r="H455" t="s">
        <v>19</v>
      </c>
      <c r="I455" t="s">
        <v>20</v>
      </c>
      <c r="J455" t="s">
        <v>64</v>
      </c>
      <c r="K455" s="6">
        <v>0.03</v>
      </c>
      <c r="L455" s="7">
        <f t="shared" si="15"/>
        <v>2E-3</v>
      </c>
      <c r="M455" s="7">
        <v>3.0000000000000001E-3</v>
      </c>
      <c r="N455">
        <v>7</v>
      </c>
      <c r="O455" s="8">
        <v>17.934556092922943</v>
      </c>
      <c r="P455" s="9">
        <v>17.934556092922943</v>
      </c>
      <c r="Q455" s="9">
        <v>17.934556092922943</v>
      </c>
      <c r="R455" s="9">
        <v>18.35577997371016</v>
      </c>
      <c r="S455" s="9">
        <v>18.404835306435746</v>
      </c>
      <c r="T455" s="9">
        <v>19.112621008962602</v>
      </c>
      <c r="U455" s="9">
        <v>20.35176903227914</v>
      </c>
      <c r="V455" s="9">
        <v>20.35176903227914</v>
      </c>
      <c r="W455" s="9">
        <v>20.35176903227914</v>
      </c>
      <c r="X455" s="9">
        <v>19.91589544268896</v>
      </c>
      <c r="Y455" s="9">
        <v>19.91589544268896</v>
      </c>
      <c r="Z455" s="9">
        <v>21.609947773831163</v>
      </c>
      <c r="AA455" s="9">
        <v>21.609947773831163</v>
      </c>
      <c r="AB455" s="9">
        <v>23.372671736151272</v>
      </c>
      <c r="AC455" s="9">
        <v>23.372671736151272</v>
      </c>
      <c r="AD455" s="9">
        <v>26.430826810726163</v>
      </c>
      <c r="AE455" s="9">
        <v>27.959768706413232</v>
      </c>
      <c r="AF455" s="9">
        <v>29.772701744670762</v>
      </c>
      <c r="AG455" s="9">
        <v>29.772701744670762</v>
      </c>
      <c r="AH455" s="9">
        <v>32.589351949315954</v>
      </c>
      <c r="AI455" s="9">
        <v>34.825222308406182</v>
      </c>
      <c r="AJ455" s="9">
        <v>3.0428788910505911</v>
      </c>
    </row>
    <row r="456" spans="1:36" x14ac:dyDescent="0.25">
      <c r="A456" t="s">
        <v>5411</v>
      </c>
      <c r="B456" t="s">
        <v>16</v>
      </c>
      <c r="C456" t="s">
        <v>17</v>
      </c>
      <c r="D456">
        <v>15845000</v>
      </c>
      <c r="E456">
        <v>15849999</v>
      </c>
      <c r="F456" t="s">
        <v>399</v>
      </c>
      <c r="G456" t="str">
        <f t="shared" si="14"/>
        <v>SPI II</v>
      </c>
      <c r="H456" t="s">
        <v>19</v>
      </c>
      <c r="I456" t="s">
        <v>20</v>
      </c>
      <c r="J456" t="s">
        <v>64</v>
      </c>
      <c r="K456" s="6">
        <v>0.03</v>
      </c>
      <c r="L456" s="7">
        <f t="shared" si="15"/>
        <v>2E-3</v>
      </c>
      <c r="M456" s="7">
        <v>3.0000000000000001E-3</v>
      </c>
      <c r="N456">
        <v>7</v>
      </c>
      <c r="O456" s="8">
        <v>17.934556092922943</v>
      </c>
      <c r="P456" s="9">
        <v>17.934556092922943</v>
      </c>
      <c r="Q456" s="9">
        <v>17.934556092922943</v>
      </c>
      <c r="R456" s="9">
        <v>18.35577997371016</v>
      </c>
      <c r="S456" s="9">
        <v>18.404835306435746</v>
      </c>
      <c r="T456" s="9">
        <v>19.112621008962602</v>
      </c>
      <c r="U456" s="9">
        <v>20.35176903227914</v>
      </c>
      <c r="V456" s="9">
        <v>20.35176903227914</v>
      </c>
      <c r="W456" s="9">
        <v>20.35176903227914</v>
      </c>
      <c r="X456" s="9">
        <v>19.91589544268896</v>
      </c>
      <c r="Y456" s="9">
        <v>19.91589544268896</v>
      </c>
      <c r="Z456" s="9">
        <v>21.609947773831163</v>
      </c>
      <c r="AA456" s="9">
        <v>21.609947773831163</v>
      </c>
      <c r="AB456" s="9">
        <v>23.372671736151272</v>
      </c>
      <c r="AC456" s="9">
        <v>23.372671736151272</v>
      </c>
      <c r="AD456" s="9">
        <v>26.430826810726163</v>
      </c>
      <c r="AE456" s="9">
        <v>27.959768706413232</v>
      </c>
      <c r="AF456" s="9">
        <v>29.772701744670762</v>
      </c>
      <c r="AG456" s="9">
        <v>29.772701744670762</v>
      </c>
      <c r="AH456" s="9">
        <v>32.589351949315954</v>
      </c>
      <c r="AI456" s="9">
        <v>34.825222308406182</v>
      </c>
      <c r="AJ456" s="9">
        <v>3.0428788910505911</v>
      </c>
    </row>
    <row r="457" spans="1:36" x14ac:dyDescent="0.25">
      <c r="A457" t="s">
        <v>5411</v>
      </c>
      <c r="B457" t="s">
        <v>16</v>
      </c>
      <c r="C457" t="s">
        <v>17</v>
      </c>
      <c r="D457">
        <v>15850000</v>
      </c>
      <c r="E457">
        <v>15859999</v>
      </c>
      <c r="F457" t="s">
        <v>400</v>
      </c>
      <c r="G457" t="str">
        <f t="shared" si="14"/>
        <v>SPI II</v>
      </c>
      <c r="H457" t="s">
        <v>19</v>
      </c>
      <c r="I457" t="s">
        <v>20</v>
      </c>
      <c r="J457" t="s">
        <v>64</v>
      </c>
      <c r="K457" s="6">
        <v>0.03</v>
      </c>
      <c r="L457" s="7">
        <f t="shared" si="15"/>
        <v>2E-3</v>
      </c>
      <c r="M457" s="7">
        <v>3.0000000000000001E-3</v>
      </c>
      <c r="N457">
        <v>7</v>
      </c>
      <c r="O457" s="8">
        <v>17.934556092922943</v>
      </c>
      <c r="P457" s="9">
        <v>17.934556092922943</v>
      </c>
      <c r="Q457" s="9">
        <v>17.934556092922943</v>
      </c>
      <c r="R457" s="9">
        <v>18.35577997371016</v>
      </c>
      <c r="S457" s="9">
        <v>18.404835306435746</v>
      </c>
      <c r="T457" s="9">
        <v>19.112621008962602</v>
      </c>
      <c r="U457" s="9">
        <v>20.35176903227914</v>
      </c>
      <c r="V457" s="9">
        <v>20.35176903227914</v>
      </c>
      <c r="W457" s="9">
        <v>20.35176903227914</v>
      </c>
      <c r="X457" s="9">
        <v>19.91589544268896</v>
      </c>
      <c r="Y457" s="9">
        <v>19.91589544268896</v>
      </c>
      <c r="Z457" s="9">
        <v>21.609947773831163</v>
      </c>
      <c r="AA457" s="9">
        <v>21.609947773831163</v>
      </c>
      <c r="AB457" s="9">
        <v>23.372671736151272</v>
      </c>
      <c r="AC457" s="9">
        <v>23.372671736151272</v>
      </c>
      <c r="AD457" s="9">
        <v>26.430826810726163</v>
      </c>
      <c r="AE457" s="9">
        <v>27.959768706413232</v>
      </c>
      <c r="AF457" s="9">
        <v>29.772701744670762</v>
      </c>
      <c r="AG457" s="9">
        <v>29.772701744670762</v>
      </c>
      <c r="AH457" s="9">
        <v>32.589351949315954</v>
      </c>
      <c r="AI457" s="9">
        <v>34.825222308406182</v>
      </c>
      <c r="AJ457" s="9">
        <v>3.0428788910505911</v>
      </c>
    </row>
    <row r="458" spans="1:36" x14ac:dyDescent="0.25">
      <c r="A458" t="s">
        <v>5411</v>
      </c>
      <c r="B458" t="s">
        <v>16</v>
      </c>
      <c r="C458" t="s">
        <v>17</v>
      </c>
      <c r="D458">
        <v>15860000</v>
      </c>
      <c r="E458">
        <v>15869999</v>
      </c>
      <c r="F458" t="s">
        <v>401</v>
      </c>
      <c r="G458" t="str">
        <f t="shared" si="14"/>
        <v>SPI II</v>
      </c>
      <c r="H458" t="s">
        <v>19</v>
      </c>
      <c r="I458" t="s">
        <v>20</v>
      </c>
      <c r="J458" t="s">
        <v>64</v>
      </c>
      <c r="K458" s="6">
        <v>0.03</v>
      </c>
      <c r="L458" s="7">
        <f t="shared" si="15"/>
        <v>2E-3</v>
      </c>
      <c r="M458" s="7">
        <v>3.0000000000000001E-3</v>
      </c>
      <c r="N458">
        <v>7</v>
      </c>
      <c r="O458" s="8">
        <v>17.934556092922943</v>
      </c>
      <c r="P458" s="9">
        <v>17.934556092922943</v>
      </c>
      <c r="Q458" s="9">
        <v>17.934556092922943</v>
      </c>
      <c r="R458" s="9">
        <v>18.35577997371016</v>
      </c>
      <c r="S458" s="9">
        <v>18.404835306435746</v>
      </c>
      <c r="T458" s="9">
        <v>19.112621008962602</v>
      </c>
      <c r="U458" s="9">
        <v>20.35176903227914</v>
      </c>
      <c r="V458" s="9">
        <v>20.35176903227914</v>
      </c>
      <c r="W458" s="9">
        <v>20.35176903227914</v>
      </c>
      <c r="X458" s="9">
        <v>19.91589544268896</v>
      </c>
      <c r="Y458" s="9">
        <v>19.91589544268896</v>
      </c>
      <c r="Z458" s="9">
        <v>21.609947773831163</v>
      </c>
      <c r="AA458" s="9">
        <v>21.609947773831163</v>
      </c>
      <c r="AB458" s="9">
        <v>23.372671736151272</v>
      </c>
      <c r="AC458" s="9">
        <v>23.372671736151272</v>
      </c>
      <c r="AD458" s="9">
        <v>26.430826810726163</v>
      </c>
      <c r="AE458" s="9">
        <v>27.959768706413232</v>
      </c>
      <c r="AF458" s="9">
        <v>29.772701744670762</v>
      </c>
      <c r="AG458" s="9">
        <v>29.772701744670762</v>
      </c>
      <c r="AH458" s="9">
        <v>32.589351949315954</v>
      </c>
      <c r="AI458" s="9">
        <v>34.825222308406182</v>
      </c>
      <c r="AJ458" s="9">
        <v>3.0428788910505911</v>
      </c>
    </row>
    <row r="459" spans="1:36" x14ac:dyDescent="0.25">
      <c r="A459" t="s">
        <v>5411</v>
      </c>
      <c r="B459" t="s">
        <v>16</v>
      </c>
      <c r="C459" t="s">
        <v>17</v>
      </c>
      <c r="D459">
        <v>15870000</v>
      </c>
      <c r="E459">
        <v>15879999</v>
      </c>
      <c r="F459" t="s">
        <v>402</v>
      </c>
      <c r="G459" t="str">
        <f t="shared" si="14"/>
        <v>SPI II</v>
      </c>
      <c r="H459" t="s">
        <v>19</v>
      </c>
      <c r="I459" t="s">
        <v>20</v>
      </c>
      <c r="J459" t="s">
        <v>64</v>
      </c>
      <c r="K459" s="6">
        <v>0.03</v>
      </c>
      <c r="L459" s="7">
        <f t="shared" si="15"/>
        <v>2E-3</v>
      </c>
      <c r="M459" s="7">
        <v>3.0000000000000001E-3</v>
      </c>
      <c r="N459">
        <v>7</v>
      </c>
      <c r="O459" s="8">
        <v>17.934556092922943</v>
      </c>
      <c r="P459" s="9">
        <v>17.934556092922943</v>
      </c>
      <c r="Q459" s="9">
        <v>17.934556092922943</v>
      </c>
      <c r="R459" s="9">
        <v>18.35577997371016</v>
      </c>
      <c r="S459" s="9">
        <v>18.404835306435746</v>
      </c>
      <c r="T459" s="9">
        <v>19.112621008962602</v>
      </c>
      <c r="U459" s="9">
        <v>20.35176903227914</v>
      </c>
      <c r="V459" s="9">
        <v>20.35176903227914</v>
      </c>
      <c r="W459" s="9">
        <v>20.35176903227914</v>
      </c>
      <c r="X459" s="9">
        <v>19.91589544268896</v>
      </c>
      <c r="Y459" s="9">
        <v>19.91589544268896</v>
      </c>
      <c r="Z459" s="9">
        <v>21.609947773831163</v>
      </c>
      <c r="AA459" s="9">
        <v>21.609947773831163</v>
      </c>
      <c r="AB459" s="9">
        <v>23.372671736151272</v>
      </c>
      <c r="AC459" s="9">
        <v>23.372671736151272</v>
      </c>
      <c r="AD459" s="9">
        <v>26.430826810726163</v>
      </c>
      <c r="AE459" s="9">
        <v>27.959768706413232</v>
      </c>
      <c r="AF459" s="9">
        <v>29.772701744670762</v>
      </c>
      <c r="AG459" s="9">
        <v>29.772701744670762</v>
      </c>
      <c r="AH459" s="9">
        <v>32.589351949315954</v>
      </c>
      <c r="AI459" s="9">
        <v>34.825222308406182</v>
      </c>
      <c r="AJ459" s="9">
        <v>3.0428788910505911</v>
      </c>
    </row>
    <row r="460" spans="1:36" x14ac:dyDescent="0.25">
      <c r="A460" t="s">
        <v>5411</v>
      </c>
      <c r="B460" t="s">
        <v>16</v>
      </c>
      <c r="C460" t="s">
        <v>17</v>
      </c>
      <c r="D460">
        <v>15880000</v>
      </c>
      <c r="E460">
        <v>15884999</v>
      </c>
      <c r="F460" t="s">
        <v>403</v>
      </c>
      <c r="G460" t="str">
        <f t="shared" si="14"/>
        <v>SPI II</v>
      </c>
      <c r="H460" t="s">
        <v>19</v>
      </c>
      <c r="I460" t="s">
        <v>20</v>
      </c>
      <c r="J460" t="s">
        <v>64</v>
      </c>
      <c r="K460" s="6">
        <v>0.03</v>
      </c>
      <c r="L460" s="7">
        <f t="shared" si="15"/>
        <v>2E-3</v>
      </c>
      <c r="M460" s="7">
        <v>3.0000000000000001E-3</v>
      </c>
      <c r="N460">
        <v>7</v>
      </c>
      <c r="O460" s="8">
        <v>17.934556092922943</v>
      </c>
      <c r="P460" s="9">
        <v>17.934556092922943</v>
      </c>
      <c r="Q460" s="9">
        <v>17.934556092922943</v>
      </c>
      <c r="R460" s="9">
        <v>18.35577997371016</v>
      </c>
      <c r="S460" s="9">
        <v>18.404835306435746</v>
      </c>
      <c r="T460" s="9">
        <v>19.112621008962602</v>
      </c>
      <c r="U460" s="9">
        <v>20.35176903227914</v>
      </c>
      <c r="V460" s="9">
        <v>20.35176903227914</v>
      </c>
      <c r="W460" s="9">
        <v>20.35176903227914</v>
      </c>
      <c r="X460" s="9">
        <v>19.91589544268896</v>
      </c>
      <c r="Y460" s="9">
        <v>19.91589544268896</v>
      </c>
      <c r="Z460" s="9">
        <v>21.609947773831163</v>
      </c>
      <c r="AA460" s="9">
        <v>21.609947773831163</v>
      </c>
      <c r="AB460" s="9">
        <v>23.372671736151272</v>
      </c>
      <c r="AC460" s="9">
        <v>23.372671736151272</v>
      </c>
      <c r="AD460" s="9">
        <v>26.430826810726163</v>
      </c>
      <c r="AE460" s="9">
        <v>27.959768706413232</v>
      </c>
      <c r="AF460" s="9">
        <v>29.772701744670762</v>
      </c>
      <c r="AG460" s="9">
        <v>29.772701744670762</v>
      </c>
      <c r="AH460" s="9">
        <v>32.589351949315954</v>
      </c>
      <c r="AI460" s="9">
        <v>34.825222308406182</v>
      </c>
      <c r="AJ460" s="9">
        <v>3.0428788910505911</v>
      </c>
    </row>
    <row r="461" spans="1:36" x14ac:dyDescent="0.25">
      <c r="A461" t="s">
        <v>5411</v>
      </c>
      <c r="B461" t="s">
        <v>16</v>
      </c>
      <c r="C461" t="s">
        <v>17</v>
      </c>
      <c r="D461">
        <v>15885000</v>
      </c>
      <c r="E461">
        <v>15889999</v>
      </c>
      <c r="F461" t="s">
        <v>404</v>
      </c>
      <c r="G461" t="str">
        <f t="shared" si="14"/>
        <v>SPI II</v>
      </c>
      <c r="H461" t="s">
        <v>19</v>
      </c>
      <c r="I461" t="s">
        <v>20</v>
      </c>
      <c r="J461" t="s">
        <v>64</v>
      </c>
      <c r="K461" s="6">
        <v>0.03</v>
      </c>
      <c r="L461" s="7">
        <f t="shared" si="15"/>
        <v>2E-3</v>
      </c>
      <c r="M461" s="7">
        <v>3.0000000000000001E-3</v>
      </c>
      <c r="N461">
        <v>7</v>
      </c>
      <c r="O461" s="8">
        <v>17.934556092922943</v>
      </c>
      <c r="P461" s="9">
        <v>17.934556092922943</v>
      </c>
      <c r="Q461" s="9">
        <v>17.934556092922943</v>
      </c>
      <c r="R461" s="9">
        <v>18.35577997371016</v>
      </c>
      <c r="S461" s="9">
        <v>18.404835306435746</v>
      </c>
      <c r="T461" s="9">
        <v>19.112621008962602</v>
      </c>
      <c r="U461" s="9">
        <v>20.35176903227914</v>
      </c>
      <c r="V461" s="9">
        <v>20.35176903227914</v>
      </c>
      <c r="W461" s="9">
        <v>20.35176903227914</v>
      </c>
      <c r="X461" s="9">
        <v>19.91589544268896</v>
      </c>
      <c r="Y461" s="9">
        <v>19.91589544268896</v>
      </c>
      <c r="Z461" s="9">
        <v>21.609947773831163</v>
      </c>
      <c r="AA461" s="9">
        <v>21.609947773831163</v>
      </c>
      <c r="AB461" s="9">
        <v>23.372671736151272</v>
      </c>
      <c r="AC461" s="9">
        <v>23.372671736151272</v>
      </c>
      <c r="AD461" s="9">
        <v>26.430826810726163</v>
      </c>
      <c r="AE461" s="9">
        <v>27.959768706413232</v>
      </c>
      <c r="AF461" s="9">
        <v>29.772701744670762</v>
      </c>
      <c r="AG461" s="9">
        <v>29.772701744670762</v>
      </c>
      <c r="AH461" s="9">
        <v>32.589351949315954</v>
      </c>
      <c r="AI461" s="9">
        <v>34.825222308406182</v>
      </c>
      <c r="AJ461" s="9">
        <v>3.0428788910505911</v>
      </c>
    </row>
    <row r="462" spans="1:36" x14ac:dyDescent="0.25">
      <c r="A462" t="s">
        <v>5411</v>
      </c>
      <c r="B462" t="s">
        <v>16</v>
      </c>
      <c r="C462" t="s">
        <v>17</v>
      </c>
      <c r="D462">
        <v>15890000</v>
      </c>
      <c r="E462">
        <v>15894999</v>
      </c>
      <c r="F462" t="s">
        <v>405</v>
      </c>
      <c r="G462" t="str">
        <f t="shared" si="14"/>
        <v>SPI II</v>
      </c>
      <c r="H462" t="s">
        <v>19</v>
      </c>
      <c r="I462" t="s">
        <v>20</v>
      </c>
      <c r="J462" t="s">
        <v>64</v>
      </c>
      <c r="K462" s="6">
        <v>0.03</v>
      </c>
      <c r="L462" s="7">
        <f t="shared" si="15"/>
        <v>2E-3</v>
      </c>
      <c r="M462" s="7">
        <v>3.0000000000000001E-3</v>
      </c>
      <c r="N462">
        <v>7</v>
      </c>
      <c r="O462" s="8">
        <v>17.934556092922943</v>
      </c>
      <c r="P462" s="9">
        <v>17.934556092922943</v>
      </c>
      <c r="Q462" s="9">
        <v>17.934556092922943</v>
      </c>
      <c r="R462" s="9">
        <v>18.35577997371016</v>
      </c>
      <c r="S462" s="9">
        <v>18.404835306435746</v>
      </c>
      <c r="T462" s="9">
        <v>19.112621008962602</v>
      </c>
      <c r="U462" s="9">
        <v>20.35176903227914</v>
      </c>
      <c r="V462" s="9">
        <v>20.35176903227914</v>
      </c>
      <c r="W462" s="9">
        <v>20.35176903227914</v>
      </c>
      <c r="X462" s="9">
        <v>19.91589544268896</v>
      </c>
      <c r="Y462" s="9">
        <v>19.91589544268896</v>
      </c>
      <c r="Z462" s="9">
        <v>21.609947773831163</v>
      </c>
      <c r="AA462" s="9">
        <v>21.609947773831163</v>
      </c>
      <c r="AB462" s="9">
        <v>23.372671736151272</v>
      </c>
      <c r="AC462" s="9">
        <v>23.372671736151272</v>
      </c>
      <c r="AD462" s="9">
        <v>26.430826810726163</v>
      </c>
      <c r="AE462" s="9">
        <v>27.959768706413232</v>
      </c>
      <c r="AF462" s="9">
        <v>29.772701744670762</v>
      </c>
      <c r="AG462" s="9">
        <v>29.772701744670762</v>
      </c>
      <c r="AH462" s="9">
        <v>32.589351949315954</v>
      </c>
      <c r="AI462" s="9">
        <v>34.825222308406182</v>
      </c>
      <c r="AJ462" s="9">
        <v>3.0428788910505911</v>
      </c>
    </row>
    <row r="463" spans="1:36" x14ac:dyDescent="0.25">
      <c r="A463" t="s">
        <v>5411</v>
      </c>
      <c r="B463" t="s">
        <v>16</v>
      </c>
      <c r="C463" t="s">
        <v>17</v>
      </c>
      <c r="D463">
        <v>15895000</v>
      </c>
      <c r="E463">
        <v>15899999</v>
      </c>
      <c r="F463" t="s">
        <v>406</v>
      </c>
      <c r="G463" t="str">
        <f t="shared" si="14"/>
        <v>SPI II</v>
      </c>
      <c r="H463" t="s">
        <v>19</v>
      </c>
      <c r="I463" t="s">
        <v>20</v>
      </c>
      <c r="J463" t="s">
        <v>64</v>
      </c>
      <c r="K463" s="6">
        <v>0.03</v>
      </c>
      <c r="L463" s="7">
        <f t="shared" si="15"/>
        <v>2E-3</v>
      </c>
      <c r="M463" s="7">
        <v>3.0000000000000001E-3</v>
      </c>
      <c r="N463">
        <v>7</v>
      </c>
      <c r="O463" s="8">
        <v>17.934556092922943</v>
      </c>
      <c r="P463" s="9">
        <v>17.934556092922943</v>
      </c>
      <c r="Q463" s="9">
        <v>17.934556092922943</v>
      </c>
      <c r="R463" s="9">
        <v>18.35577997371016</v>
      </c>
      <c r="S463" s="9">
        <v>18.404835306435746</v>
      </c>
      <c r="T463" s="9">
        <v>19.112621008962602</v>
      </c>
      <c r="U463" s="9">
        <v>20.35176903227914</v>
      </c>
      <c r="V463" s="9">
        <v>20.35176903227914</v>
      </c>
      <c r="W463" s="9">
        <v>20.35176903227914</v>
      </c>
      <c r="X463" s="9">
        <v>19.91589544268896</v>
      </c>
      <c r="Y463" s="9">
        <v>19.91589544268896</v>
      </c>
      <c r="Z463" s="9">
        <v>21.609947773831163</v>
      </c>
      <c r="AA463" s="9">
        <v>21.609947773831163</v>
      </c>
      <c r="AB463" s="9">
        <v>23.372671736151272</v>
      </c>
      <c r="AC463" s="9">
        <v>23.372671736151272</v>
      </c>
      <c r="AD463" s="9">
        <v>26.430826810726163</v>
      </c>
      <c r="AE463" s="9">
        <v>27.959768706413232</v>
      </c>
      <c r="AF463" s="9">
        <v>29.772701744670762</v>
      </c>
      <c r="AG463" s="9">
        <v>29.772701744670762</v>
      </c>
      <c r="AH463" s="9">
        <v>32.589351949315954</v>
      </c>
      <c r="AI463" s="9">
        <v>34.825222308406182</v>
      </c>
      <c r="AJ463" s="9">
        <v>3.0428788910505911</v>
      </c>
    </row>
    <row r="464" spans="1:36" x14ac:dyDescent="0.25">
      <c r="A464" t="s">
        <v>5411</v>
      </c>
      <c r="B464" t="s">
        <v>16</v>
      </c>
      <c r="C464" t="s">
        <v>17</v>
      </c>
      <c r="D464">
        <v>15900000</v>
      </c>
      <c r="E464">
        <v>15919999</v>
      </c>
      <c r="F464" t="s">
        <v>407</v>
      </c>
      <c r="G464" t="str">
        <f t="shared" si="14"/>
        <v>SPI II</v>
      </c>
      <c r="H464" t="s">
        <v>19</v>
      </c>
      <c r="I464" t="s">
        <v>20</v>
      </c>
      <c r="J464" t="s">
        <v>64</v>
      </c>
      <c r="K464" s="6">
        <v>0.03</v>
      </c>
      <c r="L464" s="7">
        <f t="shared" si="15"/>
        <v>2E-3</v>
      </c>
      <c r="M464" s="7">
        <v>3.0000000000000001E-3</v>
      </c>
      <c r="N464">
        <v>7</v>
      </c>
      <c r="O464" s="8">
        <v>17.934556092922943</v>
      </c>
      <c r="P464" s="9">
        <v>17.934556092922943</v>
      </c>
      <c r="Q464" s="9">
        <v>17.934556092922943</v>
      </c>
      <c r="R464" s="9">
        <v>18.35577997371016</v>
      </c>
      <c r="S464" s="9">
        <v>18.404835306435746</v>
      </c>
      <c r="T464" s="9">
        <v>19.112621008962602</v>
      </c>
      <c r="U464" s="9">
        <v>20.35176903227914</v>
      </c>
      <c r="V464" s="9">
        <v>20.35176903227914</v>
      </c>
      <c r="W464" s="9">
        <v>20.35176903227914</v>
      </c>
      <c r="X464" s="9">
        <v>19.91589544268896</v>
      </c>
      <c r="Y464" s="9">
        <v>19.91589544268896</v>
      </c>
      <c r="Z464" s="9">
        <v>21.609947773831163</v>
      </c>
      <c r="AA464" s="9">
        <v>21.609947773831163</v>
      </c>
      <c r="AB464" s="9">
        <v>23.372671736151272</v>
      </c>
      <c r="AC464" s="9">
        <v>23.372671736151272</v>
      </c>
      <c r="AD464" s="9">
        <v>26.430826810726163</v>
      </c>
      <c r="AE464" s="9">
        <v>27.959768706413232</v>
      </c>
      <c r="AF464" s="9">
        <v>29.772701744670762</v>
      </c>
      <c r="AG464" s="9">
        <v>29.772701744670762</v>
      </c>
      <c r="AH464" s="9">
        <v>32.589351949315954</v>
      </c>
      <c r="AI464" s="9">
        <v>34.825222308406182</v>
      </c>
      <c r="AJ464" s="9">
        <v>3.0428788910505911</v>
      </c>
    </row>
    <row r="465" spans="1:36" x14ac:dyDescent="0.25">
      <c r="A465" t="s">
        <v>5411</v>
      </c>
      <c r="B465" t="s">
        <v>16</v>
      </c>
      <c r="C465" t="s">
        <v>17</v>
      </c>
      <c r="D465">
        <v>15920000</v>
      </c>
      <c r="E465">
        <v>15939999</v>
      </c>
      <c r="F465" t="s">
        <v>408</v>
      </c>
      <c r="G465" t="str">
        <f t="shared" si="14"/>
        <v>SPI II</v>
      </c>
      <c r="H465" t="s">
        <v>19</v>
      </c>
      <c r="I465" t="s">
        <v>20</v>
      </c>
      <c r="J465" t="s">
        <v>64</v>
      </c>
      <c r="K465" s="6">
        <v>0.03</v>
      </c>
      <c r="L465" s="7">
        <f t="shared" si="15"/>
        <v>2E-3</v>
      </c>
      <c r="M465" s="7">
        <v>3.0000000000000001E-3</v>
      </c>
      <c r="N465">
        <v>7</v>
      </c>
      <c r="O465" s="8">
        <v>17.934556092922943</v>
      </c>
      <c r="P465" s="9">
        <v>17.934556092922943</v>
      </c>
      <c r="Q465" s="9">
        <v>17.934556092922943</v>
      </c>
      <c r="R465" s="9">
        <v>18.35577997371016</v>
      </c>
      <c r="S465" s="9">
        <v>18.404835306435746</v>
      </c>
      <c r="T465" s="9">
        <v>19.112621008962602</v>
      </c>
      <c r="U465" s="9">
        <v>20.35176903227914</v>
      </c>
      <c r="V465" s="9">
        <v>20.35176903227914</v>
      </c>
      <c r="W465" s="9">
        <v>20.35176903227914</v>
      </c>
      <c r="X465" s="9">
        <v>19.91589544268896</v>
      </c>
      <c r="Y465" s="9">
        <v>19.91589544268896</v>
      </c>
      <c r="Z465" s="9">
        <v>21.609947773831163</v>
      </c>
      <c r="AA465" s="9">
        <v>21.609947773831163</v>
      </c>
      <c r="AB465" s="9">
        <v>23.372671736151272</v>
      </c>
      <c r="AC465" s="9">
        <v>23.372671736151272</v>
      </c>
      <c r="AD465" s="9">
        <v>26.430826810726163</v>
      </c>
      <c r="AE465" s="9">
        <v>27.959768706413232</v>
      </c>
      <c r="AF465" s="9">
        <v>29.772701744670762</v>
      </c>
      <c r="AG465" s="9">
        <v>29.772701744670762</v>
      </c>
      <c r="AH465" s="9">
        <v>32.589351949315954</v>
      </c>
      <c r="AI465" s="9">
        <v>34.825222308406182</v>
      </c>
      <c r="AJ465" s="9">
        <v>3.0428788910505911</v>
      </c>
    </row>
    <row r="466" spans="1:36" x14ac:dyDescent="0.25">
      <c r="A466" t="s">
        <v>5411</v>
      </c>
      <c r="B466" t="s">
        <v>16</v>
      </c>
      <c r="C466" t="s">
        <v>17</v>
      </c>
      <c r="D466">
        <v>15940000</v>
      </c>
      <c r="E466">
        <v>15949999</v>
      </c>
      <c r="F466" t="s">
        <v>409</v>
      </c>
      <c r="G466" t="str">
        <f t="shared" si="14"/>
        <v>SPI II</v>
      </c>
      <c r="H466" t="s">
        <v>19</v>
      </c>
      <c r="I466" t="s">
        <v>20</v>
      </c>
      <c r="J466" t="s">
        <v>64</v>
      </c>
      <c r="K466" s="6">
        <v>0.03</v>
      </c>
      <c r="L466" s="7">
        <f t="shared" si="15"/>
        <v>2E-3</v>
      </c>
      <c r="M466" s="7">
        <v>3.0000000000000001E-3</v>
      </c>
      <c r="N466">
        <v>7</v>
      </c>
      <c r="O466" s="8">
        <v>17.934556092922943</v>
      </c>
      <c r="P466" s="9">
        <v>17.934556092922943</v>
      </c>
      <c r="Q466" s="9">
        <v>17.934556092922943</v>
      </c>
      <c r="R466" s="9">
        <v>18.35577997371016</v>
      </c>
      <c r="S466" s="9">
        <v>18.404835306435746</v>
      </c>
      <c r="T466" s="9">
        <v>19.112621008962602</v>
      </c>
      <c r="U466" s="9">
        <v>20.35176903227914</v>
      </c>
      <c r="V466" s="9">
        <v>20.35176903227914</v>
      </c>
      <c r="W466" s="9">
        <v>20.35176903227914</v>
      </c>
      <c r="X466" s="9">
        <v>19.91589544268896</v>
      </c>
      <c r="Y466" s="9">
        <v>19.91589544268896</v>
      </c>
      <c r="Z466" s="9">
        <v>21.609947773831163</v>
      </c>
      <c r="AA466" s="9">
        <v>21.609947773831163</v>
      </c>
      <c r="AB466" s="9">
        <v>23.372671736151272</v>
      </c>
      <c r="AC466" s="9">
        <v>23.372671736151272</v>
      </c>
      <c r="AD466" s="9">
        <v>26.430826810726163</v>
      </c>
      <c r="AE466" s="9">
        <v>27.959768706413232</v>
      </c>
      <c r="AF466" s="9">
        <v>29.772701744670762</v>
      </c>
      <c r="AG466" s="9">
        <v>29.772701744670762</v>
      </c>
      <c r="AH466" s="9">
        <v>32.589351949315954</v>
      </c>
      <c r="AI466" s="9">
        <v>34.825222308406182</v>
      </c>
      <c r="AJ466" s="9">
        <v>3.0428788910505911</v>
      </c>
    </row>
    <row r="467" spans="1:36" x14ac:dyDescent="0.25">
      <c r="A467" t="s">
        <v>5411</v>
      </c>
      <c r="B467" t="s">
        <v>16</v>
      </c>
      <c r="C467" t="s">
        <v>17</v>
      </c>
      <c r="D467">
        <v>15950000</v>
      </c>
      <c r="E467">
        <v>15959999</v>
      </c>
      <c r="F467" t="s">
        <v>410</v>
      </c>
      <c r="G467" t="str">
        <f t="shared" si="14"/>
        <v>SPI II</v>
      </c>
      <c r="H467" t="s">
        <v>19</v>
      </c>
      <c r="I467" t="s">
        <v>20</v>
      </c>
      <c r="J467" t="s">
        <v>64</v>
      </c>
      <c r="K467" s="6">
        <v>0.03</v>
      </c>
      <c r="L467" s="7">
        <f t="shared" si="15"/>
        <v>2E-3</v>
      </c>
      <c r="M467" s="7">
        <v>3.0000000000000001E-3</v>
      </c>
      <c r="N467">
        <v>6</v>
      </c>
      <c r="O467" s="8">
        <v>17.934556092922943</v>
      </c>
      <c r="P467" s="9">
        <v>17.934556092922943</v>
      </c>
      <c r="Q467" s="9">
        <v>17.934556092922943</v>
      </c>
      <c r="R467" s="9">
        <v>18.35577997371016</v>
      </c>
      <c r="S467" s="9">
        <v>18.404835306435746</v>
      </c>
      <c r="T467" s="9">
        <v>19.112621008962602</v>
      </c>
      <c r="U467" s="9">
        <v>20.35176903227914</v>
      </c>
      <c r="V467" s="9">
        <v>20.35176903227914</v>
      </c>
      <c r="W467" s="9">
        <v>20.35176903227914</v>
      </c>
      <c r="X467" s="9">
        <v>19.91589544268896</v>
      </c>
      <c r="Y467" s="9">
        <v>19.91589544268896</v>
      </c>
      <c r="Z467" s="9">
        <v>21.609947773831163</v>
      </c>
      <c r="AA467" s="9">
        <v>21.609947773831163</v>
      </c>
      <c r="AB467" s="9">
        <v>23.372671736151272</v>
      </c>
      <c r="AC467" s="9">
        <v>23.372671736151272</v>
      </c>
      <c r="AD467" s="9">
        <v>26.430826810726163</v>
      </c>
      <c r="AE467" s="9">
        <v>27.959768706413232</v>
      </c>
      <c r="AF467" s="9">
        <v>29.772701744670762</v>
      </c>
      <c r="AG467" s="9">
        <v>29.772701744670762</v>
      </c>
      <c r="AH467" s="9">
        <v>32.589351949315954</v>
      </c>
      <c r="AI467" s="9">
        <v>34.825222308406182</v>
      </c>
      <c r="AJ467" s="9">
        <v>3.0428788910505911</v>
      </c>
    </row>
    <row r="468" spans="1:36" x14ac:dyDescent="0.25">
      <c r="A468" t="s">
        <v>5411</v>
      </c>
      <c r="B468" t="s">
        <v>16</v>
      </c>
      <c r="C468" t="s">
        <v>17</v>
      </c>
      <c r="D468">
        <v>15960000</v>
      </c>
      <c r="E468">
        <v>15969999</v>
      </c>
      <c r="F468" t="s">
        <v>411</v>
      </c>
      <c r="G468" t="str">
        <f t="shared" si="14"/>
        <v>SPI II</v>
      </c>
      <c r="H468" t="s">
        <v>19</v>
      </c>
      <c r="I468" t="s">
        <v>20</v>
      </c>
      <c r="J468" t="s">
        <v>64</v>
      </c>
      <c r="K468" s="6">
        <v>0.03</v>
      </c>
      <c r="L468" s="7">
        <f t="shared" si="15"/>
        <v>2E-3</v>
      </c>
      <c r="M468" s="7">
        <v>3.0000000000000001E-3</v>
      </c>
      <c r="N468">
        <v>7</v>
      </c>
      <c r="O468" s="8">
        <v>17.934556092922943</v>
      </c>
      <c r="P468" s="9">
        <v>17.934556092922943</v>
      </c>
      <c r="Q468" s="9">
        <v>17.934556092922943</v>
      </c>
      <c r="R468" s="9">
        <v>18.35577997371016</v>
      </c>
      <c r="S468" s="9">
        <v>18.404835306435746</v>
      </c>
      <c r="T468" s="9">
        <v>19.112621008962602</v>
      </c>
      <c r="U468" s="9">
        <v>20.35176903227914</v>
      </c>
      <c r="V468" s="9">
        <v>20.35176903227914</v>
      </c>
      <c r="W468" s="9">
        <v>20.35176903227914</v>
      </c>
      <c r="X468" s="9">
        <v>19.91589544268896</v>
      </c>
      <c r="Y468" s="9">
        <v>19.91589544268896</v>
      </c>
      <c r="Z468" s="9">
        <v>21.609947773831163</v>
      </c>
      <c r="AA468" s="9">
        <v>21.609947773831163</v>
      </c>
      <c r="AB468" s="9">
        <v>23.372671736151272</v>
      </c>
      <c r="AC468" s="9">
        <v>23.372671736151272</v>
      </c>
      <c r="AD468" s="9">
        <v>26.430826810726163</v>
      </c>
      <c r="AE468" s="9">
        <v>27.959768706413232</v>
      </c>
      <c r="AF468" s="9">
        <v>29.772701744670762</v>
      </c>
      <c r="AG468" s="9">
        <v>29.772701744670762</v>
      </c>
      <c r="AH468" s="9">
        <v>32.589351949315954</v>
      </c>
      <c r="AI468" s="9">
        <v>34.825222308406182</v>
      </c>
      <c r="AJ468" s="9">
        <v>3.0428788910505911</v>
      </c>
    </row>
    <row r="469" spans="1:36" x14ac:dyDescent="0.25">
      <c r="A469" t="s">
        <v>5411</v>
      </c>
      <c r="B469" t="s">
        <v>16</v>
      </c>
      <c r="C469" t="s">
        <v>17</v>
      </c>
      <c r="D469">
        <v>15970000</v>
      </c>
      <c r="E469">
        <v>15979999</v>
      </c>
      <c r="F469" t="s">
        <v>412</v>
      </c>
      <c r="G469" t="str">
        <f t="shared" si="14"/>
        <v>SPI II</v>
      </c>
      <c r="H469" t="s">
        <v>19</v>
      </c>
      <c r="I469" t="s">
        <v>20</v>
      </c>
      <c r="J469" t="s">
        <v>64</v>
      </c>
      <c r="K469" s="6">
        <v>0.03</v>
      </c>
      <c r="L469" s="7">
        <f t="shared" si="15"/>
        <v>2E-3</v>
      </c>
      <c r="M469" s="7">
        <v>3.0000000000000001E-3</v>
      </c>
      <c r="N469">
        <v>6</v>
      </c>
      <c r="O469" s="8">
        <v>17.934556092922943</v>
      </c>
      <c r="P469" s="9">
        <v>17.934556092922943</v>
      </c>
      <c r="Q469" s="9">
        <v>17.934556092922943</v>
      </c>
      <c r="R469" s="9">
        <v>18.35577997371016</v>
      </c>
      <c r="S469" s="9">
        <v>18.404835306435746</v>
      </c>
      <c r="T469" s="9">
        <v>19.112621008962602</v>
      </c>
      <c r="U469" s="9">
        <v>20.35176903227914</v>
      </c>
      <c r="V469" s="9">
        <v>20.35176903227914</v>
      </c>
      <c r="W469" s="9">
        <v>20.35176903227914</v>
      </c>
      <c r="X469" s="9">
        <v>19.91589544268896</v>
      </c>
      <c r="Y469" s="9">
        <v>19.91589544268896</v>
      </c>
      <c r="Z469" s="9">
        <v>21.609947773831163</v>
      </c>
      <c r="AA469" s="9">
        <v>21.609947773831163</v>
      </c>
      <c r="AB469" s="9">
        <v>23.372671736151272</v>
      </c>
      <c r="AC469" s="9">
        <v>23.372671736151272</v>
      </c>
      <c r="AD469" s="9">
        <v>26.430826810726163</v>
      </c>
      <c r="AE469" s="9">
        <v>27.959768706413232</v>
      </c>
      <c r="AF469" s="9">
        <v>29.772701744670762</v>
      </c>
      <c r="AG469" s="9">
        <v>29.772701744670762</v>
      </c>
      <c r="AH469" s="9">
        <v>32.589351949315954</v>
      </c>
      <c r="AI469" s="9">
        <v>34.825222308406182</v>
      </c>
      <c r="AJ469" s="9">
        <v>3.0428788910505911</v>
      </c>
    </row>
    <row r="470" spans="1:36" x14ac:dyDescent="0.25">
      <c r="A470" t="s">
        <v>5411</v>
      </c>
      <c r="B470" t="s">
        <v>16</v>
      </c>
      <c r="C470" t="s">
        <v>17</v>
      </c>
      <c r="D470">
        <v>15980000</v>
      </c>
      <c r="E470">
        <v>15989999</v>
      </c>
      <c r="F470" t="s">
        <v>413</v>
      </c>
      <c r="G470" t="str">
        <f t="shared" si="14"/>
        <v>SPI II</v>
      </c>
      <c r="H470" t="s">
        <v>19</v>
      </c>
      <c r="I470" t="s">
        <v>20</v>
      </c>
      <c r="J470" t="s">
        <v>64</v>
      </c>
      <c r="K470" s="6">
        <v>0.03</v>
      </c>
      <c r="L470" s="7">
        <f t="shared" si="15"/>
        <v>2E-3</v>
      </c>
      <c r="M470" s="7">
        <v>3.0000000000000001E-3</v>
      </c>
      <c r="N470">
        <v>9</v>
      </c>
      <c r="O470" s="8">
        <v>17.934556092922943</v>
      </c>
      <c r="P470" s="9">
        <v>17.934556092922943</v>
      </c>
      <c r="Q470" s="9">
        <v>17.934556092922943</v>
      </c>
      <c r="R470" s="9">
        <v>18.35577997371016</v>
      </c>
      <c r="S470" s="9">
        <v>18.404835306435746</v>
      </c>
      <c r="T470" s="9">
        <v>19.112621008962602</v>
      </c>
      <c r="U470" s="9">
        <v>20.35176903227914</v>
      </c>
      <c r="V470" s="9">
        <v>20.35176903227914</v>
      </c>
      <c r="W470" s="9">
        <v>20.35176903227914</v>
      </c>
      <c r="X470" s="9">
        <v>19.91589544268896</v>
      </c>
      <c r="Y470" s="9">
        <v>19.91589544268896</v>
      </c>
      <c r="Z470" s="9">
        <v>21.609947773831163</v>
      </c>
      <c r="AA470" s="9">
        <v>21.609947773831163</v>
      </c>
      <c r="AB470" s="9">
        <v>23.372671736151272</v>
      </c>
      <c r="AC470" s="9">
        <v>23.372671736151272</v>
      </c>
      <c r="AD470" s="9">
        <v>26.430826810726163</v>
      </c>
      <c r="AE470" s="9">
        <v>27.959768706413232</v>
      </c>
      <c r="AF470" s="9">
        <v>29.772701744670762</v>
      </c>
      <c r="AG470" s="9">
        <v>29.772701744670762</v>
      </c>
      <c r="AH470" s="9">
        <v>32.589351949315954</v>
      </c>
      <c r="AI470" s="9">
        <v>34.825222308406182</v>
      </c>
      <c r="AJ470" s="9">
        <v>3.0428788910505911</v>
      </c>
    </row>
    <row r="471" spans="1:36" x14ac:dyDescent="0.25">
      <c r="A471" t="s">
        <v>5411</v>
      </c>
      <c r="B471" t="s">
        <v>16</v>
      </c>
      <c r="C471" t="s">
        <v>17</v>
      </c>
      <c r="D471">
        <v>15990000</v>
      </c>
      <c r="E471">
        <v>15999999</v>
      </c>
      <c r="F471" t="s">
        <v>414</v>
      </c>
      <c r="G471" t="str">
        <f t="shared" si="14"/>
        <v>SPI II</v>
      </c>
      <c r="H471" t="s">
        <v>19</v>
      </c>
      <c r="I471" t="s">
        <v>20</v>
      </c>
      <c r="J471" t="s">
        <v>64</v>
      </c>
      <c r="K471" s="6">
        <v>0.03</v>
      </c>
      <c r="L471" s="7">
        <f t="shared" si="15"/>
        <v>2E-3</v>
      </c>
      <c r="M471" s="7">
        <v>3.0000000000000001E-3</v>
      </c>
      <c r="N471">
        <v>8</v>
      </c>
      <c r="O471" s="8">
        <v>17.934556092922943</v>
      </c>
      <c r="P471" s="9">
        <v>17.934556092922943</v>
      </c>
      <c r="Q471" s="9">
        <v>17.934556092922943</v>
      </c>
      <c r="R471" s="9">
        <v>18.35577997371016</v>
      </c>
      <c r="S471" s="9">
        <v>18.404835306435746</v>
      </c>
      <c r="T471" s="9">
        <v>19.112621008962602</v>
      </c>
      <c r="U471" s="9">
        <v>20.35176903227914</v>
      </c>
      <c r="V471" s="9">
        <v>20.35176903227914</v>
      </c>
      <c r="W471" s="9">
        <v>20.35176903227914</v>
      </c>
      <c r="X471" s="9">
        <v>19.91589544268896</v>
      </c>
      <c r="Y471" s="9">
        <v>19.91589544268896</v>
      </c>
      <c r="Z471" s="9">
        <v>21.609947773831163</v>
      </c>
      <c r="AA471" s="9">
        <v>21.609947773831163</v>
      </c>
      <c r="AB471" s="9">
        <v>23.372671736151272</v>
      </c>
      <c r="AC471" s="9">
        <v>23.372671736151272</v>
      </c>
      <c r="AD471" s="9">
        <v>26.430826810726163</v>
      </c>
      <c r="AE471" s="9">
        <v>27.959768706413232</v>
      </c>
      <c r="AF471" s="9">
        <v>29.772701744670762</v>
      </c>
      <c r="AG471" s="9">
        <v>29.772701744670762</v>
      </c>
      <c r="AH471" s="9">
        <v>32.589351949315954</v>
      </c>
      <c r="AI471" s="9">
        <v>34.825222308406182</v>
      </c>
      <c r="AJ471" s="9">
        <v>3.0428788910505911</v>
      </c>
    </row>
    <row r="472" spans="1:36" x14ac:dyDescent="0.25">
      <c r="A472" t="s">
        <v>5411</v>
      </c>
      <c r="B472" t="s">
        <v>16</v>
      </c>
      <c r="C472" t="s">
        <v>17</v>
      </c>
      <c r="D472">
        <v>16000000</v>
      </c>
      <c r="E472">
        <v>16129999</v>
      </c>
      <c r="F472" t="s">
        <v>415</v>
      </c>
      <c r="G472" t="str">
        <f t="shared" si="14"/>
        <v>SPI</v>
      </c>
      <c r="H472" t="s">
        <v>19</v>
      </c>
      <c r="I472" t="s">
        <v>20</v>
      </c>
      <c r="J472" t="s">
        <v>62</v>
      </c>
      <c r="K472" s="6">
        <v>0.03</v>
      </c>
      <c r="L472" s="7">
        <f t="shared" si="15"/>
        <v>2E-3</v>
      </c>
      <c r="M472" s="7">
        <v>3.0000000000000001E-3</v>
      </c>
      <c r="N472">
        <v>6</v>
      </c>
      <c r="O472" s="8">
        <v>14.260089507934383</v>
      </c>
      <c r="P472" s="9">
        <v>14.260089507934383</v>
      </c>
      <c r="Q472" s="9">
        <v>14.260089507934383</v>
      </c>
      <c r="R472" s="9">
        <v>14.434686024139818</v>
      </c>
      <c r="S472" s="9">
        <v>14.722027102535575</v>
      </c>
      <c r="T472" s="9">
        <v>15.677715915555218</v>
      </c>
      <c r="U472" s="9">
        <v>17.010379604817192</v>
      </c>
      <c r="V472" s="9">
        <v>17.010379604817192</v>
      </c>
      <c r="W472" s="9">
        <v>17.010379604817192</v>
      </c>
      <c r="X472" s="9">
        <v>16.884570568466835</v>
      </c>
      <c r="Y472" s="9">
        <v>16.884570568466835</v>
      </c>
      <c r="Z472" s="9">
        <v>18.617757359760585</v>
      </c>
      <c r="AA472" s="9">
        <v>18.617757359760585</v>
      </c>
      <c r="AB472" s="9">
        <v>20.52292271594289</v>
      </c>
      <c r="AC472" s="9">
        <v>20.52292271594289</v>
      </c>
      <c r="AD472" s="9">
        <v>22.530627040176761</v>
      </c>
      <c r="AE472" s="9">
        <v>24.654059850225856</v>
      </c>
      <c r="AF472" s="9">
        <v>28.622962393602329</v>
      </c>
      <c r="AG472" s="9">
        <v>28.622962393602329</v>
      </c>
      <c r="AH472" s="9">
        <v>31.011605245024167</v>
      </c>
      <c r="AI472" s="9">
        <v>33.330799286496742</v>
      </c>
      <c r="AJ472" s="9">
        <v>3.0428788910505911</v>
      </c>
    </row>
    <row r="473" spans="1:36" x14ac:dyDescent="0.25">
      <c r="A473" t="s">
        <v>5411</v>
      </c>
      <c r="B473" t="s">
        <v>16</v>
      </c>
      <c r="C473" t="s">
        <v>17</v>
      </c>
      <c r="D473">
        <v>16130000</v>
      </c>
      <c r="E473">
        <v>16199999</v>
      </c>
      <c r="F473" t="s">
        <v>416</v>
      </c>
      <c r="G473" t="str">
        <f t="shared" si="14"/>
        <v>SPI II</v>
      </c>
      <c r="H473" t="s">
        <v>19</v>
      </c>
      <c r="I473" t="s">
        <v>20</v>
      </c>
      <c r="J473" t="s">
        <v>64</v>
      </c>
      <c r="K473" s="6">
        <v>0.03</v>
      </c>
      <c r="L473" s="7">
        <f t="shared" si="15"/>
        <v>2E-3</v>
      </c>
      <c r="M473" s="7">
        <v>3.0000000000000001E-3</v>
      </c>
      <c r="N473">
        <v>7</v>
      </c>
      <c r="O473" s="8">
        <v>17.934556092922943</v>
      </c>
      <c r="P473" s="9">
        <v>17.934556092922943</v>
      </c>
      <c r="Q473" s="9">
        <v>17.934556092922943</v>
      </c>
      <c r="R473" s="9">
        <v>18.35577997371016</v>
      </c>
      <c r="S473" s="9">
        <v>18.404835306435746</v>
      </c>
      <c r="T473" s="9">
        <v>19.112621008962602</v>
      </c>
      <c r="U473" s="9">
        <v>20.35176903227914</v>
      </c>
      <c r="V473" s="9">
        <v>20.35176903227914</v>
      </c>
      <c r="W473" s="9">
        <v>20.35176903227914</v>
      </c>
      <c r="X473" s="9">
        <v>19.91589544268896</v>
      </c>
      <c r="Y473" s="9">
        <v>19.91589544268896</v>
      </c>
      <c r="Z473" s="9">
        <v>21.609947773831163</v>
      </c>
      <c r="AA473" s="9">
        <v>21.609947773831163</v>
      </c>
      <c r="AB473" s="9">
        <v>23.372671736151272</v>
      </c>
      <c r="AC473" s="9">
        <v>23.372671736151272</v>
      </c>
      <c r="AD473" s="9">
        <v>26.430826810726163</v>
      </c>
      <c r="AE473" s="9">
        <v>27.959768706413232</v>
      </c>
      <c r="AF473" s="9">
        <v>29.772701744670762</v>
      </c>
      <c r="AG473" s="9">
        <v>29.772701744670762</v>
      </c>
      <c r="AH473" s="9">
        <v>32.589351949315954</v>
      </c>
      <c r="AI473" s="9">
        <v>34.825222308406182</v>
      </c>
      <c r="AJ473" s="9">
        <v>3.0428788910505911</v>
      </c>
    </row>
    <row r="474" spans="1:36" x14ac:dyDescent="0.25">
      <c r="A474" t="s">
        <v>5411</v>
      </c>
      <c r="B474" t="s">
        <v>16</v>
      </c>
      <c r="C474" t="s">
        <v>17</v>
      </c>
      <c r="D474">
        <v>16200000</v>
      </c>
      <c r="E474">
        <v>16209999</v>
      </c>
      <c r="F474" t="s">
        <v>417</v>
      </c>
      <c r="G474" t="str">
        <f t="shared" si="14"/>
        <v>SPI II</v>
      </c>
      <c r="H474" t="s">
        <v>19</v>
      </c>
      <c r="I474" t="s">
        <v>20</v>
      </c>
      <c r="J474" t="s">
        <v>64</v>
      </c>
      <c r="K474" s="6">
        <v>0.03</v>
      </c>
      <c r="L474" s="7">
        <f t="shared" si="15"/>
        <v>2E-3</v>
      </c>
      <c r="M474" s="7">
        <v>3.0000000000000001E-3</v>
      </c>
      <c r="N474">
        <v>7</v>
      </c>
      <c r="O474" s="8">
        <v>17.934556092922943</v>
      </c>
      <c r="P474" s="9">
        <v>17.934556092922943</v>
      </c>
      <c r="Q474" s="9">
        <v>17.934556092922943</v>
      </c>
      <c r="R474" s="9">
        <v>18.35577997371016</v>
      </c>
      <c r="S474" s="9">
        <v>18.404835306435746</v>
      </c>
      <c r="T474" s="9">
        <v>19.112621008962602</v>
      </c>
      <c r="U474" s="9">
        <v>20.35176903227914</v>
      </c>
      <c r="V474" s="9">
        <v>20.35176903227914</v>
      </c>
      <c r="W474" s="9">
        <v>20.35176903227914</v>
      </c>
      <c r="X474" s="9">
        <v>19.91589544268896</v>
      </c>
      <c r="Y474" s="9">
        <v>19.91589544268896</v>
      </c>
      <c r="Z474" s="9">
        <v>21.609947773831163</v>
      </c>
      <c r="AA474" s="9">
        <v>21.609947773831163</v>
      </c>
      <c r="AB474" s="9">
        <v>23.372671736151272</v>
      </c>
      <c r="AC474" s="9">
        <v>23.372671736151272</v>
      </c>
      <c r="AD474" s="9">
        <v>26.430826810726163</v>
      </c>
      <c r="AE474" s="9">
        <v>27.959768706413232</v>
      </c>
      <c r="AF474" s="9">
        <v>29.772701744670762</v>
      </c>
      <c r="AG474" s="9">
        <v>29.772701744670762</v>
      </c>
      <c r="AH474" s="9">
        <v>32.589351949315954</v>
      </c>
      <c r="AI474" s="9">
        <v>34.825222308406182</v>
      </c>
      <c r="AJ474" s="9">
        <v>3.0428788910505911</v>
      </c>
    </row>
    <row r="475" spans="1:36" x14ac:dyDescent="0.25">
      <c r="A475" t="s">
        <v>5411</v>
      </c>
      <c r="B475" t="s">
        <v>16</v>
      </c>
      <c r="C475" t="s">
        <v>17</v>
      </c>
      <c r="D475">
        <v>16210000</v>
      </c>
      <c r="E475">
        <v>16219999</v>
      </c>
      <c r="F475" t="s">
        <v>418</v>
      </c>
      <c r="G475" t="str">
        <f t="shared" si="14"/>
        <v>SPI II</v>
      </c>
      <c r="H475" t="s">
        <v>19</v>
      </c>
      <c r="I475" t="s">
        <v>20</v>
      </c>
      <c r="J475" t="s">
        <v>64</v>
      </c>
      <c r="K475" s="6">
        <v>0.03</v>
      </c>
      <c r="L475" s="7">
        <f t="shared" si="15"/>
        <v>2E-3</v>
      </c>
      <c r="M475" s="7">
        <v>3.0000000000000001E-3</v>
      </c>
      <c r="N475">
        <v>7</v>
      </c>
      <c r="O475" s="8">
        <v>17.934556092922943</v>
      </c>
      <c r="P475" s="9">
        <v>17.934556092922943</v>
      </c>
      <c r="Q475" s="9">
        <v>17.934556092922943</v>
      </c>
      <c r="R475" s="9">
        <v>18.35577997371016</v>
      </c>
      <c r="S475" s="9">
        <v>18.404835306435746</v>
      </c>
      <c r="T475" s="9">
        <v>19.112621008962602</v>
      </c>
      <c r="U475" s="9">
        <v>20.35176903227914</v>
      </c>
      <c r="V475" s="9">
        <v>20.35176903227914</v>
      </c>
      <c r="W475" s="9">
        <v>20.35176903227914</v>
      </c>
      <c r="X475" s="9">
        <v>19.91589544268896</v>
      </c>
      <c r="Y475" s="9">
        <v>19.91589544268896</v>
      </c>
      <c r="Z475" s="9">
        <v>21.609947773831163</v>
      </c>
      <c r="AA475" s="9">
        <v>21.609947773831163</v>
      </c>
      <c r="AB475" s="9">
        <v>23.372671736151272</v>
      </c>
      <c r="AC475" s="9">
        <v>23.372671736151272</v>
      </c>
      <c r="AD475" s="9">
        <v>26.430826810726163</v>
      </c>
      <c r="AE475" s="9">
        <v>27.959768706413232</v>
      </c>
      <c r="AF475" s="9">
        <v>29.772701744670762</v>
      </c>
      <c r="AG475" s="9">
        <v>29.772701744670762</v>
      </c>
      <c r="AH475" s="9">
        <v>32.589351949315954</v>
      </c>
      <c r="AI475" s="9">
        <v>34.825222308406182</v>
      </c>
      <c r="AJ475" s="9">
        <v>3.0428788910505911</v>
      </c>
    </row>
    <row r="476" spans="1:36" x14ac:dyDescent="0.25">
      <c r="A476" t="s">
        <v>5411</v>
      </c>
      <c r="B476" t="s">
        <v>16</v>
      </c>
      <c r="C476" t="s">
        <v>17</v>
      </c>
      <c r="D476">
        <v>16220000</v>
      </c>
      <c r="E476">
        <v>16229999</v>
      </c>
      <c r="F476" t="s">
        <v>419</v>
      </c>
      <c r="G476" t="str">
        <f t="shared" si="14"/>
        <v>SPI II</v>
      </c>
      <c r="H476" t="s">
        <v>19</v>
      </c>
      <c r="I476" t="s">
        <v>20</v>
      </c>
      <c r="J476" t="s">
        <v>64</v>
      </c>
      <c r="K476" s="6">
        <v>0.03</v>
      </c>
      <c r="L476" s="7">
        <f t="shared" si="15"/>
        <v>2E-3</v>
      </c>
      <c r="M476" s="7">
        <v>3.0000000000000001E-3</v>
      </c>
      <c r="N476">
        <v>7</v>
      </c>
      <c r="O476" s="8">
        <v>17.934556092922943</v>
      </c>
      <c r="P476" s="9">
        <v>17.934556092922943</v>
      </c>
      <c r="Q476" s="9">
        <v>17.934556092922943</v>
      </c>
      <c r="R476" s="9">
        <v>18.35577997371016</v>
      </c>
      <c r="S476" s="9">
        <v>18.404835306435746</v>
      </c>
      <c r="T476" s="9">
        <v>19.112621008962602</v>
      </c>
      <c r="U476" s="9">
        <v>20.35176903227914</v>
      </c>
      <c r="V476" s="9">
        <v>20.35176903227914</v>
      </c>
      <c r="W476" s="9">
        <v>20.35176903227914</v>
      </c>
      <c r="X476" s="9">
        <v>19.91589544268896</v>
      </c>
      <c r="Y476" s="9">
        <v>19.91589544268896</v>
      </c>
      <c r="Z476" s="9">
        <v>21.609947773831163</v>
      </c>
      <c r="AA476" s="9">
        <v>21.609947773831163</v>
      </c>
      <c r="AB476" s="9">
        <v>23.372671736151272</v>
      </c>
      <c r="AC476" s="9">
        <v>23.372671736151272</v>
      </c>
      <c r="AD476" s="9">
        <v>26.430826810726163</v>
      </c>
      <c r="AE476" s="9">
        <v>27.959768706413232</v>
      </c>
      <c r="AF476" s="9">
        <v>29.772701744670762</v>
      </c>
      <c r="AG476" s="9">
        <v>29.772701744670762</v>
      </c>
      <c r="AH476" s="9">
        <v>32.589351949315954</v>
      </c>
      <c r="AI476" s="9">
        <v>34.825222308406182</v>
      </c>
      <c r="AJ476" s="9">
        <v>3.0428788910505911</v>
      </c>
    </row>
    <row r="477" spans="1:36" x14ac:dyDescent="0.25">
      <c r="A477" t="s">
        <v>5411</v>
      </c>
      <c r="B477" t="s">
        <v>16</v>
      </c>
      <c r="C477" t="s">
        <v>17</v>
      </c>
      <c r="D477">
        <v>16230000</v>
      </c>
      <c r="E477">
        <v>16239999</v>
      </c>
      <c r="F477" t="s">
        <v>420</v>
      </c>
      <c r="G477" t="str">
        <f t="shared" si="14"/>
        <v>SPI II</v>
      </c>
      <c r="H477" t="s">
        <v>19</v>
      </c>
      <c r="I477" t="s">
        <v>20</v>
      </c>
      <c r="J477" t="s">
        <v>64</v>
      </c>
      <c r="K477" s="6">
        <v>0.03</v>
      </c>
      <c r="L477" s="7">
        <f t="shared" si="15"/>
        <v>2E-3</v>
      </c>
      <c r="M477" s="7">
        <v>3.0000000000000001E-3</v>
      </c>
      <c r="N477">
        <v>7</v>
      </c>
      <c r="O477" s="8">
        <v>17.934556092922943</v>
      </c>
      <c r="P477" s="9">
        <v>17.934556092922943</v>
      </c>
      <c r="Q477" s="9">
        <v>17.934556092922943</v>
      </c>
      <c r="R477" s="9">
        <v>18.35577997371016</v>
      </c>
      <c r="S477" s="9">
        <v>18.404835306435746</v>
      </c>
      <c r="T477" s="9">
        <v>19.112621008962602</v>
      </c>
      <c r="U477" s="9">
        <v>20.35176903227914</v>
      </c>
      <c r="V477" s="9">
        <v>20.35176903227914</v>
      </c>
      <c r="W477" s="9">
        <v>20.35176903227914</v>
      </c>
      <c r="X477" s="9">
        <v>19.91589544268896</v>
      </c>
      <c r="Y477" s="9">
        <v>19.91589544268896</v>
      </c>
      <c r="Z477" s="9">
        <v>21.609947773831163</v>
      </c>
      <c r="AA477" s="9">
        <v>21.609947773831163</v>
      </c>
      <c r="AB477" s="9">
        <v>23.372671736151272</v>
      </c>
      <c r="AC477" s="9">
        <v>23.372671736151272</v>
      </c>
      <c r="AD477" s="9">
        <v>26.430826810726163</v>
      </c>
      <c r="AE477" s="9">
        <v>27.959768706413232</v>
      </c>
      <c r="AF477" s="9">
        <v>29.772701744670762</v>
      </c>
      <c r="AG477" s="9">
        <v>29.772701744670762</v>
      </c>
      <c r="AH477" s="9">
        <v>32.589351949315954</v>
      </c>
      <c r="AI477" s="9">
        <v>34.825222308406182</v>
      </c>
      <c r="AJ477" s="9">
        <v>3.0428788910505911</v>
      </c>
    </row>
    <row r="478" spans="1:36" x14ac:dyDescent="0.25">
      <c r="A478" t="s">
        <v>5411</v>
      </c>
      <c r="B478" t="s">
        <v>16</v>
      </c>
      <c r="C478" t="s">
        <v>17</v>
      </c>
      <c r="D478">
        <v>16240000</v>
      </c>
      <c r="E478">
        <v>16249999</v>
      </c>
      <c r="F478" t="s">
        <v>421</v>
      </c>
      <c r="G478" t="str">
        <f t="shared" si="14"/>
        <v>SPI II</v>
      </c>
      <c r="H478" t="s">
        <v>19</v>
      </c>
      <c r="I478" t="s">
        <v>20</v>
      </c>
      <c r="J478" t="s">
        <v>64</v>
      </c>
      <c r="K478" s="6">
        <v>0.03</v>
      </c>
      <c r="L478" s="7">
        <f t="shared" si="15"/>
        <v>2E-3</v>
      </c>
      <c r="M478" s="7">
        <v>3.0000000000000001E-3</v>
      </c>
      <c r="N478">
        <v>7</v>
      </c>
      <c r="O478" s="8">
        <v>17.934556092922943</v>
      </c>
      <c r="P478" s="9">
        <v>17.934556092922943</v>
      </c>
      <c r="Q478" s="9">
        <v>17.934556092922943</v>
      </c>
      <c r="R478" s="9">
        <v>18.35577997371016</v>
      </c>
      <c r="S478" s="9">
        <v>18.404835306435746</v>
      </c>
      <c r="T478" s="9">
        <v>19.112621008962602</v>
      </c>
      <c r="U478" s="9">
        <v>20.35176903227914</v>
      </c>
      <c r="V478" s="9">
        <v>20.35176903227914</v>
      </c>
      <c r="W478" s="9">
        <v>20.35176903227914</v>
      </c>
      <c r="X478" s="9">
        <v>19.91589544268896</v>
      </c>
      <c r="Y478" s="9">
        <v>19.91589544268896</v>
      </c>
      <c r="Z478" s="9">
        <v>21.609947773831163</v>
      </c>
      <c r="AA478" s="9">
        <v>21.609947773831163</v>
      </c>
      <c r="AB478" s="9">
        <v>23.372671736151272</v>
      </c>
      <c r="AC478" s="9">
        <v>23.372671736151272</v>
      </c>
      <c r="AD478" s="9">
        <v>26.430826810726163</v>
      </c>
      <c r="AE478" s="9">
        <v>27.959768706413232</v>
      </c>
      <c r="AF478" s="9">
        <v>29.772701744670762</v>
      </c>
      <c r="AG478" s="9">
        <v>29.772701744670762</v>
      </c>
      <c r="AH478" s="9">
        <v>32.589351949315954</v>
      </c>
      <c r="AI478" s="9">
        <v>34.825222308406182</v>
      </c>
      <c r="AJ478" s="9">
        <v>3.0428788910505911</v>
      </c>
    </row>
    <row r="479" spans="1:36" x14ac:dyDescent="0.25">
      <c r="A479" t="s">
        <v>5411</v>
      </c>
      <c r="B479" t="s">
        <v>16</v>
      </c>
      <c r="C479" t="s">
        <v>17</v>
      </c>
      <c r="D479">
        <v>16250000</v>
      </c>
      <c r="E479">
        <v>16259999</v>
      </c>
      <c r="F479" t="s">
        <v>422</v>
      </c>
      <c r="G479" t="str">
        <f t="shared" si="14"/>
        <v>SPI II</v>
      </c>
      <c r="H479" t="s">
        <v>19</v>
      </c>
      <c r="I479" t="s">
        <v>20</v>
      </c>
      <c r="J479" t="s">
        <v>64</v>
      </c>
      <c r="K479" s="6">
        <v>0.03</v>
      </c>
      <c r="L479" s="7">
        <f t="shared" si="15"/>
        <v>2E-3</v>
      </c>
      <c r="M479" s="7">
        <v>3.0000000000000001E-3</v>
      </c>
      <c r="N479">
        <v>7</v>
      </c>
      <c r="O479" s="8">
        <v>17.934556092922943</v>
      </c>
      <c r="P479" s="9">
        <v>17.934556092922943</v>
      </c>
      <c r="Q479" s="9">
        <v>17.934556092922943</v>
      </c>
      <c r="R479" s="9">
        <v>18.35577997371016</v>
      </c>
      <c r="S479" s="9">
        <v>18.404835306435746</v>
      </c>
      <c r="T479" s="9">
        <v>19.112621008962602</v>
      </c>
      <c r="U479" s="9">
        <v>20.35176903227914</v>
      </c>
      <c r="V479" s="9">
        <v>20.35176903227914</v>
      </c>
      <c r="W479" s="9">
        <v>20.35176903227914</v>
      </c>
      <c r="X479" s="9">
        <v>19.91589544268896</v>
      </c>
      <c r="Y479" s="9">
        <v>19.91589544268896</v>
      </c>
      <c r="Z479" s="9">
        <v>21.609947773831163</v>
      </c>
      <c r="AA479" s="9">
        <v>21.609947773831163</v>
      </c>
      <c r="AB479" s="9">
        <v>23.372671736151272</v>
      </c>
      <c r="AC479" s="9">
        <v>23.372671736151272</v>
      </c>
      <c r="AD479" s="9">
        <v>26.430826810726163</v>
      </c>
      <c r="AE479" s="9">
        <v>27.959768706413232</v>
      </c>
      <c r="AF479" s="9">
        <v>29.772701744670762</v>
      </c>
      <c r="AG479" s="9">
        <v>29.772701744670762</v>
      </c>
      <c r="AH479" s="9">
        <v>32.589351949315954</v>
      </c>
      <c r="AI479" s="9">
        <v>34.825222308406182</v>
      </c>
      <c r="AJ479" s="9">
        <v>3.0428788910505911</v>
      </c>
    </row>
    <row r="480" spans="1:36" x14ac:dyDescent="0.25">
      <c r="A480" t="s">
        <v>5411</v>
      </c>
      <c r="B480" t="s">
        <v>16</v>
      </c>
      <c r="C480" t="s">
        <v>17</v>
      </c>
      <c r="D480">
        <v>16260000</v>
      </c>
      <c r="E480">
        <v>16264999</v>
      </c>
      <c r="F480" t="s">
        <v>423</v>
      </c>
      <c r="G480" t="str">
        <f t="shared" si="14"/>
        <v>SPI II</v>
      </c>
      <c r="H480" t="s">
        <v>19</v>
      </c>
      <c r="I480" t="s">
        <v>20</v>
      </c>
      <c r="J480" t="s">
        <v>64</v>
      </c>
      <c r="K480" s="6">
        <v>0.03</v>
      </c>
      <c r="L480" s="7">
        <f t="shared" si="15"/>
        <v>2E-3</v>
      </c>
      <c r="M480" s="7">
        <v>3.0000000000000001E-3</v>
      </c>
      <c r="N480">
        <v>7</v>
      </c>
      <c r="O480" s="8">
        <v>17.934556092922943</v>
      </c>
      <c r="P480" s="9">
        <v>17.934556092922943</v>
      </c>
      <c r="Q480" s="9">
        <v>17.934556092922943</v>
      </c>
      <c r="R480" s="9">
        <v>18.35577997371016</v>
      </c>
      <c r="S480" s="9">
        <v>18.404835306435746</v>
      </c>
      <c r="T480" s="9">
        <v>19.112621008962602</v>
      </c>
      <c r="U480" s="9">
        <v>20.35176903227914</v>
      </c>
      <c r="V480" s="9">
        <v>20.35176903227914</v>
      </c>
      <c r="W480" s="9">
        <v>20.35176903227914</v>
      </c>
      <c r="X480" s="9">
        <v>19.91589544268896</v>
      </c>
      <c r="Y480" s="9">
        <v>19.91589544268896</v>
      </c>
      <c r="Z480" s="9">
        <v>21.609947773831163</v>
      </c>
      <c r="AA480" s="9">
        <v>21.609947773831163</v>
      </c>
      <c r="AB480" s="9">
        <v>23.372671736151272</v>
      </c>
      <c r="AC480" s="9">
        <v>23.372671736151272</v>
      </c>
      <c r="AD480" s="9">
        <v>26.430826810726163</v>
      </c>
      <c r="AE480" s="9">
        <v>27.959768706413232</v>
      </c>
      <c r="AF480" s="9">
        <v>29.772701744670762</v>
      </c>
      <c r="AG480" s="9">
        <v>29.772701744670762</v>
      </c>
      <c r="AH480" s="9">
        <v>32.589351949315954</v>
      </c>
      <c r="AI480" s="9">
        <v>34.825222308406182</v>
      </c>
      <c r="AJ480" s="9">
        <v>3.0428788910505911</v>
      </c>
    </row>
    <row r="481" spans="1:36" x14ac:dyDescent="0.25">
      <c r="A481" t="s">
        <v>5411</v>
      </c>
      <c r="B481" t="s">
        <v>16</v>
      </c>
      <c r="C481" t="s">
        <v>17</v>
      </c>
      <c r="D481">
        <v>16265000</v>
      </c>
      <c r="E481">
        <v>16269999</v>
      </c>
      <c r="F481" t="s">
        <v>424</v>
      </c>
      <c r="G481" t="str">
        <f t="shared" si="14"/>
        <v>SPI II</v>
      </c>
      <c r="H481" t="s">
        <v>19</v>
      </c>
      <c r="I481" t="s">
        <v>20</v>
      </c>
      <c r="J481" t="s">
        <v>64</v>
      </c>
      <c r="K481" s="6">
        <v>0.03</v>
      </c>
      <c r="L481" s="7">
        <f t="shared" si="15"/>
        <v>2E-3</v>
      </c>
      <c r="M481" s="7">
        <v>3.0000000000000001E-3</v>
      </c>
      <c r="N481">
        <v>7</v>
      </c>
      <c r="O481" s="8">
        <v>17.934556092922943</v>
      </c>
      <c r="P481" s="9">
        <v>17.934556092922943</v>
      </c>
      <c r="Q481" s="9">
        <v>17.934556092922943</v>
      </c>
      <c r="R481" s="9">
        <v>18.35577997371016</v>
      </c>
      <c r="S481" s="9">
        <v>18.404835306435746</v>
      </c>
      <c r="T481" s="9">
        <v>19.112621008962602</v>
      </c>
      <c r="U481" s="9">
        <v>20.35176903227914</v>
      </c>
      <c r="V481" s="9">
        <v>20.35176903227914</v>
      </c>
      <c r="W481" s="9">
        <v>20.35176903227914</v>
      </c>
      <c r="X481" s="9">
        <v>19.91589544268896</v>
      </c>
      <c r="Y481" s="9">
        <v>19.91589544268896</v>
      </c>
      <c r="Z481" s="9">
        <v>21.609947773831163</v>
      </c>
      <c r="AA481" s="9">
        <v>21.609947773831163</v>
      </c>
      <c r="AB481" s="9">
        <v>23.372671736151272</v>
      </c>
      <c r="AC481" s="9">
        <v>23.372671736151272</v>
      </c>
      <c r="AD481" s="9">
        <v>26.430826810726163</v>
      </c>
      <c r="AE481" s="9">
        <v>27.959768706413232</v>
      </c>
      <c r="AF481" s="9">
        <v>29.772701744670762</v>
      </c>
      <c r="AG481" s="9">
        <v>29.772701744670762</v>
      </c>
      <c r="AH481" s="9">
        <v>32.589351949315954</v>
      </c>
      <c r="AI481" s="9">
        <v>34.825222308406182</v>
      </c>
      <c r="AJ481" s="9">
        <v>3.0428788910505911</v>
      </c>
    </row>
    <row r="482" spans="1:36" x14ac:dyDescent="0.25">
      <c r="A482" t="s">
        <v>5411</v>
      </c>
      <c r="B482" t="s">
        <v>16</v>
      </c>
      <c r="C482" t="s">
        <v>17</v>
      </c>
      <c r="D482">
        <v>16270000</v>
      </c>
      <c r="E482">
        <v>16289999</v>
      </c>
      <c r="F482" t="s">
        <v>425</v>
      </c>
      <c r="G482" t="str">
        <f t="shared" si="14"/>
        <v>SPI II</v>
      </c>
      <c r="H482" t="s">
        <v>19</v>
      </c>
      <c r="I482" t="s">
        <v>20</v>
      </c>
      <c r="J482" t="s">
        <v>64</v>
      </c>
      <c r="K482" s="6">
        <v>0.03</v>
      </c>
      <c r="L482" s="7">
        <f t="shared" si="15"/>
        <v>2E-3</v>
      </c>
      <c r="M482" s="7">
        <v>3.0000000000000001E-3</v>
      </c>
      <c r="N482">
        <v>7</v>
      </c>
      <c r="O482" s="8">
        <v>17.934556092922943</v>
      </c>
      <c r="P482" s="9">
        <v>17.934556092922943</v>
      </c>
      <c r="Q482" s="9">
        <v>17.934556092922943</v>
      </c>
      <c r="R482" s="9">
        <v>18.35577997371016</v>
      </c>
      <c r="S482" s="9">
        <v>18.404835306435746</v>
      </c>
      <c r="T482" s="9">
        <v>19.112621008962602</v>
      </c>
      <c r="U482" s="9">
        <v>20.35176903227914</v>
      </c>
      <c r="V482" s="9">
        <v>20.35176903227914</v>
      </c>
      <c r="W482" s="9">
        <v>20.35176903227914</v>
      </c>
      <c r="X482" s="9">
        <v>19.91589544268896</v>
      </c>
      <c r="Y482" s="9">
        <v>19.91589544268896</v>
      </c>
      <c r="Z482" s="9">
        <v>21.609947773831163</v>
      </c>
      <c r="AA482" s="9">
        <v>21.609947773831163</v>
      </c>
      <c r="AB482" s="9">
        <v>23.372671736151272</v>
      </c>
      <c r="AC482" s="9">
        <v>23.372671736151272</v>
      </c>
      <c r="AD482" s="9">
        <v>26.430826810726163</v>
      </c>
      <c r="AE482" s="9">
        <v>27.959768706413232</v>
      </c>
      <c r="AF482" s="9">
        <v>29.772701744670762</v>
      </c>
      <c r="AG482" s="9">
        <v>29.772701744670762</v>
      </c>
      <c r="AH482" s="9">
        <v>32.589351949315954</v>
      </c>
      <c r="AI482" s="9">
        <v>34.825222308406182</v>
      </c>
      <c r="AJ482" s="9">
        <v>3.0428788910505911</v>
      </c>
    </row>
    <row r="483" spans="1:36" x14ac:dyDescent="0.25">
      <c r="A483" t="s">
        <v>5411</v>
      </c>
      <c r="B483" t="s">
        <v>16</v>
      </c>
      <c r="C483" t="s">
        <v>17</v>
      </c>
      <c r="D483">
        <v>16290000</v>
      </c>
      <c r="E483">
        <v>16299999</v>
      </c>
      <c r="F483" t="s">
        <v>426</v>
      </c>
      <c r="G483" t="str">
        <f t="shared" si="14"/>
        <v>SPI II</v>
      </c>
      <c r="H483" t="s">
        <v>19</v>
      </c>
      <c r="I483" t="s">
        <v>20</v>
      </c>
      <c r="J483" t="s">
        <v>64</v>
      </c>
      <c r="K483" s="6">
        <v>0.03</v>
      </c>
      <c r="L483" s="7">
        <f t="shared" si="15"/>
        <v>2E-3</v>
      </c>
      <c r="M483" s="7">
        <v>3.0000000000000001E-3</v>
      </c>
      <c r="N483">
        <v>7</v>
      </c>
      <c r="O483" s="8">
        <v>17.934556092922943</v>
      </c>
      <c r="P483" s="9">
        <v>17.934556092922943</v>
      </c>
      <c r="Q483" s="9">
        <v>17.934556092922943</v>
      </c>
      <c r="R483" s="9">
        <v>18.35577997371016</v>
      </c>
      <c r="S483" s="9">
        <v>18.404835306435746</v>
      </c>
      <c r="T483" s="9">
        <v>19.112621008962602</v>
      </c>
      <c r="U483" s="9">
        <v>20.35176903227914</v>
      </c>
      <c r="V483" s="9">
        <v>20.35176903227914</v>
      </c>
      <c r="W483" s="9">
        <v>20.35176903227914</v>
      </c>
      <c r="X483" s="9">
        <v>19.91589544268896</v>
      </c>
      <c r="Y483" s="9">
        <v>19.91589544268896</v>
      </c>
      <c r="Z483" s="9">
        <v>21.609947773831163</v>
      </c>
      <c r="AA483" s="9">
        <v>21.609947773831163</v>
      </c>
      <c r="AB483" s="9">
        <v>23.372671736151272</v>
      </c>
      <c r="AC483" s="9">
        <v>23.372671736151272</v>
      </c>
      <c r="AD483" s="9">
        <v>26.430826810726163</v>
      </c>
      <c r="AE483" s="9">
        <v>27.959768706413232</v>
      </c>
      <c r="AF483" s="9">
        <v>29.772701744670762</v>
      </c>
      <c r="AG483" s="9">
        <v>29.772701744670762</v>
      </c>
      <c r="AH483" s="9">
        <v>32.589351949315954</v>
      </c>
      <c r="AI483" s="9">
        <v>34.825222308406182</v>
      </c>
      <c r="AJ483" s="9">
        <v>3.0428788910505911</v>
      </c>
    </row>
    <row r="484" spans="1:36" x14ac:dyDescent="0.25">
      <c r="A484" t="s">
        <v>5411</v>
      </c>
      <c r="B484" t="s">
        <v>16</v>
      </c>
      <c r="C484" t="s">
        <v>17</v>
      </c>
      <c r="D484">
        <v>16300000</v>
      </c>
      <c r="E484">
        <v>16309999</v>
      </c>
      <c r="F484" t="s">
        <v>427</v>
      </c>
      <c r="G484" t="str">
        <f t="shared" si="14"/>
        <v>SPI II</v>
      </c>
      <c r="H484" t="s">
        <v>19</v>
      </c>
      <c r="I484" t="s">
        <v>20</v>
      </c>
      <c r="J484" t="s">
        <v>64</v>
      </c>
      <c r="K484" s="6">
        <v>0.03</v>
      </c>
      <c r="L484" s="7">
        <f t="shared" si="15"/>
        <v>2E-3</v>
      </c>
      <c r="M484" s="7">
        <v>3.0000000000000001E-3</v>
      </c>
      <c r="N484">
        <v>7</v>
      </c>
      <c r="O484" s="8">
        <v>17.934556092922943</v>
      </c>
      <c r="P484" s="9">
        <v>17.934556092922943</v>
      </c>
      <c r="Q484" s="9">
        <v>17.934556092922943</v>
      </c>
      <c r="R484" s="9">
        <v>18.35577997371016</v>
      </c>
      <c r="S484" s="9">
        <v>18.404835306435746</v>
      </c>
      <c r="T484" s="9">
        <v>19.112621008962602</v>
      </c>
      <c r="U484" s="9">
        <v>20.35176903227914</v>
      </c>
      <c r="V484" s="9">
        <v>20.35176903227914</v>
      </c>
      <c r="W484" s="9">
        <v>20.35176903227914</v>
      </c>
      <c r="X484" s="9">
        <v>19.91589544268896</v>
      </c>
      <c r="Y484" s="9">
        <v>19.91589544268896</v>
      </c>
      <c r="Z484" s="9">
        <v>21.609947773831163</v>
      </c>
      <c r="AA484" s="9">
        <v>21.609947773831163</v>
      </c>
      <c r="AB484" s="9">
        <v>23.372671736151272</v>
      </c>
      <c r="AC484" s="9">
        <v>23.372671736151272</v>
      </c>
      <c r="AD484" s="9">
        <v>26.430826810726163</v>
      </c>
      <c r="AE484" s="9">
        <v>27.959768706413232</v>
      </c>
      <c r="AF484" s="9">
        <v>29.772701744670762</v>
      </c>
      <c r="AG484" s="9">
        <v>29.772701744670762</v>
      </c>
      <c r="AH484" s="9">
        <v>32.589351949315954</v>
      </c>
      <c r="AI484" s="9">
        <v>34.825222308406182</v>
      </c>
      <c r="AJ484" s="9">
        <v>3.0428788910505911</v>
      </c>
    </row>
    <row r="485" spans="1:36" x14ac:dyDescent="0.25">
      <c r="A485" t="s">
        <v>5411</v>
      </c>
      <c r="B485" t="s">
        <v>16</v>
      </c>
      <c r="C485" t="s">
        <v>17</v>
      </c>
      <c r="D485">
        <v>16310000</v>
      </c>
      <c r="E485">
        <v>16339999</v>
      </c>
      <c r="F485" t="s">
        <v>428</v>
      </c>
      <c r="G485" t="str">
        <f t="shared" si="14"/>
        <v>SPI II</v>
      </c>
      <c r="H485" t="s">
        <v>19</v>
      </c>
      <c r="I485" t="s">
        <v>20</v>
      </c>
      <c r="J485" t="s">
        <v>64</v>
      </c>
      <c r="K485" s="6">
        <v>0.03</v>
      </c>
      <c r="L485" s="7">
        <f t="shared" si="15"/>
        <v>2E-3</v>
      </c>
      <c r="M485" s="7">
        <v>3.0000000000000001E-3</v>
      </c>
      <c r="N485">
        <v>7</v>
      </c>
      <c r="O485" s="8">
        <v>17.934556092922943</v>
      </c>
      <c r="P485" s="9">
        <v>17.934556092922943</v>
      </c>
      <c r="Q485" s="9">
        <v>17.934556092922943</v>
      </c>
      <c r="R485" s="9">
        <v>18.35577997371016</v>
      </c>
      <c r="S485" s="9">
        <v>18.404835306435746</v>
      </c>
      <c r="T485" s="9">
        <v>19.112621008962602</v>
      </c>
      <c r="U485" s="9">
        <v>20.35176903227914</v>
      </c>
      <c r="V485" s="9">
        <v>20.35176903227914</v>
      </c>
      <c r="W485" s="9">
        <v>20.35176903227914</v>
      </c>
      <c r="X485" s="9">
        <v>19.91589544268896</v>
      </c>
      <c r="Y485" s="9">
        <v>19.91589544268896</v>
      </c>
      <c r="Z485" s="9">
        <v>21.609947773831163</v>
      </c>
      <c r="AA485" s="9">
        <v>21.609947773831163</v>
      </c>
      <c r="AB485" s="9">
        <v>23.372671736151272</v>
      </c>
      <c r="AC485" s="9">
        <v>23.372671736151272</v>
      </c>
      <c r="AD485" s="9">
        <v>26.430826810726163</v>
      </c>
      <c r="AE485" s="9">
        <v>27.959768706413232</v>
      </c>
      <c r="AF485" s="9">
        <v>29.772701744670762</v>
      </c>
      <c r="AG485" s="9">
        <v>29.772701744670762</v>
      </c>
      <c r="AH485" s="9">
        <v>32.589351949315954</v>
      </c>
      <c r="AI485" s="9">
        <v>34.825222308406182</v>
      </c>
      <c r="AJ485" s="9">
        <v>3.0428788910505911</v>
      </c>
    </row>
    <row r="486" spans="1:36" x14ac:dyDescent="0.25">
      <c r="A486" t="s">
        <v>5411</v>
      </c>
      <c r="B486" t="s">
        <v>16</v>
      </c>
      <c r="C486" t="s">
        <v>17</v>
      </c>
      <c r="D486">
        <v>16340000</v>
      </c>
      <c r="E486">
        <v>16349999</v>
      </c>
      <c r="F486" t="s">
        <v>429</v>
      </c>
      <c r="G486" t="str">
        <f t="shared" si="14"/>
        <v>SPI II</v>
      </c>
      <c r="H486" t="s">
        <v>19</v>
      </c>
      <c r="I486" t="s">
        <v>20</v>
      </c>
      <c r="J486" t="s">
        <v>64</v>
      </c>
      <c r="K486" s="6">
        <v>0.03</v>
      </c>
      <c r="L486" s="7">
        <f t="shared" si="15"/>
        <v>2E-3</v>
      </c>
      <c r="M486" s="7">
        <v>3.0000000000000001E-3</v>
      </c>
      <c r="N486">
        <v>7</v>
      </c>
      <c r="O486" s="8">
        <v>17.934556092922943</v>
      </c>
      <c r="P486" s="9">
        <v>17.934556092922943</v>
      </c>
      <c r="Q486" s="9">
        <v>17.934556092922943</v>
      </c>
      <c r="R486" s="9">
        <v>18.35577997371016</v>
      </c>
      <c r="S486" s="9">
        <v>18.404835306435746</v>
      </c>
      <c r="T486" s="9">
        <v>19.112621008962602</v>
      </c>
      <c r="U486" s="9">
        <v>20.35176903227914</v>
      </c>
      <c r="V486" s="9">
        <v>20.35176903227914</v>
      </c>
      <c r="W486" s="9">
        <v>20.35176903227914</v>
      </c>
      <c r="X486" s="9">
        <v>19.91589544268896</v>
      </c>
      <c r="Y486" s="9">
        <v>19.91589544268896</v>
      </c>
      <c r="Z486" s="9">
        <v>21.609947773831163</v>
      </c>
      <c r="AA486" s="9">
        <v>21.609947773831163</v>
      </c>
      <c r="AB486" s="9">
        <v>23.372671736151272</v>
      </c>
      <c r="AC486" s="9">
        <v>23.372671736151272</v>
      </c>
      <c r="AD486" s="9">
        <v>26.430826810726163</v>
      </c>
      <c r="AE486" s="9">
        <v>27.959768706413232</v>
      </c>
      <c r="AF486" s="9">
        <v>29.772701744670762</v>
      </c>
      <c r="AG486" s="9">
        <v>29.772701744670762</v>
      </c>
      <c r="AH486" s="9">
        <v>32.589351949315954</v>
      </c>
      <c r="AI486" s="9">
        <v>34.825222308406182</v>
      </c>
      <c r="AJ486" s="9">
        <v>3.0428788910505911</v>
      </c>
    </row>
    <row r="487" spans="1:36" x14ac:dyDescent="0.25">
      <c r="A487" t="s">
        <v>5411</v>
      </c>
      <c r="B487" t="s">
        <v>16</v>
      </c>
      <c r="C487" t="s">
        <v>17</v>
      </c>
      <c r="D487">
        <v>16350000</v>
      </c>
      <c r="E487">
        <v>16359999</v>
      </c>
      <c r="F487" t="s">
        <v>430</v>
      </c>
      <c r="G487" t="str">
        <f t="shared" si="14"/>
        <v>SPI II</v>
      </c>
      <c r="H487" t="s">
        <v>19</v>
      </c>
      <c r="I487" t="s">
        <v>20</v>
      </c>
      <c r="J487" t="s">
        <v>64</v>
      </c>
      <c r="K487" s="6">
        <v>0.03</v>
      </c>
      <c r="L487" s="7">
        <f t="shared" si="15"/>
        <v>2E-3</v>
      </c>
      <c r="M487" s="7">
        <v>3.0000000000000001E-3</v>
      </c>
      <c r="N487">
        <v>7</v>
      </c>
      <c r="O487" s="8">
        <v>17.934556092922943</v>
      </c>
      <c r="P487" s="9">
        <v>17.934556092922943</v>
      </c>
      <c r="Q487" s="9">
        <v>17.934556092922943</v>
      </c>
      <c r="R487" s="9">
        <v>18.35577997371016</v>
      </c>
      <c r="S487" s="9">
        <v>18.404835306435746</v>
      </c>
      <c r="T487" s="9">
        <v>19.112621008962602</v>
      </c>
      <c r="U487" s="9">
        <v>20.35176903227914</v>
      </c>
      <c r="V487" s="9">
        <v>20.35176903227914</v>
      </c>
      <c r="W487" s="9">
        <v>20.35176903227914</v>
      </c>
      <c r="X487" s="9">
        <v>19.91589544268896</v>
      </c>
      <c r="Y487" s="9">
        <v>19.91589544268896</v>
      </c>
      <c r="Z487" s="9">
        <v>21.609947773831163</v>
      </c>
      <c r="AA487" s="9">
        <v>21.609947773831163</v>
      </c>
      <c r="AB487" s="9">
        <v>23.372671736151272</v>
      </c>
      <c r="AC487" s="9">
        <v>23.372671736151272</v>
      </c>
      <c r="AD487" s="9">
        <v>26.430826810726163</v>
      </c>
      <c r="AE487" s="9">
        <v>27.959768706413232</v>
      </c>
      <c r="AF487" s="9">
        <v>29.772701744670762</v>
      </c>
      <c r="AG487" s="9">
        <v>29.772701744670762</v>
      </c>
      <c r="AH487" s="9">
        <v>32.589351949315954</v>
      </c>
      <c r="AI487" s="9">
        <v>34.825222308406182</v>
      </c>
      <c r="AJ487" s="9">
        <v>3.0428788910505911</v>
      </c>
    </row>
    <row r="488" spans="1:36" x14ac:dyDescent="0.25">
      <c r="A488" t="s">
        <v>5411</v>
      </c>
      <c r="B488" t="s">
        <v>16</v>
      </c>
      <c r="C488" t="s">
        <v>17</v>
      </c>
      <c r="D488">
        <v>16360000</v>
      </c>
      <c r="E488">
        <v>16369999</v>
      </c>
      <c r="F488" t="s">
        <v>431</v>
      </c>
      <c r="G488" t="str">
        <f t="shared" si="14"/>
        <v>SPI II</v>
      </c>
      <c r="H488" t="s">
        <v>19</v>
      </c>
      <c r="I488" t="s">
        <v>20</v>
      </c>
      <c r="J488" t="s">
        <v>64</v>
      </c>
      <c r="K488" s="6">
        <v>0.03</v>
      </c>
      <c r="L488" s="7">
        <f t="shared" si="15"/>
        <v>2E-3</v>
      </c>
      <c r="M488" s="7">
        <v>3.0000000000000001E-3</v>
      </c>
      <c r="N488">
        <v>9</v>
      </c>
      <c r="O488" s="8">
        <v>17.934556092922943</v>
      </c>
      <c r="P488" s="9">
        <v>17.934556092922943</v>
      </c>
      <c r="Q488" s="9">
        <v>17.934556092922943</v>
      </c>
      <c r="R488" s="9">
        <v>18.35577997371016</v>
      </c>
      <c r="S488" s="9">
        <v>18.404835306435746</v>
      </c>
      <c r="T488" s="9">
        <v>19.112621008962602</v>
      </c>
      <c r="U488" s="9">
        <v>20.35176903227914</v>
      </c>
      <c r="V488" s="9">
        <v>20.35176903227914</v>
      </c>
      <c r="W488" s="9">
        <v>20.35176903227914</v>
      </c>
      <c r="X488" s="9">
        <v>19.91589544268896</v>
      </c>
      <c r="Y488" s="9">
        <v>19.91589544268896</v>
      </c>
      <c r="Z488" s="9">
        <v>21.609947773831163</v>
      </c>
      <c r="AA488" s="9">
        <v>21.609947773831163</v>
      </c>
      <c r="AB488" s="9">
        <v>23.372671736151272</v>
      </c>
      <c r="AC488" s="9">
        <v>23.372671736151272</v>
      </c>
      <c r="AD488" s="9">
        <v>26.430826810726163</v>
      </c>
      <c r="AE488" s="9">
        <v>27.959768706413232</v>
      </c>
      <c r="AF488" s="9">
        <v>29.772701744670762</v>
      </c>
      <c r="AG488" s="9">
        <v>29.772701744670762</v>
      </c>
      <c r="AH488" s="9">
        <v>32.589351949315954</v>
      </c>
      <c r="AI488" s="9">
        <v>34.825222308406182</v>
      </c>
      <c r="AJ488" s="9">
        <v>3.0428788910505911</v>
      </c>
    </row>
    <row r="489" spans="1:36" x14ac:dyDescent="0.25">
      <c r="A489" t="s">
        <v>5411</v>
      </c>
      <c r="B489" t="s">
        <v>16</v>
      </c>
      <c r="C489" t="s">
        <v>17</v>
      </c>
      <c r="D489">
        <v>16370000</v>
      </c>
      <c r="E489">
        <v>16399999</v>
      </c>
      <c r="F489" t="s">
        <v>432</v>
      </c>
      <c r="G489" t="str">
        <f t="shared" si="14"/>
        <v>SPI II</v>
      </c>
      <c r="H489" t="s">
        <v>19</v>
      </c>
      <c r="I489" t="s">
        <v>20</v>
      </c>
      <c r="J489" t="s">
        <v>64</v>
      </c>
      <c r="K489" s="6">
        <v>0.03</v>
      </c>
      <c r="L489" s="7">
        <f t="shared" si="15"/>
        <v>2E-3</v>
      </c>
      <c r="M489" s="7">
        <v>3.0000000000000001E-3</v>
      </c>
      <c r="N489">
        <v>9</v>
      </c>
      <c r="O489" s="8">
        <v>17.934556092922943</v>
      </c>
      <c r="P489" s="9">
        <v>17.934556092922943</v>
      </c>
      <c r="Q489" s="9">
        <v>17.934556092922943</v>
      </c>
      <c r="R489" s="9">
        <v>18.35577997371016</v>
      </c>
      <c r="S489" s="9">
        <v>18.404835306435746</v>
      </c>
      <c r="T489" s="9">
        <v>19.112621008962602</v>
      </c>
      <c r="U489" s="9">
        <v>20.35176903227914</v>
      </c>
      <c r="V489" s="9">
        <v>20.35176903227914</v>
      </c>
      <c r="W489" s="9">
        <v>20.35176903227914</v>
      </c>
      <c r="X489" s="9">
        <v>19.91589544268896</v>
      </c>
      <c r="Y489" s="9">
        <v>19.91589544268896</v>
      </c>
      <c r="Z489" s="9">
        <v>21.609947773831163</v>
      </c>
      <c r="AA489" s="9">
        <v>21.609947773831163</v>
      </c>
      <c r="AB489" s="9">
        <v>23.372671736151272</v>
      </c>
      <c r="AC489" s="9">
        <v>23.372671736151272</v>
      </c>
      <c r="AD489" s="9">
        <v>26.430826810726163</v>
      </c>
      <c r="AE489" s="9">
        <v>27.959768706413232</v>
      </c>
      <c r="AF489" s="9">
        <v>29.772701744670762</v>
      </c>
      <c r="AG489" s="9">
        <v>29.772701744670762</v>
      </c>
      <c r="AH489" s="9">
        <v>32.589351949315954</v>
      </c>
      <c r="AI489" s="9">
        <v>34.825222308406182</v>
      </c>
      <c r="AJ489" s="9">
        <v>3.0428788910505911</v>
      </c>
    </row>
    <row r="490" spans="1:36" x14ac:dyDescent="0.25">
      <c r="A490" t="s">
        <v>5411</v>
      </c>
      <c r="B490" t="s">
        <v>16</v>
      </c>
      <c r="C490" t="s">
        <v>17</v>
      </c>
      <c r="D490">
        <v>16400000</v>
      </c>
      <c r="E490">
        <v>16429999</v>
      </c>
      <c r="F490" t="s">
        <v>433</v>
      </c>
      <c r="G490" t="str">
        <f t="shared" si="14"/>
        <v>SPI II</v>
      </c>
      <c r="H490" t="s">
        <v>19</v>
      </c>
      <c r="I490" t="s">
        <v>20</v>
      </c>
      <c r="J490" t="s">
        <v>64</v>
      </c>
      <c r="K490" s="6">
        <v>0.03</v>
      </c>
      <c r="L490" s="7">
        <f t="shared" si="15"/>
        <v>2E-3</v>
      </c>
      <c r="M490" s="7">
        <v>3.0000000000000001E-3</v>
      </c>
      <c r="N490">
        <v>7</v>
      </c>
      <c r="O490" s="8">
        <v>17.934556092922943</v>
      </c>
      <c r="P490" s="9">
        <v>17.934556092922943</v>
      </c>
      <c r="Q490" s="9">
        <v>17.934556092922943</v>
      </c>
      <c r="R490" s="9">
        <v>18.35577997371016</v>
      </c>
      <c r="S490" s="9">
        <v>18.404835306435746</v>
      </c>
      <c r="T490" s="9">
        <v>19.112621008962602</v>
      </c>
      <c r="U490" s="9">
        <v>20.35176903227914</v>
      </c>
      <c r="V490" s="9">
        <v>20.35176903227914</v>
      </c>
      <c r="W490" s="9">
        <v>20.35176903227914</v>
      </c>
      <c r="X490" s="9">
        <v>19.91589544268896</v>
      </c>
      <c r="Y490" s="9">
        <v>19.91589544268896</v>
      </c>
      <c r="Z490" s="9">
        <v>21.609947773831163</v>
      </c>
      <c r="AA490" s="9">
        <v>21.609947773831163</v>
      </c>
      <c r="AB490" s="9">
        <v>23.372671736151272</v>
      </c>
      <c r="AC490" s="9">
        <v>23.372671736151272</v>
      </c>
      <c r="AD490" s="9">
        <v>26.430826810726163</v>
      </c>
      <c r="AE490" s="9">
        <v>27.959768706413232</v>
      </c>
      <c r="AF490" s="9">
        <v>29.772701744670762</v>
      </c>
      <c r="AG490" s="9">
        <v>29.772701744670762</v>
      </c>
      <c r="AH490" s="9">
        <v>32.589351949315954</v>
      </c>
      <c r="AI490" s="9">
        <v>34.825222308406182</v>
      </c>
      <c r="AJ490" s="9">
        <v>3.0428788910505911</v>
      </c>
    </row>
    <row r="491" spans="1:36" x14ac:dyDescent="0.25">
      <c r="A491" t="s">
        <v>5411</v>
      </c>
      <c r="B491" t="s">
        <v>16</v>
      </c>
      <c r="C491" t="s">
        <v>17</v>
      </c>
      <c r="D491">
        <v>16430000</v>
      </c>
      <c r="E491">
        <v>16449999</v>
      </c>
      <c r="F491" t="s">
        <v>434</v>
      </c>
      <c r="G491" t="str">
        <f t="shared" si="14"/>
        <v>SPI II</v>
      </c>
      <c r="H491" t="s">
        <v>19</v>
      </c>
      <c r="I491" t="s">
        <v>20</v>
      </c>
      <c r="J491" t="s">
        <v>64</v>
      </c>
      <c r="K491" s="6">
        <v>0.03</v>
      </c>
      <c r="L491" s="7">
        <f t="shared" si="15"/>
        <v>2E-3</v>
      </c>
      <c r="M491" s="7">
        <v>3.0000000000000001E-3</v>
      </c>
      <c r="N491">
        <v>8</v>
      </c>
      <c r="O491" s="8">
        <v>17.934556092922943</v>
      </c>
      <c r="P491" s="9">
        <v>17.934556092922943</v>
      </c>
      <c r="Q491" s="9">
        <v>17.934556092922943</v>
      </c>
      <c r="R491" s="9">
        <v>18.35577997371016</v>
      </c>
      <c r="S491" s="9">
        <v>18.404835306435746</v>
      </c>
      <c r="T491" s="9">
        <v>19.112621008962602</v>
      </c>
      <c r="U491" s="9">
        <v>20.35176903227914</v>
      </c>
      <c r="V491" s="9">
        <v>20.35176903227914</v>
      </c>
      <c r="W491" s="9">
        <v>20.35176903227914</v>
      </c>
      <c r="X491" s="9">
        <v>19.91589544268896</v>
      </c>
      <c r="Y491" s="9">
        <v>19.91589544268896</v>
      </c>
      <c r="Z491" s="9">
        <v>21.609947773831163</v>
      </c>
      <c r="AA491" s="9">
        <v>21.609947773831163</v>
      </c>
      <c r="AB491" s="9">
        <v>23.372671736151272</v>
      </c>
      <c r="AC491" s="9">
        <v>23.372671736151272</v>
      </c>
      <c r="AD491" s="9">
        <v>26.430826810726163</v>
      </c>
      <c r="AE491" s="9">
        <v>27.959768706413232</v>
      </c>
      <c r="AF491" s="9">
        <v>29.772701744670762</v>
      </c>
      <c r="AG491" s="9">
        <v>29.772701744670762</v>
      </c>
      <c r="AH491" s="9">
        <v>32.589351949315954</v>
      </c>
      <c r="AI491" s="9">
        <v>34.825222308406182</v>
      </c>
      <c r="AJ491" s="9">
        <v>3.0428788910505911</v>
      </c>
    </row>
    <row r="492" spans="1:36" x14ac:dyDescent="0.25">
      <c r="A492" t="s">
        <v>5411</v>
      </c>
      <c r="B492" t="s">
        <v>16</v>
      </c>
      <c r="C492" t="s">
        <v>17</v>
      </c>
      <c r="D492">
        <v>16450000</v>
      </c>
      <c r="E492">
        <v>16479999</v>
      </c>
      <c r="F492" t="s">
        <v>435</v>
      </c>
      <c r="G492" t="str">
        <f t="shared" si="14"/>
        <v>SPR</v>
      </c>
      <c r="H492" t="s">
        <v>19</v>
      </c>
      <c r="I492" t="s">
        <v>20</v>
      </c>
      <c r="J492" t="s">
        <v>77</v>
      </c>
      <c r="K492" s="6">
        <v>0.03</v>
      </c>
      <c r="L492" s="7">
        <f t="shared" si="15"/>
        <v>2E-3</v>
      </c>
      <c r="M492" s="7">
        <v>3.0000000000000001E-3</v>
      </c>
      <c r="N492">
        <v>13</v>
      </c>
      <c r="O492" s="8">
        <v>26.611209830054129</v>
      </c>
      <c r="P492" s="9">
        <v>26.611209830054129</v>
      </c>
      <c r="Q492" s="9">
        <v>26.611209830054129</v>
      </c>
      <c r="R492" s="9">
        <v>27.647760246913514</v>
      </c>
      <c r="S492" s="9">
        <v>28.483539200322319</v>
      </c>
      <c r="T492" s="9">
        <v>29.244822799499698</v>
      </c>
      <c r="U492" s="9">
        <v>31.379671510701762</v>
      </c>
      <c r="V492" s="9">
        <v>31.379671510701762</v>
      </c>
      <c r="W492" s="9">
        <v>31.379671510701762</v>
      </c>
      <c r="X492" s="9">
        <v>34.250510560182867</v>
      </c>
      <c r="Y492" s="9">
        <v>34.250510560182867</v>
      </c>
      <c r="Z492" s="9">
        <v>37.271704438917176</v>
      </c>
      <c r="AA492" s="9">
        <v>37.271704438917176</v>
      </c>
      <c r="AB492" s="9">
        <v>40.458288629830058</v>
      </c>
      <c r="AC492" s="9">
        <v>40.458288629830058</v>
      </c>
      <c r="AD492" s="9">
        <v>43.826802164139323</v>
      </c>
      <c r="AE492" s="9">
        <v>47.523241367157013</v>
      </c>
      <c r="AF492" s="9">
        <v>51.713576824258396</v>
      </c>
      <c r="AG492" s="9">
        <v>51.713576824258396</v>
      </c>
      <c r="AH492" s="9">
        <v>56.658816723629734</v>
      </c>
      <c r="AI492" s="9">
        <v>61.577420347834391</v>
      </c>
      <c r="AJ492" s="9">
        <v>3.0428788910505911</v>
      </c>
    </row>
    <row r="493" spans="1:36" x14ac:dyDescent="0.25">
      <c r="A493" t="s">
        <v>5411</v>
      </c>
      <c r="B493" t="s">
        <v>16</v>
      </c>
      <c r="C493" t="s">
        <v>17</v>
      </c>
      <c r="D493">
        <v>16480000</v>
      </c>
      <c r="E493">
        <v>16499999</v>
      </c>
      <c r="F493" t="s">
        <v>436</v>
      </c>
      <c r="G493" t="str">
        <f t="shared" si="14"/>
        <v>SPR</v>
      </c>
      <c r="H493" t="s">
        <v>19</v>
      </c>
      <c r="I493" t="s">
        <v>20</v>
      </c>
      <c r="J493" t="s">
        <v>77</v>
      </c>
      <c r="K493" s="6">
        <v>0.03</v>
      </c>
      <c r="L493" s="7">
        <f t="shared" si="15"/>
        <v>2E-3</v>
      </c>
      <c r="M493" s="7">
        <v>3.0000000000000001E-3</v>
      </c>
      <c r="N493">
        <v>13</v>
      </c>
      <c r="O493" s="8">
        <v>26.611209830054129</v>
      </c>
      <c r="P493" s="9">
        <v>26.611209830054129</v>
      </c>
      <c r="Q493" s="9">
        <v>26.611209830054129</v>
      </c>
      <c r="R493" s="9">
        <v>27.647760246913514</v>
      </c>
      <c r="S493" s="9">
        <v>28.483539200322319</v>
      </c>
      <c r="T493" s="9">
        <v>29.244822799499698</v>
      </c>
      <c r="U493" s="9">
        <v>31.379671510701762</v>
      </c>
      <c r="V493" s="9">
        <v>31.379671510701762</v>
      </c>
      <c r="W493" s="9">
        <v>31.379671510701762</v>
      </c>
      <c r="X493" s="9">
        <v>34.250510560182867</v>
      </c>
      <c r="Y493" s="9">
        <v>34.250510560182867</v>
      </c>
      <c r="Z493" s="9">
        <v>37.271704438917176</v>
      </c>
      <c r="AA493" s="9">
        <v>37.271704438917176</v>
      </c>
      <c r="AB493" s="9">
        <v>40.458288629830058</v>
      </c>
      <c r="AC493" s="9">
        <v>40.458288629830058</v>
      </c>
      <c r="AD493" s="9">
        <v>43.826802164139323</v>
      </c>
      <c r="AE493" s="9">
        <v>47.523241367157013</v>
      </c>
      <c r="AF493" s="9">
        <v>51.713576824258396</v>
      </c>
      <c r="AG493" s="9">
        <v>51.713576824258396</v>
      </c>
      <c r="AH493" s="9">
        <v>56.658816723629734</v>
      </c>
      <c r="AI493" s="9">
        <v>61.577420347834391</v>
      </c>
      <c r="AJ493" s="9">
        <v>3.0428788910505911</v>
      </c>
    </row>
    <row r="494" spans="1:36" x14ac:dyDescent="0.25">
      <c r="A494" t="s">
        <v>5411</v>
      </c>
      <c r="B494" t="s">
        <v>16</v>
      </c>
      <c r="C494" t="s">
        <v>17</v>
      </c>
      <c r="D494">
        <v>16500000</v>
      </c>
      <c r="E494">
        <v>16569999</v>
      </c>
      <c r="F494" t="s">
        <v>437</v>
      </c>
      <c r="G494" t="str">
        <f t="shared" si="14"/>
        <v>SPI II</v>
      </c>
      <c r="H494" t="s">
        <v>19</v>
      </c>
      <c r="I494" t="s">
        <v>20</v>
      </c>
      <c r="J494" t="s">
        <v>64</v>
      </c>
      <c r="K494" s="6">
        <v>0.03</v>
      </c>
      <c r="L494" s="7">
        <f t="shared" si="15"/>
        <v>2E-3</v>
      </c>
      <c r="M494" s="7">
        <v>3.0000000000000001E-3</v>
      </c>
      <c r="N494">
        <v>8</v>
      </c>
      <c r="O494" s="8">
        <v>17.934556092922943</v>
      </c>
      <c r="P494" s="9">
        <v>17.934556092922943</v>
      </c>
      <c r="Q494" s="9">
        <v>17.934556092922943</v>
      </c>
      <c r="R494" s="9">
        <v>18.35577997371016</v>
      </c>
      <c r="S494" s="9">
        <v>18.404835306435746</v>
      </c>
      <c r="T494" s="9">
        <v>19.112621008962602</v>
      </c>
      <c r="U494" s="9">
        <v>20.35176903227914</v>
      </c>
      <c r="V494" s="9">
        <v>20.35176903227914</v>
      </c>
      <c r="W494" s="9">
        <v>20.35176903227914</v>
      </c>
      <c r="X494" s="9">
        <v>19.91589544268896</v>
      </c>
      <c r="Y494" s="9">
        <v>19.91589544268896</v>
      </c>
      <c r="Z494" s="9">
        <v>21.609947773831163</v>
      </c>
      <c r="AA494" s="9">
        <v>21.609947773831163</v>
      </c>
      <c r="AB494" s="9">
        <v>23.372671736151272</v>
      </c>
      <c r="AC494" s="9">
        <v>23.372671736151272</v>
      </c>
      <c r="AD494" s="9">
        <v>26.430826810726163</v>
      </c>
      <c r="AE494" s="9">
        <v>27.959768706413232</v>
      </c>
      <c r="AF494" s="9">
        <v>29.772701744670762</v>
      </c>
      <c r="AG494" s="9">
        <v>29.772701744670762</v>
      </c>
      <c r="AH494" s="9">
        <v>32.589351949315954</v>
      </c>
      <c r="AI494" s="9">
        <v>34.825222308406182</v>
      </c>
      <c r="AJ494" s="9">
        <v>3.0428788910505911</v>
      </c>
    </row>
    <row r="495" spans="1:36" x14ac:dyDescent="0.25">
      <c r="A495" t="s">
        <v>5411</v>
      </c>
      <c r="B495" t="s">
        <v>16</v>
      </c>
      <c r="C495" t="s">
        <v>17</v>
      </c>
      <c r="D495">
        <v>16570000</v>
      </c>
      <c r="E495">
        <v>16599999</v>
      </c>
      <c r="F495" t="s">
        <v>438</v>
      </c>
      <c r="G495" t="str">
        <f t="shared" si="14"/>
        <v>SPI II</v>
      </c>
      <c r="H495" t="s">
        <v>19</v>
      </c>
      <c r="I495" t="s">
        <v>20</v>
      </c>
      <c r="J495" t="s">
        <v>64</v>
      </c>
      <c r="K495" s="6">
        <v>0.03</v>
      </c>
      <c r="L495" s="7">
        <f t="shared" si="15"/>
        <v>2E-3</v>
      </c>
      <c r="M495" s="7">
        <v>3.0000000000000001E-3</v>
      </c>
      <c r="N495">
        <v>8</v>
      </c>
      <c r="O495" s="8">
        <v>17.934556092922943</v>
      </c>
      <c r="P495" s="9">
        <v>17.934556092922943</v>
      </c>
      <c r="Q495" s="9">
        <v>17.934556092922943</v>
      </c>
      <c r="R495" s="9">
        <v>18.35577997371016</v>
      </c>
      <c r="S495" s="9">
        <v>18.404835306435746</v>
      </c>
      <c r="T495" s="9">
        <v>19.112621008962602</v>
      </c>
      <c r="U495" s="9">
        <v>20.35176903227914</v>
      </c>
      <c r="V495" s="9">
        <v>20.35176903227914</v>
      </c>
      <c r="W495" s="9">
        <v>20.35176903227914</v>
      </c>
      <c r="X495" s="9">
        <v>19.91589544268896</v>
      </c>
      <c r="Y495" s="9">
        <v>19.91589544268896</v>
      </c>
      <c r="Z495" s="9">
        <v>21.609947773831163</v>
      </c>
      <c r="AA495" s="9">
        <v>21.609947773831163</v>
      </c>
      <c r="AB495" s="9">
        <v>23.372671736151272</v>
      </c>
      <c r="AC495" s="9">
        <v>23.372671736151272</v>
      </c>
      <c r="AD495" s="9">
        <v>26.430826810726163</v>
      </c>
      <c r="AE495" s="9">
        <v>27.959768706413232</v>
      </c>
      <c r="AF495" s="9">
        <v>29.772701744670762</v>
      </c>
      <c r="AG495" s="9">
        <v>29.772701744670762</v>
      </c>
      <c r="AH495" s="9">
        <v>32.589351949315954</v>
      </c>
      <c r="AI495" s="9">
        <v>34.825222308406182</v>
      </c>
      <c r="AJ495" s="9">
        <v>3.0428788910505911</v>
      </c>
    </row>
    <row r="496" spans="1:36" x14ac:dyDescent="0.25">
      <c r="A496" t="s">
        <v>5411</v>
      </c>
      <c r="B496" t="s">
        <v>16</v>
      </c>
      <c r="C496" t="s">
        <v>17</v>
      </c>
      <c r="D496">
        <v>16600000</v>
      </c>
      <c r="E496">
        <v>16639999</v>
      </c>
      <c r="F496" t="s">
        <v>439</v>
      </c>
      <c r="G496" t="str">
        <f t="shared" si="14"/>
        <v>SPI II</v>
      </c>
      <c r="H496" t="s">
        <v>19</v>
      </c>
      <c r="I496" t="s">
        <v>20</v>
      </c>
      <c r="J496" t="s">
        <v>64</v>
      </c>
      <c r="K496" s="6">
        <v>0.03</v>
      </c>
      <c r="L496" s="7">
        <f t="shared" si="15"/>
        <v>2E-3</v>
      </c>
      <c r="M496" s="7">
        <v>3.0000000000000001E-3</v>
      </c>
      <c r="N496">
        <v>8</v>
      </c>
      <c r="O496" s="8">
        <v>17.934556092922943</v>
      </c>
      <c r="P496" s="9">
        <v>17.934556092922943</v>
      </c>
      <c r="Q496" s="9">
        <v>17.934556092922943</v>
      </c>
      <c r="R496" s="9">
        <v>18.35577997371016</v>
      </c>
      <c r="S496" s="9">
        <v>18.404835306435746</v>
      </c>
      <c r="T496" s="9">
        <v>19.112621008962602</v>
      </c>
      <c r="U496" s="9">
        <v>20.35176903227914</v>
      </c>
      <c r="V496" s="9">
        <v>20.35176903227914</v>
      </c>
      <c r="W496" s="9">
        <v>20.35176903227914</v>
      </c>
      <c r="X496" s="9">
        <v>19.91589544268896</v>
      </c>
      <c r="Y496" s="9">
        <v>19.91589544268896</v>
      </c>
      <c r="Z496" s="9">
        <v>21.609947773831163</v>
      </c>
      <c r="AA496" s="9">
        <v>21.609947773831163</v>
      </c>
      <c r="AB496" s="9">
        <v>23.372671736151272</v>
      </c>
      <c r="AC496" s="9">
        <v>23.372671736151272</v>
      </c>
      <c r="AD496" s="9">
        <v>26.430826810726163</v>
      </c>
      <c r="AE496" s="9">
        <v>27.959768706413232</v>
      </c>
      <c r="AF496" s="9">
        <v>29.772701744670762</v>
      </c>
      <c r="AG496" s="9">
        <v>29.772701744670762</v>
      </c>
      <c r="AH496" s="9">
        <v>32.589351949315954</v>
      </c>
      <c r="AI496" s="9">
        <v>34.825222308406182</v>
      </c>
      <c r="AJ496" s="9">
        <v>3.0428788910505911</v>
      </c>
    </row>
    <row r="497" spans="1:36" x14ac:dyDescent="0.25">
      <c r="A497" t="s">
        <v>5411</v>
      </c>
      <c r="B497" t="s">
        <v>16</v>
      </c>
      <c r="C497" t="s">
        <v>17</v>
      </c>
      <c r="D497">
        <v>16640000</v>
      </c>
      <c r="E497">
        <v>16649999</v>
      </c>
      <c r="F497" t="s">
        <v>440</v>
      </c>
      <c r="G497" t="str">
        <f t="shared" si="14"/>
        <v>SPI II</v>
      </c>
      <c r="H497" t="s">
        <v>19</v>
      </c>
      <c r="I497" t="s">
        <v>20</v>
      </c>
      <c r="J497" t="s">
        <v>64</v>
      </c>
      <c r="K497" s="6">
        <v>0.03</v>
      </c>
      <c r="L497" s="7">
        <f t="shared" si="15"/>
        <v>2E-3</v>
      </c>
      <c r="M497" s="7">
        <v>3.0000000000000001E-3</v>
      </c>
      <c r="N497">
        <v>7</v>
      </c>
      <c r="O497" s="8">
        <v>17.934556092922943</v>
      </c>
      <c r="P497" s="9">
        <v>17.934556092922943</v>
      </c>
      <c r="Q497" s="9">
        <v>17.934556092922943</v>
      </c>
      <c r="R497" s="9">
        <v>18.35577997371016</v>
      </c>
      <c r="S497" s="9">
        <v>18.404835306435746</v>
      </c>
      <c r="T497" s="9">
        <v>19.112621008962602</v>
      </c>
      <c r="U497" s="9">
        <v>20.35176903227914</v>
      </c>
      <c r="V497" s="9">
        <v>20.35176903227914</v>
      </c>
      <c r="W497" s="9">
        <v>20.35176903227914</v>
      </c>
      <c r="X497" s="9">
        <v>19.91589544268896</v>
      </c>
      <c r="Y497" s="9">
        <v>19.91589544268896</v>
      </c>
      <c r="Z497" s="9">
        <v>21.609947773831163</v>
      </c>
      <c r="AA497" s="9">
        <v>21.609947773831163</v>
      </c>
      <c r="AB497" s="9">
        <v>23.372671736151272</v>
      </c>
      <c r="AC497" s="9">
        <v>23.372671736151272</v>
      </c>
      <c r="AD497" s="9">
        <v>26.430826810726163</v>
      </c>
      <c r="AE497" s="9">
        <v>27.959768706413232</v>
      </c>
      <c r="AF497" s="9">
        <v>29.772701744670762</v>
      </c>
      <c r="AG497" s="9">
        <v>29.772701744670762</v>
      </c>
      <c r="AH497" s="9">
        <v>32.589351949315954</v>
      </c>
      <c r="AI497" s="9">
        <v>34.825222308406182</v>
      </c>
      <c r="AJ497" s="9">
        <v>3.0428788910505911</v>
      </c>
    </row>
    <row r="498" spans="1:36" x14ac:dyDescent="0.25">
      <c r="A498" t="s">
        <v>5411</v>
      </c>
      <c r="B498" t="s">
        <v>16</v>
      </c>
      <c r="C498" t="s">
        <v>17</v>
      </c>
      <c r="D498">
        <v>16650000</v>
      </c>
      <c r="E498">
        <v>16659999</v>
      </c>
      <c r="F498" t="s">
        <v>441</v>
      </c>
      <c r="G498" t="str">
        <f t="shared" si="14"/>
        <v>SPI II</v>
      </c>
      <c r="H498" t="s">
        <v>19</v>
      </c>
      <c r="I498" t="s">
        <v>20</v>
      </c>
      <c r="J498" t="s">
        <v>64</v>
      </c>
      <c r="K498" s="6">
        <v>0.03</v>
      </c>
      <c r="L498" s="7">
        <f t="shared" si="15"/>
        <v>2E-3</v>
      </c>
      <c r="M498" s="7">
        <v>3.0000000000000001E-3</v>
      </c>
      <c r="N498">
        <v>8</v>
      </c>
      <c r="O498" s="8">
        <v>17.934556092922943</v>
      </c>
      <c r="P498" s="9">
        <v>17.934556092922943</v>
      </c>
      <c r="Q498" s="9">
        <v>17.934556092922943</v>
      </c>
      <c r="R498" s="9">
        <v>18.35577997371016</v>
      </c>
      <c r="S498" s="9">
        <v>18.404835306435746</v>
      </c>
      <c r="T498" s="9">
        <v>19.112621008962602</v>
      </c>
      <c r="U498" s="9">
        <v>20.35176903227914</v>
      </c>
      <c r="V498" s="9">
        <v>20.35176903227914</v>
      </c>
      <c r="W498" s="9">
        <v>20.35176903227914</v>
      </c>
      <c r="X498" s="9">
        <v>19.91589544268896</v>
      </c>
      <c r="Y498" s="9">
        <v>19.91589544268896</v>
      </c>
      <c r="Z498" s="9">
        <v>21.609947773831163</v>
      </c>
      <c r="AA498" s="9">
        <v>21.609947773831163</v>
      </c>
      <c r="AB498" s="9">
        <v>23.372671736151272</v>
      </c>
      <c r="AC498" s="9">
        <v>23.372671736151272</v>
      </c>
      <c r="AD498" s="9">
        <v>26.430826810726163</v>
      </c>
      <c r="AE498" s="9">
        <v>27.959768706413232</v>
      </c>
      <c r="AF498" s="9">
        <v>29.772701744670762</v>
      </c>
      <c r="AG498" s="9">
        <v>29.772701744670762</v>
      </c>
      <c r="AH498" s="9">
        <v>32.589351949315954</v>
      </c>
      <c r="AI498" s="9">
        <v>34.825222308406182</v>
      </c>
      <c r="AJ498" s="9">
        <v>3.0428788910505911</v>
      </c>
    </row>
    <row r="499" spans="1:36" x14ac:dyDescent="0.25">
      <c r="A499" t="s">
        <v>5411</v>
      </c>
      <c r="B499" t="s">
        <v>16</v>
      </c>
      <c r="C499" t="s">
        <v>17</v>
      </c>
      <c r="D499">
        <v>16660000</v>
      </c>
      <c r="E499">
        <v>16669999</v>
      </c>
      <c r="F499" t="s">
        <v>442</v>
      </c>
      <c r="G499" t="str">
        <f t="shared" si="14"/>
        <v>SPI II</v>
      </c>
      <c r="H499" t="s">
        <v>19</v>
      </c>
      <c r="I499" t="s">
        <v>20</v>
      </c>
      <c r="J499" t="s">
        <v>64</v>
      </c>
      <c r="K499" s="6">
        <v>0.03</v>
      </c>
      <c r="L499" s="7">
        <f t="shared" si="15"/>
        <v>2E-3</v>
      </c>
      <c r="M499" s="7">
        <v>3.0000000000000001E-3</v>
      </c>
      <c r="N499">
        <v>9</v>
      </c>
      <c r="O499" s="8">
        <v>17.934556092922943</v>
      </c>
      <c r="P499" s="9">
        <v>17.934556092922943</v>
      </c>
      <c r="Q499" s="9">
        <v>17.934556092922943</v>
      </c>
      <c r="R499" s="9">
        <v>18.35577997371016</v>
      </c>
      <c r="S499" s="9">
        <v>18.404835306435746</v>
      </c>
      <c r="T499" s="9">
        <v>19.112621008962602</v>
      </c>
      <c r="U499" s="9">
        <v>20.35176903227914</v>
      </c>
      <c r="V499" s="9">
        <v>20.35176903227914</v>
      </c>
      <c r="W499" s="9">
        <v>20.35176903227914</v>
      </c>
      <c r="X499" s="9">
        <v>19.91589544268896</v>
      </c>
      <c r="Y499" s="9">
        <v>19.91589544268896</v>
      </c>
      <c r="Z499" s="9">
        <v>21.609947773831163</v>
      </c>
      <c r="AA499" s="9">
        <v>21.609947773831163</v>
      </c>
      <c r="AB499" s="9">
        <v>23.372671736151272</v>
      </c>
      <c r="AC499" s="9">
        <v>23.372671736151272</v>
      </c>
      <c r="AD499" s="9">
        <v>26.430826810726163</v>
      </c>
      <c r="AE499" s="9">
        <v>27.959768706413232</v>
      </c>
      <c r="AF499" s="9">
        <v>29.772701744670762</v>
      </c>
      <c r="AG499" s="9">
        <v>29.772701744670762</v>
      </c>
      <c r="AH499" s="9">
        <v>32.589351949315954</v>
      </c>
      <c r="AI499" s="9">
        <v>34.825222308406182</v>
      </c>
      <c r="AJ499" s="9">
        <v>3.0428788910505911</v>
      </c>
    </row>
    <row r="500" spans="1:36" x14ac:dyDescent="0.25">
      <c r="A500" t="s">
        <v>5411</v>
      </c>
      <c r="B500" t="s">
        <v>16</v>
      </c>
      <c r="C500" t="s">
        <v>17</v>
      </c>
      <c r="D500">
        <v>16670000</v>
      </c>
      <c r="E500">
        <v>16679999</v>
      </c>
      <c r="F500" t="s">
        <v>443</v>
      </c>
      <c r="G500" t="str">
        <f t="shared" si="14"/>
        <v>SPI II</v>
      </c>
      <c r="H500" t="s">
        <v>19</v>
      </c>
      <c r="I500" t="s">
        <v>20</v>
      </c>
      <c r="J500" t="s">
        <v>64</v>
      </c>
      <c r="K500" s="6">
        <v>0.03</v>
      </c>
      <c r="L500" s="7">
        <f t="shared" si="15"/>
        <v>2E-3</v>
      </c>
      <c r="M500" s="7">
        <v>3.0000000000000001E-3</v>
      </c>
      <c r="N500">
        <v>7</v>
      </c>
      <c r="O500" s="8">
        <v>17.934556092922943</v>
      </c>
      <c r="P500" s="9">
        <v>17.934556092922943</v>
      </c>
      <c r="Q500" s="9">
        <v>17.934556092922943</v>
      </c>
      <c r="R500" s="9">
        <v>18.35577997371016</v>
      </c>
      <c r="S500" s="9">
        <v>18.404835306435746</v>
      </c>
      <c r="T500" s="9">
        <v>19.112621008962602</v>
      </c>
      <c r="U500" s="9">
        <v>20.35176903227914</v>
      </c>
      <c r="V500" s="9">
        <v>20.35176903227914</v>
      </c>
      <c r="W500" s="9">
        <v>20.35176903227914</v>
      </c>
      <c r="X500" s="9">
        <v>19.91589544268896</v>
      </c>
      <c r="Y500" s="9">
        <v>19.91589544268896</v>
      </c>
      <c r="Z500" s="9">
        <v>21.609947773831163</v>
      </c>
      <c r="AA500" s="9">
        <v>21.609947773831163</v>
      </c>
      <c r="AB500" s="9">
        <v>23.372671736151272</v>
      </c>
      <c r="AC500" s="9">
        <v>23.372671736151272</v>
      </c>
      <c r="AD500" s="9">
        <v>26.430826810726163</v>
      </c>
      <c r="AE500" s="9">
        <v>27.959768706413232</v>
      </c>
      <c r="AF500" s="9">
        <v>29.772701744670762</v>
      </c>
      <c r="AG500" s="9">
        <v>29.772701744670762</v>
      </c>
      <c r="AH500" s="9">
        <v>32.589351949315954</v>
      </c>
      <c r="AI500" s="9">
        <v>34.825222308406182</v>
      </c>
      <c r="AJ500" s="9">
        <v>3.0428788910505911</v>
      </c>
    </row>
    <row r="501" spans="1:36" x14ac:dyDescent="0.25">
      <c r="A501" t="s">
        <v>5411</v>
      </c>
      <c r="B501" t="s">
        <v>16</v>
      </c>
      <c r="C501" t="s">
        <v>17</v>
      </c>
      <c r="D501">
        <v>16680000</v>
      </c>
      <c r="E501">
        <v>16699999</v>
      </c>
      <c r="F501" t="s">
        <v>444</v>
      </c>
      <c r="G501" t="str">
        <f t="shared" si="14"/>
        <v>SPI II</v>
      </c>
      <c r="H501" t="s">
        <v>19</v>
      </c>
      <c r="I501" t="s">
        <v>20</v>
      </c>
      <c r="J501" t="s">
        <v>64</v>
      </c>
      <c r="K501" s="6">
        <v>0.03</v>
      </c>
      <c r="L501" s="7">
        <f t="shared" si="15"/>
        <v>2E-3</v>
      </c>
      <c r="M501" s="7">
        <v>3.0000000000000001E-3</v>
      </c>
      <c r="N501">
        <v>8</v>
      </c>
      <c r="O501" s="8">
        <v>17.934556092922943</v>
      </c>
      <c r="P501" s="9">
        <v>17.934556092922943</v>
      </c>
      <c r="Q501" s="9">
        <v>17.934556092922943</v>
      </c>
      <c r="R501" s="9">
        <v>18.35577997371016</v>
      </c>
      <c r="S501" s="9">
        <v>18.404835306435746</v>
      </c>
      <c r="T501" s="9">
        <v>19.112621008962602</v>
      </c>
      <c r="U501" s="9">
        <v>20.35176903227914</v>
      </c>
      <c r="V501" s="9">
        <v>20.35176903227914</v>
      </c>
      <c r="W501" s="9">
        <v>20.35176903227914</v>
      </c>
      <c r="X501" s="9">
        <v>19.91589544268896</v>
      </c>
      <c r="Y501" s="9">
        <v>19.91589544268896</v>
      </c>
      <c r="Z501" s="9">
        <v>21.609947773831163</v>
      </c>
      <c r="AA501" s="9">
        <v>21.609947773831163</v>
      </c>
      <c r="AB501" s="9">
        <v>23.372671736151272</v>
      </c>
      <c r="AC501" s="9">
        <v>23.372671736151272</v>
      </c>
      <c r="AD501" s="9">
        <v>26.430826810726163</v>
      </c>
      <c r="AE501" s="9">
        <v>27.959768706413232</v>
      </c>
      <c r="AF501" s="9">
        <v>29.772701744670762</v>
      </c>
      <c r="AG501" s="9">
        <v>29.772701744670762</v>
      </c>
      <c r="AH501" s="9">
        <v>32.589351949315954</v>
      </c>
      <c r="AI501" s="9">
        <v>34.825222308406182</v>
      </c>
      <c r="AJ501" s="9">
        <v>3.0428788910505911</v>
      </c>
    </row>
    <row r="502" spans="1:36" x14ac:dyDescent="0.25">
      <c r="A502" t="s">
        <v>5411</v>
      </c>
      <c r="B502" t="s">
        <v>16</v>
      </c>
      <c r="C502" t="s">
        <v>17</v>
      </c>
      <c r="D502">
        <v>16700000</v>
      </c>
      <c r="E502">
        <v>16749999</v>
      </c>
      <c r="F502" t="s">
        <v>445</v>
      </c>
      <c r="G502" t="str">
        <f t="shared" si="14"/>
        <v>SPI II</v>
      </c>
      <c r="H502" t="s">
        <v>19</v>
      </c>
      <c r="I502" t="s">
        <v>20</v>
      </c>
      <c r="J502" t="s">
        <v>64</v>
      </c>
      <c r="K502" s="6">
        <v>0.03</v>
      </c>
      <c r="L502" s="7">
        <f t="shared" si="15"/>
        <v>2E-3</v>
      </c>
      <c r="M502" s="7">
        <v>3.0000000000000001E-3</v>
      </c>
      <c r="N502">
        <v>7</v>
      </c>
      <c r="O502" s="8">
        <v>17.934556092922943</v>
      </c>
      <c r="P502" s="9">
        <v>17.934556092922943</v>
      </c>
      <c r="Q502" s="9">
        <v>17.934556092922943</v>
      </c>
      <c r="R502" s="9">
        <v>18.35577997371016</v>
      </c>
      <c r="S502" s="9">
        <v>18.404835306435746</v>
      </c>
      <c r="T502" s="9">
        <v>19.112621008962602</v>
      </c>
      <c r="U502" s="9">
        <v>20.35176903227914</v>
      </c>
      <c r="V502" s="9">
        <v>20.35176903227914</v>
      </c>
      <c r="W502" s="9">
        <v>20.35176903227914</v>
      </c>
      <c r="X502" s="9">
        <v>19.91589544268896</v>
      </c>
      <c r="Y502" s="9">
        <v>19.91589544268896</v>
      </c>
      <c r="Z502" s="9">
        <v>21.609947773831163</v>
      </c>
      <c r="AA502" s="9">
        <v>21.609947773831163</v>
      </c>
      <c r="AB502" s="9">
        <v>23.372671736151272</v>
      </c>
      <c r="AC502" s="9">
        <v>23.372671736151272</v>
      </c>
      <c r="AD502" s="9">
        <v>26.430826810726163</v>
      </c>
      <c r="AE502" s="9">
        <v>27.959768706413232</v>
      </c>
      <c r="AF502" s="9">
        <v>29.772701744670762</v>
      </c>
      <c r="AG502" s="9">
        <v>29.772701744670762</v>
      </c>
      <c r="AH502" s="9">
        <v>32.589351949315954</v>
      </c>
      <c r="AI502" s="9">
        <v>34.825222308406182</v>
      </c>
      <c r="AJ502" s="9">
        <v>3.0428788910505911</v>
      </c>
    </row>
    <row r="503" spans="1:36" x14ac:dyDescent="0.25">
      <c r="A503" t="s">
        <v>5411</v>
      </c>
      <c r="B503" t="s">
        <v>16</v>
      </c>
      <c r="C503" t="s">
        <v>17</v>
      </c>
      <c r="D503">
        <v>16750000</v>
      </c>
      <c r="E503">
        <v>16789999</v>
      </c>
      <c r="F503" t="s">
        <v>446</v>
      </c>
      <c r="G503" t="str">
        <f t="shared" si="14"/>
        <v>SPI II</v>
      </c>
      <c r="H503" t="s">
        <v>19</v>
      </c>
      <c r="I503" t="s">
        <v>20</v>
      </c>
      <c r="J503" t="s">
        <v>64</v>
      </c>
      <c r="K503" s="6">
        <v>0.03</v>
      </c>
      <c r="L503" s="7">
        <f t="shared" si="15"/>
        <v>2E-3</v>
      </c>
      <c r="M503" s="7">
        <v>3.0000000000000001E-3</v>
      </c>
      <c r="N503">
        <v>7</v>
      </c>
      <c r="O503" s="8">
        <v>17.934556092922943</v>
      </c>
      <c r="P503" s="9">
        <v>17.934556092922943</v>
      </c>
      <c r="Q503" s="9">
        <v>17.934556092922943</v>
      </c>
      <c r="R503" s="9">
        <v>18.35577997371016</v>
      </c>
      <c r="S503" s="9">
        <v>18.404835306435746</v>
      </c>
      <c r="T503" s="9">
        <v>19.112621008962602</v>
      </c>
      <c r="U503" s="9">
        <v>20.35176903227914</v>
      </c>
      <c r="V503" s="9">
        <v>20.35176903227914</v>
      </c>
      <c r="W503" s="9">
        <v>20.35176903227914</v>
      </c>
      <c r="X503" s="9">
        <v>19.91589544268896</v>
      </c>
      <c r="Y503" s="9">
        <v>19.91589544268896</v>
      </c>
      <c r="Z503" s="9">
        <v>21.609947773831163</v>
      </c>
      <c r="AA503" s="9">
        <v>21.609947773831163</v>
      </c>
      <c r="AB503" s="9">
        <v>23.372671736151272</v>
      </c>
      <c r="AC503" s="9">
        <v>23.372671736151272</v>
      </c>
      <c r="AD503" s="9">
        <v>26.430826810726163</v>
      </c>
      <c r="AE503" s="9">
        <v>27.959768706413232</v>
      </c>
      <c r="AF503" s="9">
        <v>29.772701744670762</v>
      </c>
      <c r="AG503" s="9">
        <v>29.772701744670762</v>
      </c>
      <c r="AH503" s="9">
        <v>32.589351949315954</v>
      </c>
      <c r="AI503" s="9">
        <v>34.825222308406182</v>
      </c>
      <c r="AJ503" s="9">
        <v>3.0428788910505911</v>
      </c>
    </row>
    <row r="504" spans="1:36" x14ac:dyDescent="0.25">
      <c r="A504" t="s">
        <v>5411</v>
      </c>
      <c r="B504" t="s">
        <v>16</v>
      </c>
      <c r="C504" t="s">
        <v>17</v>
      </c>
      <c r="D504">
        <v>16790000</v>
      </c>
      <c r="E504">
        <v>16799999</v>
      </c>
      <c r="F504" t="s">
        <v>447</v>
      </c>
      <c r="G504" t="str">
        <f t="shared" si="14"/>
        <v>SPI II</v>
      </c>
      <c r="H504" t="s">
        <v>19</v>
      </c>
      <c r="I504" t="s">
        <v>20</v>
      </c>
      <c r="J504" t="s">
        <v>64</v>
      </c>
      <c r="K504" s="6">
        <v>0.03</v>
      </c>
      <c r="L504" s="7">
        <f t="shared" si="15"/>
        <v>2E-3</v>
      </c>
      <c r="M504" s="7">
        <v>3.0000000000000001E-3</v>
      </c>
      <c r="N504">
        <v>7</v>
      </c>
      <c r="O504" s="8">
        <v>17.934556092922943</v>
      </c>
      <c r="P504" s="9">
        <v>17.934556092922943</v>
      </c>
      <c r="Q504" s="9">
        <v>17.934556092922943</v>
      </c>
      <c r="R504" s="9">
        <v>18.35577997371016</v>
      </c>
      <c r="S504" s="9">
        <v>18.404835306435746</v>
      </c>
      <c r="T504" s="9">
        <v>19.112621008962602</v>
      </c>
      <c r="U504" s="9">
        <v>20.35176903227914</v>
      </c>
      <c r="V504" s="9">
        <v>20.35176903227914</v>
      </c>
      <c r="W504" s="9">
        <v>20.35176903227914</v>
      </c>
      <c r="X504" s="9">
        <v>19.91589544268896</v>
      </c>
      <c r="Y504" s="9">
        <v>19.91589544268896</v>
      </c>
      <c r="Z504" s="9">
        <v>21.609947773831163</v>
      </c>
      <c r="AA504" s="9">
        <v>21.609947773831163</v>
      </c>
      <c r="AB504" s="9">
        <v>23.372671736151272</v>
      </c>
      <c r="AC504" s="9">
        <v>23.372671736151272</v>
      </c>
      <c r="AD504" s="9">
        <v>26.430826810726163</v>
      </c>
      <c r="AE504" s="9">
        <v>27.959768706413232</v>
      </c>
      <c r="AF504" s="9">
        <v>29.772701744670762</v>
      </c>
      <c r="AG504" s="9">
        <v>29.772701744670762</v>
      </c>
      <c r="AH504" s="9">
        <v>32.589351949315954</v>
      </c>
      <c r="AI504" s="9">
        <v>34.825222308406182</v>
      </c>
      <c r="AJ504" s="9">
        <v>3.0428788910505911</v>
      </c>
    </row>
    <row r="505" spans="1:36" x14ac:dyDescent="0.25">
      <c r="A505" t="s">
        <v>5411</v>
      </c>
      <c r="B505" t="s">
        <v>16</v>
      </c>
      <c r="C505" t="s">
        <v>17</v>
      </c>
      <c r="D505">
        <v>16800000</v>
      </c>
      <c r="E505">
        <v>16849999</v>
      </c>
      <c r="F505" t="s">
        <v>448</v>
      </c>
      <c r="G505" t="str">
        <f t="shared" si="14"/>
        <v>SPI II</v>
      </c>
      <c r="H505" t="s">
        <v>19</v>
      </c>
      <c r="I505" t="s">
        <v>20</v>
      </c>
      <c r="J505" t="s">
        <v>64</v>
      </c>
      <c r="K505" s="6">
        <v>0.03</v>
      </c>
      <c r="L505" s="7">
        <f t="shared" si="15"/>
        <v>2E-3</v>
      </c>
      <c r="M505" s="7">
        <v>3.0000000000000001E-3</v>
      </c>
      <c r="N505">
        <v>7</v>
      </c>
      <c r="O505" s="8">
        <v>17.934556092922943</v>
      </c>
      <c r="P505" s="9">
        <v>17.934556092922943</v>
      </c>
      <c r="Q505" s="9">
        <v>17.934556092922943</v>
      </c>
      <c r="R505" s="9">
        <v>18.35577997371016</v>
      </c>
      <c r="S505" s="9">
        <v>18.404835306435746</v>
      </c>
      <c r="T505" s="9">
        <v>19.112621008962602</v>
      </c>
      <c r="U505" s="9">
        <v>20.35176903227914</v>
      </c>
      <c r="V505" s="9">
        <v>20.35176903227914</v>
      </c>
      <c r="W505" s="9">
        <v>20.35176903227914</v>
      </c>
      <c r="X505" s="9">
        <v>19.91589544268896</v>
      </c>
      <c r="Y505" s="9">
        <v>19.91589544268896</v>
      </c>
      <c r="Z505" s="9">
        <v>21.609947773831163</v>
      </c>
      <c r="AA505" s="9">
        <v>21.609947773831163</v>
      </c>
      <c r="AB505" s="9">
        <v>23.372671736151272</v>
      </c>
      <c r="AC505" s="9">
        <v>23.372671736151272</v>
      </c>
      <c r="AD505" s="9">
        <v>26.430826810726163</v>
      </c>
      <c r="AE505" s="9">
        <v>27.959768706413232</v>
      </c>
      <c r="AF505" s="9">
        <v>29.772701744670762</v>
      </c>
      <c r="AG505" s="9">
        <v>29.772701744670762</v>
      </c>
      <c r="AH505" s="9">
        <v>32.589351949315954</v>
      </c>
      <c r="AI505" s="9">
        <v>34.825222308406182</v>
      </c>
      <c r="AJ505" s="9">
        <v>3.0428788910505911</v>
      </c>
    </row>
    <row r="506" spans="1:36" x14ac:dyDescent="0.25">
      <c r="A506" t="s">
        <v>5411</v>
      </c>
      <c r="B506" t="s">
        <v>16</v>
      </c>
      <c r="C506" t="s">
        <v>17</v>
      </c>
      <c r="D506">
        <v>16850000</v>
      </c>
      <c r="E506">
        <v>16879999</v>
      </c>
      <c r="F506" t="s">
        <v>449</v>
      </c>
      <c r="G506" t="str">
        <f t="shared" si="14"/>
        <v>SPI II</v>
      </c>
      <c r="H506" t="s">
        <v>19</v>
      </c>
      <c r="I506" t="s">
        <v>20</v>
      </c>
      <c r="J506" t="s">
        <v>64</v>
      </c>
      <c r="K506" s="6">
        <v>0.03</v>
      </c>
      <c r="L506" s="7">
        <f t="shared" si="15"/>
        <v>2E-3</v>
      </c>
      <c r="M506" s="7">
        <v>3.0000000000000001E-3</v>
      </c>
      <c r="N506">
        <v>7</v>
      </c>
      <c r="O506" s="8">
        <v>17.934556092922943</v>
      </c>
      <c r="P506" s="9">
        <v>17.934556092922943</v>
      </c>
      <c r="Q506" s="9">
        <v>17.934556092922943</v>
      </c>
      <c r="R506" s="9">
        <v>18.35577997371016</v>
      </c>
      <c r="S506" s="9">
        <v>18.404835306435746</v>
      </c>
      <c r="T506" s="9">
        <v>19.112621008962602</v>
      </c>
      <c r="U506" s="9">
        <v>20.35176903227914</v>
      </c>
      <c r="V506" s="9">
        <v>20.35176903227914</v>
      </c>
      <c r="W506" s="9">
        <v>20.35176903227914</v>
      </c>
      <c r="X506" s="9">
        <v>19.91589544268896</v>
      </c>
      <c r="Y506" s="9">
        <v>19.91589544268896</v>
      </c>
      <c r="Z506" s="9">
        <v>21.609947773831163</v>
      </c>
      <c r="AA506" s="9">
        <v>21.609947773831163</v>
      </c>
      <c r="AB506" s="9">
        <v>23.372671736151272</v>
      </c>
      <c r="AC506" s="9">
        <v>23.372671736151272</v>
      </c>
      <c r="AD506" s="9">
        <v>26.430826810726163</v>
      </c>
      <c r="AE506" s="9">
        <v>27.959768706413232</v>
      </c>
      <c r="AF506" s="9">
        <v>29.772701744670762</v>
      </c>
      <c r="AG506" s="9">
        <v>29.772701744670762</v>
      </c>
      <c r="AH506" s="9">
        <v>32.589351949315954</v>
      </c>
      <c r="AI506" s="9">
        <v>34.825222308406182</v>
      </c>
      <c r="AJ506" s="9">
        <v>3.0428788910505911</v>
      </c>
    </row>
    <row r="507" spans="1:36" x14ac:dyDescent="0.25">
      <c r="A507" t="s">
        <v>5411</v>
      </c>
      <c r="B507" t="s">
        <v>16</v>
      </c>
      <c r="C507" t="s">
        <v>17</v>
      </c>
      <c r="D507">
        <v>16880000</v>
      </c>
      <c r="E507">
        <v>16899999</v>
      </c>
      <c r="F507" t="s">
        <v>450</v>
      </c>
      <c r="G507" t="str">
        <f t="shared" si="14"/>
        <v>SPI II</v>
      </c>
      <c r="H507" t="s">
        <v>19</v>
      </c>
      <c r="I507" t="s">
        <v>20</v>
      </c>
      <c r="J507" t="s">
        <v>64</v>
      </c>
      <c r="K507" s="6">
        <v>0.03</v>
      </c>
      <c r="L507" s="7">
        <f t="shared" si="15"/>
        <v>2E-3</v>
      </c>
      <c r="M507" s="7">
        <v>3.0000000000000001E-3</v>
      </c>
      <c r="N507">
        <v>7</v>
      </c>
      <c r="O507" s="8">
        <v>17.934556092922943</v>
      </c>
      <c r="P507" s="9">
        <v>17.934556092922943</v>
      </c>
      <c r="Q507" s="9">
        <v>17.934556092922943</v>
      </c>
      <c r="R507" s="9">
        <v>18.35577997371016</v>
      </c>
      <c r="S507" s="9">
        <v>18.404835306435746</v>
      </c>
      <c r="T507" s="9">
        <v>19.112621008962602</v>
      </c>
      <c r="U507" s="9">
        <v>20.35176903227914</v>
      </c>
      <c r="V507" s="9">
        <v>20.35176903227914</v>
      </c>
      <c r="W507" s="9">
        <v>20.35176903227914</v>
      </c>
      <c r="X507" s="9">
        <v>19.91589544268896</v>
      </c>
      <c r="Y507" s="9">
        <v>19.91589544268896</v>
      </c>
      <c r="Z507" s="9">
        <v>21.609947773831163</v>
      </c>
      <c r="AA507" s="9">
        <v>21.609947773831163</v>
      </c>
      <c r="AB507" s="9">
        <v>23.372671736151272</v>
      </c>
      <c r="AC507" s="9">
        <v>23.372671736151272</v>
      </c>
      <c r="AD507" s="9">
        <v>26.430826810726163</v>
      </c>
      <c r="AE507" s="9">
        <v>27.959768706413232</v>
      </c>
      <c r="AF507" s="9">
        <v>29.772701744670762</v>
      </c>
      <c r="AG507" s="9">
        <v>29.772701744670762</v>
      </c>
      <c r="AH507" s="9">
        <v>32.589351949315954</v>
      </c>
      <c r="AI507" s="9">
        <v>34.825222308406182</v>
      </c>
      <c r="AJ507" s="9">
        <v>3.0428788910505911</v>
      </c>
    </row>
    <row r="508" spans="1:36" x14ac:dyDescent="0.25">
      <c r="A508" t="s">
        <v>5411</v>
      </c>
      <c r="B508" t="s">
        <v>16</v>
      </c>
      <c r="C508" t="s">
        <v>17</v>
      </c>
      <c r="D508">
        <v>16900000</v>
      </c>
      <c r="E508">
        <v>16919999</v>
      </c>
      <c r="F508" t="s">
        <v>451</v>
      </c>
      <c r="G508" t="str">
        <f t="shared" si="14"/>
        <v>SPI II</v>
      </c>
      <c r="H508" t="s">
        <v>19</v>
      </c>
      <c r="I508" t="s">
        <v>20</v>
      </c>
      <c r="J508" t="s">
        <v>64</v>
      </c>
      <c r="K508" s="6">
        <v>0.03</v>
      </c>
      <c r="L508" s="7">
        <f t="shared" si="15"/>
        <v>2E-3</v>
      </c>
      <c r="M508" s="7">
        <v>3.0000000000000001E-3</v>
      </c>
      <c r="N508">
        <v>7</v>
      </c>
      <c r="O508" s="8">
        <v>17.934556092922943</v>
      </c>
      <c r="P508" s="9">
        <v>17.934556092922943</v>
      </c>
      <c r="Q508" s="9">
        <v>17.934556092922943</v>
      </c>
      <c r="R508" s="9">
        <v>18.35577997371016</v>
      </c>
      <c r="S508" s="9">
        <v>18.404835306435746</v>
      </c>
      <c r="T508" s="9">
        <v>19.112621008962602</v>
      </c>
      <c r="U508" s="9">
        <v>20.35176903227914</v>
      </c>
      <c r="V508" s="9">
        <v>20.35176903227914</v>
      </c>
      <c r="W508" s="9">
        <v>20.35176903227914</v>
      </c>
      <c r="X508" s="9">
        <v>19.91589544268896</v>
      </c>
      <c r="Y508" s="9">
        <v>19.91589544268896</v>
      </c>
      <c r="Z508" s="9">
        <v>21.609947773831163</v>
      </c>
      <c r="AA508" s="9">
        <v>21.609947773831163</v>
      </c>
      <c r="AB508" s="9">
        <v>23.372671736151272</v>
      </c>
      <c r="AC508" s="9">
        <v>23.372671736151272</v>
      </c>
      <c r="AD508" s="9">
        <v>26.430826810726163</v>
      </c>
      <c r="AE508" s="9">
        <v>27.959768706413232</v>
      </c>
      <c r="AF508" s="9">
        <v>29.772701744670762</v>
      </c>
      <c r="AG508" s="9">
        <v>29.772701744670762</v>
      </c>
      <c r="AH508" s="9">
        <v>32.589351949315954</v>
      </c>
      <c r="AI508" s="9">
        <v>34.825222308406182</v>
      </c>
      <c r="AJ508" s="9">
        <v>3.0428788910505911</v>
      </c>
    </row>
    <row r="509" spans="1:36" x14ac:dyDescent="0.25">
      <c r="A509" t="s">
        <v>5411</v>
      </c>
      <c r="B509" t="s">
        <v>16</v>
      </c>
      <c r="C509" t="s">
        <v>17</v>
      </c>
      <c r="D509">
        <v>16920000</v>
      </c>
      <c r="E509">
        <v>16939999</v>
      </c>
      <c r="F509" t="s">
        <v>452</v>
      </c>
      <c r="G509" t="str">
        <f t="shared" si="14"/>
        <v>SPI II</v>
      </c>
      <c r="H509" t="s">
        <v>19</v>
      </c>
      <c r="I509" t="s">
        <v>20</v>
      </c>
      <c r="J509" t="s">
        <v>64</v>
      </c>
      <c r="K509" s="6">
        <v>0.03</v>
      </c>
      <c r="L509" s="7">
        <f t="shared" si="15"/>
        <v>2E-3</v>
      </c>
      <c r="M509" s="7">
        <v>3.0000000000000001E-3</v>
      </c>
      <c r="N509">
        <v>7</v>
      </c>
      <c r="O509" s="8">
        <v>17.934556092922943</v>
      </c>
      <c r="P509" s="9">
        <v>17.934556092922943</v>
      </c>
      <c r="Q509" s="9">
        <v>17.934556092922943</v>
      </c>
      <c r="R509" s="9">
        <v>18.35577997371016</v>
      </c>
      <c r="S509" s="9">
        <v>18.404835306435746</v>
      </c>
      <c r="T509" s="9">
        <v>19.112621008962602</v>
      </c>
      <c r="U509" s="9">
        <v>20.35176903227914</v>
      </c>
      <c r="V509" s="9">
        <v>20.35176903227914</v>
      </c>
      <c r="W509" s="9">
        <v>20.35176903227914</v>
      </c>
      <c r="X509" s="9">
        <v>19.91589544268896</v>
      </c>
      <c r="Y509" s="9">
        <v>19.91589544268896</v>
      </c>
      <c r="Z509" s="9">
        <v>21.609947773831163</v>
      </c>
      <c r="AA509" s="9">
        <v>21.609947773831163</v>
      </c>
      <c r="AB509" s="9">
        <v>23.372671736151272</v>
      </c>
      <c r="AC509" s="9">
        <v>23.372671736151272</v>
      </c>
      <c r="AD509" s="9">
        <v>26.430826810726163</v>
      </c>
      <c r="AE509" s="9">
        <v>27.959768706413232</v>
      </c>
      <c r="AF509" s="9">
        <v>29.772701744670762</v>
      </c>
      <c r="AG509" s="9">
        <v>29.772701744670762</v>
      </c>
      <c r="AH509" s="9">
        <v>32.589351949315954</v>
      </c>
      <c r="AI509" s="9">
        <v>34.825222308406182</v>
      </c>
      <c r="AJ509" s="9">
        <v>3.0428788910505911</v>
      </c>
    </row>
    <row r="510" spans="1:36" x14ac:dyDescent="0.25">
      <c r="A510" t="s">
        <v>5411</v>
      </c>
      <c r="B510" t="s">
        <v>16</v>
      </c>
      <c r="C510" t="s">
        <v>17</v>
      </c>
      <c r="D510">
        <v>16940000</v>
      </c>
      <c r="E510">
        <v>16949999</v>
      </c>
      <c r="F510" t="s">
        <v>453</v>
      </c>
      <c r="G510" t="str">
        <f t="shared" si="14"/>
        <v>SPI II</v>
      </c>
      <c r="H510" t="s">
        <v>19</v>
      </c>
      <c r="I510" t="s">
        <v>20</v>
      </c>
      <c r="J510" t="s">
        <v>64</v>
      </c>
      <c r="K510" s="6">
        <v>0.03</v>
      </c>
      <c r="L510" s="7">
        <f t="shared" si="15"/>
        <v>2E-3</v>
      </c>
      <c r="M510" s="7">
        <v>3.0000000000000001E-3</v>
      </c>
      <c r="N510">
        <v>7</v>
      </c>
      <c r="O510" s="8">
        <v>17.934556092922943</v>
      </c>
      <c r="P510" s="9">
        <v>17.934556092922943</v>
      </c>
      <c r="Q510" s="9">
        <v>17.934556092922943</v>
      </c>
      <c r="R510" s="9">
        <v>18.35577997371016</v>
      </c>
      <c r="S510" s="9">
        <v>18.404835306435746</v>
      </c>
      <c r="T510" s="9">
        <v>19.112621008962602</v>
      </c>
      <c r="U510" s="9">
        <v>20.35176903227914</v>
      </c>
      <c r="V510" s="9">
        <v>20.35176903227914</v>
      </c>
      <c r="W510" s="9">
        <v>20.35176903227914</v>
      </c>
      <c r="X510" s="9">
        <v>19.91589544268896</v>
      </c>
      <c r="Y510" s="9">
        <v>19.91589544268896</v>
      </c>
      <c r="Z510" s="9">
        <v>21.609947773831163</v>
      </c>
      <c r="AA510" s="9">
        <v>21.609947773831163</v>
      </c>
      <c r="AB510" s="9">
        <v>23.372671736151272</v>
      </c>
      <c r="AC510" s="9">
        <v>23.372671736151272</v>
      </c>
      <c r="AD510" s="9">
        <v>26.430826810726163</v>
      </c>
      <c r="AE510" s="9">
        <v>27.959768706413232</v>
      </c>
      <c r="AF510" s="9">
        <v>29.772701744670762</v>
      </c>
      <c r="AG510" s="9">
        <v>29.772701744670762</v>
      </c>
      <c r="AH510" s="9">
        <v>32.589351949315954</v>
      </c>
      <c r="AI510" s="9">
        <v>34.825222308406182</v>
      </c>
      <c r="AJ510" s="9">
        <v>3.0428788910505911</v>
      </c>
    </row>
    <row r="511" spans="1:36" x14ac:dyDescent="0.25">
      <c r="A511" t="s">
        <v>5411</v>
      </c>
      <c r="B511" t="s">
        <v>16</v>
      </c>
      <c r="C511" t="s">
        <v>17</v>
      </c>
      <c r="D511">
        <v>16950000</v>
      </c>
      <c r="E511">
        <v>16979999</v>
      </c>
      <c r="F511" t="s">
        <v>454</v>
      </c>
      <c r="G511" t="str">
        <f t="shared" si="14"/>
        <v>SPI II</v>
      </c>
      <c r="H511" t="s">
        <v>19</v>
      </c>
      <c r="I511" t="s">
        <v>20</v>
      </c>
      <c r="J511" t="s">
        <v>64</v>
      </c>
      <c r="K511" s="6">
        <v>0.03</v>
      </c>
      <c r="L511" s="7">
        <f t="shared" si="15"/>
        <v>2E-3</v>
      </c>
      <c r="M511" s="7">
        <v>3.0000000000000001E-3</v>
      </c>
      <c r="N511">
        <v>7</v>
      </c>
      <c r="O511" s="8">
        <v>17.934556092922943</v>
      </c>
      <c r="P511" s="9">
        <v>17.934556092922943</v>
      </c>
      <c r="Q511" s="9">
        <v>17.934556092922943</v>
      </c>
      <c r="R511" s="9">
        <v>18.35577997371016</v>
      </c>
      <c r="S511" s="9">
        <v>18.404835306435746</v>
      </c>
      <c r="T511" s="9">
        <v>19.112621008962602</v>
      </c>
      <c r="U511" s="9">
        <v>20.35176903227914</v>
      </c>
      <c r="V511" s="9">
        <v>20.35176903227914</v>
      </c>
      <c r="W511" s="9">
        <v>20.35176903227914</v>
      </c>
      <c r="X511" s="9">
        <v>19.91589544268896</v>
      </c>
      <c r="Y511" s="9">
        <v>19.91589544268896</v>
      </c>
      <c r="Z511" s="9">
        <v>21.609947773831163</v>
      </c>
      <c r="AA511" s="9">
        <v>21.609947773831163</v>
      </c>
      <c r="AB511" s="9">
        <v>23.372671736151272</v>
      </c>
      <c r="AC511" s="9">
        <v>23.372671736151272</v>
      </c>
      <c r="AD511" s="9">
        <v>26.430826810726163</v>
      </c>
      <c r="AE511" s="9">
        <v>27.959768706413232</v>
      </c>
      <c r="AF511" s="9">
        <v>29.772701744670762</v>
      </c>
      <c r="AG511" s="9">
        <v>29.772701744670762</v>
      </c>
      <c r="AH511" s="9">
        <v>32.589351949315954</v>
      </c>
      <c r="AI511" s="9">
        <v>34.825222308406182</v>
      </c>
      <c r="AJ511" s="9">
        <v>3.0428788910505911</v>
      </c>
    </row>
    <row r="512" spans="1:36" x14ac:dyDescent="0.25">
      <c r="A512" t="s">
        <v>5411</v>
      </c>
      <c r="B512" t="s">
        <v>16</v>
      </c>
      <c r="C512" t="s">
        <v>17</v>
      </c>
      <c r="D512">
        <v>16980000</v>
      </c>
      <c r="E512">
        <v>16999999</v>
      </c>
      <c r="F512" t="s">
        <v>455</v>
      </c>
      <c r="G512" t="str">
        <f t="shared" si="14"/>
        <v>SPI II</v>
      </c>
      <c r="H512" t="s">
        <v>19</v>
      </c>
      <c r="I512" t="s">
        <v>20</v>
      </c>
      <c r="J512" t="s">
        <v>64</v>
      </c>
      <c r="K512" s="6">
        <v>0.03</v>
      </c>
      <c r="L512" s="7">
        <f t="shared" si="15"/>
        <v>2E-3</v>
      </c>
      <c r="M512" s="7">
        <v>3.0000000000000001E-3</v>
      </c>
      <c r="N512">
        <v>7</v>
      </c>
      <c r="O512" s="8">
        <v>17.934556092922943</v>
      </c>
      <c r="P512" s="9">
        <v>17.934556092922943</v>
      </c>
      <c r="Q512" s="9">
        <v>17.934556092922943</v>
      </c>
      <c r="R512" s="9">
        <v>18.35577997371016</v>
      </c>
      <c r="S512" s="9">
        <v>18.404835306435746</v>
      </c>
      <c r="T512" s="9">
        <v>19.112621008962602</v>
      </c>
      <c r="U512" s="9">
        <v>20.35176903227914</v>
      </c>
      <c r="V512" s="9">
        <v>20.35176903227914</v>
      </c>
      <c r="W512" s="9">
        <v>20.35176903227914</v>
      </c>
      <c r="X512" s="9">
        <v>19.91589544268896</v>
      </c>
      <c r="Y512" s="9">
        <v>19.91589544268896</v>
      </c>
      <c r="Z512" s="9">
        <v>21.609947773831163</v>
      </c>
      <c r="AA512" s="9">
        <v>21.609947773831163</v>
      </c>
      <c r="AB512" s="9">
        <v>23.372671736151272</v>
      </c>
      <c r="AC512" s="9">
        <v>23.372671736151272</v>
      </c>
      <c r="AD512" s="9">
        <v>26.430826810726163</v>
      </c>
      <c r="AE512" s="9">
        <v>27.959768706413232</v>
      </c>
      <c r="AF512" s="9">
        <v>29.772701744670762</v>
      </c>
      <c r="AG512" s="9">
        <v>29.772701744670762</v>
      </c>
      <c r="AH512" s="9">
        <v>32.589351949315954</v>
      </c>
      <c r="AI512" s="9">
        <v>34.825222308406182</v>
      </c>
      <c r="AJ512" s="9">
        <v>3.0428788910505911</v>
      </c>
    </row>
    <row r="513" spans="1:36" x14ac:dyDescent="0.25">
      <c r="A513" t="s">
        <v>5411</v>
      </c>
      <c r="B513" t="s">
        <v>16</v>
      </c>
      <c r="C513" t="s">
        <v>17</v>
      </c>
      <c r="D513">
        <v>17000000</v>
      </c>
      <c r="E513">
        <v>17119999</v>
      </c>
      <c r="F513" t="s">
        <v>456</v>
      </c>
      <c r="G513" t="str">
        <f t="shared" si="14"/>
        <v>SPI</v>
      </c>
      <c r="H513" t="s">
        <v>19</v>
      </c>
      <c r="I513" t="s">
        <v>20</v>
      </c>
      <c r="J513" t="s">
        <v>62</v>
      </c>
      <c r="K513" s="6">
        <v>0.03</v>
      </c>
      <c r="L513" s="7">
        <f t="shared" si="15"/>
        <v>2E-3</v>
      </c>
      <c r="M513" s="7">
        <v>3.0000000000000001E-3</v>
      </c>
      <c r="N513">
        <v>6</v>
      </c>
      <c r="O513" s="8">
        <v>14.260089507934383</v>
      </c>
      <c r="P513" s="9">
        <v>14.260089507934383</v>
      </c>
      <c r="Q513" s="9">
        <v>14.260089507934383</v>
      </c>
      <c r="R513" s="9">
        <v>14.434686024139818</v>
      </c>
      <c r="S513" s="9">
        <v>14.722027102535575</v>
      </c>
      <c r="T513" s="9">
        <v>15.677715915555218</v>
      </c>
      <c r="U513" s="9">
        <v>17.010379604817192</v>
      </c>
      <c r="V513" s="9">
        <v>17.010379604817192</v>
      </c>
      <c r="W513" s="9">
        <v>17.010379604817192</v>
      </c>
      <c r="X513" s="9">
        <v>16.884570568466835</v>
      </c>
      <c r="Y513" s="9">
        <v>16.884570568466835</v>
      </c>
      <c r="Z513" s="9">
        <v>18.617757359760585</v>
      </c>
      <c r="AA513" s="9">
        <v>18.617757359760585</v>
      </c>
      <c r="AB513" s="9">
        <v>20.52292271594289</v>
      </c>
      <c r="AC513" s="9">
        <v>20.52292271594289</v>
      </c>
      <c r="AD513" s="9">
        <v>22.530627040176761</v>
      </c>
      <c r="AE513" s="9">
        <v>24.654059850225856</v>
      </c>
      <c r="AF513" s="9">
        <v>28.622962393602329</v>
      </c>
      <c r="AG513" s="9">
        <v>28.622962393602329</v>
      </c>
      <c r="AH513" s="9">
        <v>31.011605245024167</v>
      </c>
      <c r="AI513" s="9">
        <v>33.330799286496742</v>
      </c>
      <c r="AJ513" s="9">
        <v>3.0428788910505911</v>
      </c>
    </row>
    <row r="514" spans="1:36" x14ac:dyDescent="0.25">
      <c r="A514" t="s">
        <v>5411</v>
      </c>
      <c r="B514" t="s">
        <v>16</v>
      </c>
      <c r="C514" t="s">
        <v>17</v>
      </c>
      <c r="D514">
        <v>17120000</v>
      </c>
      <c r="E514">
        <v>17149999</v>
      </c>
      <c r="F514" t="s">
        <v>457</v>
      </c>
      <c r="G514" t="str">
        <f t="shared" si="14"/>
        <v>SPI II</v>
      </c>
      <c r="H514" t="s">
        <v>19</v>
      </c>
      <c r="I514" t="s">
        <v>20</v>
      </c>
      <c r="J514" t="s">
        <v>64</v>
      </c>
      <c r="K514" s="6">
        <v>0.03</v>
      </c>
      <c r="L514" s="7">
        <f t="shared" si="15"/>
        <v>2E-3</v>
      </c>
      <c r="M514" s="7">
        <v>3.0000000000000001E-3</v>
      </c>
      <c r="N514">
        <v>9</v>
      </c>
      <c r="O514" s="8">
        <v>17.934556092922943</v>
      </c>
      <c r="P514" s="9">
        <v>17.934556092922943</v>
      </c>
      <c r="Q514" s="9">
        <v>17.934556092922943</v>
      </c>
      <c r="R514" s="9">
        <v>18.35577997371016</v>
      </c>
      <c r="S514" s="9">
        <v>18.404835306435746</v>
      </c>
      <c r="T514" s="9">
        <v>19.112621008962602</v>
      </c>
      <c r="U514" s="9">
        <v>20.35176903227914</v>
      </c>
      <c r="V514" s="9">
        <v>20.35176903227914</v>
      </c>
      <c r="W514" s="9">
        <v>20.35176903227914</v>
      </c>
      <c r="X514" s="9">
        <v>19.91589544268896</v>
      </c>
      <c r="Y514" s="9">
        <v>19.91589544268896</v>
      </c>
      <c r="Z514" s="9">
        <v>21.609947773831163</v>
      </c>
      <c r="AA514" s="9">
        <v>21.609947773831163</v>
      </c>
      <c r="AB514" s="9">
        <v>23.372671736151272</v>
      </c>
      <c r="AC514" s="9">
        <v>23.372671736151272</v>
      </c>
      <c r="AD514" s="9">
        <v>26.430826810726163</v>
      </c>
      <c r="AE514" s="9">
        <v>27.959768706413232</v>
      </c>
      <c r="AF514" s="9">
        <v>29.772701744670762</v>
      </c>
      <c r="AG514" s="9">
        <v>29.772701744670762</v>
      </c>
      <c r="AH514" s="9">
        <v>32.589351949315954</v>
      </c>
      <c r="AI514" s="9">
        <v>34.825222308406182</v>
      </c>
      <c r="AJ514" s="9">
        <v>3.0428788910505911</v>
      </c>
    </row>
    <row r="515" spans="1:36" x14ac:dyDescent="0.25">
      <c r="A515" t="s">
        <v>5411</v>
      </c>
      <c r="B515" t="s">
        <v>16</v>
      </c>
      <c r="C515" t="s">
        <v>17</v>
      </c>
      <c r="D515">
        <v>17150000</v>
      </c>
      <c r="E515">
        <v>17159999</v>
      </c>
      <c r="F515" t="s">
        <v>458</v>
      </c>
      <c r="G515" t="str">
        <f t="shared" si="14"/>
        <v>SPI II</v>
      </c>
      <c r="H515" t="s">
        <v>19</v>
      </c>
      <c r="I515" t="s">
        <v>20</v>
      </c>
      <c r="J515" t="s">
        <v>64</v>
      </c>
      <c r="K515" s="6">
        <v>0.03</v>
      </c>
      <c r="L515" s="7">
        <f t="shared" si="15"/>
        <v>2E-3</v>
      </c>
      <c r="M515" s="7">
        <v>3.0000000000000001E-3</v>
      </c>
      <c r="N515">
        <v>9</v>
      </c>
      <c r="O515" s="8">
        <v>17.934556092922943</v>
      </c>
      <c r="P515" s="9">
        <v>17.934556092922943</v>
      </c>
      <c r="Q515" s="9">
        <v>17.934556092922943</v>
      </c>
      <c r="R515" s="9">
        <v>18.35577997371016</v>
      </c>
      <c r="S515" s="9">
        <v>18.404835306435746</v>
      </c>
      <c r="T515" s="9">
        <v>19.112621008962602</v>
      </c>
      <c r="U515" s="9">
        <v>20.35176903227914</v>
      </c>
      <c r="V515" s="9">
        <v>20.35176903227914</v>
      </c>
      <c r="W515" s="9">
        <v>20.35176903227914</v>
      </c>
      <c r="X515" s="9">
        <v>19.91589544268896</v>
      </c>
      <c r="Y515" s="9">
        <v>19.91589544268896</v>
      </c>
      <c r="Z515" s="9">
        <v>21.609947773831163</v>
      </c>
      <c r="AA515" s="9">
        <v>21.609947773831163</v>
      </c>
      <c r="AB515" s="9">
        <v>23.372671736151272</v>
      </c>
      <c r="AC515" s="9">
        <v>23.372671736151272</v>
      </c>
      <c r="AD515" s="9">
        <v>26.430826810726163</v>
      </c>
      <c r="AE515" s="9">
        <v>27.959768706413232</v>
      </c>
      <c r="AF515" s="9">
        <v>29.772701744670762</v>
      </c>
      <c r="AG515" s="9">
        <v>29.772701744670762</v>
      </c>
      <c r="AH515" s="9">
        <v>32.589351949315954</v>
      </c>
      <c r="AI515" s="9">
        <v>34.825222308406182</v>
      </c>
      <c r="AJ515" s="9">
        <v>3.0428788910505911</v>
      </c>
    </row>
    <row r="516" spans="1:36" x14ac:dyDescent="0.25">
      <c r="A516" t="s">
        <v>5411</v>
      </c>
      <c r="B516" t="s">
        <v>16</v>
      </c>
      <c r="C516" t="s">
        <v>17</v>
      </c>
      <c r="D516">
        <v>17160000</v>
      </c>
      <c r="E516">
        <v>17179999</v>
      </c>
      <c r="F516" t="s">
        <v>459</v>
      </c>
      <c r="G516" t="str">
        <f t="shared" ref="G516:G579" si="16">H516&amp;IF(J516="CAPITAL","C",IF(J516="INTERIOR","I",IF(J516="INTERIOR II","I II","R")))</f>
        <v>SPI II</v>
      </c>
      <c r="H516" t="s">
        <v>19</v>
      </c>
      <c r="I516" t="s">
        <v>20</v>
      </c>
      <c r="J516" t="s">
        <v>64</v>
      </c>
      <c r="K516" s="6">
        <v>0.03</v>
      </c>
      <c r="L516" s="7">
        <f t="shared" ref="L516:L579" si="17">IF(I516="(0) Não",0.2%,3%)</f>
        <v>2E-3</v>
      </c>
      <c r="M516" s="7">
        <v>3.0000000000000001E-3</v>
      </c>
      <c r="N516">
        <v>8</v>
      </c>
      <c r="O516" s="8">
        <v>17.934556092922943</v>
      </c>
      <c r="P516" s="9">
        <v>17.934556092922943</v>
      </c>
      <c r="Q516" s="9">
        <v>17.934556092922943</v>
      </c>
      <c r="R516" s="9">
        <v>18.35577997371016</v>
      </c>
      <c r="S516" s="9">
        <v>18.404835306435746</v>
      </c>
      <c r="T516" s="9">
        <v>19.112621008962602</v>
      </c>
      <c r="U516" s="9">
        <v>20.35176903227914</v>
      </c>
      <c r="V516" s="9">
        <v>20.35176903227914</v>
      </c>
      <c r="W516" s="9">
        <v>20.35176903227914</v>
      </c>
      <c r="X516" s="9">
        <v>19.91589544268896</v>
      </c>
      <c r="Y516" s="9">
        <v>19.91589544268896</v>
      </c>
      <c r="Z516" s="9">
        <v>21.609947773831163</v>
      </c>
      <c r="AA516" s="9">
        <v>21.609947773831163</v>
      </c>
      <c r="AB516" s="9">
        <v>23.372671736151272</v>
      </c>
      <c r="AC516" s="9">
        <v>23.372671736151272</v>
      </c>
      <c r="AD516" s="9">
        <v>26.430826810726163</v>
      </c>
      <c r="AE516" s="9">
        <v>27.959768706413232</v>
      </c>
      <c r="AF516" s="9">
        <v>29.772701744670762</v>
      </c>
      <c r="AG516" s="9">
        <v>29.772701744670762</v>
      </c>
      <c r="AH516" s="9">
        <v>32.589351949315954</v>
      </c>
      <c r="AI516" s="9">
        <v>34.825222308406182</v>
      </c>
      <c r="AJ516" s="9">
        <v>3.0428788910505911</v>
      </c>
    </row>
    <row r="517" spans="1:36" x14ac:dyDescent="0.25">
      <c r="A517" t="s">
        <v>5411</v>
      </c>
      <c r="B517" t="s">
        <v>16</v>
      </c>
      <c r="C517" t="s">
        <v>17</v>
      </c>
      <c r="D517">
        <v>17180000</v>
      </c>
      <c r="E517">
        <v>17189999</v>
      </c>
      <c r="F517" t="s">
        <v>460</v>
      </c>
      <c r="G517" t="str">
        <f t="shared" si="16"/>
        <v>SPI II</v>
      </c>
      <c r="H517" t="s">
        <v>19</v>
      </c>
      <c r="I517" t="s">
        <v>20</v>
      </c>
      <c r="J517" t="s">
        <v>64</v>
      </c>
      <c r="K517" s="6">
        <v>0.03</v>
      </c>
      <c r="L517" s="7">
        <f t="shared" si="17"/>
        <v>2E-3</v>
      </c>
      <c r="M517" s="7">
        <v>3.0000000000000001E-3</v>
      </c>
      <c r="N517">
        <v>7</v>
      </c>
      <c r="O517" s="8">
        <v>17.934556092922943</v>
      </c>
      <c r="P517" s="9">
        <v>17.934556092922943</v>
      </c>
      <c r="Q517" s="9">
        <v>17.934556092922943</v>
      </c>
      <c r="R517" s="9">
        <v>18.35577997371016</v>
      </c>
      <c r="S517" s="9">
        <v>18.404835306435746</v>
      </c>
      <c r="T517" s="9">
        <v>19.112621008962602</v>
      </c>
      <c r="U517" s="9">
        <v>20.35176903227914</v>
      </c>
      <c r="V517" s="9">
        <v>20.35176903227914</v>
      </c>
      <c r="W517" s="9">
        <v>20.35176903227914</v>
      </c>
      <c r="X517" s="9">
        <v>19.91589544268896</v>
      </c>
      <c r="Y517" s="9">
        <v>19.91589544268896</v>
      </c>
      <c r="Z517" s="9">
        <v>21.609947773831163</v>
      </c>
      <c r="AA517" s="9">
        <v>21.609947773831163</v>
      </c>
      <c r="AB517" s="9">
        <v>23.372671736151272</v>
      </c>
      <c r="AC517" s="9">
        <v>23.372671736151272</v>
      </c>
      <c r="AD517" s="9">
        <v>26.430826810726163</v>
      </c>
      <c r="AE517" s="9">
        <v>27.959768706413232</v>
      </c>
      <c r="AF517" s="9">
        <v>29.772701744670762</v>
      </c>
      <c r="AG517" s="9">
        <v>29.772701744670762</v>
      </c>
      <c r="AH517" s="9">
        <v>32.589351949315954</v>
      </c>
      <c r="AI517" s="9">
        <v>34.825222308406182</v>
      </c>
      <c r="AJ517" s="9">
        <v>3.0428788910505911</v>
      </c>
    </row>
    <row r="518" spans="1:36" x14ac:dyDescent="0.25">
      <c r="A518" t="s">
        <v>5411</v>
      </c>
      <c r="B518" t="s">
        <v>16</v>
      </c>
      <c r="C518" t="s">
        <v>17</v>
      </c>
      <c r="D518">
        <v>17190000</v>
      </c>
      <c r="E518">
        <v>17199999</v>
      </c>
      <c r="F518" t="s">
        <v>461</v>
      </c>
      <c r="G518" t="str">
        <f t="shared" si="16"/>
        <v>SPI II</v>
      </c>
      <c r="H518" t="s">
        <v>19</v>
      </c>
      <c r="I518" t="s">
        <v>20</v>
      </c>
      <c r="J518" t="s">
        <v>64</v>
      </c>
      <c r="K518" s="6">
        <v>0.03</v>
      </c>
      <c r="L518" s="7">
        <f t="shared" si="17"/>
        <v>2E-3</v>
      </c>
      <c r="M518" s="7">
        <v>3.0000000000000001E-3</v>
      </c>
      <c r="N518">
        <v>8</v>
      </c>
      <c r="O518" s="8">
        <v>17.934556092922943</v>
      </c>
      <c r="P518" s="9">
        <v>17.934556092922943</v>
      </c>
      <c r="Q518" s="9">
        <v>17.934556092922943</v>
      </c>
      <c r="R518" s="9">
        <v>18.35577997371016</v>
      </c>
      <c r="S518" s="9">
        <v>18.404835306435746</v>
      </c>
      <c r="T518" s="9">
        <v>19.112621008962602</v>
      </c>
      <c r="U518" s="9">
        <v>20.35176903227914</v>
      </c>
      <c r="V518" s="9">
        <v>20.35176903227914</v>
      </c>
      <c r="W518" s="9">
        <v>20.35176903227914</v>
      </c>
      <c r="X518" s="9">
        <v>19.91589544268896</v>
      </c>
      <c r="Y518" s="9">
        <v>19.91589544268896</v>
      </c>
      <c r="Z518" s="9">
        <v>21.609947773831163</v>
      </c>
      <c r="AA518" s="9">
        <v>21.609947773831163</v>
      </c>
      <c r="AB518" s="9">
        <v>23.372671736151272</v>
      </c>
      <c r="AC518" s="9">
        <v>23.372671736151272</v>
      </c>
      <c r="AD518" s="9">
        <v>26.430826810726163</v>
      </c>
      <c r="AE518" s="9">
        <v>27.959768706413232</v>
      </c>
      <c r="AF518" s="9">
        <v>29.772701744670762</v>
      </c>
      <c r="AG518" s="9">
        <v>29.772701744670762</v>
      </c>
      <c r="AH518" s="9">
        <v>32.589351949315954</v>
      </c>
      <c r="AI518" s="9">
        <v>34.825222308406182</v>
      </c>
      <c r="AJ518" s="9">
        <v>3.0428788910505911</v>
      </c>
    </row>
    <row r="519" spans="1:36" x14ac:dyDescent="0.25">
      <c r="A519" t="s">
        <v>5411</v>
      </c>
      <c r="B519" t="s">
        <v>16</v>
      </c>
      <c r="C519" t="s">
        <v>17</v>
      </c>
      <c r="D519">
        <v>17200000</v>
      </c>
      <c r="E519">
        <v>17229999</v>
      </c>
      <c r="F519" t="s">
        <v>462</v>
      </c>
      <c r="G519" t="str">
        <f t="shared" si="16"/>
        <v>SPI II</v>
      </c>
      <c r="H519" t="s">
        <v>19</v>
      </c>
      <c r="I519" t="s">
        <v>20</v>
      </c>
      <c r="J519" t="s">
        <v>64</v>
      </c>
      <c r="K519" s="6">
        <v>0.03</v>
      </c>
      <c r="L519" s="7">
        <f t="shared" si="17"/>
        <v>2E-3</v>
      </c>
      <c r="M519" s="7">
        <v>3.0000000000000001E-3</v>
      </c>
      <c r="N519">
        <v>7</v>
      </c>
      <c r="O519" s="8">
        <v>17.934556092922943</v>
      </c>
      <c r="P519" s="9">
        <v>17.934556092922943</v>
      </c>
      <c r="Q519" s="9">
        <v>17.934556092922943</v>
      </c>
      <c r="R519" s="9">
        <v>18.35577997371016</v>
      </c>
      <c r="S519" s="9">
        <v>18.404835306435746</v>
      </c>
      <c r="T519" s="9">
        <v>19.112621008962602</v>
      </c>
      <c r="U519" s="9">
        <v>20.35176903227914</v>
      </c>
      <c r="V519" s="9">
        <v>20.35176903227914</v>
      </c>
      <c r="W519" s="9">
        <v>20.35176903227914</v>
      </c>
      <c r="X519" s="9">
        <v>19.91589544268896</v>
      </c>
      <c r="Y519" s="9">
        <v>19.91589544268896</v>
      </c>
      <c r="Z519" s="9">
        <v>21.609947773831163</v>
      </c>
      <c r="AA519" s="9">
        <v>21.609947773831163</v>
      </c>
      <c r="AB519" s="9">
        <v>23.372671736151272</v>
      </c>
      <c r="AC519" s="9">
        <v>23.372671736151272</v>
      </c>
      <c r="AD519" s="9">
        <v>26.430826810726163</v>
      </c>
      <c r="AE519" s="9">
        <v>27.959768706413232</v>
      </c>
      <c r="AF519" s="9">
        <v>29.772701744670762</v>
      </c>
      <c r="AG519" s="9">
        <v>29.772701744670762</v>
      </c>
      <c r="AH519" s="9">
        <v>32.589351949315954</v>
      </c>
      <c r="AI519" s="9">
        <v>34.825222308406182</v>
      </c>
      <c r="AJ519" s="9">
        <v>3.0428788910505911</v>
      </c>
    </row>
    <row r="520" spans="1:36" x14ac:dyDescent="0.25">
      <c r="A520" t="s">
        <v>5411</v>
      </c>
      <c r="B520" t="s">
        <v>16</v>
      </c>
      <c r="C520" t="s">
        <v>17</v>
      </c>
      <c r="D520">
        <v>17230000</v>
      </c>
      <c r="E520">
        <v>17239999</v>
      </c>
      <c r="F520" t="s">
        <v>463</v>
      </c>
      <c r="G520" t="str">
        <f t="shared" si="16"/>
        <v>SPI II</v>
      </c>
      <c r="H520" t="s">
        <v>19</v>
      </c>
      <c r="I520" t="s">
        <v>20</v>
      </c>
      <c r="J520" t="s">
        <v>64</v>
      </c>
      <c r="K520" s="6">
        <v>0.03</v>
      </c>
      <c r="L520" s="7">
        <f t="shared" si="17"/>
        <v>2E-3</v>
      </c>
      <c r="M520" s="7">
        <v>3.0000000000000001E-3</v>
      </c>
      <c r="N520">
        <v>7</v>
      </c>
      <c r="O520" s="8">
        <v>17.934556092922943</v>
      </c>
      <c r="P520" s="9">
        <v>17.934556092922943</v>
      </c>
      <c r="Q520" s="9">
        <v>17.934556092922943</v>
      </c>
      <c r="R520" s="9">
        <v>18.35577997371016</v>
      </c>
      <c r="S520" s="9">
        <v>18.404835306435746</v>
      </c>
      <c r="T520" s="9">
        <v>19.112621008962602</v>
      </c>
      <c r="U520" s="9">
        <v>20.35176903227914</v>
      </c>
      <c r="V520" s="9">
        <v>20.35176903227914</v>
      </c>
      <c r="W520" s="9">
        <v>20.35176903227914</v>
      </c>
      <c r="X520" s="9">
        <v>19.91589544268896</v>
      </c>
      <c r="Y520" s="9">
        <v>19.91589544268896</v>
      </c>
      <c r="Z520" s="9">
        <v>21.609947773831163</v>
      </c>
      <c r="AA520" s="9">
        <v>21.609947773831163</v>
      </c>
      <c r="AB520" s="9">
        <v>23.372671736151272</v>
      </c>
      <c r="AC520" s="9">
        <v>23.372671736151272</v>
      </c>
      <c r="AD520" s="9">
        <v>26.430826810726163</v>
      </c>
      <c r="AE520" s="9">
        <v>27.959768706413232</v>
      </c>
      <c r="AF520" s="9">
        <v>29.772701744670762</v>
      </c>
      <c r="AG520" s="9">
        <v>29.772701744670762</v>
      </c>
      <c r="AH520" s="9">
        <v>32.589351949315954</v>
      </c>
      <c r="AI520" s="9">
        <v>34.825222308406182</v>
      </c>
      <c r="AJ520" s="9">
        <v>3.0428788910505911</v>
      </c>
    </row>
    <row r="521" spans="1:36" x14ac:dyDescent="0.25">
      <c r="A521" t="s">
        <v>5411</v>
      </c>
      <c r="B521" t="s">
        <v>16</v>
      </c>
      <c r="C521" t="s">
        <v>17</v>
      </c>
      <c r="D521">
        <v>17240000</v>
      </c>
      <c r="E521">
        <v>17249999</v>
      </c>
      <c r="F521" t="s">
        <v>464</v>
      </c>
      <c r="G521" t="str">
        <f t="shared" si="16"/>
        <v>SPI II</v>
      </c>
      <c r="H521" t="s">
        <v>19</v>
      </c>
      <c r="I521" t="s">
        <v>20</v>
      </c>
      <c r="J521" t="s">
        <v>64</v>
      </c>
      <c r="K521" s="6">
        <v>0.03</v>
      </c>
      <c r="L521" s="7">
        <f t="shared" si="17"/>
        <v>2E-3</v>
      </c>
      <c r="M521" s="7">
        <v>3.0000000000000001E-3</v>
      </c>
      <c r="N521">
        <v>8</v>
      </c>
      <c r="O521" s="8">
        <v>17.934556092922943</v>
      </c>
      <c r="P521" s="9">
        <v>17.934556092922943</v>
      </c>
      <c r="Q521" s="9">
        <v>17.934556092922943</v>
      </c>
      <c r="R521" s="9">
        <v>18.35577997371016</v>
      </c>
      <c r="S521" s="9">
        <v>18.404835306435746</v>
      </c>
      <c r="T521" s="9">
        <v>19.112621008962602</v>
      </c>
      <c r="U521" s="9">
        <v>20.35176903227914</v>
      </c>
      <c r="V521" s="9">
        <v>20.35176903227914</v>
      </c>
      <c r="W521" s="9">
        <v>20.35176903227914</v>
      </c>
      <c r="X521" s="9">
        <v>19.91589544268896</v>
      </c>
      <c r="Y521" s="9">
        <v>19.91589544268896</v>
      </c>
      <c r="Z521" s="9">
        <v>21.609947773831163</v>
      </c>
      <c r="AA521" s="9">
        <v>21.609947773831163</v>
      </c>
      <c r="AB521" s="9">
        <v>23.372671736151272</v>
      </c>
      <c r="AC521" s="9">
        <v>23.372671736151272</v>
      </c>
      <c r="AD521" s="9">
        <v>26.430826810726163</v>
      </c>
      <c r="AE521" s="9">
        <v>27.959768706413232</v>
      </c>
      <c r="AF521" s="9">
        <v>29.772701744670762</v>
      </c>
      <c r="AG521" s="9">
        <v>29.772701744670762</v>
      </c>
      <c r="AH521" s="9">
        <v>32.589351949315954</v>
      </c>
      <c r="AI521" s="9">
        <v>34.825222308406182</v>
      </c>
      <c r="AJ521" s="9">
        <v>3.0428788910505911</v>
      </c>
    </row>
    <row r="522" spans="1:36" x14ac:dyDescent="0.25">
      <c r="A522" t="s">
        <v>5411</v>
      </c>
      <c r="B522" t="s">
        <v>16</v>
      </c>
      <c r="C522" t="s">
        <v>17</v>
      </c>
      <c r="D522">
        <v>17250000</v>
      </c>
      <c r="E522">
        <v>17259999</v>
      </c>
      <c r="F522" t="s">
        <v>465</v>
      </c>
      <c r="G522" t="str">
        <f t="shared" si="16"/>
        <v>SPI II</v>
      </c>
      <c r="H522" t="s">
        <v>19</v>
      </c>
      <c r="I522" t="s">
        <v>20</v>
      </c>
      <c r="J522" t="s">
        <v>64</v>
      </c>
      <c r="K522" s="6">
        <v>0.03</v>
      </c>
      <c r="L522" s="7">
        <f t="shared" si="17"/>
        <v>2E-3</v>
      </c>
      <c r="M522" s="7">
        <v>3.0000000000000001E-3</v>
      </c>
      <c r="N522">
        <v>8</v>
      </c>
      <c r="O522" s="8">
        <v>17.934556092922943</v>
      </c>
      <c r="P522" s="9">
        <v>17.934556092922943</v>
      </c>
      <c r="Q522" s="9">
        <v>17.934556092922943</v>
      </c>
      <c r="R522" s="9">
        <v>18.35577997371016</v>
      </c>
      <c r="S522" s="9">
        <v>18.404835306435746</v>
      </c>
      <c r="T522" s="9">
        <v>19.112621008962602</v>
      </c>
      <c r="U522" s="9">
        <v>20.35176903227914</v>
      </c>
      <c r="V522" s="9">
        <v>20.35176903227914</v>
      </c>
      <c r="W522" s="9">
        <v>20.35176903227914</v>
      </c>
      <c r="X522" s="9">
        <v>19.91589544268896</v>
      </c>
      <c r="Y522" s="9">
        <v>19.91589544268896</v>
      </c>
      <c r="Z522" s="9">
        <v>21.609947773831163</v>
      </c>
      <c r="AA522" s="9">
        <v>21.609947773831163</v>
      </c>
      <c r="AB522" s="9">
        <v>23.372671736151272</v>
      </c>
      <c r="AC522" s="9">
        <v>23.372671736151272</v>
      </c>
      <c r="AD522" s="9">
        <v>26.430826810726163</v>
      </c>
      <c r="AE522" s="9">
        <v>27.959768706413232</v>
      </c>
      <c r="AF522" s="9">
        <v>29.772701744670762</v>
      </c>
      <c r="AG522" s="9">
        <v>29.772701744670762</v>
      </c>
      <c r="AH522" s="9">
        <v>32.589351949315954</v>
      </c>
      <c r="AI522" s="9">
        <v>34.825222308406182</v>
      </c>
      <c r="AJ522" s="9">
        <v>3.0428788910505911</v>
      </c>
    </row>
    <row r="523" spans="1:36" x14ac:dyDescent="0.25">
      <c r="A523" t="s">
        <v>5411</v>
      </c>
      <c r="B523" t="s">
        <v>16</v>
      </c>
      <c r="C523" t="s">
        <v>17</v>
      </c>
      <c r="D523">
        <v>17260000</v>
      </c>
      <c r="E523">
        <v>17269999</v>
      </c>
      <c r="F523" t="s">
        <v>466</v>
      </c>
      <c r="G523" t="str">
        <f t="shared" si="16"/>
        <v>SPI II</v>
      </c>
      <c r="H523" t="s">
        <v>19</v>
      </c>
      <c r="I523" t="s">
        <v>20</v>
      </c>
      <c r="J523" t="s">
        <v>64</v>
      </c>
      <c r="K523" s="6">
        <v>0.03</v>
      </c>
      <c r="L523" s="7">
        <f t="shared" si="17"/>
        <v>2E-3</v>
      </c>
      <c r="M523" s="7">
        <v>3.0000000000000001E-3</v>
      </c>
      <c r="N523">
        <v>8</v>
      </c>
      <c r="O523" s="8">
        <v>17.934556092922943</v>
      </c>
      <c r="P523" s="9">
        <v>17.934556092922943</v>
      </c>
      <c r="Q523" s="9">
        <v>17.934556092922943</v>
      </c>
      <c r="R523" s="9">
        <v>18.35577997371016</v>
      </c>
      <c r="S523" s="9">
        <v>18.404835306435746</v>
      </c>
      <c r="T523" s="9">
        <v>19.112621008962602</v>
      </c>
      <c r="U523" s="9">
        <v>20.35176903227914</v>
      </c>
      <c r="V523" s="9">
        <v>20.35176903227914</v>
      </c>
      <c r="W523" s="9">
        <v>20.35176903227914</v>
      </c>
      <c r="X523" s="9">
        <v>19.91589544268896</v>
      </c>
      <c r="Y523" s="9">
        <v>19.91589544268896</v>
      </c>
      <c r="Z523" s="9">
        <v>21.609947773831163</v>
      </c>
      <c r="AA523" s="9">
        <v>21.609947773831163</v>
      </c>
      <c r="AB523" s="9">
        <v>23.372671736151272</v>
      </c>
      <c r="AC523" s="9">
        <v>23.372671736151272</v>
      </c>
      <c r="AD523" s="9">
        <v>26.430826810726163</v>
      </c>
      <c r="AE523" s="9">
        <v>27.959768706413232</v>
      </c>
      <c r="AF523" s="9">
        <v>29.772701744670762</v>
      </c>
      <c r="AG523" s="9">
        <v>29.772701744670762</v>
      </c>
      <c r="AH523" s="9">
        <v>32.589351949315954</v>
      </c>
      <c r="AI523" s="9">
        <v>34.825222308406182</v>
      </c>
      <c r="AJ523" s="9">
        <v>3.0428788910505911</v>
      </c>
    </row>
    <row r="524" spans="1:36" x14ac:dyDescent="0.25">
      <c r="A524" t="s">
        <v>5411</v>
      </c>
      <c r="B524" t="s">
        <v>16</v>
      </c>
      <c r="C524" t="s">
        <v>17</v>
      </c>
      <c r="D524">
        <v>17270000</v>
      </c>
      <c r="E524">
        <v>17279999</v>
      </c>
      <c r="F524" t="s">
        <v>467</v>
      </c>
      <c r="G524" t="str">
        <f t="shared" si="16"/>
        <v>SPI II</v>
      </c>
      <c r="H524" t="s">
        <v>19</v>
      </c>
      <c r="I524" t="s">
        <v>20</v>
      </c>
      <c r="J524" t="s">
        <v>64</v>
      </c>
      <c r="K524" s="6">
        <v>0.03</v>
      </c>
      <c r="L524" s="7">
        <f t="shared" si="17"/>
        <v>2E-3</v>
      </c>
      <c r="M524" s="7">
        <v>3.0000000000000001E-3</v>
      </c>
      <c r="N524">
        <v>7</v>
      </c>
      <c r="O524" s="8">
        <v>17.934556092922943</v>
      </c>
      <c r="P524" s="9">
        <v>17.934556092922943</v>
      </c>
      <c r="Q524" s="9">
        <v>17.934556092922943</v>
      </c>
      <c r="R524" s="9">
        <v>18.35577997371016</v>
      </c>
      <c r="S524" s="9">
        <v>18.404835306435746</v>
      </c>
      <c r="T524" s="9">
        <v>19.112621008962602</v>
      </c>
      <c r="U524" s="9">
        <v>20.35176903227914</v>
      </c>
      <c r="V524" s="9">
        <v>20.35176903227914</v>
      </c>
      <c r="W524" s="9">
        <v>20.35176903227914</v>
      </c>
      <c r="X524" s="9">
        <v>19.91589544268896</v>
      </c>
      <c r="Y524" s="9">
        <v>19.91589544268896</v>
      </c>
      <c r="Z524" s="9">
        <v>21.609947773831163</v>
      </c>
      <c r="AA524" s="9">
        <v>21.609947773831163</v>
      </c>
      <c r="AB524" s="9">
        <v>23.372671736151272</v>
      </c>
      <c r="AC524" s="9">
        <v>23.372671736151272</v>
      </c>
      <c r="AD524" s="9">
        <v>26.430826810726163</v>
      </c>
      <c r="AE524" s="9">
        <v>27.959768706413232</v>
      </c>
      <c r="AF524" s="9">
        <v>29.772701744670762</v>
      </c>
      <c r="AG524" s="9">
        <v>29.772701744670762</v>
      </c>
      <c r="AH524" s="9">
        <v>32.589351949315954</v>
      </c>
      <c r="AI524" s="9">
        <v>34.825222308406182</v>
      </c>
      <c r="AJ524" s="9">
        <v>3.0428788910505911</v>
      </c>
    </row>
    <row r="525" spans="1:36" x14ac:dyDescent="0.25">
      <c r="A525" t="s">
        <v>5411</v>
      </c>
      <c r="B525" t="s">
        <v>16</v>
      </c>
      <c r="C525" t="s">
        <v>17</v>
      </c>
      <c r="D525">
        <v>17280000</v>
      </c>
      <c r="E525">
        <v>17289999</v>
      </c>
      <c r="F525" t="s">
        <v>468</v>
      </c>
      <c r="G525" t="str">
        <f t="shared" si="16"/>
        <v>SPI II</v>
      </c>
      <c r="H525" t="s">
        <v>19</v>
      </c>
      <c r="I525" t="s">
        <v>20</v>
      </c>
      <c r="J525" t="s">
        <v>64</v>
      </c>
      <c r="K525" s="6">
        <v>0.03</v>
      </c>
      <c r="L525" s="7">
        <f t="shared" si="17"/>
        <v>2E-3</v>
      </c>
      <c r="M525" s="7">
        <v>3.0000000000000001E-3</v>
      </c>
      <c r="N525">
        <v>8</v>
      </c>
      <c r="O525" s="8">
        <v>17.934556092922943</v>
      </c>
      <c r="P525" s="9">
        <v>17.934556092922943</v>
      </c>
      <c r="Q525" s="9">
        <v>17.934556092922943</v>
      </c>
      <c r="R525" s="9">
        <v>18.35577997371016</v>
      </c>
      <c r="S525" s="9">
        <v>18.404835306435746</v>
      </c>
      <c r="T525" s="9">
        <v>19.112621008962602</v>
      </c>
      <c r="U525" s="9">
        <v>20.35176903227914</v>
      </c>
      <c r="V525" s="9">
        <v>20.35176903227914</v>
      </c>
      <c r="W525" s="9">
        <v>20.35176903227914</v>
      </c>
      <c r="X525" s="9">
        <v>19.91589544268896</v>
      </c>
      <c r="Y525" s="9">
        <v>19.91589544268896</v>
      </c>
      <c r="Z525" s="9">
        <v>21.609947773831163</v>
      </c>
      <c r="AA525" s="9">
        <v>21.609947773831163</v>
      </c>
      <c r="AB525" s="9">
        <v>23.372671736151272</v>
      </c>
      <c r="AC525" s="9">
        <v>23.372671736151272</v>
      </c>
      <c r="AD525" s="9">
        <v>26.430826810726163</v>
      </c>
      <c r="AE525" s="9">
        <v>27.959768706413232</v>
      </c>
      <c r="AF525" s="9">
        <v>29.772701744670762</v>
      </c>
      <c r="AG525" s="9">
        <v>29.772701744670762</v>
      </c>
      <c r="AH525" s="9">
        <v>32.589351949315954</v>
      </c>
      <c r="AI525" s="9">
        <v>34.825222308406182</v>
      </c>
      <c r="AJ525" s="9">
        <v>3.0428788910505911</v>
      </c>
    </row>
    <row r="526" spans="1:36" x14ac:dyDescent="0.25">
      <c r="A526" t="s">
        <v>5411</v>
      </c>
      <c r="B526" t="s">
        <v>16</v>
      </c>
      <c r="C526" t="s">
        <v>17</v>
      </c>
      <c r="D526">
        <v>17290000</v>
      </c>
      <c r="E526">
        <v>17299999</v>
      </c>
      <c r="F526" t="s">
        <v>469</v>
      </c>
      <c r="G526" t="str">
        <f t="shared" si="16"/>
        <v>SPI II</v>
      </c>
      <c r="H526" t="s">
        <v>19</v>
      </c>
      <c r="I526" t="s">
        <v>20</v>
      </c>
      <c r="J526" t="s">
        <v>64</v>
      </c>
      <c r="K526" s="6">
        <v>0.03</v>
      </c>
      <c r="L526" s="7">
        <f t="shared" si="17"/>
        <v>2E-3</v>
      </c>
      <c r="M526" s="7">
        <v>3.0000000000000001E-3</v>
      </c>
      <c r="N526">
        <v>8</v>
      </c>
      <c r="O526" s="8">
        <v>17.934556092922943</v>
      </c>
      <c r="P526" s="9">
        <v>17.934556092922943</v>
      </c>
      <c r="Q526" s="9">
        <v>17.934556092922943</v>
      </c>
      <c r="R526" s="9">
        <v>18.35577997371016</v>
      </c>
      <c r="S526" s="9">
        <v>18.404835306435746</v>
      </c>
      <c r="T526" s="9">
        <v>19.112621008962602</v>
      </c>
      <c r="U526" s="9">
        <v>20.35176903227914</v>
      </c>
      <c r="V526" s="9">
        <v>20.35176903227914</v>
      </c>
      <c r="W526" s="9">
        <v>20.35176903227914</v>
      </c>
      <c r="X526" s="9">
        <v>19.91589544268896</v>
      </c>
      <c r="Y526" s="9">
        <v>19.91589544268896</v>
      </c>
      <c r="Z526" s="9">
        <v>21.609947773831163</v>
      </c>
      <c r="AA526" s="9">
        <v>21.609947773831163</v>
      </c>
      <c r="AB526" s="9">
        <v>23.372671736151272</v>
      </c>
      <c r="AC526" s="9">
        <v>23.372671736151272</v>
      </c>
      <c r="AD526" s="9">
        <v>26.430826810726163</v>
      </c>
      <c r="AE526" s="9">
        <v>27.959768706413232</v>
      </c>
      <c r="AF526" s="9">
        <v>29.772701744670762</v>
      </c>
      <c r="AG526" s="9">
        <v>29.772701744670762</v>
      </c>
      <c r="AH526" s="9">
        <v>32.589351949315954</v>
      </c>
      <c r="AI526" s="9">
        <v>34.825222308406182</v>
      </c>
      <c r="AJ526" s="9">
        <v>3.0428788910505911</v>
      </c>
    </row>
    <row r="527" spans="1:36" x14ac:dyDescent="0.25">
      <c r="A527" t="s">
        <v>5411</v>
      </c>
      <c r="B527" t="s">
        <v>16</v>
      </c>
      <c r="C527" t="s">
        <v>17</v>
      </c>
      <c r="D527">
        <v>17300000</v>
      </c>
      <c r="E527">
        <v>17319999</v>
      </c>
      <c r="F527" t="s">
        <v>470</v>
      </c>
      <c r="G527" t="str">
        <f t="shared" si="16"/>
        <v>SPI II</v>
      </c>
      <c r="H527" t="s">
        <v>19</v>
      </c>
      <c r="I527" t="s">
        <v>20</v>
      </c>
      <c r="J527" t="s">
        <v>64</v>
      </c>
      <c r="K527" s="6">
        <v>0.03</v>
      </c>
      <c r="L527" s="7">
        <f t="shared" si="17"/>
        <v>2E-3</v>
      </c>
      <c r="M527" s="7">
        <v>3.0000000000000001E-3</v>
      </c>
      <c r="N527">
        <v>8</v>
      </c>
      <c r="O527" s="8">
        <v>17.934556092922943</v>
      </c>
      <c r="P527" s="9">
        <v>17.934556092922943</v>
      </c>
      <c r="Q527" s="9">
        <v>17.934556092922943</v>
      </c>
      <c r="R527" s="9">
        <v>18.35577997371016</v>
      </c>
      <c r="S527" s="9">
        <v>18.404835306435746</v>
      </c>
      <c r="T527" s="9">
        <v>19.112621008962602</v>
      </c>
      <c r="U527" s="9">
        <v>20.35176903227914</v>
      </c>
      <c r="V527" s="9">
        <v>20.35176903227914</v>
      </c>
      <c r="W527" s="9">
        <v>20.35176903227914</v>
      </c>
      <c r="X527" s="9">
        <v>19.91589544268896</v>
      </c>
      <c r="Y527" s="9">
        <v>19.91589544268896</v>
      </c>
      <c r="Z527" s="9">
        <v>21.609947773831163</v>
      </c>
      <c r="AA527" s="9">
        <v>21.609947773831163</v>
      </c>
      <c r="AB527" s="9">
        <v>23.372671736151272</v>
      </c>
      <c r="AC527" s="9">
        <v>23.372671736151272</v>
      </c>
      <c r="AD527" s="9">
        <v>26.430826810726163</v>
      </c>
      <c r="AE527" s="9">
        <v>27.959768706413232</v>
      </c>
      <c r="AF527" s="9">
        <v>29.772701744670762</v>
      </c>
      <c r="AG527" s="9">
        <v>29.772701744670762</v>
      </c>
      <c r="AH527" s="9">
        <v>32.589351949315954</v>
      </c>
      <c r="AI527" s="9">
        <v>34.825222308406182</v>
      </c>
      <c r="AJ527" s="9">
        <v>3.0428788910505911</v>
      </c>
    </row>
    <row r="528" spans="1:36" x14ac:dyDescent="0.25">
      <c r="A528" t="s">
        <v>5411</v>
      </c>
      <c r="B528" t="s">
        <v>16</v>
      </c>
      <c r="C528" t="s">
        <v>17</v>
      </c>
      <c r="D528">
        <v>17320000</v>
      </c>
      <c r="E528">
        <v>17339999</v>
      </c>
      <c r="F528" t="s">
        <v>471</v>
      </c>
      <c r="G528" t="str">
        <f t="shared" si="16"/>
        <v>SPI II</v>
      </c>
      <c r="H528" t="s">
        <v>19</v>
      </c>
      <c r="I528" t="s">
        <v>20</v>
      </c>
      <c r="J528" t="s">
        <v>64</v>
      </c>
      <c r="K528" s="6">
        <v>0.03</v>
      </c>
      <c r="L528" s="7">
        <f t="shared" si="17"/>
        <v>2E-3</v>
      </c>
      <c r="M528" s="7">
        <v>3.0000000000000001E-3</v>
      </c>
      <c r="N528">
        <v>9</v>
      </c>
      <c r="O528" s="8">
        <v>17.934556092922943</v>
      </c>
      <c r="P528" s="9">
        <v>17.934556092922943</v>
      </c>
      <c r="Q528" s="9">
        <v>17.934556092922943</v>
      </c>
      <c r="R528" s="9">
        <v>18.35577997371016</v>
      </c>
      <c r="S528" s="9">
        <v>18.404835306435746</v>
      </c>
      <c r="T528" s="9">
        <v>19.112621008962602</v>
      </c>
      <c r="U528" s="9">
        <v>20.35176903227914</v>
      </c>
      <c r="V528" s="9">
        <v>20.35176903227914</v>
      </c>
      <c r="W528" s="9">
        <v>20.35176903227914</v>
      </c>
      <c r="X528" s="9">
        <v>19.91589544268896</v>
      </c>
      <c r="Y528" s="9">
        <v>19.91589544268896</v>
      </c>
      <c r="Z528" s="9">
        <v>21.609947773831163</v>
      </c>
      <c r="AA528" s="9">
        <v>21.609947773831163</v>
      </c>
      <c r="AB528" s="9">
        <v>23.372671736151272</v>
      </c>
      <c r="AC528" s="9">
        <v>23.372671736151272</v>
      </c>
      <c r="AD528" s="9">
        <v>26.430826810726163</v>
      </c>
      <c r="AE528" s="9">
        <v>27.959768706413232</v>
      </c>
      <c r="AF528" s="9">
        <v>29.772701744670762</v>
      </c>
      <c r="AG528" s="9">
        <v>29.772701744670762</v>
      </c>
      <c r="AH528" s="9">
        <v>32.589351949315954</v>
      </c>
      <c r="AI528" s="9">
        <v>34.825222308406182</v>
      </c>
      <c r="AJ528" s="9">
        <v>3.0428788910505911</v>
      </c>
    </row>
    <row r="529" spans="1:36" x14ac:dyDescent="0.25">
      <c r="A529" t="s">
        <v>5411</v>
      </c>
      <c r="B529" t="s">
        <v>16</v>
      </c>
      <c r="C529" t="s">
        <v>17</v>
      </c>
      <c r="D529">
        <v>17340000</v>
      </c>
      <c r="E529">
        <v>17349999</v>
      </c>
      <c r="F529" t="s">
        <v>472</v>
      </c>
      <c r="G529" t="str">
        <f t="shared" si="16"/>
        <v>SPI II</v>
      </c>
      <c r="H529" t="s">
        <v>19</v>
      </c>
      <c r="I529" t="s">
        <v>20</v>
      </c>
      <c r="J529" t="s">
        <v>64</v>
      </c>
      <c r="K529" s="6">
        <v>0.03</v>
      </c>
      <c r="L529" s="7">
        <f t="shared" si="17"/>
        <v>2E-3</v>
      </c>
      <c r="M529" s="7">
        <v>3.0000000000000001E-3</v>
      </c>
      <c r="N529">
        <v>8</v>
      </c>
      <c r="O529" s="8">
        <v>17.934556092922943</v>
      </c>
      <c r="P529" s="9">
        <v>17.934556092922943</v>
      </c>
      <c r="Q529" s="9">
        <v>17.934556092922943</v>
      </c>
      <c r="R529" s="9">
        <v>18.35577997371016</v>
      </c>
      <c r="S529" s="9">
        <v>18.404835306435746</v>
      </c>
      <c r="T529" s="9">
        <v>19.112621008962602</v>
      </c>
      <c r="U529" s="9">
        <v>20.35176903227914</v>
      </c>
      <c r="V529" s="9">
        <v>20.35176903227914</v>
      </c>
      <c r="W529" s="9">
        <v>20.35176903227914</v>
      </c>
      <c r="X529" s="9">
        <v>19.91589544268896</v>
      </c>
      <c r="Y529" s="9">
        <v>19.91589544268896</v>
      </c>
      <c r="Z529" s="9">
        <v>21.609947773831163</v>
      </c>
      <c r="AA529" s="9">
        <v>21.609947773831163</v>
      </c>
      <c r="AB529" s="9">
        <v>23.372671736151272</v>
      </c>
      <c r="AC529" s="9">
        <v>23.372671736151272</v>
      </c>
      <c r="AD529" s="9">
        <v>26.430826810726163</v>
      </c>
      <c r="AE529" s="9">
        <v>27.959768706413232</v>
      </c>
      <c r="AF529" s="9">
        <v>29.772701744670762</v>
      </c>
      <c r="AG529" s="9">
        <v>29.772701744670762</v>
      </c>
      <c r="AH529" s="9">
        <v>32.589351949315954</v>
      </c>
      <c r="AI529" s="9">
        <v>34.825222308406182</v>
      </c>
      <c r="AJ529" s="9">
        <v>3.0428788910505911</v>
      </c>
    </row>
    <row r="530" spans="1:36" x14ac:dyDescent="0.25">
      <c r="A530" t="s">
        <v>5411</v>
      </c>
      <c r="B530" t="s">
        <v>16</v>
      </c>
      <c r="C530" t="s">
        <v>17</v>
      </c>
      <c r="D530">
        <v>17350000</v>
      </c>
      <c r="E530">
        <v>17359999</v>
      </c>
      <c r="F530" t="s">
        <v>473</v>
      </c>
      <c r="G530" t="str">
        <f t="shared" si="16"/>
        <v>SPI II</v>
      </c>
      <c r="H530" t="s">
        <v>19</v>
      </c>
      <c r="I530" t="s">
        <v>20</v>
      </c>
      <c r="J530" t="s">
        <v>64</v>
      </c>
      <c r="K530" s="6">
        <v>0.03</v>
      </c>
      <c r="L530" s="7">
        <f t="shared" si="17"/>
        <v>2E-3</v>
      </c>
      <c r="M530" s="7">
        <v>3.0000000000000001E-3</v>
      </c>
      <c r="N530">
        <v>8</v>
      </c>
      <c r="O530" s="8">
        <v>17.934556092922943</v>
      </c>
      <c r="P530" s="9">
        <v>17.934556092922943</v>
      </c>
      <c r="Q530" s="9">
        <v>17.934556092922943</v>
      </c>
      <c r="R530" s="9">
        <v>18.35577997371016</v>
      </c>
      <c r="S530" s="9">
        <v>18.404835306435746</v>
      </c>
      <c r="T530" s="9">
        <v>19.112621008962602</v>
      </c>
      <c r="U530" s="9">
        <v>20.35176903227914</v>
      </c>
      <c r="V530" s="9">
        <v>20.35176903227914</v>
      </c>
      <c r="W530" s="9">
        <v>20.35176903227914</v>
      </c>
      <c r="X530" s="9">
        <v>19.91589544268896</v>
      </c>
      <c r="Y530" s="9">
        <v>19.91589544268896</v>
      </c>
      <c r="Z530" s="9">
        <v>21.609947773831163</v>
      </c>
      <c r="AA530" s="9">
        <v>21.609947773831163</v>
      </c>
      <c r="AB530" s="9">
        <v>23.372671736151272</v>
      </c>
      <c r="AC530" s="9">
        <v>23.372671736151272</v>
      </c>
      <c r="AD530" s="9">
        <v>26.430826810726163</v>
      </c>
      <c r="AE530" s="9">
        <v>27.959768706413232</v>
      </c>
      <c r="AF530" s="9">
        <v>29.772701744670762</v>
      </c>
      <c r="AG530" s="9">
        <v>29.772701744670762</v>
      </c>
      <c r="AH530" s="9">
        <v>32.589351949315954</v>
      </c>
      <c r="AI530" s="9">
        <v>34.825222308406182</v>
      </c>
      <c r="AJ530" s="9">
        <v>3.0428788910505911</v>
      </c>
    </row>
    <row r="531" spans="1:36" x14ac:dyDescent="0.25">
      <c r="A531" t="s">
        <v>5411</v>
      </c>
      <c r="B531" t="s">
        <v>16</v>
      </c>
      <c r="C531" t="s">
        <v>17</v>
      </c>
      <c r="D531">
        <v>17360000</v>
      </c>
      <c r="E531">
        <v>17369999</v>
      </c>
      <c r="F531" t="s">
        <v>474</v>
      </c>
      <c r="G531" t="str">
        <f t="shared" si="16"/>
        <v>SPR</v>
      </c>
      <c r="H531" t="s">
        <v>19</v>
      </c>
      <c r="I531" t="s">
        <v>20</v>
      </c>
      <c r="J531" t="s">
        <v>77</v>
      </c>
      <c r="K531" s="6">
        <v>0.03</v>
      </c>
      <c r="L531" s="7">
        <f t="shared" si="17"/>
        <v>2E-3</v>
      </c>
      <c r="M531" s="7">
        <v>3.0000000000000001E-3</v>
      </c>
      <c r="N531">
        <v>13</v>
      </c>
      <c r="O531" s="8">
        <v>26.611209830054129</v>
      </c>
      <c r="P531" s="9">
        <v>26.611209830054129</v>
      </c>
      <c r="Q531" s="9">
        <v>26.611209830054129</v>
      </c>
      <c r="R531" s="9">
        <v>27.647760246913514</v>
      </c>
      <c r="S531" s="9">
        <v>28.483539200322319</v>
      </c>
      <c r="T531" s="9">
        <v>29.244822799499698</v>
      </c>
      <c r="U531" s="9">
        <v>31.379671510701762</v>
      </c>
      <c r="V531" s="9">
        <v>31.379671510701762</v>
      </c>
      <c r="W531" s="9">
        <v>31.379671510701762</v>
      </c>
      <c r="X531" s="9">
        <v>34.250510560182867</v>
      </c>
      <c r="Y531" s="9">
        <v>34.250510560182867</v>
      </c>
      <c r="Z531" s="9">
        <v>37.271704438917176</v>
      </c>
      <c r="AA531" s="9">
        <v>37.271704438917176</v>
      </c>
      <c r="AB531" s="9">
        <v>40.458288629830058</v>
      </c>
      <c r="AC531" s="9">
        <v>40.458288629830058</v>
      </c>
      <c r="AD531" s="9">
        <v>43.826802164139323</v>
      </c>
      <c r="AE531" s="9">
        <v>47.523241367157013</v>
      </c>
      <c r="AF531" s="9">
        <v>51.713576824258396</v>
      </c>
      <c r="AG531" s="9">
        <v>51.713576824258396</v>
      </c>
      <c r="AH531" s="9">
        <v>56.658816723629734</v>
      </c>
      <c r="AI531" s="9">
        <v>61.577420347834391</v>
      </c>
      <c r="AJ531" s="9">
        <v>3.0428788910505911</v>
      </c>
    </row>
    <row r="532" spans="1:36" x14ac:dyDescent="0.25">
      <c r="A532" t="s">
        <v>5411</v>
      </c>
      <c r="B532" t="s">
        <v>16</v>
      </c>
      <c r="C532" t="s">
        <v>17</v>
      </c>
      <c r="D532">
        <v>17370000</v>
      </c>
      <c r="E532">
        <v>17379999</v>
      </c>
      <c r="F532" t="s">
        <v>475</v>
      </c>
      <c r="G532" t="str">
        <f t="shared" si="16"/>
        <v>SPR</v>
      </c>
      <c r="H532" t="s">
        <v>19</v>
      </c>
      <c r="I532" t="s">
        <v>20</v>
      </c>
      <c r="J532" t="s">
        <v>77</v>
      </c>
      <c r="K532" s="6">
        <v>0.03</v>
      </c>
      <c r="L532" s="7">
        <f t="shared" si="17"/>
        <v>2E-3</v>
      </c>
      <c r="M532" s="7">
        <v>3.0000000000000001E-3</v>
      </c>
      <c r="N532">
        <v>13</v>
      </c>
      <c r="O532" s="8">
        <v>26.611209830054129</v>
      </c>
      <c r="P532" s="9">
        <v>26.611209830054129</v>
      </c>
      <c r="Q532" s="9">
        <v>26.611209830054129</v>
      </c>
      <c r="R532" s="9">
        <v>27.647760246913514</v>
      </c>
      <c r="S532" s="9">
        <v>28.483539200322319</v>
      </c>
      <c r="T532" s="9">
        <v>29.244822799499698</v>
      </c>
      <c r="U532" s="9">
        <v>31.379671510701762</v>
      </c>
      <c r="V532" s="9">
        <v>31.379671510701762</v>
      </c>
      <c r="W532" s="9">
        <v>31.379671510701762</v>
      </c>
      <c r="X532" s="9">
        <v>34.250510560182867</v>
      </c>
      <c r="Y532" s="9">
        <v>34.250510560182867</v>
      </c>
      <c r="Z532" s="9">
        <v>37.271704438917176</v>
      </c>
      <c r="AA532" s="9">
        <v>37.271704438917176</v>
      </c>
      <c r="AB532" s="9">
        <v>40.458288629830058</v>
      </c>
      <c r="AC532" s="9">
        <v>40.458288629830058</v>
      </c>
      <c r="AD532" s="9">
        <v>43.826802164139323</v>
      </c>
      <c r="AE532" s="9">
        <v>47.523241367157013</v>
      </c>
      <c r="AF532" s="9">
        <v>51.713576824258396</v>
      </c>
      <c r="AG532" s="9">
        <v>51.713576824258396</v>
      </c>
      <c r="AH532" s="9">
        <v>56.658816723629734</v>
      </c>
      <c r="AI532" s="9">
        <v>61.577420347834391</v>
      </c>
      <c r="AJ532" s="9">
        <v>3.0428788910505911</v>
      </c>
    </row>
    <row r="533" spans="1:36" x14ac:dyDescent="0.25">
      <c r="A533" t="s">
        <v>5411</v>
      </c>
      <c r="B533" t="s">
        <v>16</v>
      </c>
      <c r="C533" t="s">
        <v>17</v>
      </c>
      <c r="D533">
        <v>17380000</v>
      </c>
      <c r="E533">
        <v>17399999</v>
      </c>
      <c r="F533" t="s">
        <v>476</v>
      </c>
      <c r="G533" t="str">
        <f t="shared" si="16"/>
        <v>SPR</v>
      </c>
      <c r="H533" t="s">
        <v>19</v>
      </c>
      <c r="I533" t="s">
        <v>20</v>
      </c>
      <c r="J533" t="s">
        <v>77</v>
      </c>
      <c r="K533" s="6">
        <v>0.03</v>
      </c>
      <c r="L533" s="7">
        <f t="shared" si="17"/>
        <v>2E-3</v>
      </c>
      <c r="M533" s="7">
        <v>3.0000000000000001E-3</v>
      </c>
      <c r="N533">
        <v>13</v>
      </c>
      <c r="O533" s="8">
        <v>26.611209830054129</v>
      </c>
      <c r="P533" s="9">
        <v>26.611209830054129</v>
      </c>
      <c r="Q533" s="9">
        <v>26.611209830054129</v>
      </c>
      <c r="R533" s="9">
        <v>27.647760246913514</v>
      </c>
      <c r="S533" s="9">
        <v>28.483539200322319</v>
      </c>
      <c r="T533" s="9">
        <v>29.244822799499698</v>
      </c>
      <c r="U533" s="9">
        <v>31.379671510701762</v>
      </c>
      <c r="V533" s="9">
        <v>31.379671510701762</v>
      </c>
      <c r="W533" s="9">
        <v>31.379671510701762</v>
      </c>
      <c r="X533" s="9">
        <v>34.250510560182867</v>
      </c>
      <c r="Y533" s="9">
        <v>34.250510560182867</v>
      </c>
      <c r="Z533" s="9">
        <v>37.271704438917176</v>
      </c>
      <c r="AA533" s="9">
        <v>37.271704438917176</v>
      </c>
      <c r="AB533" s="9">
        <v>40.458288629830058</v>
      </c>
      <c r="AC533" s="9">
        <v>40.458288629830058</v>
      </c>
      <c r="AD533" s="9">
        <v>43.826802164139323</v>
      </c>
      <c r="AE533" s="9">
        <v>47.523241367157013</v>
      </c>
      <c r="AF533" s="9">
        <v>51.713576824258396</v>
      </c>
      <c r="AG533" s="9">
        <v>51.713576824258396</v>
      </c>
      <c r="AH533" s="9">
        <v>56.658816723629734</v>
      </c>
      <c r="AI533" s="9">
        <v>61.577420347834391</v>
      </c>
      <c r="AJ533" s="9">
        <v>3.0428788910505911</v>
      </c>
    </row>
    <row r="534" spans="1:36" x14ac:dyDescent="0.25">
      <c r="A534" t="s">
        <v>5411</v>
      </c>
      <c r="B534" t="s">
        <v>16</v>
      </c>
      <c r="C534" t="s">
        <v>17</v>
      </c>
      <c r="D534">
        <v>17400000</v>
      </c>
      <c r="E534">
        <v>17409999</v>
      </c>
      <c r="F534" t="s">
        <v>477</v>
      </c>
      <c r="G534" t="str">
        <f t="shared" si="16"/>
        <v>SPI II</v>
      </c>
      <c r="H534" t="s">
        <v>19</v>
      </c>
      <c r="I534" t="s">
        <v>20</v>
      </c>
      <c r="J534" t="s">
        <v>64</v>
      </c>
      <c r="K534" s="6">
        <v>0.03</v>
      </c>
      <c r="L534" s="7">
        <f t="shared" si="17"/>
        <v>2E-3</v>
      </c>
      <c r="M534" s="7">
        <v>3.0000000000000001E-3</v>
      </c>
      <c r="N534">
        <v>7</v>
      </c>
      <c r="O534" s="8">
        <v>17.934556092922943</v>
      </c>
      <c r="P534" s="9">
        <v>17.934556092922943</v>
      </c>
      <c r="Q534" s="9">
        <v>17.934556092922943</v>
      </c>
      <c r="R534" s="9">
        <v>18.35577997371016</v>
      </c>
      <c r="S534" s="9">
        <v>18.404835306435746</v>
      </c>
      <c r="T534" s="9">
        <v>19.112621008962602</v>
      </c>
      <c r="U534" s="9">
        <v>20.35176903227914</v>
      </c>
      <c r="V534" s="9">
        <v>20.35176903227914</v>
      </c>
      <c r="W534" s="9">
        <v>20.35176903227914</v>
      </c>
      <c r="X534" s="9">
        <v>19.91589544268896</v>
      </c>
      <c r="Y534" s="9">
        <v>19.91589544268896</v>
      </c>
      <c r="Z534" s="9">
        <v>21.609947773831163</v>
      </c>
      <c r="AA534" s="9">
        <v>21.609947773831163</v>
      </c>
      <c r="AB534" s="9">
        <v>23.372671736151272</v>
      </c>
      <c r="AC534" s="9">
        <v>23.372671736151272</v>
      </c>
      <c r="AD534" s="9">
        <v>26.430826810726163</v>
      </c>
      <c r="AE534" s="9">
        <v>27.959768706413232</v>
      </c>
      <c r="AF534" s="9">
        <v>29.772701744670762</v>
      </c>
      <c r="AG534" s="9">
        <v>29.772701744670762</v>
      </c>
      <c r="AH534" s="9">
        <v>32.589351949315954</v>
      </c>
      <c r="AI534" s="9">
        <v>34.825222308406182</v>
      </c>
      <c r="AJ534" s="9">
        <v>3.0428788910505911</v>
      </c>
    </row>
    <row r="535" spans="1:36" x14ac:dyDescent="0.25">
      <c r="A535" t="s">
        <v>5411</v>
      </c>
      <c r="B535" t="s">
        <v>16</v>
      </c>
      <c r="C535" t="s">
        <v>17</v>
      </c>
      <c r="D535">
        <v>17410000</v>
      </c>
      <c r="E535">
        <v>17419999</v>
      </c>
      <c r="F535" t="s">
        <v>478</v>
      </c>
      <c r="G535" t="str">
        <f t="shared" si="16"/>
        <v>SPI II</v>
      </c>
      <c r="H535" t="s">
        <v>19</v>
      </c>
      <c r="I535" t="s">
        <v>20</v>
      </c>
      <c r="J535" t="s">
        <v>64</v>
      </c>
      <c r="K535" s="6">
        <v>0.03</v>
      </c>
      <c r="L535" s="7">
        <f t="shared" si="17"/>
        <v>2E-3</v>
      </c>
      <c r="M535" s="7">
        <v>3.0000000000000001E-3</v>
      </c>
      <c r="N535">
        <v>8</v>
      </c>
      <c r="O535" s="8">
        <v>17.934556092922943</v>
      </c>
      <c r="P535" s="9">
        <v>17.934556092922943</v>
      </c>
      <c r="Q535" s="9">
        <v>17.934556092922943</v>
      </c>
      <c r="R535" s="9">
        <v>18.35577997371016</v>
      </c>
      <c r="S535" s="9">
        <v>18.404835306435746</v>
      </c>
      <c r="T535" s="9">
        <v>19.112621008962602</v>
      </c>
      <c r="U535" s="9">
        <v>20.35176903227914</v>
      </c>
      <c r="V535" s="9">
        <v>20.35176903227914</v>
      </c>
      <c r="W535" s="9">
        <v>20.35176903227914</v>
      </c>
      <c r="X535" s="9">
        <v>19.91589544268896</v>
      </c>
      <c r="Y535" s="9">
        <v>19.91589544268896</v>
      </c>
      <c r="Z535" s="9">
        <v>21.609947773831163</v>
      </c>
      <c r="AA535" s="9">
        <v>21.609947773831163</v>
      </c>
      <c r="AB535" s="9">
        <v>23.372671736151272</v>
      </c>
      <c r="AC535" s="9">
        <v>23.372671736151272</v>
      </c>
      <c r="AD535" s="9">
        <v>26.430826810726163</v>
      </c>
      <c r="AE535" s="9">
        <v>27.959768706413232</v>
      </c>
      <c r="AF535" s="9">
        <v>29.772701744670762</v>
      </c>
      <c r="AG535" s="9">
        <v>29.772701744670762</v>
      </c>
      <c r="AH535" s="9">
        <v>32.589351949315954</v>
      </c>
      <c r="AI535" s="9">
        <v>34.825222308406182</v>
      </c>
      <c r="AJ535" s="9">
        <v>3.0428788910505911</v>
      </c>
    </row>
    <row r="536" spans="1:36" x14ac:dyDescent="0.25">
      <c r="A536" t="s">
        <v>5411</v>
      </c>
      <c r="B536" t="s">
        <v>16</v>
      </c>
      <c r="C536" t="s">
        <v>17</v>
      </c>
      <c r="D536">
        <v>17420000</v>
      </c>
      <c r="E536">
        <v>17429999</v>
      </c>
      <c r="F536" t="s">
        <v>479</v>
      </c>
      <c r="G536" t="str">
        <f t="shared" si="16"/>
        <v>SPR</v>
      </c>
      <c r="H536" t="s">
        <v>19</v>
      </c>
      <c r="I536" t="s">
        <v>20</v>
      </c>
      <c r="J536" t="s">
        <v>77</v>
      </c>
      <c r="K536" s="6">
        <v>0.03</v>
      </c>
      <c r="L536" s="7">
        <f t="shared" si="17"/>
        <v>2E-3</v>
      </c>
      <c r="M536" s="7">
        <v>3.0000000000000001E-3</v>
      </c>
      <c r="N536">
        <v>13</v>
      </c>
      <c r="O536" s="8">
        <v>26.611209830054129</v>
      </c>
      <c r="P536" s="9">
        <v>26.611209830054129</v>
      </c>
      <c r="Q536" s="9">
        <v>26.611209830054129</v>
      </c>
      <c r="R536" s="9">
        <v>27.647760246913514</v>
      </c>
      <c r="S536" s="9">
        <v>28.483539200322319</v>
      </c>
      <c r="T536" s="9">
        <v>29.244822799499698</v>
      </c>
      <c r="U536" s="9">
        <v>31.379671510701762</v>
      </c>
      <c r="V536" s="9">
        <v>31.379671510701762</v>
      </c>
      <c r="W536" s="9">
        <v>31.379671510701762</v>
      </c>
      <c r="X536" s="9">
        <v>34.250510560182867</v>
      </c>
      <c r="Y536" s="9">
        <v>34.250510560182867</v>
      </c>
      <c r="Z536" s="9">
        <v>37.271704438917176</v>
      </c>
      <c r="AA536" s="9">
        <v>37.271704438917176</v>
      </c>
      <c r="AB536" s="9">
        <v>40.458288629830058</v>
      </c>
      <c r="AC536" s="9">
        <v>40.458288629830058</v>
      </c>
      <c r="AD536" s="9">
        <v>43.826802164139323</v>
      </c>
      <c r="AE536" s="9">
        <v>47.523241367157013</v>
      </c>
      <c r="AF536" s="9">
        <v>51.713576824258396</v>
      </c>
      <c r="AG536" s="9">
        <v>51.713576824258396</v>
      </c>
      <c r="AH536" s="9">
        <v>56.658816723629734</v>
      </c>
      <c r="AI536" s="9">
        <v>61.577420347834391</v>
      </c>
      <c r="AJ536" s="9">
        <v>3.0428788910505911</v>
      </c>
    </row>
    <row r="537" spans="1:36" x14ac:dyDescent="0.25">
      <c r="A537" t="s">
        <v>5411</v>
      </c>
      <c r="B537" t="s">
        <v>16</v>
      </c>
      <c r="C537" t="s">
        <v>17</v>
      </c>
      <c r="D537">
        <v>17430000</v>
      </c>
      <c r="E537">
        <v>17439999</v>
      </c>
      <c r="F537" t="s">
        <v>480</v>
      </c>
      <c r="G537" t="str">
        <f t="shared" si="16"/>
        <v>SPR</v>
      </c>
      <c r="H537" t="s">
        <v>19</v>
      </c>
      <c r="I537" t="s">
        <v>20</v>
      </c>
      <c r="J537" t="s">
        <v>77</v>
      </c>
      <c r="K537" s="6">
        <v>0.03</v>
      </c>
      <c r="L537" s="7">
        <f t="shared" si="17"/>
        <v>2E-3</v>
      </c>
      <c r="M537" s="7">
        <v>3.0000000000000001E-3</v>
      </c>
      <c r="N537">
        <v>13</v>
      </c>
      <c r="O537" s="8">
        <v>26.611209830054129</v>
      </c>
      <c r="P537" s="9">
        <v>26.611209830054129</v>
      </c>
      <c r="Q537" s="9">
        <v>26.611209830054129</v>
      </c>
      <c r="R537" s="9">
        <v>27.647760246913514</v>
      </c>
      <c r="S537" s="9">
        <v>28.483539200322319</v>
      </c>
      <c r="T537" s="9">
        <v>29.244822799499698</v>
      </c>
      <c r="U537" s="9">
        <v>31.379671510701762</v>
      </c>
      <c r="V537" s="9">
        <v>31.379671510701762</v>
      </c>
      <c r="W537" s="9">
        <v>31.379671510701762</v>
      </c>
      <c r="X537" s="9">
        <v>34.250510560182867</v>
      </c>
      <c r="Y537" s="9">
        <v>34.250510560182867</v>
      </c>
      <c r="Z537" s="9">
        <v>37.271704438917176</v>
      </c>
      <c r="AA537" s="9">
        <v>37.271704438917176</v>
      </c>
      <c r="AB537" s="9">
        <v>40.458288629830058</v>
      </c>
      <c r="AC537" s="9">
        <v>40.458288629830058</v>
      </c>
      <c r="AD537" s="9">
        <v>43.826802164139323</v>
      </c>
      <c r="AE537" s="9">
        <v>47.523241367157013</v>
      </c>
      <c r="AF537" s="9">
        <v>51.713576824258396</v>
      </c>
      <c r="AG537" s="9">
        <v>51.713576824258396</v>
      </c>
      <c r="AH537" s="9">
        <v>56.658816723629734</v>
      </c>
      <c r="AI537" s="9">
        <v>61.577420347834391</v>
      </c>
      <c r="AJ537" s="9">
        <v>3.0428788910505911</v>
      </c>
    </row>
    <row r="538" spans="1:36" x14ac:dyDescent="0.25">
      <c r="A538" t="s">
        <v>5411</v>
      </c>
      <c r="B538" t="s">
        <v>16</v>
      </c>
      <c r="C538" t="s">
        <v>17</v>
      </c>
      <c r="D538">
        <v>17440000</v>
      </c>
      <c r="E538">
        <v>17449999</v>
      </c>
      <c r="F538" t="s">
        <v>481</v>
      </c>
      <c r="G538" t="str">
        <f t="shared" si="16"/>
        <v>SPI II</v>
      </c>
      <c r="H538" t="s">
        <v>19</v>
      </c>
      <c r="I538" t="s">
        <v>20</v>
      </c>
      <c r="J538" t="s">
        <v>64</v>
      </c>
      <c r="K538" s="6">
        <v>0.03</v>
      </c>
      <c r="L538" s="7">
        <f t="shared" si="17"/>
        <v>2E-3</v>
      </c>
      <c r="M538" s="7">
        <v>3.0000000000000001E-3</v>
      </c>
      <c r="N538">
        <v>9</v>
      </c>
      <c r="O538" s="8">
        <v>17.934556092922943</v>
      </c>
      <c r="P538" s="9">
        <v>17.934556092922943</v>
      </c>
      <c r="Q538" s="9">
        <v>17.934556092922943</v>
      </c>
      <c r="R538" s="9">
        <v>18.35577997371016</v>
      </c>
      <c r="S538" s="9">
        <v>18.404835306435746</v>
      </c>
      <c r="T538" s="9">
        <v>19.112621008962602</v>
      </c>
      <c r="U538" s="9">
        <v>20.35176903227914</v>
      </c>
      <c r="V538" s="9">
        <v>20.35176903227914</v>
      </c>
      <c r="W538" s="9">
        <v>20.35176903227914</v>
      </c>
      <c r="X538" s="9">
        <v>19.91589544268896</v>
      </c>
      <c r="Y538" s="9">
        <v>19.91589544268896</v>
      </c>
      <c r="Z538" s="9">
        <v>21.609947773831163</v>
      </c>
      <c r="AA538" s="9">
        <v>21.609947773831163</v>
      </c>
      <c r="AB538" s="9">
        <v>23.372671736151272</v>
      </c>
      <c r="AC538" s="9">
        <v>23.372671736151272</v>
      </c>
      <c r="AD538" s="9">
        <v>26.430826810726163</v>
      </c>
      <c r="AE538" s="9">
        <v>27.959768706413232</v>
      </c>
      <c r="AF538" s="9">
        <v>29.772701744670762</v>
      </c>
      <c r="AG538" s="9">
        <v>29.772701744670762</v>
      </c>
      <c r="AH538" s="9">
        <v>32.589351949315954</v>
      </c>
      <c r="AI538" s="9">
        <v>34.825222308406182</v>
      </c>
      <c r="AJ538" s="9">
        <v>3.0428788910505911</v>
      </c>
    </row>
    <row r="539" spans="1:36" x14ac:dyDescent="0.25">
      <c r="A539" t="s">
        <v>5411</v>
      </c>
      <c r="B539" t="s">
        <v>16</v>
      </c>
      <c r="C539" t="s">
        <v>17</v>
      </c>
      <c r="D539">
        <v>17450000</v>
      </c>
      <c r="E539">
        <v>17454999</v>
      </c>
      <c r="F539" t="s">
        <v>482</v>
      </c>
      <c r="G539" t="str">
        <f t="shared" si="16"/>
        <v>SPR</v>
      </c>
      <c r="H539" t="s">
        <v>19</v>
      </c>
      <c r="I539" t="s">
        <v>20</v>
      </c>
      <c r="J539" t="s">
        <v>77</v>
      </c>
      <c r="K539" s="6">
        <v>0.03</v>
      </c>
      <c r="L539" s="7">
        <f t="shared" si="17"/>
        <v>2E-3</v>
      </c>
      <c r="M539" s="7">
        <v>3.0000000000000001E-3</v>
      </c>
      <c r="N539">
        <v>13</v>
      </c>
      <c r="O539" s="8">
        <v>26.611209830054129</v>
      </c>
      <c r="P539" s="9">
        <v>26.611209830054129</v>
      </c>
      <c r="Q539" s="9">
        <v>26.611209830054129</v>
      </c>
      <c r="R539" s="9">
        <v>27.647760246913514</v>
      </c>
      <c r="S539" s="9">
        <v>28.483539200322319</v>
      </c>
      <c r="T539" s="9">
        <v>29.244822799499698</v>
      </c>
      <c r="U539" s="9">
        <v>31.379671510701762</v>
      </c>
      <c r="V539" s="9">
        <v>31.379671510701762</v>
      </c>
      <c r="W539" s="9">
        <v>31.379671510701762</v>
      </c>
      <c r="X539" s="9">
        <v>34.250510560182867</v>
      </c>
      <c r="Y539" s="9">
        <v>34.250510560182867</v>
      </c>
      <c r="Z539" s="9">
        <v>37.271704438917176</v>
      </c>
      <c r="AA539" s="9">
        <v>37.271704438917176</v>
      </c>
      <c r="AB539" s="9">
        <v>40.458288629830058</v>
      </c>
      <c r="AC539" s="9">
        <v>40.458288629830058</v>
      </c>
      <c r="AD539" s="9">
        <v>43.826802164139323</v>
      </c>
      <c r="AE539" s="9">
        <v>47.523241367157013</v>
      </c>
      <c r="AF539" s="9">
        <v>51.713576824258396</v>
      </c>
      <c r="AG539" s="9">
        <v>51.713576824258396</v>
      </c>
      <c r="AH539" s="9">
        <v>56.658816723629734</v>
      </c>
      <c r="AI539" s="9">
        <v>61.577420347834391</v>
      </c>
      <c r="AJ539" s="9">
        <v>3.0428788910505911</v>
      </c>
    </row>
    <row r="540" spans="1:36" x14ac:dyDescent="0.25">
      <c r="A540" t="s">
        <v>5411</v>
      </c>
      <c r="B540" t="s">
        <v>16</v>
      </c>
      <c r="C540" t="s">
        <v>17</v>
      </c>
      <c r="D540">
        <v>17455000</v>
      </c>
      <c r="E540">
        <v>17469999</v>
      </c>
      <c r="F540" t="s">
        <v>483</v>
      </c>
      <c r="G540" t="str">
        <f t="shared" si="16"/>
        <v>SPR</v>
      </c>
      <c r="H540" t="s">
        <v>19</v>
      </c>
      <c r="I540" t="s">
        <v>20</v>
      </c>
      <c r="J540" t="s">
        <v>77</v>
      </c>
      <c r="K540" s="6">
        <v>0.03</v>
      </c>
      <c r="L540" s="7">
        <f t="shared" si="17"/>
        <v>2E-3</v>
      </c>
      <c r="M540" s="7">
        <v>3.0000000000000001E-3</v>
      </c>
      <c r="N540">
        <v>13</v>
      </c>
      <c r="O540" s="8">
        <v>26.611209830054129</v>
      </c>
      <c r="P540" s="9">
        <v>26.611209830054129</v>
      </c>
      <c r="Q540" s="9">
        <v>26.611209830054129</v>
      </c>
      <c r="R540" s="9">
        <v>27.647760246913514</v>
      </c>
      <c r="S540" s="9">
        <v>28.483539200322319</v>
      </c>
      <c r="T540" s="9">
        <v>29.244822799499698</v>
      </c>
      <c r="U540" s="9">
        <v>31.379671510701762</v>
      </c>
      <c r="V540" s="9">
        <v>31.379671510701762</v>
      </c>
      <c r="W540" s="9">
        <v>31.379671510701762</v>
      </c>
      <c r="X540" s="9">
        <v>34.250510560182867</v>
      </c>
      <c r="Y540" s="9">
        <v>34.250510560182867</v>
      </c>
      <c r="Z540" s="9">
        <v>37.271704438917176</v>
      </c>
      <c r="AA540" s="9">
        <v>37.271704438917176</v>
      </c>
      <c r="AB540" s="9">
        <v>40.458288629830058</v>
      </c>
      <c r="AC540" s="9">
        <v>40.458288629830058</v>
      </c>
      <c r="AD540" s="9">
        <v>43.826802164139323</v>
      </c>
      <c r="AE540" s="9">
        <v>47.523241367157013</v>
      </c>
      <c r="AF540" s="9">
        <v>51.713576824258396</v>
      </c>
      <c r="AG540" s="9">
        <v>51.713576824258396</v>
      </c>
      <c r="AH540" s="9">
        <v>56.658816723629734</v>
      </c>
      <c r="AI540" s="9">
        <v>61.577420347834391</v>
      </c>
      <c r="AJ540" s="9">
        <v>3.0428788910505911</v>
      </c>
    </row>
    <row r="541" spans="1:36" x14ac:dyDescent="0.25">
      <c r="A541" t="s">
        <v>5411</v>
      </c>
      <c r="B541" t="s">
        <v>16</v>
      </c>
      <c r="C541" t="s">
        <v>17</v>
      </c>
      <c r="D541">
        <v>17470000</v>
      </c>
      <c r="E541">
        <v>17474999</v>
      </c>
      <c r="F541" t="s">
        <v>484</v>
      </c>
      <c r="G541" t="str">
        <f t="shared" si="16"/>
        <v>SPI II</v>
      </c>
      <c r="H541" t="s">
        <v>19</v>
      </c>
      <c r="I541" t="s">
        <v>20</v>
      </c>
      <c r="J541" t="s">
        <v>64</v>
      </c>
      <c r="K541" s="6">
        <v>0.03</v>
      </c>
      <c r="L541" s="7">
        <f t="shared" si="17"/>
        <v>2E-3</v>
      </c>
      <c r="M541" s="7">
        <v>3.0000000000000001E-3</v>
      </c>
      <c r="N541">
        <v>8</v>
      </c>
      <c r="O541" s="8">
        <v>17.934556092922943</v>
      </c>
      <c r="P541" s="9">
        <v>17.934556092922943</v>
      </c>
      <c r="Q541" s="9">
        <v>17.934556092922943</v>
      </c>
      <c r="R541" s="9">
        <v>18.35577997371016</v>
      </c>
      <c r="S541" s="9">
        <v>18.404835306435746</v>
      </c>
      <c r="T541" s="9">
        <v>19.112621008962602</v>
      </c>
      <c r="U541" s="9">
        <v>20.35176903227914</v>
      </c>
      <c r="V541" s="9">
        <v>20.35176903227914</v>
      </c>
      <c r="W541" s="9">
        <v>20.35176903227914</v>
      </c>
      <c r="X541" s="9">
        <v>19.91589544268896</v>
      </c>
      <c r="Y541" s="9">
        <v>19.91589544268896</v>
      </c>
      <c r="Z541" s="9">
        <v>21.609947773831163</v>
      </c>
      <c r="AA541" s="9">
        <v>21.609947773831163</v>
      </c>
      <c r="AB541" s="9">
        <v>23.372671736151272</v>
      </c>
      <c r="AC541" s="9">
        <v>23.372671736151272</v>
      </c>
      <c r="AD541" s="9">
        <v>26.430826810726163</v>
      </c>
      <c r="AE541" s="9">
        <v>27.959768706413232</v>
      </c>
      <c r="AF541" s="9">
        <v>29.772701744670762</v>
      </c>
      <c r="AG541" s="9">
        <v>29.772701744670762</v>
      </c>
      <c r="AH541" s="9">
        <v>32.589351949315954</v>
      </c>
      <c r="AI541" s="9">
        <v>34.825222308406182</v>
      </c>
      <c r="AJ541" s="9">
        <v>3.0428788910505911</v>
      </c>
    </row>
    <row r="542" spans="1:36" x14ac:dyDescent="0.25">
      <c r="A542" t="s">
        <v>5411</v>
      </c>
      <c r="B542" t="s">
        <v>16</v>
      </c>
      <c r="C542" t="s">
        <v>17</v>
      </c>
      <c r="D542">
        <v>17475000</v>
      </c>
      <c r="E542">
        <v>17479999</v>
      </c>
      <c r="F542" t="s">
        <v>485</v>
      </c>
      <c r="G542" t="str">
        <f t="shared" si="16"/>
        <v>SPR</v>
      </c>
      <c r="H542" t="s">
        <v>19</v>
      </c>
      <c r="I542" t="s">
        <v>20</v>
      </c>
      <c r="J542" t="s">
        <v>77</v>
      </c>
      <c r="K542" s="6">
        <v>0.03</v>
      </c>
      <c r="L542" s="7">
        <f t="shared" si="17"/>
        <v>2E-3</v>
      </c>
      <c r="M542" s="7">
        <v>3.0000000000000001E-3</v>
      </c>
      <c r="N542">
        <v>13</v>
      </c>
      <c r="O542" s="8">
        <v>26.611209830054129</v>
      </c>
      <c r="P542" s="9">
        <v>26.611209830054129</v>
      </c>
      <c r="Q542" s="9">
        <v>26.611209830054129</v>
      </c>
      <c r="R542" s="9">
        <v>27.647760246913514</v>
      </c>
      <c r="S542" s="9">
        <v>28.483539200322319</v>
      </c>
      <c r="T542" s="9">
        <v>29.244822799499698</v>
      </c>
      <c r="U542" s="9">
        <v>31.379671510701762</v>
      </c>
      <c r="V542" s="9">
        <v>31.379671510701762</v>
      </c>
      <c r="W542" s="9">
        <v>31.379671510701762</v>
      </c>
      <c r="X542" s="9">
        <v>34.250510560182867</v>
      </c>
      <c r="Y542" s="9">
        <v>34.250510560182867</v>
      </c>
      <c r="Z542" s="9">
        <v>37.271704438917176</v>
      </c>
      <c r="AA542" s="9">
        <v>37.271704438917176</v>
      </c>
      <c r="AB542" s="9">
        <v>40.458288629830058</v>
      </c>
      <c r="AC542" s="9">
        <v>40.458288629830058</v>
      </c>
      <c r="AD542" s="9">
        <v>43.826802164139323</v>
      </c>
      <c r="AE542" s="9">
        <v>47.523241367157013</v>
      </c>
      <c r="AF542" s="9">
        <v>51.713576824258396</v>
      </c>
      <c r="AG542" s="9">
        <v>51.713576824258396</v>
      </c>
      <c r="AH542" s="9">
        <v>56.658816723629734</v>
      </c>
      <c r="AI542" s="9">
        <v>61.577420347834391</v>
      </c>
      <c r="AJ542" s="9">
        <v>3.0428788910505911</v>
      </c>
    </row>
    <row r="543" spans="1:36" x14ac:dyDescent="0.25">
      <c r="A543" t="s">
        <v>5411</v>
      </c>
      <c r="B543" t="s">
        <v>16</v>
      </c>
      <c r="C543" t="s">
        <v>17</v>
      </c>
      <c r="D543">
        <v>17480000</v>
      </c>
      <c r="E543">
        <v>17489999</v>
      </c>
      <c r="F543" t="s">
        <v>486</v>
      </c>
      <c r="G543" t="str">
        <f t="shared" si="16"/>
        <v>SPI II</v>
      </c>
      <c r="H543" t="s">
        <v>19</v>
      </c>
      <c r="I543" t="s">
        <v>20</v>
      </c>
      <c r="J543" t="s">
        <v>64</v>
      </c>
      <c r="K543" s="6">
        <v>0.03</v>
      </c>
      <c r="L543" s="7">
        <f t="shared" si="17"/>
        <v>2E-3</v>
      </c>
      <c r="M543" s="7">
        <v>3.0000000000000001E-3</v>
      </c>
      <c r="N543">
        <v>7</v>
      </c>
      <c r="O543" s="8">
        <v>17.934556092922943</v>
      </c>
      <c r="P543" s="9">
        <v>17.934556092922943</v>
      </c>
      <c r="Q543" s="9">
        <v>17.934556092922943</v>
      </c>
      <c r="R543" s="9">
        <v>18.35577997371016</v>
      </c>
      <c r="S543" s="9">
        <v>18.404835306435746</v>
      </c>
      <c r="T543" s="9">
        <v>19.112621008962602</v>
      </c>
      <c r="U543" s="9">
        <v>20.35176903227914</v>
      </c>
      <c r="V543" s="9">
        <v>20.35176903227914</v>
      </c>
      <c r="W543" s="9">
        <v>20.35176903227914</v>
      </c>
      <c r="X543" s="9">
        <v>19.91589544268896</v>
      </c>
      <c r="Y543" s="9">
        <v>19.91589544268896</v>
      </c>
      <c r="Z543" s="9">
        <v>21.609947773831163</v>
      </c>
      <c r="AA543" s="9">
        <v>21.609947773831163</v>
      </c>
      <c r="AB543" s="9">
        <v>23.372671736151272</v>
      </c>
      <c r="AC543" s="9">
        <v>23.372671736151272</v>
      </c>
      <c r="AD543" s="9">
        <v>26.430826810726163</v>
      </c>
      <c r="AE543" s="9">
        <v>27.959768706413232</v>
      </c>
      <c r="AF543" s="9">
        <v>29.772701744670762</v>
      </c>
      <c r="AG543" s="9">
        <v>29.772701744670762</v>
      </c>
      <c r="AH543" s="9">
        <v>32.589351949315954</v>
      </c>
      <c r="AI543" s="9">
        <v>34.825222308406182</v>
      </c>
      <c r="AJ543" s="9">
        <v>3.0428788910505911</v>
      </c>
    </row>
    <row r="544" spans="1:36" x14ac:dyDescent="0.25">
      <c r="A544" t="s">
        <v>5411</v>
      </c>
      <c r="B544" t="s">
        <v>16</v>
      </c>
      <c r="C544" t="s">
        <v>17</v>
      </c>
      <c r="D544">
        <v>17490000</v>
      </c>
      <c r="E544">
        <v>17499999</v>
      </c>
      <c r="F544" t="s">
        <v>487</v>
      </c>
      <c r="G544" t="str">
        <f t="shared" si="16"/>
        <v>SPI II</v>
      </c>
      <c r="H544" t="s">
        <v>19</v>
      </c>
      <c r="I544" t="s">
        <v>20</v>
      </c>
      <c r="J544" t="s">
        <v>64</v>
      </c>
      <c r="K544" s="6">
        <v>0.03</v>
      </c>
      <c r="L544" s="7">
        <f t="shared" si="17"/>
        <v>2E-3</v>
      </c>
      <c r="M544" s="7">
        <v>3.0000000000000001E-3</v>
      </c>
      <c r="N544">
        <v>9</v>
      </c>
      <c r="O544" s="8">
        <v>17.934556092922943</v>
      </c>
      <c r="P544" s="9">
        <v>17.934556092922943</v>
      </c>
      <c r="Q544" s="9">
        <v>17.934556092922943</v>
      </c>
      <c r="R544" s="9">
        <v>18.35577997371016</v>
      </c>
      <c r="S544" s="9">
        <v>18.404835306435746</v>
      </c>
      <c r="T544" s="9">
        <v>19.112621008962602</v>
      </c>
      <c r="U544" s="9">
        <v>20.35176903227914</v>
      </c>
      <c r="V544" s="9">
        <v>20.35176903227914</v>
      </c>
      <c r="W544" s="9">
        <v>20.35176903227914</v>
      </c>
      <c r="X544" s="9">
        <v>19.91589544268896</v>
      </c>
      <c r="Y544" s="9">
        <v>19.91589544268896</v>
      </c>
      <c r="Z544" s="9">
        <v>21.609947773831163</v>
      </c>
      <c r="AA544" s="9">
        <v>21.609947773831163</v>
      </c>
      <c r="AB544" s="9">
        <v>23.372671736151272</v>
      </c>
      <c r="AC544" s="9">
        <v>23.372671736151272</v>
      </c>
      <c r="AD544" s="9">
        <v>26.430826810726163</v>
      </c>
      <c r="AE544" s="9">
        <v>27.959768706413232</v>
      </c>
      <c r="AF544" s="9">
        <v>29.772701744670762</v>
      </c>
      <c r="AG544" s="9">
        <v>29.772701744670762</v>
      </c>
      <c r="AH544" s="9">
        <v>32.589351949315954</v>
      </c>
      <c r="AI544" s="9">
        <v>34.825222308406182</v>
      </c>
      <c r="AJ544" s="9">
        <v>3.0428788910505911</v>
      </c>
    </row>
    <row r="545" spans="1:36" x14ac:dyDescent="0.25">
      <c r="A545" t="s">
        <v>5411</v>
      </c>
      <c r="B545" t="s">
        <v>16</v>
      </c>
      <c r="C545" t="s">
        <v>17</v>
      </c>
      <c r="D545">
        <v>17500000</v>
      </c>
      <c r="E545">
        <v>17539999</v>
      </c>
      <c r="F545" t="s">
        <v>488</v>
      </c>
      <c r="G545" t="str">
        <f t="shared" si="16"/>
        <v>SPI II</v>
      </c>
      <c r="H545" t="s">
        <v>19</v>
      </c>
      <c r="I545" t="s">
        <v>20</v>
      </c>
      <c r="J545" t="s">
        <v>64</v>
      </c>
      <c r="K545" s="6">
        <v>0.03</v>
      </c>
      <c r="L545" s="7">
        <f t="shared" si="17"/>
        <v>2E-3</v>
      </c>
      <c r="M545" s="7">
        <v>3.0000000000000001E-3</v>
      </c>
      <c r="N545">
        <v>7</v>
      </c>
      <c r="O545" s="8">
        <v>17.934556092922943</v>
      </c>
      <c r="P545" s="9">
        <v>17.934556092922943</v>
      </c>
      <c r="Q545" s="9">
        <v>17.934556092922943</v>
      </c>
      <c r="R545" s="9">
        <v>18.35577997371016</v>
      </c>
      <c r="S545" s="9">
        <v>18.404835306435746</v>
      </c>
      <c r="T545" s="9">
        <v>19.112621008962602</v>
      </c>
      <c r="U545" s="9">
        <v>20.35176903227914</v>
      </c>
      <c r="V545" s="9">
        <v>20.35176903227914</v>
      </c>
      <c r="W545" s="9">
        <v>20.35176903227914</v>
      </c>
      <c r="X545" s="9">
        <v>19.91589544268896</v>
      </c>
      <c r="Y545" s="9">
        <v>19.91589544268896</v>
      </c>
      <c r="Z545" s="9">
        <v>21.609947773831163</v>
      </c>
      <c r="AA545" s="9">
        <v>21.609947773831163</v>
      </c>
      <c r="AB545" s="9">
        <v>23.372671736151272</v>
      </c>
      <c r="AC545" s="9">
        <v>23.372671736151272</v>
      </c>
      <c r="AD545" s="9">
        <v>26.430826810726163</v>
      </c>
      <c r="AE545" s="9">
        <v>27.959768706413232</v>
      </c>
      <c r="AF545" s="9">
        <v>29.772701744670762</v>
      </c>
      <c r="AG545" s="9">
        <v>29.772701744670762</v>
      </c>
      <c r="AH545" s="9">
        <v>32.589351949315954</v>
      </c>
      <c r="AI545" s="9">
        <v>34.825222308406182</v>
      </c>
      <c r="AJ545" s="9">
        <v>3.0428788910505911</v>
      </c>
    </row>
    <row r="546" spans="1:36" x14ac:dyDescent="0.25">
      <c r="A546" t="s">
        <v>5411</v>
      </c>
      <c r="B546" t="s">
        <v>16</v>
      </c>
      <c r="C546" t="s">
        <v>17</v>
      </c>
      <c r="D546">
        <v>17540000</v>
      </c>
      <c r="E546">
        <v>17549999</v>
      </c>
      <c r="F546" t="s">
        <v>489</v>
      </c>
      <c r="G546" t="str">
        <f t="shared" si="16"/>
        <v>SPR</v>
      </c>
      <c r="H546" t="s">
        <v>19</v>
      </c>
      <c r="I546" t="s">
        <v>20</v>
      </c>
      <c r="J546" t="s">
        <v>77</v>
      </c>
      <c r="K546" s="6">
        <v>0.03</v>
      </c>
      <c r="L546" s="7">
        <f t="shared" si="17"/>
        <v>2E-3</v>
      </c>
      <c r="M546" s="7">
        <v>3.0000000000000001E-3</v>
      </c>
      <c r="N546">
        <v>13</v>
      </c>
      <c r="O546" s="8">
        <v>26.611209830054129</v>
      </c>
      <c r="P546" s="9">
        <v>26.611209830054129</v>
      </c>
      <c r="Q546" s="9">
        <v>26.611209830054129</v>
      </c>
      <c r="R546" s="9">
        <v>27.647760246913514</v>
      </c>
      <c r="S546" s="9">
        <v>28.483539200322319</v>
      </c>
      <c r="T546" s="9">
        <v>29.244822799499698</v>
      </c>
      <c r="U546" s="9">
        <v>31.379671510701762</v>
      </c>
      <c r="V546" s="9">
        <v>31.379671510701762</v>
      </c>
      <c r="W546" s="9">
        <v>31.379671510701762</v>
      </c>
      <c r="X546" s="9">
        <v>34.250510560182867</v>
      </c>
      <c r="Y546" s="9">
        <v>34.250510560182867</v>
      </c>
      <c r="Z546" s="9">
        <v>37.271704438917176</v>
      </c>
      <c r="AA546" s="9">
        <v>37.271704438917176</v>
      </c>
      <c r="AB546" s="9">
        <v>40.458288629830058</v>
      </c>
      <c r="AC546" s="9">
        <v>40.458288629830058</v>
      </c>
      <c r="AD546" s="9">
        <v>43.826802164139323</v>
      </c>
      <c r="AE546" s="9">
        <v>47.523241367157013</v>
      </c>
      <c r="AF546" s="9">
        <v>51.713576824258396</v>
      </c>
      <c r="AG546" s="9">
        <v>51.713576824258396</v>
      </c>
      <c r="AH546" s="9">
        <v>56.658816723629734</v>
      </c>
      <c r="AI546" s="9">
        <v>61.577420347834391</v>
      </c>
      <c r="AJ546" s="9">
        <v>3.0428788910505911</v>
      </c>
    </row>
    <row r="547" spans="1:36" x14ac:dyDescent="0.25">
      <c r="A547" t="s">
        <v>5411</v>
      </c>
      <c r="B547" t="s">
        <v>16</v>
      </c>
      <c r="C547" t="s">
        <v>17</v>
      </c>
      <c r="D547">
        <v>17550000</v>
      </c>
      <c r="E547">
        <v>17559999</v>
      </c>
      <c r="F547" t="s">
        <v>490</v>
      </c>
      <c r="G547" t="str">
        <f t="shared" si="16"/>
        <v>SPI II</v>
      </c>
      <c r="H547" t="s">
        <v>19</v>
      </c>
      <c r="I547" t="s">
        <v>20</v>
      </c>
      <c r="J547" t="s">
        <v>64</v>
      </c>
      <c r="K547" s="6">
        <v>0.03</v>
      </c>
      <c r="L547" s="7">
        <f t="shared" si="17"/>
        <v>2E-3</v>
      </c>
      <c r="M547" s="7">
        <v>3.0000000000000001E-3</v>
      </c>
      <c r="N547">
        <v>9</v>
      </c>
      <c r="O547" s="8">
        <v>17.934556092922943</v>
      </c>
      <c r="P547" s="9">
        <v>17.934556092922943</v>
      </c>
      <c r="Q547" s="9">
        <v>17.934556092922943</v>
      </c>
      <c r="R547" s="9">
        <v>18.35577997371016</v>
      </c>
      <c r="S547" s="9">
        <v>18.404835306435746</v>
      </c>
      <c r="T547" s="9">
        <v>19.112621008962602</v>
      </c>
      <c r="U547" s="9">
        <v>20.35176903227914</v>
      </c>
      <c r="V547" s="9">
        <v>20.35176903227914</v>
      </c>
      <c r="W547" s="9">
        <v>20.35176903227914</v>
      </c>
      <c r="X547" s="9">
        <v>19.91589544268896</v>
      </c>
      <c r="Y547" s="9">
        <v>19.91589544268896</v>
      </c>
      <c r="Z547" s="9">
        <v>21.609947773831163</v>
      </c>
      <c r="AA547" s="9">
        <v>21.609947773831163</v>
      </c>
      <c r="AB547" s="9">
        <v>23.372671736151272</v>
      </c>
      <c r="AC547" s="9">
        <v>23.372671736151272</v>
      </c>
      <c r="AD547" s="9">
        <v>26.430826810726163</v>
      </c>
      <c r="AE547" s="9">
        <v>27.959768706413232</v>
      </c>
      <c r="AF547" s="9">
        <v>29.772701744670762</v>
      </c>
      <c r="AG547" s="9">
        <v>29.772701744670762</v>
      </c>
      <c r="AH547" s="9">
        <v>32.589351949315954</v>
      </c>
      <c r="AI547" s="9">
        <v>34.825222308406182</v>
      </c>
      <c r="AJ547" s="9">
        <v>3.0428788910505911</v>
      </c>
    </row>
    <row r="548" spans="1:36" x14ac:dyDescent="0.25">
      <c r="A548" t="s">
        <v>5411</v>
      </c>
      <c r="B548" t="s">
        <v>16</v>
      </c>
      <c r="C548" t="s">
        <v>17</v>
      </c>
      <c r="D548">
        <v>17560000</v>
      </c>
      <c r="E548">
        <v>17569999</v>
      </c>
      <c r="F548" t="s">
        <v>491</v>
      </c>
      <c r="G548" t="str">
        <f t="shared" si="16"/>
        <v>SPI II</v>
      </c>
      <c r="H548" t="s">
        <v>19</v>
      </c>
      <c r="I548" t="s">
        <v>20</v>
      </c>
      <c r="J548" t="s">
        <v>64</v>
      </c>
      <c r="K548" s="6">
        <v>0.03</v>
      </c>
      <c r="L548" s="7">
        <f t="shared" si="17"/>
        <v>2E-3</v>
      </c>
      <c r="M548" s="7">
        <v>3.0000000000000001E-3</v>
      </c>
      <c r="N548">
        <v>8</v>
      </c>
      <c r="O548" s="8">
        <v>17.934556092922943</v>
      </c>
      <c r="P548" s="9">
        <v>17.934556092922943</v>
      </c>
      <c r="Q548" s="9">
        <v>17.934556092922943</v>
      </c>
      <c r="R548" s="9">
        <v>18.35577997371016</v>
      </c>
      <c r="S548" s="9">
        <v>18.404835306435746</v>
      </c>
      <c r="T548" s="9">
        <v>19.112621008962602</v>
      </c>
      <c r="U548" s="9">
        <v>20.35176903227914</v>
      </c>
      <c r="V548" s="9">
        <v>20.35176903227914</v>
      </c>
      <c r="W548" s="9">
        <v>20.35176903227914</v>
      </c>
      <c r="X548" s="9">
        <v>19.91589544268896</v>
      </c>
      <c r="Y548" s="9">
        <v>19.91589544268896</v>
      </c>
      <c r="Z548" s="9">
        <v>21.609947773831163</v>
      </c>
      <c r="AA548" s="9">
        <v>21.609947773831163</v>
      </c>
      <c r="AB548" s="9">
        <v>23.372671736151272</v>
      </c>
      <c r="AC548" s="9">
        <v>23.372671736151272</v>
      </c>
      <c r="AD548" s="9">
        <v>26.430826810726163</v>
      </c>
      <c r="AE548" s="9">
        <v>27.959768706413232</v>
      </c>
      <c r="AF548" s="9">
        <v>29.772701744670762</v>
      </c>
      <c r="AG548" s="9">
        <v>29.772701744670762</v>
      </c>
      <c r="AH548" s="9">
        <v>32.589351949315954</v>
      </c>
      <c r="AI548" s="9">
        <v>34.825222308406182</v>
      </c>
      <c r="AJ548" s="9">
        <v>3.0428788910505911</v>
      </c>
    </row>
    <row r="549" spans="1:36" x14ac:dyDescent="0.25">
      <c r="A549" t="s">
        <v>5411</v>
      </c>
      <c r="B549" t="s">
        <v>16</v>
      </c>
      <c r="C549" t="s">
        <v>17</v>
      </c>
      <c r="D549">
        <v>17570000</v>
      </c>
      <c r="E549">
        <v>17579999</v>
      </c>
      <c r="F549" t="s">
        <v>492</v>
      </c>
      <c r="G549" t="str">
        <f t="shared" si="16"/>
        <v>SPI II</v>
      </c>
      <c r="H549" t="s">
        <v>19</v>
      </c>
      <c r="I549" t="s">
        <v>20</v>
      </c>
      <c r="J549" t="s">
        <v>64</v>
      </c>
      <c r="K549" s="6">
        <v>0.03</v>
      </c>
      <c r="L549" s="7">
        <f t="shared" si="17"/>
        <v>2E-3</v>
      </c>
      <c r="M549" s="7">
        <v>3.0000000000000001E-3</v>
      </c>
      <c r="N549">
        <v>9</v>
      </c>
      <c r="O549" s="8">
        <v>17.934556092922943</v>
      </c>
      <c r="P549" s="9">
        <v>17.934556092922943</v>
      </c>
      <c r="Q549" s="9">
        <v>17.934556092922943</v>
      </c>
      <c r="R549" s="9">
        <v>18.35577997371016</v>
      </c>
      <c r="S549" s="9">
        <v>18.404835306435746</v>
      </c>
      <c r="T549" s="9">
        <v>19.112621008962602</v>
      </c>
      <c r="U549" s="9">
        <v>20.35176903227914</v>
      </c>
      <c r="V549" s="9">
        <v>20.35176903227914</v>
      </c>
      <c r="W549" s="9">
        <v>20.35176903227914</v>
      </c>
      <c r="X549" s="9">
        <v>19.91589544268896</v>
      </c>
      <c r="Y549" s="9">
        <v>19.91589544268896</v>
      </c>
      <c r="Z549" s="9">
        <v>21.609947773831163</v>
      </c>
      <c r="AA549" s="9">
        <v>21.609947773831163</v>
      </c>
      <c r="AB549" s="9">
        <v>23.372671736151272</v>
      </c>
      <c r="AC549" s="9">
        <v>23.372671736151272</v>
      </c>
      <c r="AD549" s="9">
        <v>26.430826810726163</v>
      </c>
      <c r="AE549" s="9">
        <v>27.959768706413232</v>
      </c>
      <c r="AF549" s="9">
        <v>29.772701744670762</v>
      </c>
      <c r="AG549" s="9">
        <v>29.772701744670762</v>
      </c>
      <c r="AH549" s="9">
        <v>32.589351949315954</v>
      </c>
      <c r="AI549" s="9">
        <v>34.825222308406182</v>
      </c>
      <c r="AJ549" s="9">
        <v>3.0428788910505911</v>
      </c>
    </row>
    <row r="550" spans="1:36" x14ac:dyDescent="0.25">
      <c r="A550" t="s">
        <v>5411</v>
      </c>
      <c r="B550" t="s">
        <v>16</v>
      </c>
      <c r="C550" t="s">
        <v>17</v>
      </c>
      <c r="D550">
        <v>17580000</v>
      </c>
      <c r="E550">
        <v>17589999</v>
      </c>
      <c r="F550" t="s">
        <v>493</v>
      </c>
      <c r="G550" t="str">
        <f t="shared" si="16"/>
        <v>SPI II</v>
      </c>
      <c r="H550" t="s">
        <v>19</v>
      </c>
      <c r="I550" t="s">
        <v>20</v>
      </c>
      <c r="J550" t="s">
        <v>64</v>
      </c>
      <c r="K550" s="6">
        <v>0.03</v>
      </c>
      <c r="L550" s="7">
        <f t="shared" si="17"/>
        <v>2E-3</v>
      </c>
      <c r="M550" s="7">
        <v>3.0000000000000001E-3</v>
      </c>
      <c r="N550">
        <v>9</v>
      </c>
      <c r="O550" s="8">
        <v>17.934556092922943</v>
      </c>
      <c r="P550" s="9">
        <v>17.934556092922943</v>
      </c>
      <c r="Q550" s="9">
        <v>17.934556092922943</v>
      </c>
      <c r="R550" s="9">
        <v>18.35577997371016</v>
      </c>
      <c r="S550" s="9">
        <v>18.404835306435746</v>
      </c>
      <c r="T550" s="9">
        <v>19.112621008962602</v>
      </c>
      <c r="U550" s="9">
        <v>20.35176903227914</v>
      </c>
      <c r="V550" s="9">
        <v>20.35176903227914</v>
      </c>
      <c r="W550" s="9">
        <v>20.35176903227914</v>
      </c>
      <c r="X550" s="9">
        <v>19.91589544268896</v>
      </c>
      <c r="Y550" s="9">
        <v>19.91589544268896</v>
      </c>
      <c r="Z550" s="9">
        <v>21.609947773831163</v>
      </c>
      <c r="AA550" s="9">
        <v>21.609947773831163</v>
      </c>
      <c r="AB550" s="9">
        <v>23.372671736151272</v>
      </c>
      <c r="AC550" s="9">
        <v>23.372671736151272</v>
      </c>
      <c r="AD550" s="9">
        <v>26.430826810726163</v>
      </c>
      <c r="AE550" s="9">
        <v>27.959768706413232</v>
      </c>
      <c r="AF550" s="9">
        <v>29.772701744670762</v>
      </c>
      <c r="AG550" s="9">
        <v>29.772701744670762</v>
      </c>
      <c r="AH550" s="9">
        <v>32.589351949315954</v>
      </c>
      <c r="AI550" s="9">
        <v>34.825222308406182</v>
      </c>
      <c r="AJ550" s="9">
        <v>3.0428788910505911</v>
      </c>
    </row>
    <row r="551" spans="1:36" x14ac:dyDescent="0.25">
      <c r="A551" t="s">
        <v>5411</v>
      </c>
      <c r="B551" t="s">
        <v>16</v>
      </c>
      <c r="C551" t="s">
        <v>17</v>
      </c>
      <c r="D551">
        <v>17590000</v>
      </c>
      <c r="E551">
        <v>17599999</v>
      </c>
      <c r="F551" t="s">
        <v>494</v>
      </c>
      <c r="G551" t="str">
        <f t="shared" si="16"/>
        <v>SPR</v>
      </c>
      <c r="H551" t="s">
        <v>19</v>
      </c>
      <c r="I551" t="s">
        <v>20</v>
      </c>
      <c r="J551" t="s">
        <v>77</v>
      </c>
      <c r="K551" s="6">
        <v>0.03</v>
      </c>
      <c r="L551" s="7">
        <f t="shared" si="17"/>
        <v>2E-3</v>
      </c>
      <c r="M551" s="7">
        <v>3.0000000000000001E-3</v>
      </c>
      <c r="N551">
        <v>13</v>
      </c>
      <c r="O551" s="8">
        <v>26.611209830054129</v>
      </c>
      <c r="P551" s="9">
        <v>26.611209830054129</v>
      </c>
      <c r="Q551" s="9">
        <v>26.611209830054129</v>
      </c>
      <c r="R551" s="9">
        <v>27.647760246913514</v>
      </c>
      <c r="S551" s="9">
        <v>28.483539200322319</v>
      </c>
      <c r="T551" s="9">
        <v>29.244822799499698</v>
      </c>
      <c r="U551" s="9">
        <v>31.379671510701762</v>
      </c>
      <c r="V551" s="9">
        <v>31.379671510701762</v>
      </c>
      <c r="W551" s="9">
        <v>31.379671510701762</v>
      </c>
      <c r="X551" s="9">
        <v>34.250510560182867</v>
      </c>
      <c r="Y551" s="9">
        <v>34.250510560182867</v>
      </c>
      <c r="Z551" s="9">
        <v>37.271704438917176</v>
      </c>
      <c r="AA551" s="9">
        <v>37.271704438917176</v>
      </c>
      <c r="AB551" s="9">
        <v>40.458288629830058</v>
      </c>
      <c r="AC551" s="9">
        <v>40.458288629830058</v>
      </c>
      <c r="AD551" s="9">
        <v>43.826802164139323</v>
      </c>
      <c r="AE551" s="9">
        <v>47.523241367157013</v>
      </c>
      <c r="AF551" s="9">
        <v>51.713576824258396</v>
      </c>
      <c r="AG551" s="9">
        <v>51.713576824258396</v>
      </c>
      <c r="AH551" s="9">
        <v>56.658816723629734</v>
      </c>
      <c r="AI551" s="9">
        <v>61.577420347834391</v>
      </c>
      <c r="AJ551" s="9">
        <v>3.0428788910505911</v>
      </c>
    </row>
    <row r="552" spans="1:36" x14ac:dyDescent="0.25">
      <c r="A552" t="s">
        <v>5411</v>
      </c>
      <c r="B552" t="s">
        <v>16</v>
      </c>
      <c r="C552" t="s">
        <v>17</v>
      </c>
      <c r="D552">
        <v>17600000</v>
      </c>
      <c r="E552">
        <v>17629999</v>
      </c>
      <c r="F552" t="s">
        <v>495</v>
      </c>
      <c r="G552" t="str">
        <f t="shared" si="16"/>
        <v>SPI II</v>
      </c>
      <c r="H552" t="s">
        <v>19</v>
      </c>
      <c r="I552" t="s">
        <v>20</v>
      </c>
      <c r="J552" t="s">
        <v>64</v>
      </c>
      <c r="K552" s="6">
        <v>0.03</v>
      </c>
      <c r="L552" s="7">
        <f t="shared" si="17"/>
        <v>2E-3</v>
      </c>
      <c r="M552" s="7">
        <v>3.0000000000000001E-3</v>
      </c>
      <c r="N552">
        <v>7</v>
      </c>
      <c r="O552" s="8">
        <v>17.934556092922943</v>
      </c>
      <c r="P552" s="9">
        <v>17.934556092922943</v>
      </c>
      <c r="Q552" s="9">
        <v>17.934556092922943</v>
      </c>
      <c r="R552" s="9">
        <v>18.35577997371016</v>
      </c>
      <c r="S552" s="9">
        <v>18.404835306435746</v>
      </c>
      <c r="T552" s="9">
        <v>19.112621008962602</v>
      </c>
      <c r="U552" s="9">
        <v>20.35176903227914</v>
      </c>
      <c r="V552" s="9">
        <v>20.35176903227914</v>
      </c>
      <c r="W552" s="9">
        <v>20.35176903227914</v>
      </c>
      <c r="X552" s="9">
        <v>19.91589544268896</v>
      </c>
      <c r="Y552" s="9">
        <v>19.91589544268896</v>
      </c>
      <c r="Z552" s="9">
        <v>21.609947773831163</v>
      </c>
      <c r="AA552" s="9">
        <v>21.609947773831163</v>
      </c>
      <c r="AB552" s="9">
        <v>23.372671736151272</v>
      </c>
      <c r="AC552" s="9">
        <v>23.372671736151272</v>
      </c>
      <c r="AD552" s="9">
        <v>26.430826810726163</v>
      </c>
      <c r="AE552" s="9">
        <v>27.959768706413232</v>
      </c>
      <c r="AF552" s="9">
        <v>29.772701744670762</v>
      </c>
      <c r="AG552" s="9">
        <v>29.772701744670762</v>
      </c>
      <c r="AH552" s="9">
        <v>32.589351949315954</v>
      </c>
      <c r="AI552" s="9">
        <v>34.825222308406182</v>
      </c>
      <c r="AJ552" s="9">
        <v>3.0428788910505911</v>
      </c>
    </row>
    <row r="553" spans="1:36" x14ac:dyDescent="0.25">
      <c r="A553" t="s">
        <v>5411</v>
      </c>
      <c r="B553" t="s">
        <v>16</v>
      </c>
      <c r="C553" t="s">
        <v>17</v>
      </c>
      <c r="D553">
        <v>17630000</v>
      </c>
      <c r="E553">
        <v>17649999</v>
      </c>
      <c r="F553" t="s">
        <v>496</v>
      </c>
      <c r="G553" t="str">
        <f t="shared" si="16"/>
        <v>SPI II</v>
      </c>
      <c r="H553" t="s">
        <v>19</v>
      </c>
      <c r="I553" t="s">
        <v>20</v>
      </c>
      <c r="J553" t="s">
        <v>64</v>
      </c>
      <c r="K553" s="6">
        <v>0.03</v>
      </c>
      <c r="L553" s="7">
        <f t="shared" si="17"/>
        <v>2E-3</v>
      </c>
      <c r="M553" s="7">
        <v>3.0000000000000001E-3</v>
      </c>
      <c r="N553">
        <v>8</v>
      </c>
      <c r="O553" s="8">
        <v>17.934556092922943</v>
      </c>
      <c r="P553" s="9">
        <v>17.934556092922943</v>
      </c>
      <c r="Q553" s="9">
        <v>17.934556092922943</v>
      </c>
      <c r="R553" s="9">
        <v>18.35577997371016</v>
      </c>
      <c r="S553" s="9">
        <v>18.404835306435746</v>
      </c>
      <c r="T553" s="9">
        <v>19.112621008962602</v>
      </c>
      <c r="U553" s="9">
        <v>20.35176903227914</v>
      </c>
      <c r="V553" s="9">
        <v>20.35176903227914</v>
      </c>
      <c r="W553" s="9">
        <v>20.35176903227914</v>
      </c>
      <c r="X553" s="9">
        <v>19.91589544268896</v>
      </c>
      <c r="Y553" s="9">
        <v>19.91589544268896</v>
      </c>
      <c r="Z553" s="9">
        <v>21.609947773831163</v>
      </c>
      <c r="AA553" s="9">
        <v>21.609947773831163</v>
      </c>
      <c r="AB553" s="9">
        <v>23.372671736151272</v>
      </c>
      <c r="AC553" s="9">
        <v>23.372671736151272</v>
      </c>
      <c r="AD553" s="9">
        <v>26.430826810726163</v>
      </c>
      <c r="AE553" s="9">
        <v>27.959768706413232</v>
      </c>
      <c r="AF553" s="9">
        <v>29.772701744670762</v>
      </c>
      <c r="AG553" s="9">
        <v>29.772701744670762</v>
      </c>
      <c r="AH553" s="9">
        <v>32.589351949315954</v>
      </c>
      <c r="AI553" s="9">
        <v>34.825222308406182</v>
      </c>
      <c r="AJ553" s="9">
        <v>3.0428788910505911</v>
      </c>
    </row>
    <row r="554" spans="1:36" x14ac:dyDescent="0.25">
      <c r="A554" t="s">
        <v>5411</v>
      </c>
      <c r="B554" t="s">
        <v>16</v>
      </c>
      <c r="C554" t="s">
        <v>17</v>
      </c>
      <c r="D554">
        <v>17650000</v>
      </c>
      <c r="E554">
        <v>17669999</v>
      </c>
      <c r="F554" t="s">
        <v>497</v>
      </c>
      <c r="G554" t="str">
        <f t="shared" si="16"/>
        <v>SPR</v>
      </c>
      <c r="H554" t="s">
        <v>19</v>
      </c>
      <c r="I554" t="s">
        <v>20</v>
      </c>
      <c r="J554" t="s">
        <v>77</v>
      </c>
      <c r="K554" s="6">
        <v>0.03</v>
      </c>
      <c r="L554" s="7">
        <f t="shared" si="17"/>
        <v>2E-3</v>
      </c>
      <c r="M554" s="7">
        <v>3.0000000000000001E-3</v>
      </c>
      <c r="N554">
        <v>13</v>
      </c>
      <c r="O554" s="8">
        <v>26.611209830054129</v>
      </c>
      <c r="P554" s="9">
        <v>26.611209830054129</v>
      </c>
      <c r="Q554" s="9">
        <v>26.611209830054129</v>
      </c>
      <c r="R554" s="9">
        <v>27.647760246913514</v>
      </c>
      <c r="S554" s="9">
        <v>28.483539200322319</v>
      </c>
      <c r="T554" s="9">
        <v>29.244822799499698</v>
      </c>
      <c r="U554" s="9">
        <v>31.379671510701762</v>
      </c>
      <c r="V554" s="9">
        <v>31.379671510701762</v>
      </c>
      <c r="W554" s="9">
        <v>31.379671510701762</v>
      </c>
      <c r="X554" s="9">
        <v>34.250510560182867</v>
      </c>
      <c r="Y554" s="9">
        <v>34.250510560182867</v>
      </c>
      <c r="Z554" s="9">
        <v>37.271704438917176</v>
      </c>
      <c r="AA554" s="9">
        <v>37.271704438917176</v>
      </c>
      <c r="AB554" s="9">
        <v>40.458288629830058</v>
      </c>
      <c r="AC554" s="9">
        <v>40.458288629830058</v>
      </c>
      <c r="AD554" s="9">
        <v>43.826802164139323</v>
      </c>
      <c r="AE554" s="9">
        <v>47.523241367157013</v>
      </c>
      <c r="AF554" s="9">
        <v>51.713576824258396</v>
      </c>
      <c r="AG554" s="9">
        <v>51.713576824258396</v>
      </c>
      <c r="AH554" s="9">
        <v>56.658816723629734</v>
      </c>
      <c r="AI554" s="9">
        <v>61.577420347834391</v>
      </c>
      <c r="AJ554" s="9">
        <v>3.0428788910505911</v>
      </c>
    </row>
    <row r="555" spans="1:36" x14ac:dyDescent="0.25">
      <c r="A555" t="s">
        <v>5411</v>
      </c>
      <c r="B555" t="s">
        <v>16</v>
      </c>
      <c r="C555" t="s">
        <v>17</v>
      </c>
      <c r="D555">
        <v>17670000</v>
      </c>
      <c r="E555">
        <v>17679999</v>
      </c>
      <c r="F555" t="s">
        <v>498</v>
      </c>
      <c r="G555" t="str">
        <f t="shared" si="16"/>
        <v>SPR</v>
      </c>
      <c r="H555" t="s">
        <v>19</v>
      </c>
      <c r="I555" t="s">
        <v>20</v>
      </c>
      <c r="J555" t="s">
        <v>77</v>
      </c>
      <c r="K555" s="6">
        <v>0.03</v>
      </c>
      <c r="L555" s="7">
        <f t="shared" si="17"/>
        <v>2E-3</v>
      </c>
      <c r="M555" s="7">
        <v>3.0000000000000001E-3</v>
      </c>
      <c r="N555">
        <v>13</v>
      </c>
      <c r="O555" s="8">
        <v>26.611209830054129</v>
      </c>
      <c r="P555" s="9">
        <v>26.611209830054129</v>
      </c>
      <c r="Q555" s="9">
        <v>26.611209830054129</v>
      </c>
      <c r="R555" s="9">
        <v>27.647760246913514</v>
      </c>
      <c r="S555" s="9">
        <v>28.483539200322319</v>
      </c>
      <c r="T555" s="9">
        <v>29.244822799499698</v>
      </c>
      <c r="U555" s="9">
        <v>31.379671510701762</v>
      </c>
      <c r="V555" s="9">
        <v>31.379671510701762</v>
      </c>
      <c r="W555" s="9">
        <v>31.379671510701762</v>
      </c>
      <c r="X555" s="9">
        <v>34.250510560182867</v>
      </c>
      <c r="Y555" s="9">
        <v>34.250510560182867</v>
      </c>
      <c r="Z555" s="9">
        <v>37.271704438917176</v>
      </c>
      <c r="AA555" s="9">
        <v>37.271704438917176</v>
      </c>
      <c r="AB555" s="9">
        <v>40.458288629830058</v>
      </c>
      <c r="AC555" s="9">
        <v>40.458288629830058</v>
      </c>
      <c r="AD555" s="9">
        <v>43.826802164139323</v>
      </c>
      <c r="AE555" s="9">
        <v>47.523241367157013</v>
      </c>
      <c r="AF555" s="9">
        <v>51.713576824258396</v>
      </c>
      <c r="AG555" s="9">
        <v>51.713576824258396</v>
      </c>
      <c r="AH555" s="9">
        <v>56.658816723629734</v>
      </c>
      <c r="AI555" s="9">
        <v>61.577420347834391</v>
      </c>
      <c r="AJ555" s="9">
        <v>3.0428788910505911</v>
      </c>
    </row>
    <row r="556" spans="1:36" x14ac:dyDescent="0.25">
      <c r="A556" t="s">
        <v>5411</v>
      </c>
      <c r="B556" t="s">
        <v>16</v>
      </c>
      <c r="C556" t="s">
        <v>17</v>
      </c>
      <c r="D556">
        <v>17680000</v>
      </c>
      <c r="E556">
        <v>17689999</v>
      </c>
      <c r="F556" t="s">
        <v>499</v>
      </c>
      <c r="G556" t="str">
        <f t="shared" si="16"/>
        <v>SPI II</v>
      </c>
      <c r="H556" t="s">
        <v>19</v>
      </c>
      <c r="I556" t="s">
        <v>20</v>
      </c>
      <c r="J556" t="s">
        <v>64</v>
      </c>
      <c r="K556" s="6">
        <v>0.03</v>
      </c>
      <c r="L556" s="7">
        <f t="shared" si="17"/>
        <v>2E-3</v>
      </c>
      <c r="M556" s="7">
        <v>3.0000000000000001E-3</v>
      </c>
      <c r="N556">
        <v>8</v>
      </c>
      <c r="O556" s="8">
        <v>17.934556092922943</v>
      </c>
      <c r="P556" s="9">
        <v>17.934556092922943</v>
      </c>
      <c r="Q556" s="9">
        <v>17.934556092922943</v>
      </c>
      <c r="R556" s="9">
        <v>18.35577997371016</v>
      </c>
      <c r="S556" s="9">
        <v>18.404835306435746</v>
      </c>
      <c r="T556" s="9">
        <v>19.112621008962602</v>
      </c>
      <c r="U556" s="9">
        <v>20.35176903227914</v>
      </c>
      <c r="V556" s="9">
        <v>20.35176903227914</v>
      </c>
      <c r="W556" s="9">
        <v>20.35176903227914</v>
      </c>
      <c r="X556" s="9">
        <v>19.91589544268896</v>
      </c>
      <c r="Y556" s="9">
        <v>19.91589544268896</v>
      </c>
      <c r="Z556" s="9">
        <v>21.609947773831163</v>
      </c>
      <c r="AA556" s="9">
        <v>21.609947773831163</v>
      </c>
      <c r="AB556" s="9">
        <v>23.372671736151272</v>
      </c>
      <c r="AC556" s="9">
        <v>23.372671736151272</v>
      </c>
      <c r="AD556" s="9">
        <v>26.430826810726163</v>
      </c>
      <c r="AE556" s="9">
        <v>27.959768706413232</v>
      </c>
      <c r="AF556" s="9">
        <v>29.772701744670762</v>
      </c>
      <c r="AG556" s="9">
        <v>29.772701744670762</v>
      </c>
      <c r="AH556" s="9">
        <v>32.589351949315954</v>
      </c>
      <c r="AI556" s="9">
        <v>34.825222308406182</v>
      </c>
      <c r="AJ556" s="9">
        <v>3.0428788910505911</v>
      </c>
    </row>
    <row r="557" spans="1:36" x14ac:dyDescent="0.25">
      <c r="A557" t="s">
        <v>5411</v>
      </c>
      <c r="B557" t="s">
        <v>16</v>
      </c>
      <c r="C557" t="s">
        <v>17</v>
      </c>
      <c r="D557">
        <v>17690000</v>
      </c>
      <c r="E557">
        <v>17699999</v>
      </c>
      <c r="F557" t="s">
        <v>500</v>
      </c>
      <c r="G557" t="str">
        <f t="shared" si="16"/>
        <v>SPI II</v>
      </c>
      <c r="H557" t="s">
        <v>19</v>
      </c>
      <c r="I557" t="s">
        <v>20</v>
      </c>
      <c r="J557" t="s">
        <v>64</v>
      </c>
      <c r="K557" s="6">
        <v>0.03</v>
      </c>
      <c r="L557" s="7">
        <f t="shared" si="17"/>
        <v>2E-3</v>
      </c>
      <c r="M557" s="7">
        <v>3.0000000000000001E-3</v>
      </c>
      <c r="N557">
        <v>7</v>
      </c>
      <c r="O557" s="8">
        <v>17.934556092922943</v>
      </c>
      <c r="P557" s="9">
        <v>17.934556092922943</v>
      </c>
      <c r="Q557" s="9">
        <v>17.934556092922943</v>
      </c>
      <c r="R557" s="9">
        <v>18.35577997371016</v>
      </c>
      <c r="S557" s="9">
        <v>18.404835306435746</v>
      </c>
      <c r="T557" s="9">
        <v>19.112621008962602</v>
      </c>
      <c r="U557" s="9">
        <v>20.35176903227914</v>
      </c>
      <c r="V557" s="9">
        <v>20.35176903227914</v>
      </c>
      <c r="W557" s="9">
        <v>20.35176903227914</v>
      </c>
      <c r="X557" s="9">
        <v>19.91589544268896</v>
      </c>
      <c r="Y557" s="9">
        <v>19.91589544268896</v>
      </c>
      <c r="Z557" s="9">
        <v>21.609947773831163</v>
      </c>
      <c r="AA557" s="9">
        <v>21.609947773831163</v>
      </c>
      <c r="AB557" s="9">
        <v>23.372671736151272</v>
      </c>
      <c r="AC557" s="9">
        <v>23.372671736151272</v>
      </c>
      <c r="AD557" s="9">
        <v>26.430826810726163</v>
      </c>
      <c r="AE557" s="9">
        <v>27.959768706413232</v>
      </c>
      <c r="AF557" s="9">
        <v>29.772701744670762</v>
      </c>
      <c r="AG557" s="9">
        <v>29.772701744670762</v>
      </c>
      <c r="AH557" s="9">
        <v>32.589351949315954</v>
      </c>
      <c r="AI557" s="9">
        <v>34.825222308406182</v>
      </c>
      <c r="AJ557" s="9">
        <v>3.0428788910505911</v>
      </c>
    </row>
    <row r="558" spans="1:36" x14ac:dyDescent="0.25">
      <c r="A558" t="s">
        <v>5411</v>
      </c>
      <c r="B558" t="s">
        <v>16</v>
      </c>
      <c r="C558" t="s">
        <v>17</v>
      </c>
      <c r="D558">
        <v>17700000</v>
      </c>
      <c r="E558">
        <v>17709999</v>
      </c>
      <c r="F558" t="s">
        <v>501</v>
      </c>
      <c r="G558" t="str">
        <f t="shared" si="16"/>
        <v>SPI II</v>
      </c>
      <c r="H558" t="s">
        <v>19</v>
      </c>
      <c r="I558" t="s">
        <v>20</v>
      </c>
      <c r="J558" t="s">
        <v>64</v>
      </c>
      <c r="K558" s="6">
        <v>0.03</v>
      </c>
      <c r="L558" s="7">
        <f t="shared" si="17"/>
        <v>2E-3</v>
      </c>
      <c r="M558" s="7">
        <v>3.0000000000000001E-3</v>
      </c>
      <c r="N558">
        <v>7</v>
      </c>
      <c r="O558" s="8">
        <v>17.934556092922943</v>
      </c>
      <c r="P558" s="9">
        <v>17.934556092922943</v>
      </c>
      <c r="Q558" s="9">
        <v>17.934556092922943</v>
      </c>
      <c r="R558" s="9">
        <v>18.35577997371016</v>
      </c>
      <c r="S558" s="9">
        <v>18.404835306435746</v>
      </c>
      <c r="T558" s="9">
        <v>19.112621008962602</v>
      </c>
      <c r="U558" s="9">
        <v>20.35176903227914</v>
      </c>
      <c r="V558" s="9">
        <v>20.35176903227914</v>
      </c>
      <c r="W558" s="9">
        <v>20.35176903227914</v>
      </c>
      <c r="X558" s="9">
        <v>19.91589544268896</v>
      </c>
      <c r="Y558" s="9">
        <v>19.91589544268896</v>
      </c>
      <c r="Z558" s="9">
        <v>21.609947773831163</v>
      </c>
      <c r="AA558" s="9">
        <v>21.609947773831163</v>
      </c>
      <c r="AB558" s="9">
        <v>23.372671736151272</v>
      </c>
      <c r="AC558" s="9">
        <v>23.372671736151272</v>
      </c>
      <c r="AD558" s="9">
        <v>26.430826810726163</v>
      </c>
      <c r="AE558" s="9">
        <v>27.959768706413232</v>
      </c>
      <c r="AF558" s="9">
        <v>29.772701744670762</v>
      </c>
      <c r="AG558" s="9">
        <v>29.772701744670762</v>
      </c>
      <c r="AH558" s="9">
        <v>32.589351949315954</v>
      </c>
      <c r="AI558" s="9">
        <v>34.825222308406182</v>
      </c>
      <c r="AJ558" s="9">
        <v>3.0428788910505911</v>
      </c>
    </row>
    <row r="559" spans="1:36" x14ac:dyDescent="0.25">
      <c r="A559" t="s">
        <v>5411</v>
      </c>
      <c r="B559" t="s">
        <v>16</v>
      </c>
      <c r="C559" t="s">
        <v>17</v>
      </c>
      <c r="D559">
        <v>17710000</v>
      </c>
      <c r="E559">
        <v>17719999</v>
      </c>
      <c r="F559" t="s">
        <v>502</v>
      </c>
      <c r="G559" t="str">
        <f t="shared" si="16"/>
        <v>SPI II</v>
      </c>
      <c r="H559" t="s">
        <v>19</v>
      </c>
      <c r="I559" t="s">
        <v>20</v>
      </c>
      <c r="J559" t="s">
        <v>64</v>
      </c>
      <c r="K559" s="6">
        <v>0.03</v>
      </c>
      <c r="L559" s="7">
        <f t="shared" si="17"/>
        <v>2E-3</v>
      </c>
      <c r="M559" s="7">
        <v>3.0000000000000001E-3</v>
      </c>
      <c r="N559">
        <v>7</v>
      </c>
      <c r="O559" s="8">
        <v>17.934556092922943</v>
      </c>
      <c r="P559" s="9">
        <v>17.934556092922943</v>
      </c>
      <c r="Q559" s="9">
        <v>17.934556092922943</v>
      </c>
      <c r="R559" s="9">
        <v>18.35577997371016</v>
      </c>
      <c r="S559" s="9">
        <v>18.404835306435746</v>
      </c>
      <c r="T559" s="9">
        <v>19.112621008962602</v>
      </c>
      <c r="U559" s="9">
        <v>20.35176903227914</v>
      </c>
      <c r="V559" s="9">
        <v>20.35176903227914</v>
      </c>
      <c r="W559" s="9">
        <v>20.35176903227914</v>
      </c>
      <c r="X559" s="9">
        <v>19.91589544268896</v>
      </c>
      <c r="Y559" s="9">
        <v>19.91589544268896</v>
      </c>
      <c r="Z559" s="9">
        <v>21.609947773831163</v>
      </c>
      <c r="AA559" s="9">
        <v>21.609947773831163</v>
      </c>
      <c r="AB559" s="9">
        <v>23.372671736151272</v>
      </c>
      <c r="AC559" s="9">
        <v>23.372671736151272</v>
      </c>
      <c r="AD559" s="9">
        <v>26.430826810726163</v>
      </c>
      <c r="AE559" s="9">
        <v>27.959768706413232</v>
      </c>
      <c r="AF559" s="9">
        <v>29.772701744670762</v>
      </c>
      <c r="AG559" s="9">
        <v>29.772701744670762</v>
      </c>
      <c r="AH559" s="9">
        <v>32.589351949315954</v>
      </c>
      <c r="AI559" s="9">
        <v>34.825222308406182</v>
      </c>
      <c r="AJ559" s="9">
        <v>3.0428788910505911</v>
      </c>
    </row>
    <row r="560" spans="1:36" x14ac:dyDescent="0.25">
      <c r="A560" t="s">
        <v>5411</v>
      </c>
      <c r="B560" t="s">
        <v>16</v>
      </c>
      <c r="C560" t="s">
        <v>17</v>
      </c>
      <c r="D560">
        <v>17720000</v>
      </c>
      <c r="E560">
        <v>17729999</v>
      </c>
      <c r="F560" t="s">
        <v>503</v>
      </c>
      <c r="G560" t="str">
        <f t="shared" si="16"/>
        <v>SPI II</v>
      </c>
      <c r="H560" t="s">
        <v>19</v>
      </c>
      <c r="I560" t="s">
        <v>20</v>
      </c>
      <c r="J560" t="s">
        <v>64</v>
      </c>
      <c r="K560" s="6">
        <v>0.03</v>
      </c>
      <c r="L560" s="7">
        <f t="shared" si="17"/>
        <v>2E-3</v>
      </c>
      <c r="M560" s="7">
        <v>3.0000000000000001E-3</v>
      </c>
      <c r="N560">
        <v>9</v>
      </c>
      <c r="O560" s="8">
        <v>17.934556092922943</v>
      </c>
      <c r="P560" s="9">
        <v>17.934556092922943</v>
      </c>
      <c r="Q560" s="9">
        <v>17.934556092922943</v>
      </c>
      <c r="R560" s="9">
        <v>18.35577997371016</v>
      </c>
      <c r="S560" s="9">
        <v>18.404835306435746</v>
      </c>
      <c r="T560" s="9">
        <v>19.112621008962602</v>
      </c>
      <c r="U560" s="9">
        <v>20.35176903227914</v>
      </c>
      <c r="V560" s="9">
        <v>20.35176903227914</v>
      </c>
      <c r="W560" s="9">
        <v>20.35176903227914</v>
      </c>
      <c r="X560" s="9">
        <v>19.91589544268896</v>
      </c>
      <c r="Y560" s="9">
        <v>19.91589544268896</v>
      </c>
      <c r="Z560" s="9">
        <v>21.609947773831163</v>
      </c>
      <c r="AA560" s="9">
        <v>21.609947773831163</v>
      </c>
      <c r="AB560" s="9">
        <v>23.372671736151272</v>
      </c>
      <c r="AC560" s="9">
        <v>23.372671736151272</v>
      </c>
      <c r="AD560" s="9">
        <v>26.430826810726163</v>
      </c>
      <c r="AE560" s="9">
        <v>27.959768706413232</v>
      </c>
      <c r="AF560" s="9">
        <v>29.772701744670762</v>
      </c>
      <c r="AG560" s="9">
        <v>29.772701744670762</v>
      </c>
      <c r="AH560" s="9">
        <v>32.589351949315954</v>
      </c>
      <c r="AI560" s="9">
        <v>34.825222308406182</v>
      </c>
      <c r="AJ560" s="9">
        <v>3.0428788910505911</v>
      </c>
    </row>
    <row r="561" spans="1:36" x14ac:dyDescent="0.25">
      <c r="A561" t="s">
        <v>5411</v>
      </c>
      <c r="B561" t="s">
        <v>16</v>
      </c>
      <c r="C561" t="s">
        <v>17</v>
      </c>
      <c r="D561">
        <v>17730000</v>
      </c>
      <c r="E561">
        <v>17739999</v>
      </c>
      <c r="F561" t="s">
        <v>504</v>
      </c>
      <c r="G561" t="str">
        <f t="shared" si="16"/>
        <v>SPI II</v>
      </c>
      <c r="H561" t="s">
        <v>19</v>
      </c>
      <c r="I561" t="s">
        <v>20</v>
      </c>
      <c r="J561" t="s">
        <v>64</v>
      </c>
      <c r="K561" s="6">
        <v>0.03</v>
      </c>
      <c r="L561" s="7">
        <f t="shared" si="17"/>
        <v>2E-3</v>
      </c>
      <c r="M561" s="7">
        <v>3.0000000000000001E-3</v>
      </c>
      <c r="N561">
        <v>7</v>
      </c>
      <c r="O561" s="8">
        <v>17.934556092922943</v>
      </c>
      <c r="P561" s="9">
        <v>17.934556092922943</v>
      </c>
      <c r="Q561" s="9">
        <v>17.934556092922943</v>
      </c>
      <c r="R561" s="9">
        <v>18.35577997371016</v>
      </c>
      <c r="S561" s="9">
        <v>18.404835306435746</v>
      </c>
      <c r="T561" s="9">
        <v>19.112621008962602</v>
      </c>
      <c r="U561" s="9">
        <v>20.35176903227914</v>
      </c>
      <c r="V561" s="9">
        <v>20.35176903227914</v>
      </c>
      <c r="W561" s="9">
        <v>20.35176903227914</v>
      </c>
      <c r="X561" s="9">
        <v>19.91589544268896</v>
      </c>
      <c r="Y561" s="9">
        <v>19.91589544268896</v>
      </c>
      <c r="Z561" s="9">
        <v>21.609947773831163</v>
      </c>
      <c r="AA561" s="9">
        <v>21.609947773831163</v>
      </c>
      <c r="AB561" s="9">
        <v>23.372671736151272</v>
      </c>
      <c r="AC561" s="9">
        <v>23.372671736151272</v>
      </c>
      <c r="AD561" s="9">
        <v>26.430826810726163</v>
      </c>
      <c r="AE561" s="9">
        <v>27.959768706413232</v>
      </c>
      <c r="AF561" s="9">
        <v>29.772701744670762</v>
      </c>
      <c r="AG561" s="9">
        <v>29.772701744670762</v>
      </c>
      <c r="AH561" s="9">
        <v>32.589351949315954</v>
      </c>
      <c r="AI561" s="9">
        <v>34.825222308406182</v>
      </c>
      <c r="AJ561" s="9">
        <v>3.0428788910505911</v>
      </c>
    </row>
    <row r="562" spans="1:36" x14ac:dyDescent="0.25">
      <c r="A562" t="s">
        <v>5411</v>
      </c>
      <c r="B562" t="s">
        <v>16</v>
      </c>
      <c r="C562" t="s">
        <v>17</v>
      </c>
      <c r="D562">
        <v>17740000</v>
      </c>
      <c r="E562">
        <v>17759999</v>
      </c>
      <c r="F562" t="s">
        <v>505</v>
      </c>
      <c r="G562" t="str">
        <f t="shared" si="16"/>
        <v>SPI II</v>
      </c>
      <c r="H562" t="s">
        <v>19</v>
      </c>
      <c r="I562" t="s">
        <v>20</v>
      </c>
      <c r="J562" t="s">
        <v>64</v>
      </c>
      <c r="K562" s="6">
        <v>0.03</v>
      </c>
      <c r="L562" s="7">
        <f t="shared" si="17"/>
        <v>2E-3</v>
      </c>
      <c r="M562" s="7">
        <v>3.0000000000000001E-3</v>
      </c>
      <c r="N562">
        <v>7</v>
      </c>
      <c r="O562" s="8">
        <v>17.934556092922943</v>
      </c>
      <c r="P562" s="9">
        <v>17.934556092922943</v>
      </c>
      <c r="Q562" s="9">
        <v>17.934556092922943</v>
      </c>
      <c r="R562" s="9">
        <v>18.35577997371016</v>
      </c>
      <c r="S562" s="9">
        <v>18.404835306435746</v>
      </c>
      <c r="T562" s="9">
        <v>19.112621008962602</v>
      </c>
      <c r="U562" s="9">
        <v>20.35176903227914</v>
      </c>
      <c r="V562" s="9">
        <v>20.35176903227914</v>
      </c>
      <c r="W562" s="9">
        <v>20.35176903227914</v>
      </c>
      <c r="X562" s="9">
        <v>19.91589544268896</v>
      </c>
      <c r="Y562" s="9">
        <v>19.91589544268896</v>
      </c>
      <c r="Z562" s="9">
        <v>21.609947773831163</v>
      </c>
      <c r="AA562" s="9">
        <v>21.609947773831163</v>
      </c>
      <c r="AB562" s="9">
        <v>23.372671736151272</v>
      </c>
      <c r="AC562" s="9">
        <v>23.372671736151272</v>
      </c>
      <c r="AD562" s="9">
        <v>26.430826810726163</v>
      </c>
      <c r="AE562" s="9">
        <v>27.959768706413232</v>
      </c>
      <c r="AF562" s="9">
        <v>29.772701744670762</v>
      </c>
      <c r="AG562" s="9">
        <v>29.772701744670762</v>
      </c>
      <c r="AH562" s="9">
        <v>32.589351949315954</v>
      </c>
      <c r="AI562" s="9">
        <v>34.825222308406182</v>
      </c>
      <c r="AJ562" s="9">
        <v>3.0428788910505911</v>
      </c>
    </row>
    <row r="563" spans="1:36" x14ac:dyDescent="0.25">
      <c r="A563" t="s">
        <v>5411</v>
      </c>
      <c r="B563" t="s">
        <v>16</v>
      </c>
      <c r="C563" t="s">
        <v>17</v>
      </c>
      <c r="D563">
        <v>17760000</v>
      </c>
      <c r="E563">
        <v>17779999</v>
      </c>
      <c r="F563" t="s">
        <v>506</v>
      </c>
      <c r="G563" t="str">
        <f t="shared" si="16"/>
        <v>SPI II</v>
      </c>
      <c r="H563" t="s">
        <v>19</v>
      </c>
      <c r="I563" t="s">
        <v>20</v>
      </c>
      <c r="J563" t="s">
        <v>64</v>
      </c>
      <c r="K563" s="6">
        <v>0.03</v>
      </c>
      <c r="L563" s="7">
        <f t="shared" si="17"/>
        <v>2E-3</v>
      </c>
      <c r="M563" s="7">
        <v>3.0000000000000001E-3</v>
      </c>
      <c r="N563">
        <v>9</v>
      </c>
      <c r="O563" s="8">
        <v>17.934556092922943</v>
      </c>
      <c r="P563" s="9">
        <v>17.934556092922943</v>
      </c>
      <c r="Q563" s="9">
        <v>17.934556092922943</v>
      </c>
      <c r="R563" s="9">
        <v>18.35577997371016</v>
      </c>
      <c r="S563" s="9">
        <v>18.404835306435746</v>
      </c>
      <c r="T563" s="9">
        <v>19.112621008962602</v>
      </c>
      <c r="U563" s="9">
        <v>20.35176903227914</v>
      </c>
      <c r="V563" s="9">
        <v>20.35176903227914</v>
      </c>
      <c r="W563" s="9">
        <v>20.35176903227914</v>
      </c>
      <c r="X563" s="9">
        <v>19.91589544268896</v>
      </c>
      <c r="Y563" s="9">
        <v>19.91589544268896</v>
      </c>
      <c r="Z563" s="9">
        <v>21.609947773831163</v>
      </c>
      <c r="AA563" s="9">
        <v>21.609947773831163</v>
      </c>
      <c r="AB563" s="9">
        <v>23.372671736151272</v>
      </c>
      <c r="AC563" s="9">
        <v>23.372671736151272</v>
      </c>
      <c r="AD563" s="9">
        <v>26.430826810726163</v>
      </c>
      <c r="AE563" s="9">
        <v>27.959768706413232</v>
      </c>
      <c r="AF563" s="9">
        <v>29.772701744670762</v>
      </c>
      <c r="AG563" s="9">
        <v>29.772701744670762</v>
      </c>
      <c r="AH563" s="9">
        <v>32.589351949315954</v>
      </c>
      <c r="AI563" s="9">
        <v>34.825222308406182</v>
      </c>
      <c r="AJ563" s="9">
        <v>3.0428788910505911</v>
      </c>
    </row>
    <row r="564" spans="1:36" x14ac:dyDescent="0.25">
      <c r="A564" t="s">
        <v>5411</v>
      </c>
      <c r="B564" t="s">
        <v>16</v>
      </c>
      <c r="C564" t="s">
        <v>17</v>
      </c>
      <c r="D564">
        <v>17780000</v>
      </c>
      <c r="E564">
        <v>17789999</v>
      </c>
      <c r="F564" t="s">
        <v>507</v>
      </c>
      <c r="G564" t="str">
        <f t="shared" si="16"/>
        <v>SPI II</v>
      </c>
      <c r="H564" t="s">
        <v>19</v>
      </c>
      <c r="I564" t="s">
        <v>20</v>
      </c>
      <c r="J564" t="s">
        <v>64</v>
      </c>
      <c r="K564" s="6">
        <v>0.03</v>
      </c>
      <c r="L564" s="7">
        <f t="shared" si="17"/>
        <v>2E-3</v>
      </c>
      <c r="M564" s="7">
        <v>3.0000000000000001E-3</v>
      </c>
      <c r="N564">
        <v>9</v>
      </c>
      <c r="O564" s="8">
        <v>17.934556092922943</v>
      </c>
      <c r="P564" s="9">
        <v>17.934556092922943</v>
      </c>
      <c r="Q564" s="9">
        <v>17.934556092922943</v>
      </c>
      <c r="R564" s="9">
        <v>18.35577997371016</v>
      </c>
      <c r="S564" s="9">
        <v>18.404835306435746</v>
      </c>
      <c r="T564" s="9">
        <v>19.112621008962602</v>
      </c>
      <c r="U564" s="9">
        <v>20.35176903227914</v>
      </c>
      <c r="V564" s="9">
        <v>20.35176903227914</v>
      </c>
      <c r="W564" s="9">
        <v>20.35176903227914</v>
      </c>
      <c r="X564" s="9">
        <v>19.91589544268896</v>
      </c>
      <c r="Y564" s="9">
        <v>19.91589544268896</v>
      </c>
      <c r="Z564" s="9">
        <v>21.609947773831163</v>
      </c>
      <c r="AA564" s="9">
        <v>21.609947773831163</v>
      </c>
      <c r="AB564" s="9">
        <v>23.372671736151272</v>
      </c>
      <c r="AC564" s="9">
        <v>23.372671736151272</v>
      </c>
      <c r="AD564" s="9">
        <v>26.430826810726163</v>
      </c>
      <c r="AE564" s="9">
        <v>27.959768706413232</v>
      </c>
      <c r="AF564" s="9">
        <v>29.772701744670762</v>
      </c>
      <c r="AG564" s="9">
        <v>29.772701744670762</v>
      </c>
      <c r="AH564" s="9">
        <v>32.589351949315954</v>
      </c>
      <c r="AI564" s="9">
        <v>34.825222308406182</v>
      </c>
      <c r="AJ564" s="9">
        <v>3.0428788910505911</v>
      </c>
    </row>
    <row r="565" spans="1:36" x14ac:dyDescent="0.25">
      <c r="A565" t="s">
        <v>5411</v>
      </c>
      <c r="B565" t="s">
        <v>16</v>
      </c>
      <c r="C565" t="s">
        <v>17</v>
      </c>
      <c r="D565">
        <v>17790000</v>
      </c>
      <c r="E565">
        <v>17799999</v>
      </c>
      <c r="F565" t="s">
        <v>508</v>
      </c>
      <c r="G565" t="str">
        <f t="shared" si="16"/>
        <v>SPI II</v>
      </c>
      <c r="H565" t="s">
        <v>19</v>
      </c>
      <c r="I565" t="s">
        <v>20</v>
      </c>
      <c r="J565" t="s">
        <v>64</v>
      </c>
      <c r="K565" s="6">
        <v>0.03</v>
      </c>
      <c r="L565" s="7">
        <f t="shared" si="17"/>
        <v>2E-3</v>
      </c>
      <c r="M565" s="7">
        <v>3.0000000000000001E-3</v>
      </c>
      <c r="N565">
        <v>9</v>
      </c>
      <c r="O565" s="8">
        <v>17.934556092922943</v>
      </c>
      <c r="P565" s="9">
        <v>17.934556092922943</v>
      </c>
      <c r="Q565" s="9">
        <v>17.934556092922943</v>
      </c>
      <c r="R565" s="9">
        <v>18.35577997371016</v>
      </c>
      <c r="S565" s="9">
        <v>18.404835306435746</v>
      </c>
      <c r="T565" s="9">
        <v>19.112621008962602</v>
      </c>
      <c r="U565" s="9">
        <v>20.35176903227914</v>
      </c>
      <c r="V565" s="9">
        <v>20.35176903227914</v>
      </c>
      <c r="W565" s="9">
        <v>20.35176903227914</v>
      </c>
      <c r="X565" s="9">
        <v>19.91589544268896</v>
      </c>
      <c r="Y565" s="9">
        <v>19.91589544268896</v>
      </c>
      <c r="Z565" s="9">
        <v>21.609947773831163</v>
      </c>
      <c r="AA565" s="9">
        <v>21.609947773831163</v>
      </c>
      <c r="AB565" s="9">
        <v>23.372671736151272</v>
      </c>
      <c r="AC565" s="9">
        <v>23.372671736151272</v>
      </c>
      <c r="AD565" s="9">
        <v>26.430826810726163</v>
      </c>
      <c r="AE565" s="9">
        <v>27.959768706413232</v>
      </c>
      <c r="AF565" s="9">
        <v>29.772701744670762</v>
      </c>
      <c r="AG565" s="9">
        <v>29.772701744670762</v>
      </c>
      <c r="AH565" s="9">
        <v>32.589351949315954</v>
      </c>
      <c r="AI565" s="9">
        <v>34.825222308406182</v>
      </c>
      <c r="AJ565" s="9">
        <v>3.0428788910505911</v>
      </c>
    </row>
    <row r="566" spans="1:36" x14ac:dyDescent="0.25">
      <c r="A566" t="s">
        <v>5411</v>
      </c>
      <c r="B566" t="s">
        <v>16</v>
      </c>
      <c r="C566" t="s">
        <v>17</v>
      </c>
      <c r="D566">
        <v>17800000</v>
      </c>
      <c r="E566">
        <v>17809999</v>
      </c>
      <c r="F566" t="s">
        <v>509</v>
      </c>
      <c r="G566" t="str">
        <f t="shared" si="16"/>
        <v>SPI II</v>
      </c>
      <c r="H566" t="s">
        <v>19</v>
      </c>
      <c r="I566" t="s">
        <v>20</v>
      </c>
      <c r="J566" t="s">
        <v>64</v>
      </c>
      <c r="K566" s="6">
        <v>0.03</v>
      </c>
      <c r="L566" s="7">
        <f t="shared" si="17"/>
        <v>2E-3</v>
      </c>
      <c r="M566" s="7">
        <v>3.0000000000000001E-3</v>
      </c>
      <c r="N566">
        <v>7</v>
      </c>
      <c r="O566" s="8">
        <v>17.934556092922943</v>
      </c>
      <c r="P566" s="9">
        <v>17.934556092922943</v>
      </c>
      <c r="Q566" s="9">
        <v>17.934556092922943</v>
      </c>
      <c r="R566" s="9">
        <v>18.35577997371016</v>
      </c>
      <c r="S566" s="9">
        <v>18.404835306435746</v>
      </c>
      <c r="T566" s="9">
        <v>19.112621008962602</v>
      </c>
      <c r="U566" s="9">
        <v>20.35176903227914</v>
      </c>
      <c r="V566" s="9">
        <v>20.35176903227914</v>
      </c>
      <c r="W566" s="9">
        <v>20.35176903227914</v>
      </c>
      <c r="X566" s="9">
        <v>19.91589544268896</v>
      </c>
      <c r="Y566" s="9">
        <v>19.91589544268896</v>
      </c>
      <c r="Z566" s="9">
        <v>21.609947773831163</v>
      </c>
      <c r="AA566" s="9">
        <v>21.609947773831163</v>
      </c>
      <c r="AB566" s="9">
        <v>23.372671736151272</v>
      </c>
      <c r="AC566" s="9">
        <v>23.372671736151272</v>
      </c>
      <c r="AD566" s="9">
        <v>26.430826810726163</v>
      </c>
      <c r="AE566" s="9">
        <v>27.959768706413232</v>
      </c>
      <c r="AF566" s="9">
        <v>29.772701744670762</v>
      </c>
      <c r="AG566" s="9">
        <v>29.772701744670762</v>
      </c>
      <c r="AH566" s="9">
        <v>32.589351949315954</v>
      </c>
      <c r="AI566" s="9">
        <v>34.825222308406182</v>
      </c>
      <c r="AJ566" s="9">
        <v>3.0428788910505911</v>
      </c>
    </row>
    <row r="567" spans="1:36" x14ac:dyDescent="0.25">
      <c r="A567" t="s">
        <v>5411</v>
      </c>
      <c r="B567" t="s">
        <v>16</v>
      </c>
      <c r="C567" t="s">
        <v>17</v>
      </c>
      <c r="D567">
        <v>17810000</v>
      </c>
      <c r="E567">
        <v>17829999</v>
      </c>
      <c r="F567" t="s">
        <v>510</v>
      </c>
      <c r="G567" t="str">
        <f t="shared" si="16"/>
        <v>SPI II</v>
      </c>
      <c r="H567" t="s">
        <v>19</v>
      </c>
      <c r="I567" t="s">
        <v>20</v>
      </c>
      <c r="J567" t="s">
        <v>64</v>
      </c>
      <c r="K567" s="6">
        <v>0.03</v>
      </c>
      <c r="L567" s="7">
        <f t="shared" si="17"/>
        <v>2E-3</v>
      </c>
      <c r="M567" s="7">
        <v>3.0000000000000001E-3</v>
      </c>
      <c r="N567">
        <v>7</v>
      </c>
      <c r="O567" s="8">
        <v>17.934556092922943</v>
      </c>
      <c r="P567" s="9">
        <v>17.934556092922943</v>
      </c>
      <c r="Q567" s="9">
        <v>17.934556092922943</v>
      </c>
      <c r="R567" s="9">
        <v>18.35577997371016</v>
      </c>
      <c r="S567" s="9">
        <v>18.404835306435746</v>
      </c>
      <c r="T567" s="9">
        <v>19.112621008962602</v>
      </c>
      <c r="U567" s="9">
        <v>20.35176903227914</v>
      </c>
      <c r="V567" s="9">
        <v>20.35176903227914</v>
      </c>
      <c r="W567" s="9">
        <v>20.35176903227914</v>
      </c>
      <c r="X567" s="9">
        <v>19.91589544268896</v>
      </c>
      <c r="Y567" s="9">
        <v>19.91589544268896</v>
      </c>
      <c r="Z567" s="9">
        <v>21.609947773831163</v>
      </c>
      <c r="AA567" s="9">
        <v>21.609947773831163</v>
      </c>
      <c r="AB567" s="9">
        <v>23.372671736151272</v>
      </c>
      <c r="AC567" s="9">
        <v>23.372671736151272</v>
      </c>
      <c r="AD567" s="9">
        <v>26.430826810726163</v>
      </c>
      <c r="AE567" s="9">
        <v>27.959768706413232</v>
      </c>
      <c r="AF567" s="9">
        <v>29.772701744670762</v>
      </c>
      <c r="AG567" s="9">
        <v>29.772701744670762</v>
      </c>
      <c r="AH567" s="9">
        <v>32.589351949315954</v>
      </c>
      <c r="AI567" s="9">
        <v>34.825222308406182</v>
      </c>
      <c r="AJ567" s="9">
        <v>3.0428788910505911</v>
      </c>
    </row>
    <row r="568" spans="1:36" x14ac:dyDescent="0.25">
      <c r="A568" t="s">
        <v>5411</v>
      </c>
      <c r="B568" t="s">
        <v>16</v>
      </c>
      <c r="C568" t="s">
        <v>17</v>
      </c>
      <c r="D568">
        <v>17830000</v>
      </c>
      <c r="E568">
        <v>17859999</v>
      </c>
      <c r="F568" t="s">
        <v>511</v>
      </c>
      <c r="G568" t="str">
        <f t="shared" si="16"/>
        <v>SPI II</v>
      </c>
      <c r="H568" t="s">
        <v>19</v>
      </c>
      <c r="I568" t="s">
        <v>20</v>
      </c>
      <c r="J568" t="s">
        <v>64</v>
      </c>
      <c r="K568" s="6">
        <v>0.03</v>
      </c>
      <c r="L568" s="7">
        <f t="shared" si="17"/>
        <v>2E-3</v>
      </c>
      <c r="M568" s="7">
        <v>3.0000000000000001E-3</v>
      </c>
      <c r="N568">
        <v>7</v>
      </c>
      <c r="O568" s="8">
        <v>17.934556092922943</v>
      </c>
      <c r="P568" s="9">
        <v>17.934556092922943</v>
      </c>
      <c r="Q568" s="9">
        <v>17.934556092922943</v>
      </c>
      <c r="R568" s="9">
        <v>18.35577997371016</v>
      </c>
      <c r="S568" s="9">
        <v>18.404835306435746</v>
      </c>
      <c r="T568" s="9">
        <v>19.112621008962602</v>
      </c>
      <c r="U568" s="9">
        <v>20.35176903227914</v>
      </c>
      <c r="V568" s="9">
        <v>20.35176903227914</v>
      </c>
      <c r="W568" s="9">
        <v>20.35176903227914</v>
      </c>
      <c r="X568" s="9">
        <v>19.91589544268896</v>
      </c>
      <c r="Y568" s="9">
        <v>19.91589544268896</v>
      </c>
      <c r="Z568" s="9">
        <v>21.609947773831163</v>
      </c>
      <c r="AA568" s="9">
        <v>21.609947773831163</v>
      </c>
      <c r="AB568" s="9">
        <v>23.372671736151272</v>
      </c>
      <c r="AC568" s="9">
        <v>23.372671736151272</v>
      </c>
      <c r="AD568" s="9">
        <v>26.430826810726163</v>
      </c>
      <c r="AE568" s="9">
        <v>27.959768706413232</v>
      </c>
      <c r="AF568" s="9">
        <v>29.772701744670762</v>
      </c>
      <c r="AG568" s="9">
        <v>29.772701744670762</v>
      </c>
      <c r="AH568" s="9">
        <v>32.589351949315954</v>
      </c>
      <c r="AI568" s="9">
        <v>34.825222308406182</v>
      </c>
      <c r="AJ568" s="9">
        <v>3.0428788910505911</v>
      </c>
    </row>
    <row r="569" spans="1:36" x14ac:dyDescent="0.25">
      <c r="A569" t="s">
        <v>5411</v>
      </c>
      <c r="B569" t="s">
        <v>16</v>
      </c>
      <c r="C569" t="s">
        <v>17</v>
      </c>
      <c r="D569">
        <v>17860000</v>
      </c>
      <c r="E569">
        <v>17869999</v>
      </c>
      <c r="F569" t="s">
        <v>512</v>
      </c>
      <c r="G569" t="str">
        <f t="shared" si="16"/>
        <v>SPI II</v>
      </c>
      <c r="H569" t="s">
        <v>19</v>
      </c>
      <c r="I569" t="s">
        <v>20</v>
      </c>
      <c r="J569" t="s">
        <v>64</v>
      </c>
      <c r="K569" s="6">
        <v>0.03</v>
      </c>
      <c r="L569" s="7">
        <f t="shared" si="17"/>
        <v>2E-3</v>
      </c>
      <c r="M569" s="7">
        <v>3.0000000000000001E-3</v>
      </c>
      <c r="N569">
        <v>9</v>
      </c>
      <c r="O569" s="8">
        <v>17.934556092922943</v>
      </c>
      <c r="P569" s="9">
        <v>17.934556092922943</v>
      </c>
      <c r="Q569" s="9">
        <v>17.934556092922943</v>
      </c>
      <c r="R569" s="9">
        <v>18.35577997371016</v>
      </c>
      <c r="S569" s="9">
        <v>18.404835306435746</v>
      </c>
      <c r="T569" s="9">
        <v>19.112621008962602</v>
      </c>
      <c r="U569" s="9">
        <v>20.35176903227914</v>
      </c>
      <c r="V569" s="9">
        <v>20.35176903227914</v>
      </c>
      <c r="W569" s="9">
        <v>20.35176903227914</v>
      </c>
      <c r="X569" s="9">
        <v>19.91589544268896</v>
      </c>
      <c r="Y569" s="9">
        <v>19.91589544268896</v>
      </c>
      <c r="Z569" s="9">
        <v>21.609947773831163</v>
      </c>
      <c r="AA569" s="9">
        <v>21.609947773831163</v>
      </c>
      <c r="AB569" s="9">
        <v>23.372671736151272</v>
      </c>
      <c r="AC569" s="9">
        <v>23.372671736151272</v>
      </c>
      <c r="AD569" s="9">
        <v>26.430826810726163</v>
      </c>
      <c r="AE569" s="9">
        <v>27.959768706413232</v>
      </c>
      <c r="AF569" s="9">
        <v>29.772701744670762</v>
      </c>
      <c r="AG569" s="9">
        <v>29.772701744670762</v>
      </c>
      <c r="AH569" s="9">
        <v>32.589351949315954</v>
      </c>
      <c r="AI569" s="9">
        <v>34.825222308406182</v>
      </c>
      <c r="AJ569" s="9">
        <v>3.0428788910505911</v>
      </c>
    </row>
    <row r="570" spans="1:36" x14ac:dyDescent="0.25">
      <c r="A570" t="s">
        <v>5411</v>
      </c>
      <c r="B570" t="s">
        <v>16</v>
      </c>
      <c r="C570" t="s">
        <v>17</v>
      </c>
      <c r="D570">
        <v>17870000</v>
      </c>
      <c r="E570">
        <v>17879999</v>
      </c>
      <c r="F570" t="s">
        <v>513</v>
      </c>
      <c r="G570" t="str">
        <f t="shared" si="16"/>
        <v>SPI II</v>
      </c>
      <c r="H570" t="s">
        <v>19</v>
      </c>
      <c r="I570" t="s">
        <v>20</v>
      </c>
      <c r="J570" t="s">
        <v>64</v>
      </c>
      <c r="K570" s="6">
        <v>0.03</v>
      </c>
      <c r="L570" s="7">
        <f t="shared" si="17"/>
        <v>2E-3</v>
      </c>
      <c r="M570" s="7">
        <v>3.0000000000000001E-3</v>
      </c>
      <c r="N570">
        <v>9</v>
      </c>
      <c r="O570" s="8">
        <v>17.934556092922943</v>
      </c>
      <c r="P570" s="9">
        <v>17.934556092922943</v>
      </c>
      <c r="Q570" s="9">
        <v>17.934556092922943</v>
      </c>
      <c r="R570" s="9">
        <v>18.35577997371016</v>
      </c>
      <c r="S570" s="9">
        <v>18.404835306435746</v>
      </c>
      <c r="T570" s="9">
        <v>19.112621008962602</v>
      </c>
      <c r="U570" s="9">
        <v>20.35176903227914</v>
      </c>
      <c r="V570" s="9">
        <v>20.35176903227914</v>
      </c>
      <c r="W570" s="9">
        <v>20.35176903227914</v>
      </c>
      <c r="X570" s="9">
        <v>19.91589544268896</v>
      </c>
      <c r="Y570" s="9">
        <v>19.91589544268896</v>
      </c>
      <c r="Z570" s="9">
        <v>21.609947773831163</v>
      </c>
      <c r="AA570" s="9">
        <v>21.609947773831163</v>
      </c>
      <c r="AB570" s="9">
        <v>23.372671736151272</v>
      </c>
      <c r="AC570" s="9">
        <v>23.372671736151272</v>
      </c>
      <c r="AD570" s="9">
        <v>26.430826810726163</v>
      </c>
      <c r="AE570" s="9">
        <v>27.959768706413232</v>
      </c>
      <c r="AF570" s="9">
        <v>29.772701744670762</v>
      </c>
      <c r="AG570" s="9">
        <v>29.772701744670762</v>
      </c>
      <c r="AH570" s="9">
        <v>32.589351949315954</v>
      </c>
      <c r="AI570" s="9">
        <v>34.825222308406182</v>
      </c>
      <c r="AJ570" s="9">
        <v>3.0428788910505911</v>
      </c>
    </row>
    <row r="571" spans="1:36" x14ac:dyDescent="0.25">
      <c r="A571" t="s">
        <v>5411</v>
      </c>
      <c r="B571" t="s">
        <v>16</v>
      </c>
      <c r="C571" t="s">
        <v>17</v>
      </c>
      <c r="D571">
        <v>17880000</v>
      </c>
      <c r="E571">
        <v>17889999</v>
      </c>
      <c r="F571" t="s">
        <v>514</v>
      </c>
      <c r="G571" t="str">
        <f t="shared" si="16"/>
        <v>SPI II</v>
      </c>
      <c r="H571" t="s">
        <v>19</v>
      </c>
      <c r="I571" t="s">
        <v>20</v>
      </c>
      <c r="J571" t="s">
        <v>64</v>
      </c>
      <c r="K571" s="6">
        <v>0.03</v>
      </c>
      <c r="L571" s="7">
        <f t="shared" si="17"/>
        <v>2E-3</v>
      </c>
      <c r="M571" s="7">
        <v>3.0000000000000001E-3</v>
      </c>
      <c r="N571">
        <v>7</v>
      </c>
      <c r="O571" s="8">
        <v>17.934556092922943</v>
      </c>
      <c r="P571" s="9">
        <v>17.934556092922943</v>
      </c>
      <c r="Q571" s="9">
        <v>17.934556092922943</v>
      </c>
      <c r="R571" s="9">
        <v>18.35577997371016</v>
      </c>
      <c r="S571" s="9">
        <v>18.404835306435746</v>
      </c>
      <c r="T571" s="9">
        <v>19.112621008962602</v>
      </c>
      <c r="U571" s="9">
        <v>20.35176903227914</v>
      </c>
      <c r="V571" s="9">
        <v>20.35176903227914</v>
      </c>
      <c r="W571" s="9">
        <v>20.35176903227914</v>
      </c>
      <c r="X571" s="9">
        <v>19.91589544268896</v>
      </c>
      <c r="Y571" s="9">
        <v>19.91589544268896</v>
      </c>
      <c r="Z571" s="9">
        <v>21.609947773831163</v>
      </c>
      <c r="AA571" s="9">
        <v>21.609947773831163</v>
      </c>
      <c r="AB571" s="9">
        <v>23.372671736151272</v>
      </c>
      <c r="AC571" s="9">
        <v>23.372671736151272</v>
      </c>
      <c r="AD571" s="9">
        <v>26.430826810726163</v>
      </c>
      <c r="AE571" s="9">
        <v>27.959768706413232</v>
      </c>
      <c r="AF571" s="9">
        <v>29.772701744670762</v>
      </c>
      <c r="AG571" s="9">
        <v>29.772701744670762</v>
      </c>
      <c r="AH571" s="9">
        <v>32.589351949315954</v>
      </c>
      <c r="AI571" s="9">
        <v>34.825222308406182</v>
      </c>
      <c r="AJ571" s="9">
        <v>3.0428788910505911</v>
      </c>
    </row>
    <row r="572" spans="1:36" x14ac:dyDescent="0.25">
      <c r="A572" t="s">
        <v>5411</v>
      </c>
      <c r="B572" t="s">
        <v>16</v>
      </c>
      <c r="C572" t="s">
        <v>17</v>
      </c>
      <c r="D572">
        <v>17890000</v>
      </c>
      <c r="E572">
        <v>17899999</v>
      </c>
      <c r="F572" t="s">
        <v>515</v>
      </c>
      <c r="G572" t="str">
        <f t="shared" si="16"/>
        <v>SPI II</v>
      </c>
      <c r="H572" t="s">
        <v>19</v>
      </c>
      <c r="I572" t="s">
        <v>20</v>
      </c>
      <c r="J572" t="s">
        <v>64</v>
      </c>
      <c r="K572" s="6">
        <v>0.03</v>
      </c>
      <c r="L572" s="7">
        <f t="shared" si="17"/>
        <v>2E-3</v>
      </c>
      <c r="M572" s="7">
        <v>3.0000000000000001E-3</v>
      </c>
      <c r="N572">
        <v>9</v>
      </c>
      <c r="O572" s="8">
        <v>17.934556092922943</v>
      </c>
      <c r="P572" s="9">
        <v>17.934556092922943</v>
      </c>
      <c r="Q572" s="9">
        <v>17.934556092922943</v>
      </c>
      <c r="R572" s="9">
        <v>18.35577997371016</v>
      </c>
      <c r="S572" s="9">
        <v>18.404835306435746</v>
      </c>
      <c r="T572" s="9">
        <v>19.112621008962602</v>
      </c>
      <c r="U572" s="9">
        <v>20.35176903227914</v>
      </c>
      <c r="V572" s="9">
        <v>20.35176903227914</v>
      </c>
      <c r="W572" s="9">
        <v>20.35176903227914</v>
      </c>
      <c r="X572" s="9">
        <v>19.91589544268896</v>
      </c>
      <c r="Y572" s="9">
        <v>19.91589544268896</v>
      </c>
      <c r="Z572" s="9">
        <v>21.609947773831163</v>
      </c>
      <c r="AA572" s="9">
        <v>21.609947773831163</v>
      </c>
      <c r="AB572" s="9">
        <v>23.372671736151272</v>
      </c>
      <c r="AC572" s="9">
        <v>23.372671736151272</v>
      </c>
      <c r="AD572" s="9">
        <v>26.430826810726163</v>
      </c>
      <c r="AE572" s="9">
        <v>27.959768706413232</v>
      </c>
      <c r="AF572" s="9">
        <v>29.772701744670762</v>
      </c>
      <c r="AG572" s="9">
        <v>29.772701744670762</v>
      </c>
      <c r="AH572" s="9">
        <v>32.589351949315954</v>
      </c>
      <c r="AI572" s="9">
        <v>34.825222308406182</v>
      </c>
      <c r="AJ572" s="9">
        <v>3.0428788910505911</v>
      </c>
    </row>
    <row r="573" spans="1:36" x14ac:dyDescent="0.25">
      <c r="A573" t="s">
        <v>5411</v>
      </c>
      <c r="B573" t="s">
        <v>16</v>
      </c>
      <c r="C573" t="s">
        <v>17</v>
      </c>
      <c r="D573">
        <v>17900000</v>
      </c>
      <c r="E573">
        <v>17919999</v>
      </c>
      <c r="F573" t="s">
        <v>516</v>
      </c>
      <c r="G573" t="str">
        <f t="shared" si="16"/>
        <v>SPI II</v>
      </c>
      <c r="H573" t="s">
        <v>19</v>
      </c>
      <c r="I573" t="s">
        <v>20</v>
      </c>
      <c r="J573" t="s">
        <v>64</v>
      </c>
      <c r="K573" s="6">
        <v>0.03</v>
      </c>
      <c r="L573" s="7">
        <f t="shared" si="17"/>
        <v>2E-3</v>
      </c>
      <c r="M573" s="7">
        <v>3.0000000000000001E-3</v>
      </c>
      <c r="N573">
        <v>9</v>
      </c>
      <c r="O573" s="8">
        <v>17.934556092922943</v>
      </c>
      <c r="P573" s="9">
        <v>17.934556092922943</v>
      </c>
      <c r="Q573" s="9">
        <v>17.934556092922943</v>
      </c>
      <c r="R573" s="9">
        <v>18.35577997371016</v>
      </c>
      <c r="S573" s="9">
        <v>18.404835306435746</v>
      </c>
      <c r="T573" s="9">
        <v>19.112621008962602</v>
      </c>
      <c r="U573" s="9">
        <v>20.35176903227914</v>
      </c>
      <c r="V573" s="9">
        <v>20.35176903227914</v>
      </c>
      <c r="W573" s="9">
        <v>20.35176903227914</v>
      </c>
      <c r="X573" s="9">
        <v>19.91589544268896</v>
      </c>
      <c r="Y573" s="9">
        <v>19.91589544268896</v>
      </c>
      <c r="Z573" s="9">
        <v>21.609947773831163</v>
      </c>
      <c r="AA573" s="9">
        <v>21.609947773831163</v>
      </c>
      <c r="AB573" s="9">
        <v>23.372671736151272</v>
      </c>
      <c r="AC573" s="9">
        <v>23.372671736151272</v>
      </c>
      <c r="AD573" s="9">
        <v>26.430826810726163</v>
      </c>
      <c r="AE573" s="9">
        <v>27.959768706413232</v>
      </c>
      <c r="AF573" s="9">
        <v>29.772701744670762</v>
      </c>
      <c r="AG573" s="9">
        <v>29.772701744670762</v>
      </c>
      <c r="AH573" s="9">
        <v>32.589351949315954</v>
      </c>
      <c r="AI573" s="9">
        <v>34.825222308406182</v>
      </c>
      <c r="AJ573" s="9">
        <v>3.0428788910505911</v>
      </c>
    </row>
    <row r="574" spans="1:36" x14ac:dyDescent="0.25">
      <c r="A574" t="s">
        <v>5411</v>
      </c>
      <c r="B574" t="s">
        <v>16</v>
      </c>
      <c r="C574" t="s">
        <v>17</v>
      </c>
      <c r="D574">
        <v>17920000</v>
      </c>
      <c r="E574">
        <v>17929999</v>
      </c>
      <c r="F574" t="s">
        <v>517</v>
      </c>
      <c r="G574" t="str">
        <f t="shared" si="16"/>
        <v>SPI II</v>
      </c>
      <c r="H574" t="s">
        <v>19</v>
      </c>
      <c r="I574" t="s">
        <v>20</v>
      </c>
      <c r="J574" t="s">
        <v>64</v>
      </c>
      <c r="K574" s="6">
        <v>0.03</v>
      </c>
      <c r="L574" s="7">
        <f t="shared" si="17"/>
        <v>2E-3</v>
      </c>
      <c r="M574" s="7">
        <v>3.0000000000000001E-3</v>
      </c>
      <c r="N574">
        <v>9</v>
      </c>
      <c r="O574" s="8">
        <v>17.934556092922943</v>
      </c>
      <c r="P574" s="9">
        <v>17.934556092922943</v>
      </c>
      <c r="Q574" s="9">
        <v>17.934556092922943</v>
      </c>
      <c r="R574" s="9">
        <v>18.35577997371016</v>
      </c>
      <c r="S574" s="9">
        <v>18.404835306435746</v>
      </c>
      <c r="T574" s="9">
        <v>19.112621008962602</v>
      </c>
      <c r="U574" s="9">
        <v>20.35176903227914</v>
      </c>
      <c r="V574" s="9">
        <v>20.35176903227914</v>
      </c>
      <c r="W574" s="9">
        <v>20.35176903227914</v>
      </c>
      <c r="X574" s="9">
        <v>19.91589544268896</v>
      </c>
      <c r="Y574" s="9">
        <v>19.91589544268896</v>
      </c>
      <c r="Z574" s="9">
        <v>21.609947773831163</v>
      </c>
      <c r="AA574" s="9">
        <v>21.609947773831163</v>
      </c>
      <c r="AB574" s="9">
        <v>23.372671736151272</v>
      </c>
      <c r="AC574" s="9">
        <v>23.372671736151272</v>
      </c>
      <c r="AD574" s="9">
        <v>26.430826810726163</v>
      </c>
      <c r="AE574" s="9">
        <v>27.959768706413232</v>
      </c>
      <c r="AF574" s="9">
        <v>29.772701744670762</v>
      </c>
      <c r="AG574" s="9">
        <v>29.772701744670762</v>
      </c>
      <c r="AH574" s="9">
        <v>32.589351949315954</v>
      </c>
      <c r="AI574" s="9">
        <v>34.825222308406182</v>
      </c>
      <c r="AJ574" s="9">
        <v>3.0428788910505911</v>
      </c>
    </row>
    <row r="575" spans="1:36" x14ac:dyDescent="0.25">
      <c r="A575" t="s">
        <v>5411</v>
      </c>
      <c r="B575" t="s">
        <v>16</v>
      </c>
      <c r="C575" t="s">
        <v>17</v>
      </c>
      <c r="D575">
        <v>17930000</v>
      </c>
      <c r="E575">
        <v>17939999</v>
      </c>
      <c r="F575" t="s">
        <v>518</v>
      </c>
      <c r="G575" t="str">
        <f t="shared" si="16"/>
        <v>SPI II</v>
      </c>
      <c r="H575" t="s">
        <v>19</v>
      </c>
      <c r="I575" t="s">
        <v>20</v>
      </c>
      <c r="J575" t="s">
        <v>64</v>
      </c>
      <c r="K575" s="6">
        <v>0.03</v>
      </c>
      <c r="L575" s="7">
        <f t="shared" si="17"/>
        <v>2E-3</v>
      </c>
      <c r="M575" s="7">
        <v>3.0000000000000001E-3</v>
      </c>
      <c r="N575">
        <v>9</v>
      </c>
      <c r="O575" s="8">
        <v>17.934556092922943</v>
      </c>
      <c r="P575" s="9">
        <v>17.934556092922943</v>
      </c>
      <c r="Q575" s="9">
        <v>17.934556092922943</v>
      </c>
      <c r="R575" s="9">
        <v>18.35577997371016</v>
      </c>
      <c r="S575" s="9">
        <v>18.404835306435746</v>
      </c>
      <c r="T575" s="9">
        <v>19.112621008962602</v>
      </c>
      <c r="U575" s="9">
        <v>20.35176903227914</v>
      </c>
      <c r="V575" s="9">
        <v>20.35176903227914</v>
      </c>
      <c r="W575" s="9">
        <v>20.35176903227914</v>
      </c>
      <c r="X575" s="9">
        <v>19.91589544268896</v>
      </c>
      <c r="Y575" s="9">
        <v>19.91589544268896</v>
      </c>
      <c r="Z575" s="9">
        <v>21.609947773831163</v>
      </c>
      <c r="AA575" s="9">
        <v>21.609947773831163</v>
      </c>
      <c r="AB575" s="9">
        <v>23.372671736151272</v>
      </c>
      <c r="AC575" s="9">
        <v>23.372671736151272</v>
      </c>
      <c r="AD575" s="9">
        <v>26.430826810726163</v>
      </c>
      <c r="AE575" s="9">
        <v>27.959768706413232</v>
      </c>
      <c r="AF575" s="9">
        <v>29.772701744670762</v>
      </c>
      <c r="AG575" s="9">
        <v>29.772701744670762</v>
      </c>
      <c r="AH575" s="9">
        <v>32.589351949315954</v>
      </c>
      <c r="AI575" s="9">
        <v>34.825222308406182</v>
      </c>
      <c r="AJ575" s="9">
        <v>3.0428788910505911</v>
      </c>
    </row>
    <row r="576" spans="1:36" x14ac:dyDescent="0.25">
      <c r="A576" t="s">
        <v>5411</v>
      </c>
      <c r="B576" t="s">
        <v>16</v>
      </c>
      <c r="C576" t="s">
        <v>17</v>
      </c>
      <c r="D576">
        <v>17940000</v>
      </c>
      <c r="E576">
        <v>17949999</v>
      </c>
      <c r="F576" t="s">
        <v>519</v>
      </c>
      <c r="G576" t="str">
        <f t="shared" si="16"/>
        <v>SPI II</v>
      </c>
      <c r="H576" t="s">
        <v>19</v>
      </c>
      <c r="I576" t="s">
        <v>20</v>
      </c>
      <c r="J576" t="s">
        <v>64</v>
      </c>
      <c r="K576" s="6">
        <v>0.03</v>
      </c>
      <c r="L576" s="7">
        <f t="shared" si="17"/>
        <v>2E-3</v>
      </c>
      <c r="M576" s="7">
        <v>3.0000000000000001E-3</v>
      </c>
      <c r="N576">
        <v>9</v>
      </c>
      <c r="O576" s="8">
        <v>17.934556092922943</v>
      </c>
      <c r="P576" s="9">
        <v>17.934556092922943</v>
      </c>
      <c r="Q576" s="9">
        <v>17.934556092922943</v>
      </c>
      <c r="R576" s="9">
        <v>18.35577997371016</v>
      </c>
      <c r="S576" s="9">
        <v>18.404835306435746</v>
      </c>
      <c r="T576" s="9">
        <v>19.112621008962602</v>
      </c>
      <c r="U576" s="9">
        <v>20.35176903227914</v>
      </c>
      <c r="V576" s="9">
        <v>20.35176903227914</v>
      </c>
      <c r="W576" s="9">
        <v>20.35176903227914</v>
      </c>
      <c r="X576" s="9">
        <v>19.91589544268896</v>
      </c>
      <c r="Y576" s="9">
        <v>19.91589544268896</v>
      </c>
      <c r="Z576" s="9">
        <v>21.609947773831163</v>
      </c>
      <c r="AA576" s="9">
        <v>21.609947773831163</v>
      </c>
      <c r="AB576" s="9">
        <v>23.372671736151272</v>
      </c>
      <c r="AC576" s="9">
        <v>23.372671736151272</v>
      </c>
      <c r="AD576" s="9">
        <v>26.430826810726163</v>
      </c>
      <c r="AE576" s="9">
        <v>27.959768706413232</v>
      </c>
      <c r="AF576" s="9">
        <v>29.772701744670762</v>
      </c>
      <c r="AG576" s="9">
        <v>29.772701744670762</v>
      </c>
      <c r="AH576" s="9">
        <v>32.589351949315954</v>
      </c>
      <c r="AI576" s="9">
        <v>34.825222308406182</v>
      </c>
      <c r="AJ576" s="9">
        <v>3.0428788910505911</v>
      </c>
    </row>
    <row r="577" spans="1:36" x14ac:dyDescent="0.25">
      <c r="A577" t="s">
        <v>5411</v>
      </c>
      <c r="B577" t="s">
        <v>16</v>
      </c>
      <c r="C577" t="s">
        <v>17</v>
      </c>
      <c r="D577">
        <v>17950000</v>
      </c>
      <c r="E577">
        <v>17959999</v>
      </c>
      <c r="F577" t="s">
        <v>520</v>
      </c>
      <c r="G577" t="str">
        <f t="shared" si="16"/>
        <v>SPI II</v>
      </c>
      <c r="H577" t="s">
        <v>19</v>
      </c>
      <c r="I577" t="s">
        <v>20</v>
      </c>
      <c r="J577" t="s">
        <v>64</v>
      </c>
      <c r="K577" s="6">
        <v>0.03</v>
      </c>
      <c r="L577" s="7">
        <f t="shared" si="17"/>
        <v>2E-3</v>
      </c>
      <c r="M577" s="7">
        <v>3.0000000000000001E-3</v>
      </c>
      <c r="N577">
        <v>7</v>
      </c>
      <c r="O577" s="8">
        <v>17.934556092922943</v>
      </c>
      <c r="P577" s="9">
        <v>17.934556092922943</v>
      </c>
      <c r="Q577" s="9">
        <v>17.934556092922943</v>
      </c>
      <c r="R577" s="9">
        <v>18.35577997371016</v>
      </c>
      <c r="S577" s="9">
        <v>18.404835306435746</v>
      </c>
      <c r="T577" s="9">
        <v>19.112621008962602</v>
      </c>
      <c r="U577" s="9">
        <v>20.35176903227914</v>
      </c>
      <c r="V577" s="9">
        <v>20.35176903227914</v>
      </c>
      <c r="W577" s="9">
        <v>20.35176903227914</v>
      </c>
      <c r="X577" s="9">
        <v>19.91589544268896</v>
      </c>
      <c r="Y577" s="9">
        <v>19.91589544268896</v>
      </c>
      <c r="Z577" s="9">
        <v>21.609947773831163</v>
      </c>
      <c r="AA577" s="9">
        <v>21.609947773831163</v>
      </c>
      <c r="AB577" s="9">
        <v>23.372671736151272</v>
      </c>
      <c r="AC577" s="9">
        <v>23.372671736151272</v>
      </c>
      <c r="AD577" s="9">
        <v>26.430826810726163</v>
      </c>
      <c r="AE577" s="9">
        <v>27.959768706413232</v>
      </c>
      <c r="AF577" s="9">
        <v>29.772701744670762</v>
      </c>
      <c r="AG577" s="9">
        <v>29.772701744670762</v>
      </c>
      <c r="AH577" s="9">
        <v>32.589351949315954</v>
      </c>
      <c r="AI577" s="9">
        <v>34.825222308406182</v>
      </c>
      <c r="AJ577" s="9">
        <v>3.0428788910505911</v>
      </c>
    </row>
    <row r="578" spans="1:36" x14ac:dyDescent="0.25">
      <c r="A578" t="s">
        <v>5411</v>
      </c>
      <c r="B578" t="s">
        <v>16</v>
      </c>
      <c r="C578" t="s">
        <v>17</v>
      </c>
      <c r="D578">
        <v>17960000</v>
      </c>
      <c r="E578">
        <v>17969999</v>
      </c>
      <c r="F578" t="s">
        <v>521</v>
      </c>
      <c r="G578" t="str">
        <f t="shared" si="16"/>
        <v>SPI II</v>
      </c>
      <c r="H578" t="s">
        <v>19</v>
      </c>
      <c r="I578" t="s">
        <v>20</v>
      </c>
      <c r="J578" t="s">
        <v>64</v>
      </c>
      <c r="K578" s="6">
        <v>0.03</v>
      </c>
      <c r="L578" s="7">
        <f t="shared" si="17"/>
        <v>2E-3</v>
      </c>
      <c r="M578" s="7">
        <v>3.0000000000000001E-3</v>
      </c>
      <c r="N578">
        <v>9</v>
      </c>
      <c r="O578" s="8">
        <v>17.934556092922943</v>
      </c>
      <c r="P578" s="9">
        <v>17.934556092922943</v>
      </c>
      <c r="Q578" s="9">
        <v>17.934556092922943</v>
      </c>
      <c r="R578" s="9">
        <v>18.35577997371016</v>
      </c>
      <c r="S578" s="9">
        <v>18.404835306435746</v>
      </c>
      <c r="T578" s="9">
        <v>19.112621008962602</v>
      </c>
      <c r="U578" s="9">
        <v>20.35176903227914</v>
      </c>
      <c r="V578" s="9">
        <v>20.35176903227914</v>
      </c>
      <c r="W578" s="9">
        <v>20.35176903227914</v>
      </c>
      <c r="X578" s="9">
        <v>19.91589544268896</v>
      </c>
      <c r="Y578" s="9">
        <v>19.91589544268896</v>
      </c>
      <c r="Z578" s="9">
        <v>21.609947773831163</v>
      </c>
      <c r="AA578" s="9">
        <v>21.609947773831163</v>
      </c>
      <c r="AB578" s="9">
        <v>23.372671736151272</v>
      </c>
      <c r="AC578" s="9">
        <v>23.372671736151272</v>
      </c>
      <c r="AD578" s="9">
        <v>26.430826810726163</v>
      </c>
      <c r="AE578" s="9">
        <v>27.959768706413232</v>
      </c>
      <c r="AF578" s="9">
        <v>29.772701744670762</v>
      </c>
      <c r="AG578" s="9">
        <v>29.772701744670762</v>
      </c>
      <c r="AH578" s="9">
        <v>32.589351949315954</v>
      </c>
      <c r="AI578" s="9">
        <v>34.825222308406182</v>
      </c>
      <c r="AJ578" s="9">
        <v>3.0428788910505911</v>
      </c>
    </row>
    <row r="579" spans="1:36" x14ac:dyDescent="0.25">
      <c r="A579" t="s">
        <v>5411</v>
      </c>
      <c r="B579" t="s">
        <v>16</v>
      </c>
      <c r="C579" t="s">
        <v>17</v>
      </c>
      <c r="D579">
        <v>17970000</v>
      </c>
      <c r="E579">
        <v>17979999</v>
      </c>
      <c r="F579" t="s">
        <v>522</v>
      </c>
      <c r="G579" t="str">
        <f t="shared" si="16"/>
        <v>SPI II</v>
      </c>
      <c r="H579" t="s">
        <v>19</v>
      </c>
      <c r="I579" t="s">
        <v>20</v>
      </c>
      <c r="J579" t="s">
        <v>64</v>
      </c>
      <c r="K579" s="6">
        <v>0.03</v>
      </c>
      <c r="L579" s="7">
        <f t="shared" si="17"/>
        <v>2E-3</v>
      </c>
      <c r="M579" s="7">
        <v>3.0000000000000001E-3</v>
      </c>
      <c r="N579">
        <v>9</v>
      </c>
      <c r="O579" s="8">
        <v>17.934556092922943</v>
      </c>
      <c r="P579" s="9">
        <v>17.934556092922943</v>
      </c>
      <c r="Q579" s="9">
        <v>17.934556092922943</v>
      </c>
      <c r="R579" s="9">
        <v>18.35577997371016</v>
      </c>
      <c r="S579" s="9">
        <v>18.404835306435746</v>
      </c>
      <c r="T579" s="9">
        <v>19.112621008962602</v>
      </c>
      <c r="U579" s="9">
        <v>20.35176903227914</v>
      </c>
      <c r="V579" s="9">
        <v>20.35176903227914</v>
      </c>
      <c r="W579" s="9">
        <v>20.35176903227914</v>
      </c>
      <c r="X579" s="9">
        <v>19.91589544268896</v>
      </c>
      <c r="Y579" s="9">
        <v>19.91589544268896</v>
      </c>
      <c r="Z579" s="9">
        <v>21.609947773831163</v>
      </c>
      <c r="AA579" s="9">
        <v>21.609947773831163</v>
      </c>
      <c r="AB579" s="9">
        <v>23.372671736151272</v>
      </c>
      <c r="AC579" s="9">
        <v>23.372671736151272</v>
      </c>
      <c r="AD579" s="9">
        <v>26.430826810726163</v>
      </c>
      <c r="AE579" s="9">
        <v>27.959768706413232</v>
      </c>
      <c r="AF579" s="9">
        <v>29.772701744670762</v>
      </c>
      <c r="AG579" s="9">
        <v>29.772701744670762</v>
      </c>
      <c r="AH579" s="9">
        <v>32.589351949315954</v>
      </c>
      <c r="AI579" s="9">
        <v>34.825222308406182</v>
      </c>
      <c r="AJ579" s="9">
        <v>3.0428788910505911</v>
      </c>
    </row>
    <row r="580" spans="1:36" x14ac:dyDescent="0.25">
      <c r="A580" t="s">
        <v>5411</v>
      </c>
      <c r="B580" t="s">
        <v>16</v>
      </c>
      <c r="C580" t="s">
        <v>17</v>
      </c>
      <c r="D580">
        <v>17980000</v>
      </c>
      <c r="E580">
        <v>17989999</v>
      </c>
      <c r="F580" t="s">
        <v>523</v>
      </c>
      <c r="G580" t="str">
        <f t="shared" ref="G580:G643" si="18">H580&amp;IF(J580="CAPITAL","C",IF(J580="INTERIOR","I",IF(J580="INTERIOR II","I II","R")))</f>
        <v>SPI II</v>
      </c>
      <c r="H580" t="s">
        <v>19</v>
      </c>
      <c r="I580" t="s">
        <v>20</v>
      </c>
      <c r="J580" t="s">
        <v>64</v>
      </c>
      <c r="K580" s="6">
        <v>0.03</v>
      </c>
      <c r="L580" s="7">
        <f t="shared" ref="L580:L643" si="19">IF(I580="(0) Não",0.2%,3%)</f>
        <v>2E-3</v>
      </c>
      <c r="M580" s="7">
        <v>3.0000000000000001E-3</v>
      </c>
      <c r="N580">
        <v>9</v>
      </c>
      <c r="O580" s="8">
        <v>17.934556092922943</v>
      </c>
      <c r="P580" s="9">
        <v>17.934556092922943</v>
      </c>
      <c r="Q580" s="9">
        <v>17.934556092922943</v>
      </c>
      <c r="R580" s="9">
        <v>18.35577997371016</v>
      </c>
      <c r="S580" s="9">
        <v>18.404835306435746</v>
      </c>
      <c r="T580" s="9">
        <v>19.112621008962602</v>
      </c>
      <c r="U580" s="9">
        <v>20.35176903227914</v>
      </c>
      <c r="V580" s="9">
        <v>20.35176903227914</v>
      </c>
      <c r="W580" s="9">
        <v>20.35176903227914</v>
      </c>
      <c r="X580" s="9">
        <v>19.91589544268896</v>
      </c>
      <c r="Y580" s="9">
        <v>19.91589544268896</v>
      </c>
      <c r="Z580" s="9">
        <v>21.609947773831163</v>
      </c>
      <c r="AA580" s="9">
        <v>21.609947773831163</v>
      </c>
      <c r="AB580" s="9">
        <v>23.372671736151272</v>
      </c>
      <c r="AC580" s="9">
        <v>23.372671736151272</v>
      </c>
      <c r="AD580" s="9">
        <v>26.430826810726163</v>
      </c>
      <c r="AE580" s="9">
        <v>27.959768706413232</v>
      </c>
      <c r="AF580" s="9">
        <v>29.772701744670762</v>
      </c>
      <c r="AG580" s="9">
        <v>29.772701744670762</v>
      </c>
      <c r="AH580" s="9">
        <v>32.589351949315954</v>
      </c>
      <c r="AI580" s="9">
        <v>34.825222308406182</v>
      </c>
      <c r="AJ580" s="9">
        <v>3.0428788910505911</v>
      </c>
    </row>
    <row r="581" spans="1:36" x14ac:dyDescent="0.25">
      <c r="A581" t="s">
        <v>5411</v>
      </c>
      <c r="B581" t="s">
        <v>16</v>
      </c>
      <c r="C581" t="s">
        <v>17</v>
      </c>
      <c r="D581">
        <v>17990000</v>
      </c>
      <c r="E581">
        <v>17999999</v>
      </c>
      <c r="F581" t="s">
        <v>524</v>
      </c>
      <c r="G581" t="str">
        <f t="shared" si="18"/>
        <v>SPI II</v>
      </c>
      <c r="H581" t="s">
        <v>19</v>
      </c>
      <c r="I581" t="s">
        <v>20</v>
      </c>
      <c r="J581" t="s">
        <v>64</v>
      </c>
      <c r="K581" s="6">
        <v>0.03</v>
      </c>
      <c r="L581" s="7">
        <f t="shared" si="19"/>
        <v>2E-3</v>
      </c>
      <c r="M581" s="7">
        <v>3.0000000000000001E-3</v>
      </c>
      <c r="N581">
        <v>9</v>
      </c>
      <c r="O581" s="8">
        <v>17.934556092922943</v>
      </c>
      <c r="P581" s="9">
        <v>17.934556092922943</v>
      </c>
      <c r="Q581" s="9">
        <v>17.934556092922943</v>
      </c>
      <c r="R581" s="9">
        <v>18.35577997371016</v>
      </c>
      <c r="S581" s="9">
        <v>18.404835306435746</v>
      </c>
      <c r="T581" s="9">
        <v>19.112621008962602</v>
      </c>
      <c r="U581" s="9">
        <v>20.35176903227914</v>
      </c>
      <c r="V581" s="9">
        <v>20.35176903227914</v>
      </c>
      <c r="W581" s="9">
        <v>20.35176903227914</v>
      </c>
      <c r="X581" s="9">
        <v>19.91589544268896</v>
      </c>
      <c r="Y581" s="9">
        <v>19.91589544268896</v>
      </c>
      <c r="Z581" s="9">
        <v>21.609947773831163</v>
      </c>
      <c r="AA581" s="9">
        <v>21.609947773831163</v>
      </c>
      <c r="AB581" s="9">
        <v>23.372671736151272</v>
      </c>
      <c r="AC581" s="9">
        <v>23.372671736151272</v>
      </c>
      <c r="AD581" s="9">
        <v>26.430826810726163</v>
      </c>
      <c r="AE581" s="9">
        <v>27.959768706413232</v>
      </c>
      <c r="AF581" s="9">
        <v>29.772701744670762</v>
      </c>
      <c r="AG581" s="9">
        <v>29.772701744670762</v>
      </c>
      <c r="AH581" s="9">
        <v>32.589351949315954</v>
      </c>
      <c r="AI581" s="9">
        <v>34.825222308406182</v>
      </c>
      <c r="AJ581" s="9">
        <v>3.0428788910505911</v>
      </c>
    </row>
    <row r="582" spans="1:36" x14ac:dyDescent="0.25">
      <c r="A582" t="s">
        <v>5411</v>
      </c>
      <c r="B582" t="s">
        <v>16</v>
      </c>
      <c r="C582" t="s">
        <v>17</v>
      </c>
      <c r="D582">
        <v>18000000</v>
      </c>
      <c r="E582">
        <v>18012999</v>
      </c>
      <c r="F582" t="s">
        <v>525</v>
      </c>
      <c r="G582" t="str">
        <f t="shared" si="18"/>
        <v>SPI</v>
      </c>
      <c r="H582" t="s">
        <v>19</v>
      </c>
      <c r="I582" t="s">
        <v>20</v>
      </c>
      <c r="J582" t="s">
        <v>62</v>
      </c>
      <c r="K582" s="6">
        <v>0.03</v>
      </c>
      <c r="L582" s="7">
        <f t="shared" si="19"/>
        <v>2E-3</v>
      </c>
      <c r="M582" s="7">
        <v>3.0000000000000001E-3</v>
      </c>
      <c r="N582">
        <v>6</v>
      </c>
      <c r="O582" s="8">
        <v>14.260089507934383</v>
      </c>
      <c r="P582" s="9">
        <v>14.260089507934383</v>
      </c>
      <c r="Q582" s="9">
        <v>14.260089507934383</v>
      </c>
      <c r="R582" s="9">
        <v>14.434686024139818</v>
      </c>
      <c r="S582" s="9">
        <v>14.722027102535575</v>
      </c>
      <c r="T582" s="9">
        <v>15.677715915555218</v>
      </c>
      <c r="U582" s="9">
        <v>17.010379604817192</v>
      </c>
      <c r="V582" s="9">
        <v>17.010379604817192</v>
      </c>
      <c r="W582" s="9">
        <v>17.010379604817192</v>
      </c>
      <c r="X582" s="9">
        <v>16.884570568466835</v>
      </c>
      <c r="Y582" s="9">
        <v>16.884570568466835</v>
      </c>
      <c r="Z582" s="9">
        <v>18.617757359760585</v>
      </c>
      <c r="AA582" s="9">
        <v>18.617757359760585</v>
      </c>
      <c r="AB582" s="9">
        <v>20.52292271594289</v>
      </c>
      <c r="AC582" s="9">
        <v>20.52292271594289</v>
      </c>
      <c r="AD582" s="9">
        <v>22.530627040176761</v>
      </c>
      <c r="AE582" s="9">
        <v>24.654059850225856</v>
      </c>
      <c r="AF582" s="9">
        <v>28.622962393602329</v>
      </c>
      <c r="AG582" s="9">
        <v>28.622962393602329</v>
      </c>
      <c r="AH582" s="9">
        <v>31.011605245024167</v>
      </c>
      <c r="AI582" s="9">
        <v>33.330799286496742</v>
      </c>
      <c r="AJ582" s="9">
        <v>3.0428788910505911</v>
      </c>
    </row>
    <row r="583" spans="1:36" x14ac:dyDescent="0.25">
      <c r="A583" t="s">
        <v>5411</v>
      </c>
      <c r="B583" t="s">
        <v>16</v>
      </c>
      <c r="C583" t="s">
        <v>17</v>
      </c>
      <c r="D583">
        <v>18013000</v>
      </c>
      <c r="E583">
        <v>18103999</v>
      </c>
      <c r="F583" t="s">
        <v>525</v>
      </c>
      <c r="G583" t="str">
        <f t="shared" si="18"/>
        <v>SPI</v>
      </c>
      <c r="H583" t="s">
        <v>19</v>
      </c>
      <c r="I583" t="s">
        <v>20</v>
      </c>
      <c r="J583" t="s">
        <v>62</v>
      </c>
      <c r="K583" s="6">
        <v>0.03</v>
      </c>
      <c r="L583" s="7">
        <f t="shared" si="19"/>
        <v>2E-3</v>
      </c>
      <c r="M583" s="7">
        <v>3.0000000000000001E-3</v>
      </c>
      <c r="N583">
        <v>6</v>
      </c>
      <c r="O583" s="8">
        <v>14.260089507934383</v>
      </c>
      <c r="P583" s="9">
        <v>14.260089507934383</v>
      </c>
      <c r="Q583" s="9">
        <v>14.260089507934383</v>
      </c>
      <c r="R583" s="9">
        <v>14.434686024139818</v>
      </c>
      <c r="S583" s="9">
        <v>14.722027102535575</v>
      </c>
      <c r="T583" s="9">
        <v>15.677715915555218</v>
      </c>
      <c r="U583" s="9">
        <v>17.010379604817192</v>
      </c>
      <c r="V583" s="9">
        <v>17.010379604817192</v>
      </c>
      <c r="W583" s="9">
        <v>17.010379604817192</v>
      </c>
      <c r="X583" s="9">
        <v>16.884570568466835</v>
      </c>
      <c r="Y583" s="9">
        <v>16.884570568466835</v>
      </c>
      <c r="Z583" s="9">
        <v>18.617757359760585</v>
      </c>
      <c r="AA583" s="9">
        <v>18.617757359760585</v>
      </c>
      <c r="AB583" s="9">
        <v>20.52292271594289</v>
      </c>
      <c r="AC583" s="9">
        <v>20.52292271594289</v>
      </c>
      <c r="AD583" s="9">
        <v>22.530627040176761</v>
      </c>
      <c r="AE583" s="9">
        <v>24.654059850225856</v>
      </c>
      <c r="AF583" s="9">
        <v>28.622962393602329</v>
      </c>
      <c r="AG583" s="9">
        <v>28.622962393602329</v>
      </c>
      <c r="AH583" s="9">
        <v>31.011605245024167</v>
      </c>
      <c r="AI583" s="9">
        <v>33.330799286496742</v>
      </c>
      <c r="AJ583" s="9">
        <v>3.0428788910505911</v>
      </c>
    </row>
    <row r="584" spans="1:36" x14ac:dyDescent="0.25">
      <c r="A584" t="s">
        <v>5411</v>
      </c>
      <c r="B584" t="s">
        <v>16</v>
      </c>
      <c r="C584" t="s">
        <v>17</v>
      </c>
      <c r="D584">
        <v>18104000</v>
      </c>
      <c r="E584">
        <v>18109999</v>
      </c>
      <c r="F584" t="s">
        <v>525</v>
      </c>
      <c r="G584" t="str">
        <f t="shared" si="18"/>
        <v>SPI</v>
      </c>
      <c r="H584" t="s">
        <v>19</v>
      </c>
      <c r="I584" t="s">
        <v>20</v>
      </c>
      <c r="J584" t="s">
        <v>62</v>
      </c>
      <c r="K584" s="6">
        <v>0.03</v>
      </c>
      <c r="L584" s="7">
        <f t="shared" si="19"/>
        <v>2E-3</v>
      </c>
      <c r="M584" s="7">
        <v>3.0000000000000001E-3</v>
      </c>
      <c r="N584">
        <v>6</v>
      </c>
      <c r="O584" s="8">
        <v>14.260089507934383</v>
      </c>
      <c r="P584" s="9">
        <v>14.260089507934383</v>
      </c>
      <c r="Q584" s="9">
        <v>14.260089507934383</v>
      </c>
      <c r="R584" s="9">
        <v>14.434686024139818</v>
      </c>
      <c r="S584" s="9">
        <v>14.722027102535575</v>
      </c>
      <c r="T584" s="9">
        <v>15.677715915555218</v>
      </c>
      <c r="U584" s="9">
        <v>17.010379604817192</v>
      </c>
      <c r="V584" s="9">
        <v>17.010379604817192</v>
      </c>
      <c r="W584" s="9">
        <v>17.010379604817192</v>
      </c>
      <c r="X584" s="9">
        <v>16.884570568466835</v>
      </c>
      <c r="Y584" s="9">
        <v>16.884570568466835</v>
      </c>
      <c r="Z584" s="9">
        <v>18.617757359760585</v>
      </c>
      <c r="AA584" s="9">
        <v>18.617757359760585</v>
      </c>
      <c r="AB584" s="9">
        <v>20.52292271594289</v>
      </c>
      <c r="AC584" s="9">
        <v>20.52292271594289</v>
      </c>
      <c r="AD584" s="9">
        <v>22.530627040176761</v>
      </c>
      <c r="AE584" s="9">
        <v>24.654059850225856</v>
      </c>
      <c r="AF584" s="9">
        <v>28.622962393602329</v>
      </c>
      <c r="AG584" s="9">
        <v>28.622962393602329</v>
      </c>
      <c r="AH584" s="9">
        <v>31.011605245024167</v>
      </c>
      <c r="AI584" s="9">
        <v>33.330799286496742</v>
      </c>
      <c r="AJ584" s="9">
        <v>3.0428788910505911</v>
      </c>
    </row>
    <row r="585" spans="1:36" x14ac:dyDescent="0.25">
      <c r="A585" t="s">
        <v>5411</v>
      </c>
      <c r="B585" t="s">
        <v>16</v>
      </c>
      <c r="C585" t="s">
        <v>17</v>
      </c>
      <c r="D585">
        <v>18110000</v>
      </c>
      <c r="E585">
        <v>18119999</v>
      </c>
      <c r="F585" t="s">
        <v>526</v>
      </c>
      <c r="G585" t="str">
        <f t="shared" si="18"/>
        <v>SPI</v>
      </c>
      <c r="H585" t="s">
        <v>19</v>
      </c>
      <c r="I585" t="s">
        <v>20</v>
      </c>
      <c r="J585" t="s">
        <v>62</v>
      </c>
      <c r="K585" s="6">
        <v>0.03</v>
      </c>
      <c r="L585" s="7">
        <f t="shared" si="19"/>
        <v>2E-3</v>
      </c>
      <c r="M585" s="7">
        <v>3.0000000000000001E-3</v>
      </c>
      <c r="N585">
        <v>7</v>
      </c>
      <c r="O585" s="8">
        <v>14.260089507934383</v>
      </c>
      <c r="P585" s="9">
        <v>14.260089507934383</v>
      </c>
      <c r="Q585" s="9">
        <v>14.260089507934383</v>
      </c>
      <c r="R585" s="9">
        <v>14.434686024139818</v>
      </c>
      <c r="S585" s="9">
        <v>14.722027102535575</v>
      </c>
      <c r="T585" s="9">
        <v>15.677715915555218</v>
      </c>
      <c r="U585" s="9">
        <v>17.010379604817192</v>
      </c>
      <c r="V585" s="9">
        <v>17.010379604817192</v>
      </c>
      <c r="W585" s="9">
        <v>17.010379604817192</v>
      </c>
      <c r="X585" s="9">
        <v>16.884570568466835</v>
      </c>
      <c r="Y585" s="9">
        <v>16.884570568466835</v>
      </c>
      <c r="Z585" s="9">
        <v>18.617757359760585</v>
      </c>
      <c r="AA585" s="9">
        <v>18.617757359760585</v>
      </c>
      <c r="AB585" s="9">
        <v>20.52292271594289</v>
      </c>
      <c r="AC585" s="9">
        <v>20.52292271594289</v>
      </c>
      <c r="AD585" s="9">
        <v>22.530627040176761</v>
      </c>
      <c r="AE585" s="9">
        <v>24.654059850225856</v>
      </c>
      <c r="AF585" s="9">
        <v>28.622962393602329</v>
      </c>
      <c r="AG585" s="9">
        <v>28.622962393602329</v>
      </c>
      <c r="AH585" s="9">
        <v>31.011605245024167</v>
      </c>
      <c r="AI585" s="9">
        <v>33.330799286496742</v>
      </c>
      <c r="AJ585" s="9">
        <v>3.0428788910505911</v>
      </c>
    </row>
    <row r="586" spans="1:36" x14ac:dyDescent="0.25">
      <c r="A586" t="s">
        <v>5411</v>
      </c>
      <c r="B586" t="s">
        <v>16</v>
      </c>
      <c r="C586" t="s">
        <v>17</v>
      </c>
      <c r="D586">
        <v>18120000</v>
      </c>
      <c r="E586">
        <v>18124999</v>
      </c>
      <c r="F586" t="s">
        <v>527</v>
      </c>
      <c r="G586" t="str">
        <f t="shared" si="18"/>
        <v>SPI</v>
      </c>
      <c r="H586" t="s">
        <v>19</v>
      </c>
      <c r="I586" t="s">
        <v>20</v>
      </c>
      <c r="J586" t="s">
        <v>62</v>
      </c>
      <c r="K586" s="6">
        <v>0.03</v>
      </c>
      <c r="L586" s="7">
        <f t="shared" si="19"/>
        <v>2E-3</v>
      </c>
      <c r="M586" s="7">
        <v>3.0000000000000001E-3</v>
      </c>
      <c r="N586">
        <v>7</v>
      </c>
      <c r="O586" s="8">
        <v>14.260089507934383</v>
      </c>
      <c r="P586" s="9">
        <v>14.260089507934383</v>
      </c>
      <c r="Q586" s="9">
        <v>14.260089507934383</v>
      </c>
      <c r="R586" s="9">
        <v>14.434686024139818</v>
      </c>
      <c r="S586" s="9">
        <v>14.722027102535575</v>
      </c>
      <c r="T586" s="9">
        <v>15.677715915555218</v>
      </c>
      <c r="U586" s="9">
        <v>17.010379604817192</v>
      </c>
      <c r="V586" s="9">
        <v>17.010379604817192</v>
      </c>
      <c r="W586" s="9">
        <v>17.010379604817192</v>
      </c>
      <c r="X586" s="9">
        <v>16.884570568466835</v>
      </c>
      <c r="Y586" s="9">
        <v>16.884570568466835</v>
      </c>
      <c r="Z586" s="9">
        <v>18.617757359760585</v>
      </c>
      <c r="AA586" s="9">
        <v>18.617757359760585</v>
      </c>
      <c r="AB586" s="9">
        <v>20.52292271594289</v>
      </c>
      <c r="AC586" s="9">
        <v>20.52292271594289</v>
      </c>
      <c r="AD586" s="9">
        <v>22.530627040176761</v>
      </c>
      <c r="AE586" s="9">
        <v>24.654059850225856</v>
      </c>
      <c r="AF586" s="9">
        <v>28.622962393602329</v>
      </c>
      <c r="AG586" s="9">
        <v>28.622962393602329</v>
      </c>
      <c r="AH586" s="9">
        <v>31.011605245024167</v>
      </c>
      <c r="AI586" s="9">
        <v>33.330799286496742</v>
      </c>
      <c r="AJ586" s="9">
        <v>3.0428788910505911</v>
      </c>
    </row>
    <row r="587" spans="1:36" x14ac:dyDescent="0.25">
      <c r="A587" t="s">
        <v>5411</v>
      </c>
      <c r="B587" t="s">
        <v>16</v>
      </c>
      <c r="C587" t="s">
        <v>17</v>
      </c>
      <c r="D587">
        <v>18125000</v>
      </c>
      <c r="E587">
        <v>18129999</v>
      </c>
      <c r="F587" t="s">
        <v>528</v>
      </c>
      <c r="G587" t="str">
        <f t="shared" si="18"/>
        <v>SPI</v>
      </c>
      <c r="H587" t="s">
        <v>19</v>
      </c>
      <c r="I587" t="s">
        <v>20</v>
      </c>
      <c r="J587" t="s">
        <v>62</v>
      </c>
      <c r="K587" s="6">
        <v>0.03</v>
      </c>
      <c r="L587" s="7">
        <f t="shared" si="19"/>
        <v>2E-3</v>
      </c>
      <c r="M587" s="7">
        <v>3.0000000000000001E-3</v>
      </c>
      <c r="N587">
        <v>7</v>
      </c>
      <c r="O587" s="8">
        <v>14.260089507934383</v>
      </c>
      <c r="P587" s="9">
        <v>14.260089507934383</v>
      </c>
      <c r="Q587" s="9">
        <v>14.260089507934383</v>
      </c>
      <c r="R587" s="9">
        <v>14.434686024139818</v>
      </c>
      <c r="S587" s="9">
        <v>14.722027102535575</v>
      </c>
      <c r="T587" s="9">
        <v>15.677715915555218</v>
      </c>
      <c r="U587" s="9">
        <v>17.010379604817192</v>
      </c>
      <c r="V587" s="9">
        <v>17.010379604817192</v>
      </c>
      <c r="W587" s="9">
        <v>17.010379604817192</v>
      </c>
      <c r="X587" s="9">
        <v>16.884570568466835</v>
      </c>
      <c r="Y587" s="9">
        <v>16.884570568466835</v>
      </c>
      <c r="Z587" s="9">
        <v>18.617757359760585</v>
      </c>
      <c r="AA587" s="9">
        <v>18.617757359760585</v>
      </c>
      <c r="AB587" s="9">
        <v>20.52292271594289</v>
      </c>
      <c r="AC587" s="9">
        <v>20.52292271594289</v>
      </c>
      <c r="AD587" s="9">
        <v>22.530627040176761</v>
      </c>
      <c r="AE587" s="9">
        <v>24.654059850225856</v>
      </c>
      <c r="AF587" s="9">
        <v>28.622962393602329</v>
      </c>
      <c r="AG587" s="9">
        <v>28.622962393602329</v>
      </c>
      <c r="AH587" s="9">
        <v>31.011605245024167</v>
      </c>
      <c r="AI587" s="9">
        <v>33.330799286496742</v>
      </c>
      <c r="AJ587" s="9">
        <v>3.0428788910505911</v>
      </c>
    </row>
    <row r="588" spans="1:36" x14ac:dyDescent="0.25">
      <c r="A588" t="s">
        <v>5411</v>
      </c>
      <c r="B588" t="s">
        <v>16</v>
      </c>
      <c r="C588" t="s">
        <v>17</v>
      </c>
      <c r="D588">
        <v>18130000</v>
      </c>
      <c r="E588">
        <v>18146999</v>
      </c>
      <c r="F588" t="s">
        <v>529</v>
      </c>
      <c r="G588" t="str">
        <f t="shared" si="18"/>
        <v>SPI</v>
      </c>
      <c r="H588" t="s">
        <v>19</v>
      </c>
      <c r="I588" t="s">
        <v>20</v>
      </c>
      <c r="J588" t="s">
        <v>62</v>
      </c>
      <c r="K588" s="6">
        <v>0.03</v>
      </c>
      <c r="L588" s="7">
        <f t="shared" si="19"/>
        <v>2E-3</v>
      </c>
      <c r="M588" s="7">
        <v>3.0000000000000001E-3</v>
      </c>
      <c r="N588">
        <v>7</v>
      </c>
      <c r="O588" s="8">
        <v>14.260089507934383</v>
      </c>
      <c r="P588" s="9">
        <v>14.260089507934383</v>
      </c>
      <c r="Q588" s="9">
        <v>14.260089507934383</v>
      </c>
      <c r="R588" s="9">
        <v>14.434686024139818</v>
      </c>
      <c r="S588" s="9">
        <v>14.722027102535575</v>
      </c>
      <c r="T588" s="9">
        <v>15.677715915555218</v>
      </c>
      <c r="U588" s="9">
        <v>17.010379604817192</v>
      </c>
      <c r="V588" s="9">
        <v>17.010379604817192</v>
      </c>
      <c r="W588" s="9">
        <v>17.010379604817192</v>
      </c>
      <c r="X588" s="9">
        <v>16.884570568466835</v>
      </c>
      <c r="Y588" s="9">
        <v>16.884570568466835</v>
      </c>
      <c r="Z588" s="9">
        <v>18.617757359760585</v>
      </c>
      <c r="AA588" s="9">
        <v>18.617757359760585</v>
      </c>
      <c r="AB588" s="9">
        <v>20.52292271594289</v>
      </c>
      <c r="AC588" s="9">
        <v>20.52292271594289</v>
      </c>
      <c r="AD588" s="9">
        <v>22.530627040176761</v>
      </c>
      <c r="AE588" s="9">
        <v>24.654059850225856</v>
      </c>
      <c r="AF588" s="9">
        <v>28.622962393602329</v>
      </c>
      <c r="AG588" s="9">
        <v>28.622962393602329</v>
      </c>
      <c r="AH588" s="9">
        <v>31.011605245024167</v>
      </c>
      <c r="AI588" s="9">
        <v>33.330799286496742</v>
      </c>
      <c r="AJ588" s="9">
        <v>3.0428788910505911</v>
      </c>
    </row>
    <row r="589" spans="1:36" x14ac:dyDescent="0.25">
      <c r="A589" t="s">
        <v>5411</v>
      </c>
      <c r="B589" t="s">
        <v>16</v>
      </c>
      <c r="C589" t="s">
        <v>17</v>
      </c>
      <c r="D589">
        <v>18147000</v>
      </c>
      <c r="E589">
        <v>18149999</v>
      </c>
      <c r="F589" t="s">
        <v>530</v>
      </c>
      <c r="G589" t="str">
        <f t="shared" si="18"/>
        <v>SPI</v>
      </c>
      <c r="H589" t="s">
        <v>19</v>
      </c>
      <c r="I589" t="s">
        <v>20</v>
      </c>
      <c r="J589" t="s">
        <v>62</v>
      </c>
      <c r="K589" s="6">
        <v>0.03</v>
      </c>
      <c r="L589" s="7">
        <f t="shared" si="19"/>
        <v>2E-3</v>
      </c>
      <c r="M589" s="7">
        <v>3.0000000000000001E-3</v>
      </c>
      <c r="N589">
        <v>7</v>
      </c>
      <c r="O589" s="8">
        <v>14.260089507934383</v>
      </c>
      <c r="P589" s="9">
        <v>14.260089507934383</v>
      </c>
      <c r="Q589" s="9">
        <v>14.260089507934383</v>
      </c>
      <c r="R589" s="9">
        <v>14.434686024139818</v>
      </c>
      <c r="S589" s="9">
        <v>14.722027102535575</v>
      </c>
      <c r="T589" s="9">
        <v>15.677715915555218</v>
      </c>
      <c r="U589" s="9">
        <v>17.010379604817192</v>
      </c>
      <c r="V589" s="9">
        <v>17.010379604817192</v>
      </c>
      <c r="W589" s="9">
        <v>17.010379604817192</v>
      </c>
      <c r="X589" s="9">
        <v>16.884570568466835</v>
      </c>
      <c r="Y589" s="9">
        <v>16.884570568466835</v>
      </c>
      <c r="Z589" s="9">
        <v>18.617757359760585</v>
      </c>
      <c r="AA589" s="9">
        <v>18.617757359760585</v>
      </c>
      <c r="AB589" s="9">
        <v>20.52292271594289</v>
      </c>
      <c r="AC589" s="9">
        <v>20.52292271594289</v>
      </c>
      <c r="AD589" s="9">
        <v>22.530627040176761</v>
      </c>
      <c r="AE589" s="9">
        <v>24.654059850225856</v>
      </c>
      <c r="AF589" s="9">
        <v>28.622962393602329</v>
      </c>
      <c r="AG589" s="9">
        <v>28.622962393602329</v>
      </c>
      <c r="AH589" s="9">
        <v>31.011605245024167</v>
      </c>
      <c r="AI589" s="9">
        <v>33.330799286496742</v>
      </c>
      <c r="AJ589" s="9">
        <v>3.0428788910505911</v>
      </c>
    </row>
    <row r="590" spans="1:36" x14ac:dyDescent="0.25">
      <c r="A590" t="s">
        <v>5411</v>
      </c>
      <c r="B590" t="s">
        <v>16</v>
      </c>
      <c r="C590" t="s">
        <v>17</v>
      </c>
      <c r="D590">
        <v>18150000</v>
      </c>
      <c r="E590">
        <v>18159999</v>
      </c>
      <c r="F590" t="s">
        <v>531</v>
      </c>
      <c r="G590" t="str">
        <f t="shared" si="18"/>
        <v>SPI</v>
      </c>
      <c r="H590" t="s">
        <v>19</v>
      </c>
      <c r="I590" t="s">
        <v>20</v>
      </c>
      <c r="J590" t="s">
        <v>62</v>
      </c>
      <c r="K590" s="6">
        <v>0.03</v>
      </c>
      <c r="L590" s="7">
        <f t="shared" si="19"/>
        <v>2E-3</v>
      </c>
      <c r="M590" s="7">
        <v>3.0000000000000001E-3</v>
      </c>
      <c r="N590">
        <v>6</v>
      </c>
      <c r="O590" s="8">
        <v>14.260089507934383</v>
      </c>
      <c r="P590" s="9">
        <v>14.260089507934383</v>
      </c>
      <c r="Q590" s="9">
        <v>14.260089507934383</v>
      </c>
      <c r="R590" s="9">
        <v>14.434686024139818</v>
      </c>
      <c r="S590" s="9">
        <v>14.722027102535575</v>
      </c>
      <c r="T590" s="9">
        <v>15.677715915555218</v>
      </c>
      <c r="U590" s="9">
        <v>17.010379604817192</v>
      </c>
      <c r="V590" s="9">
        <v>17.010379604817192</v>
      </c>
      <c r="W590" s="9">
        <v>17.010379604817192</v>
      </c>
      <c r="X590" s="9">
        <v>16.884570568466835</v>
      </c>
      <c r="Y590" s="9">
        <v>16.884570568466835</v>
      </c>
      <c r="Z590" s="9">
        <v>18.617757359760585</v>
      </c>
      <c r="AA590" s="9">
        <v>18.617757359760585</v>
      </c>
      <c r="AB590" s="9">
        <v>20.52292271594289</v>
      </c>
      <c r="AC590" s="9">
        <v>20.52292271594289</v>
      </c>
      <c r="AD590" s="9">
        <v>22.530627040176761</v>
      </c>
      <c r="AE590" s="9">
        <v>24.654059850225856</v>
      </c>
      <c r="AF590" s="9">
        <v>28.622962393602329</v>
      </c>
      <c r="AG590" s="9">
        <v>28.622962393602329</v>
      </c>
      <c r="AH590" s="9">
        <v>31.011605245024167</v>
      </c>
      <c r="AI590" s="9">
        <v>33.330799286496742</v>
      </c>
      <c r="AJ590" s="9">
        <v>3.0428788910505911</v>
      </c>
    </row>
    <row r="591" spans="1:36" x14ac:dyDescent="0.25">
      <c r="A591" t="s">
        <v>5411</v>
      </c>
      <c r="B591" t="s">
        <v>16</v>
      </c>
      <c r="C591" t="s">
        <v>17</v>
      </c>
      <c r="D591">
        <v>18160000</v>
      </c>
      <c r="E591">
        <v>18160999</v>
      </c>
      <c r="F591" t="s">
        <v>532</v>
      </c>
      <c r="G591" t="str">
        <f t="shared" si="18"/>
        <v>SPI II</v>
      </c>
      <c r="H591" t="s">
        <v>19</v>
      </c>
      <c r="I591" t="s">
        <v>20</v>
      </c>
      <c r="J591" t="s">
        <v>64</v>
      </c>
      <c r="K591" s="6">
        <v>0.03</v>
      </c>
      <c r="L591" s="7">
        <f t="shared" si="19"/>
        <v>2E-3</v>
      </c>
      <c r="M591" s="7">
        <v>3.0000000000000001E-3</v>
      </c>
      <c r="N591">
        <v>8</v>
      </c>
      <c r="O591" s="8">
        <v>17.934556092922943</v>
      </c>
      <c r="P591" s="9">
        <v>17.934556092922943</v>
      </c>
      <c r="Q591" s="9">
        <v>17.934556092922943</v>
      </c>
      <c r="R591" s="9">
        <v>18.35577997371016</v>
      </c>
      <c r="S591" s="9">
        <v>18.404835306435746</v>
      </c>
      <c r="T591" s="9">
        <v>19.112621008962602</v>
      </c>
      <c r="U591" s="9">
        <v>20.35176903227914</v>
      </c>
      <c r="V591" s="9">
        <v>20.35176903227914</v>
      </c>
      <c r="W591" s="9">
        <v>20.35176903227914</v>
      </c>
      <c r="X591" s="9">
        <v>19.91589544268896</v>
      </c>
      <c r="Y591" s="9">
        <v>19.91589544268896</v>
      </c>
      <c r="Z591" s="9">
        <v>21.609947773831163</v>
      </c>
      <c r="AA591" s="9">
        <v>21.609947773831163</v>
      </c>
      <c r="AB591" s="9">
        <v>23.372671736151272</v>
      </c>
      <c r="AC591" s="9">
        <v>23.372671736151272</v>
      </c>
      <c r="AD591" s="9">
        <v>26.430826810726163</v>
      </c>
      <c r="AE591" s="9">
        <v>27.959768706413232</v>
      </c>
      <c r="AF591" s="9">
        <v>29.772701744670762</v>
      </c>
      <c r="AG591" s="9">
        <v>29.772701744670762</v>
      </c>
      <c r="AH591" s="9">
        <v>32.589351949315954</v>
      </c>
      <c r="AI591" s="9">
        <v>34.825222308406182</v>
      </c>
      <c r="AJ591" s="9">
        <v>3.0428788910505911</v>
      </c>
    </row>
    <row r="592" spans="1:36" x14ac:dyDescent="0.25">
      <c r="A592" t="s">
        <v>5411</v>
      </c>
      <c r="B592" t="s">
        <v>16</v>
      </c>
      <c r="C592" t="s">
        <v>17</v>
      </c>
      <c r="D592">
        <v>18161000</v>
      </c>
      <c r="E592">
        <v>18179999</v>
      </c>
      <c r="F592" t="s">
        <v>533</v>
      </c>
      <c r="G592" t="str">
        <f t="shared" si="18"/>
        <v>SPI II</v>
      </c>
      <c r="H592" t="s">
        <v>19</v>
      </c>
      <c r="I592" t="s">
        <v>20</v>
      </c>
      <c r="J592" t="s">
        <v>64</v>
      </c>
      <c r="K592" s="6">
        <v>0.03</v>
      </c>
      <c r="L592" s="7">
        <f t="shared" si="19"/>
        <v>2E-3</v>
      </c>
      <c r="M592" s="7">
        <v>3.0000000000000001E-3</v>
      </c>
      <c r="N592">
        <v>8</v>
      </c>
      <c r="O592" s="8">
        <v>17.934556092922943</v>
      </c>
      <c r="P592" s="9">
        <v>17.934556092922943</v>
      </c>
      <c r="Q592" s="9">
        <v>17.934556092922943</v>
      </c>
      <c r="R592" s="9">
        <v>18.35577997371016</v>
      </c>
      <c r="S592" s="9">
        <v>18.404835306435746</v>
      </c>
      <c r="T592" s="9">
        <v>19.112621008962602</v>
      </c>
      <c r="U592" s="9">
        <v>20.35176903227914</v>
      </c>
      <c r="V592" s="9">
        <v>20.35176903227914</v>
      </c>
      <c r="W592" s="9">
        <v>20.35176903227914</v>
      </c>
      <c r="X592" s="9">
        <v>19.91589544268896</v>
      </c>
      <c r="Y592" s="9">
        <v>19.91589544268896</v>
      </c>
      <c r="Z592" s="9">
        <v>21.609947773831163</v>
      </c>
      <c r="AA592" s="9">
        <v>21.609947773831163</v>
      </c>
      <c r="AB592" s="9">
        <v>23.372671736151272</v>
      </c>
      <c r="AC592" s="9">
        <v>23.372671736151272</v>
      </c>
      <c r="AD592" s="9">
        <v>26.430826810726163</v>
      </c>
      <c r="AE592" s="9">
        <v>27.959768706413232</v>
      </c>
      <c r="AF592" s="9">
        <v>29.772701744670762</v>
      </c>
      <c r="AG592" s="9">
        <v>29.772701744670762</v>
      </c>
      <c r="AH592" s="9">
        <v>32.589351949315954</v>
      </c>
      <c r="AI592" s="9">
        <v>34.825222308406182</v>
      </c>
      <c r="AJ592" s="9">
        <v>3.0428788910505911</v>
      </c>
    </row>
    <row r="593" spans="1:36" x14ac:dyDescent="0.25">
      <c r="A593" t="s">
        <v>5411</v>
      </c>
      <c r="B593" t="s">
        <v>16</v>
      </c>
      <c r="C593" t="s">
        <v>17</v>
      </c>
      <c r="D593">
        <v>18180000</v>
      </c>
      <c r="E593">
        <v>18189999</v>
      </c>
      <c r="F593" t="s">
        <v>534</v>
      </c>
      <c r="G593" t="str">
        <f t="shared" si="18"/>
        <v>SPI II</v>
      </c>
      <c r="H593" t="s">
        <v>19</v>
      </c>
      <c r="I593" t="s">
        <v>20</v>
      </c>
      <c r="J593" t="s">
        <v>64</v>
      </c>
      <c r="K593" s="6">
        <v>0.03</v>
      </c>
      <c r="L593" s="7">
        <f t="shared" si="19"/>
        <v>2E-3</v>
      </c>
      <c r="M593" s="7">
        <v>3.0000000000000001E-3</v>
      </c>
      <c r="N593">
        <v>9</v>
      </c>
      <c r="O593" s="8">
        <v>17.934556092922943</v>
      </c>
      <c r="P593" s="9">
        <v>17.934556092922943</v>
      </c>
      <c r="Q593" s="9">
        <v>17.934556092922943</v>
      </c>
      <c r="R593" s="9">
        <v>18.35577997371016</v>
      </c>
      <c r="S593" s="9">
        <v>18.404835306435746</v>
      </c>
      <c r="T593" s="9">
        <v>19.112621008962602</v>
      </c>
      <c r="U593" s="9">
        <v>20.35176903227914</v>
      </c>
      <c r="V593" s="9">
        <v>20.35176903227914</v>
      </c>
      <c r="W593" s="9">
        <v>20.35176903227914</v>
      </c>
      <c r="X593" s="9">
        <v>19.91589544268896</v>
      </c>
      <c r="Y593" s="9">
        <v>19.91589544268896</v>
      </c>
      <c r="Z593" s="9">
        <v>21.609947773831163</v>
      </c>
      <c r="AA593" s="9">
        <v>21.609947773831163</v>
      </c>
      <c r="AB593" s="9">
        <v>23.372671736151272</v>
      </c>
      <c r="AC593" s="9">
        <v>23.372671736151272</v>
      </c>
      <c r="AD593" s="9">
        <v>26.430826810726163</v>
      </c>
      <c r="AE593" s="9">
        <v>27.959768706413232</v>
      </c>
      <c r="AF593" s="9">
        <v>29.772701744670762</v>
      </c>
      <c r="AG593" s="9">
        <v>29.772701744670762</v>
      </c>
      <c r="AH593" s="9">
        <v>32.589351949315954</v>
      </c>
      <c r="AI593" s="9">
        <v>34.825222308406182</v>
      </c>
      <c r="AJ593" s="9">
        <v>3.0428788910505911</v>
      </c>
    </row>
    <row r="594" spans="1:36" x14ac:dyDescent="0.25">
      <c r="A594" t="s">
        <v>5411</v>
      </c>
      <c r="B594" t="s">
        <v>16</v>
      </c>
      <c r="C594" t="s">
        <v>17</v>
      </c>
      <c r="D594">
        <v>18190000</v>
      </c>
      <c r="E594">
        <v>18194999</v>
      </c>
      <c r="F594" t="s">
        <v>535</v>
      </c>
      <c r="G594" t="str">
        <f t="shared" si="18"/>
        <v>SPI</v>
      </c>
      <c r="H594" t="s">
        <v>19</v>
      </c>
      <c r="I594" t="s">
        <v>20</v>
      </c>
      <c r="J594" t="s">
        <v>62</v>
      </c>
      <c r="K594" s="6">
        <v>0.03</v>
      </c>
      <c r="L594" s="7">
        <f t="shared" si="19"/>
        <v>2E-3</v>
      </c>
      <c r="M594" s="7">
        <v>3.0000000000000001E-3</v>
      </c>
      <c r="N594">
        <v>8</v>
      </c>
      <c r="O594" s="8">
        <v>14.260089507934383</v>
      </c>
      <c r="P594" s="9">
        <v>14.260089507934383</v>
      </c>
      <c r="Q594" s="9">
        <v>14.260089507934383</v>
      </c>
      <c r="R594" s="9">
        <v>14.434686024139818</v>
      </c>
      <c r="S594" s="9">
        <v>14.722027102535575</v>
      </c>
      <c r="T594" s="9">
        <v>15.677715915555218</v>
      </c>
      <c r="U594" s="9">
        <v>17.010379604817192</v>
      </c>
      <c r="V594" s="9">
        <v>17.010379604817192</v>
      </c>
      <c r="W594" s="9">
        <v>17.010379604817192</v>
      </c>
      <c r="X594" s="9">
        <v>16.884570568466835</v>
      </c>
      <c r="Y594" s="9">
        <v>16.884570568466835</v>
      </c>
      <c r="Z594" s="9">
        <v>18.617757359760585</v>
      </c>
      <c r="AA594" s="9">
        <v>18.617757359760585</v>
      </c>
      <c r="AB594" s="9">
        <v>20.52292271594289</v>
      </c>
      <c r="AC594" s="9">
        <v>20.52292271594289</v>
      </c>
      <c r="AD594" s="9">
        <v>22.530627040176761</v>
      </c>
      <c r="AE594" s="9">
        <v>24.654059850225856</v>
      </c>
      <c r="AF594" s="9">
        <v>28.622962393602329</v>
      </c>
      <c r="AG594" s="9">
        <v>28.622962393602329</v>
      </c>
      <c r="AH594" s="9">
        <v>31.011605245024167</v>
      </c>
      <c r="AI594" s="9">
        <v>33.330799286496742</v>
      </c>
      <c r="AJ594" s="9">
        <v>3.0428788910505911</v>
      </c>
    </row>
    <row r="595" spans="1:36" x14ac:dyDescent="0.25">
      <c r="A595" t="s">
        <v>5411</v>
      </c>
      <c r="B595" t="s">
        <v>16</v>
      </c>
      <c r="C595" t="s">
        <v>17</v>
      </c>
      <c r="D595">
        <v>18195000</v>
      </c>
      <c r="E595">
        <v>18199999</v>
      </c>
      <c r="F595" t="s">
        <v>536</v>
      </c>
      <c r="G595" t="str">
        <f t="shared" si="18"/>
        <v>SPI</v>
      </c>
      <c r="H595" t="s">
        <v>19</v>
      </c>
      <c r="I595" t="s">
        <v>20</v>
      </c>
      <c r="J595" t="s">
        <v>62</v>
      </c>
      <c r="K595" s="6">
        <v>0.03</v>
      </c>
      <c r="L595" s="7">
        <f t="shared" si="19"/>
        <v>2E-3</v>
      </c>
      <c r="M595" s="7">
        <v>3.0000000000000001E-3</v>
      </c>
      <c r="N595">
        <v>8</v>
      </c>
      <c r="O595" s="8">
        <v>14.260089507934383</v>
      </c>
      <c r="P595" s="9">
        <v>14.260089507934383</v>
      </c>
      <c r="Q595" s="9">
        <v>14.260089507934383</v>
      </c>
      <c r="R595" s="9">
        <v>14.434686024139818</v>
      </c>
      <c r="S595" s="9">
        <v>14.722027102535575</v>
      </c>
      <c r="T595" s="9">
        <v>15.677715915555218</v>
      </c>
      <c r="U595" s="9">
        <v>17.010379604817192</v>
      </c>
      <c r="V595" s="9">
        <v>17.010379604817192</v>
      </c>
      <c r="W595" s="9">
        <v>17.010379604817192</v>
      </c>
      <c r="X595" s="9">
        <v>16.884570568466835</v>
      </c>
      <c r="Y595" s="9">
        <v>16.884570568466835</v>
      </c>
      <c r="Z595" s="9">
        <v>18.617757359760585</v>
      </c>
      <c r="AA595" s="9">
        <v>18.617757359760585</v>
      </c>
      <c r="AB595" s="9">
        <v>20.52292271594289</v>
      </c>
      <c r="AC595" s="9">
        <v>20.52292271594289</v>
      </c>
      <c r="AD595" s="9">
        <v>22.530627040176761</v>
      </c>
      <c r="AE595" s="9">
        <v>24.654059850225856</v>
      </c>
      <c r="AF595" s="9">
        <v>28.622962393602329</v>
      </c>
      <c r="AG595" s="9">
        <v>28.622962393602329</v>
      </c>
      <c r="AH595" s="9">
        <v>31.011605245024167</v>
      </c>
      <c r="AI595" s="9">
        <v>33.330799286496742</v>
      </c>
      <c r="AJ595" s="9">
        <v>3.0428788910505911</v>
      </c>
    </row>
    <row r="596" spans="1:36" x14ac:dyDescent="0.25">
      <c r="A596" t="s">
        <v>5411</v>
      </c>
      <c r="B596" t="s">
        <v>16</v>
      </c>
      <c r="C596" t="s">
        <v>17</v>
      </c>
      <c r="D596">
        <v>18200000</v>
      </c>
      <c r="E596">
        <v>18219999</v>
      </c>
      <c r="F596" t="s">
        <v>537</v>
      </c>
      <c r="G596" t="str">
        <f t="shared" si="18"/>
        <v>SPI II</v>
      </c>
      <c r="H596" t="s">
        <v>19</v>
      </c>
      <c r="I596" t="s">
        <v>20</v>
      </c>
      <c r="J596" t="s">
        <v>64</v>
      </c>
      <c r="K596" s="6">
        <v>0.03</v>
      </c>
      <c r="L596" s="7">
        <f t="shared" si="19"/>
        <v>2E-3</v>
      </c>
      <c r="M596" s="7">
        <v>3.0000000000000001E-3</v>
      </c>
      <c r="N596">
        <v>6</v>
      </c>
      <c r="O596" s="8">
        <v>17.934556092922943</v>
      </c>
      <c r="P596" s="9">
        <v>17.934556092922943</v>
      </c>
      <c r="Q596" s="9">
        <v>17.934556092922943</v>
      </c>
      <c r="R596" s="9">
        <v>18.35577997371016</v>
      </c>
      <c r="S596" s="9">
        <v>18.404835306435746</v>
      </c>
      <c r="T596" s="9">
        <v>19.112621008962602</v>
      </c>
      <c r="U596" s="9">
        <v>20.35176903227914</v>
      </c>
      <c r="V596" s="9">
        <v>20.35176903227914</v>
      </c>
      <c r="W596" s="9">
        <v>20.35176903227914</v>
      </c>
      <c r="X596" s="9">
        <v>19.91589544268896</v>
      </c>
      <c r="Y596" s="9">
        <v>19.91589544268896</v>
      </c>
      <c r="Z596" s="9">
        <v>21.609947773831163</v>
      </c>
      <c r="AA596" s="9">
        <v>21.609947773831163</v>
      </c>
      <c r="AB596" s="9">
        <v>23.372671736151272</v>
      </c>
      <c r="AC596" s="9">
        <v>23.372671736151272</v>
      </c>
      <c r="AD596" s="9">
        <v>26.430826810726163</v>
      </c>
      <c r="AE596" s="9">
        <v>27.959768706413232</v>
      </c>
      <c r="AF596" s="9">
        <v>29.772701744670762</v>
      </c>
      <c r="AG596" s="9">
        <v>29.772701744670762</v>
      </c>
      <c r="AH596" s="9">
        <v>32.589351949315954</v>
      </c>
      <c r="AI596" s="9">
        <v>34.825222308406182</v>
      </c>
      <c r="AJ596" s="9">
        <v>3.0428788910505911</v>
      </c>
    </row>
    <row r="597" spans="1:36" x14ac:dyDescent="0.25">
      <c r="A597" t="s">
        <v>5411</v>
      </c>
      <c r="B597" t="s">
        <v>16</v>
      </c>
      <c r="C597" t="s">
        <v>17</v>
      </c>
      <c r="D597">
        <v>18220000</v>
      </c>
      <c r="E597">
        <v>18224999</v>
      </c>
      <c r="F597" t="s">
        <v>538</v>
      </c>
      <c r="G597" t="str">
        <f t="shared" si="18"/>
        <v>SPI II</v>
      </c>
      <c r="H597" t="s">
        <v>19</v>
      </c>
      <c r="I597" t="s">
        <v>20</v>
      </c>
      <c r="J597" t="s">
        <v>64</v>
      </c>
      <c r="K597" s="6">
        <v>0.03</v>
      </c>
      <c r="L597" s="7">
        <f t="shared" si="19"/>
        <v>2E-3</v>
      </c>
      <c r="M597" s="7">
        <v>3.0000000000000001E-3</v>
      </c>
      <c r="N597">
        <v>8</v>
      </c>
      <c r="O597" s="8">
        <v>17.934556092922943</v>
      </c>
      <c r="P597" s="9">
        <v>17.934556092922943</v>
      </c>
      <c r="Q597" s="9">
        <v>17.934556092922943</v>
      </c>
      <c r="R597" s="9">
        <v>18.35577997371016</v>
      </c>
      <c r="S597" s="9">
        <v>18.404835306435746</v>
      </c>
      <c r="T597" s="9">
        <v>19.112621008962602</v>
      </c>
      <c r="U597" s="9">
        <v>20.35176903227914</v>
      </c>
      <c r="V597" s="9">
        <v>20.35176903227914</v>
      </c>
      <c r="W597" s="9">
        <v>20.35176903227914</v>
      </c>
      <c r="X597" s="9">
        <v>19.91589544268896</v>
      </c>
      <c r="Y597" s="9">
        <v>19.91589544268896</v>
      </c>
      <c r="Z597" s="9">
        <v>21.609947773831163</v>
      </c>
      <c r="AA597" s="9">
        <v>21.609947773831163</v>
      </c>
      <c r="AB597" s="9">
        <v>23.372671736151272</v>
      </c>
      <c r="AC597" s="9">
        <v>23.372671736151272</v>
      </c>
      <c r="AD597" s="9">
        <v>26.430826810726163</v>
      </c>
      <c r="AE597" s="9">
        <v>27.959768706413232</v>
      </c>
      <c r="AF597" s="9">
        <v>29.772701744670762</v>
      </c>
      <c r="AG597" s="9">
        <v>29.772701744670762</v>
      </c>
      <c r="AH597" s="9">
        <v>32.589351949315954</v>
      </c>
      <c r="AI597" s="9">
        <v>34.825222308406182</v>
      </c>
      <c r="AJ597" s="9">
        <v>3.0428788910505911</v>
      </c>
    </row>
    <row r="598" spans="1:36" x14ac:dyDescent="0.25">
      <c r="A598" t="s">
        <v>5411</v>
      </c>
      <c r="B598" t="s">
        <v>16</v>
      </c>
      <c r="C598" t="s">
        <v>17</v>
      </c>
      <c r="D598">
        <v>18225000</v>
      </c>
      <c r="E598">
        <v>18229999</v>
      </c>
      <c r="F598" t="s">
        <v>539</v>
      </c>
      <c r="G598" t="str">
        <f t="shared" si="18"/>
        <v>SPI II</v>
      </c>
      <c r="H598" t="s">
        <v>19</v>
      </c>
      <c r="I598" t="s">
        <v>20</v>
      </c>
      <c r="J598" t="s">
        <v>64</v>
      </c>
      <c r="K598" s="6">
        <v>0.03</v>
      </c>
      <c r="L598" s="7">
        <f t="shared" si="19"/>
        <v>2E-3</v>
      </c>
      <c r="M598" s="7">
        <v>3.0000000000000001E-3</v>
      </c>
      <c r="N598">
        <v>9</v>
      </c>
      <c r="O598" s="8">
        <v>17.934556092922943</v>
      </c>
      <c r="P598" s="9">
        <v>17.934556092922943</v>
      </c>
      <c r="Q598" s="9">
        <v>17.934556092922943</v>
      </c>
      <c r="R598" s="9">
        <v>18.35577997371016</v>
      </c>
      <c r="S598" s="9">
        <v>18.404835306435746</v>
      </c>
      <c r="T598" s="9">
        <v>19.112621008962602</v>
      </c>
      <c r="U598" s="9">
        <v>20.35176903227914</v>
      </c>
      <c r="V598" s="9">
        <v>20.35176903227914</v>
      </c>
      <c r="W598" s="9">
        <v>20.35176903227914</v>
      </c>
      <c r="X598" s="9">
        <v>19.91589544268896</v>
      </c>
      <c r="Y598" s="9">
        <v>19.91589544268896</v>
      </c>
      <c r="Z598" s="9">
        <v>21.609947773831163</v>
      </c>
      <c r="AA598" s="9">
        <v>21.609947773831163</v>
      </c>
      <c r="AB598" s="9">
        <v>23.372671736151272</v>
      </c>
      <c r="AC598" s="9">
        <v>23.372671736151272</v>
      </c>
      <c r="AD598" s="9">
        <v>26.430826810726163</v>
      </c>
      <c r="AE598" s="9">
        <v>27.959768706413232</v>
      </c>
      <c r="AF598" s="9">
        <v>29.772701744670762</v>
      </c>
      <c r="AG598" s="9">
        <v>29.772701744670762</v>
      </c>
      <c r="AH598" s="9">
        <v>32.589351949315954</v>
      </c>
      <c r="AI598" s="9">
        <v>34.825222308406182</v>
      </c>
      <c r="AJ598" s="9">
        <v>3.0428788910505911</v>
      </c>
    </row>
    <row r="599" spans="1:36" x14ac:dyDescent="0.25">
      <c r="A599" t="s">
        <v>5411</v>
      </c>
      <c r="B599" t="s">
        <v>16</v>
      </c>
      <c r="C599" t="s">
        <v>17</v>
      </c>
      <c r="D599">
        <v>18230000</v>
      </c>
      <c r="E599">
        <v>18239999</v>
      </c>
      <c r="F599" t="s">
        <v>540</v>
      </c>
      <c r="G599" t="str">
        <f t="shared" si="18"/>
        <v>SPI II</v>
      </c>
      <c r="H599" t="s">
        <v>19</v>
      </c>
      <c r="I599" t="s">
        <v>20</v>
      </c>
      <c r="J599" t="s">
        <v>64</v>
      </c>
      <c r="K599" s="6">
        <v>0.03</v>
      </c>
      <c r="L599" s="7">
        <f t="shared" si="19"/>
        <v>2E-3</v>
      </c>
      <c r="M599" s="7">
        <v>3.0000000000000001E-3</v>
      </c>
      <c r="N599">
        <v>9</v>
      </c>
      <c r="O599" s="8">
        <v>17.934556092922943</v>
      </c>
      <c r="P599" s="9">
        <v>17.934556092922943</v>
      </c>
      <c r="Q599" s="9">
        <v>17.934556092922943</v>
      </c>
      <c r="R599" s="9">
        <v>18.35577997371016</v>
      </c>
      <c r="S599" s="9">
        <v>18.404835306435746</v>
      </c>
      <c r="T599" s="9">
        <v>19.112621008962602</v>
      </c>
      <c r="U599" s="9">
        <v>20.35176903227914</v>
      </c>
      <c r="V599" s="9">
        <v>20.35176903227914</v>
      </c>
      <c r="W599" s="9">
        <v>20.35176903227914</v>
      </c>
      <c r="X599" s="9">
        <v>19.91589544268896</v>
      </c>
      <c r="Y599" s="9">
        <v>19.91589544268896</v>
      </c>
      <c r="Z599" s="9">
        <v>21.609947773831163</v>
      </c>
      <c r="AA599" s="9">
        <v>21.609947773831163</v>
      </c>
      <c r="AB599" s="9">
        <v>23.372671736151272</v>
      </c>
      <c r="AC599" s="9">
        <v>23.372671736151272</v>
      </c>
      <c r="AD599" s="9">
        <v>26.430826810726163</v>
      </c>
      <c r="AE599" s="9">
        <v>27.959768706413232</v>
      </c>
      <c r="AF599" s="9">
        <v>29.772701744670762</v>
      </c>
      <c r="AG599" s="9">
        <v>29.772701744670762</v>
      </c>
      <c r="AH599" s="9">
        <v>32.589351949315954</v>
      </c>
      <c r="AI599" s="9">
        <v>34.825222308406182</v>
      </c>
      <c r="AJ599" s="9">
        <v>3.0428788910505911</v>
      </c>
    </row>
    <row r="600" spans="1:36" x14ac:dyDescent="0.25">
      <c r="A600" t="s">
        <v>5411</v>
      </c>
      <c r="B600" t="s">
        <v>16</v>
      </c>
      <c r="C600" t="s">
        <v>17</v>
      </c>
      <c r="D600">
        <v>18240000</v>
      </c>
      <c r="E600">
        <v>18244999</v>
      </c>
      <c r="F600" t="s">
        <v>541</v>
      </c>
      <c r="G600" t="str">
        <f t="shared" si="18"/>
        <v>SPI II</v>
      </c>
      <c r="H600" t="s">
        <v>19</v>
      </c>
      <c r="I600" t="s">
        <v>20</v>
      </c>
      <c r="J600" t="s">
        <v>64</v>
      </c>
      <c r="K600" s="6">
        <v>0.03</v>
      </c>
      <c r="L600" s="7">
        <f t="shared" si="19"/>
        <v>2E-3</v>
      </c>
      <c r="M600" s="7">
        <v>3.0000000000000001E-3</v>
      </c>
      <c r="N600">
        <v>9</v>
      </c>
      <c r="O600" s="8">
        <v>17.934556092922943</v>
      </c>
      <c r="P600" s="9">
        <v>17.934556092922943</v>
      </c>
      <c r="Q600" s="9">
        <v>17.934556092922943</v>
      </c>
      <c r="R600" s="9">
        <v>18.35577997371016</v>
      </c>
      <c r="S600" s="9">
        <v>18.404835306435746</v>
      </c>
      <c r="T600" s="9">
        <v>19.112621008962602</v>
      </c>
      <c r="U600" s="9">
        <v>20.35176903227914</v>
      </c>
      <c r="V600" s="9">
        <v>20.35176903227914</v>
      </c>
      <c r="W600" s="9">
        <v>20.35176903227914</v>
      </c>
      <c r="X600" s="9">
        <v>19.91589544268896</v>
      </c>
      <c r="Y600" s="9">
        <v>19.91589544268896</v>
      </c>
      <c r="Z600" s="9">
        <v>21.609947773831163</v>
      </c>
      <c r="AA600" s="9">
        <v>21.609947773831163</v>
      </c>
      <c r="AB600" s="9">
        <v>23.372671736151272</v>
      </c>
      <c r="AC600" s="9">
        <v>23.372671736151272</v>
      </c>
      <c r="AD600" s="9">
        <v>26.430826810726163</v>
      </c>
      <c r="AE600" s="9">
        <v>27.959768706413232</v>
      </c>
      <c r="AF600" s="9">
        <v>29.772701744670762</v>
      </c>
      <c r="AG600" s="9">
        <v>29.772701744670762</v>
      </c>
      <c r="AH600" s="9">
        <v>32.589351949315954</v>
      </c>
      <c r="AI600" s="9">
        <v>34.825222308406182</v>
      </c>
      <c r="AJ600" s="9">
        <v>3.0428788910505911</v>
      </c>
    </row>
    <row r="601" spans="1:36" x14ac:dyDescent="0.25">
      <c r="A601" t="s">
        <v>5411</v>
      </c>
      <c r="B601" t="s">
        <v>16</v>
      </c>
      <c r="C601" t="s">
        <v>17</v>
      </c>
      <c r="D601">
        <v>18245000</v>
      </c>
      <c r="E601">
        <v>18249999</v>
      </c>
      <c r="F601" t="s">
        <v>542</v>
      </c>
      <c r="G601" t="str">
        <f t="shared" si="18"/>
        <v>SPI II</v>
      </c>
      <c r="H601" t="s">
        <v>19</v>
      </c>
      <c r="I601" t="s">
        <v>20</v>
      </c>
      <c r="J601" t="s">
        <v>64</v>
      </c>
      <c r="K601" s="6">
        <v>0.03</v>
      </c>
      <c r="L601" s="7">
        <f t="shared" si="19"/>
        <v>2E-3</v>
      </c>
      <c r="M601" s="7">
        <v>3.0000000000000001E-3</v>
      </c>
      <c r="N601">
        <v>8</v>
      </c>
      <c r="O601" s="8">
        <v>17.934556092922943</v>
      </c>
      <c r="P601" s="9">
        <v>17.934556092922943</v>
      </c>
      <c r="Q601" s="9">
        <v>17.934556092922943</v>
      </c>
      <c r="R601" s="9">
        <v>18.35577997371016</v>
      </c>
      <c r="S601" s="9">
        <v>18.404835306435746</v>
      </c>
      <c r="T601" s="9">
        <v>19.112621008962602</v>
      </c>
      <c r="U601" s="9">
        <v>20.35176903227914</v>
      </c>
      <c r="V601" s="9">
        <v>20.35176903227914</v>
      </c>
      <c r="W601" s="9">
        <v>20.35176903227914</v>
      </c>
      <c r="X601" s="9">
        <v>19.91589544268896</v>
      </c>
      <c r="Y601" s="9">
        <v>19.91589544268896</v>
      </c>
      <c r="Z601" s="9">
        <v>21.609947773831163</v>
      </c>
      <c r="AA601" s="9">
        <v>21.609947773831163</v>
      </c>
      <c r="AB601" s="9">
        <v>23.372671736151272</v>
      </c>
      <c r="AC601" s="9">
        <v>23.372671736151272</v>
      </c>
      <c r="AD601" s="9">
        <v>26.430826810726163</v>
      </c>
      <c r="AE601" s="9">
        <v>27.959768706413232</v>
      </c>
      <c r="AF601" s="9">
        <v>29.772701744670762</v>
      </c>
      <c r="AG601" s="9">
        <v>29.772701744670762</v>
      </c>
      <c r="AH601" s="9">
        <v>32.589351949315954</v>
      </c>
      <c r="AI601" s="9">
        <v>34.825222308406182</v>
      </c>
      <c r="AJ601" s="9">
        <v>3.0428788910505911</v>
      </c>
    </row>
    <row r="602" spans="1:36" x14ac:dyDescent="0.25">
      <c r="A602" t="s">
        <v>5411</v>
      </c>
      <c r="B602" t="s">
        <v>16</v>
      </c>
      <c r="C602" t="s">
        <v>17</v>
      </c>
      <c r="D602">
        <v>18250000</v>
      </c>
      <c r="E602">
        <v>18254999</v>
      </c>
      <c r="F602" t="s">
        <v>543</v>
      </c>
      <c r="G602" t="str">
        <f t="shared" si="18"/>
        <v>SPI II</v>
      </c>
      <c r="H602" t="s">
        <v>19</v>
      </c>
      <c r="I602" t="s">
        <v>20</v>
      </c>
      <c r="J602" t="s">
        <v>64</v>
      </c>
      <c r="K602" s="6">
        <v>0.03</v>
      </c>
      <c r="L602" s="7">
        <f t="shared" si="19"/>
        <v>2E-3</v>
      </c>
      <c r="M602" s="7">
        <v>3.0000000000000001E-3</v>
      </c>
      <c r="N602">
        <v>9</v>
      </c>
      <c r="O602" s="8">
        <v>17.934556092922943</v>
      </c>
      <c r="P602" s="9">
        <v>17.934556092922943</v>
      </c>
      <c r="Q602" s="9">
        <v>17.934556092922943</v>
      </c>
      <c r="R602" s="9">
        <v>18.35577997371016</v>
      </c>
      <c r="S602" s="9">
        <v>18.404835306435746</v>
      </c>
      <c r="T602" s="9">
        <v>19.112621008962602</v>
      </c>
      <c r="U602" s="9">
        <v>20.35176903227914</v>
      </c>
      <c r="V602" s="9">
        <v>20.35176903227914</v>
      </c>
      <c r="W602" s="9">
        <v>20.35176903227914</v>
      </c>
      <c r="X602" s="9">
        <v>19.91589544268896</v>
      </c>
      <c r="Y602" s="9">
        <v>19.91589544268896</v>
      </c>
      <c r="Z602" s="9">
        <v>21.609947773831163</v>
      </c>
      <c r="AA602" s="9">
        <v>21.609947773831163</v>
      </c>
      <c r="AB602" s="9">
        <v>23.372671736151272</v>
      </c>
      <c r="AC602" s="9">
        <v>23.372671736151272</v>
      </c>
      <c r="AD602" s="9">
        <v>26.430826810726163</v>
      </c>
      <c r="AE602" s="9">
        <v>27.959768706413232</v>
      </c>
      <c r="AF602" s="9">
        <v>29.772701744670762</v>
      </c>
      <c r="AG602" s="9">
        <v>29.772701744670762</v>
      </c>
      <c r="AH602" s="9">
        <v>32.589351949315954</v>
      </c>
      <c r="AI602" s="9">
        <v>34.825222308406182</v>
      </c>
      <c r="AJ602" s="9">
        <v>3.0428788910505911</v>
      </c>
    </row>
    <row r="603" spans="1:36" x14ac:dyDescent="0.25">
      <c r="A603" t="s">
        <v>5411</v>
      </c>
      <c r="B603" t="s">
        <v>16</v>
      </c>
      <c r="C603" t="s">
        <v>17</v>
      </c>
      <c r="D603">
        <v>18255000</v>
      </c>
      <c r="E603">
        <v>18259999</v>
      </c>
      <c r="F603" t="s">
        <v>544</v>
      </c>
      <c r="G603" t="str">
        <f t="shared" si="18"/>
        <v>SPI II</v>
      </c>
      <c r="H603" t="s">
        <v>19</v>
      </c>
      <c r="I603" t="s">
        <v>20</v>
      </c>
      <c r="J603" t="s">
        <v>64</v>
      </c>
      <c r="K603" s="6">
        <v>0.03</v>
      </c>
      <c r="L603" s="7">
        <f t="shared" si="19"/>
        <v>2E-3</v>
      </c>
      <c r="M603" s="7">
        <v>3.0000000000000001E-3</v>
      </c>
      <c r="N603">
        <v>7</v>
      </c>
      <c r="O603" s="8">
        <v>17.934556092922943</v>
      </c>
      <c r="P603" s="9">
        <v>17.934556092922943</v>
      </c>
      <c r="Q603" s="9">
        <v>17.934556092922943</v>
      </c>
      <c r="R603" s="9">
        <v>18.35577997371016</v>
      </c>
      <c r="S603" s="9">
        <v>18.404835306435746</v>
      </c>
      <c r="T603" s="9">
        <v>19.112621008962602</v>
      </c>
      <c r="U603" s="9">
        <v>20.35176903227914</v>
      </c>
      <c r="V603" s="9">
        <v>20.35176903227914</v>
      </c>
      <c r="W603" s="9">
        <v>20.35176903227914</v>
      </c>
      <c r="X603" s="9">
        <v>19.91589544268896</v>
      </c>
      <c r="Y603" s="9">
        <v>19.91589544268896</v>
      </c>
      <c r="Z603" s="9">
        <v>21.609947773831163</v>
      </c>
      <c r="AA603" s="9">
        <v>21.609947773831163</v>
      </c>
      <c r="AB603" s="9">
        <v>23.372671736151272</v>
      </c>
      <c r="AC603" s="9">
        <v>23.372671736151272</v>
      </c>
      <c r="AD603" s="9">
        <v>26.430826810726163</v>
      </c>
      <c r="AE603" s="9">
        <v>27.959768706413232</v>
      </c>
      <c r="AF603" s="9">
        <v>29.772701744670762</v>
      </c>
      <c r="AG603" s="9">
        <v>29.772701744670762</v>
      </c>
      <c r="AH603" s="9">
        <v>32.589351949315954</v>
      </c>
      <c r="AI603" s="9">
        <v>34.825222308406182</v>
      </c>
      <c r="AJ603" s="9">
        <v>3.0428788910505911</v>
      </c>
    </row>
    <row r="604" spans="1:36" x14ac:dyDescent="0.25">
      <c r="A604" t="s">
        <v>5411</v>
      </c>
      <c r="B604" t="s">
        <v>16</v>
      </c>
      <c r="C604" t="s">
        <v>17</v>
      </c>
      <c r="D604">
        <v>18260000</v>
      </c>
      <c r="E604">
        <v>18264999</v>
      </c>
      <c r="F604" t="s">
        <v>545</v>
      </c>
      <c r="G604" t="str">
        <f t="shared" si="18"/>
        <v>SPI II</v>
      </c>
      <c r="H604" t="s">
        <v>19</v>
      </c>
      <c r="I604" t="s">
        <v>20</v>
      </c>
      <c r="J604" t="s">
        <v>64</v>
      </c>
      <c r="K604" s="6">
        <v>0.03</v>
      </c>
      <c r="L604" s="7">
        <f t="shared" si="19"/>
        <v>2E-3</v>
      </c>
      <c r="M604" s="7">
        <v>3.0000000000000001E-3</v>
      </c>
      <c r="N604">
        <v>9</v>
      </c>
      <c r="O604" s="8">
        <v>17.934556092922943</v>
      </c>
      <c r="P604" s="9">
        <v>17.934556092922943</v>
      </c>
      <c r="Q604" s="9">
        <v>17.934556092922943</v>
      </c>
      <c r="R604" s="9">
        <v>18.35577997371016</v>
      </c>
      <c r="S604" s="9">
        <v>18.404835306435746</v>
      </c>
      <c r="T604" s="9">
        <v>19.112621008962602</v>
      </c>
      <c r="U604" s="9">
        <v>20.35176903227914</v>
      </c>
      <c r="V604" s="9">
        <v>20.35176903227914</v>
      </c>
      <c r="W604" s="9">
        <v>20.35176903227914</v>
      </c>
      <c r="X604" s="9">
        <v>19.91589544268896</v>
      </c>
      <c r="Y604" s="9">
        <v>19.91589544268896</v>
      </c>
      <c r="Z604" s="9">
        <v>21.609947773831163</v>
      </c>
      <c r="AA604" s="9">
        <v>21.609947773831163</v>
      </c>
      <c r="AB604" s="9">
        <v>23.372671736151272</v>
      </c>
      <c r="AC604" s="9">
        <v>23.372671736151272</v>
      </c>
      <c r="AD604" s="9">
        <v>26.430826810726163</v>
      </c>
      <c r="AE604" s="9">
        <v>27.959768706413232</v>
      </c>
      <c r="AF604" s="9">
        <v>29.772701744670762</v>
      </c>
      <c r="AG604" s="9">
        <v>29.772701744670762</v>
      </c>
      <c r="AH604" s="9">
        <v>32.589351949315954</v>
      </c>
      <c r="AI604" s="9">
        <v>34.825222308406182</v>
      </c>
      <c r="AJ604" s="9">
        <v>3.0428788910505911</v>
      </c>
    </row>
    <row r="605" spans="1:36" x14ac:dyDescent="0.25">
      <c r="A605" t="s">
        <v>5411</v>
      </c>
      <c r="B605" t="s">
        <v>16</v>
      </c>
      <c r="C605" t="s">
        <v>17</v>
      </c>
      <c r="D605">
        <v>18265000</v>
      </c>
      <c r="E605">
        <v>18269999</v>
      </c>
      <c r="F605" t="s">
        <v>546</v>
      </c>
      <c r="G605" t="str">
        <f t="shared" si="18"/>
        <v>SPI II</v>
      </c>
      <c r="H605" t="s">
        <v>19</v>
      </c>
      <c r="I605" t="s">
        <v>20</v>
      </c>
      <c r="J605" t="s">
        <v>64</v>
      </c>
      <c r="K605" s="6">
        <v>0.03</v>
      </c>
      <c r="L605" s="7">
        <f t="shared" si="19"/>
        <v>2E-3</v>
      </c>
      <c r="M605" s="7">
        <v>3.0000000000000001E-3</v>
      </c>
      <c r="N605">
        <v>8</v>
      </c>
      <c r="O605" s="8">
        <v>17.934556092922943</v>
      </c>
      <c r="P605" s="9">
        <v>17.934556092922943</v>
      </c>
      <c r="Q605" s="9">
        <v>17.934556092922943</v>
      </c>
      <c r="R605" s="9">
        <v>18.35577997371016</v>
      </c>
      <c r="S605" s="9">
        <v>18.404835306435746</v>
      </c>
      <c r="T605" s="9">
        <v>19.112621008962602</v>
      </c>
      <c r="U605" s="9">
        <v>20.35176903227914</v>
      </c>
      <c r="V605" s="9">
        <v>20.35176903227914</v>
      </c>
      <c r="W605" s="9">
        <v>20.35176903227914</v>
      </c>
      <c r="X605" s="9">
        <v>19.91589544268896</v>
      </c>
      <c r="Y605" s="9">
        <v>19.91589544268896</v>
      </c>
      <c r="Z605" s="9">
        <v>21.609947773831163</v>
      </c>
      <c r="AA605" s="9">
        <v>21.609947773831163</v>
      </c>
      <c r="AB605" s="9">
        <v>23.372671736151272</v>
      </c>
      <c r="AC605" s="9">
        <v>23.372671736151272</v>
      </c>
      <c r="AD605" s="9">
        <v>26.430826810726163</v>
      </c>
      <c r="AE605" s="9">
        <v>27.959768706413232</v>
      </c>
      <c r="AF605" s="9">
        <v>29.772701744670762</v>
      </c>
      <c r="AG605" s="9">
        <v>29.772701744670762</v>
      </c>
      <c r="AH605" s="9">
        <v>32.589351949315954</v>
      </c>
      <c r="AI605" s="9">
        <v>34.825222308406182</v>
      </c>
      <c r="AJ605" s="9">
        <v>3.0428788910505911</v>
      </c>
    </row>
    <row r="606" spans="1:36" x14ac:dyDescent="0.25">
      <c r="A606" t="s">
        <v>5411</v>
      </c>
      <c r="B606" t="s">
        <v>16</v>
      </c>
      <c r="C606" t="s">
        <v>17</v>
      </c>
      <c r="D606">
        <v>18270000</v>
      </c>
      <c r="E606">
        <v>18284999</v>
      </c>
      <c r="F606" t="s">
        <v>547</v>
      </c>
      <c r="G606" t="str">
        <f t="shared" si="18"/>
        <v>SPI II</v>
      </c>
      <c r="H606" t="s">
        <v>19</v>
      </c>
      <c r="I606" t="s">
        <v>20</v>
      </c>
      <c r="J606" t="s">
        <v>64</v>
      </c>
      <c r="K606" s="6">
        <v>0.03</v>
      </c>
      <c r="L606" s="7">
        <f t="shared" si="19"/>
        <v>2E-3</v>
      </c>
      <c r="M606" s="7">
        <v>3.0000000000000001E-3</v>
      </c>
      <c r="N606">
        <v>7</v>
      </c>
      <c r="O606" s="8">
        <v>17.934556092922943</v>
      </c>
      <c r="P606" s="9">
        <v>17.934556092922943</v>
      </c>
      <c r="Q606" s="9">
        <v>17.934556092922943</v>
      </c>
      <c r="R606" s="9">
        <v>18.35577997371016</v>
      </c>
      <c r="S606" s="9">
        <v>18.404835306435746</v>
      </c>
      <c r="T606" s="9">
        <v>19.112621008962602</v>
      </c>
      <c r="U606" s="9">
        <v>20.35176903227914</v>
      </c>
      <c r="V606" s="9">
        <v>20.35176903227914</v>
      </c>
      <c r="W606" s="9">
        <v>20.35176903227914</v>
      </c>
      <c r="X606" s="9">
        <v>19.91589544268896</v>
      </c>
      <c r="Y606" s="9">
        <v>19.91589544268896</v>
      </c>
      <c r="Z606" s="9">
        <v>21.609947773831163</v>
      </c>
      <c r="AA606" s="9">
        <v>21.609947773831163</v>
      </c>
      <c r="AB606" s="9">
        <v>23.372671736151272</v>
      </c>
      <c r="AC606" s="9">
        <v>23.372671736151272</v>
      </c>
      <c r="AD606" s="9">
        <v>26.430826810726163</v>
      </c>
      <c r="AE606" s="9">
        <v>27.959768706413232</v>
      </c>
      <c r="AF606" s="9">
        <v>29.772701744670762</v>
      </c>
      <c r="AG606" s="9">
        <v>29.772701744670762</v>
      </c>
      <c r="AH606" s="9">
        <v>32.589351949315954</v>
      </c>
      <c r="AI606" s="9">
        <v>34.825222308406182</v>
      </c>
      <c r="AJ606" s="9">
        <v>3.0428788910505911</v>
      </c>
    </row>
    <row r="607" spans="1:36" x14ac:dyDescent="0.25">
      <c r="A607" t="s">
        <v>5411</v>
      </c>
      <c r="B607" t="s">
        <v>16</v>
      </c>
      <c r="C607" t="s">
        <v>17</v>
      </c>
      <c r="D607">
        <v>18285000</v>
      </c>
      <c r="E607">
        <v>18289999</v>
      </c>
      <c r="F607" t="s">
        <v>548</v>
      </c>
      <c r="G607" t="str">
        <f t="shared" si="18"/>
        <v>SPI II</v>
      </c>
      <c r="H607" t="s">
        <v>19</v>
      </c>
      <c r="I607" t="s">
        <v>20</v>
      </c>
      <c r="J607" t="s">
        <v>64</v>
      </c>
      <c r="K607" s="6">
        <v>0.03</v>
      </c>
      <c r="L607" s="7">
        <f t="shared" si="19"/>
        <v>2E-3</v>
      </c>
      <c r="M607" s="7">
        <v>3.0000000000000001E-3</v>
      </c>
      <c r="N607">
        <v>8</v>
      </c>
      <c r="O607" s="8">
        <v>17.934556092922943</v>
      </c>
      <c r="P607" s="9">
        <v>17.934556092922943</v>
      </c>
      <c r="Q607" s="9">
        <v>17.934556092922943</v>
      </c>
      <c r="R607" s="9">
        <v>18.35577997371016</v>
      </c>
      <c r="S607" s="9">
        <v>18.404835306435746</v>
      </c>
      <c r="T607" s="9">
        <v>19.112621008962602</v>
      </c>
      <c r="U607" s="9">
        <v>20.35176903227914</v>
      </c>
      <c r="V607" s="9">
        <v>20.35176903227914</v>
      </c>
      <c r="W607" s="9">
        <v>20.35176903227914</v>
      </c>
      <c r="X607" s="9">
        <v>19.91589544268896</v>
      </c>
      <c r="Y607" s="9">
        <v>19.91589544268896</v>
      </c>
      <c r="Z607" s="9">
        <v>21.609947773831163</v>
      </c>
      <c r="AA607" s="9">
        <v>21.609947773831163</v>
      </c>
      <c r="AB607" s="9">
        <v>23.372671736151272</v>
      </c>
      <c r="AC607" s="9">
        <v>23.372671736151272</v>
      </c>
      <c r="AD607" s="9">
        <v>26.430826810726163</v>
      </c>
      <c r="AE607" s="9">
        <v>27.959768706413232</v>
      </c>
      <c r="AF607" s="9">
        <v>29.772701744670762</v>
      </c>
      <c r="AG607" s="9">
        <v>29.772701744670762</v>
      </c>
      <c r="AH607" s="9">
        <v>32.589351949315954</v>
      </c>
      <c r="AI607" s="9">
        <v>34.825222308406182</v>
      </c>
      <c r="AJ607" s="9">
        <v>3.0428788910505911</v>
      </c>
    </row>
    <row r="608" spans="1:36" x14ac:dyDescent="0.25">
      <c r="A608" t="s">
        <v>5411</v>
      </c>
      <c r="B608" t="s">
        <v>16</v>
      </c>
      <c r="C608" t="s">
        <v>17</v>
      </c>
      <c r="D608">
        <v>18290000</v>
      </c>
      <c r="E608">
        <v>18299999</v>
      </c>
      <c r="F608" t="s">
        <v>549</v>
      </c>
      <c r="G608" t="str">
        <f t="shared" si="18"/>
        <v>SPI II</v>
      </c>
      <c r="H608" t="s">
        <v>19</v>
      </c>
      <c r="I608" t="s">
        <v>20</v>
      </c>
      <c r="J608" t="s">
        <v>64</v>
      </c>
      <c r="K608" s="6">
        <v>0.03</v>
      </c>
      <c r="L608" s="7">
        <f t="shared" si="19"/>
        <v>2E-3</v>
      </c>
      <c r="M608" s="7">
        <v>3.0000000000000001E-3</v>
      </c>
      <c r="N608">
        <v>8</v>
      </c>
      <c r="O608" s="8">
        <v>17.934556092922943</v>
      </c>
      <c r="P608" s="9">
        <v>17.934556092922943</v>
      </c>
      <c r="Q608" s="9">
        <v>17.934556092922943</v>
      </c>
      <c r="R608" s="9">
        <v>18.35577997371016</v>
      </c>
      <c r="S608" s="9">
        <v>18.404835306435746</v>
      </c>
      <c r="T608" s="9">
        <v>19.112621008962602</v>
      </c>
      <c r="U608" s="9">
        <v>20.35176903227914</v>
      </c>
      <c r="V608" s="9">
        <v>20.35176903227914</v>
      </c>
      <c r="W608" s="9">
        <v>20.35176903227914</v>
      </c>
      <c r="X608" s="9">
        <v>19.91589544268896</v>
      </c>
      <c r="Y608" s="9">
        <v>19.91589544268896</v>
      </c>
      <c r="Z608" s="9">
        <v>21.609947773831163</v>
      </c>
      <c r="AA608" s="9">
        <v>21.609947773831163</v>
      </c>
      <c r="AB608" s="9">
        <v>23.372671736151272</v>
      </c>
      <c r="AC608" s="9">
        <v>23.372671736151272</v>
      </c>
      <c r="AD608" s="9">
        <v>26.430826810726163</v>
      </c>
      <c r="AE608" s="9">
        <v>27.959768706413232</v>
      </c>
      <c r="AF608" s="9">
        <v>29.772701744670762</v>
      </c>
      <c r="AG608" s="9">
        <v>29.772701744670762</v>
      </c>
      <c r="AH608" s="9">
        <v>32.589351949315954</v>
      </c>
      <c r="AI608" s="9">
        <v>34.825222308406182</v>
      </c>
      <c r="AJ608" s="9">
        <v>3.0428788910505911</v>
      </c>
    </row>
    <row r="609" spans="1:36" x14ac:dyDescent="0.25">
      <c r="A609" t="s">
        <v>5411</v>
      </c>
      <c r="B609" t="s">
        <v>16</v>
      </c>
      <c r="C609" t="s">
        <v>17</v>
      </c>
      <c r="D609">
        <v>18300000</v>
      </c>
      <c r="E609">
        <v>18309999</v>
      </c>
      <c r="F609" t="s">
        <v>550</v>
      </c>
      <c r="G609" t="str">
        <f t="shared" si="18"/>
        <v>SPI II</v>
      </c>
      <c r="H609" t="s">
        <v>19</v>
      </c>
      <c r="I609" t="s">
        <v>20</v>
      </c>
      <c r="J609" t="s">
        <v>64</v>
      </c>
      <c r="K609" s="6">
        <v>0.03</v>
      </c>
      <c r="L609" s="7">
        <f t="shared" si="19"/>
        <v>2E-3</v>
      </c>
      <c r="M609" s="7">
        <v>3.0000000000000001E-3</v>
      </c>
      <c r="N609">
        <v>9</v>
      </c>
      <c r="O609" s="8">
        <v>17.934556092922943</v>
      </c>
      <c r="P609" s="9">
        <v>17.934556092922943</v>
      </c>
      <c r="Q609" s="9">
        <v>17.934556092922943</v>
      </c>
      <c r="R609" s="9">
        <v>18.35577997371016</v>
      </c>
      <c r="S609" s="9">
        <v>18.404835306435746</v>
      </c>
      <c r="T609" s="9">
        <v>19.112621008962602</v>
      </c>
      <c r="U609" s="9">
        <v>20.35176903227914</v>
      </c>
      <c r="V609" s="9">
        <v>20.35176903227914</v>
      </c>
      <c r="W609" s="9">
        <v>20.35176903227914</v>
      </c>
      <c r="X609" s="9">
        <v>19.91589544268896</v>
      </c>
      <c r="Y609" s="9">
        <v>19.91589544268896</v>
      </c>
      <c r="Z609" s="9">
        <v>21.609947773831163</v>
      </c>
      <c r="AA609" s="9">
        <v>21.609947773831163</v>
      </c>
      <c r="AB609" s="9">
        <v>23.372671736151272</v>
      </c>
      <c r="AC609" s="9">
        <v>23.372671736151272</v>
      </c>
      <c r="AD609" s="9">
        <v>26.430826810726163</v>
      </c>
      <c r="AE609" s="9">
        <v>27.959768706413232</v>
      </c>
      <c r="AF609" s="9">
        <v>29.772701744670762</v>
      </c>
      <c r="AG609" s="9">
        <v>29.772701744670762</v>
      </c>
      <c r="AH609" s="9">
        <v>32.589351949315954</v>
      </c>
      <c r="AI609" s="9">
        <v>34.825222308406182</v>
      </c>
      <c r="AJ609" s="9">
        <v>3.0428788910505911</v>
      </c>
    </row>
    <row r="610" spans="1:36" x14ac:dyDescent="0.25">
      <c r="A610" t="s">
        <v>5411</v>
      </c>
      <c r="B610" t="s">
        <v>16</v>
      </c>
      <c r="C610" t="s">
        <v>17</v>
      </c>
      <c r="D610">
        <v>18310000</v>
      </c>
      <c r="E610">
        <v>18314999</v>
      </c>
      <c r="F610" t="s">
        <v>551</v>
      </c>
      <c r="G610" t="str">
        <f t="shared" si="18"/>
        <v>SPI II</v>
      </c>
      <c r="H610" t="s">
        <v>19</v>
      </c>
      <c r="I610" t="s">
        <v>20</v>
      </c>
      <c r="J610" t="s">
        <v>64</v>
      </c>
      <c r="K610" s="6">
        <v>0.03</v>
      </c>
      <c r="L610" s="7">
        <f t="shared" si="19"/>
        <v>2E-3</v>
      </c>
      <c r="M610" s="7">
        <v>3.0000000000000001E-3</v>
      </c>
      <c r="N610">
        <v>9</v>
      </c>
      <c r="O610" s="8">
        <v>17.934556092922943</v>
      </c>
      <c r="P610" s="9">
        <v>17.934556092922943</v>
      </c>
      <c r="Q610" s="9">
        <v>17.934556092922943</v>
      </c>
      <c r="R610" s="9">
        <v>18.35577997371016</v>
      </c>
      <c r="S610" s="9">
        <v>18.404835306435746</v>
      </c>
      <c r="T610" s="9">
        <v>19.112621008962602</v>
      </c>
      <c r="U610" s="9">
        <v>20.35176903227914</v>
      </c>
      <c r="V610" s="9">
        <v>20.35176903227914</v>
      </c>
      <c r="W610" s="9">
        <v>20.35176903227914</v>
      </c>
      <c r="X610" s="9">
        <v>19.91589544268896</v>
      </c>
      <c r="Y610" s="9">
        <v>19.91589544268896</v>
      </c>
      <c r="Z610" s="9">
        <v>21.609947773831163</v>
      </c>
      <c r="AA610" s="9">
        <v>21.609947773831163</v>
      </c>
      <c r="AB610" s="9">
        <v>23.372671736151272</v>
      </c>
      <c r="AC610" s="9">
        <v>23.372671736151272</v>
      </c>
      <c r="AD610" s="9">
        <v>26.430826810726163</v>
      </c>
      <c r="AE610" s="9">
        <v>27.959768706413232</v>
      </c>
      <c r="AF610" s="9">
        <v>29.772701744670762</v>
      </c>
      <c r="AG610" s="9">
        <v>29.772701744670762</v>
      </c>
      <c r="AH610" s="9">
        <v>32.589351949315954</v>
      </c>
      <c r="AI610" s="9">
        <v>34.825222308406182</v>
      </c>
      <c r="AJ610" s="9">
        <v>3.0428788910505911</v>
      </c>
    </row>
    <row r="611" spans="1:36" x14ac:dyDescent="0.25">
      <c r="A611" t="s">
        <v>5411</v>
      </c>
      <c r="B611" t="s">
        <v>16</v>
      </c>
      <c r="C611" t="s">
        <v>17</v>
      </c>
      <c r="D611">
        <v>18315000</v>
      </c>
      <c r="E611">
        <v>18319999</v>
      </c>
      <c r="F611" t="s">
        <v>552</v>
      </c>
      <c r="G611" t="str">
        <f t="shared" si="18"/>
        <v>SPI II</v>
      </c>
      <c r="H611" t="s">
        <v>19</v>
      </c>
      <c r="I611" t="s">
        <v>20</v>
      </c>
      <c r="J611" t="s">
        <v>64</v>
      </c>
      <c r="K611" s="6">
        <v>0.03</v>
      </c>
      <c r="L611" s="7">
        <f t="shared" si="19"/>
        <v>2E-3</v>
      </c>
      <c r="M611" s="7">
        <v>3.0000000000000001E-3</v>
      </c>
      <c r="N611">
        <v>9</v>
      </c>
      <c r="O611" s="8">
        <v>17.934556092922943</v>
      </c>
      <c r="P611" s="9">
        <v>17.934556092922943</v>
      </c>
      <c r="Q611" s="9">
        <v>17.934556092922943</v>
      </c>
      <c r="R611" s="9">
        <v>18.35577997371016</v>
      </c>
      <c r="S611" s="9">
        <v>18.404835306435746</v>
      </c>
      <c r="T611" s="9">
        <v>19.112621008962602</v>
      </c>
      <c r="U611" s="9">
        <v>20.35176903227914</v>
      </c>
      <c r="V611" s="9">
        <v>20.35176903227914</v>
      </c>
      <c r="W611" s="9">
        <v>20.35176903227914</v>
      </c>
      <c r="X611" s="9">
        <v>19.91589544268896</v>
      </c>
      <c r="Y611" s="9">
        <v>19.91589544268896</v>
      </c>
      <c r="Z611" s="9">
        <v>21.609947773831163</v>
      </c>
      <c r="AA611" s="9">
        <v>21.609947773831163</v>
      </c>
      <c r="AB611" s="9">
        <v>23.372671736151272</v>
      </c>
      <c r="AC611" s="9">
        <v>23.372671736151272</v>
      </c>
      <c r="AD611" s="9">
        <v>26.430826810726163</v>
      </c>
      <c r="AE611" s="9">
        <v>27.959768706413232</v>
      </c>
      <c r="AF611" s="9">
        <v>29.772701744670762</v>
      </c>
      <c r="AG611" s="9">
        <v>29.772701744670762</v>
      </c>
      <c r="AH611" s="9">
        <v>32.589351949315954</v>
      </c>
      <c r="AI611" s="9">
        <v>34.825222308406182</v>
      </c>
      <c r="AJ611" s="9">
        <v>3.0428788910505911</v>
      </c>
    </row>
    <row r="612" spans="1:36" x14ac:dyDescent="0.25">
      <c r="A612" t="s">
        <v>5411</v>
      </c>
      <c r="B612" t="s">
        <v>16</v>
      </c>
      <c r="C612" t="s">
        <v>17</v>
      </c>
      <c r="D612">
        <v>18320000</v>
      </c>
      <c r="E612">
        <v>18324999</v>
      </c>
      <c r="F612" t="s">
        <v>553</v>
      </c>
      <c r="G612" t="str">
        <f t="shared" si="18"/>
        <v>SPI II</v>
      </c>
      <c r="H612" t="s">
        <v>19</v>
      </c>
      <c r="I612" t="s">
        <v>20</v>
      </c>
      <c r="J612" t="s">
        <v>64</v>
      </c>
      <c r="K612" s="6">
        <v>0.03</v>
      </c>
      <c r="L612" s="7">
        <f t="shared" si="19"/>
        <v>2E-3</v>
      </c>
      <c r="M612" s="7">
        <v>3.0000000000000001E-3</v>
      </c>
      <c r="N612">
        <v>9</v>
      </c>
      <c r="O612" s="8">
        <v>17.934556092922943</v>
      </c>
      <c r="P612" s="9">
        <v>17.934556092922943</v>
      </c>
      <c r="Q612" s="9">
        <v>17.934556092922943</v>
      </c>
      <c r="R612" s="9">
        <v>18.35577997371016</v>
      </c>
      <c r="S612" s="9">
        <v>18.404835306435746</v>
      </c>
      <c r="T612" s="9">
        <v>19.112621008962602</v>
      </c>
      <c r="U612" s="9">
        <v>20.35176903227914</v>
      </c>
      <c r="V612" s="9">
        <v>20.35176903227914</v>
      </c>
      <c r="W612" s="9">
        <v>20.35176903227914</v>
      </c>
      <c r="X612" s="9">
        <v>19.91589544268896</v>
      </c>
      <c r="Y612" s="9">
        <v>19.91589544268896</v>
      </c>
      <c r="Z612" s="9">
        <v>21.609947773831163</v>
      </c>
      <c r="AA612" s="9">
        <v>21.609947773831163</v>
      </c>
      <c r="AB612" s="9">
        <v>23.372671736151272</v>
      </c>
      <c r="AC612" s="9">
        <v>23.372671736151272</v>
      </c>
      <c r="AD612" s="9">
        <v>26.430826810726163</v>
      </c>
      <c r="AE612" s="9">
        <v>27.959768706413232</v>
      </c>
      <c r="AF612" s="9">
        <v>29.772701744670762</v>
      </c>
      <c r="AG612" s="9">
        <v>29.772701744670762</v>
      </c>
      <c r="AH612" s="9">
        <v>32.589351949315954</v>
      </c>
      <c r="AI612" s="9">
        <v>34.825222308406182</v>
      </c>
      <c r="AJ612" s="9">
        <v>3.0428788910505911</v>
      </c>
    </row>
    <row r="613" spans="1:36" x14ac:dyDescent="0.25">
      <c r="A613" t="s">
        <v>5411</v>
      </c>
      <c r="B613" t="s">
        <v>16</v>
      </c>
      <c r="C613" t="s">
        <v>17</v>
      </c>
      <c r="D613">
        <v>18325000</v>
      </c>
      <c r="E613">
        <v>18329999</v>
      </c>
      <c r="F613" t="s">
        <v>554</v>
      </c>
      <c r="G613" t="str">
        <f t="shared" si="18"/>
        <v>SPI II</v>
      </c>
      <c r="H613" t="s">
        <v>19</v>
      </c>
      <c r="I613" t="s">
        <v>20</v>
      </c>
      <c r="J613" t="s">
        <v>64</v>
      </c>
      <c r="K613" s="6">
        <v>0.03</v>
      </c>
      <c r="L613" s="7">
        <f t="shared" si="19"/>
        <v>2E-3</v>
      </c>
      <c r="M613" s="7">
        <v>3.0000000000000001E-3</v>
      </c>
      <c r="N613">
        <v>9</v>
      </c>
      <c r="O613" s="8">
        <v>17.934556092922943</v>
      </c>
      <c r="P613" s="9">
        <v>17.934556092922943</v>
      </c>
      <c r="Q613" s="9">
        <v>17.934556092922943</v>
      </c>
      <c r="R613" s="9">
        <v>18.35577997371016</v>
      </c>
      <c r="S613" s="9">
        <v>18.404835306435746</v>
      </c>
      <c r="T613" s="9">
        <v>19.112621008962602</v>
      </c>
      <c r="U613" s="9">
        <v>20.35176903227914</v>
      </c>
      <c r="V613" s="9">
        <v>20.35176903227914</v>
      </c>
      <c r="W613" s="9">
        <v>20.35176903227914</v>
      </c>
      <c r="X613" s="9">
        <v>19.91589544268896</v>
      </c>
      <c r="Y613" s="9">
        <v>19.91589544268896</v>
      </c>
      <c r="Z613" s="9">
        <v>21.609947773831163</v>
      </c>
      <c r="AA613" s="9">
        <v>21.609947773831163</v>
      </c>
      <c r="AB613" s="9">
        <v>23.372671736151272</v>
      </c>
      <c r="AC613" s="9">
        <v>23.372671736151272</v>
      </c>
      <c r="AD613" s="9">
        <v>26.430826810726163</v>
      </c>
      <c r="AE613" s="9">
        <v>27.959768706413232</v>
      </c>
      <c r="AF613" s="9">
        <v>29.772701744670762</v>
      </c>
      <c r="AG613" s="9">
        <v>29.772701744670762</v>
      </c>
      <c r="AH613" s="9">
        <v>32.589351949315954</v>
      </c>
      <c r="AI613" s="9">
        <v>34.825222308406182</v>
      </c>
      <c r="AJ613" s="9">
        <v>3.0428788910505911</v>
      </c>
    </row>
    <row r="614" spans="1:36" x14ac:dyDescent="0.25">
      <c r="A614" t="s">
        <v>5411</v>
      </c>
      <c r="B614" t="s">
        <v>16</v>
      </c>
      <c r="C614" t="s">
        <v>17</v>
      </c>
      <c r="D614">
        <v>18330000</v>
      </c>
      <c r="E614">
        <v>18359999</v>
      </c>
      <c r="F614" t="s">
        <v>555</v>
      </c>
      <c r="G614" t="str">
        <f t="shared" si="18"/>
        <v>SPI II</v>
      </c>
      <c r="H614" t="s">
        <v>19</v>
      </c>
      <c r="I614" t="s">
        <v>20</v>
      </c>
      <c r="J614" t="s">
        <v>64</v>
      </c>
      <c r="K614" s="6">
        <v>0.03</v>
      </c>
      <c r="L614" s="7">
        <f t="shared" si="19"/>
        <v>2E-3</v>
      </c>
      <c r="M614" s="7">
        <v>3.0000000000000001E-3</v>
      </c>
      <c r="N614">
        <v>9</v>
      </c>
      <c r="O614" s="8">
        <v>17.934556092922943</v>
      </c>
      <c r="P614" s="9">
        <v>17.934556092922943</v>
      </c>
      <c r="Q614" s="9">
        <v>17.934556092922943</v>
      </c>
      <c r="R614" s="9">
        <v>18.35577997371016</v>
      </c>
      <c r="S614" s="9">
        <v>18.404835306435746</v>
      </c>
      <c r="T614" s="9">
        <v>19.112621008962602</v>
      </c>
      <c r="U614" s="9">
        <v>20.35176903227914</v>
      </c>
      <c r="V614" s="9">
        <v>20.35176903227914</v>
      </c>
      <c r="W614" s="9">
        <v>20.35176903227914</v>
      </c>
      <c r="X614" s="9">
        <v>19.91589544268896</v>
      </c>
      <c r="Y614" s="9">
        <v>19.91589544268896</v>
      </c>
      <c r="Z614" s="9">
        <v>21.609947773831163</v>
      </c>
      <c r="AA614" s="9">
        <v>21.609947773831163</v>
      </c>
      <c r="AB614" s="9">
        <v>23.372671736151272</v>
      </c>
      <c r="AC614" s="9">
        <v>23.372671736151272</v>
      </c>
      <c r="AD614" s="9">
        <v>26.430826810726163</v>
      </c>
      <c r="AE614" s="9">
        <v>27.959768706413232</v>
      </c>
      <c r="AF614" s="9">
        <v>29.772701744670762</v>
      </c>
      <c r="AG614" s="9">
        <v>29.772701744670762</v>
      </c>
      <c r="AH614" s="9">
        <v>32.589351949315954</v>
      </c>
      <c r="AI614" s="9">
        <v>34.825222308406182</v>
      </c>
      <c r="AJ614" s="9">
        <v>3.0428788910505911</v>
      </c>
    </row>
    <row r="615" spans="1:36" x14ac:dyDescent="0.25">
      <c r="A615" t="s">
        <v>5411</v>
      </c>
      <c r="B615" t="s">
        <v>16</v>
      </c>
      <c r="C615" t="s">
        <v>17</v>
      </c>
      <c r="D615">
        <v>18360000</v>
      </c>
      <c r="E615">
        <v>18379999</v>
      </c>
      <c r="F615" t="s">
        <v>556</v>
      </c>
      <c r="G615" t="str">
        <f t="shared" si="18"/>
        <v>SPI II</v>
      </c>
      <c r="H615" t="s">
        <v>19</v>
      </c>
      <c r="I615" t="s">
        <v>20</v>
      </c>
      <c r="J615" t="s">
        <v>64</v>
      </c>
      <c r="K615" s="6">
        <v>0.03</v>
      </c>
      <c r="L615" s="7">
        <f t="shared" si="19"/>
        <v>2E-3</v>
      </c>
      <c r="M615" s="7">
        <v>3.0000000000000001E-3</v>
      </c>
      <c r="N615">
        <v>9</v>
      </c>
      <c r="O615" s="8">
        <v>17.934556092922943</v>
      </c>
      <c r="P615" s="9">
        <v>17.934556092922943</v>
      </c>
      <c r="Q615" s="9">
        <v>17.934556092922943</v>
      </c>
      <c r="R615" s="9">
        <v>18.35577997371016</v>
      </c>
      <c r="S615" s="9">
        <v>18.404835306435746</v>
      </c>
      <c r="T615" s="9">
        <v>19.112621008962602</v>
      </c>
      <c r="U615" s="9">
        <v>20.35176903227914</v>
      </c>
      <c r="V615" s="9">
        <v>20.35176903227914</v>
      </c>
      <c r="W615" s="9">
        <v>20.35176903227914</v>
      </c>
      <c r="X615" s="9">
        <v>19.91589544268896</v>
      </c>
      <c r="Y615" s="9">
        <v>19.91589544268896</v>
      </c>
      <c r="Z615" s="9">
        <v>21.609947773831163</v>
      </c>
      <c r="AA615" s="9">
        <v>21.609947773831163</v>
      </c>
      <c r="AB615" s="9">
        <v>23.372671736151272</v>
      </c>
      <c r="AC615" s="9">
        <v>23.372671736151272</v>
      </c>
      <c r="AD615" s="9">
        <v>26.430826810726163</v>
      </c>
      <c r="AE615" s="9">
        <v>27.959768706413232</v>
      </c>
      <c r="AF615" s="9">
        <v>29.772701744670762</v>
      </c>
      <c r="AG615" s="9">
        <v>29.772701744670762</v>
      </c>
      <c r="AH615" s="9">
        <v>32.589351949315954</v>
      </c>
      <c r="AI615" s="9">
        <v>34.825222308406182</v>
      </c>
      <c r="AJ615" s="9">
        <v>3.0428788910505911</v>
      </c>
    </row>
    <row r="616" spans="1:36" x14ac:dyDescent="0.25">
      <c r="A616" t="s">
        <v>5411</v>
      </c>
      <c r="B616" t="s">
        <v>16</v>
      </c>
      <c r="C616" t="s">
        <v>17</v>
      </c>
      <c r="D616">
        <v>18380000</v>
      </c>
      <c r="E616">
        <v>18384999</v>
      </c>
      <c r="F616" t="s">
        <v>557</v>
      </c>
      <c r="G616" t="str">
        <f t="shared" si="18"/>
        <v>SPR</v>
      </c>
      <c r="H616" t="s">
        <v>19</v>
      </c>
      <c r="I616" t="s">
        <v>20</v>
      </c>
      <c r="J616" t="s">
        <v>77</v>
      </c>
      <c r="K616" s="6">
        <v>0.03</v>
      </c>
      <c r="L616" s="7">
        <f t="shared" si="19"/>
        <v>2E-3</v>
      </c>
      <c r="M616" s="7">
        <v>3.0000000000000001E-3</v>
      </c>
      <c r="N616">
        <v>13</v>
      </c>
      <c r="O616" s="8">
        <v>26.611209830054129</v>
      </c>
      <c r="P616" s="9">
        <v>26.611209830054129</v>
      </c>
      <c r="Q616" s="9">
        <v>26.611209830054129</v>
      </c>
      <c r="R616" s="9">
        <v>27.647760246913514</v>
      </c>
      <c r="S616" s="9">
        <v>28.483539200322319</v>
      </c>
      <c r="T616" s="9">
        <v>29.244822799499698</v>
      </c>
      <c r="U616" s="9">
        <v>31.379671510701762</v>
      </c>
      <c r="V616" s="9">
        <v>31.379671510701762</v>
      </c>
      <c r="W616" s="9">
        <v>31.379671510701762</v>
      </c>
      <c r="X616" s="9">
        <v>34.250510560182867</v>
      </c>
      <c r="Y616" s="9">
        <v>34.250510560182867</v>
      </c>
      <c r="Z616" s="9">
        <v>37.271704438917176</v>
      </c>
      <c r="AA616" s="9">
        <v>37.271704438917176</v>
      </c>
      <c r="AB616" s="9">
        <v>40.458288629830058</v>
      </c>
      <c r="AC616" s="9">
        <v>40.458288629830058</v>
      </c>
      <c r="AD616" s="9">
        <v>43.826802164139323</v>
      </c>
      <c r="AE616" s="9">
        <v>47.523241367157013</v>
      </c>
      <c r="AF616" s="9">
        <v>51.713576824258396</v>
      </c>
      <c r="AG616" s="9">
        <v>51.713576824258396</v>
      </c>
      <c r="AH616" s="9">
        <v>56.658816723629734</v>
      </c>
      <c r="AI616" s="9">
        <v>61.577420347834391</v>
      </c>
      <c r="AJ616" s="9">
        <v>3.0428788910505911</v>
      </c>
    </row>
    <row r="617" spans="1:36" x14ac:dyDescent="0.25">
      <c r="A617" t="s">
        <v>5411</v>
      </c>
      <c r="B617" t="s">
        <v>16</v>
      </c>
      <c r="C617" t="s">
        <v>17</v>
      </c>
      <c r="D617">
        <v>18385000</v>
      </c>
      <c r="E617">
        <v>18399999</v>
      </c>
      <c r="F617" t="s">
        <v>558</v>
      </c>
      <c r="G617" t="str">
        <f t="shared" si="18"/>
        <v>SPI II</v>
      </c>
      <c r="H617" t="s">
        <v>19</v>
      </c>
      <c r="I617" t="s">
        <v>20</v>
      </c>
      <c r="J617" t="s">
        <v>64</v>
      </c>
      <c r="K617" s="6">
        <v>0.03</v>
      </c>
      <c r="L617" s="7">
        <f t="shared" si="19"/>
        <v>2E-3</v>
      </c>
      <c r="M617" s="7">
        <v>3.0000000000000001E-3</v>
      </c>
      <c r="N617">
        <v>9</v>
      </c>
      <c r="O617" s="8">
        <v>17.934556092922943</v>
      </c>
      <c r="P617" s="9">
        <v>17.934556092922943</v>
      </c>
      <c r="Q617" s="9">
        <v>17.934556092922943</v>
      </c>
      <c r="R617" s="9">
        <v>18.35577997371016</v>
      </c>
      <c r="S617" s="9">
        <v>18.404835306435746</v>
      </c>
      <c r="T617" s="9">
        <v>19.112621008962602</v>
      </c>
      <c r="U617" s="9">
        <v>20.35176903227914</v>
      </c>
      <c r="V617" s="9">
        <v>20.35176903227914</v>
      </c>
      <c r="W617" s="9">
        <v>20.35176903227914</v>
      </c>
      <c r="X617" s="9">
        <v>19.91589544268896</v>
      </c>
      <c r="Y617" s="9">
        <v>19.91589544268896</v>
      </c>
      <c r="Z617" s="9">
        <v>21.609947773831163</v>
      </c>
      <c r="AA617" s="9">
        <v>21.609947773831163</v>
      </c>
      <c r="AB617" s="9">
        <v>23.372671736151272</v>
      </c>
      <c r="AC617" s="9">
        <v>23.372671736151272</v>
      </c>
      <c r="AD617" s="9">
        <v>26.430826810726163</v>
      </c>
      <c r="AE617" s="9">
        <v>27.959768706413232</v>
      </c>
      <c r="AF617" s="9">
        <v>29.772701744670762</v>
      </c>
      <c r="AG617" s="9">
        <v>29.772701744670762</v>
      </c>
      <c r="AH617" s="9">
        <v>32.589351949315954</v>
      </c>
      <c r="AI617" s="9">
        <v>34.825222308406182</v>
      </c>
      <c r="AJ617" s="9">
        <v>3.0428788910505911</v>
      </c>
    </row>
    <row r="618" spans="1:36" x14ac:dyDescent="0.25">
      <c r="A618" t="s">
        <v>5411</v>
      </c>
      <c r="B618" t="s">
        <v>16</v>
      </c>
      <c r="C618" t="s">
        <v>17</v>
      </c>
      <c r="D618">
        <v>18400000</v>
      </c>
      <c r="E618">
        <v>18424999</v>
      </c>
      <c r="F618" t="s">
        <v>559</v>
      </c>
      <c r="G618" t="str">
        <f t="shared" si="18"/>
        <v>SPR</v>
      </c>
      <c r="H618" t="s">
        <v>19</v>
      </c>
      <c r="I618" t="s">
        <v>20</v>
      </c>
      <c r="J618" t="s">
        <v>77</v>
      </c>
      <c r="K618" s="6">
        <v>0.03</v>
      </c>
      <c r="L618" s="7">
        <f t="shared" si="19"/>
        <v>2E-3</v>
      </c>
      <c r="M618" s="7">
        <v>3.0000000000000001E-3</v>
      </c>
      <c r="N618">
        <v>13</v>
      </c>
      <c r="O618" s="8">
        <v>26.611209830054129</v>
      </c>
      <c r="P618" s="9">
        <v>26.611209830054129</v>
      </c>
      <c r="Q618" s="9">
        <v>26.611209830054129</v>
      </c>
      <c r="R618" s="9">
        <v>27.647760246913514</v>
      </c>
      <c r="S618" s="9">
        <v>28.483539200322319</v>
      </c>
      <c r="T618" s="9">
        <v>29.244822799499698</v>
      </c>
      <c r="U618" s="9">
        <v>31.379671510701762</v>
      </c>
      <c r="V618" s="9">
        <v>31.379671510701762</v>
      </c>
      <c r="W618" s="9">
        <v>31.379671510701762</v>
      </c>
      <c r="X618" s="9">
        <v>34.250510560182867</v>
      </c>
      <c r="Y618" s="9">
        <v>34.250510560182867</v>
      </c>
      <c r="Z618" s="9">
        <v>37.271704438917176</v>
      </c>
      <c r="AA618" s="9">
        <v>37.271704438917176</v>
      </c>
      <c r="AB618" s="9">
        <v>40.458288629830058</v>
      </c>
      <c r="AC618" s="9">
        <v>40.458288629830058</v>
      </c>
      <c r="AD618" s="9">
        <v>43.826802164139323</v>
      </c>
      <c r="AE618" s="9">
        <v>47.523241367157013</v>
      </c>
      <c r="AF618" s="9">
        <v>51.713576824258396</v>
      </c>
      <c r="AG618" s="9">
        <v>51.713576824258396</v>
      </c>
      <c r="AH618" s="9">
        <v>56.658816723629734</v>
      </c>
      <c r="AI618" s="9">
        <v>61.577420347834391</v>
      </c>
      <c r="AJ618" s="9">
        <v>3.0428788910505911</v>
      </c>
    </row>
    <row r="619" spans="1:36" x14ac:dyDescent="0.25">
      <c r="A619" t="s">
        <v>5411</v>
      </c>
      <c r="B619" t="s">
        <v>16</v>
      </c>
      <c r="C619" t="s">
        <v>17</v>
      </c>
      <c r="D619">
        <v>18425000</v>
      </c>
      <c r="E619">
        <v>18429999</v>
      </c>
      <c r="F619" t="s">
        <v>560</v>
      </c>
      <c r="G619" t="str">
        <f t="shared" si="18"/>
        <v>SPI II</v>
      </c>
      <c r="H619" t="s">
        <v>19</v>
      </c>
      <c r="I619" t="s">
        <v>20</v>
      </c>
      <c r="J619" t="s">
        <v>64</v>
      </c>
      <c r="K619" s="6">
        <v>0.03</v>
      </c>
      <c r="L619" s="7">
        <f t="shared" si="19"/>
        <v>2E-3</v>
      </c>
      <c r="M619" s="7">
        <v>3.0000000000000001E-3</v>
      </c>
      <c r="N619">
        <v>8</v>
      </c>
      <c r="O619" s="8">
        <v>17.934556092922943</v>
      </c>
      <c r="P619" s="9">
        <v>17.934556092922943</v>
      </c>
      <c r="Q619" s="9">
        <v>17.934556092922943</v>
      </c>
      <c r="R619" s="9">
        <v>18.35577997371016</v>
      </c>
      <c r="S619" s="9">
        <v>18.404835306435746</v>
      </c>
      <c r="T619" s="9">
        <v>19.112621008962602</v>
      </c>
      <c r="U619" s="9">
        <v>20.35176903227914</v>
      </c>
      <c r="V619" s="9">
        <v>20.35176903227914</v>
      </c>
      <c r="W619" s="9">
        <v>20.35176903227914</v>
      </c>
      <c r="X619" s="9">
        <v>19.91589544268896</v>
      </c>
      <c r="Y619" s="9">
        <v>19.91589544268896</v>
      </c>
      <c r="Z619" s="9">
        <v>21.609947773831163</v>
      </c>
      <c r="AA619" s="9">
        <v>21.609947773831163</v>
      </c>
      <c r="AB619" s="9">
        <v>23.372671736151272</v>
      </c>
      <c r="AC619" s="9">
        <v>23.372671736151272</v>
      </c>
      <c r="AD619" s="9">
        <v>26.430826810726163</v>
      </c>
      <c r="AE619" s="9">
        <v>27.959768706413232</v>
      </c>
      <c r="AF619" s="9">
        <v>29.772701744670762</v>
      </c>
      <c r="AG619" s="9">
        <v>29.772701744670762</v>
      </c>
      <c r="AH619" s="9">
        <v>32.589351949315954</v>
      </c>
      <c r="AI619" s="9">
        <v>34.825222308406182</v>
      </c>
      <c r="AJ619" s="9">
        <v>3.0428788910505911</v>
      </c>
    </row>
    <row r="620" spans="1:36" x14ac:dyDescent="0.25">
      <c r="A620" t="s">
        <v>5411</v>
      </c>
      <c r="B620" t="s">
        <v>16</v>
      </c>
      <c r="C620" t="s">
        <v>17</v>
      </c>
      <c r="D620">
        <v>18430000</v>
      </c>
      <c r="E620">
        <v>18434999</v>
      </c>
      <c r="F620" t="s">
        <v>561</v>
      </c>
      <c r="G620" t="str">
        <f t="shared" si="18"/>
        <v>SPI II</v>
      </c>
      <c r="H620" t="s">
        <v>19</v>
      </c>
      <c r="I620" t="s">
        <v>20</v>
      </c>
      <c r="J620" t="s">
        <v>64</v>
      </c>
      <c r="K620" s="6">
        <v>0.03</v>
      </c>
      <c r="L620" s="7">
        <f t="shared" si="19"/>
        <v>2E-3</v>
      </c>
      <c r="M620" s="7">
        <v>3.0000000000000001E-3</v>
      </c>
      <c r="N620">
        <v>9</v>
      </c>
      <c r="O620" s="8">
        <v>17.934556092922943</v>
      </c>
      <c r="P620" s="9">
        <v>17.934556092922943</v>
      </c>
      <c r="Q620" s="9">
        <v>17.934556092922943</v>
      </c>
      <c r="R620" s="9">
        <v>18.35577997371016</v>
      </c>
      <c r="S620" s="9">
        <v>18.404835306435746</v>
      </c>
      <c r="T620" s="9">
        <v>19.112621008962602</v>
      </c>
      <c r="U620" s="9">
        <v>20.35176903227914</v>
      </c>
      <c r="V620" s="9">
        <v>20.35176903227914</v>
      </c>
      <c r="W620" s="9">
        <v>20.35176903227914</v>
      </c>
      <c r="X620" s="9">
        <v>19.91589544268896</v>
      </c>
      <c r="Y620" s="9">
        <v>19.91589544268896</v>
      </c>
      <c r="Z620" s="9">
        <v>21.609947773831163</v>
      </c>
      <c r="AA620" s="9">
        <v>21.609947773831163</v>
      </c>
      <c r="AB620" s="9">
        <v>23.372671736151272</v>
      </c>
      <c r="AC620" s="9">
        <v>23.372671736151272</v>
      </c>
      <c r="AD620" s="9">
        <v>26.430826810726163</v>
      </c>
      <c r="AE620" s="9">
        <v>27.959768706413232</v>
      </c>
      <c r="AF620" s="9">
        <v>29.772701744670762</v>
      </c>
      <c r="AG620" s="9">
        <v>29.772701744670762</v>
      </c>
      <c r="AH620" s="9">
        <v>32.589351949315954</v>
      </c>
      <c r="AI620" s="9">
        <v>34.825222308406182</v>
      </c>
      <c r="AJ620" s="9">
        <v>3.0428788910505911</v>
      </c>
    </row>
    <row r="621" spans="1:36" x14ac:dyDescent="0.25">
      <c r="A621" t="s">
        <v>5411</v>
      </c>
      <c r="B621" t="s">
        <v>16</v>
      </c>
      <c r="C621" t="s">
        <v>17</v>
      </c>
      <c r="D621">
        <v>18435000</v>
      </c>
      <c r="E621">
        <v>18439999</v>
      </c>
      <c r="F621" t="s">
        <v>562</v>
      </c>
      <c r="G621" t="str">
        <f t="shared" si="18"/>
        <v>SPI II</v>
      </c>
      <c r="H621" t="s">
        <v>19</v>
      </c>
      <c r="I621" t="s">
        <v>20</v>
      </c>
      <c r="J621" t="s">
        <v>64</v>
      </c>
      <c r="K621" s="6">
        <v>0.03</v>
      </c>
      <c r="L621" s="7">
        <f t="shared" si="19"/>
        <v>2E-3</v>
      </c>
      <c r="M621" s="7">
        <v>3.0000000000000001E-3</v>
      </c>
      <c r="N621">
        <v>9</v>
      </c>
      <c r="O621" s="8">
        <v>17.934556092922943</v>
      </c>
      <c r="P621" s="9">
        <v>17.934556092922943</v>
      </c>
      <c r="Q621" s="9">
        <v>17.934556092922943</v>
      </c>
      <c r="R621" s="9">
        <v>18.35577997371016</v>
      </c>
      <c r="S621" s="9">
        <v>18.404835306435746</v>
      </c>
      <c r="T621" s="9">
        <v>19.112621008962602</v>
      </c>
      <c r="U621" s="9">
        <v>20.35176903227914</v>
      </c>
      <c r="V621" s="9">
        <v>20.35176903227914</v>
      </c>
      <c r="W621" s="9">
        <v>20.35176903227914</v>
      </c>
      <c r="X621" s="9">
        <v>19.91589544268896</v>
      </c>
      <c r="Y621" s="9">
        <v>19.91589544268896</v>
      </c>
      <c r="Z621" s="9">
        <v>21.609947773831163</v>
      </c>
      <c r="AA621" s="9">
        <v>21.609947773831163</v>
      </c>
      <c r="AB621" s="9">
        <v>23.372671736151272</v>
      </c>
      <c r="AC621" s="9">
        <v>23.372671736151272</v>
      </c>
      <c r="AD621" s="9">
        <v>26.430826810726163</v>
      </c>
      <c r="AE621" s="9">
        <v>27.959768706413232</v>
      </c>
      <c r="AF621" s="9">
        <v>29.772701744670762</v>
      </c>
      <c r="AG621" s="9">
        <v>29.772701744670762</v>
      </c>
      <c r="AH621" s="9">
        <v>32.589351949315954</v>
      </c>
      <c r="AI621" s="9">
        <v>34.825222308406182</v>
      </c>
      <c r="AJ621" s="9">
        <v>3.0428788910505911</v>
      </c>
    </row>
    <row r="622" spans="1:36" x14ac:dyDescent="0.25">
      <c r="A622" t="s">
        <v>5411</v>
      </c>
      <c r="B622" t="s">
        <v>16</v>
      </c>
      <c r="C622" t="s">
        <v>17</v>
      </c>
      <c r="D622">
        <v>18440000</v>
      </c>
      <c r="E622">
        <v>18459999</v>
      </c>
      <c r="F622" t="s">
        <v>563</v>
      </c>
      <c r="G622" t="str">
        <f t="shared" si="18"/>
        <v>SPI II</v>
      </c>
      <c r="H622" t="s">
        <v>19</v>
      </c>
      <c r="I622" t="s">
        <v>20</v>
      </c>
      <c r="J622" t="s">
        <v>64</v>
      </c>
      <c r="K622" s="6">
        <v>0.03</v>
      </c>
      <c r="L622" s="7">
        <f t="shared" si="19"/>
        <v>2E-3</v>
      </c>
      <c r="M622" s="7">
        <v>3.0000000000000001E-3</v>
      </c>
      <c r="N622">
        <v>9</v>
      </c>
      <c r="O622" s="8">
        <v>17.934556092922943</v>
      </c>
      <c r="P622" s="9">
        <v>17.934556092922943</v>
      </c>
      <c r="Q622" s="9">
        <v>17.934556092922943</v>
      </c>
      <c r="R622" s="9">
        <v>18.35577997371016</v>
      </c>
      <c r="S622" s="9">
        <v>18.404835306435746</v>
      </c>
      <c r="T622" s="9">
        <v>19.112621008962602</v>
      </c>
      <c r="U622" s="9">
        <v>20.35176903227914</v>
      </c>
      <c r="V622" s="9">
        <v>20.35176903227914</v>
      </c>
      <c r="W622" s="9">
        <v>20.35176903227914</v>
      </c>
      <c r="X622" s="9">
        <v>19.91589544268896</v>
      </c>
      <c r="Y622" s="9">
        <v>19.91589544268896</v>
      </c>
      <c r="Z622" s="9">
        <v>21.609947773831163</v>
      </c>
      <c r="AA622" s="9">
        <v>21.609947773831163</v>
      </c>
      <c r="AB622" s="9">
        <v>23.372671736151272</v>
      </c>
      <c r="AC622" s="9">
        <v>23.372671736151272</v>
      </c>
      <c r="AD622" s="9">
        <v>26.430826810726163</v>
      </c>
      <c r="AE622" s="9">
        <v>27.959768706413232</v>
      </c>
      <c r="AF622" s="9">
        <v>29.772701744670762</v>
      </c>
      <c r="AG622" s="9">
        <v>29.772701744670762</v>
      </c>
      <c r="AH622" s="9">
        <v>32.589351949315954</v>
      </c>
      <c r="AI622" s="9">
        <v>34.825222308406182</v>
      </c>
      <c r="AJ622" s="9">
        <v>3.0428788910505911</v>
      </c>
    </row>
    <row r="623" spans="1:36" x14ac:dyDescent="0.25">
      <c r="A623" t="s">
        <v>5411</v>
      </c>
      <c r="B623" t="s">
        <v>16</v>
      </c>
      <c r="C623" t="s">
        <v>17</v>
      </c>
      <c r="D623">
        <v>18460000</v>
      </c>
      <c r="E623">
        <v>18469999</v>
      </c>
      <c r="F623" t="s">
        <v>564</v>
      </c>
      <c r="G623" t="str">
        <f t="shared" si="18"/>
        <v>SPI II</v>
      </c>
      <c r="H623" t="s">
        <v>19</v>
      </c>
      <c r="I623" t="s">
        <v>20</v>
      </c>
      <c r="J623" t="s">
        <v>64</v>
      </c>
      <c r="K623" s="6">
        <v>0.03</v>
      </c>
      <c r="L623" s="7">
        <f t="shared" si="19"/>
        <v>2E-3</v>
      </c>
      <c r="M623" s="7">
        <v>3.0000000000000001E-3</v>
      </c>
      <c r="N623">
        <v>9</v>
      </c>
      <c r="O623" s="8">
        <v>17.934556092922943</v>
      </c>
      <c r="P623" s="9">
        <v>17.934556092922943</v>
      </c>
      <c r="Q623" s="9">
        <v>17.934556092922943</v>
      </c>
      <c r="R623" s="9">
        <v>18.35577997371016</v>
      </c>
      <c r="S623" s="9">
        <v>18.404835306435746</v>
      </c>
      <c r="T623" s="9">
        <v>19.112621008962602</v>
      </c>
      <c r="U623" s="9">
        <v>20.35176903227914</v>
      </c>
      <c r="V623" s="9">
        <v>20.35176903227914</v>
      </c>
      <c r="W623" s="9">
        <v>20.35176903227914</v>
      </c>
      <c r="X623" s="9">
        <v>19.91589544268896</v>
      </c>
      <c r="Y623" s="9">
        <v>19.91589544268896</v>
      </c>
      <c r="Z623" s="9">
        <v>21.609947773831163</v>
      </c>
      <c r="AA623" s="9">
        <v>21.609947773831163</v>
      </c>
      <c r="AB623" s="9">
        <v>23.372671736151272</v>
      </c>
      <c r="AC623" s="9">
        <v>23.372671736151272</v>
      </c>
      <c r="AD623" s="9">
        <v>26.430826810726163</v>
      </c>
      <c r="AE623" s="9">
        <v>27.959768706413232</v>
      </c>
      <c r="AF623" s="9">
        <v>29.772701744670762</v>
      </c>
      <c r="AG623" s="9">
        <v>29.772701744670762</v>
      </c>
      <c r="AH623" s="9">
        <v>32.589351949315954</v>
      </c>
      <c r="AI623" s="9">
        <v>34.825222308406182</v>
      </c>
      <c r="AJ623" s="9">
        <v>3.0428788910505911</v>
      </c>
    </row>
    <row r="624" spans="1:36" x14ac:dyDescent="0.25">
      <c r="A624" t="s">
        <v>5411</v>
      </c>
      <c r="B624" t="s">
        <v>16</v>
      </c>
      <c r="C624" t="s">
        <v>17</v>
      </c>
      <c r="D624">
        <v>18470000</v>
      </c>
      <c r="E624">
        <v>18474999</v>
      </c>
      <c r="F624" t="s">
        <v>565</v>
      </c>
      <c r="G624" t="str">
        <f t="shared" si="18"/>
        <v>SPI II</v>
      </c>
      <c r="H624" t="s">
        <v>19</v>
      </c>
      <c r="I624" t="s">
        <v>20</v>
      </c>
      <c r="J624" t="s">
        <v>64</v>
      </c>
      <c r="K624" s="6">
        <v>0.03</v>
      </c>
      <c r="L624" s="7">
        <f t="shared" si="19"/>
        <v>2E-3</v>
      </c>
      <c r="M624" s="7">
        <v>3.0000000000000001E-3</v>
      </c>
      <c r="N624">
        <v>9</v>
      </c>
      <c r="O624" s="8">
        <v>17.934556092922943</v>
      </c>
      <c r="P624" s="9">
        <v>17.934556092922943</v>
      </c>
      <c r="Q624" s="9">
        <v>17.934556092922943</v>
      </c>
      <c r="R624" s="9">
        <v>18.35577997371016</v>
      </c>
      <c r="S624" s="9">
        <v>18.404835306435746</v>
      </c>
      <c r="T624" s="9">
        <v>19.112621008962602</v>
      </c>
      <c r="U624" s="9">
        <v>20.35176903227914</v>
      </c>
      <c r="V624" s="9">
        <v>20.35176903227914</v>
      </c>
      <c r="W624" s="9">
        <v>20.35176903227914</v>
      </c>
      <c r="X624" s="9">
        <v>19.91589544268896</v>
      </c>
      <c r="Y624" s="9">
        <v>19.91589544268896</v>
      </c>
      <c r="Z624" s="9">
        <v>21.609947773831163</v>
      </c>
      <c r="AA624" s="9">
        <v>21.609947773831163</v>
      </c>
      <c r="AB624" s="9">
        <v>23.372671736151272</v>
      </c>
      <c r="AC624" s="9">
        <v>23.372671736151272</v>
      </c>
      <c r="AD624" s="9">
        <v>26.430826810726163</v>
      </c>
      <c r="AE624" s="9">
        <v>27.959768706413232</v>
      </c>
      <c r="AF624" s="9">
        <v>29.772701744670762</v>
      </c>
      <c r="AG624" s="9">
        <v>29.772701744670762</v>
      </c>
      <c r="AH624" s="9">
        <v>32.589351949315954</v>
      </c>
      <c r="AI624" s="9">
        <v>34.825222308406182</v>
      </c>
      <c r="AJ624" s="9">
        <v>3.0428788910505911</v>
      </c>
    </row>
    <row r="625" spans="1:36" x14ac:dyDescent="0.25">
      <c r="A625" t="s">
        <v>5411</v>
      </c>
      <c r="B625" t="s">
        <v>16</v>
      </c>
      <c r="C625" t="s">
        <v>17</v>
      </c>
      <c r="D625">
        <v>18475000</v>
      </c>
      <c r="E625">
        <v>18479999</v>
      </c>
      <c r="F625" t="s">
        <v>566</v>
      </c>
      <c r="G625" t="str">
        <f t="shared" si="18"/>
        <v>SPI II</v>
      </c>
      <c r="H625" t="s">
        <v>19</v>
      </c>
      <c r="I625" t="s">
        <v>20</v>
      </c>
      <c r="J625" t="s">
        <v>64</v>
      </c>
      <c r="K625" s="6">
        <v>0.03</v>
      </c>
      <c r="L625" s="7">
        <f t="shared" si="19"/>
        <v>2E-3</v>
      </c>
      <c r="M625" s="7">
        <v>3.0000000000000001E-3</v>
      </c>
      <c r="N625">
        <v>8</v>
      </c>
      <c r="O625" s="8">
        <v>17.934556092922943</v>
      </c>
      <c r="P625" s="9">
        <v>17.934556092922943</v>
      </c>
      <c r="Q625" s="9">
        <v>17.934556092922943</v>
      </c>
      <c r="R625" s="9">
        <v>18.35577997371016</v>
      </c>
      <c r="S625" s="9">
        <v>18.404835306435746</v>
      </c>
      <c r="T625" s="9">
        <v>19.112621008962602</v>
      </c>
      <c r="U625" s="9">
        <v>20.35176903227914</v>
      </c>
      <c r="V625" s="9">
        <v>20.35176903227914</v>
      </c>
      <c r="W625" s="9">
        <v>20.35176903227914</v>
      </c>
      <c r="X625" s="9">
        <v>19.91589544268896</v>
      </c>
      <c r="Y625" s="9">
        <v>19.91589544268896</v>
      </c>
      <c r="Z625" s="9">
        <v>21.609947773831163</v>
      </c>
      <c r="AA625" s="9">
        <v>21.609947773831163</v>
      </c>
      <c r="AB625" s="9">
        <v>23.372671736151272</v>
      </c>
      <c r="AC625" s="9">
        <v>23.372671736151272</v>
      </c>
      <c r="AD625" s="9">
        <v>26.430826810726163</v>
      </c>
      <c r="AE625" s="9">
        <v>27.959768706413232</v>
      </c>
      <c r="AF625" s="9">
        <v>29.772701744670762</v>
      </c>
      <c r="AG625" s="9">
        <v>29.772701744670762</v>
      </c>
      <c r="AH625" s="9">
        <v>32.589351949315954</v>
      </c>
      <c r="AI625" s="9">
        <v>34.825222308406182</v>
      </c>
      <c r="AJ625" s="9">
        <v>3.0428788910505911</v>
      </c>
    </row>
    <row r="626" spans="1:36" x14ac:dyDescent="0.25">
      <c r="A626" t="s">
        <v>5411</v>
      </c>
      <c r="B626" t="s">
        <v>16</v>
      </c>
      <c r="C626" t="s">
        <v>17</v>
      </c>
      <c r="D626">
        <v>18480000</v>
      </c>
      <c r="E626">
        <v>18489999</v>
      </c>
      <c r="F626" t="s">
        <v>567</v>
      </c>
      <c r="G626" t="str">
        <f t="shared" si="18"/>
        <v>SPI II</v>
      </c>
      <c r="H626" t="s">
        <v>19</v>
      </c>
      <c r="I626" t="s">
        <v>20</v>
      </c>
      <c r="J626" t="s">
        <v>64</v>
      </c>
      <c r="K626" s="6">
        <v>0.03</v>
      </c>
      <c r="L626" s="7">
        <f t="shared" si="19"/>
        <v>2E-3</v>
      </c>
      <c r="M626" s="7">
        <v>3.0000000000000001E-3</v>
      </c>
      <c r="N626">
        <v>9</v>
      </c>
      <c r="O626" s="8">
        <v>17.934556092922943</v>
      </c>
      <c r="P626" s="9">
        <v>17.934556092922943</v>
      </c>
      <c r="Q626" s="9">
        <v>17.934556092922943</v>
      </c>
      <c r="R626" s="9">
        <v>18.35577997371016</v>
      </c>
      <c r="S626" s="9">
        <v>18.404835306435746</v>
      </c>
      <c r="T626" s="9">
        <v>19.112621008962602</v>
      </c>
      <c r="U626" s="9">
        <v>20.35176903227914</v>
      </c>
      <c r="V626" s="9">
        <v>20.35176903227914</v>
      </c>
      <c r="W626" s="9">
        <v>20.35176903227914</v>
      </c>
      <c r="X626" s="9">
        <v>19.91589544268896</v>
      </c>
      <c r="Y626" s="9">
        <v>19.91589544268896</v>
      </c>
      <c r="Z626" s="9">
        <v>21.609947773831163</v>
      </c>
      <c r="AA626" s="9">
        <v>21.609947773831163</v>
      </c>
      <c r="AB626" s="9">
        <v>23.372671736151272</v>
      </c>
      <c r="AC626" s="9">
        <v>23.372671736151272</v>
      </c>
      <c r="AD626" s="9">
        <v>26.430826810726163</v>
      </c>
      <c r="AE626" s="9">
        <v>27.959768706413232</v>
      </c>
      <c r="AF626" s="9">
        <v>29.772701744670762</v>
      </c>
      <c r="AG626" s="9">
        <v>29.772701744670762</v>
      </c>
      <c r="AH626" s="9">
        <v>32.589351949315954</v>
      </c>
      <c r="AI626" s="9">
        <v>34.825222308406182</v>
      </c>
      <c r="AJ626" s="9">
        <v>3.0428788910505911</v>
      </c>
    </row>
    <row r="627" spans="1:36" x14ac:dyDescent="0.25">
      <c r="A627" t="s">
        <v>5411</v>
      </c>
      <c r="B627" t="s">
        <v>16</v>
      </c>
      <c r="C627" t="s">
        <v>17</v>
      </c>
      <c r="D627">
        <v>18490000</v>
      </c>
      <c r="E627">
        <v>18499999</v>
      </c>
      <c r="F627" t="s">
        <v>568</v>
      </c>
      <c r="G627" t="str">
        <f t="shared" si="18"/>
        <v>SPI II</v>
      </c>
      <c r="H627" t="s">
        <v>19</v>
      </c>
      <c r="I627" t="s">
        <v>20</v>
      </c>
      <c r="J627" t="s">
        <v>64</v>
      </c>
      <c r="K627" s="6">
        <v>0.03</v>
      </c>
      <c r="L627" s="7">
        <f t="shared" si="19"/>
        <v>2E-3</v>
      </c>
      <c r="M627" s="7">
        <v>3.0000000000000001E-3</v>
      </c>
      <c r="N627">
        <v>8</v>
      </c>
      <c r="O627" s="8">
        <v>17.934556092922943</v>
      </c>
      <c r="P627" s="9">
        <v>17.934556092922943</v>
      </c>
      <c r="Q627" s="9">
        <v>17.934556092922943</v>
      </c>
      <c r="R627" s="9">
        <v>18.35577997371016</v>
      </c>
      <c r="S627" s="9">
        <v>18.404835306435746</v>
      </c>
      <c r="T627" s="9">
        <v>19.112621008962602</v>
      </c>
      <c r="U627" s="9">
        <v>20.35176903227914</v>
      </c>
      <c r="V627" s="9">
        <v>20.35176903227914</v>
      </c>
      <c r="W627" s="9">
        <v>20.35176903227914</v>
      </c>
      <c r="X627" s="9">
        <v>19.91589544268896</v>
      </c>
      <c r="Y627" s="9">
        <v>19.91589544268896</v>
      </c>
      <c r="Z627" s="9">
        <v>21.609947773831163</v>
      </c>
      <c r="AA627" s="9">
        <v>21.609947773831163</v>
      </c>
      <c r="AB627" s="9">
        <v>23.372671736151272</v>
      </c>
      <c r="AC627" s="9">
        <v>23.372671736151272</v>
      </c>
      <c r="AD627" s="9">
        <v>26.430826810726163</v>
      </c>
      <c r="AE627" s="9">
        <v>27.959768706413232</v>
      </c>
      <c r="AF627" s="9">
        <v>29.772701744670762</v>
      </c>
      <c r="AG627" s="9">
        <v>29.772701744670762</v>
      </c>
      <c r="AH627" s="9">
        <v>32.589351949315954</v>
      </c>
      <c r="AI627" s="9">
        <v>34.825222308406182</v>
      </c>
      <c r="AJ627" s="9">
        <v>3.0428788910505911</v>
      </c>
    </row>
    <row r="628" spans="1:36" x14ac:dyDescent="0.25">
      <c r="A628" t="s">
        <v>5411</v>
      </c>
      <c r="B628" t="s">
        <v>16</v>
      </c>
      <c r="C628" t="s">
        <v>17</v>
      </c>
      <c r="D628">
        <v>18500000</v>
      </c>
      <c r="E628">
        <v>18519999</v>
      </c>
      <c r="F628" t="s">
        <v>569</v>
      </c>
      <c r="G628" t="str">
        <f t="shared" si="18"/>
        <v>SPI II</v>
      </c>
      <c r="H628" t="s">
        <v>19</v>
      </c>
      <c r="I628" t="s">
        <v>20</v>
      </c>
      <c r="J628" t="s">
        <v>64</v>
      </c>
      <c r="K628" s="6">
        <v>0.03</v>
      </c>
      <c r="L628" s="7">
        <f t="shared" si="19"/>
        <v>2E-3</v>
      </c>
      <c r="M628" s="7">
        <v>3.0000000000000001E-3</v>
      </c>
      <c r="N628">
        <v>8</v>
      </c>
      <c r="O628" s="8">
        <v>17.934556092922943</v>
      </c>
      <c r="P628" s="9">
        <v>17.934556092922943</v>
      </c>
      <c r="Q628" s="9">
        <v>17.934556092922943</v>
      </c>
      <c r="R628" s="9">
        <v>18.35577997371016</v>
      </c>
      <c r="S628" s="9">
        <v>18.404835306435746</v>
      </c>
      <c r="T628" s="9">
        <v>19.112621008962602</v>
      </c>
      <c r="U628" s="9">
        <v>20.35176903227914</v>
      </c>
      <c r="V628" s="9">
        <v>20.35176903227914</v>
      </c>
      <c r="W628" s="9">
        <v>20.35176903227914</v>
      </c>
      <c r="X628" s="9">
        <v>19.91589544268896</v>
      </c>
      <c r="Y628" s="9">
        <v>19.91589544268896</v>
      </c>
      <c r="Z628" s="9">
        <v>21.609947773831163</v>
      </c>
      <c r="AA628" s="9">
        <v>21.609947773831163</v>
      </c>
      <c r="AB628" s="9">
        <v>23.372671736151272</v>
      </c>
      <c r="AC628" s="9">
        <v>23.372671736151272</v>
      </c>
      <c r="AD628" s="9">
        <v>26.430826810726163</v>
      </c>
      <c r="AE628" s="9">
        <v>27.959768706413232</v>
      </c>
      <c r="AF628" s="9">
        <v>29.772701744670762</v>
      </c>
      <c r="AG628" s="9">
        <v>29.772701744670762</v>
      </c>
      <c r="AH628" s="9">
        <v>32.589351949315954</v>
      </c>
      <c r="AI628" s="9">
        <v>34.825222308406182</v>
      </c>
      <c r="AJ628" s="9">
        <v>3.0428788910505911</v>
      </c>
    </row>
    <row r="629" spans="1:36" x14ac:dyDescent="0.25">
      <c r="A629" t="s">
        <v>5411</v>
      </c>
      <c r="B629" t="s">
        <v>16</v>
      </c>
      <c r="C629" t="s">
        <v>17</v>
      </c>
      <c r="D629">
        <v>18520000</v>
      </c>
      <c r="E629">
        <v>18529999</v>
      </c>
      <c r="F629" t="s">
        <v>570</v>
      </c>
      <c r="G629" t="str">
        <f t="shared" si="18"/>
        <v>SPI</v>
      </c>
      <c r="H629" t="s">
        <v>19</v>
      </c>
      <c r="I629" t="s">
        <v>20</v>
      </c>
      <c r="J629" t="s">
        <v>62</v>
      </c>
      <c r="K629" s="6">
        <v>0.03</v>
      </c>
      <c r="L629" s="7">
        <f t="shared" si="19"/>
        <v>2E-3</v>
      </c>
      <c r="M629" s="7">
        <v>3.0000000000000001E-3</v>
      </c>
      <c r="N629">
        <v>7</v>
      </c>
      <c r="O629" s="8">
        <v>14.260089507934383</v>
      </c>
      <c r="P629" s="9">
        <v>14.260089507934383</v>
      </c>
      <c r="Q629" s="9">
        <v>14.260089507934383</v>
      </c>
      <c r="R629" s="9">
        <v>14.434686024139818</v>
      </c>
      <c r="S629" s="9">
        <v>14.722027102535575</v>
      </c>
      <c r="T629" s="9">
        <v>15.677715915555218</v>
      </c>
      <c r="U629" s="9">
        <v>17.010379604817192</v>
      </c>
      <c r="V629" s="9">
        <v>17.010379604817192</v>
      </c>
      <c r="W629" s="9">
        <v>17.010379604817192</v>
      </c>
      <c r="X629" s="9">
        <v>16.884570568466835</v>
      </c>
      <c r="Y629" s="9">
        <v>16.884570568466835</v>
      </c>
      <c r="Z629" s="9">
        <v>18.617757359760585</v>
      </c>
      <c r="AA629" s="9">
        <v>18.617757359760585</v>
      </c>
      <c r="AB629" s="9">
        <v>20.52292271594289</v>
      </c>
      <c r="AC629" s="9">
        <v>20.52292271594289</v>
      </c>
      <c r="AD629" s="9">
        <v>22.530627040176761</v>
      </c>
      <c r="AE629" s="9">
        <v>24.654059850225856</v>
      </c>
      <c r="AF629" s="9">
        <v>28.622962393602329</v>
      </c>
      <c r="AG629" s="9">
        <v>28.622962393602329</v>
      </c>
      <c r="AH629" s="9">
        <v>31.011605245024167</v>
      </c>
      <c r="AI629" s="9">
        <v>33.330799286496742</v>
      </c>
      <c r="AJ629" s="9">
        <v>3.0428788910505911</v>
      </c>
    </row>
    <row r="630" spans="1:36" x14ac:dyDescent="0.25">
      <c r="A630" t="s">
        <v>5411</v>
      </c>
      <c r="B630" t="s">
        <v>16</v>
      </c>
      <c r="C630" t="s">
        <v>17</v>
      </c>
      <c r="D630">
        <v>18530000</v>
      </c>
      <c r="E630">
        <v>18534999</v>
      </c>
      <c r="F630" t="s">
        <v>571</v>
      </c>
      <c r="G630" t="str">
        <f t="shared" si="18"/>
        <v>SPI</v>
      </c>
      <c r="H630" t="s">
        <v>19</v>
      </c>
      <c r="I630" t="s">
        <v>20</v>
      </c>
      <c r="J630" t="s">
        <v>62</v>
      </c>
      <c r="K630" s="6">
        <v>0.03</v>
      </c>
      <c r="L630" s="7">
        <f t="shared" si="19"/>
        <v>2E-3</v>
      </c>
      <c r="M630" s="7">
        <v>3.0000000000000001E-3</v>
      </c>
      <c r="N630">
        <v>8</v>
      </c>
      <c r="O630" s="8">
        <v>14.260089507934383</v>
      </c>
      <c r="P630" s="9">
        <v>14.260089507934383</v>
      </c>
      <c r="Q630" s="9">
        <v>14.260089507934383</v>
      </c>
      <c r="R630" s="9">
        <v>14.434686024139818</v>
      </c>
      <c r="S630" s="9">
        <v>14.722027102535575</v>
      </c>
      <c r="T630" s="9">
        <v>15.677715915555218</v>
      </c>
      <c r="U630" s="9">
        <v>17.010379604817192</v>
      </c>
      <c r="V630" s="9">
        <v>17.010379604817192</v>
      </c>
      <c r="W630" s="9">
        <v>17.010379604817192</v>
      </c>
      <c r="X630" s="9">
        <v>16.884570568466835</v>
      </c>
      <c r="Y630" s="9">
        <v>16.884570568466835</v>
      </c>
      <c r="Z630" s="9">
        <v>18.617757359760585</v>
      </c>
      <c r="AA630" s="9">
        <v>18.617757359760585</v>
      </c>
      <c r="AB630" s="9">
        <v>20.52292271594289</v>
      </c>
      <c r="AC630" s="9">
        <v>20.52292271594289</v>
      </c>
      <c r="AD630" s="9">
        <v>22.530627040176761</v>
      </c>
      <c r="AE630" s="9">
        <v>24.654059850225856</v>
      </c>
      <c r="AF630" s="9">
        <v>28.622962393602329</v>
      </c>
      <c r="AG630" s="9">
        <v>28.622962393602329</v>
      </c>
      <c r="AH630" s="9">
        <v>31.011605245024167</v>
      </c>
      <c r="AI630" s="9">
        <v>33.330799286496742</v>
      </c>
      <c r="AJ630" s="9">
        <v>3.0428788910505911</v>
      </c>
    </row>
    <row r="631" spans="1:36" x14ac:dyDescent="0.25">
      <c r="A631" t="s">
        <v>5411</v>
      </c>
      <c r="B631" t="s">
        <v>16</v>
      </c>
      <c r="C631" t="s">
        <v>17</v>
      </c>
      <c r="D631">
        <v>18535000</v>
      </c>
      <c r="E631">
        <v>18539999</v>
      </c>
      <c r="F631" t="s">
        <v>572</v>
      </c>
      <c r="G631" t="str">
        <f t="shared" si="18"/>
        <v>SPI II</v>
      </c>
      <c r="H631" t="s">
        <v>19</v>
      </c>
      <c r="I631" t="s">
        <v>20</v>
      </c>
      <c r="J631" t="s">
        <v>64</v>
      </c>
      <c r="K631" s="6">
        <v>0.03</v>
      </c>
      <c r="L631" s="7">
        <f t="shared" si="19"/>
        <v>2E-3</v>
      </c>
      <c r="M631" s="7">
        <v>3.0000000000000001E-3</v>
      </c>
      <c r="N631">
        <v>8</v>
      </c>
      <c r="O631" s="8">
        <v>17.934556092922943</v>
      </c>
      <c r="P631" s="9">
        <v>17.934556092922943</v>
      </c>
      <c r="Q631" s="9">
        <v>17.934556092922943</v>
      </c>
      <c r="R631" s="9">
        <v>18.35577997371016</v>
      </c>
      <c r="S631" s="9">
        <v>18.404835306435746</v>
      </c>
      <c r="T631" s="9">
        <v>19.112621008962602</v>
      </c>
      <c r="U631" s="9">
        <v>20.35176903227914</v>
      </c>
      <c r="V631" s="9">
        <v>20.35176903227914</v>
      </c>
      <c r="W631" s="9">
        <v>20.35176903227914</v>
      </c>
      <c r="X631" s="9">
        <v>19.91589544268896</v>
      </c>
      <c r="Y631" s="9">
        <v>19.91589544268896</v>
      </c>
      <c r="Z631" s="9">
        <v>21.609947773831163</v>
      </c>
      <c r="AA631" s="9">
        <v>21.609947773831163</v>
      </c>
      <c r="AB631" s="9">
        <v>23.372671736151272</v>
      </c>
      <c r="AC631" s="9">
        <v>23.372671736151272</v>
      </c>
      <c r="AD631" s="9">
        <v>26.430826810726163</v>
      </c>
      <c r="AE631" s="9">
        <v>27.959768706413232</v>
      </c>
      <c r="AF631" s="9">
        <v>29.772701744670762</v>
      </c>
      <c r="AG631" s="9">
        <v>29.772701744670762</v>
      </c>
      <c r="AH631" s="9">
        <v>32.589351949315954</v>
      </c>
      <c r="AI631" s="9">
        <v>34.825222308406182</v>
      </c>
      <c r="AJ631" s="9">
        <v>3.0428788910505911</v>
      </c>
    </row>
    <row r="632" spans="1:36" x14ac:dyDescent="0.25">
      <c r="A632" t="s">
        <v>5411</v>
      </c>
      <c r="B632" t="s">
        <v>16</v>
      </c>
      <c r="C632" t="s">
        <v>17</v>
      </c>
      <c r="D632">
        <v>18540000</v>
      </c>
      <c r="E632">
        <v>18549999</v>
      </c>
      <c r="F632" t="s">
        <v>573</v>
      </c>
      <c r="G632" t="str">
        <f t="shared" si="18"/>
        <v>SPI</v>
      </c>
      <c r="H632" t="s">
        <v>19</v>
      </c>
      <c r="I632" t="s">
        <v>20</v>
      </c>
      <c r="J632" t="s">
        <v>62</v>
      </c>
      <c r="K632" s="6">
        <v>0.03</v>
      </c>
      <c r="L632" s="7">
        <f t="shared" si="19"/>
        <v>2E-3</v>
      </c>
      <c r="M632" s="7">
        <v>3.0000000000000001E-3</v>
      </c>
      <c r="N632">
        <v>7</v>
      </c>
      <c r="O632" s="8">
        <v>14.260089507934383</v>
      </c>
      <c r="P632" s="9">
        <v>14.260089507934383</v>
      </c>
      <c r="Q632" s="9">
        <v>14.260089507934383</v>
      </c>
      <c r="R632" s="9">
        <v>14.434686024139818</v>
      </c>
      <c r="S632" s="9">
        <v>14.722027102535575</v>
      </c>
      <c r="T632" s="9">
        <v>15.677715915555218</v>
      </c>
      <c r="U632" s="9">
        <v>17.010379604817192</v>
      </c>
      <c r="V632" s="9">
        <v>17.010379604817192</v>
      </c>
      <c r="W632" s="9">
        <v>17.010379604817192</v>
      </c>
      <c r="X632" s="9">
        <v>16.884570568466835</v>
      </c>
      <c r="Y632" s="9">
        <v>16.884570568466835</v>
      </c>
      <c r="Z632" s="9">
        <v>18.617757359760585</v>
      </c>
      <c r="AA632" s="9">
        <v>18.617757359760585</v>
      </c>
      <c r="AB632" s="9">
        <v>20.52292271594289</v>
      </c>
      <c r="AC632" s="9">
        <v>20.52292271594289</v>
      </c>
      <c r="AD632" s="9">
        <v>22.530627040176761</v>
      </c>
      <c r="AE632" s="9">
        <v>24.654059850225856</v>
      </c>
      <c r="AF632" s="9">
        <v>28.622962393602329</v>
      </c>
      <c r="AG632" s="9">
        <v>28.622962393602329</v>
      </c>
      <c r="AH632" s="9">
        <v>31.011605245024167</v>
      </c>
      <c r="AI632" s="9">
        <v>33.330799286496742</v>
      </c>
      <c r="AJ632" s="9">
        <v>3.0428788910505911</v>
      </c>
    </row>
    <row r="633" spans="1:36" x14ac:dyDescent="0.25">
      <c r="A633" t="s">
        <v>5411</v>
      </c>
      <c r="B633" t="s">
        <v>16</v>
      </c>
      <c r="C633" t="s">
        <v>17</v>
      </c>
      <c r="D633">
        <v>18550000</v>
      </c>
      <c r="E633">
        <v>18559999</v>
      </c>
      <c r="F633" t="s">
        <v>574</v>
      </c>
      <c r="G633" t="str">
        <f t="shared" si="18"/>
        <v>SPI</v>
      </c>
      <c r="H633" t="s">
        <v>19</v>
      </c>
      <c r="I633" t="s">
        <v>20</v>
      </c>
      <c r="J633" t="s">
        <v>62</v>
      </c>
      <c r="K633" s="6">
        <v>0.03</v>
      </c>
      <c r="L633" s="7">
        <f t="shared" si="19"/>
        <v>2E-3</v>
      </c>
      <c r="M633" s="7">
        <v>3.0000000000000001E-3</v>
      </c>
      <c r="N633">
        <v>6</v>
      </c>
      <c r="O633" s="8">
        <v>14.260089507934383</v>
      </c>
      <c r="P633" s="9">
        <v>14.260089507934383</v>
      </c>
      <c r="Q633" s="9">
        <v>14.260089507934383</v>
      </c>
      <c r="R633" s="9">
        <v>14.434686024139818</v>
      </c>
      <c r="S633" s="9">
        <v>14.722027102535575</v>
      </c>
      <c r="T633" s="9">
        <v>15.677715915555218</v>
      </c>
      <c r="U633" s="9">
        <v>17.010379604817192</v>
      </c>
      <c r="V633" s="9">
        <v>17.010379604817192</v>
      </c>
      <c r="W633" s="9">
        <v>17.010379604817192</v>
      </c>
      <c r="X633" s="9">
        <v>16.884570568466835</v>
      </c>
      <c r="Y633" s="9">
        <v>16.884570568466835</v>
      </c>
      <c r="Z633" s="9">
        <v>18.617757359760585</v>
      </c>
      <c r="AA633" s="9">
        <v>18.617757359760585</v>
      </c>
      <c r="AB633" s="9">
        <v>20.52292271594289</v>
      </c>
      <c r="AC633" s="9">
        <v>20.52292271594289</v>
      </c>
      <c r="AD633" s="9">
        <v>22.530627040176761</v>
      </c>
      <c r="AE633" s="9">
        <v>24.654059850225856</v>
      </c>
      <c r="AF633" s="9">
        <v>28.622962393602329</v>
      </c>
      <c r="AG633" s="9">
        <v>28.622962393602329</v>
      </c>
      <c r="AH633" s="9">
        <v>31.011605245024167</v>
      </c>
      <c r="AI633" s="9">
        <v>33.330799286496742</v>
      </c>
      <c r="AJ633" s="9">
        <v>3.0428788910505911</v>
      </c>
    </row>
    <row r="634" spans="1:36" x14ac:dyDescent="0.25">
      <c r="A634" t="s">
        <v>5411</v>
      </c>
      <c r="B634" t="s">
        <v>16</v>
      </c>
      <c r="C634" t="s">
        <v>17</v>
      </c>
      <c r="D634">
        <v>18560000</v>
      </c>
      <c r="E634">
        <v>18579999</v>
      </c>
      <c r="F634" t="s">
        <v>575</v>
      </c>
      <c r="G634" t="str">
        <f t="shared" si="18"/>
        <v>SPI II</v>
      </c>
      <c r="H634" t="s">
        <v>19</v>
      </c>
      <c r="I634" t="s">
        <v>20</v>
      </c>
      <c r="J634" t="s">
        <v>64</v>
      </c>
      <c r="K634" s="6">
        <v>0.03</v>
      </c>
      <c r="L634" s="7">
        <f t="shared" si="19"/>
        <v>2E-3</v>
      </c>
      <c r="M634" s="7">
        <v>3.0000000000000001E-3</v>
      </c>
      <c r="N634">
        <v>8</v>
      </c>
      <c r="O634" s="8">
        <v>17.934556092922943</v>
      </c>
      <c r="P634" s="9">
        <v>17.934556092922943</v>
      </c>
      <c r="Q634" s="9">
        <v>17.934556092922943</v>
      </c>
      <c r="R634" s="9">
        <v>18.35577997371016</v>
      </c>
      <c r="S634" s="9">
        <v>18.404835306435746</v>
      </c>
      <c r="T634" s="9">
        <v>19.112621008962602</v>
      </c>
      <c r="U634" s="9">
        <v>20.35176903227914</v>
      </c>
      <c r="V634" s="9">
        <v>20.35176903227914</v>
      </c>
      <c r="W634" s="9">
        <v>20.35176903227914</v>
      </c>
      <c r="X634" s="9">
        <v>19.91589544268896</v>
      </c>
      <c r="Y634" s="9">
        <v>19.91589544268896</v>
      </c>
      <c r="Z634" s="9">
        <v>21.609947773831163</v>
      </c>
      <c r="AA634" s="9">
        <v>21.609947773831163</v>
      </c>
      <c r="AB634" s="9">
        <v>23.372671736151272</v>
      </c>
      <c r="AC634" s="9">
        <v>23.372671736151272</v>
      </c>
      <c r="AD634" s="9">
        <v>26.430826810726163</v>
      </c>
      <c r="AE634" s="9">
        <v>27.959768706413232</v>
      </c>
      <c r="AF634" s="9">
        <v>29.772701744670762</v>
      </c>
      <c r="AG634" s="9">
        <v>29.772701744670762</v>
      </c>
      <c r="AH634" s="9">
        <v>32.589351949315954</v>
      </c>
      <c r="AI634" s="9">
        <v>34.825222308406182</v>
      </c>
      <c r="AJ634" s="9">
        <v>3.0428788910505911</v>
      </c>
    </row>
    <row r="635" spans="1:36" x14ac:dyDescent="0.25">
      <c r="A635" t="s">
        <v>5411</v>
      </c>
      <c r="B635" t="s">
        <v>16</v>
      </c>
      <c r="C635" t="s">
        <v>17</v>
      </c>
      <c r="D635">
        <v>18580000</v>
      </c>
      <c r="E635">
        <v>18589999</v>
      </c>
      <c r="F635" t="s">
        <v>576</v>
      </c>
      <c r="G635" t="str">
        <f t="shared" si="18"/>
        <v>SPI II</v>
      </c>
      <c r="H635" t="s">
        <v>19</v>
      </c>
      <c r="I635" t="s">
        <v>20</v>
      </c>
      <c r="J635" t="s">
        <v>64</v>
      </c>
      <c r="K635" s="6">
        <v>0.03</v>
      </c>
      <c r="L635" s="7">
        <f t="shared" si="19"/>
        <v>2E-3</v>
      </c>
      <c r="M635" s="7">
        <v>3.0000000000000001E-3</v>
      </c>
      <c r="N635">
        <v>8</v>
      </c>
      <c r="O635" s="8">
        <v>17.934556092922943</v>
      </c>
      <c r="P635" s="9">
        <v>17.934556092922943</v>
      </c>
      <c r="Q635" s="9">
        <v>17.934556092922943</v>
      </c>
      <c r="R635" s="9">
        <v>18.35577997371016</v>
      </c>
      <c r="S635" s="9">
        <v>18.404835306435746</v>
      </c>
      <c r="T635" s="9">
        <v>19.112621008962602</v>
      </c>
      <c r="U635" s="9">
        <v>20.35176903227914</v>
      </c>
      <c r="V635" s="9">
        <v>20.35176903227914</v>
      </c>
      <c r="W635" s="9">
        <v>20.35176903227914</v>
      </c>
      <c r="X635" s="9">
        <v>19.91589544268896</v>
      </c>
      <c r="Y635" s="9">
        <v>19.91589544268896</v>
      </c>
      <c r="Z635" s="9">
        <v>21.609947773831163</v>
      </c>
      <c r="AA635" s="9">
        <v>21.609947773831163</v>
      </c>
      <c r="AB635" s="9">
        <v>23.372671736151272</v>
      </c>
      <c r="AC635" s="9">
        <v>23.372671736151272</v>
      </c>
      <c r="AD635" s="9">
        <v>26.430826810726163</v>
      </c>
      <c r="AE635" s="9">
        <v>27.959768706413232</v>
      </c>
      <c r="AF635" s="9">
        <v>29.772701744670762</v>
      </c>
      <c r="AG635" s="9">
        <v>29.772701744670762</v>
      </c>
      <c r="AH635" s="9">
        <v>32.589351949315954</v>
      </c>
      <c r="AI635" s="9">
        <v>34.825222308406182</v>
      </c>
      <c r="AJ635" s="9">
        <v>3.0428788910505911</v>
      </c>
    </row>
    <row r="636" spans="1:36" x14ac:dyDescent="0.25">
      <c r="A636" t="s">
        <v>5411</v>
      </c>
      <c r="B636" t="s">
        <v>16</v>
      </c>
      <c r="C636" t="s">
        <v>17</v>
      </c>
      <c r="D636">
        <v>18590000</v>
      </c>
      <c r="E636">
        <v>18599999</v>
      </c>
      <c r="F636" t="s">
        <v>577</v>
      </c>
      <c r="G636" t="str">
        <f t="shared" si="18"/>
        <v>SPI II</v>
      </c>
      <c r="H636" t="s">
        <v>19</v>
      </c>
      <c r="I636" t="s">
        <v>20</v>
      </c>
      <c r="J636" t="s">
        <v>64</v>
      </c>
      <c r="K636" s="6">
        <v>0.03</v>
      </c>
      <c r="L636" s="7">
        <f t="shared" si="19"/>
        <v>2E-3</v>
      </c>
      <c r="M636" s="7">
        <v>3.0000000000000001E-3</v>
      </c>
      <c r="N636">
        <v>9</v>
      </c>
      <c r="O636" s="8">
        <v>17.934556092922943</v>
      </c>
      <c r="P636" s="9">
        <v>17.934556092922943</v>
      </c>
      <c r="Q636" s="9">
        <v>17.934556092922943</v>
      </c>
      <c r="R636" s="9">
        <v>18.35577997371016</v>
      </c>
      <c r="S636" s="9">
        <v>18.404835306435746</v>
      </c>
      <c r="T636" s="9">
        <v>19.112621008962602</v>
      </c>
      <c r="U636" s="9">
        <v>20.35176903227914</v>
      </c>
      <c r="V636" s="9">
        <v>20.35176903227914</v>
      </c>
      <c r="W636" s="9">
        <v>20.35176903227914</v>
      </c>
      <c r="X636" s="9">
        <v>19.91589544268896</v>
      </c>
      <c r="Y636" s="9">
        <v>19.91589544268896</v>
      </c>
      <c r="Z636" s="9">
        <v>21.609947773831163</v>
      </c>
      <c r="AA636" s="9">
        <v>21.609947773831163</v>
      </c>
      <c r="AB636" s="9">
        <v>23.372671736151272</v>
      </c>
      <c r="AC636" s="9">
        <v>23.372671736151272</v>
      </c>
      <c r="AD636" s="9">
        <v>26.430826810726163</v>
      </c>
      <c r="AE636" s="9">
        <v>27.959768706413232</v>
      </c>
      <c r="AF636" s="9">
        <v>29.772701744670762</v>
      </c>
      <c r="AG636" s="9">
        <v>29.772701744670762</v>
      </c>
      <c r="AH636" s="9">
        <v>32.589351949315954</v>
      </c>
      <c r="AI636" s="9">
        <v>34.825222308406182</v>
      </c>
      <c r="AJ636" s="9">
        <v>3.0428788910505911</v>
      </c>
    </row>
    <row r="637" spans="1:36" x14ac:dyDescent="0.25">
      <c r="A637" t="s">
        <v>5411</v>
      </c>
      <c r="B637" t="s">
        <v>16</v>
      </c>
      <c r="C637" t="s">
        <v>17</v>
      </c>
      <c r="D637">
        <v>18600000</v>
      </c>
      <c r="E637">
        <v>18600999</v>
      </c>
      <c r="F637" t="s">
        <v>578</v>
      </c>
      <c r="G637" t="str">
        <f t="shared" si="18"/>
        <v>SPI II</v>
      </c>
      <c r="H637" t="s">
        <v>19</v>
      </c>
      <c r="I637" t="s">
        <v>20</v>
      </c>
      <c r="J637" t="s">
        <v>64</v>
      </c>
      <c r="K637" s="6">
        <v>0.03</v>
      </c>
      <c r="L637" s="7">
        <f t="shared" si="19"/>
        <v>2E-3</v>
      </c>
      <c r="M637" s="7">
        <v>3.0000000000000001E-3</v>
      </c>
      <c r="N637">
        <v>7</v>
      </c>
      <c r="O637" s="8">
        <v>17.934556092922943</v>
      </c>
      <c r="P637" s="9">
        <v>17.934556092922943</v>
      </c>
      <c r="Q637" s="9">
        <v>17.934556092922943</v>
      </c>
      <c r="R637" s="9">
        <v>18.35577997371016</v>
      </c>
      <c r="S637" s="9">
        <v>18.404835306435746</v>
      </c>
      <c r="T637" s="9">
        <v>19.112621008962602</v>
      </c>
      <c r="U637" s="9">
        <v>20.35176903227914</v>
      </c>
      <c r="V637" s="9">
        <v>20.35176903227914</v>
      </c>
      <c r="W637" s="9">
        <v>20.35176903227914</v>
      </c>
      <c r="X637" s="9">
        <v>19.91589544268896</v>
      </c>
      <c r="Y637" s="9">
        <v>19.91589544268896</v>
      </c>
      <c r="Z637" s="9">
        <v>21.609947773831163</v>
      </c>
      <c r="AA637" s="9">
        <v>21.609947773831163</v>
      </c>
      <c r="AB637" s="9">
        <v>23.372671736151272</v>
      </c>
      <c r="AC637" s="9">
        <v>23.372671736151272</v>
      </c>
      <c r="AD637" s="9">
        <v>26.430826810726163</v>
      </c>
      <c r="AE637" s="9">
        <v>27.959768706413232</v>
      </c>
      <c r="AF637" s="9">
        <v>29.772701744670762</v>
      </c>
      <c r="AG637" s="9">
        <v>29.772701744670762</v>
      </c>
      <c r="AH637" s="9">
        <v>32.589351949315954</v>
      </c>
      <c r="AI637" s="9">
        <v>34.825222308406182</v>
      </c>
      <c r="AJ637" s="9">
        <v>3.0428788910505911</v>
      </c>
    </row>
    <row r="638" spans="1:36" x14ac:dyDescent="0.25">
      <c r="A638" t="s">
        <v>5411</v>
      </c>
      <c r="B638" t="s">
        <v>16</v>
      </c>
      <c r="C638" t="s">
        <v>17</v>
      </c>
      <c r="D638">
        <v>18601000</v>
      </c>
      <c r="E638">
        <v>18619999</v>
      </c>
      <c r="F638" t="s">
        <v>578</v>
      </c>
      <c r="G638" t="str">
        <f t="shared" si="18"/>
        <v>SPI II</v>
      </c>
      <c r="H638" t="s">
        <v>19</v>
      </c>
      <c r="I638" t="s">
        <v>20</v>
      </c>
      <c r="J638" t="s">
        <v>64</v>
      </c>
      <c r="K638" s="6">
        <v>0.03</v>
      </c>
      <c r="L638" s="7">
        <f t="shared" si="19"/>
        <v>2E-3</v>
      </c>
      <c r="M638" s="7">
        <v>3.0000000000000001E-3</v>
      </c>
      <c r="N638">
        <v>7</v>
      </c>
      <c r="O638" s="8">
        <v>17.934556092922943</v>
      </c>
      <c r="P638" s="9">
        <v>17.934556092922943</v>
      </c>
      <c r="Q638" s="9">
        <v>17.934556092922943</v>
      </c>
      <c r="R638" s="9">
        <v>18.35577997371016</v>
      </c>
      <c r="S638" s="9">
        <v>18.404835306435746</v>
      </c>
      <c r="T638" s="9">
        <v>19.112621008962602</v>
      </c>
      <c r="U638" s="9">
        <v>20.35176903227914</v>
      </c>
      <c r="V638" s="9">
        <v>20.35176903227914</v>
      </c>
      <c r="W638" s="9">
        <v>20.35176903227914</v>
      </c>
      <c r="X638" s="9">
        <v>19.91589544268896</v>
      </c>
      <c r="Y638" s="9">
        <v>19.91589544268896</v>
      </c>
      <c r="Z638" s="9">
        <v>21.609947773831163</v>
      </c>
      <c r="AA638" s="9">
        <v>21.609947773831163</v>
      </c>
      <c r="AB638" s="9">
        <v>23.372671736151272</v>
      </c>
      <c r="AC638" s="9">
        <v>23.372671736151272</v>
      </c>
      <c r="AD638" s="9">
        <v>26.430826810726163</v>
      </c>
      <c r="AE638" s="9">
        <v>27.959768706413232</v>
      </c>
      <c r="AF638" s="9">
        <v>29.772701744670762</v>
      </c>
      <c r="AG638" s="9">
        <v>29.772701744670762</v>
      </c>
      <c r="AH638" s="9">
        <v>32.589351949315954</v>
      </c>
      <c r="AI638" s="9">
        <v>34.825222308406182</v>
      </c>
      <c r="AJ638" s="9">
        <v>3.0428788910505911</v>
      </c>
    </row>
    <row r="639" spans="1:36" x14ac:dyDescent="0.25">
      <c r="A639" t="s">
        <v>5411</v>
      </c>
      <c r="B639" t="s">
        <v>16</v>
      </c>
      <c r="C639" t="s">
        <v>17</v>
      </c>
      <c r="D639">
        <v>18620000</v>
      </c>
      <c r="E639">
        <v>18639999</v>
      </c>
      <c r="F639" t="s">
        <v>579</v>
      </c>
      <c r="G639" t="str">
        <f t="shared" si="18"/>
        <v>SPR</v>
      </c>
      <c r="H639" t="s">
        <v>19</v>
      </c>
      <c r="I639" t="s">
        <v>20</v>
      </c>
      <c r="J639" t="s">
        <v>77</v>
      </c>
      <c r="K639" s="6">
        <v>0.03</v>
      </c>
      <c r="L639" s="7">
        <f t="shared" si="19"/>
        <v>2E-3</v>
      </c>
      <c r="M639" s="7">
        <v>3.0000000000000001E-3</v>
      </c>
      <c r="N639">
        <v>13</v>
      </c>
      <c r="O639" s="8">
        <v>26.611209830054129</v>
      </c>
      <c r="P639" s="9">
        <v>26.611209830054129</v>
      </c>
      <c r="Q639" s="9">
        <v>26.611209830054129</v>
      </c>
      <c r="R639" s="9">
        <v>27.647760246913514</v>
      </c>
      <c r="S639" s="9">
        <v>28.483539200322319</v>
      </c>
      <c r="T639" s="9">
        <v>29.244822799499698</v>
      </c>
      <c r="U639" s="9">
        <v>31.379671510701762</v>
      </c>
      <c r="V639" s="9">
        <v>31.379671510701762</v>
      </c>
      <c r="W639" s="9">
        <v>31.379671510701762</v>
      </c>
      <c r="X639" s="9">
        <v>34.250510560182867</v>
      </c>
      <c r="Y639" s="9">
        <v>34.250510560182867</v>
      </c>
      <c r="Z639" s="9">
        <v>37.271704438917176</v>
      </c>
      <c r="AA639" s="9">
        <v>37.271704438917176</v>
      </c>
      <c r="AB639" s="9">
        <v>40.458288629830058</v>
      </c>
      <c r="AC639" s="9">
        <v>40.458288629830058</v>
      </c>
      <c r="AD639" s="9">
        <v>43.826802164139323</v>
      </c>
      <c r="AE639" s="9">
        <v>47.523241367157013</v>
      </c>
      <c r="AF639" s="9">
        <v>51.713576824258396</v>
      </c>
      <c r="AG639" s="9">
        <v>51.713576824258396</v>
      </c>
      <c r="AH639" s="9">
        <v>56.658816723629734</v>
      </c>
      <c r="AI639" s="9">
        <v>61.577420347834391</v>
      </c>
      <c r="AJ639" s="9">
        <v>3.0428788910505911</v>
      </c>
    </row>
    <row r="640" spans="1:36" x14ac:dyDescent="0.25">
      <c r="A640" t="s">
        <v>5411</v>
      </c>
      <c r="B640" t="s">
        <v>16</v>
      </c>
      <c r="C640" t="s">
        <v>17</v>
      </c>
      <c r="D640">
        <v>18640000</v>
      </c>
      <c r="E640">
        <v>18649999</v>
      </c>
      <c r="F640" t="s">
        <v>580</v>
      </c>
      <c r="G640" t="str">
        <f t="shared" si="18"/>
        <v>SPR</v>
      </c>
      <c r="H640" t="s">
        <v>19</v>
      </c>
      <c r="I640" t="s">
        <v>20</v>
      </c>
      <c r="J640" t="s">
        <v>77</v>
      </c>
      <c r="K640" s="6">
        <v>0.03</v>
      </c>
      <c r="L640" s="7">
        <f t="shared" si="19"/>
        <v>2E-3</v>
      </c>
      <c r="M640" s="7">
        <v>3.0000000000000001E-3</v>
      </c>
      <c r="N640">
        <v>13</v>
      </c>
      <c r="O640" s="8">
        <v>26.611209830054129</v>
      </c>
      <c r="P640" s="9">
        <v>26.611209830054129</v>
      </c>
      <c r="Q640" s="9">
        <v>26.611209830054129</v>
      </c>
      <c r="R640" s="9">
        <v>27.647760246913514</v>
      </c>
      <c r="S640" s="9">
        <v>28.483539200322319</v>
      </c>
      <c r="T640" s="9">
        <v>29.244822799499698</v>
      </c>
      <c r="U640" s="9">
        <v>31.379671510701762</v>
      </c>
      <c r="V640" s="9">
        <v>31.379671510701762</v>
      </c>
      <c r="W640" s="9">
        <v>31.379671510701762</v>
      </c>
      <c r="X640" s="9">
        <v>34.250510560182867</v>
      </c>
      <c r="Y640" s="9">
        <v>34.250510560182867</v>
      </c>
      <c r="Z640" s="9">
        <v>37.271704438917176</v>
      </c>
      <c r="AA640" s="9">
        <v>37.271704438917176</v>
      </c>
      <c r="AB640" s="9">
        <v>40.458288629830058</v>
      </c>
      <c r="AC640" s="9">
        <v>40.458288629830058</v>
      </c>
      <c r="AD640" s="9">
        <v>43.826802164139323</v>
      </c>
      <c r="AE640" s="9">
        <v>47.523241367157013</v>
      </c>
      <c r="AF640" s="9">
        <v>51.713576824258396</v>
      </c>
      <c r="AG640" s="9">
        <v>51.713576824258396</v>
      </c>
      <c r="AH640" s="9">
        <v>56.658816723629734</v>
      </c>
      <c r="AI640" s="9">
        <v>61.577420347834391</v>
      </c>
      <c r="AJ640" s="9">
        <v>3.0428788910505911</v>
      </c>
    </row>
    <row r="641" spans="1:36" x14ac:dyDescent="0.25">
      <c r="A641" t="s">
        <v>5411</v>
      </c>
      <c r="B641" t="s">
        <v>16</v>
      </c>
      <c r="C641" t="s">
        <v>17</v>
      </c>
      <c r="D641">
        <v>18650000</v>
      </c>
      <c r="E641">
        <v>18659999</v>
      </c>
      <c r="F641" t="s">
        <v>581</v>
      </c>
      <c r="G641" t="str">
        <f t="shared" si="18"/>
        <v>SPI II</v>
      </c>
      <c r="H641" t="s">
        <v>19</v>
      </c>
      <c r="I641" t="s">
        <v>20</v>
      </c>
      <c r="J641" t="s">
        <v>64</v>
      </c>
      <c r="K641" s="6">
        <v>0.03</v>
      </c>
      <c r="L641" s="7">
        <f t="shared" si="19"/>
        <v>2E-3</v>
      </c>
      <c r="M641" s="7">
        <v>3.0000000000000001E-3</v>
      </c>
      <c r="N641">
        <v>8</v>
      </c>
      <c r="O641" s="8">
        <v>17.934556092922943</v>
      </c>
      <c r="P641" s="9">
        <v>17.934556092922943</v>
      </c>
      <c r="Q641" s="9">
        <v>17.934556092922943</v>
      </c>
      <c r="R641" s="9">
        <v>18.35577997371016</v>
      </c>
      <c r="S641" s="9">
        <v>18.404835306435746</v>
      </c>
      <c r="T641" s="9">
        <v>19.112621008962602</v>
      </c>
      <c r="U641" s="9">
        <v>20.35176903227914</v>
      </c>
      <c r="V641" s="9">
        <v>20.35176903227914</v>
      </c>
      <c r="W641" s="9">
        <v>20.35176903227914</v>
      </c>
      <c r="X641" s="9">
        <v>19.91589544268896</v>
      </c>
      <c r="Y641" s="9">
        <v>19.91589544268896</v>
      </c>
      <c r="Z641" s="9">
        <v>21.609947773831163</v>
      </c>
      <c r="AA641" s="9">
        <v>21.609947773831163</v>
      </c>
      <c r="AB641" s="9">
        <v>23.372671736151272</v>
      </c>
      <c r="AC641" s="9">
        <v>23.372671736151272</v>
      </c>
      <c r="AD641" s="9">
        <v>26.430826810726163</v>
      </c>
      <c r="AE641" s="9">
        <v>27.959768706413232</v>
      </c>
      <c r="AF641" s="9">
        <v>29.772701744670762</v>
      </c>
      <c r="AG641" s="9">
        <v>29.772701744670762</v>
      </c>
      <c r="AH641" s="9">
        <v>32.589351949315954</v>
      </c>
      <c r="AI641" s="9">
        <v>34.825222308406182</v>
      </c>
      <c r="AJ641" s="9">
        <v>3.0428788910505911</v>
      </c>
    </row>
    <row r="642" spans="1:36" x14ac:dyDescent="0.25">
      <c r="A642" t="s">
        <v>5411</v>
      </c>
      <c r="B642" t="s">
        <v>16</v>
      </c>
      <c r="C642" t="s">
        <v>17</v>
      </c>
      <c r="D642">
        <v>18660000</v>
      </c>
      <c r="E642">
        <v>18669999</v>
      </c>
      <c r="F642" t="s">
        <v>582</v>
      </c>
      <c r="G642" t="str">
        <f t="shared" si="18"/>
        <v>SPI II</v>
      </c>
      <c r="H642" t="s">
        <v>19</v>
      </c>
      <c r="I642" t="s">
        <v>20</v>
      </c>
      <c r="J642" t="s">
        <v>64</v>
      </c>
      <c r="K642" s="6">
        <v>0.03</v>
      </c>
      <c r="L642" s="7">
        <f t="shared" si="19"/>
        <v>2E-3</v>
      </c>
      <c r="M642" s="7">
        <v>3.0000000000000001E-3</v>
      </c>
      <c r="N642">
        <v>8</v>
      </c>
      <c r="O642" s="8">
        <v>17.934556092922943</v>
      </c>
      <c r="P642" s="9">
        <v>17.934556092922943</v>
      </c>
      <c r="Q642" s="9">
        <v>17.934556092922943</v>
      </c>
      <c r="R642" s="9">
        <v>18.35577997371016</v>
      </c>
      <c r="S642" s="9">
        <v>18.404835306435746</v>
      </c>
      <c r="T642" s="9">
        <v>19.112621008962602</v>
      </c>
      <c r="U642" s="9">
        <v>20.35176903227914</v>
      </c>
      <c r="V642" s="9">
        <v>20.35176903227914</v>
      </c>
      <c r="W642" s="9">
        <v>20.35176903227914</v>
      </c>
      <c r="X642" s="9">
        <v>19.91589544268896</v>
      </c>
      <c r="Y642" s="9">
        <v>19.91589544268896</v>
      </c>
      <c r="Z642" s="9">
        <v>21.609947773831163</v>
      </c>
      <c r="AA642" s="9">
        <v>21.609947773831163</v>
      </c>
      <c r="AB642" s="9">
        <v>23.372671736151272</v>
      </c>
      <c r="AC642" s="9">
        <v>23.372671736151272</v>
      </c>
      <c r="AD642" s="9">
        <v>26.430826810726163</v>
      </c>
      <c r="AE642" s="9">
        <v>27.959768706413232</v>
      </c>
      <c r="AF642" s="9">
        <v>29.772701744670762</v>
      </c>
      <c r="AG642" s="9">
        <v>29.772701744670762</v>
      </c>
      <c r="AH642" s="9">
        <v>32.589351949315954</v>
      </c>
      <c r="AI642" s="9">
        <v>34.825222308406182</v>
      </c>
      <c r="AJ642" s="9">
        <v>3.0428788910505911</v>
      </c>
    </row>
    <row r="643" spans="1:36" x14ac:dyDescent="0.25">
      <c r="A643" t="s">
        <v>5411</v>
      </c>
      <c r="B643" t="s">
        <v>16</v>
      </c>
      <c r="C643" t="s">
        <v>17</v>
      </c>
      <c r="D643">
        <v>18670000</v>
      </c>
      <c r="E643">
        <v>18674999</v>
      </c>
      <c r="F643" t="s">
        <v>583</v>
      </c>
      <c r="G643" t="str">
        <f t="shared" si="18"/>
        <v>SPI II</v>
      </c>
      <c r="H643" t="s">
        <v>19</v>
      </c>
      <c r="I643" t="s">
        <v>20</v>
      </c>
      <c r="J643" t="s">
        <v>64</v>
      </c>
      <c r="K643" s="6">
        <v>0.03</v>
      </c>
      <c r="L643" s="7">
        <f t="shared" si="19"/>
        <v>2E-3</v>
      </c>
      <c r="M643" s="7">
        <v>3.0000000000000001E-3</v>
      </c>
      <c r="N643">
        <v>8</v>
      </c>
      <c r="O643" s="8">
        <v>17.934556092922943</v>
      </c>
      <c r="P643" s="9">
        <v>17.934556092922943</v>
      </c>
      <c r="Q643" s="9">
        <v>17.934556092922943</v>
      </c>
      <c r="R643" s="9">
        <v>18.35577997371016</v>
      </c>
      <c r="S643" s="9">
        <v>18.404835306435746</v>
      </c>
      <c r="T643" s="9">
        <v>19.112621008962602</v>
      </c>
      <c r="U643" s="9">
        <v>20.35176903227914</v>
      </c>
      <c r="V643" s="9">
        <v>20.35176903227914</v>
      </c>
      <c r="W643" s="9">
        <v>20.35176903227914</v>
      </c>
      <c r="X643" s="9">
        <v>19.91589544268896</v>
      </c>
      <c r="Y643" s="9">
        <v>19.91589544268896</v>
      </c>
      <c r="Z643" s="9">
        <v>21.609947773831163</v>
      </c>
      <c r="AA643" s="9">
        <v>21.609947773831163</v>
      </c>
      <c r="AB643" s="9">
        <v>23.372671736151272</v>
      </c>
      <c r="AC643" s="9">
        <v>23.372671736151272</v>
      </c>
      <c r="AD643" s="9">
        <v>26.430826810726163</v>
      </c>
      <c r="AE643" s="9">
        <v>27.959768706413232</v>
      </c>
      <c r="AF643" s="9">
        <v>29.772701744670762</v>
      </c>
      <c r="AG643" s="9">
        <v>29.772701744670762</v>
      </c>
      <c r="AH643" s="9">
        <v>32.589351949315954</v>
      </c>
      <c r="AI643" s="9">
        <v>34.825222308406182</v>
      </c>
      <c r="AJ643" s="9">
        <v>3.0428788910505911</v>
      </c>
    </row>
    <row r="644" spans="1:36" x14ac:dyDescent="0.25">
      <c r="A644" t="s">
        <v>5411</v>
      </c>
      <c r="B644" t="s">
        <v>16</v>
      </c>
      <c r="C644" t="s">
        <v>17</v>
      </c>
      <c r="D644">
        <v>18675000</v>
      </c>
      <c r="E644">
        <v>18679999</v>
      </c>
      <c r="F644" t="s">
        <v>584</v>
      </c>
      <c r="G644" t="str">
        <f t="shared" ref="G644:G707" si="20">H644&amp;IF(J644="CAPITAL","C",IF(J644="INTERIOR","I",IF(J644="INTERIOR II","I II","R")))</f>
        <v>SPI II</v>
      </c>
      <c r="H644" t="s">
        <v>19</v>
      </c>
      <c r="I644" t="s">
        <v>20</v>
      </c>
      <c r="J644" t="s">
        <v>64</v>
      </c>
      <c r="K644" s="6">
        <v>0.03</v>
      </c>
      <c r="L644" s="7">
        <f t="shared" ref="L644:L707" si="21">IF(I644="(0) Não",0.2%,3%)</f>
        <v>2E-3</v>
      </c>
      <c r="M644" s="7">
        <v>3.0000000000000001E-3</v>
      </c>
      <c r="N644">
        <v>8</v>
      </c>
      <c r="O644" s="8">
        <v>17.934556092922943</v>
      </c>
      <c r="P644" s="9">
        <v>17.934556092922943</v>
      </c>
      <c r="Q644" s="9">
        <v>17.934556092922943</v>
      </c>
      <c r="R644" s="9">
        <v>18.35577997371016</v>
      </c>
      <c r="S644" s="9">
        <v>18.404835306435746</v>
      </c>
      <c r="T644" s="9">
        <v>19.112621008962602</v>
      </c>
      <c r="U644" s="9">
        <v>20.35176903227914</v>
      </c>
      <c r="V644" s="9">
        <v>20.35176903227914</v>
      </c>
      <c r="W644" s="9">
        <v>20.35176903227914</v>
      </c>
      <c r="X644" s="9">
        <v>19.91589544268896</v>
      </c>
      <c r="Y644" s="9">
        <v>19.91589544268896</v>
      </c>
      <c r="Z644" s="9">
        <v>21.609947773831163</v>
      </c>
      <c r="AA644" s="9">
        <v>21.609947773831163</v>
      </c>
      <c r="AB644" s="9">
        <v>23.372671736151272</v>
      </c>
      <c r="AC644" s="9">
        <v>23.372671736151272</v>
      </c>
      <c r="AD644" s="9">
        <v>26.430826810726163</v>
      </c>
      <c r="AE644" s="9">
        <v>27.959768706413232</v>
      </c>
      <c r="AF644" s="9">
        <v>29.772701744670762</v>
      </c>
      <c r="AG644" s="9">
        <v>29.772701744670762</v>
      </c>
      <c r="AH644" s="9">
        <v>32.589351949315954</v>
      </c>
      <c r="AI644" s="9">
        <v>34.825222308406182</v>
      </c>
      <c r="AJ644" s="9">
        <v>3.0428788910505911</v>
      </c>
    </row>
    <row r="645" spans="1:36" x14ac:dyDescent="0.25">
      <c r="A645" t="s">
        <v>5411</v>
      </c>
      <c r="B645" t="s">
        <v>16</v>
      </c>
      <c r="C645" t="s">
        <v>17</v>
      </c>
      <c r="D645">
        <v>18680000</v>
      </c>
      <c r="E645">
        <v>18689999</v>
      </c>
      <c r="F645" t="s">
        <v>585</v>
      </c>
      <c r="G645" t="str">
        <f t="shared" si="20"/>
        <v>SPI II</v>
      </c>
      <c r="H645" t="s">
        <v>19</v>
      </c>
      <c r="I645" t="s">
        <v>20</v>
      </c>
      <c r="J645" t="s">
        <v>64</v>
      </c>
      <c r="K645" s="6">
        <v>0.03</v>
      </c>
      <c r="L645" s="7">
        <f t="shared" si="21"/>
        <v>2E-3</v>
      </c>
      <c r="M645" s="7">
        <v>3.0000000000000001E-3</v>
      </c>
      <c r="N645">
        <v>7</v>
      </c>
      <c r="O645" s="8">
        <v>17.934556092922943</v>
      </c>
      <c r="P645" s="9">
        <v>17.934556092922943</v>
      </c>
      <c r="Q645" s="9">
        <v>17.934556092922943</v>
      </c>
      <c r="R645" s="9">
        <v>18.35577997371016</v>
      </c>
      <c r="S645" s="9">
        <v>18.404835306435746</v>
      </c>
      <c r="T645" s="9">
        <v>19.112621008962602</v>
      </c>
      <c r="U645" s="9">
        <v>20.35176903227914</v>
      </c>
      <c r="V645" s="9">
        <v>20.35176903227914</v>
      </c>
      <c r="W645" s="9">
        <v>20.35176903227914</v>
      </c>
      <c r="X645" s="9">
        <v>19.91589544268896</v>
      </c>
      <c r="Y645" s="9">
        <v>19.91589544268896</v>
      </c>
      <c r="Z645" s="9">
        <v>21.609947773831163</v>
      </c>
      <c r="AA645" s="9">
        <v>21.609947773831163</v>
      </c>
      <c r="AB645" s="9">
        <v>23.372671736151272</v>
      </c>
      <c r="AC645" s="9">
        <v>23.372671736151272</v>
      </c>
      <c r="AD645" s="9">
        <v>26.430826810726163</v>
      </c>
      <c r="AE645" s="9">
        <v>27.959768706413232</v>
      </c>
      <c r="AF645" s="9">
        <v>29.772701744670762</v>
      </c>
      <c r="AG645" s="9">
        <v>29.772701744670762</v>
      </c>
      <c r="AH645" s="9">
        <v>32.589351949315954</v>
      </c>
      <c r="AI645" s="9">
        <v>34.825222308406182</v>
      </c>
      <c r="AJ645" s="9">
        <v>3.0428788910505911</v>
      </c>
    </row>
    <row r="646" spans="1:36" x14ac:dyDescent="0.25">
      <c r="A646" t="s">
        <v>5411</v>
      </c>
      <c r="B646" t="s">
        <v>16</v>
      </c>
      <c r="C646" t="s">
        <v>17</v>
      </c>
      <c r="D646">
        <v>18690000</v>
      </c>
      <c r="E646">
        <v>18699999</v>
      </c>
      <c r="F646" t="s">
        <v>586</v>
      </c>
      <c r="G646" t="str">
        <f t="shared" si="20"/>
        <v>SPI II</v>
      </c>
      <c r="H646" t="s">
        <v>19</v>
      </c>
      <c r="I646" t="s">
        <v>20</v>
      </c>
      <c r="J646" t="s">
        <v>64</v>
      </c>
      <c r="K646" s="6">
        <v>0.03</v>
      </c>
      <c r="L646" s="7">
        <f t="shared" si="21"/>
        <v>2E-3</v>
      </c>
      <c r="M646" s="7">
        <v>3.0000000000000001E-3</v>
      </c>
      <c r="N646">
        <v>8</v>
      </c>
      <c r="O646" s="8">
        <v>17.934556092922943</v>
      </c>
      <c r="P646" s="9">
        <v>17.934556092922943</v>
      </c>
      <c r="Q646" s="9">
        <v>17.934556092922943</v>
      </c>
      <c r="R646" s="9">
        <v>18.35577997371016</v>
      </c>
      <c r="S646" s="9">
        <v>18.404835306435746</v>
      </c>
      <c r="T646" s="9">
        <v>19.112621008962602</v>
      </c>
      <c r="U646" s="9">
        <v>20.35176903227914</v>
      </c>
      <c r="V646" s="9">
        <v>20.35176903227914</v>
      </c>
      <c r="W646" s="9">
        <v>20.35176903227914</v>
      </c>
      <c r="X646" s="9">
        <v>19.91589544268896</v>
      </c>
      <c r="Y646" s="9">
        <v>19.91589544268896</v>
      </c>
      <c r="Z646" s="9">
        <v>21.609947773831163</v>
      </c>
      <c r="AA646" s="9">
        <v>21.609947773831163</v>
      </c>
      <c r="AB646" s="9">
        <v>23.372671736151272</v>
      </c>
      <c r="AC646" s="9">
        <v>23.372671736151272</v>
      </c>
      <c r="AD646" s="9">
        <v>26.430826810726163</v>
      </c>
      <c r="AE646" s="9">
        <v>27.959768706413232</v>
      </c>
      <c r="AF646" s="9">
        <v>29.772701744670762</v>
      </c>
      <c r="AG646" s="9">
        <v>29.772701744670762</v>
      </c>
      <c r="AH646" s="9">
        <v>32.589351949315954</v>
      </c>
      <c r="AI646" s="9">
        <v>34.825222308406182</v>
      </c>
      <c r="AJ646" s="9">
        <v>3.0428788910505911</v>
      </c>
    </row>
    <row r="647" spans="1:36" x14ac:dyDescent="0.25">
      <c r="A647" t="s">
        <v>5411</v>
      </c>
      <c r="B647" t="s">
        <v>16</v>
      </c>
      <c r="C647" t="s">
        <v>17</v>
      </c>
      <c r="D647">
        <v>18700000</v>
      </c>
      <c r="E647">
        <v>18700999</v>
      </c>
      <c r="F647" t="s">
        <v>587</v>
      </c>
      <c r="G647" t="str">
        <f t="shared" si="20"/>
        <v>SPI II</v>
      </c>
      <c r="H647" t="s">
        <v>19</v>
      </c>
      <c r="I647" t="s">
        <v>20</v>
      </c>
      <c r="J647" t="s">
        <v>64</v>
      </c>
      <c r="K647" s="6">
        <v>0.03</v>
      </c>
      <c r="L647" s="7">
        <f t="shared" si="21"/>
        <v>2E-3</v>
      </c>
      <c r="M647" s="7">
        <v>3.0000000000000001E-3</v>
      </c>
      <c r="N647">
        <v>7</v>
      </c>
      <c r="O647" s="8">
        <v>17.934556092922943</v>
      </c>
      <c r="P647" s="9">
        <v>17.934556092922943</v>
      </c>
      <c r="Q647" s="9">
        <v>17.934556092922943</v>
      </c>
      <c r="R647" s="9">
        <v>18.35577997371016</v>
      </c>
      <c r="S647" s="9">
        <v>18.404835306435746</v>
      </c>
      <c r="T647" s="9">
        <v>19.112621008962602</v>
      </c>
      <c r="U647" s="9">
        <v>20.35176903227914</v>
      </c>
      <c r="V647" s="9">
        <v>20.35176903227914</v>
      </c>
      <c r="W647" s="9">
        <v>20.35176903227914</v>
      </c>
      <c r="X647" s="9">
        <v>19.91589544268896</v>
      </c>
      <c r="Y647" s="9">
        <v>19.91589544268896</v>
      </c>
      <c r="Z647" s="9">
        <v>21.609947773831163</v>
      </c>
      <c r="AA647" s="9">
        <v>21.609947773831163</v>
      </c>
      <c r="AB647" s="9">
        <v>23.372671736151272</v>
      </c>
      <c r="AC647" s="9">
        <v>23.372671736151272</v>
      </c>
      <c r="AD647" s="9">
        <v>26.430826810726163</v>
      </c>
      <c r="AE647" s="9">
        <v>27.959768706413232</v>
      </c>
      <c r="AF647" s="9">
        <v>29.772701744670762</v>
      </c>
      <c r="AG647" s="9">
        <v>29.772701744670762</v>
      </c>
      <c r="AH647" s="9">
        <v>32.589351949315954</v>
      </c>
      <c r="AI647" s="9">
        <v>34.825222308406182</v>
      </c>
      <c r="AJ647" s="9">
        <v>3.0428788910505911</v>
      </c>
    </row>
    <row r="648" spans="1:36" x14ac:dyDescent="0.25">
      <c r="A648" t="s">
        <v>5411</v>
      </c>
      <c r="B648" t="s">
        <v>16</v>
      </c>
      <c r="C648" t="s">
        <v>17</v>
      </c>
      <c r="D648">
        <v>18701000</v>
      </c>
      <c r="E648">
        <v>18709999</v>
      </c>
      <c r="F648" t="s">
        <v>587</v>
      </c>
      <c r="G648" t="str">
        <f t="shared" si="20"/>
        <v>SPI II</v>
      </c>
      <c r="H648" t="s">
        <v>19</v>
      </c>
      <c r="I648" t="s">
        <v>20</v>
      </c>
      <c r="J648" t="s">
        <v>64</v>
      </c>
      <c r="K648" s="6">
        <v>0.03</v>
      </c>
      <c r="L648" s="7">
        <f t="shared" si="21"/>
        <v>2E-3</v>
      </c>
      <c r="M648" s="7">
        <v>3.0000000000000001E-3</v>
      </c>
      <c r="N648">
        <v>7</v>
      </c>
      <c r="O648" s="8">
        <v>17.934556092922943</v>
      </c>
      <c r="P648" s="9">
        <v>17.934556092922943</v>
      </c>
      <c r="Q648" s="9">
        <v>17.934556092922943</v>
      </c>
      <c r="R648" s="9">
        <v>18.35577997371016</v>
      </c>
      <c r="S648" s="9">
        <v>18.404835306435746</v>
      </c>
      <c r="T648" s="9">
        <v>19.112621008962602</v>
      </c>
      <c r="U648" s="9">
        <v>20.35176903227914</v>
      </c>
      <c r="V648" s="9">
        <v>20.35176903227914</v>
      </c>
      <c r="W648" s="9">
        <v>20.35176903227914</v>
      </c>
      <c r="X648" s="9">
        <v>19.91589544268896</v>
      </c>
      <c r="Y648" s="9">
        <v>19.91589544268896</v>
      </c>
      <c r="Z648" s="9">
        <v>21.609947773831163</v>
      </c>
      <c r="AA648" s="9">
        <v>21.609947773831163</v>
      </c>
      <c r="AB648" s="9">
        <v>23.372671736151272</v>
      </c>
      <c r="AC648" s="9">
        <v>23.372671736151272</v>
      </c>
      <c r="AD648" s="9">
        <v>26.430826810726163</v>
      </c>
      <c r="AE648" s="9">
        <v>27.959768706413232</v>
      </c>
      <c r="AF648" s="9">
        <v>29.772701744670762</v>
      </c>
      <c r="AG648" s="9">
        <v>29.772701744670762</v>
      </c>
      <c r="AH648" s="9">
        <v>32.589351949315954</v>
      </c>
      <c r="AI648" s="9">
        <v>34.825222308406182</v>
      </c>
      <c r="AJ648" s="9">
        <v>3.0428788910505911</v>
      </c>
    </row>
    <row r="649" spans="1:36" x14ac:dyDescent="0.25">
      <c r="A649" t="s">
        <v>5411</v>
      </c>
      <c r="B649" t="s">
        <v>16</v>
      </c>
      <c r="C649" t="s">
        <v>17</v>
      </c>
      <c r="D649">
        <v>18710000</v>
      </c>
      <c r="E649">
        <v>18719999</v>
      </c>
      <c r="F649" t="s">
        <v>588</v>
      </c>
      <c r="G649" t="str">
        <f t="shared" si="20"/>
        <v>SPI II</v>
      </c>
      <c r="H649" t="s">
        <v>19</v>
      </c>
      <c r="I649" t="s">
        <v>20</v>
      </c>
      <c r="J649" t="s">
        <v>64</v>
      </c>
      <c r="K649" s="6">
        <v>0.03</v>
      </c>
      <c r="L649" s="7">
        <f t="shared" si="21"/>
        <v>2E-3</v>
      </c>
      <c r="M649" s="7">
        <v>3.0000000000000001E-3</v>
      </c>
      <c r="N649">
        <v>8</v>
      </c>
      <c r="O649" s="8">
        <v>17.934556092922943</v>
      </c>
      <c r="P649" s="9">
        <v>17.934556092922943</v>
      </c>
      <c r="Q649" s="9">
        <v>17.934556092922943</v>
      </c>
      <c r="R649" s="9">
        <v>18.35577997371016</v>
      </c>
      <c r="S649" s="9">
        <v>18.404835306435746</v>
      </c>
      <c r="T649" s="9">
        <v>19.112621008962602</v>
      </c>
      <c r="U649" s="9">
        <v>20.35176903227914</v>
      </c>
      <c r="V649" s="9">
        <v>20.35176903227914</v>
      </c>
      <c r="W649" s="9">
        <v>20.35176903227914</v>
      </c>
      <c r="X649" s="9">
        <v>19.91589544268896</v>
      </c>
      <c r="Y649" s="9">
        <v>19.91589544268896</v>
      </c>
      <c r="Z649" s="9">
        <v>21.609947773831163</v>
      </c>
      <c r="AA649" s="9">
        <v>21.609947773831163</v>
      </c>
      <c r="AB649" s="9">
        <v>23.372671736151272</v>
      </c>
      <c r="AC649" s="9">
        <v>23.372671736151272</v>
      </c>
      <c r="AD649" s="9">
        <v>26.430826810726163</v>
      </c>
      <c r="AE649" s="9">
        <v>27.959768706413232</v>
      </c>
      <c r="AF649" s="9">
        <v>29.772701744670762</v>
      </c>
      <c r="AG649" s="9">
        <v>29.772701744670762</v>
      </c>
      <c r="AH649" s="9">
        <v>32.589351949315954</v>
      </c>
      <c r="AI649" s="9">
        <v>34.825222308406182</v>
      </c>
      <c r="AJ649" s="9">
        <v>3.0428788910505911</v>
      </c>
    </row>
    <row r="650" spans="1:36" x14ac:dyDescent="0.25">
      <c r="A650" t="s">
        <v>5411</v>
      </c>
      <c r="B650" t="s">
        <v>16</v>
      </c>
      <c r="C650" t="s">
        <v>17</v>
      </c>
      <c r="D650">
        <v>18720000</v>
      </c>
      <c r="E650">
        <v>18729999</v>
      </c>
      <c r="F650" t="s">
        <v>589</v>
      </c>
      <c r="G650" t="str">
        <f t="shared" si="20"/>
        <v>SPI II</v>
      </c>
      <c r="H650" t="s">
        <v>19</v>
      </c>
      <c r="I650" t="s">
        <v>20</v>
      </c>
      <c r="J650" t="s">
        <v>64</v>
      </c>
      <c r="K650" s="6">
        <v>0.03</v>
      </c>
      <c r="L650" s="7">
        <f t="shared" si="21"/>
        <v>2E-3</v>
      </c>
      <c r="M650" s="7">
        <v>3.0000000000000001E-3</v>
      </c>
      <c r="N650">
        <v>9</v>
      </c>
      <c r="O650" s="8">
        <v>17.934556092922943</v>
      </c>
      <c r="P650" s="9">
        <v>17.934556092922943</v>
      </c>
      <c r="Q650" s="9">
        <v>17.934556092922943</v>
      </c>
      <c r="R650" s="9">
        <v>18.35577997371016</v>
      </c>
      <c r="S650" s="9">
        <v>18.404835306435746</v>
      </c>
      <c r="T650" s="9">
        <v>19.112621008962602</v>
      </c>
      <c r="U650" s="9">
        <v>20.35176903227914</v>
      </c>
      <c r="V650" s="9">
        <v>20.35176903227914</v>
      </c>
      <c r="W650" s="9">
        <v>20.35176903227914</v>
      </c>
      <c r="X650" s="9">
        <v>19.91589544268896</v>
      </c>
      <c r="Y650" s="9">
        <v>19.91589544268896</v>
      </c>
      <c r="Z650" s="9">
        <v>21.609947773831163</v>
      </c>
      <c r="AA650" s="9">
        <v>21.609947773831163</v>
      </c>
      <c r="AB650" s="9">
        <v>23.372671736151272</v>
      </c>
      <c r="AC650" s="9">
        <v>23.372671736151272</v>
      </c>
      <c r="AD650" s="9">
        <v>26.430826810726163</v>
      </c>
      <c r="AE650" s="9">
        <v>27.959768706413232</v>
      </c>
      <c r="AF650" s="9">
        <v>29.772701744670762</v>
      </c>
      <c r="AG650" s="9">
        <v>29.772701744670762</v>
      </c>
      <c r="AH650" s="9">
        <v>32.589351949315954</v>
      </c>
      <c r="AI650" s="9">
        <v>34.825222308406182</v>
      </c>
      <c r="AJ650" s="9">
        <v>3.0428788910505911</v>
      </c>
    </row>
    <row r="651" spans="1:36" x14ac:dyDescent="0.25">
      <c r="A651" t="s">
        <v>5411</v>
      </c>
      <c r="B651" t="s">
        <v>16</v>
      </c>
      <c r="C651" t="s">
        <v>17</v>
      </c>
      <c r="D651">
        <v>18730000</v>
      </c>
      <c r="E651">
        <v>18739999</v>
      </c>
      <c r="F651" t="s">
        <v>590</v>
      </c>
      <c r="G651" t="str">
        <f t="shared" si="20"/>
        <v>SPI II</v>
      </c>
      <c r="H651" t="s">
        <v>19</v>
      </c>
      <c r="I651" t="s">
        <v>20</v>
      </c>
      <c r="J651" t="s">
        <v>64</v>
      </c>
      <c r="K651" s="6">
        <v>0.03</v>
      </c>
      <c r="L651" s="7">
        <f t="shared" si="21"/>
        <v>2E-3</v>
      </c>
      <c r="M651" s="7">
        <v>3.0000000000000001E-3</v>
      </c>
      <c r="N651">
        <v>8</v>
      </c>
      <c r="O651" s="8">
        <v>17.934556092922943</v>
      </c>
      <c r="P651" s="9">
        <v>17.934556092922943</v>
      </c>
      <c r="Q651" s="9">
        <v>17.934556092922943</v>
      </c>
      <c r="R651" s="9">
        <v>18.35577997371016</v>
      </c>
      <c r="S651" s="9">
        <v>18.404835306435746</v>
      </c>
      <c r="T651" s="9">
        <v>19.112621008962602</v>
      </c>
      <c r="U651" s="9">
        <v>20.35176903227914</v>
      </c>
      <c r="V651" s="9">
        <v>20.35176903227914</v>
      </c>
      <c r="W651" s="9">
        <v>20.35176903227914</v>
      </c>
      <c r="X651" s="9">
        <v>19.91589544268896</v>
      </c>
      <c r="Y651" s="9">
        <v>19.91589544268896</v>
      </c>
      <c r="Z651" s="9">
        <v>21.609947773831163</v>
      </c>
      <c r="AA651" s="9">
        <v>21.609947773831163</v>
      </c>
      <c r="AB651" s="9">
        <v>23.372671736151272</v>
      </c>
      <c r="AC651" s="9">
        <v>23.372671736151272</v>
      </c>
      <c r="AD651" s="9">
        <v>26.430826810726163</v>
      </c>
      <c r="AE651" s="9">
        <v>27.959768706413232</v>
      </c>
      <c r="AF651" s="9">
        <v>29.772701744670762</v>
      </c>
      <c r="AG651" s="9">
        <v>29.772701744670762</v>
      </c>
      <c r="AH651" s="9">
        <v>32.589351949315954</v>
      </c>
      <c r="AI651" s="9">
        <v>34.825222308406182</v>
      </c>
      <c r="AJ651" s="9">
        <v>3.0428788910505911</v>
      </c>
    </row>
    <row r="652" spans="1:36" x14ac:dyDescent="0.25">
      <c r="A652" t="s">
        <v>5411</v>
      </c>
      <c r="B652" t="s">
        <v>16</v>
      </c>
      <c r="C652" t="s">
        <v>17</v>
      </c>
      <c r="D652">
        <v>18740000</v>
      </c>
      <c r="E652">
        <v>18744999</v>
      </c>
      <c r="F652" t="s">
        <v>591</v>
      </c>
      <c r="G652" t="str">
        <f t="shared" si="20"/>
        <v>SPI II</v>
      </c>
      <c r="H652" t="s">
        <v>19</v>
      </c>
      <c r="I652" t="s">
        <v>20</v>
      </c>
      <c r="J652" t="s">
        <v>64</v>
      </c>
      <c r="K652" s="6">
        <v>0.03</v>
      </c>
      <c r="L652" s="7">
        <f t="shared" si="21"/>
        <v>2E-3</v>
      </c>
      <c r="M652" s="7">
        <v>3.0000000000000001E-3</v>
      </c>
      <c r="N652">
        <v>9</v>
      </c>
      <c r="O652" s="8">
        <v>17.934556092922943</v>
      </c>
      <c r="P652" s="9">
        <v>17.934556092922943</v>
      </c>
      <c r="Q652" s="9">
        <v>17.934556092922943</v>
      </c>
      <c r="R652" s="9">
        <v>18.35577997371016</v>
      </c>
      <c r="S652" s="9">
        <v>18.404835306435746</v>
      </c>
      <c r="T652" s="9">
        <v>19.112621008962602</v>
      </c>
      <c r="U652" s="9">
        <v>20.35176903227914</v>
      </c>
      <c r="V652" s="9">
        <v>20.35176903227914</v>
      </c>
      <c r="W652" s="9">
        <v>20.35176903227914</v>
      </c>
      <c r="X652" s="9">
        <v>19.91589544268896</v>
      </c>
      <c r="Y652" s="9">
        <v>19.91589544268896</v>
      </c>
      <c r="Z652" s="9">
        <v>21.609947773831163</v>
      </c>
      <c r="AA652" s="9">
        <v>21.609947773831163</v>
      </c>
      <c r="AB652" s="9">
        <v>23.372671736151272</v>
      </c>
      <c r="AC652" s="9">
        <v>23.372671736151272</v>
      </c>
      <c r="AD652" s="9">
        <v>26.430826810726163</v>
      </c>
      <c r="AE652" s="9">
        <v>27.959768706413232</v>
      </c>
      <c r="AF652" s="9">
        <v>29.772701744670762</v>
      </c>
      <c r="AG652" s="9">
        <v>29.772701744670762</v>
      </c>
      <c r="AH652" s="9">
        <v>32.589351949315954</v>
      </c>
      <c r="AI652" s="9">
        <v>34.825222308406182</v>
      </c>
      <c r="AJ652" s="9">
        <v>3.0428788910505911</v>
      </c>
    </row>
    <row r="653" spans="1:36" x14ac:dyDescent="0.25">
      <c r="A653" t="s">
        <v>5411</v>
      </c>
      <c r="B653" t="s">
        <v>16</v>
      </c>
      <c r="C653" t="s">
        <v>17</v>
      </c>
      <c r="D653">
        <v>18745000</v>
      </c>
      <c r="E653">
        <v>18759999</v>
      </c>
      <c r="F653" t="s">
        <v>592</v>
      </c>
      <c r="G653" t="str">
        <f t="shared" si="20"/>
        <v>SPI II</v>
      </c>
      <c r="H653" t="s">
        <v>19</v>
      </c>
      <c r="I653" t="s">
        <v>20</v>
      </c>
      <c r="J653" t="s">
        <v>64</v>
      </c>
      <c r="K653" s="6">
        <v>0.03</v>
      </c>
      <c r="L653" s="7">
        <f t="shared" si="21"/>
        <v>2E-3</v>
      </c>
      <c r="M653" s="7">
        <v>3.0000000000000001E-3</v>
      </c>
      <c r="N653">
        <v>8</v>
      </c>
      <c r="O653" s="8">
        <v>17.934556092922943</v>
      </c>
      <c r="P653" s="9">
        <v>17.934556092922943</v>
      </c>
      <c r="Q653" s="9">
        <v>17.934556092922943</v>
      </c>
      <c r="R653" s="9">
        <v>18.35577997371016</v>
      </c>
      <c r="S653" s="9">
        <v>18.404835306435746</v>
      </c>
      <c r="T653" s="9">
        <v>19.112621008962602</v>
      </c>
      <c r="U653" s="9">
        <v>20.35176903227914</v>
      </c>
      <c r="V653" s="9">
        <v>20.35176903227914</v>
      </c>
      <c r="W653" s="9">
        <v>20.35176903227914</v>
      </c>
      <c r="X653" s="9">
        <v>19.91589544268896</v>
      </c>
      <c r="Y653" s="9">
        <v>19.91589544268896</v>
      </c>
      <c r="Z653" s="9">
        <v>21.609947773831163</v>
      </c>
      <c r="AA653" s="9">
        <v>21.609947773831163</v>
      </c>
      <c r="AB653" s="9">
        <v>23.372671736151272</v>
      </c>
      <c r="AC653" s="9">
        <v>23.372671736151272</v>
      </c>
      <c r="AD653" s="9">
        <v>26.430826810726163</v>
      </c>
      <c r="AE653" s="9">
        <v>27.959768706413232</v>
      </c>
      <c r="AF653" s="9">
        <v>29.772701744670762</v>
      </c>
      <c r="AG653" s="9">
        <v>29.772701744670762</v>
      </c>
      <c r="AH653" s="9">
        <v>32.589351949315954</v>
      </c>
      <c r="AI653" s="9">
        <v>34.825222308406182</v>
      </c>
      <c r="AJ653" s="9">
        <v>3.0428788910505911</v>
      </c>
    </row>
    <row r="654" spans="1:36" x14ac:dyDescent="0.25">
      <c r="A654" t="s">
        <v>5411</v>
      </c>
      <c r="B654" t="s">
        <v>16</v>
      </c>
      <c r="C654" t="s">
        <v>17</v>
      </c>
      <c r="D654">
        <v>18760000</v>
      </c>
      <c r="E654">
        <v>18769999</v>
      </c>
      <c r="F654" t="s">
        <v>593</v>
      </c>
      <c r="G654" t="str">
        <f t="shared" si="20"/>
        <v>SPI II</v>
      </c>
      <c r="H654" t="s">
        <v>19</v>
      </c>
      <c r="I654" t="s">
        <v>20</v>
      </c>
      <c r="J654" t="s">
        <v>64</v>
      </c>
      <c r="K654" s="6">
        <v>0.03</v>
      </c>
      <c r="L654" s="7">
        <f t="shared" si="21"/>
        <v>2E-3</v>
      </c>
      <c r="M654" s="7">
        <v>3.0000000000000001E-3</v>
      </c>
      <c r="N654">
        <v>8</v>
      </c>
      <c r="O654" s="8">
        <v>17.934556092922943</v>
      </c>
      <c r="P654" s="9">
        <v>17.934556092922943</v>
      </c>
      <c r="Q654" s="9">
        <v>17.934556092922943</v>
      </c>
      <c r="R654" s="9">
        <v>18.35577997371016</v>
      </c>
      <c r="S654" s="9">
        <v>18.404835306435746</v>
      </c>
      <c r="T654" s="9">
        <v>19.112621008962602</v>
      </c>
      <c r="U654" s="9">
        <v>20.35176903227914</v>
      </c>
      <c r="V654" s="9">
        <v>20.35176903227914</v>
      </c>
      <c r="W654" s="9">
        <v>20.35176903227914</v>
      </c>
      <c r="X654" s="9">
        <v>19.91589544268896</v>
      </c>
      <c r="Y654" s="9">
        <v>19.91589544268896</v>
      </c>
      <c r="Z654" s="9">
        <v>21.609947773831163</v>
      </c>
      <c r="AA654" s="9">
        <v>21.609947773831163</v>
      </c>
      <c r="AB654" s="9">
        <v>23.372671736151272</v>
      </c>
      <c r="AC654" s="9">
        <v>23.372671736151272</v>
      </c>
      <c r="AD654" s="9">
        <v>26.430826810726163</v>
      </c>
      <c r="AE654" s="9">
        <v>27.959768706413232</v>
      </c>
      <c r="AF654" s="9">
        <v>29.772701744670762</v>
      </c>
      <c r="AG654" s="9">
        <v>29.772701744670762</v>
      </c>
      <c r="AH654" s="9">
        <v>32.589351949315954</v>
      </c>
      <c r="AI654" s="9">
        <v>34.825222308406182</v>
      </c>
      <c r="AJ654" s="9">
        <v>3.0428788910505911</v>
      </c>
    </row>
    <row r="655" spans="1:36" x14ac:dyDescent="0.25">
      <c r="A655" t="s">
        <v>5411</v>
      </c>
      <c r="B655" t="s">
        <v>16</v>
      </c>
      <c r="C655" t="s">
        <v>17</v>
      </c>
      <c r="D655">
        <v>18770000</v>
      </c>
      <c r="E655">
        <v>18774999</v>
      </c>
      <c r="F655" t="s">
        <v>594</v>
      </c>
      <c r="G655" t="str">
        <f t="shared" si="20"/>
        <v>SPI II</v>
      </c>
      <c r="H655" t="s">
        <v>19</v>
      </c>
      <c r="I655" t="s">
        <v>20</v>
      </c>
      <c r="J655" t="s">
        <v>64</v>
      </c>
      <c r="K655" s="6">
        <v>0.03</v>
      </c>
      <c r="L655" s="7">
        <f t="shared" si="21"/>
        <v>2E-3</v>
      </c>
      <c r="M655" s="7">
        <v>3.0000000000000001E-3</v>
      </c>
      <c r="N655">
        <v>8</v>
      </c>
      <c r="O655" s="8">
        <v>17.934556092922943</v>
      </c>
      <c r="P655" s="9">
        <v>17.934556092922943</v>
      </c>
      <c r="Q655" s="9">
        <v>17.934556092922943</v>
      </c>
      <c r="R655" s="9">
        <v>18.35577997371016</v>
      </c>
      <c r="S655" s="9">
        <v>18.404835306435746</v>
      </c>
      <c r="T655" s="9">
        <v>19.112621008962602</v>
      </c>
      <c r="U655" s="9">
        <v>20.35176903227914</v>
      </c>
      <c r="V655" s="9">
        <v>20.35176903227914</v>
      </c>
      <c r="W655" s="9">
        <v>20.35176903227914</v>
      </c>
      <c r="X655" s="9">
        <v>19.91589544268896</v>
      </c>
      <c r="Y655" s="9">
        <v>19.91589544268896</v>
      </c>
      <c r="Z655" s="9">
        <v>21.609947773831163</v>
      </c>
      <c r="AA655" s="9">
        <v>21.609947773831163</v>
      </c>
      <c r="AB655" s="9">
        <v>23.372671736151272</v>
      </c>
      <c r="AC655" s="9">
        <v>23.372671736151272</v>
      </c>
      <c r="AD655" s="9">
        <v>26.430826810726163</v>
      </c>
      <c r="AE655" s="9">
        <v>27.959768706413232</v>
      </c>
      <c r="AF655" s="9">
        <v>29.772701744670762</v>
      </c>
      <c r="AG655" s="9">
        <v>29.772701744670762</v>
      </c>
      <c r="AH655" s="9">
        <v>32.589351949315954</v>
      </c>
      <c r="AI655" s="9">
        <v>34.825222308406182</v>
      </c>
      <c r="AJ655" s="9">
        <v>3.0428788910505911</v>
      </c>
    </row>
    <row r="656" spans="1:36" x14ac:dyDescent="0.25">
      <c r="A656" t="s">
        <v>5411</v>
      </c>
      <c r="B656" t="s">
        <v>16</v>
      </c>
      <c r="C656" t="s">
        <v>17</v>
      </c>
      <c r="D656">
        <v>18775000</v>
      </c>
      <c r="E656">
        <v>18779999</v>
      </c>
      <c r="F656" t="s">
        <v>595</v>
      </c>
      <c r="G656" t="str">
        <f t="shared" si="20"/>
        <v>SPI II</v>
      </c>
      <c r="H656" t="s">
        <v>19</v>
      </c>
      <c r="I656" t="s">
        <v>20</v>
      </c>
      <c r="J656" t="s">
        <v>64</v>
      </c>
      <c r="K656" s="6">
        <v>0.03</v>
      </c>
      <c r="L656" s="7">
        <f t="shared" si="21"/>
        <v>2E-3</v>
      </c>
      <c r="M656" s="7">
        <v>3.0000000000000001E-3</v>
      </c>
      <c r="N656">
        <v>8</v>
      </c>
      <c r="O656" s="8">
        <v>17.934556092922943</v>
      </c>
      <c r="P656" s="9">
        <v>17.934556092922943</v>
      </c>
      <c r="Q656" s="9">
        <v>17.934556092922943</v>
      </c>
      <c r="R656" s="9">
        <v>18.35577997371016</v>
      </c>
      <c r="S656" s="9">
        <v>18.404835306435746</v>
      </c>
      <c r="T656" s="9">
        <v>19.112621008962602</v>
      </c>
      <c r="U656" s="9">
        <v>20.35176903227914</v>
      </c>
      <c r="V656" s="9">
        <v>20.35176903227914</v>
      </c>
      <c r="W656" s="9">
        <v>20.35176903227914</v>
      </c>
      <c r="X656" s="9">
        <v>19.91589544268896</v>
      </c>
      <c r="Y656" s="9">
        <v>19.91589544268896</v>
      </c>
      <c r="Z656" s="9">
        <v>21.609947773831163</v>
      </c>
      <c r="AA656" s="9">
        <v>21.609947773831163</v>
      </c>
      <c r="AB656" s="9">
        <v>23.372671736151272</v>
      </c>
      <c r="AC656" s="9">
        <v>23.372671736151272</v>
      </c>
      <c r="AD656" s="9">
        <v>26.430826810726163</v>
      </c>
      <c r="AE656" s="9">
        <v>27.959768706413232</v>
      </c>
      <c r="AF656" s="9">
        <v>29.772701744670762</v>
      </c>
      <c r="AG656" s="9">
        <v>29.772701744670762</v>
      </c>
      <c r="AH656" s="9">
        <v>32.589351949315954</v>
      </c>
      <c r="AI656" s="9">
        <v>34.825222308406182</v>
      </c>
      <c r="AJ656" s="9">
        <v>3.0428788910505911</v>
      </c>
    </row>
    <row r="657" spans="1:36" x14ac:dyDescent="0.25">
      <c r="A657" t="s">
        <v>5411</v>
      </c>
      <c r="B657" t="s">
        <v>16</v>
      </c>
      <c r="C657" t="s">
        <v>17</v>
      </c>
      <c r="D657">
        <v>18780000</v>
      </c>
      <c r="E657">
        <v>18789999</v>
      </c>
      <c r="F657" t="s">
        <v>596</v>
      </c>
      <c r="G657" t="str">
        <f t="shared" si="20"/>
        <v>SPI II</v>
      </c>
      <c r="H657" t="s">
        <v>19</v>
      </c>
      <c r="I657" t="s">
        <v>20</v>
      </c>
      <c r="J657" t="s">
        <v>64</v>
      </c>
      <c r="K657" s="6">
        <v>0.03</v>
      </c>
      <c r="L657" s="7">
        <f t="shared" si="21"/>
        <v>2E-3</v>
      </c>
      <c r="M657" s="7">
        <v>3.0000000000000001E-3</v>
      </c>
      <c r="N657">
        <v>8</v>
      </c>
      <c r="O657" s="8">
        <v>17.934556092922943</v>
      </c>
      <c r="P657" s="9">
        <v>17.934556092922943</v>
      </c>
      <c r="Q657" s="9">
        <v>17.934556092922943</v>
      </c>
      <c r="R657" s="9">
        <v>18.35577997371016</v>
      </c>
      <c r="S657" s="9">
        <v>18.404835306435746</v>
      </c>
      <c r="T657" s="9">
        <v>19.112621008962602</v>
      </c>
      <c r="U657" s="9">
        <v>20.35176903227914</v>
      </c>
      <c r="V657" s="9">
        <v>20.35176903227914</v>
      </c>
      <c r="W657" s="9">
        <v>20.35176903227914</v>
      </c>
      <c r="X657" s="9">
        <v>19.91589544268896</v>
      </c>
      <c r="Y657" s="9">
        <v>19.91589544268896</v>
      </c>
      <c r="Z657" s="9">
        <v>21.609947773831163</v>
      </c>
      <c r="AA657" s="9">
        <v>21.609947773831163</v>
      </c>
      <c r="AB657" s="9">
        <v>23.372671736151272</v>
      </c>
      <c r="AC657" s="9">
        <v>23.372671736151272</v>
      </c>
      <c r="AD657" s="9">
        <v>26.430826810726163</v>
      </c>
      <c r="AE657" s="9">
        <v>27.959768706413232</v>
      </c>
      <c r="AF657" s="9">
        <v>29.772701744670762</v>
      </c>
      <c r="AG657" s="9">
        <v>29.772701744670762</v>
      </c>
      <c r="AH657" s="9">
        <v>32.589351949315954</v>
      </c>
      <c r="AI657" s="9">
        <v>34.825222308406182</v>
      </c>
      <c r="AJ657" s="9">
        <v>3.0428788910505911</v>
      </c>
    </row>
    <row r="658" spans="1:36" x14ac:dyDescent="0.25">
      <c r="A658" t="s">
        <v>5411</v>
      </c>
      <c r="B658" t="s">
        <v>16</v>
      </c>
      <c r="C658" t="s">
        <v>17</v>
      </c>
      <c r="D658">
        <v>18790000</v>
      </c>
      <c r="E658">
        <v>18799999</v>
      </c>
      <c r="F658" t="s">
        <v>597</v>
      </c>
      <c r="G658" t="str">
        <f t="shared" si="20"/>
        <v>SPI II</v>
      </c>
      <c r="H658" t="s">
        <v>19</v>
      </c>
      <c r="I658" t="s">
        <v>20</v>
      </c>
      <c r="J658" t="s">
        <v>64</v>
      </c>
      <c r="K658" s="6">
        <v>0.03</v>
      </c>
      <c r="L658" s="7">
        <f t="shared" si="21"/>
        <v>2E-3</v>
      </c>
      <c r="M658" s="7">
        <v>3.0000000000000001E-3</v>
      </c>
      <c r="N658">
        <v>8</v>
      </c>
      <c r="O658" s="8">
        <v>17.934556092922943</v>
      </c>
      <c r="P658" s="9">
        <v>17.934556092922943</v>
      </c>
      <c r="Q658" s="9">
        <v>17.934556092922943</v>
      </c>
      <c r="R658" s="9">
        <v>18.35577997371016</v>
      </c>
      <c r="S658" s="9">
        <v>18.404835306435746</v>
      </c>
      <c r="T658" s="9">
        <v>19.112621008962602</v>
      </c>
      <c r="U658" s="9">
        <v>20.35176903227914</v>
      </c>
      <c r="V658" s="9">
        <v>20.35176903227914</v>
      </c>
      <c r="W658" s="9">
        <v>20.35176903227914</v>
      </c>
      <c r="X658" s="9">
        <v>19.91589544268896</v>
      </c>
      <c r="Y658" s="9">
        <v>19.91589544268896</v>
      </c>
      <c r="Z658" s="9">
        <v>21.609947773831163</v>
      </c>
      <c r="AA658" s="9">
        <v>21.609947773831163</v>
      </c>
      <c r="AB658" s="9">
        <v>23.372671736151272</v>
      </c>
      <c r="AC658" s="9">
        <v>23.372671736151272</v>
      </c>
      <c r="AD658" s="9">
        <v>26.430826810726163</v>
      </c>
      <c r="AE658" s="9">
        <v>27.959768706413232</v>
      </c>
      <c r="AF658" s="9">
        <v>29.772701744670762</v>
      </c>
      <c r="AG658" s="9">
        <v>29.772701744670762</v>
      </c>
      <c r="AH658" s="9">
        <v>32.589351949315954</v>
      </c>
      <c r="AI658" s="9">
        <v>34.825222308406182</v>
      </c>
      <c r="AJ658" s="9">
        <v>3.0428788910505911</v>
      </c>
    </row>
    <row r="659" spans="1:36" x14ac:dyDescent="0.25">
      <c r="A659" t="s">
        <v>5411</v>
      </c>
      <c r="B659" t="s">
        <v>16</v>
      </c>
      <c r="C659" t="s">
        <v>17</v>
      </c>
      <c r="D659">
        <v>18800000</v>
      </c>
      <c r="E659">
        <v>18829999</v>
      </c>
      <c r="F659" t="s">
        <v>439</v>
      </c>
      <c r="G659" t="str">
        <f t="shared" si="20"/>
        <v>SPI II</v>
      </c>
      <c r="H659" t="s">
        <v>19</v>
      </c>
      <c r="I659" t="s">
        <v>20</v>
      </c>
      <c r="J659" t="s">
        <v>64</v>
      </c>
      <c r="K659" s="6">
        <v>0.03</v>
      </c>
      <c r="L659" s="7">
        <f t="shared" si="21"/>
        <v>2E-3</v>
      </c>
      <c r="M659" s="7">
        <v>3.0000000000000001E-3</v>
      </c>
      <c r="N659">
        <v>8</v>
      </c>
      <c r="O659" s="8">
        <v>17.934556092922943</v>
      </c>
      <c r="P659" s="9">
        <v>17.934556092922943</v>
      </c>
      <c r="Q659" s="9">
        <v>17.934556092922943</v>
      </c>
      <c r="R659" s="9">
        <v>18.35577997371016</v>
      </c>
      <c r="S659" s="9">
        <v>18.404835306435746</v>
      </c>
      <c r="T659" s="9">
        <v>19.112621008962602</v>
      </c>
      <c r="U659" s="9">
        <v>20.35176903227914</v>
      </c>
      <c r="V659" s="9">
        <v>20.35176903227914</v>
      </c>
      <c r="W659" s="9">
        <v>20.35176903227914</v>
      </c>
      <c r="X659" s="9">
        <v>19.91589544268896</v>
      </c>
      <c r="Y659" s="9">
        <v>19.91589544268896</v>
      </c>
      <c r="Z659" s="9">
        <v>21.609947773831163</v>
      </c>
      <c r="AA659" s="9">
        <v>21.609947773831163</v>
      </c>
      <c r="AB659" s="9">
        <v>23.372671736151272</v>
      </c>
      <c r="AC659" s="9">
        <v>23.372671736151272</v>
      </c>
      <c r="AD659" s="9">
        <v>26.430826810726163</v>
      </c>
      <c r="AE659" s="9">
        <v>27.959768706413232</v>
      </c>
      <c r="AF659" s="9">
        <v>29.772701744670762</v>
      </c>
      <c r="AG659" s="9">
        <v>29.772701744670762</v>
      </c>
      <c r="AH659" s="9">
        <v>32.589351949315954</v>
      </c>
      <c r="AI659" s="9">
        <v>34.825222308406182</v>
      </c>
      <c r="AJ659" s="9">
        <v>3.0428788910505911</v>
      </c>
    </row>
    <row r="660" spans="1:36" x14ac:dyDescent="0.25">
      <c r="A660" t="s">
        <v>5411</v>
      </c>
      <c r="B660" t="s">
        <v>16</v>
      </c>
      <c r="C660" t="s">
        <v>17</v>
      </c>
      <c r="D660">
        <v>18830000</v>
      </c>
      <c r="E660">
        <v>18839999</v>
      </c>
      <c r="F660" t="s">
        <v>598</v>
      </c>
      <c r="G660" t="str">
        <f t="shared" si="20"/>
        <v>SPI II</v>
      </c>
      <c r="H660" t="s">
        <v>19</v>
      </c>
      <c r="I660" t="s">
        <v>20</v>
      </c>
      <c r="J660" t="s">
        <v>64</v>
      </c>
      <c r="K660" s="6">
        <v>0.03</v>
      </c>
      <c r="L660" s="7">
        <f t="shared" si="21"/>
        <v>2E-3</v>
      </c>
      <c r="M660" s="7">
        <v>3.0000000000000001E-3</v>
      </c>
      <c r="N660">
        <v>7</v>
      </c>
      <c r="O660" s="8">
        <v>17.934556092922943</v>
      </c>
      <c r="P660" s="9">
        <v>17.934556092922943</v>
      </c>
      <c r="Q660" s="9">
        <v>17.934556092922943</v>
      </c>
      <c r="R660" s="9">
        <v>18.35577997371016</v>
      </c>
      <c r="S660" s="9">
        <v>18.404835306435746</v>
      </c>
      <c r="T660" s="9">
        <v>19.112621008962602</v>
      </c>
      <c r="U660" s="9">
        <v>20.35176903227914</v>
      </c>
      <c r="V660" s="9">
        <v>20.35176903227914</v>
      </c>
      <c r="W660" s="9">
        <v>20.35176903227914</v>
      </c>
      <c r="X660" s="9">
        <v>19.91589544268896</v>
      </c>
      <c r="Y660" s="9">
        <v>19.91589544268896</v>
      </c>
      <c r="Z660" s="9">
        <v>21.609947773831163</v>
      </c>
      <c r="AA660" s="9">
        <v>21.609947773831163</v>
      </c>
      <c r="AB660" s="9">
        <v>23.372671736151272</v>
      </c>
      <c r="AC660" s="9">
        <v>23.372671736151272</v>
      </c>
      <c r="AD660" s="9">
        <v>26.430826810726163</v>
      </c>
      <c r="AE660" s="9">
        <v>27.959768706413232</v>
      </c>
      <c r="AF660" s="9">
        <v>29.772701744670762</v>
      </c>
      <c r="AG660" s="9">
        <v>29.772701744670762</v>
      </c>
      <c r="AH660" s="9">
        <v>32.589351949315954</v>
      </c>
      <c r="AI660" s="9">
        <v>34.825222308406182</v>
      </c>
      <c r="AJ660" s="9">
        <v>3.0428788910505911</v>
      </c>
    </row>
    <row r="661" spans="1:36" x14ac:dyDescent="0.25">
      <c r="A661" t="s">
        <v>5411</v>
      </c>
      <c r="B661" t="s">
        <v>16</v>
      </c>
      <c r="C661" t="s">
        <v>17</v>
      </c>
      <c r="D661">
        <v>18840000</v>
      </c>
      <c r="E661">
        <v>18859999</v>
      </c>
      <c r="F661" t="s">
        <v>599</v>
      </c>
      <c r="G661" t="str">
        <f t="shared" si="20"/>
        <v>SPI II</v>
      </c>
      <c r="H661" t="s">
        <v>19</v>
      </c>
      <c r="I661" t="s">
        <v>20</v>
      </c>
      <c r="J661" t="s">
        <v>64</v>
      </c>
      <c r="K661" s="6">
        <v>0.03</v>
      </c>
      <c r="L661" s="7">
        <f t="shared" si="21"/>
        <v>2E-3</v>
      </c>
      <c r="M661" s="7">
        <v>3.0000000000000001E-3</v>
      </c>
      <c r="N661">
        <v>9</v>
      </c>
      <c r="O661" s="8">
        <v>17.934556092922943</v>
      </c>
      <c r="P661" s="9">
        <v>17.934556092922943</v>
      </c>
      <c r="Q661" s="9">
        <v>17.934556092922943</v>
      </c>
      <c r="R661" s="9">
        <v>18.35577997371016</v>
      </c>
      <c r="S661" s="9">
        <v>18.404835306435746</v>
      </c>
      <c r="T661" s="9">
        <v>19.112621008962602</v>
      </c>
      <c r="U661" s="9">
        <v>20.35176903227914</v>
      </c>
      <c r="V661" s="9">
        <v>20.35176903227914</v>
      </c>
      <c r="W661" s="9">
        <v>20.35176903227914</v>
      </c>
      <c r="X661" s="9">
        <v>19.91589544268896</v>
      </c>
      <c r="Y661" s="9">
        <v>19.91589544268896</v>
      </c>
      <c r="Z661" s="9">
        <v>21.609947773831163</v>
      </c>
      <c r="AA661" s="9">
        <v>21.609947773831163</v>
      </c>
      <c r="AB661" s="9">
        <v>23.372671736151272</v>
      </c>
      <c r="AC661" s="9">
        <v>23.372671736151272</v>
      </c>
      <c r="AD661" s="9">
        <v>26.430826810726163</v>
      </c>
      <c r="AE661" s="9">
        <v>27.959768706413232</v>
      </c>
      <c r="AF661" s="9">
        <v>29.772701744670762</v>
      </c>
      <c r="AG661" s="9">
        <v>29.772701744670762</v>
      </c>
      <c r="AH661" s="9">
        <v>32.589351949315954</v>
      </c>
      <c r="AI661" s="9">
        <v>34.825222308406182</v>
      </c>
      <c r="AJ661" s="9">
        <v>3.0428788910505911</v>
      </c>
    </row>
    <row r="662" spans="1:36" x14ac:dyDescent="0.25">
      <c r="A662" t="s">
        <v>5411</v>
      </c>
      <c r="B662" t="s">
        <v>16</v>
      </c>
      <c r="C662" t="s">
        <v>17</v>
      </c>
      <c r="D662">
        <v>18860000</v>
      </c>
      <c r="E662">
        <v>18869999</v>
      </c>
      <c r="F662" t="s">
        <v>600</v>
      </c>
      <c r="G662" t="str">
        <f t="shared" si="20"/>
        <v>SPI II</v>
      </c>
      <c r="H662" t="s">
        <v>19</v>
      </c>
      <c r="I662" t="s">
        <v>20</v>
      </c>
      <c r="J662" t="s">
        <v>64</v>
      </c>
      <c r="K662" s="6">
        <v>0.03</v>
      </c>
      <c r="L662" s="7">
        <f t="shared" si="21"/>
        <v>2E-3</v>
      </c>
      <c r="M662" s="7">
        <v>3.0000000000000001E-3</v>
      </c>
      <c r="N662">
        <v>7</v>
      </c>
      <c r="O662" s="8">
        <v>17.934556092922943</v>
      </c>
      <c r="P662" s="9">
        <v>17.934556092922943</v>
      </c>
      <c r="Q662" s="9">
        <v>17.934556092922943</v>
      </c>
      <c r="R662" s="9">
        <v>18.35577997371016</v>
      </c>
      <c r="S662" s="9">
        <v>18.404835306435746</v>
      </c>
      <c r="T662" s="9">
        <v>19.112621008962602</v>
      </c>
      <c r="U662" s="9">
        <v>20.35176903227914</v>
      </c>
      <c r="V662" s="9">
        <v>20.35176903227914</v>
      </c>
      <c r="W662" s="9">
        <v>20.35176903227914</v>
      </c>
      <c r="X662" s="9">
        <v>19.91589544268896</v>
      </c>
      <c r="Y662" s="9">
        <v>19.91589544268896</v>
      </c>
      <c r="Z662" s="9">
        <v>21.609947773831163</v>
      </c>
      <c r="AA662" s="9">
        <v>21.609947773831163</v>
      </c>
      <c r="AB662" s="9">
        <v>23.372671736151272</v>
      </c>
      <c r="AC662" s="9">
        <v>23.372671736151272</v>
      </c>
      <c r="AD662" s="9">
        <v>26.430826810726163</v>
      </c>
      <c r="AE662" s="9">
        <v>27.959768706413232</v>
      </c>
      <c r="AF662" s="9">
        <v>29.772701744670762</v>
      </c>
      <c r="AG662" s="9">
        <v>29.772701744670762</v>
      </c>
      <c r="AH662" s="9">
        <v>32.589351949315954</v>
      </c>
      <c r="AI662" s="9">
        <v>34.825222308406182</v>
      </c>
      <c r="AJ662" s="9">
        <v>3.0428788910505911</v>
      </c>
    </row>
    <row r="663" spans="1:36" x14ac:dyDescent="0.25">
      <c r="A663" t="s">
        <v>5411</v>
      </c>
      <c r="B663" t="s">
        <v>16</v>
      </c>
      <c r="C663" t="s">
        <v>17</v>
      </c>
      <c r="D663">
        <v>18870000</v>
      </c>
      <c r="E663">
        <v>18889999</v>
      </c>
      <c r="F663" t="s">
        <v>601</v>
      </c>
      <c r="G663" t="str">
        <f t="shared" si="20"/>
        <v>SPI II</v>
      </c>
      <c r="H663" t="s">
        <v>19</v>
      </c>
      <c r="I663" t="s">
        <v>20</v>
      </c>
      <c r="J663" t="s">
        <v>64</v>
      </c>
      <c r="K663" s="6">
        <v>0.03</v>
      </c>
      <c r="L663" s="7">
        <f t="shared" si="21"/>
        <v>2E-3</v>
      </c>
      <c r="M663" s="7">
        <v>3.0000000000000001E-3</v>
      </c>
      <c r="N663">
        <v>8</v>
      </c>
      <c r="O663" s="8">
        <v>17.934556092922943</v>
      </c>
      <c r="P663" s="9">
        <v>17.934556092922943</v>
      </c>
      <c r="Q663" s="9">
        <v>17.934556092922943</v>
      </c>
      <c r="R663" s="9">
        <v>18.35577997371016</v>
      </c>
      <c r="S663" s="9">
        <v>18.404835306435746</v>
      </c>
      <c r="T663" s="9">
        <v>19.112621008962602</v>
      </c>
      <c r="U663" s="9">
        <v>20.35176903227914</v>
      </c>
      <c r="V663" s="9">
        <v>20.35176903227914</v>
      </c>
      <c r="W663" s="9">
        <v>20.35176903227914</v>
      </c>
      <c r="X663" s="9">
        <v>19.91589544268896</v>
      </c>
      <c r="Y663" s="9">
        <v>19.91589544268896</v>
      </c>
      <c r="Z663" s="9">
        <v>21.609947773831163</v>
      </c>
      <c r="AA663" s="9">
        <v>21.609947773831163</v>
      </c>
      <c r="AB663" s="9">
        <v>23.372671736151272</v>
      </c>
      <c r="AC663" s="9">
        <v>23.372671736151272</v>
      </c>
      <c r="AD663" s="9">
        <v>26.430826810726163</v>
      </c>
      <c r="AE663" s="9">
        <v>27.959768706413232</v>
      </c>
      <c r="AF663" s="9">
        <v>29.772701744670762</v>
      </c>
      <c r="AG663" s="9">
        <v>29.772701744670762</v>
      </c>
      <c r="AH663" s="9">
        <v>32.589351949315954</v>
      </c>
      <c r="AI663" s="9">
        <v>34.825222308406182</v>
      </c>
      <c r="AJ663" s="9">
        <v>3.0428788910505911</v>
      </c>
    </row>
    <row r="664" spans="1:36" x14ac:dyDescent="0.25">
      <c r="A664" t="s">
        <v>5411</v>
      </c>
      <c r="B664" t="s">
        <v>16</v>
      </c>
      <c r="C664" t="s">
        <v>17</v>
      </c>
      <c r="D664">
        <v>18890000</v>
      </c>
      <c r="E664">
        <v>18899999</v>
      </c>
      <c r="F664" t="s">
        <v>602</v>
      </c>
      <c r="G664" t="str">
        <f t="shared" si="20"/>
        <v>SPI II</v>
      </c>
      <c r="H664" t="s">
        <v>19</v>
      </c>
      <c r="I664" t="s">
        <v>20</v>
      </c>
      <c r="J664" t="s">
        <v>64</v>
      </c>
      <c r="K664" s="6">
        <v>0.03</v>
      </c>
      <c r="L664" s="7">
        <f t="shared" si="21"/>
        <v>2E-3</v>
      </c>
      <c r="M664" s="7">
        <v>3.0000000000000001E-3</v>
      </c>
      <c r="N664">
        <v>8</v>
      </c>
      <c r="O664" s="8">
        <v>17.934556092922943</v>
      </c>
      <c r="P664" s="9">
        <v>17.934556092922943</v>
      </c>
      <c r="Q664" s="9">
        <v>17.934556092922943</v>
      </c>
      <c r="R664" s="9">
        <v>18.35577997371016</v>
      </c>
      <c r="S664" s="9">
        <v>18.404835306435746</v>
      </c>
      <c r="T664" s="9">
        <v>19.112621008962602</v>
      </c>
      <c r="U664" s="9">
        <v>20.35176903227914</v>
      </c>
      <c r="V664" s="9">
        <v>20.35176903227914</v>
      </c>
      <c r="W664" s="9">
        <v>20.35176903227914</v>
      </c>
      <c r="X664" s="9">
        <v>19.91589544268896</v>
      </c>
      <c r="Y664" s="9">
        <v>19.91589544268896</v>
      </c>
      <c r="Z664" s="9">
        <v>21.609947773831163</v>
      </c>
      <c r="AA664" s="9">
        <v>21.609947773831163</v>
      </c>
      <c r="AB664" s="9">
        <v>23.372671736151272</v>
      </c>
      <c r="AC664" s="9">
        <v>23.372671736151272</v>
      </c>
      <c r="AD664" s="9">
        <v>26.430826810726163</v>
      </c>
      <c r="AE664" s="9">
        <v>27.959768706413232</v>
      </c>
      <c r="AF664" s="9">
        <v>29.772701744670762</v>
      </c>
      <c r="AG664" s="9">
        <v>29.772701744670762</v>
      </c>
      <c r="AH664" s="9">
        <v>32.589351949315954</v>
      </c>
      <c r="AI664" s="9">
        <v>34.825222308406182</v>
      </c>
      <c r="AJ664" s="9">
        <v>3.0428788910505911</v>
      </c>
    </row>
    <row r="665" spans="1:36" x14ac:dyDescent="0.25">
      <c r="A665" t="s">
        <v>5411</v>
      </c>
      <c r="B665" t="s">
        <v>16</v>
      </c>
      <c r="C665" t="s">
        <v>17</v>
      </c>
      <c r="D665">
        <v>18900000</v>
      </c>
      <c r="E665">
        <v>18934999</v>
      </c>
      <c r="F665" t="s">
        <v>603</v>
      </c>
      <c r="G665" t="str">
        <f t="shared" si="20"/>
        <v>SPI II</v>
      </c>
      <c r="H665" t="s">
        <v>19</v>
      </c>
      <c r="I665" t="s">
        <v>20</v>
      </c>
      <c r="J665" t="s">
        <v>64</v>
      </c>
      <c r="K665" s="6">
        <v>0.03</v>
      </c>
      <c r="L665" s="7">
        <f t="shared" si="21"/>
        <v>2E-3</v>
      </c>
      <c r="M665" s="7">
        <v>3.0000000000000001E-3</v>
      </c>
      <c r="N665">
        <v>8</v>
      </c>
      <c r="O665" s="8">
        <v>17.934556092922943</v>
      </c>
      <c r="P665" s="9">
        <v>17.934556092922943</v>
      </c>
      <c r="Q665" s="9">
        <v>17.934556092922943</v>
      </c>
      <c r="R665" s="9">
        <v>18.35577997371016</v>
      </c>
      <c r="S665" s="9">
        <v>18.404835306435746</v>
      </c>
      <c r="T665" s="9">
        <v>19.112621008962602</v>
      </c>
      <c r="U665" s="9">
        <v>20.35176903227914</v>
      </c>
      <c r="V665" s="9">
        <v>20.35176903227914</v>
      </c>
      <c r="W665" s="9">
        <v>20.35176903227914</v>
      </c>
      <c r="X665" s="9">
        <v>19.91589544268896</v>
      </c>
      <c r="Y665" s="9">
        <v>19.91589544268896</v>
      </c>
      <c r="Z665" s="9">
        <v>21.609947773831163</v>
      </c>
      <c r="AA665" s="9">
        <v>21.609947773831163</v>
      </c>
      <c r="AB665" s="9">
        <v>23.372671736151272</v>
      </c>
      <c r="AC665" s="9">
        <v>23.372671736151272</v>
      </c>
      <c r="AD665" s="9">
        <v>26.430826810726163</v>
      </c>
      <c r="AE665" s="9">
        <v>27.959768706413232</v>
      </c>
      <c r="AF665" s="9">
        <v>29.772701744670762</v>
      </c>
      <c r="AG665" s="9">
        <v>29.772701744670762</v>
      </c>
      <c r="AH665" s="9">
        <v>32.589351949315954</v>
      </c>
      <c r="AI665" s="9">
        <v>34.825222308406182</v>
      </c>
      <c r="AJ665" s="9">
        <v>3.0428788910505911</v>
      </c>
    </row>
    <row r="666" spans="1:36" x14ac:dyDescent="0.25">
      <c r="A666" t="s">
        <v>5411</v>
      </c>
      <c r="B666" t="s">
        <v>16</v>
      </c>
      <c r="C666" t="s">
        <v>17</v>
      </c>
      <c r="D666">
        <v>18935000</v>
      </c>
      <c r="E666">
        <v>18939999</v>
      </c>
      <c r="F666" t="s">
        <v>604</v>
      </c>
      <c r="G666" t="str">
        <f t="shared" si="20"/>
        <v>SPI II</v>
      </c>
      <c r="H666" t="s">
        <v>19</v>
      </c>
      <c r="I666" t="s">
        <v>20</v>
      </c>
      <c r="J666" t="s">
        <v>64</v>
      </c>
      <c r="K666" s="6">
        <v>0.03</v>
      </c>
      <c r="L666" s="7">
        <f t="shared" si="21"/>
        <v>2E-3</v>
      </c>
      <c r="M666" s="7">
        <v>3.0000000000000001E-3</v>
      </c>
      <c r="N666">
        <v>8</v>
      </c>
      <c r="O666" s="8">
        <v>17.934556092922943</v>
      </c>
      <c r="P666" s="9">
        <v>17.934556092922943</v>
      </c>
      <c r="Q666" s="9">
        <v>17.934556092922943</v>
      </c>
      <c r="R666" s="9">
        <v>18.35577997371016</v>
      </c>
      <c r="S666" s="9">
        <v>18.404835306435746</v>
      </c>
      <c r="T666" s="9">
        <v>19.112621008962602</v>
      </c>
      <c r="U666" s="9">
        <v>20.35176903227914</v>
      </c>
      <c r="V666" s="9">
        <v>20.35176903227914</v>
      </c>
      <c r="W666" s="9">
        <v>20.35176903227914</v>
      </c>
      <c r="X666" s="9">
        <v>19.91589544268896</v>
      </c>
      <c r="Y666" s="9">
        <v>19.91589544268896</v>
      </c>
      <c r="Z666" s="9">
        <v>21.609947773831163</v>
      </c>
      <c r="AA666" s="9">
        <v>21.609947773831163</v>
      </c>
      <c r="AB666" s="9">
        <v>23.372671736151272</v>
      </c>
      <c r="AC666" s="9">
        <v>23.372671736151272</v>
      </c>
      <c r="AD666" s="9">
        <v>26.430826810726163</v>
      </c>
      <c r="AE666" s="9">
        <v>27.959768706413232</v>
      </c>
      <c r="AF666" s="9">
        <v>29.772701744670762</v>
      </c>
      <c r="AG666" s="9">
        <v>29.772701744670762</v>
      </c>
      <c r="AH666" s="9">
        <v>32.589351949315954</v>
      </c>
      <c r="AI666" s="9">
        <v>34.825222308406182</v>
      </c>
      <c r="AJ666" s="9">
        <v>3.0428788910505911</v>
      </c>
    </row>
    <row r="667" spans="1:36" x14ac:dyDescent="0.25">
      <c r="A667" t="s">
        <v>5411</v>
      </c>
      <c r="B667" t="s">
        <v>16</v>
      </c>
      <c r="C667" t="s">
        <v>17</v>
      </c>
      <c r="D667">
        <v>18940000</v>
      </c>
      <c r="E667">
        <v>18949999</v>
      </c>
      <c r="F667" t="s">
        <v>605</v>
      </c>
      <c r="G667" t="str">
        <f t="shared" si="20"/>
        <v>SPI II</v>
      </c>
      <c r="H667" t="s">
        <v>19</v>
      </c>
      <c r="I667" t="s">
        <v>20</v>
      </c>
      <c r="J667" t="s">
        <v>64</v>
      </c>
      <c r="K667" s="6">
        <v>0.03</v>
      </c>
      <c r="L667" s="7">
        <f t="shared" si="21"/>
        <v>2E-3</v>
      </c>
      <c r="M667" s="7">
        <v>3.0000000000000001E-3</v>
      </c>
      <c r="N667">
        <v>9</v>
      </c>
      <c r="O667" s="8">
        <v>17.934556092922943</v>
      </c>
      <c r="P667" s="9">
        <v>17.934556092922943</v>
      </c>
      <c r="Q667" s="9">
        <v>17.934556092922943</v>
      </c>
      <c r="R667" s="9">
        <v>18.35577997371016</v>
      </c>
      <c r="S667" s="9">
        <v>18.404835306435746</v>
      </c>
      <c r="T667" s="9">
        <v>19.112621008962602</v>
      </c>
      <c r="U667" s="9">
        <v>20.35176903227914</v>
      </c>
      <c r="V667" s="9">
        <v>20.35176903227914</v>
      </c>
      <c r="W667" s="9">
        <v>20.35176903227914</v>
      </c>
      <c r="X667" s="9">
        <v>19.91589544268896</v>
      </c>
      <c r="Y667" s="9">
        <v>19.91589544268896</v>
      </c>
      <c r="Z667" s="9">
        <v>21.609947773831163</v>
      </c>
      <c r="AA667" s="9">
        <v>21.609947773831163</v>
      </c>
      <c r="AB667" s="9">
        <v>23.372671736151272</v>
      </c>
      <c r="AC667" s="9">
        <v>23.372671736151272</v>
      </c>
      <c r="AD667" s="9">
        <v>26.430826810726163</v>
      </c>
      <c r="AE667" s="9">
        <v>27.959768706413232</v>
      </c>
      <c r="AF667" s="9">
        <v>29.772701744670762</v>
      </c>
      <c r="AG667" s="9">
        <v>29.772701744670762</v>
      </c>
      <c r="AH667" s="9">
        <v>32.589351949315954</v>
      </c>
      <c r="AI667" s="9">
        <v>34.825222308406182</v>
      </c>
      <c r="AJ667" s="9">
        <v>3.0428788910505911</v>
      </c>
    </row>
    <row r="668" spans="1:36" x14ac:dyDescent="0.25">
      <c r="A668" t="s">
        <v>5411</v>
      </c>
      <c r="B668" t="s">
        <v>16</v>
      </c>
      <c r="C668" t="s">
        <v>17</v>
      </c>
      <c r="D668">
        <v>18950000</v>
      </c>
      <c r="E668">
        <v>18959999</v>
      </c>
      <c r="F668" t="s">
        <v>606</v>
      </c>
      <c r="G668" t="str">
        <f t="shared" si="20"/>
        <v>SPI II</v>
      </c>
      <c r="H668" t="s">
        <v>19</v>
      </c>
      <c r="I668" t="s">
        <v>20</v>
      </c>
      <c r="J668" t="s">
        <v>64</v>
      </c>
      <c r="K668" s="6">
        <v>0.03</v>
      </c>
      <c r="L668" s="7">
        <f t="shared" si="21"/>
        <v>2E-3</v>
      </c>
      <c r="M668" s="7">
        <v>3.0000000000000001E-3</v>
      </c>
      <c r="N668">
        <v>8</v>
      </c>
      <c r="O668" s="8">
        <v>17.934556092922943</v>
      </c>
      <c r="P668" s="9">
        <v>17.934556092922943</v>
      </c>
      <c r="Q668" s="9">
        <v>17.934556092922943</v>
      </c>
      <c r="R668" s="9">
        <v>18.35577997371016</v>
      </c>
      <c r="S668" s="9">
        <v>18.404835306435746</v>
      </c>
      <c r="T668" s="9">
        <v>19.112621008962602</v>
      </c>
      <c r="U668" s="9">
        <v>20.35176903227914</v>
      </c>
      <c r="V668" s="9">
        <v>20.35176903227914</v>
      </c>
      <c r="W668" s="9">
        <v>20.35176903227914</v>
      </c>
      <c r="X668" s="9">
        <v>19.91589544268896</v>
      </c>
      <c r="Y668" s="9">
        <v>19.91589544268896</v>
      </c>
      <c r="Z668" s="9">
        <v>21.609947773831163</v>
      </c>
      <c r="AA668" s="9">
        <v>21.609947773831163</v>
      </c>
      <c r="AB668" s="9">
        <v>23.372671736151272</v>
      </c>
      <c r="AC668" s="9">
        <v>23.372671736151272</v>
      </c>
      <c r="AD668" s="9">
        <v>26.430826810726163</v>
      </c>
      <c r="AE668" s="9">
        <v>27.959768706413232</v>
      </c>
      <c r="AF668" s="9">
        <v>29.772701744670762</v>
      </c>
      <c r="AG668" s="9">
        <v>29.772701744670762</v>
      </c>
      <c r="AH668" s="9">
        <v>32.589351949315954</v>
      </c>
      <c r="AI668" s="9">
        <v>34.825222308406182</v>
      </c>
      <c r="AJ668" s="9">
        <v>3.0428788910505911</v>
      </c>
    </row>
    <row r="669" spans="1:36" x14ac:dyDescent="0.25">
      <c r="A669" t="s">
        <v>5411</v>
      </c>
      <c r="B669" t="s">
        <v>16</v>
      </c>
      <c r="C669" t="s">
        <v>17</v>
      </c>
      <c r="D669">
        <v>18960000</v>
      </c>
      <c r="E669">
        <v>18969999</v>
      </c>
      <c r="F669" t="s">
        <v>607</v>
      </c>
      <c r="G669" t="str">
        <f t="shared" si="20"/>
        <v>SPI II</v>
      </c>
      <c r="H669" t="s">
        <v>19</v>
      </c>
      <c r="I669" t="s">
        <v>20</v>
      </c>
      <c r="J669" t="s">
        <v>64</v>
      </c>
      <c r="K669" s="6">
        <v>0.03</v>
      </c>
      <c r="L669" s="7">
        <f t="shared" si="21"/>
        <v>2E-3</v>
      </c>
      <c r="M669" s="7">
        <v>3.0000000000000001E-3</v>
      </c>
      <c r="N669">
        <v>8</v>
      </c>
      <c r="O669" s="8">
        <v>17.934556092922943</v>
      </c>
      <c r="P669" s="9">
        <v>17.934556092922943</v>
      </c>
      <c r="Q669" s="9">
        <v>17.934556092922943</v>
      </c>
      <c r="R669" s="9">
        <v>18.35577997371016</v>
      </c>
      <c r="S669" s="9">
        <v>18.404835306435746</v>
      </c>
      <c r="T669" s="9">
        <v>19.112621008962602</v>
      </c>
      <c r="U669" s="9">
        <v>20.35176903227914</v>
      </c>
      <c r="V669" s="9">
        <v>20.35176903227914</v>
      </c>
      <c r="W669" s="9">
        <v>20.35176903227914</v>
      </c>
      <c r="X669" s="9">
        <v>19.91589544268896</v>
      </c>
      <c r="Y669" s="9">
        <v>19.91589544268896</v>
      </c>
      <c r="Z669" s="9">
        <v>21.609947773831163</v>
      </c>
      <c r="AA669" s="9">
        <v>21.609947773831163</v>
      </c>
      <c r="AB669" s="9">
        <v>23.372671736151272</v>
      </c>
      <c r="AC669" s="9">
        <v>23.372671736151272</v>
      </c>
      <c r="AD669" s="9">
        <v>26.430826810726163</v>
      </c>
      <c r="AE669" s="9">
        <v>27.959768706413232</v>
      </c>
      <c r="AF669" s="9">
        <v>29.772701744670762</v>
      </c>
      <c r="AG669" s="9">
        <v>29.772701744670762</v>
      </c>
      <c r="AH669" s="9">
        <v>32.589351949315954</v>
      </c>
      <c r="AI669" s="9">
        <v>34.825222308406182</v>
      </c>
      <c r="AJ669" s="9">
        <v>3.0428788910505911</v>
      </c>
    </row>
    <row r="670" spans="1:36" x14ac:dyDescent="0.25">
      <c r="A670" t="s">
        <v>5411</v>
      </c>
      <c r="B670" t="s">
        <v>16</v>
      </c>
      <c r="C670" t="s">
        <v>17</v>
      </c>
      <c r="D670">
        <v>18970000</v>
      </c>
      <c r="E670">
        <v>18989999</v>
      </c>
      <c r="F670" t="s">
        <v>608</v>
      </c>
      <c r="G670" t="str">
        <f t="shared" si="20"/>
        <v>SPI II</v>
      </c>
      <c r="H670" t="s">
        <v>19</v>
      </c>
      <c r="I670" t="s">
        <v>20</v>
      </c>
      <c r="J670" t="s">
        <v>64</v>
      </c>
      <c r="K670" s="6">
        <v>0.03</v>
      </c>
      <c r="L670" s="7">
        <f t="shared" si="21"/>
        <v>2E-3</v>
      </c>
      <c r="M670" s="7">
        <v>3.0000000000000001E-3</v>
      </c>
      <c r="N670">
        <v>9</v>
      </c>
      <c r="O670" s="8">
        <v>17.934556092922943</v>
      </c>
      <c r="P670" s="9">
        <v>17.934556092922943</v>
      </c>
      <c r="Q670" s="9">
        <v>17.934556092922943</v>
      </c>
      <c r="R670" s="9">
        <v>18.35577997371016</v>
      </c>
      <c r="S670" s="9">
        <v>18.404835306435746</v>
      </c>
      <c r="T670" s="9">
        <v>19.112621008962602</v>
      </c>
      <c r="U670" s="9">
        <v>20.35176903227914</v>
      </c>
      <c r="V670" s="9">
        <v>20.35176903227914</v>
      </c>
      <c r="W670" s="9">
        <v>20.35176903227914</v>
      </c>
      <c r="X670" s="9">
        <v>19.91589544268896</v>
      </c>
      <c r="Y670" s="9">
        <v>19.91589544268896</v>
      </c>
      <c r="Z670" s="9">
        <v>21.609947773831163</v>
      </c>
      <c r="AA670" s="9">
        <v>21.609947773831163</v>
      </c>
      <c r="AB670" s="9">
        <v>23.372671736151272</v>
      </c>
      <c r="AC670" s="9">
        <v>23.372671736151272</v>
      </c>
      <c r="AD670" s="9">
        <v>26.430826810726163</v>
      </c>
      <c r="AE670" s="9">
        <v>27.959768706413232</v>
      </c>
      <c r="AF670" s="9">
        <v>29.772701744670762</v>
      </c>
      <c r="AG670" s="9">
        <v>29.772701744670762</v>
      </c>
      <c r="AH670" s="9">
        <v>32.589351949315954</v>
      </c>
      <c r="AI670" s="9">
        <v>34.825222308406182</v>
      </c>
      <c r="AJ670" s="9">
        <v>3.0428788910505911</v>
      </c>
    </row>
    <row r="671" spans="1:36" x14ac:dyDescent="0.25">
      <c r="A671" t="s">
        <v>5411</v>
      </c>
      <c r="B671" t="s">
        <v>16</v>
      </c>
      <c r="C671" t="s">
        <v>17</v>
      </c>
      <c r="D671">
        <v>18990000</v>
      </c>
      <c r="E671">
        <v>18999999</v>
      </c>
      <c r="F671" t="s">
        <v>609</v>
      </c>
      <c r="G671" t="str">
        <f t="shared" si="20"/>
        <v>SPI II</v>
      </c>
      <c r="H671" t="s">
        <v>19</v>
      </c>
      <c r="I671" t="s">
        <v>20</v>
      </c>
      <c r="J671" t="s">
        <v>64</v>
      </c>
      <c r="K671" s="6">
        <v>0.03</v>
      </c>
      <c r="L671" s="7">
        <f t="shared" si="21"/>
        <v>2E-3</v>
      </c>
      <c r="M671" s="7">
        <v>3.0000000000000001E-3</v>
      </c>
      <c r="N671">
        <v>7</v>
      </c>
      <c r="O671" s="8">
        <v>17.934556092922943</v>
      </c>
      <c r="P671" s="9">
        <v>17.934556092922943</v>
      </c>
      <c r="Q671" s="9">
        <v>17.934556092922943</v>
      </c>
      <c r="R671" s="9">
        <v>18.35577997371016</v>
      </c>
      <c r="S671" s="9">
        <v>18.404835306435746</v>
      </c>
      <c r="T671" s="9">
        <v>19.112621008962602</v>
      </c>
      <c r="U671" s="9">
        <v>20.35176903227914</v>
      </c>
      <c r="V671" s="9">
        <v>20.35176903227914</v>
      </c>
      <c r="W671" s="9">
        <v>20.35176903227914</v>
      </c>
      <c r="X671" s="9">
        <v>19.91589544268896</v>
      </c>
      <c r="Y671" s="9">
        <v>19.91589544268896</v>
      </c>
      <c r="Z671" s="9">
        <v>21.609947773831163</v>
      </c>
      <c r="AA671" s="9">
        <v>21.609947773831163</v>
      </c>
      <c r="AB671" s="9">
        <v>23.372671736151272</v>
      </c>
      <c r="AC671" s="9">
        <v>23.372671736151272</v>
      </c>
      <c r="AD671" s="9">
        <v>26.430826810726163</v>
      </c>
      <c r="AE671" s="9">
        <v>27.959768706413232</v>
      </c>
      <c r="AF671" s="9">
        <v>29.772701744670762</v>
      </c>
      <c r="AG671" s="9">
        <v>29.772701744670762</v>
      </c>
      <c r="AH671" s="9">
        <v>32.589351949315954</v>
      </c>
      <c r="AI671" s="9">
        <v>34.825222308406182</v>
      </c>
      <c r="AJ671" s="9">
        <v>3.0428788910505911</v>
      </c>
    </row>
    <row r="672" spans="1:36" x14ac:dyDescent="0.25">
      <c r="A672" t="s">
        <v>5411</v>
      </c>
      <c r="B672" t="s">
        <v>16</v>
      </c>
      <c r="C672" t="s">
        <v>17</v>
      </c>
      <c r="D672">
        <v>19000000</v>
      </c>
      <c r="E672">
        <v>19159999</v>
      </c>
      <c r="F672" t="s">
        <v>610</v>
      </c>
      <c r="G672" t="str">
        <f t="shared" si="20"/>
        <v>SPI</v>
      </c>
      <c r="H672" t="s">
        <v>19</v>
      </c>
      <c r="I672" t="s">
        <v>20</v>
      </c>
      <c r="J672" t="s">
        <v>62</v>
      </c>
      <c r="K672" s="6">
        <v>0.03</v>
      </c>
      <c r="L672" s="7">
        <f t="shared" si="21"/>
        <v>2E-3</v>
      </c>
      <c r="M672" s="7">
        <v>3.0000000000000001E-3</v>
      </c>
      <c r="N672">
        <v>6</v>
      </c>
      <c r="O672" s="8">
        <v>14.260089507934383</v>
      </c>
      <c r="P672" s="9">
        <v>14.260089507934383</v>
      </c>
      <c r="Q672" s="9">
        <v>14.260089507934383</v>
      </c>
      <c r="R672" s="9">
        <v>14.434686024139818</v>
      </c>
      <c r="S672" s="9">
        <v>14.722027102535575</v>
      </c>
      <c r="T672" s="9">
        <v>15.677715915555218</v>
      </c>
      <c r="U672" s="9">
        <v>17.010379604817192</v>
      </c>
      <c r="V672" s="9">
        <v>17.010379604817192</v>
      </c>
      <c r="W672" s="9">
        <v>17.010379604817192</v>
      </c>
      <c r="X672" s="9">
        <v>16.884570568466835</v>
      </c>
      <c r="Y672" s="9">
        <v>16.884570568466835</v>
      </c>
      <c r="Z672" s="9">
        <v>18.617757359760585</v>
      </c>
      <c r="AA672" s="9">
        <v>18.617757359760585</v>
      </c>
      <c r="AB672" s="9">
        <v>20.52292271594289</v>
      </c>
      <c r="AC672" s="9">
        <v>20.52292271594289</v>
      </c>
      <c r="AD672" s="9">
        <v>22.530627040176761</v>
      </c>
      <c r="AE672" s="9">
        <v>24.654059850225856</v>
      </c>
      <c r="AF672" s="9">
        <v>28.622962393602329</v>
      </c>
      <c r="AG672" s="9">
        <v>28.622962393602329</v>
      </c>
      <c r="AH672" s="9">
        <v>31.011605245024167</v>
      </c>
      <c r="AI672" s="9">
        <v>33.330799286496742</v>
      </c>
      <c r="AJ672" s="9">
        <v>3.0428788910505911</v>
      </c>
    </row>
    <row r="673" spans="1:36" x14ac:dyDescent="0.25">
      <c r="A673" t="s">
        <v>5411</v>
      </c>
      <c r="B673" t="s">
        <v>16</v>
      </c>
      <c r="C673" t="s">
        <v>17</v>
      </c>
      <c r="D673">
        <v>19160000</v>
      </c>
      <c r="E673">
        <v>19179999</v>
      </c>
      <c r="F673" t="s">
        <v>611</v>
      </c>
      <c r="G673" t="str">
        <f t="shared" si="20"/>
        <v>SPI II</v>
      </c>
      <c r="H673" t="s">
        <v>19</v>
      </c>
      <c r="I673" t="s">
        <v>20</v>
      </c>
      <c r="J673" t="s">
        <v>64</v>
      </c>
      <c r="K673" s="6">
        <v>0.03</v>
      </c>
      <c r="L673" s="7">
        <f t="shared" si="21"/>
        <v>2E-3</v>
      </c>
      <c r="M673" s="7">
        <v>3.0000000000000001E-3</v>
      </c>
      <c r="N673">
        <v>7</v>
      </c>
      <c r="O673" s="8">
        <v>17.934556092922943</v>
      </c>
      <c r="P673" s="9">
        <v>17.934556092922943</v>
      </c>
      <c r="Q673" s="9">
        <v>17.934556092922943</v>
      </c>
      <c r="R673" s="9">
        <v>18.35577997371016</v>
      </c>
      <c r="S673" s="9">
        <v>18.404835306435746</v>
      </c>
      <c r="T673" s="9">
        <v>19.112621008962602</v>
      </c>
      <c r="U673" s="9">
        <v>20.35176903227914</v>
      </c>
      <c r="V673" s="9">
        <v>20.35176903227914</v>
      </c>
      <c r="W673" s="9">
        <v>20.35176903227914</v>
      </c>
      <c r="X673" s="9">
        <v>19.91589544268896</v>
      </c>
      <c r="Y673" s="9">
        <v>19.91589544268896</v>
      </c>
      <c r="Z673" s="9">
        <v>21.609947773831163</v>
      </c>
      <c r="AA673" s="9">
        <v>21.609947773831163</v>
      </c>
      <c r="AB673" s="9">
        <v>23.372671736151272</v>
      </c>
      <c r="AC673" s="9">
        <v>23.372671736151272</v>
      </c>
      <c r="AD673" s="9">
        <v>26.430826810726163</v>
      </c>
      <c r="AE673" s="9">
        <v>27.959768706413232</v>
      </c>
      <c r="AF673" s="9">
        <v>29.772701744670762</v>
      </c>
      <c r="AG673" s="9">
        <v>29.772701744670762</v>
      </c>
      <c r="AH673" s="9">
        <v>32.589351949315954</v>
      </c>
      <c r="AI673" s="9">
        <v>34.825222308406182</v>
      </c>
      <c r="AJ673" s="9">
        <v>3.0428788910505911</v>
      </c>
    </row>
    <row r="674" spans="1:36" x14ac:dyDescent="0.25">
      <c r="A674" t="s">
        <v>5411</v>
      </c>
      <c r="B674" t="s">
        <v>16</v>
      </c>
      <c r="C674" t="s">
        <v>17</v>
      </c>
      <c r="D674">
        <v>19180000</v>
      </c>
      <c r="E674">
        <v>19189999</v>
      </c>
      <c r="F674" t="s">
        <v>612</v>
      </c>
      <c r="G674" t="str">
        <f t="shared" si="20"/>
        <v>SPI II</v>
      </c>
      <c r="H674" t="s">
        <v>19</v>
      </c>
      <c r="I674" t="s">
        <v>20</v>
      </c>
      <c r="J674" t="s">
        <v>64</v>
      </c>
      <c r="K674" s="6">
        <v>0.03</v>
      </c>
      <c r="L674" s="7">
        <f t="shared" si="21"/>
        <v>2E-3</v>
      </c>
      <c r="M674" s="7">
        <v>3.0000000000000001E-3</v>
      </c>
      <c r="N674">
        <v>7</v>
      </c>
      <c r="O674" s="8">
        <v>17.934556092922943</v>
      </c>
      <c r="P674" s="9">
        <v>17.934556092922943</v>
      </c>
      <c r="Q674" s="9">
        <v>17.934556092922943</v>
      </c>
      <c r="R674" s="9">
        <v>18.35577997371016</v>
      </c>
      <c r="S674" s="9">
        <v>18.404835306435746</v>
      </c>
      <c r="T674" s="9">
        <v>19.112621008962602</v>
      </c>
      <c r="U674" s="9">
        <v>20.35176903227914</v>
      </c>
      <c r="V674" s="9">
        <v>20.35176903227914</v>
      </c>
      <c r="W674" s="9">
        <v>20.35176903227914</v>
      </c>
      <c r="X674" s="9">
        <v>19.91589544268896</v>
      </c>
      <c r="Y674" s="9">
        <v>19.91589544268896</v>
      </c>
      <c r="Z674" s="9">
        <v>21.609947773831163</v>
      </c>
      <c r="AA674" s="9">
        <v>21.609947773831163</v>
      </c>
      <c r="AB674" s="9">
        <v>23.372671736151272</v>
      </c>
      <c r="AC674" s="9">
        <v>23.372671736151272</v>
      </c>
      <c r="AD674" s="9">
        <v>26.430826810726163</v>
      </c>
      <c r="AE674" s="9">
        <v>27.959768706413232</v>
      </c>
      <c r="AF674" s="9">
        <v>29.772701744670762</v>
      </c>
      <c r="AG674" s="9">
        <v>29.772701744670762</v>
      </c>
      <c r="AH674" s="9">
        <v>32.589351949315954</v>
      </c>
      <c r="AI674" s="9">
        <v>34.825222308406182</v>
      </c>
      <c r="AJ674" s="9">
        <v>3.0428788910505911</v>
      </c>
    </row>
    <row r="675" spans="1:36" x14ac:dyDescent="0.25">
      <c r="A675" t="s">
        <v>5411</v>
      </c>
      <c r="B675" t="s">
        <v>16</v>
      </c>
      <c r="C675" t="s">
        <v>17</v>
      </c>
      <c r="D675">
        <v>19190000</v>
      </c>
      <c r="E675">
        <v>19199999</v>
      </c>
      <c r="F675" t="s">
        <v>613</v>
      </c>
      <c r="G675" t="str">
        <f t="shared" si="20"/>
        <v>SPI II</v>
      </c>
      <c r="H675" t="s">
        <v>19</v>
      </c>
      <c r="I675" t="s">
        <v>20</v>
      </c>
      <c r="J675" t="s">
        <v>64</v>
      </c>
      <c r="K675" s="6">
        <v>0.03</v>
      </c>
      <c r="L675" s="7">
        <f t="shared" si="21"/>
        <v>2E-3</v>
      </c>
      <c r="M675" s="7">
        <v>3.0000000000000001E-3</v>
      </c>
      <c r="N675">
        <v>7</v>
      </c>
      <c r="O675" s="8">
        <v>17.934556092922943</v>
      </c>
      <c r="P675" s="9">
        <v>17.934556092922943</v>
      </c>
      <c r="Q675" s="9">
        <v>17.934556092922943</v>
      </c>
      <c r="R675" s="9">
        <v>18.35577997371016</v>
      </c>
      <c r="S675" s="9">
        <v>18.404835306435746</v>
      </c>
      <c r="T675" s="9">
        <v>19.112621008962602</v>
      </c>
      <c r="U675" s="9">
        <v>20.35176903227914</v>
      </c>
      <c r="V675" s="9">
        <v>20.35176903227914</v>
      </c>
      <c r="W675" s="9">
        <v>20.35176903227914</v>
      </c>
      <c r="X675" s="9">
        <v>19.91589544268896</v>
      </c>
      <c r="Y675" s="9">
        <v>19.91589544268896</v>
      </c>
      <c r="Z675" s="9">
        <v>21.609947773831163</v>
      </c>
      <c r="AA675" s="9">
        <v>21.609947773831163</v>
      </c>
      <c r="AB675" s="9">
        <v>23.372671736151272</v>
      </c>
      <c r="AC675" s="9">
        <v>23.372671736151272</v>
      </c>
      <c r="AD675" s="9">
        <v>26.430826810726163</v>
      </c>
      <c r="AE675" s="9">
        <v>27.959768706413232</v>
      </c>
      <c r="AF675" s="9">
        <v>29.772701744670762</v>
      </c>
      <c r="AG675" s="9">
        <v>29.772701744670762</v>
      </c>
      <c r="AH675" s="9">
        <v>32.589351949315954</v>
      </c>
      <c r="AI675" s="9">
        <v>34.825222308406182</v>
      </c>
      <c r="AJ675" s="9">
        <v>3.0428788910505911</v>
      </c>
    </row>
    <row r="676" spans="1:36" x14ac:dyDescent="0.25">
      <c r="A676" t="s">
        <v>5411</v>
      </c>
      <c r="B676" t="s">
        <v>16</v>
      </c>
      <c r="C676" t="s">
        <v>17</v>
      </c>
      <c r="D676">
        <v>19200000</v>
      </c>
      <c r="E676">
        <v>19209999</v>
      </c>
      <c r="F676" t="s">
        <v>614</v>
      </c>
      <c r="G676" t="str">
        <f t="shared" si="20"/>
        <v>SPI II</v>
      </c>
      <c r="H676" t="s">
        <v>19</v>
      </c>
      <c r="I676" t="s">
        <v>20</v>
      </c>
      <c r="J676" t="s">
        <v>64</v>
      </c>
      <c r="K676" s="6">
        <v>0.03</v>
      </c>
      <c r="L676" s="7">
        <f t="shared" si="21"/>
        <v>2E-3</v>
      </c>
      <c r="M676" s="7">
        <v>3.0000000000000001E-3</v>
      </c>
      <c r="N676">
        <v>7</v>
      </c>
      <c r="O676" s="8">
        <v>17.934556092922943</v>
      </c>
      <c r="P676" s="9">
        <v>17.934556092922943</v>
      </c>
      <c r="Q676" s="9">
        <v>17.934556092922943</v>
      </c>
      <c r="R676" s="9">
        <v>18.35577997371016</v>
      </c>
      <c r="S676" s="9">
        <v>18.404835306435746</v>
      </c>
      <c r="T676" s="9">
        <v>19.112621008962602</v>
      </c>
      <c r="U676" s="9">
        <v>20.35176903227914</v>
      </c>
      <c r="V676" s="9">
        <v>20.35176903227914</v>
      </c>
      <c r="W676" s="9">
        <v>20.35176903227914</v>
      </c>
      <c r="X676" s="9">
        <v>19.91589544268896</v>
      </c>
      <c r="Y676" s="9">
        <v>19.91589544268896</v>
      </c>
      <c r="Z676" s="9">
        <v>21.609947773831163</v>
      </c>
      <c r="AA676" s="9">
        <v>21.609947773831163</v>
      </c>
      <c r="AB676" s="9">
        <v>23.372671736151272</v>
      </c>
      <c r="AC676" s="9">
        <v>23.372671736151272</v>
      </c>
      <c r="AD676" s="9">
        <v>26.430826810726163</v>
      </c>
      <c r="AE676" s="9">
        <v>27.959768706413232</v>
      </c>
      <c r="AF676" s="9">
        <v>29.772701744670762</v>
      </c>
      <c r="AG676" s="9">
        <v>29.772701744670762</v>
      </c>
      <c r="AH676" s="9">
        <v>32.589351949315954</v>
      </c>
      <c r="AI676" s="9">
        <v>34.825222308406182</v>
      </c>
      <c r="AJ676" s="9">
        <v>3.0428788910505911</v>
      </c>
    </row>
    <row r="677" spans="1:36" x14ac:dyDescent="0.25">
      <c r="A677" t="s">
        <v>5411</v>
      </c>
      <c r="B677" t="s">
        <v>16</v>
      </c>
      <c r="C677" t="s">
        <v>17</v>
      </c>
      <c r="D677">
        <v>19210000</v>
      </c>
      <c r="E677">
        <v>19219999</v>
      </c>
      <c r="F677" t="s">
        <v>615</v>
      </c>
      <c r="G677" t="str">
        <f t="shared" si="20"/>
        <v>SPI II</v>
      </c>
      <c r="H677" t="s">
        <v>19</v>
      </c>
      <c r="I677" t="s">
        <v>20</v>
      </c>
      <c r="J677" t="s">
        <v>64</v>
      </c>
      <c r="K677" s="6">
        <v>0.03</v>
      </c>
      <c r="L677" s="7">
        <f t="shared" si="21"/>
        <v>2E-3</v>
      </c>
      <c r="M677" s="7">
        <v>3.0000000000000001E-3</v>
      </c>
      <c r="N677">
        <v>7</v>
      </c>
      <c r="O677" s="8">
        <v>17.934556092922943</v>
      </c>
      <c r="P677" s="9">
        <v>17.934556092922943</v>
      </c>
      <c r="Q677" s="9">
        <v>17.934556092922943</v>
      </c>
      <c r="R677" s="9">
        <v>18.35577997371016</v>
      </c>
      <c r="S677" s="9">
        <v>18.404835306435746</v>
      </c>
      <c r="T677" s="9">
        <v>19.112621008962602</v>
      </c>
      <c r="U677" s="9">
        <v>20.35176903227914</v>
      </c>
      <c r="V677" s="9">
        <v>20.35176903227914</v>
      </c>
      <c r="W677" s="9">
        <v>20.35176903227914</v>
      </c>
      <c r="X677" s="9">
        <v>19.91589544268896</v>
      </c>
      <c r="Y677" s="9">
        <v>19.91589544268896</v>
      </c>
      <c r="Z677" s="9">
        <v>21.609947773831163</v>
      </c>
      <c r="AA677" s="9">
        <v>21.609947773831163</v>
      </c>
      <c r="AB677" s="9">
        <v>23.372671736151272</v>
      </c>
      <c r="AC677" s="9">
        <v>23.372671736151272</v>
      </c>
      <c r="AD677" s="9">
        <v>26.430826810726163</v>
      </c>
      <c r="AE677" s="9">
        <v>27.959768706413232</v>
      </c>
      <c r="AF677" s="9">
        <v>29.772701744670762</v>
      </c>
      <c r="AG677" s="9">
        <v>29.772701744670762</v>
      </c>
      <c r="AH677" s="9">
        <v>32.589351949315954</v>
      </c>
      <c r="AI677" s="9">
        <v>34.825222308406182</v>
      </c>
      <c r="AJ677" s="9">
        <v>3.0428788910505911</v>
      </c>
    </row>
    <row r="678" spans="1:36" x14ac:dyDescent="0.25">
      <c r="A678" t="s">
        <v>5411</v>
      </c>
      <c r="B678" t="s">
        <v>16</v>
      </c>
      <c r="C678" t="s">
        <v>17</v>
      </c>
      <c r="D678">
        <v>19220000</v>
      </c>
      <c r="E678">
        <v>19229999</v>
      </c>
      <c r="F678" t="s">
        <v>616</v>
      </c>
      <c r="G678" t="str">
        <f t="shared" si="20"/>
        <v>SPI II</v>
      </c>
      <c r="H678" t="s">
        <v>19</v>
      </c>
      <c r="I678" t="s">
        <v>20</v>
      </c>
      <c r="J678" t="s">
        <v>64</v>
      </c>
      <c r="K678" s="6">
        <v>0.03</v>
      </c>
      <c r="L678" s="7">
        <f t="shared" si="21"/>
        <v>2E-3</v>
      </c>
      <c r="M678" s="7">
        <v>3.0000000000000001E-3</v>
      </c>
      <c r="N678">
        <v>7</v>
      </c>
      <c r="O678" s="8">
        <v>17.934556092922943</v>
      </c>
      <c r="P678" s="9">
        <v>17.934556092922943</v>
      </c>
      <c r="Q678" s="9">
        <v>17.934556092922943</v>
      </c>
      <c r="R678" s="9">
        <v>18.35577997371016</v>
      </c>
      <c r="S678" s="9">
        <v>18.404835306435746</v>
      </c>
      <c r="T678" s="9">
        <v>19.112621008962602</v>
      </c>
      <c r="U678" s="9">
        <v>20.35176903227914</v>
      </c>
      <c r="V678" s="9">
        <v>20.35176903227914</v>
      </c>
      <c r="W678" s="9">
        <v>20.35176903227914</v>
      </c>
      <c r="X678" s="9">
        <v>19.91589544268896</v>
      </c>
      <c r="Y678" s="9">
        <v>19.91589544268896</v>
      </c>
      <c r="Z678" s="9">
        <v>21.609947773831163</v>
      </c>
      <c r="AA678" s="9">
        <v>21.609947773831163</v>
      </c>
      <c r="AB678" s="9">
        <v>23.372671736151272</v>
      </c>
      <c r="AC678" s="9">
        <v>23.372671736151272</v>
      </c>
      <c r="AD678" s="9">
        <v>26.430826810726163</v>
      </c>
      <c r="AE678" s="9">
        <v>27.959768706413232</v>
      </c>
      <c r="AF678" s="9">
        <v>29.772701744670762</v>
      </c>
      <c r="AG678" s="9">
        <v>29.772701744670762</v>
      </c>
      <c r="AH678" s="9">
        <v>32.589351949315954</v>
      </c>
      <c r="AI678" s="9">
        <v>34.825222308406182</v>
      </c>
      <c r="AJ678" s="9">
        <v>3.0428788910505911</v>
      </c>
    </row>
    <row r="679" spans="1:36" x14ac:dyDescent="0.25">
      <c r="A679" t="s">
        <v>5411</v>
      </c>
      <c r="B679" t="s">
        <v>16</v>
      </c>
      <c r="C679" t="s">
        <v>17</v>
      </c>
      <c r="D679">
        <v>19230000</v>
      </c>
      <c r="E679">
        <v>19249999</v>
      </c>
      <c r="F679" t="s">
        <v>617</v>
      </c>
      <c r="G679" t="str">
        <f t="shared" si="20"/>
        <v>SPI II</v>
      </c>
      <c r="H679" t="s">
        <v>19</v>
      </c>
      <c r="I679" t="s">
        <v>20</v>
      </c>
      <c r="J679" t="s">
        <v>64</v>
      </c>
      <c r="K679" s="6">
        <v>0.03</v>
      </c>
      <c r="L679" s="7">
        <f t="shared" si="21"/>
        <v>2E-3</v>
      </c>
      <c r="M679" s="7">
        <v>3.0000000000000001E-3</v>
      </c>
      <c r="N679">
        <v>7</v>
      </c>
      <c r="O679" s="8">
        <v>17.934556092922943</v>
      </c>
      <c r="P679" s="9">
        <v>17.934556092922943</v>
      </c>
      <c r="Q679" s="9">
        <v>17.934556092922943</v>
      </c>
      <c r="R679" s="9">
        <v>18.35577997371016</v>
      </c>
      <c r="S679" s="9">
        <v>18.404835306435746</v>
      </c>
      <c r="T679" s="9">
        <v>19.112621008962602</v>
      </c>
      <c r="U679" s="9">
        <v>20.35176903227914</v>
      </c>
      <c r="V679" s="9">
        <v>20.35176903227914</v>
      </c>
      <c r="W679" s="9">
        <v>20.35176903227914</v>
      </c>
      <c r="X679" s="9">
        <v>19.91589544268896</v>
      </c>
      <c r="Y679" s="9">
        <v>19.91589544268896</v>
      </c>
      <c r="Z679" s="9">
        <v>21.609947773831163</v>
      </c>
      <c r="AA679" s="9">
        <v>21.609947773831163</v>
      </c>
      <c r="AB679" s="9">
        <v>23.372671736151272</v>
      </c>
      <c r="AC679" s="9">
        <v>23.372671736151272</v>
      </c>
      <c r="AD679" s="9">
        <v>26.430826810726163</v>
      </c>
      <c r="AE679" s="9">
        <v>27.959768706413232</v>
      </c>
      <c r="AF679" s="9">
        <v>29.772701744670762</v>
      </c>
      <c r="AG679" s="9">
        <v>29.772701744670762</v>
      </c>
      <c r="AH679" s="9">
        <v>32.589351949315954</v>
      </c>
      <c r="AI679" s="9">
        <v>34.825222308406182</v>
      </c>
      <c r="AJ679" s="9">
        <v>3.0428788910505911</v>
      </c>
    </row>
    <row r="680" spans="1:36" x14ac:dyDescent="0.25">
      <c r="A680" t="s">
        <v>5411</v>
      </c>
      <c r="B680" t="s">
        <v>16</v>
      </c>
      <c r="C680" t="s">
        <v>17</v>
      </c>
      <c r="D680">
        <v>19250000</v>
      </c>
      <c r="E680">
        <v>19259999</v>
      </c>
      <c r="F680" t="s">
        <v>618</v>
      </c>
      <c r="G680" t="str">
        <f t="shared" si="20"/>
        <v>SPI II</v>
      </c>
      <c r="H680" t="s">
        <v>19</v>
      </c>
      <c r="I680" t="s">
        <v>20</v>
      </c>
      <c r="J680" t="s">
        <v>64</v>
      </c>
      <c r="K680" s="6">
        <v>0.03</v>
      </c>
      <c r="L680" s="7">
        <f t="shared" si="21"/>
        <v>2E-3</v>
      </c>
      <c r="M680" s="7">
        <v>3.0000000000000001E-3</v>
      </c>
      <c r="N680">
        <v>9</v>
      </c>
      <c r="O680" s="8">
        <v>17.934556092922943</v>
      </c>
      <c r="P680" s="9">
        <v>17.934556092922943</v>
      </c>
      <c r="Q680" s="9">
        <v>17.934556092922943</v>
      </c>
      <c r="R680" s="9">
        <v>18.35577997371016</v>
      </c>
      <c r="S680" s="9">
        <v>18.404835306435746</v>
      </c>
      <c r="T680" s="9">
        <v>19.112621008962602</v>
      </c>
      <c r="U680" s="9">
        <v>20.35176903227914</v>
      </c>
      <c r="V680" s="9">
        <v>20.35176903227914</v>
      </c>
      <c r="W680" s="9">
        <v>20.35176903227914</v>
      </c>
      <c r="X680" s="9">
        <v>19.91589544268896</v>
      </c>
      <c r="Y680" s="9">
        <v>19.91589544268896</v>
      </c>
      <c r="Z680" s="9">
        <v>21.609947773831163</v>
      </c>
      <c r="AA680" s="9">
        <v>21.609947773831163</v>
      </c>
      <c r="AB680" s="9">
        <v>23.372671736151272</v>
      </c>
      <c r="AC680" s="9">
        <v>23.372671736151272</v>
      </c>
      <c r="AD680" s="9">
        <v>26.430826810726163</v>
      </c>
      <c r="AE680" s="9">
        <v>27.959768706413232</v>
      </c>
      <c r="AF680" s="9">
        <v>29.772701744670762</v>
      </c>
      <c r="AG680" s="9">
        <v>29.772701744670762</v>
      </c>
      <c r="AH680" s="9">
        <v>32.589351949315954</v>
      </c>
      <c r="AI680" s="9">
        <v>34.825222308406182</v>
      </c>
      <c r="AJ680" s="9">
        <v>3.0428788910505911</v>
      </c>
    </row>
    <row r="681" spans="1:36" x14ac:dyDescent="0.25">
      <c r="A681" t="s">
        <v>5411</v>
      </c>
      <c r="B681" t="s">
        <v>16</v>
      </c>
      <c r="C681" t="s">
        <v>17</v>
      </c>
      <c r="D681">
        <v>19260000</v>
      </c>
      <c r="E681">
        <v>19272999</v>
      </c>
      <c r="F681" t="s">
        <v>619</v>
      </c>
      <c r="G681" t="str">
        <f t="shared" si="20"/>
        <v>SPI II</v>
      </c>
      <c r="H681" t="s">
        <v>19</v>
      </c>
      <c r="I681" t="s">
        <v>20</v>
      </c>
      <c r="J681" t="s">
        <v>64</v>
      </c>
      <c r="K681" s="6">
        <v>0.03</v>
      </c>
      <c r="L681" s="7">
        <f t="shared" si="21"/>
        <v>2E-3</v>
      </c>
      <c r="M681" s="7">
        <v>3.0000000000000001E-3</v>
      </c>
      <c r="N681">
        <v>7</v>
      </c>
      <c r="O681" s="8">
        <v>17.934556092922943</v>
      </c>
      <c r="P681" s="9">
        <v>17.934556092922943</v>
      </c>
      <c r="Q681" s="9">
        <v>17.934556092922943</v>
      </c>
      <c r="R681" s="9">
        <v>18.35577997371016</v>
      </c>
      <c r="S681" s="9">
        <v>18.404835306435746</v>
      </c>
      <c r="T681" s="9">
        <v>19.112621008962602</v>
      </c>
      <c r="U681" s="9">
        <v>20.35176903227914</v>
      </c>
      <c r="V681" s="9">
        <v>20.35176903227914</v>
      </c>
      <c r="W681" s="9">
        <v>20.35176903227914</v>
      </c>
      <c r="X681" s="9">
        <v>19.91589544268896</v>
      </c>
      <c r="Y681" s="9">
        <v>19.91589544268896</v>
      </c>
      <c r="Z681" s="9">
        <v>21.609947773831163</v>
      </c>
      <c r="AA681" s="9">
        <v>21.609947773831163</v>
      </c>
      <c r="AB681" s="9">
        <v>23.372671736151272</v>
      </c>
      <c r="AC681" s="9">
        <v>23.372671736151272</v>
      </c>
      <c r="AD681" s="9">
        <v>26.430826810726163</v>
      </c>
      <c r="AE681" s="9">
        <v>27.959768706413232</v>
      </c>
      <c r="AF681" s="9">
        <v>29.772701744670762</v>
      </c>
      <c r="AG681" s="9">
        <v>29.772701744670762</v>
      </c>
      <c r="AH681" s="9">
        <v>32.589351949315954</v>
      </c>
      <c r="AI681" s="9">
        <v>34.825222308406182</v>
      </c>
      <c r="AJ681" s="9">
        <v>3.0428788910505911</v>
      </c>
    </row>
    <row r="682" spans="1:36" x14ac:dyDescent="0.25">
      <c r="A682" t="s">
        <v>5411</v>
      </c>
      <c r="B682" t="s">
        <v>16</v>
      </c>
      <c r="C682" t="s">
        <v>17</v>
      </c>
      <c r="D682">
        <v>19273000</v>
      </c>
      <c r="E682">
        <v>19274999</v>
      </c>
      <c r="F682" t="s">
        <v>620</v>
      </c>
      <c r="G682" t="str">
        <f t="shared" si="20"/>
        <v>SPI II</v>
      </c>
      <c r="H682" t="s">
        <v>19</v>
      </c>
      <c r="I682" t="s">
        <v>20</v>
      </c>
      <c r="J682" t="s">
        <v>64</v>
      </c>
      <c r="K682" s="6">
        <v>0.03</v>
      </c>
      <c r="L682" s="7">
        <f t="shared" si="21"/>
        <v>2E-3</v>
      </c>
      <c r="M682" s="7">
        <v>3.0000000000000001E-3</v>
      </c>
      <c r="N682">
        <v>7</v>
      </c>
      <c r="O682" s="8">
        <v>17.934556092922943</v>
      </c>
      <c r="P682" s="9">
        <v>17.934556092922943</v>
      </c>
      <c r="Q682" s="9">
        <v>17.934556092922943</v>
      </c>
      <c r="R682" s="9">
        <v>18.35577997371016</v>
      </c>
      <c r="S682" s="9">
        <v>18.404835306435746</v>
      </c>
      <c r="T682" s="9">
        <v>19.112621008962602</v>
      </c>
      <c r="U682" s="9">
        <v>20.35176903227914</v>
      </c>
      <c r="V682" s="9">
        <v>20.35176903227914</v>
      </c>
      <c r="W682" s="9">
        <v>20.35176903227914</v>
      </c>
      <c r="X682" s="9">
        <v>19.91589544268896</v>
      </c>
      <c r="Y682" s="9">
        <v>19.91589544268896</v>
      </c>
      <c r="Z682" s="9">
        <v>21.609947773831163</v>
      </c>
      <c r="AA682" s="9">
        <v>21.609947773831163</v>
      </c>
      <c r="AB682" s="9">
        <v>23.372671736151272</v>
      </c>
      <c r="AC682" s="9">
        <v>23.372671736151272</v>
      </c>
      <c r="AD682" s="9">
        <v>26.430826810726163</v>
      </c>
      <c r="AE682" s="9">
        <v>27.959768706413232</v>
      </c>
      <c r="AF682" s="9">
        <v>29.772701744670762</v>
      </c>
      <c r="AG682" s="9">
        <v>29.772701744670762</v>
      </c>
      <c r="AH682" s="9">
        <v>32.589351949315954</v>
      </c>
      <c r="AI682" s="9">
        <v>34.825222308406182</v>
      </c>
      <c r="AJ682" s="9">
        <v>3.0428788910505911</v>
      </c>
    </row>
    <row r="683" spans="1:36" x14ac:dyDescent="0.25">
      <c r="A683" t="s">
        <v>5411</v>
      </c>
      <c r="B683" t="s">
        <v>16</v>
      </c>
      <c r="C683" t="s">
        <v>17</v>
      </c>
      <c r="D683">
        <v>19275000</v>
      </c>
      <c r="E683">
        <v>19279999</v>
      </c>
      <c r="F683" t="s">
        <v>621</v>
      </c>
      <c r="G683" t="str">
        <f t="shared" si="20"/>
        <v>SPI II</v>
      </c>
      <c r="H683" t="s">
        <v>19</v>
      </c>
      <c r="I683" t="s">
        <v>20</v>
      </c>
      <c r="J683" t="s">
        <v>64</v>
      </c>
      <c r="K683" s="6">
        <v>0.03</v>
      </c>
      <c r="L683" s="7">
        <f t="shared" si="21"/>
        <v>2E-3</v>
      </c>
      <c r="M683" s="7">
        <v>3.0000000000000001E-3</v>
      </c>
      <c r="N683">
        <v>7</v>
      </c>
      <c r="O683" s="8">
        <v>17.934556092922943</v>
      </c>
      <c r="P683" s="9">
        <v>17.934556092922943</v>
      </c>
      <c r="Q683" s="9">
        <v>17.934556092922943</v>
      </c>
      <c r="R683" s="9">
        <v>18.35577997371016</v>
      </c>
      <c r="S683" s="9">
        <v>18.404835306435746</v>
      </c>
      <c r="T683" s="9">
        <v>19.112621008962602</v>
      </c>
      <c r="U683" s="9">
        <v>20.35176903227914</v>
      </c>
      <c r="V683" s="9">
        <v>20.35176903227914</v>
      </c>
      <c r="W683" s="9">
        <v>20.35176903227914</v>
      </c>
      <c r="X683" s="9">
        <v>19.91589544268896</v>
      </c>
      <c r="Y683" s="9">
        <v>19.91589544268896</v>
      </c>
      <c r="Z683" s="9">
        <v>21.609947773831163</v>
      </c>
      <c r="AA683" s="9">
        <v>21.609947773831163</v>
      </c>
      <c r="AB683" s="9">
        <v>23.372671736151272</v>
      </c>
      <c r="AC683" s="9">
        <v>23.372671736151272</v>
      </c>
      <c r="AD683" s="9">
        <v>26.430826810726163</v>
      </c>
      <c r="AE683" s="9">
        <v>27.959768706413232</v>
      </c>
      <c r="AF683" s="9">
        <v>29.772701744670762</v>
      </c>
      <c r="AG683" s="9">
        <v>29.772701744670762</v>
      </c>
      <c r="AH683" s="9">
        <v>32.589351949315954</v>
      </c>
      <c r="AI683" s="9">
        <v>34.825222308406182</v>
      </c>
      <c r="AJ683" s="9">
        <v>3.0428788910505911</v>
      </c>
    </row>
    <row r="684" spans="1:36" x14ac:dyDescent="0.25">
      <c r="A684" t="s">
        <v>5411</v>
      </c>
      <c r="B684" t="s">
        <v>16</v>
      </c>
      <c r="C684" t="s">
        <v>17</v>
      </c>
      <c r="D684">
        <v>19280000</v>
      </c>
      <c r="E684">
        <v>19299999</v>
      </c>
      <c r="F684" t="s">
        <v>622</v>
      </c>
      <c r="G684" t="str">
        <f t="shared" si="20"/>
        <v>SPI II</v>
      </c>
      <c r="H684" t="s">
        <v>19</v>
      </c>
      <c r="I684" t="s">
        <v>20</v>
      </c>
      <c r="J684" t="s">
        <v>64</v>
      </c>
      <c r="K684" s="6">
        <v>0.03</v>
      </c>
      <c r="L684" s="7">
        <f t="shared" si="21"/>
        <v>2E-3</v>
      </c>
      <c r="M684" s="7">
        <v>3.0000000000000001E-3</v>
      </c>
      <c r="N684">
        <v>7</v>
      </c>
      <c r="O684" s="8">
        <v>17.934556092922943</v>
      </c>
      <c r="P684" s="9">
        <v>17.934556092922943</v>
      </c>
      <c r="Q684" s="9">
        <v>17.934556092922943</v>
      </c>
      <c r="R684" s="9">
        <v>18.35577997371016</v>
      </c>
      <c r="S684" s="9">
        <v>18.404835306435746</v>
      </c>
      <c r="T684" s="9">
        <v>19.112621008962602</v>
      </c>
      <c r="U684" s="9">
        <v>20.35176903227914</v>
      </c>
      <c r="V684" s="9">
        <v>20.35176903227914</v>
      </c>
      <c r="W684" s="9">
        <v>20.35176903227914</v>
      </c>
      <c r="X684" s="9">
        <v>19.91589544268896</v>
      </c>
      <c r="Y684" s="9">
        <v>19.91589544268896</v>
      </c>
      <c r="Z684" s="9">
        <v>21.609947773831163</v>
      </c>
      <c r="AA684" s="9">
        <v>21.609947773831163</v>
      </c>
      <c r="AB684" s="9">
        <v>23.372671736151272</v>
      </c>
      <c r="AC684" s="9">
        <v>23.372671736151272</v>
      </c>
      <c r="AD684" s="9">
        <v>26.430826810726163</v>
      </c>
      <c r="AE684" s="9">
        <v>27.959768706413232</v>
      </c>
      <c r="AF684" s="9">
        <v>29.772701744670762</v>
      </c>
      <c r="AG684" s="9">
        <v>29.772701744670762</v>
      </c>
      <c r="AH684" s="9">
        <v>32.589351949315954</v>
      </c>
      <c r="AI684" s="9">
        <v>34.825222308406182</v>
      </c>
      <c r="AJ684" s="9">
        <v>3.0428788910505911</v>
      </c>
    </row>
    <row r="685" spans="1:36" x14ac:dyDescent="0.25">
      <c r="A685" t="s">
        <v>5411</v>
      </c>
      <c r="B685" t="s">
        <v>16</v>
      </c>
      <c r="C685" t="s">
        <v>17</v>
      </c>
      <c r="D685">
        <v>19300000</v>
      </c>
      <c r="E685">
        <v>19349999</v>
      </c>
      <c r="F685" t="s">
        <v>623</v>
      </c>
      <c r="G685" t="str">
        <f t="shared" si="20"/>
        <v>SPI II</v>
      </c>
      <c r="H685" t="s">
        <v>19</v>
      </c>
      <c r="I685" t="s">
        <v>20</v>
      </c>
      <c r="J685" t="s">
        <v>64</v>
      </c>
      <c r="K685" s="6">
        <v>0.03</v>
      </c>
      <c r="L685" s="7">
        <f t="shared" si="21"/>
        <v>2E-3</v>
      </c>
      <c r="M685" s="7">
        <v>3.0000000000000001E-3</v>
      </c>
      <c r="N685">
        <v>7</v>
      </c>
      <c r="O685" s="8">
        <v>17.934556092922943</v>
      </c>
      <c r="P685" s="9">
        <v>17.934556092922943</v>
      </c>
      <c r="Q685" s="9">
        <v>17.934556092922943</v>
      </c>
      <c r="R685" s="9">
        <v>18.35577997371016</v>
      </c>
      <c r="S685" s="9">
        <v>18.404835306435746</v>
      </c>
      <c r="T685" s="9">
        <v>19.112621008962602</v>
      </c>
      <c r="U685" s="9">
        <v>20.35176903227914</v>
      </c>
      <c r="V685" s="9">
        <v>20.35176903227914</v>
      </c>
      <c r="W685" s="9">
        <v>20.35176903227914</v>
      </c>
      <c r="X685" s="9">
        <v>19.91589544268896</v>
      </c>
      <c r="Y685" s="9">
        <v>19.91589544268896</v>
      </c>
      <c r="Z685" s="9">
        <v>21.609947773831163</v>
      </c>
      <c r="AA685" s="9">
        <v>21.609947773831163</v>
      </c>
      <c r="AB685" s="9">
        <v>23.372671736151272</v>
      </c>
      <c r="AC685" s="9">
        <v>23.372671736151272</v>
      </c>
      <c r="AD685" s="9">
        <v>26.430826810726163</v>
      </c>
      <c r="AE685" s="9">
        <v>27.959768706413232</v>
      </c>
      <c r="AF685" s="9">
        <v>29.772701744670762</v>
      </c>
      <c r="AG685" s="9">
        <v>29.772701744670762</v>
      </c>
      <c r="AH685" s="9">
        <v>32.589351949315954</v>
      </c>
      <c r="AI685" s="9">
        <v>34.825222308406182</v>
      </c>
      <c r="AJ685" s="9">
        <v>3.0428788910505911</v>
      </c>
    </row>
    <row r="686" spans="1:36" x14ac:dyDescent="0.25">
      <c r="A686" t="s">
        <v>5411</v>
      </c>
      <c r="B686" t="s">
        <v>16</v>
      </c>
      <c r="C686" t="s">
        <v>17</v>
      </c>
      <c r="D686">
        <v>19350000</v>
      </c>
      <c r="E686">
        <v>19359999</v>
      </c>
      <c r="F686" t="s">
        <v>624</v>
      </c>
      <c r="G686" t="str">
        <f t="shared" si="20"/>
        <v>SPI II</v>
      </c>
      <c r="H686" t="s">
        <v>19</v>
      </c>
      <c r="I686" t="s">
        <v>20</v>
      </c>
      <c r="J686" t="s">
        <v>64</v>
      </c>
      <c r="K686" s="6">
        <v>0.03</v>
      </c>
      <c r="L686" s="7">
        <f t="shared" si="21"/>
        <v>2E-3</v>
      </c>
      <c r="M686" s="7">
        <v>3.0000000000000001E-3</v>
      </c>
      <c r="N686">
        <v>7</v>
      </c>
      <c r="O686" s="8">
        <v>17.934556092922943</v>
      </c>
      <c r="P686" s="9">
        <v>17.934556092922943</v>
      </c>
      <c r="Q686" s="9">
        <v>17.934556092922943</v>
      </c>
      <c r="R686" s="9">
        <v>18.35577997371016</v>
      </c>
      <c r="S686" s="9">
        <v>18.404835306435746</v>
      </c>
      <c r="T686" s="9">
        <v>19.112621008962602</v>
      </c>
      <c r="U686" s="9">
        <v>20.35176903227914</v>
      </c>
      <c r="V686" s="9">
        <v>20.35176903227914</v>
      </c>
      <c r="W686" s="9">
        <v>20.35176903227914</v>
      </c>
      <c r="X686" s="9">
        <v>19.91589544268896</v>
      </c>
      <c r="Y686" s="9">
        <v>19.91589544268896</v>
      </c>
      <c r="Z686" s="9">
        <v>21.609947773831163</v>
      </c>
      <c r="AA686" s="9">
        <v>21.609947773831163</v>
      </c>
      <c r="AB686" s="9">
        <v>23.372671736151272</v>
      </c>
      <c r="AC686" s="9">
        <v>23.372671736151272</v>
      </c>
      <c r="AD686" s="9">
        <v>26.430826810726163</v>
      </c>
      <c r="AE686" s="9">
        <v>27.959768706413232</v>
      </c>
      <c r="AF686" s="9">
        <v>29.772701744670762</v>
      </c>
      <c r="AG686" s="9">
        <v>29.772701744670762</v>
      </c>
      <c r="AH686" s="9">
        <v>32.589351949315954</v>
      </c>
      <c r="AI686" s="9">
        <v>34.825222308406182</v>
      </c>
      <c r="AJ686" s="9">
        <v>3.0428788910505911</v>
      </c>
    </row>
    <row r="687" spans="1:36" x14ac:dyDescent="0.25">
      <c r="A687" t="s">
        <v>5411</v>
      </c>
      <c r="B687" t="s">
        <v>16</v>
      </c>
      <c r="C687" t="s">
        <v>17</v>
      </c>
      <c r="D687">
        <v>19360000</v>
      </c>
      <c r="E687">
        <v>19379999</v>
      </c>
      <c r="F687" t="s">
        <v>625</v>
      </c>
      <c r="G687" t="str">
        <f t="shared" si="20"/>
        <v>SPI II</v>
      </c>
      <c r="H687" t="s">
        <v>19</v>
      </c>
      <c r="I687" t="s">
        <v>20</v>
      </c>
      <c r="J687" t="s">
        <v>64</v>
      </c>
      <c r="K687" s="6">
        <v>0.03</v>
      </c>
      <c r="L687" s="7">
        <f t="shared" si="21"/>
        <v>2E-3</v>
      </c>
      <c r="M687" s="7">
        <v>3.0000000000000001E-3</v>
      </c>
      <c r="N687">
        <v>9</v>
      </c>
      <c r="O687" s="8">
        <v>17.934556092922943</v>
      </c>
      <c r="P687" s="9">
        <v>17.934556092922943</v>
      </c>
      <c r="Q687" s="9">
        <v>17.934556092922943</v>
      </c>
      <c r="R687" s="9">
        <v>18.35577997371016</v>
      </c>
      <c r="S687" s="9">
        <v>18.404835306435746</v>
      </c>
      <c r="T687" s="9">
        <v>19.112621008962602</v>
      </c>
      <c r="U687" s="9">
        <v>20.35176903227914</v>
      </c>
      <c r="V687" s="9">
        <v>20.35176903227914</v>
      </c>
      <c r="W687" s="9">
        <v>20.35176903227914</v>
      </c>
      <c r="X687" s="9">
        <v>19.91589544268896</v>
      </c>
      <c r="Y687" s="9">
        <v>19.91589544268896</v>
      </c>
      <c r="Z687" s="9">
        <v>21.609947773831163</v>
      </c>
      <c r="AA687" s="9">
        <v>21.609947773831163</v>
      </c>
      <c r="AB687" s="9">
        <v>23.372671736151272</v>
      </c>
      <c r="AC687" s="9">
        <v>23.372671736151272</v>
      </c>
      <c r="AD687" s="9">
        <v>26.430826810726163</v>
      </c>
      <c r="AE687" s="9">
        <v>27.959768706413232</v>
      </c>
      <c r="AF687" s="9">
        <v>29.772701744670762</v>
      </c>
      <c r="AG687" s="9">
        <v>29.772701744670762</v>
      </c>
      <c r="AH687" s="9">
        <v>32.589351949315954</v>
      </c>
      <c r="AI687" s="9">
        <v>34.825222308406182</v>
      </c>
      <c r="AJ687" s="9">
        <v>3.0428788910505911</v>
      </c>
    </row>
    <row r="688" spans="1:36" x14ac:dyDescent="0.25">
      <c r="A688" t="s">
        <v>5411</v>
      </c>
      <c r="B688" t="s">
        <v>16</v>
      </c>
      <c r="C688" t="s">
        <v>17</v>
      </c>
      <c r="D688">
        <v>19380000</v>
      </c>
      <c r="E688">
        <v>19399999</v>
      </c>
      <c r="F688" t="s">
        <v>626</v>
      </c>
      <c r="G688" t="str">
        <f t="shared" si="20"/>
        <v>SPI II</v>
      </c>
      <c r="H688" t="s">
        <v>19</v>
      </c>
      <c r="I688" t="s">
        <v>20</v>
      </c>
      <c r="J688" t="s">
        <v>64</v>
      </c>
      <c r="K688" s="6">
        <v>0.03</v>
      </c>
      <c r="L688" s="7">
        <f t="shared" si="21"/>
        <v>2E-3</v>
      </c>
      <c r="M688" s="7">
        <v>3.0000000000000001E-3</v>
      </c>
      <c r="N688">
        <v>7</v>
      </c>
      <c r="O688" s="8">
        <v>17.934556092922943</v>
      </c>
      <c r="P688" s="9">
        <v>17.934556092922943</v>
      </c>
      <c r="Q688" s="9">
        <v>17.934556092922943</v>
      </c>
      <c r="R688" s="9">
        <v>18.35577997371016</v>
      </c>
      <c r="S688" s="9">
        <v>18.404835306435746</v>
      </c>
      <c r="T688" s="9">
        <v>19.112621008962602</v>
      </c>
      <c r="U688" s="9">
        <v>20.35176903227914</v>
      </c>
      <c r="V688" s="9">
        <v>20.35176903227914</v>
      </c>
      <c r="W688" s="9">
        <v>20.35176903227914</v>
      </c>
      <c r="X688" s="9">
        <v>19.91589544268896</v>
      </c>
      <c r="Y688" s="9">
        <v>19.91589544268896</v>
      </c>
      <c r="Z688" s="9">
        <v>21.609947773831163</v>
      </c>
      <c r="AA688" s="9">
        <v>21.609947773831163</v>
      </c>
      <c r="AB688" s="9">
        <v>23.372671736151272</v>
      </c>
      <c r="AC688" s="9">
        <v>23.372671736151272</v>
      </c>
      <c r="AD688" s="9">
        <v>26.430826810726163</v>
      </c>
      <c r="AE688" s="9">
        <v>27.959768706413232</v>
      </c>
      <c r="AF688" s="9">
        <v>29.772701744670762</v>
      </c>
      <c r="AG688" s="9">
        <v>29.772701744670762</v>
      </c>
      <c r="AH688" s="9">
        <v>32.589351949315954</v>
      </c>
      <c r="AI688" s="9">
        <v>34.825222308406182</v>
      </c>
      <c r="AJ688" s="9">
        <v>3.0428788910505911</v>
      </c>
    </row>
    <row r="689" spans="1:36" x14ac:dyDescent="0.25">
      <c r="A689" t="s">
        <v>5411</v>
      </c>
      <c r="B689" t="s">
        <v>16</v>
      </c>
      <c r="C689" t="s">
        <v>17</v>
      </c>
      <c r="D689">
        <v>19400000</v>
      </c>
      <c r="E689">
        <v>19409999</v>
      </c>
      <c r="F689" t="s">
        <v>627</v>
      </c>
      <c r="G689" t="str">
        <f t="shared" si="20"/>
        <v>SPI II</v>
      </c>
      <c r="H689" t="s">
        <v>19</v>
      </c>
      <c r="I689" t="s">
        <v>20</v>
      </c>
      <c r="J689" t="s">
        <v>64</v>
      </c>
      <c r="K689" s="6">
        <v>0.03</v>
      </c>
      <c r="L689" s="7">
        <f t="shared" si="21"/>
        <v>2E-3</v>
      </c>
      <c r="M689" s="7">
        <v>3.0000000000000001E-3</v>
      </c>
      <c r="N689">
        <v>7</v>
      </c>
      <c r="O689" s="8">
        <v>17.934556092922943</v>
      </c>
      <c r="P689" s="9">
        <v>17.934556092922943</v>
      </c>
      <c r="Q689" s="9">
        <v>17.934556092922943</v>
      </c>
      <c r="R689" s="9">
        <v>18.35577997371016</v>
      </c>
      <c r="S689" s="9">
        <v>18.404835306435746</v>
      </c>
      <c r="T689" s="9">
        <v>19.112621008962602</v>
      </c>
      <c r="U689" s="9">
        <v>20.35176903227914</v>
      </c>
      <c r="V689" s="9">
        <v>20.35176903227914</v>
      </c>
      <c r="W689" s="9">
        <v>20.35176903227914</v>
      </c>
      <c r="X689" s="9">
        <v>19.91589544268896</v>
      </c>
      <c r="Y689" s="9">
        <v>19.91589544268896</v>
      </c>
      <c r="Z689" s="9">
        <v>21.609947773831163</v>
      </c>
      <c r="AA689" s="9">
        <v>21.609947773831163</v>
      </c>
      <c r="AB689" s="9">
        <v>23.372671736151272</v>
      </c>
      <c r="AC689" s="9">
        <v>23.372671736151272</v>
      </c>
      <c r="AD689" s="9">
        <v>26.430826810726163</v>
      </c>
      <c r="AE689" s="9">
        <v>27.959768706413232</v>
      </c>
      <c r="AF689" s="9">
        <v>29.772701744670762</v>
      </c>
      <c r="AG689" s="9">
        <v>29.772701744670762</v>
      </c>
      <c r="AH689" s="9">
        <v>32.589351949315954</v>
      </c>
      <c r="AI689" s="9">
        <v>34.825222308406182</v>
      </c>
      <c r="AJ689" s="9">
        <v>3.0428788910505911</v>
      </c>
    </row>
    <row r="690" spans="1:36" x14ac:dyDescent="0.25">
      <c r="A690" t="s">
        <v>5411</v>
      </c>
      <c r="B690" t="s">
        <v>16</v>
      </c>
      <c r="C690" t="s">
        <v>17</v>
      </c>
      <c r="D690">
        <v>19410000</v>
      </c>
      <c r="E690">
        <v>19429999</v>
      </c>
      <c r="F690" t="s">
        <v>628</v>
      </c>
      <c r="G690" t="str">
        <f t="shared" si="20"/>
        <v>SPI II</v>
      </c>
      <c r="H690" t="s">
        <v>19</v>
      </c>
      <c r="I690" t="s">
        <v>20</v>
      </c>
      <c r="J690" t="s">
        <v>64</v>
      </c>
      <c r="K690" s="6">
        <v>0.03</v>
      </c>
      <c r="L690" s="7">
        <f t="shared" si="21"/>
        <v>2E-3</v>
      </c>
      <c r="M690" s="7">
        <v>3.0000000000000001E-3</v>
      </c>
      <c r="N690">
        <v>7</v>
      </c>
      <c r="O690" s="8">
        <v>17.934556092922943</v>
      </c>
      <c r="P690" s="9">
        <v>17.934556092922943</v>
      </c>
      <c r="Q690" s="9">
        <v>17.934556092922943</v>
      </c>
      <c r="R690" s="9">
        <v>18.35577997371016</v>
      </c>
      <c r="S690" s="9">
        <v>18.404835306435746</v>
      </c>
      <c r="T690" s="9">
        <v>19.112621008962602</v>
      </c>
      <c r="U690" s="9">
        <v>20.35176903227914</v>
      </c>
      <c r="V690" s="9">
        <v>20.35176903227914</v>
      </c>
      <c r="W690" s="9">
        <v>20.35176903227914</v>
      </c>
      <c r="X690" s="9">
        <v>19.91589544268896</v>
      </c>
      <c r="Y690" s="9">
        <v>19.91589544268896</v>
      </c>
      <c r="Z690" s="9">
        <v>21.609947773831163</v>
      </c>
      <c r="AA690" s="9">
        <v>21.609947773831163</v>
      </c>
      <c r="AB690" s="9">
        <v>23.372671736151272</v>
      </c>
      <c r="AC690" s="9">
        <v>23.372671736151272</v>
      </c>
      <c r="AD690" s="9">
        <v>26.430826810726163</v>
      </c>
      <c r="AE690" s="9">
        <v>27.959768706413232</v>
      </c>
      <c r="AF690" s="9">
        <v>29.772701744670762</v>
      </c>
      <c r="AG690" s="9">
        <v>29.772701744670762</v>
      </c>
      <c r="AH690" s="9">
        <v>32.589351949315954</v>
      </c>
      <c r="AI690" s="9">
        <v>34.825222308406182</v>
      </c>
      <c r="AJ690" s="9">
        <v>3.0428788910505911</v>
      </c>
    </row>
    <row r="691" spans="1:36" x14ac:dyDescent="0.25">
      <c r="A691" t="s">
        <v>5411</v>
      </c>
      <c r="B691" t="s">
        <v>16</v>
      </c>
      <c r="C691" t="s">
        <v>17</v>
      </c>
      <c r="D691">
        <v>19430000</v>
      </c>
      <c r="E691">
        <v>19449999</v>
      </c>
      <c r="F691" t="s">
        <v>629</v>
      </c>
      <c r="G691" t="str">
        <f t="shared" si="20"/>
        <v>SPI II</v>
      </c>
      <c r="H691" t="s">
        <v>19</v>
      </c>
      <c r="I691" t="s">
        <v>20</v>
      </c>
      <c r="J691" t="s">
        <v>64</v>
      </c>
      <c r="K691" s="6">
        <v>0.03</v>
      </c>
      <c r="L691" s="7">
        <f t="shared" si="21"/>
        <v>2E-3</v>
      </c>
      <c r="M691" s="7">
        <v>3.0000000000000001E-3</v>
      </c>
      <c r="N691">
        <v>7</v>
      </c>
      <c r="O691" s="8">
        <v>17.934556092922943</v>
      </c>
      <c r="P691" s="9">
        <v>17.934556092922943</v>
      </c>
      <c r="Q691" s="9">
        <v>17.934556092922943</v>
      </c>
      <c r="R691" s="9">
        <v>18.35577997371016</v>
      </c>
      <c r="S691" s="9">
        <v>18.404835306435746</v>
      </c>
      <c r="T691" s="9">
        <v>19.112621008962602</v>
      </c>
      <c r="U691" s="9">
        <v>20.35176903227914</v>
      </c>
      <c r="V691" s="9">
        <v>20.35176903227914</v>
      </c>
      <c r="W691" s="9">
        <v>20.35176903227914</v>
      </c>
      <c r="X691" s="9">
        <v>19.91589544268896</v>
      </c>
      <c r="Y691" s="9">
        <v>19.91589544268896</v>
      </c>
      <c r="Z691" s="9">
        <v>21.609947773831163</v>
      </c>
      <c r="AA691" s="9">
        <v>21.609947773831163</v>
      </c>
      <c r="AB691" s="9">
        <v>23.372671736151272</v>
      </c>
      <c r="AC691" s="9">
        <v>23.372671736151272</v>
      </c>
      <c r="AD691" s="9">
        <v>26.430826810726163</v>
      </c>
      <c r="AE691" s="9">
        <v>27.959768706413232</v>
      </c>
      <c r="AF691" s="9">
        <v>29.772701744670762</v>
      </c>
      <c r="AG691" s="9">
        <v>29.772701744670762</v>
      </c>
      <c r="AH691" s="9">
        <v>32.589351949315954</v>
      </c>
      <c r="AI691" s="9">
        <v>34.825222308406182</v>
      </c>
      <c r="AJ691" s="9">
        <v>3.0428788910505911</v>
      </c>
    </row>
    <row r="692" spans="1:36" x14ac:dyDescent="0.25">
      <c r="A692" t="s">
        <v>5411</v>
      </c>
      <c r="B692" t="s">
        <v>16</v>
      </c>
      <c r="C692" t="s">
        <v>17</v>
      </c>
      <c r="D692">
        <v>19450000</v>
      </c>
      <c r="E692">
        <v>19469999</v>
      </c>
      <c r="F692" t="s">
        <v>630</v>
      </c>
      <c r="G692" t="str">
        <f t="shared" si="20"/>
        <v>SPI II</v>
      </c>
      <c r="H692" t="s">
        <v>19</v>
      </c>
      <c r="I692" t="s">
        <v>20</v>
      </c>
      <c r="J692" t="s">
        <v>64</v>
      </c>
      <c r="K692" s="6">
        <v>0.03</v>
      </c>
      <c r="L692" s="7">
        <f t="shared" si="21"/>
        <v>2E-3</v>
      </c>
      <c r="M692" s="7">
        <v>3.0000000000000001E-3</v>
      </c>
      <c r="N692">
        <v>7</v>
      </c>
      <c r="O692" s="8">
        <v>17.934556092922943</v>
      </c>
      <c r="P692" s="9">
        <v>17.934556092922943</v>
      </c>
      <c r="Q692" s="9">
        <v>17.934556092922943</v>
      </c>
      <c r="R692" s="9">
        <v>18.35577997371016</v>
      </c>
      <c r="S692" s="9">
        <v>18.404835306435746</v>
      </c>
      <c r="T692" s="9">
        <v>19.112621008962602</v>
      </c>
      <c r="U692" s="9">
        <v>20.35176903227914</v>
      </c>
      <c r="V692" s="9">
        <v>20.35176903227914</v>
      </c>
      <c r="W692" s="9">
        <v>20.35176903227914</v>
      </c>
      <c r="X692" s="9">
        <v>19.91589544268896</v>
      </c>
      <c r="Y692" s="9">
        <v>19.91589544268896</v>
      </c>
      <c r="Z692" s="9">
        <v>21.609947773831163</v>
      </c>
      <c r="AA692" s="9">
        <v>21.609947773831163</v>
      </c>
      <c r="AB692" s="9">
        <v>23.372671736151272</v>
      </c>
      <c r="AC692" s="9">
        <v>23.372671736151272</v>
      </c>
      <c r="AD692" s="9">
        <v>26.430826810726163</v>
      </c>
      <c r="AE692" s="9">
        <v>27.959768706413232</v>
      </c>
      <c r="AF692" s="9">
        <v>29.772701744670762</v>
      </c>
      <c r="AG692" s="9">
        <v>29.772701744670762</v>
      </c>
      <c r="AH692" s="9">
        <v>32.589351949315954</v>
      </c>
      <c r="AI692" s="9">
        <v>34.825222308406182</v>
      </c>
      <c r="AJ692" s="9">
        <v>3.0428788910505911</v>
      </c>
    </row>
    <row r="693" spans="1:36" x14ac:dyDescent="0.25">
      <c r="A693" t="s">
        <v>5411</v>
      </c>
      <c r="B693" t="s">
        <v>16</v>
      </c>
      <c r="C693" t="s">
        <v>17</v>
      </c>
      <c r="D693">
        <v>19470000</v>
      </c>
      <c r="E693">
        <v>19499999</v>
      </c>
      <c r="F693" t="s">
        <v>631</v>
      </c>
      <c r="G693" t="str">
        <f t="shared" si="20"/>
        <v>SPI II</v>
      </c>
      <c r="H693" t="s">
        <v>19</v>
      </c>
      <c r="I693" t="s">
        <v>20</v>
      </c>
      <c r="J693" t="s">
        <v>64</v>
      </c>
      <c r="K693" s="6">
        <v>0.03</v>
      </c>
      <c r="L693" s="7">
        <f t="shared" si="21"/>
        <v>2E-3</v>
      </c>
      <c r="M693" s="7">
        <v>3.0000000000000001E-3</v>
      </c>
      <c r="N693">
        <v>7</v>
      </c>
      <c r="O693" s="8">
        <v>17.934556092922943</v>
      </c>
      <c r="P693" s="9">
        <v>17.934556092922943</v>
      </c>
      <c r="Q693" s="9">
        <v>17.934556092922943</v>
      </c>
      <c r="R693" s="9">
        <v>18.35577997371016</v>
      </c>
      <c r="S693" s="9">
        <v>18.404835306435746</v>
      </c>
      <c r="T693" s="9">
        <v>19.112621008962602</v>
      </c>
      <c r="U693" s="9">
        <v>20.35176903227914</v>
      </c>
      <c r="V693" s="9">
        <v>20.35176903227914</v>
      </c>
      <c r="W693" s="9">
        <v>20.35176903227914</v>
      </c>
      <c r="X693" s="9">
        <v>19.91589544268896</v>
      </c>
      <c r="Y693" s="9">
        <v>19.91589544268896</v>
      </c>
      <c r="Z693" s="9">
        <v>21.609947773831163</v>
      </c>
      <c r="AA693" s="9">
        <v>21.609947773831163</v>
      </c>
      <c r="AB693" s="9">
        <v>23.372671736151272</v>
      </c>
      <c r="AC693" s="9">
        <v>23.372671736151272</v>
      </c>
      <c r="AD693" s="9">
        <v>26.430826810726163</v>
      </c>
      <c r="AE693" s="9">
        <v>27.959768706413232</v>
      </c>
      <c r="AF693" s="9">
        <v>29.772701744670762</v>
      </c>
      <c r="AG693" s="9">
        <v>29.772701744670762</v>
      </c>
      <c r="AH693" s="9">
        <v>32.589351949315954</v>
      </c>
      <c r="AI693" s="9">
        <v>34.825222308406182</v>
      </c>
      <c r="AJ693" s="9">
        <v>3.0428788910505911</v>
      </c>
    </row>
    <row r="694" spans="1:36" x14ac:dyDescent="0.25">
      <c r="A694" t="s">
        <v>5411</v>
      </c>
      <c r="B694" t="s">
        <v>16</v>
      </c>
      <c r="C694" t="s">
        <v>17</v>
      </c>
      <c r="D694">
        <v>19500000</v>
      </c>
      <c r="E694">
        <v>19529999</v>
      </c>
      <c r="F694" t="s">
        <v>632</v>
      </c>
      <c r="G694" t="str">
        <f t="shared" si="20"/>
        <v>SPI II</v>
      </c>
      <c r="H694" t="s">
        <v>19</v>
      </c>
      <c r="I694" t="s">
        <v>20</v>
      </c>
      <c r="J694" t="s">
        <v>64</v>
      </c>
      <c r="K694" s="6">
        <v>0.03</v>
      </c>
      <c r="L694" s="7">
        <f t="shared" si="21"/>
        <v>2E-3</v>
      </c>
      <c r="M694" s="7">
        <v>3.0000000000000001E-3</v>
      </c>
      <c r="N694">
        <v>7</v>
      </c>
      <c r="O694" s="8">
        <v>17.934556092922943</v>
      </c>
      <c r="P694" s="9">
        <v>17.934556092922943</v>
      </c>
      <c r="Q694" s="9">
        <v>17.934556092922943</v>
      </c>
      <c r="R694" s="9">
        <v>18.35577997371016</v>
      </c>
      <c r="S694" s="9">
        <v>18.404835306435746</v>
      </c>
      <c r="T694" s="9">
        <v>19.112621008962602</v>
      </c>
      <c r="U694" s="9">
        <v>20.35176903227914</v>
      </c>
      <c r="V694" s="9">
        <v>20.35176903227914</v>
      </c>
      <c r="W694" s="9">
        <v>20.35176903227914</v>
      </c>
      <c r="X694" s="9">
        <v>19.91589544268896</v>
      </c>
      <c r="Y694" s="9">
        <v>19.91589544268896</v>
      </c>
      <c r="Z694" s="9">
        <v>21.609947773831163</v>
      </c>
      <c r="AA694" s="9">
        <v>21.609947773831163</v>
      </c>
      <c r="AB694" s="9">
        <v>23.372671736151272</v>
      </c>
      <c r="AC694" s="9">
        <v>23.372671736151272</v>
      </c>
      <c r="AD694" s="9">
        <v>26.430826810726163</v>
      </c>
      <c r="AE694" s="9">
        <v>27.959768706413232</v>
      </c>
      <c r="AF694" s="9">
        <v>29.772701744670762</v>
      </c>
      <c r="AG694" s="9">
        <v>29.772701744670762</v>
      </c>
      <c r="AH694" s="9">
        <v>32.589351949315954</v>
      </c>
      <c r="AI694" s="9">
        <v>34.825222308406182</v>
      </c>
      <c r="AJ694" s="9">
        <v>3.0428788910505911</v>
      </c>
    </row>
    <row r="695" spans="1:36" x14ac:dyDescent="0.25">
      <c r="A695" t="s">
        <v>5411</v>
      </c>
      <c r="B695" t="s">
        <v>16</v>
      </c>
      <c r="C695" t="s">
        <v>17</v>
      </c>
      <c r="D695">
        <v>19530000</v>
      </c>
      <c r="E695">
        <v>19559999</v>
      </c>
      <c r="F695" t="s">
        <v>633</v>
      </c>
      <c r="G695" t="str">
        <f t="shared" si="20"/>
        <v>SPI II</v>
      </c>
      <c r="H695" t="s">
        <v>19</v>
      </c>
      <c r="I695" t="s">
        <v>20</v>
      </c>
      <c r="J695" t="s">
        <v>64</v>
      </c>
      <c r="K695" s="6">
        <v>0.03</v>
      </c>
      <c r="L695" s="7">
        <f t="shared" si="21"/>
        <v>2E-3</v>
      </c>
      <c r="M695" s="7">
        <v>3.0000000000000001E-3</v>
      </c>
      <c r="N695">
        <v>7</v>
      </c>
      <c r="O695" s="8">
        <v>17.934556092922943</v>
      </c>
      <c r="P695" s="9">
        <v>17.934556092922943</v>
      </c>
      <c r="Q695" s="9">
        <v>17.934556092922943</v>
      </c>
      <c r="R695" s="9">
        <v>18.35577997371016</v>
      </c>
      <c r="S695" s="9">
        <v>18.404835306435746</v>
      </c>
      <c r="T695" s="9">
        <v>19.112621008962602</v>
      </c>
      <c r="U695" s="9">
        <v>20.35176903227914</v>
      </c>
      <c r="V695" s="9">
        <v>20.35176903227914</v>
      </c>
      <c r="W695" s="9">
        <v>20.35176903227914</v>
      </c>
      <c r="X695" s="9">
        <v>19.91589544268896</v>
      </c>
      <c r="Y695" s="9">
        <v>19.91589544268896</v>
      </c>
      <c r="Z695" s="9">
        <v>21.609947773831163</v>
      </c>
      <c r="AA695" s="9">
        <v>21.609947773831163</v>
      </c>
      <c r="AB695" s="9">
        <v>23.372671736151272</v>
      </c>
      <c r="AC695" s="9">
        <v>23.372671736151272</v>
      </c>
      <c r="AD695" s="9">
        <v>26.430826810726163</v>
      </c>
      <c r="AE695" s="9">
        <v>27.959768706413232</v>
      </c>
      <c r="AF695" s="9">
        <v>29.772701744670762</v>
      </c>
      <c r="AG695" s="9">
        <v>29.772701744670762</v>
      </c>
      <c r="AH695" s="9">
        <v>32.589351949315954</v>
      </c>
      <c r="AI695" s="9">
        <v>34.825222308406182</v>
      </c>
      <c r="AJ695" s="9">
        <v>3.0428788910505911</v>
      </c>
    </row>
    <row r="696" spans="1:36" x14ac:dyDescent="0.25">
      <c r="A696" t="s">
        <v>5411</v>
      </c>
      <c r="B696" t="s">
        <v>16</v>
      </c>
      <c r="C696" t="s">
        <v>17</v>
      </c>
      <c r="D696">
        <v>19560000</v>
      </c>
      <c r="E696">
        <v>19569999</v>
      </c>
      <c r="F696" t="s">
        <v>634</v>
      </c>
      <c r="G696" t="str">
        <f t="shared" si="20"/>
        <v>SPI II</v>
      </c>
      <c r="H696" t="s">
        <v>19</v>
      </c>
      <c r="I696" t="s">
        <v>20</v>
      </c>
      <c r="J696" t="s">
        <v>64</v>
      </c>
      <c r="K696" s="6">
        <v>0.03</v>
      </c>
      <c r="L696" s="7">
        <f t="shared" si="21"/>
        <v>2E-3</v>
      </c>
      <c r="M696" s="7">
        <v>3.0000000000000001E-3</v>
      </c>
      <c r="N696">
        <v>7</v>
      </c>
      <c r="O696" s="8">
        <v>17.934556092922943</v>
      </c>
      <c r="P696" s="9">
        <v>17.934556092922943</v>
      </c>
      <c r="Q696" s="9">
        <v>17.934556092922943</v>
      </c>
      <c r="R696" s="9">
        <v>18.35577997371016</v>
      </c>
      <c r="S696" s="9">
        <v>18.404835306435746</v>
      </c>
      <c r="T696" s="9">
        <v>19.112621008962602</v>
      </c>
      <c r="U696" s="9">
        <v>20.35176903227914</v>
      </c>
      <c r="V696" s="9">
        <v>20.35176903227914</v>
      </c>
      <c r="W696" s="9">
        <v>20.35176903227914</v>
      </c>
      <c r="X696" s="9">
        <v>19.91589544268896</v>
      </c>
      <c r="Y696" s="9">
        <v>19.91589544268896</v>
      </c>
      <c r="Z696" s="9">
        <v>21.609947773831163</v>
      </c>
      <c r="AA696" s="9">
        <v>21.609947773831163</v>
      </c>
      <c r="AB696" s="9">
        <v>23.372671736151272</v>
      </c>
      <c r="AC696" s="9">
        <v>23.372671736151272</v>
      </c>
      <c r="AD696" s="9">
        <v>26.430826810726163</v>
      </c>
      <c r="AE696" s="9">
        <v>27.959768706413232</v>
      </c>
      <c r="AF696" s="9">
        <v>29.772701744670762</v>
      </c>
      <c r="AG696" s="9">
        <v>29.772701744670762</v>
      </c>
      <c r="AH696" s="9">
        <v>32.589351949315954</v>
      </c>
      <c r="AI696" s="9">
        <v>34.825222308406182</v>
      </c>
      <c r="AJ696" s="9">
        <v>3.0428788910505911</v>
      </c>
    </row>
    <row r="697" spans="1:36" x14ac:dyDescent="0.25">
      <c r="A697" t="s">
        <v>5411</v>
      </c>
      <c r="B697" t="s">
        <v>16</v>
      </c>
      <c r="C697" t="s">
        <v>17</v>
      </c>
      <c r="D697">
        <v>19570000</v>
      </c>
      <c r="E697">
        <v>19579999</v>
      </c>
      <c r="F697" t="s">
        <v>635</v>
      </c>
      <c r="G697" t="str">
        <f t="shared" si="20"/>
        <v>SPI II</v>
      </c>
      <c r="H697" t="s">
        <v>19</v>
      </c>
      <c r="I697" t="s">
        <v>20</v>
      </c>
      <c r="J697" t="s">
        <v>64</v>
      </c>
      <c r="K697" s="6">
        <v>0.03</v>
      </c>
      <c r="L697" s="7">
        <f t="shared" si="21"/>
        <v>2E-3</v>
      </c>
      <c r="M697" s="7">
        <v>3.0000000000000001E-3</v>
      </c>
      <c r="N697">
        <v>7</v>
      </c>
      <c r="O697" s="8">
        <v>17.934556092922943</v>
      </c>
      <c r="P697" s="9">
        <v>17.934556092922943</v>
      </c>
      <c r="Q697" s="9">
        <v>17.934556092922943</v>
      </c>
      <c r="R697" s="9">
        <v>18.35577997371016</v>
      </c>
      <c r="S697" s="9">
        <v>18.404835306435746</v>
      </c>
      <c r="T697" s="9">
        <v>19.112621008962602</v>
      </c>
      <c r="U697" s="9">
        <v>20.35176903227914</v>
      </c>
      <c r="V697" s="9">
        <v>20.35176903227914</v>
      </c>
      <c r="W697" s="9">
        <v>20.35176903227914</v>
      </c>
      <c r="X697" s="9">
        <v>19.91589544268896</v>
      </c>
      <c r="Y697" s="9">
        <v>19.91589544268896</v>
      </c>
      <c r="Z697" s="9">
        <v>21.609947773831163</v>
      </c>
      <c r="AA697" s="9">
        <v>21.609947773831163</v>
      </c>
      <c r="AB697" s="9">
        <v>23.372671736151272</v>
      </c>
      <c r="AC697" s="9">
        <v>23.372671736151272</v>
      </c>
      <c r="AD697" s="9">
        <v>26.430826810726163</v>
      </c>
      <c r="AE697" s="9">
        <v>27.959768706413232</v>
      </c>
      <c r="AF697" s="9">
        <v>29.772701744670762</v>
      </c>
      <c r="AG697" s="9">
        <v>29.772701744670762</v>
      </c>
      <c r="AH697" s="9">
        <v>32.589351949315954</v>
      </c>
      <c r="AI697" s="9">
        <v>34.825222308406182</v>
      </c>
      <c r="AJ697" s="9">
        <v>3.0428788910505911</v>
      </c>
    </row>
    <row r="698" spans="1:36" x14ac:dyDescent="0.25">
      <c r="A698" t="s">
        <v>5411</v>
      </c>
      <c r="B698" t="s">
        <v>16</v>
      </c>
      <c r="C698" t="s">
        <v>17</v>
      </c>
      <c r="D698">
        <v>19580000</v>
      </c>
      <c r="E698">
        <v>19589999</v>
      </c>
      <c r="F698" t="s">
        <v>636</v>
      </c>
      <c r="G698" t="str">
        <f t="shared" si="20"/>
        <v>SPI II</v>
      </c>
      <c r="H698" t="s">
        <v>19</v>
      </c>
      <c r="I698" t="s">
        <v>20</v>
      </c>
      <c r="J698" t="s">
        <v>64</v>
      </c>
      <c r="K698" s="6">
        <v>0.03</v>
      </c>
      <c r="L698" s="7">
        <f t="shared" si="21"/>
        <v>2E-3</v>
      </c>
      <c r="M698" s="7">
        <v>3.0000000000000001E-3</v>
      </c>
      <c r="N698">
        <v>7</v>
      </c>
      <c r="O698" s="8">
        <v>17.934556092922943</v>
      </c>
      <c r="P698" s="9">
        <v>17.934556092922943</v>
      </c>
      <c r="Q698" s="9">
        <v>17.934556092922943</v>
      </c>
      <c r="R698" s="9">
        <v>18.35577997371016</v>
      </c>
      <c r="S698" s="9">
        <v>18.404835306435746</v>
      </c>
      <c r="T698" s="9">
        <v>19.112621008962602</v>
      </c>
      <c r="U698" s="9">
        <v>20.35176903227914</v>
      </c>
      <c r="V698" s="9">
        <v>20.35176903227914</v>
      </c>
      <c r="W698" s="9">
        <v>20.35176903227914</v>
      </c>
      <c r="X698" s="9">
        <v>19.91589544268896</v>
      </c>
      <c r="Y698" s="9">
        <v>19.91589544268896</v>
      </c>
      <c r="Z698" s="9">
        <v>21.609947773831163</v>
      </c>
      <c r="AA698" s="9">
        <v>21.609947773831163</v>
      </c>
      <c r="AB698" s="9">
        <v>23.372671736151272</v>
      </c>
      <c r="AC698" s="9">
        <v>23.372671736151272</v>
      </c>
      <c r="AD698" s="9">
        <v>26.430826810726163</v>
      </c>
      <c r="AE698" s="9">
        <v>27.959768706413232</v>
      </c>
      <c r="AF698" s="9">
        <v>29.772701744670762</v>
      </c>
      <c r="AG698" s="9">
        <v>29.772701744670762</v>
      </c>
      <c r="AH698" s="9">
        <v>32.589351949315954</v>
      </c>
      <c r="AI698" s="9">
        <v>34.825222308406182</v>
      </c>
      <c r="AJ698" s="9">
        <v>3.0428788910505911</v>
      </c>
    </row>
    <row r="699" spans="1:36" x14ac:dyDescent="0.25">
      <c r="A699" t="s">
        <v>5411</v>
      </c>
      <c r="B699" t="s">
        <v>16</v>
      </c>
      <c r="C699" t="s">
        <v>17</v>
      </c>
      <c r="D699">
        <v>19590000</v>
      </c>
      <c r="E699">
        <v>19599999</v>
      </c>
      <c r="F699" t="s">
        <v>637</v>
      </c>
      <c r="G699" t="str">
        <f t="shared" si="20"/>
        <v>SPI II</v>
      </c>
      <c r="H699" t="s">
        <v>19</v>
      </c>
      <c r="I699" t="s">
        <v>20</v>
      </c>
      <c r="J699" t="s">
        <v>64</v>
      </c>
      <c r="K699" s="6">
        <v>0.03</v>
      </c>
      <c r="L699" s="7">
        <f t="shared" si="21"/>
        <v>2E-3</v>
      </c>
      <c r="M699" s="7">
        <v>3.0000000000000001E-3</v>
      </c>
      <c r="N699">
        <v>7</v>
      </c>
      <c r="O699" s="8">
        <v>17.934556092922943</v>
      </c>
      <c r="P699" s="9">
        <v>17.934556092922943</v>
      </c>
      <c r="Q699" s="9">
        <v>17.934556092922943</v>
      </c>
      <c r="R699" s="9">
        <v>18.35577997371016</v>
      </c>
      <c r="S699" s="9">
        <v>18.404835306435746</v>
      </c>
      <c r="T699" s="9">
        <v>19.112621008962602</v>
      </c>
      <c r="U699" s="9">
        <v>20.35176903227914</v>
      </c>
      <c r="V699" s="9">
        <v>20.35176903227914</v>
      </c>
      <c r="W699" s="9">
        <v>20.35176903227914</v>
      </c>
      <c r="X699" s="9">
        <v>19.91589544268896</v>
      </c>
      <c r="Y699" s="9">
        <v>19.91589544268896</v>
      </c>
      <c r="Z699" s="9">
        <v>21.609947773831163</v>
      </c>
      <c r="AA699" s="9">
        <v>21.609947773831163</v>
      </c>
      <c r="AB699" s="9">
        <v>23.372671736151272</v>
      </c>
      <c r="AC699" s="9">
        <v>23.372671736151272</v>
      </c>
      <c r="AD699" s="9">
        <v>26.430826810726163</v>
      </c>
      <c r="AE699" s="9">
        <v>27.959768706413232</v>
      </c>
      <c r="AF699" s="9">
        <v>29.772701744670762</v>
      </c>
      <c r="AG699" s="9">
        <v>29.772701744670762</v>
      </c>
      <c r="AH699" s="9">
        <v>32.589351949315954</v>
      </c>
      <c r="AI699" s="9">
        <v>34.825222308406182</v>
      </c>
      <c r="AJ699" s="9">
        <v>3.0428788910505911</v>
      </c>
    </row>
    <row r="700" spans="1:36" x14ac:dyDescent="0.25">
      <c r="A700" t="s">
        <v>5411</v>
      </c>
      <c r="B700" t="s">
        <v>16</v>
      </c>
      <c r="C700" t="s">
        <v>17</v>
      </c>
      <c r="D700">
        <v>19600000</v>
      </c>
      <c r="E700">
        <v>19639999</v>
      </c>
      <c r="F700" t="s">
        <v>638</v>
      </c>
      <c r="G700" t="str">
        <f t="shared" si="20"/>
        <v>SPI II</v>
      </c>
      <c r="H700" t="s">
        <v>19</v>
      </c>
      <c r="I700" t="s">
        <v>20</v>
      </c>
      <c r="J700" t="s">
        <v>64</v>
      </c>
      <c r="K700" s="6">
        <v>0.03</v>
      </c>
      <c r="L700" s="7">
        <f t="shared" si="21"/>
        <v>2E-3</v>
      </c>
      <c r="M700" s="7">
        <v>3.0000000000000001E-3</v>
      </c>
      <c r="N700">
        <v>7</v>
      </c>
      <c r="O700" s="8">
        <v>17.934556092922943</v>
      </c>
      <c r="P700" s="9">
        <v>17.934556092922943</v>
      </c>
      <c r="Q700" s="9">
        <v>17.934556092922943</v>
      </c>
      <c r="R700" s="9">
        <v>18.35577997371016</v>
      </c>
      <c r="S700" s="9">
        <v>18.404835306435746</v>
      </c>
      <c r="T700" s="9">
        <v>19.112621008962602</v>
      </c>
      <c r="U700" s="9">
        <v>20.35176903227914</v>
      </c>
      <c r="V700" s="9">
        <v>20.35176903227914</v>
      </c>
      <c r="W700" s="9">
        <v>20.35176903227914</v>
      </c>
      <c r="X700" s="9">
        <v>19.91589544268896</v>
      </c>
      <c r="Y700" s="9">
        <v>19.91589544268896</v>
      </c>
      <c r="Z700" s="9">
        <v>21.609947773831163</v>
      </c>
      <c r="AA700" s="9">
        <v>21.609947773831163</v>
      </c>
      <c r="AB700" s="9">
        <v>23.372671736151272</v>
      </c>
      <c r="AC700" s="9">
        <v>23.372671736151272</v>
      </c>
      <c r="AD700" s="9">
        <v>26.430826810726163</v>
      </c>
      <c r="AE700" s="9">
        <v>27.959768706413232</v>
      </c>
      <c r="AF700" s="9">
        <v>29.772701744670762</v>
      </c>
      <c r="AG700" s="9">
        <v>29.772701744670762</v>
      </c>
      <c r="AH700" s="9">
        <v>32.589351949315954</v>
      </c>
      <c r="AI700" s="9">
        <v>34.825222308406182</v>
      </c>
      <c r="AJ700" s="9">
        <v>3.0428788910505911</v>
      </c>
    </row>
    <row r="701" spans="1:36" x14ac:dyDescent="0.25">
      <c r="A701" t="s">
        <v>5411</v>
      </c>
      <c r="B701" t="s">
        <v>16</v>
      </c>
      <c r="C701" t="s">
        <v>17</v>
      </c>
      <c r="D701">
        <v>19640000</v>
      </c>
      <c r="E701">
        <v>19644999</v>
      </c>
      <c r="F701" t="s">
        <v>639</v>
      </c>
      <c r="G701" t="str">
        <f t="shared" si="20"/>
        <v>SPI II</v>
      </c>
      <c r="H701" t="s">
        <v>19</v>
      </c>
      <c r="I701" t="s">
        <v>20</v>
      </c>
      <c r="J701" t="s">
        <v>64</v>
      </c>
      <c r="K701" s="6">
        <v>0.03</v>
      </c>
      <c r="L701" s="7">
        <f t="shared" si="21"/>
        <v>2E-3</v>
      </c>
      <c r="M701" s="7">
        <v>3.0000000000000001E-3</v>
      </c>
      <c r="N701">
        <v>9</v>
      </c>
      <c r="O701" s="8">
        <v>17.934556092922943</v>
      </c>
      <c r="P701" s="9">
        <v>17.934556092922943</v>
      </c>
      <c r="Q701" s="9">
        <v>17.934556092922943</v>
      </c>
      <c r="R701" s="9">
        <v>18.35577997371016</v>
      </c>
      <c r="S701" s="9">
        <v>18.404835306435746</v>
      </c>
      <c r="T701" s="9">
        <v>19.112621008962602</v>
      </c>
      <c r="U701" s="9">
        <v>20.35176903227914</v>
      </c>
      <c r="V701" s="9">
        <v>20.35176903227914</v>
      </c>
      <c r="W701" s="9">
        <v>20.35176903227914</v>
      </c>
      <c r="X701" s="9">
        <v>19.91589544268896</v>
      </c>
      <c r="Y701" s="9">
        <v>19.91589544268896</v>
      </c>
      <c r="Z701" s="9">
        <v>21.609947773831163</v>
      </c>
      <c r="AA701" s="9">
        <v>21.609947773831163</v>
      </c>
      <c r="AB701" s="9">
        <v>23.372671736151272</v>
      </c>
      <c r="AC701" s="9">
        <v>23.372671736151272</v>
      </c>
      <c r="AD701" s="9">
        <v>26.430826810726163</v>
      </c>
      <c r="AE701" s="9">
        <v>27.959768706413232</v>
      </c>
      <c r="AF701" s="9">
        <v>29.772701744670762</v>
      </c>
      <c r="AG701" s="9">
        <v>29.772701744670762</v>
      </c>
      <c r="AH701" s="9">
        <v>32.589351949315954</v>
      </c>
      <c r="AI701" s="9">
        <v>34.825222308406182</v>
      </c>
      <c r="AJ701" s="9">
        <v>3.0428788910505911</v>
      </c>
    </row>
    <row r="702" spans="1:36" x14ac:dyDescent="0.25">
      <c r="A702" t="s">
        <v>5411</v>
      </c>
      <c r="B702" t="s">
        <v>16</v>
      </c>
      <c r="C702" t="s">
        <v>17</v>
      </c>
      <c r="D702">
        <v>19645000</v>
      </c>
      <c r="E702">
        <v>19679999</v>
      </c>
      <c r="F702" t="s">
        <v>640</v>
      </c>
      <c r="G702" t="str">
        <f t="shared" si="20"/>
        <v>SPI II</v>
      </c>
      <c r="H702" t="s">
        <v>19</v>
      </c>
      <c r="I702" t="s">
        <v>20</v>
      </c>
      <c r="J702" t="s">
        <v>64</v>
      </c>
      <c r="K702" s="6">
        <v>0.03</v>
      </c>
      <c r="L702" s="7">
        <f t="shared" si="21"/>
        <v>2E-3</v>
      </c>
      <c r="M702" s="7">
        <v>3.0000000000000001E-3</v>
      </c>
      <c r="N702">
        <v>7</v>
      </c>
      <c r="O702" s="8">
        <v>17.934556092922943</v>
      </c>
      <c r="P702" s="9">
        <v>17.934556092922943</v>
      </c>
      <c r="Q702" s="9">
        <v>17.934556092922943</v>
      </c>
      <c r="R702" s="9">
        <v>18.35577997371016</v>
      </c>
      <c r="S702" s="9">
        <v>18.404835306435746</v>
      </c>
      <c r="T702" s="9">
        <v>19.112621008962602</v>
      </c>
      <c r="U702" s="9">
        <v>20.35176903227914</v>
      </c>
      <c r="V702" s="9">
        <v>20.35176903227914</v>
      </c>
      <c r="W702" s="9">
        <v>20.35176903227914</v>
      </c>
      <c r="X702" s="9">
        <v>19.91589544268896</v>
      </c>
      <c r="Y702" s="9">
        <v>19.91589544268896</v>
      </c>
      <c r="Z702" s="9">
        <v>21.609947773831163</v>
      </c>
      <c r="AA702" s="9">
        <v>21.609947773831163</v>
      </c>
      <c r="AB702" s="9">
        <v>23.372671736151272</v>
      </c>
      <c r="AC702" s="9">
        <v>23.372671736151272</v>
      </c>
      <c r="AD702" s="9">
        <v>26.430826810726163</v>
      </c>
      <c r="AE702" s="9">
        <v>27.959768706413232</v>
      </c>
      <c r="AF702" s="9">
        <v>29.772701744670762</v>
      </c>
      <c r="AG702" s="9">
        <v>29.772701744670762</v>
      </c>
      <c r="AH702" s="9">
        <v>32.589351949315954</v>
      </c>
      <c r="AI702" s="9">
        <v>34.825222308406182</v>
      </c>
      <c r="AJ702" s="9">
        <v>3.0428788910505911</v>
      </c>
    </row>
    <row r="703" spans="1:36" x14ac:dyDescent="0.25">
      <c r="A703" t="s">
        <v>5411</v>
      </c>
      <c r="B703" t="s">
        <v>16</v>
      </c>
      <c r="C703" t="s">
        <v>17</v>
      </c>
      <c r="D703">
        <v>19680000</v>
      </c>
      <c r="E703">
        <v>19699999</v>
      </c>
      <c r="F703" t="s">
        <v>641</v>
      </c>
      <c r="G703" t="str">
        <f t="shared" si="20"/>
        <v>SPI II</v>
      </c>
      <c r="H703" t="s">
        <v>19</v>
      </c>
      <c r="I703" t="s">
        <v>20</v>
      </c>
      <c r="J703" t="s">
        <v>64</v>
      </c>
      <c r="K703" s="6">
        <v>0.03</v>
      </c>
      <c r="L703" s="7">
        <f t="shared" si="21"/>
        <v>2E-3</v>
      </c>
      <c r="M703" s="7">
        <v>3.0000000000000001E-3</v>
      </c>
      <c r="N703">
        <v>9</v>
      </c>
      <c r="O703" s="8">
        <v>17.934556092922943</v>
      </c>
      <c r="P703" s="9">
        <v>17.934556092922943</v>
      </c>
      <c r="Q703" s="9">
        <v>17.934556092922943</v>
      </c>
      <c r="R703" s="9">
        <v>18.35577997371016</v>
      </c>
      <c r="S703" s="9">
        <v>18.404835306435746</v>
      </c>
      <c r="T703" s="9">
        <v>19.112621008962602</v>
      </c>
      <c r="U703" s="9">
        <v>20.35176903227914</v>
      </c>
      <c r="V703" s="9">
        <v>20.35176903227914</v>
      </c>
      <c r="W703" s="9">
        <v>20.35176903227914</v>
      </c>
      <c r="X703" s="9">
        <v>19.91589544268896</v>
      </c>
      <c r="Y703" s="9">
        <v>19.91589544268896</v>
      </c>
      <c r="Z703" s="9">
        <v>21.609947773831163</v>
      </c>
      <c r="AA703" s="9">
        <v>21.609947773831163</v>
      </c>
      <c r="AB703" s="9">
        <v>23.372671736151272</v>
      </c>
      <c r="AC703" s="9">
        <v>23.372671736151272</v>
      </c>
      <c r="AD703" s="9">
        <v>26.430826810726163</v>
      </c>
      <c r="AE703" s="9">
        <v>27.959768706413232</v>
      </c>
      <c r="AF703" s="9">
        <v>29.772701744670762</v>
      </c>
      <c r="AG703" s="9">
        <v>29.772701744670762</v>
      </c>
      <c r="AH703" s="9">
        <v>32.589351949315954</v>
      </c>
      <c r="AI703" s="9">
        <v>34.825222308406182</v>
      </c>
      <c r="AJ703" s="9">
        <v>3.0428788910505911</v>
      </c>
    </row>
    <row r="704" spans="1:36" x14ac:dyDescent="0.25">
      <c r="A704" t="s">
        <v>5411</v>
      </c>
      <c r="B704" t="s">
        <v>16</v>
      </c>
      <c r="C704" t="s">
        <v>17</v>
      </c>
      <c r="D704">
        <v>19700000</v>
      </c>
      <c r="E704">
        <v>19739999</v>
      </c>
      <c r="F704" t="s">
        <v>642</v>
      </c>
      <c r="G704" t="str">
        <f t="shared" si="20"/>
        <v>SPI II</v>
      </c>
      <c r="H704" t="s">
        <v>19</v>
      </c>
      <c r="I704" t="s">
        <v>20</v>
      </c>
      <c r="J704" t="s">
        <v>64</v>
      </c>
      <c r="K704" s="6">
        <v>0.03</v>
      </c>
      <c r="L704" s="7">
        <f t="shared" si="21"/>
        <v>2E-3</v>
      </c>
      <c r="M704" s="7">
        <v>3.0000000000000001E-3</v>
      </c>
      <c r="N704">
        <v>7</v>
      </c>
      <c r="O704" s="8">
        <v>17.934556092922943</v>
      </c>
      <c r="P704" s="9">
        <v>17.934556092922943</v>
      </c>
      <c r="Q704" s="9">
        <v>17.934556092922943</v>
      </c>
      <c r="R704" s="9">
        <v>18.35577997371016</v>
      </c>
      <c r="S704" s="9">
        <v>18.404835306435746</v>
      </c>
      <c r="T704" s="9">
        <v>19.112621008962602</v>
      </c>
      <c r="U704" s="9">
        <v>20.35176903227914</v>
      </c>
      <c r="V704" s="9">
        <v>20.35176903227914</v>
      </c>
      <c r="W704" s="9">
        <v>20.35176903227914</v>
      </c>
      <c r="X704" s="9">
        <v>19.91589544268896</v>
      </c>
      <c r="Y704" s="9">
        <v>19.91589544268896</v>
      </c>
      <c r="Z704" s="9">
        <v>21.609947773831163</v>
      </c>
      <c r="AA704" s="9">
        <v>21.609947773831163</v>
      </c>
      <c r="AB704" s="9">
        <v>23.372671736151272</v>
      </c>
      <c r="AC704" s="9">
        <v>23.372671736151272</v>
      </c>
      <c r="AD704" s="9">
        <v>26.430826810726163</v>
      </c>
      <c r="AE704" s="9">
        <v>27.959768706413232</v>
      </c>
      <c r="AF704" s="9">
        <v>29.772701744670762</v>
      </c>
      <c r="AG704" s="9">
        <v>29.772701744670762</v>
      </c>
      <c r="AH704" s="9">
        <v>32.589351949315954</v>
      </c>
      <c r="AI704" s="9">
        <v>34.825222308406182</v>
      </c>
      <c r="AJ704" s="9">
        <v>3.0428788910505911</v>
      </c>
    </row>
    <row r="705" spans="1:36" x14ac:dyDescent="0.25">
      <c r="A705" t="s">
        <v>5411</v>
      </c>
      <c r="B705" t="s">
        <v>16</v>
      </c>
      <c r="C705" t="s">
        <v>17</v>
      </c>
      <c r="D705">
        <v>19740000</v>
      </c>
      <c r="E705">
        <v>19749999</v>
      </c>
      <c r="F705" t="s">
        <v>643</v>
      </c>
      <c r="G705" t="str">
        <f t="shared" si="20"/>
        <v>SPI II</v>
      </c>
      <c r="H705" t="s">
        <v>19</v>
      </c>
      <c r="I705" t="s">
        <v>20</v>
      </c>
      <c r="J705" t="s">
        <v>64</v>
      </c>
      <c r="K705" s="6">
        <v>0.03</v>
      </c>
      <c r="L705" s="7">
        <f t="shared" si="21"/>
        <v>2E-3</v>
      </c>
      <c r="M705" s="7">
        <v>3.0000000000000001E-3</v>
      </c>
      <c r="N705">
        <v>8</v>
      </c>
      <c r="O705" s="8">
        <v>17.934556092922943</v>
      </c>
      <c r="P705" s="9">
        <v>17.934556092922943</v>
      </c>
      <c r="Q705" s="9">
        <v>17.934556092922943</v>
      </c>
      <c r="R705" s="9">
        <v>18.35577997371016</v>
      </c>
      <c r="S705" s="9">
        <v>18.404835306435746</v>
      </c>
      <c r="T705" s="9">
        <v>19.112621008962602</v>
      </c>
      <c r="U705" s="9">
        <v>20.35176903227914</v>
      </c>
      <c r="V705" s="9">
        <v>20.35176903227914</v>
      </c>
      <c r="W705" s="9">
        <v>20.35176903227914</v>
      </c>
      <c r="X705" s="9">
        <v>19.91589544268896</v>
      </c>
      <c r="Y705" s="9">
        <v>19.91589544268896</v>
      </c>
      <c r="Z705" s="9">
        <v>21.609947773831163</v>
      </c>
      <c r="AA705" s="9">
        <v>21.609947773831163</v>
      </c>
      <c r="AB705" s="9">
        <v>23.372671736151272</v>
      </c>
      <c r="AC705" s="9">
        <v>23.372671736151272</v>
      </c>
      <c r="AD705" s="9">
        <v>26.430826810726163</v>
      </c>
      <c r="AE705" s="9">
        <v>27.959768706413232</v>
      </c>
      <c r="AF705" s="9">
        <v>29.772701744670762</v>
      </c>
      <c r="AG705" s="9">
        <v>29.772701744670762</v>
      </c>
      <c r="AH705" s="9">
        <v>32.589351949315954</v>
      </c>
      <c r="AI705" s="9">
        <v>34.825222308406182</v>
      </c>
      <c r="AJ705" s="9">
        <v>3.0428788910505911</v>
      </c>
    </row>
    <row r="706" spans="1:36" x14ac:dyDescent="0.25">
      <c r="A706" t="s">
        <v>5411</v>
      </c>
      <c r="B706" t="s">
        <v>16</v>
      </c>
      <c r="C706" t="s">
        <v>17</v>
      </c>
      <c r="D706">
        <v>19750000</v>
      </c>
      <c r="E706">
        <v>19769999</v>
      </c>
      <c r="F706" t="s">
        <v>644</v>
      </c>
      <c r="G706" t="str">
        <f t="shared" si="20"/>
        <v>SPI II</v>
      </c>
      <c r="H706" t="s">
        <v>19</v>
      </c>
      <c r="I706" t="s">
        <v>20</v>
      </c>
      <c r="J706" t="s">
        <v>64</v>
      </c>
      <c r="K706" s="6">
        <v>0.03</v>
      </c>
      <c r="L706" s="7">
        <f t="shared" si="21"/>
        <v>2E-3</v>
      </c>
      <c r="M706" s="7">
        <v>3.0000000000000001E-3</v>
      </c>
      <c r="N706">
        <v>7</v>
      </c>
      <c r="O706" s="8">
        <v>17.934556092922943</v>
      </c>
      <c r="P706" s="9">
        <v>17.934556092922943</v>
      </c>
      <c r="Q706" s="9">
        <v>17.934556092922943</v>
      </c>
      <c r="R706" s="9">
        <v>18.35577997371016</v>
      </c>
      <c r="S706" s="9">
        <v>18.404835306435746</v>
      </c>
      <c r="T706" s="9">
        <v>19.112621008962602</v>
      </c>
      <c r="U706" s="9">
        <v>20.35176903227914</v>
      </c>
      <c r="V706" s="9">
        <v>20.35176903227914</v>
      </c>
      <c r="W706" s="9">
        <v>20.35176903227914</v>
      </c>
      <c r="X706" s="9">
        <v>19.91589544268896</v>
      </c>
      <c r="Y706" s="9">
        <v>19.91589544268896</v>
      </c>
      <c r="Z706" s="9">
        <v>21.609947773831163</v>
      </c>
      <c r="AA706" s="9">
        <v>21.609947773831163</v>
      </c>
      <c r="AB706" s="9">
        <v>23.372671736151272</v>
      </c>
      <c r="AC706" s="9">
        <v>23.372671736151272</v>
      </c>
      <c r="AD706" s="9">
        <v>26.430826810726163</v>
      </c>
      <c r="AE706" s="9">
        <v>27.959768706413232</v>
      </c>
      <c r="AF706" s="9">
        <v>29.772701744670762</v>
      </c>
      <c r="AG706" s="9">
        <v>29.772701744670762</v>
      </c>
      <c r="AH706" s="9">
        <v>32.589351949315954</v>
      </c>
      <c r="AI706" s="9">
        <v>34.825222308406182</v>
      </c>
      <c r="AJ706" s="9">
        <v>3.0428788910505911</v>
      </c>
    </row>
    <row r="707" spans="1:36" x14ac:dyDescent="0.25">
      <c r="A707" t="s">
        <v>5411</v>
      </c>
      <c r="B707" t="s">
        <v>16</v>
      </c>
      <c r="C707" t="s">
        <v>17</v>
      </c>
      <c r="D707">
        <v>19770000</v>
      </c>
      <c r="E707">
        <v>19779999</v>
      </c>
      <c r="F707" t="s">
        <v>645</v>
      </c>
      <c r="G707" t="str">
        <f t="shared" si="20"/>
        <v>SPI II</v>
      </c>
      <c r="H707" t="s">
        <v>19</v>
      </c>
      <c r="I707" t="s">
        <v>20</v>
      </c>
      <c r="J707" t="s">
        <v>64</v>
      </c>
      <c r="K707" s="6">
        <v>0.03</v>
      </c>
      <c r="L707" s="7">
        <f t="shared" si="21"/>
        <v>2E-3</v>
      </c>
      <c r="M707" s="7">
        <v>3.0000000000000001E-3</v>
      </c>
      <c r="N707">
        <v>7</v>
      </c>
      <c r="O707" s="8">
        <v>17.934556092922943</v>
      </c>
      <c r="P707" s="9">
        <v>17.934556092922943</v>
      </c>
      <c r="Q707" s="9">
        <v>17.934556092922943</v>
      </c>
      <c r="R707" s="9">
        <v>18.35577997371016</v>
      </c>
      <c r="S707" s="9">
        <v>18.404835306435746</v>
      </c>
      <c r="T707" s="9">
        <v>19.112621008962602</v>
      </c>
      <c r="U707" s="9">
        <v>20.35176903227914</v>
      </c>
      <c r="V707" s="9">
        <v>20.35176903227914</v>
      </c>
      <c r="W707" s="9">
        <v>20.35176903227914</v>
      </c>
      <c r="X707" s="9">
        <v>19.91589544268896</v>
      </c>
      <c r="Y707" s="9">
        <v>19.91589544268896</v>
      </c>
      <c r="Z707" s="9">
        <v>21.609947773831163</v>
      </c>
      <c r="AA707" s="9">
        <v>21.609947773831163</v>
      </c>
      <c r="AB707" s="9">
        <v>23.372671736151272</v>
      </c>
      <c r="AC707" s="9">
        <v>23.372671736151272</v>
      </c>
      <c r="AD707" s="9">
        <v>26.430826810726163</v>
      </c>
      <c r="AE707" s="9">
        <v>27.959768706413232</v>
      </c>
      <c r="AF707" s="9">
        <v>29.772701744670762</v>
      </c>
      <c r="AG707" s="9">
        <v>29.772701744670762</v>
      </c>
      <c r="AH707" s="9">
        <v>32.589351949315954</v>
      </c>
      <c r="AI707" s="9">
        <v>34.825222308406182</v>
      </c>
      <c r="AJ707" s="9">
        <v>3.0428788910505911</v>
      </c>
    </row>
    <row r="708" spans="1:36" x14ac:dyDescent="0.25">
      <c r="A708" t="s">
        <v>5411</v>
      </c>
      <c r="B708" t="s">
        <v>16</v>
      </c>
      <c r="C708" t="s">
        <v>17</v>
      </c>
      <c r="D708">
        <v>19780000</v>
      </c>
      <c r="E708">
        <v>19799999</v>
      </c>
      <c r="F708" t="s">
        <v>646</v>
      </c>
      <c r="G708" t="str">
        <f t="shared" ref="G708:G771" si="22">H708&amp;IF(J708="CAPITAL","C",IF(J708="INTERIOR","I",IF(J708="INTERIOR II","I II","R")))</f>
        <v>SPI II</v>
      </c>
      <c r="H708" t="s">
        <v>19</v>
      </c>
      <c r="I708" t="s">
        <v>20</v>
      </c>
      <c r="J708" t="s">
        <v>64</v>
      </c>
      <c r="K708" s="6">
        <v>0.03</v>
      </c>
      <c r="L708" s="7">
        <f t="shared" ref="L708:L771" si="23">IF(I708="(0) Não",0.2%,3%)</f>
        <v>2E-3</v>
      </c>
      <c r="M708" s="7">
        <v>3.0000000000000001E-3</v>
      </c>
      <c r="N708">
        <v>7</v>
      </c>
      <c r="O708" s="8">
        <v>17.934556092922943</v>
      </c>
      <c r="P708" s="9">
        <v>17.934556092922943</v>
      </c>
      <c r="Q708" s="9">
        <v>17.934556092922943</v>
      </c>
      <c r="R708" s="9">
        <v>18.35577997371016</v>
      </c>
      <c r="S708" s="9">
        <v>18.404835306435746</v>
      </c>
      <c r="T708" s="9">
        <v>19.112621008962602</v>
      </c>
      <c r="U708" s="9">
        <v>20.35176903227914</v>
      </c>
      <c r="V708" s="9">
        <v>20.35176903227914</v>
      </c>
      <c r="W708" s="9">
        <v>20.35176903227914</v>
      </c>
      <c r="X708" s="9">
        <v>19.91589544268896</v>
      </c>
      <c r="Y708" s="9">
        <v>19.91589544268896</v>
      </c>
      <c r="Z708" s="9">
        <v>21.609947773831163</v>
      </c>
      <c r="AA708" s="9">
        <v>21.609947773831163</v>
      </c>
      <c r="AB708" s="9">
        <v>23.372671736151272</v>
      </c>
      <c r="AC708" s="9">
        <v>23.372671736151272</v>
      </c>
      <c r="AD708" s="9">
        <v>26.430826810726163</v>
      </c>
      <c r="AE708" s="9">
        <v>27.959768706413232</v>
      </c>
      <c r="AF708" s="9">
        <v>29.772701744670762</v>
      </c>
      <c r="AG708" s="9">
        <v>29.772701744670762</v>
      </c>
      <c r="AH708" s="9">
        <v>32.589351949315954</v>
      </c>
      <c r="AI708" s="9">
        <v>34.825222308406182</v>
      </c>
      <c r="AJ708" s="9">
        <v>3.0428788910505911</v>
      </c>
    </row>
    <row r="709" spans="1:36" x14ac:dyDescent="0.25">
      <c r="A709" t="s">
        <v>5411</v>
      </c>
      <c r="B709" t="s">
        <v>16</v>
      </c>
      <c r="C709" t="s">
        <v>17</v>
      </c>
      <c r="D709">
        <v>19800000</v>
      </c>
      <c r="E709">
        <v>19819999</v>
      </c>
      <c r="F709" t="s">
        <v>647</v>
      </c>
      <c r="G709" t="str">
        <f t="shared" si="22"/>
        <v>SPI II</v>
      </c>
      <c r="H709" t="s">
        <v>19</v>
      </c>
      <c r="I709" t="s">
        <v>20</v>
      </c>
      <c r="J709" t="s">
        <v>64</v>
      </c>
      <c r="K709" s="6">
        <v>0.03</v>
      </c>
      <c r="L709" s="7">
        <f t="shared" si="23"/>
        <v>2E-3</v>
      </c>
      <c r="M709" s="7">
        <v>3.0000000000000001E-3</v>
      </c>
      <c r="N709">
        <v>6</v>
      </c>
      <c r="O709" s="8">
        <v>17.934556092922943</v>
      </c>
      <c r="P709" s="9">
        <v>17.934556092922943</v>
      </c>
      <c r="Q709" s="9">
        <v>17.934556092922943</v>
      </c>
      <c r="R709" s="9">
        <v>18.35577997371016</v>
      </c>
      <c r="S709" s="9">
        <v>18.404835306435746</v>
      </c>
      <c r="T709" s="9">
        <v>19.112621008962602</v>
      </c>
      <c r="U709" s="9">
        <v>20.35176903227914</v>
      </c>
      <c r="V709" s="9">
        <v>20.35176903227914</v>
      </c>
      <c r="W709" s="9">
        <v>20.35176903227914</v>
      </c>
      <c r="X709" s="9">
        <v>19.91589544268896</v>
      </c>
      <c r="Y709" s="9">
        <v>19.91589544268896</v>
      </c>
      <c r="Z709" s="9">
        <v>21.609947773831163</v>
      </c>
      <c r="AA709" s="9">
        <v>21.609947773831163</v>
      </c>
      <c r="AB709" s="9">
        <v>23.372671736151272</v>
      </c>
      <c r="AC709" s="9">
        <v>23.372671736151272</v>
      </c>
      <c r="AD709" s="9">
        <v>26.430826810726163</v>
      </c>
      <c r="AE709" s="9">
        <v>27.959768706413232</v>
      </c>
      <c r="AF709" s="9">
        <v>29.772701744670762</v>
      </c>
      <c r="AG709" s="9">
        <v>29.772701744670762</v>
      </c>
      <c r="AH709" s="9">
        <v>32.589351949315954</v>
      </c>
      <c r="AI709" s="9">
        <v>34.825222308406182</v>
      </c>
      <c r="AJ709" s="9">
        <v>3.0428788910505911</v>
      </c>
    </row>
    <row r="710" spans="1:36" x14ac:dyDescent="0.25">
      <c r="A710" t="s">
        <v>5411</v>
      </c>
      <c r="B710" t="s">
        <v>16</v>
      </c>
      <c r="C710" t="s">
        <v>17</v>
      </c>
      <c r="D710">
        <v>19820000</v>
      </c>
      <c r="E710">
        <v>19829999</v>
      </c>
      <c r="F710" t="s">
        <v>648</v>
      </c>
      <c r="G710" t="str">
        <f t="shared" si="22"/>
        <v>SPI II</v>
      </c>
      <c r="H710" t="s">
        <v>19</v>
      </c>
      <c r="I710" t="s">
        <v>20</v>
      </c>
      <c r="J710" t="s">
        <v>64</v>
      </c>
      <c r="K710" s="6">
        <v>0.03</v>
      </c>
      <c r="L710" s="7">
        <f t="shared" si="23"/>
        <v>2E-3</v>
      </c>
      <c r="M710" s="7">
        <v>3.0000000000000001E-3</v>
      </c>
      <c r="N710">
        <v>7</v>
      </c>
      <c r="O710" s="8">
        <v>17.934556092922943</v>
      </c>
      <c r="P710" s="9">
        <v>17.934556092922943</v>
      </c>
      <c r="Q710" s="9">
        <v>17.934556092922943</v>
      </c>
      <c r="R710" s="9">
        <v>18.35577997371016</v>
      </c>
      <c r="S710" s="9">
        <v>18.404835306435746</v>
      </c>
      <c r="T710" s="9">
        <v>19.112621008962602</v>
      </c>
      <c r="U710" s="9">
        <v>20.35176903227914</v>
      </c>
      <c r="V710" s="9">
        <v>20.35176903227914</v>
      </c>
      <c r="W710" s="9">
        <v>20.35176903227914</v>
      </c>
      <c r="X710" s="9">
        <v>19.91589544268896</v>
      </c>
      <c r="Y710" s="9">
        <v>19.91589544268896</v>
      </c>
      <c r="Z710" s="9">
        <v>21.609947773831163</v>
      </c>
      <c r="AA710" s="9">
        <v>21.609947773831163</v>
      </c>
      <c r="AB710" s="9">
        <v>23.372671736151272</v>
      </c>
      <c r="AC710" s="9">
        <v>23.372671736151272</v>
      </c>
      <c r="AD710" s="9">
        <v>26.430826810726163</v>
      </c>
      <c r="AE710" s="9">
        <v>27.959768706413232</v>
      </c>
      <c r="AF710" s="9">
        <v>29.772701744670762</v>
      </c>
      <c r="AG710" s="9">
        <v>29.772701744670762</v>
      </c>
      <c r="AH710" s="9">
        <v>32.589351949315954</v>
      </c>
      <c r="AI710" s="9">
        <v>34.825222308406182</v>
      </c>
      <c r="AJ710" s="9">
        <v>3.0428788910505911</v>
      </c>
    </row>
    <row r="711" spans="1:36" x14ac:dyDescent="0.25">
      <c r="A711" t="s">
        <v>5411</v>
      </c>
      <c r="B711" t="s">
        <v>16</v>
      </c>
      <c r="C711" t="s">
        <v>17</v>
      </c>
      <c r="D711">
        <v>19830000</v>
      </c>
      <c r="E711">
        <v>19839999</v>
      </c>
      <c r="F711" t="s">
        <v>649</v>
      </c>
      <c r="G711" t="str">
        <f t="shared" si="22"/>
        <v>SPI II</v>
      </c>
      <c r="H711" t="s">
        <v>19</v>
      </c>
      <c r="I711" t="s">
        <v>20</v>
      </c>
      <c r="J711" t="s">
        <v>64</v>
      </c>
      <c r="K711" s="6">
        <v>0.03</v>
      </c>
      <c r="L711" s="7">
        <f t="shared" si="23"/>
        <v>2E-3</v>
      </c>
      <c r="M711" s="7">
        <v>3.0000000000000001E-3</v>
      </c>
      <c r="N711">
        <v>7</v>
      </c>
      <c r="O711" s="8">
        <v>17.934556092922943</v>
      </c>
      <c r="P711" s="9">
        <v>17.934556092922943</v>
      </c>
      <c r="Q711" s="9">
        <v>17.934556092922943</v>
      </c>
      <c r="R711" s="9">
        <v>18.35577997371016</v>
      </c>
      <c r="S711" s="9">
        <v>18.404835306435746</v>
      </c>
      <c r="T711" s="9">
        <v>19.112621008962602</v>
      </c>
      <c r="U711" s="9">
        <v>20.35176903227914</v>
      </c>
      <c r="V711" s="9">
        <v>20.35176903227914</v>
      </c>
      <c r="W711" s="9">
        <v>20.35176903227914</v>
      </c>
      <c r="X711" s="9">
        <v>19.91589544268896</v>
      </c>
      <c r="Y711" s="9">
        <v>19.91589544268896</v>
      </c>
      <c r="Z711" s="9">
        <v>21.609947773831163</v>
      </c>
      <c r="AA711" s="9">
        <v>21.609947773831163</v>
      </c>
      <c r="AB711" s="9">
        <v>23.372671736151272</v>
      </c>
      <c r="AC711" s="9">
        <v>23.372671736151272</v>
      </c>
      <c r="AD711" s="9">
        <v>26.430826810726163</v>
      </c>
      <c r="AE711" s="9">
        <v>27.959768706413232</v>
      </c>
      <c r="AF711" s="9">
        <v>29.772701744670762</v>
      </c>
      <c r="AG711" s="9">
        <v>29.772701744670762</v>
      </c>
      <c r="AH711" s="9">
        <v>32.589351949315954</v>
      </c>
      <c r="AI711" s="9">
        <v>34.825222308406182</v>
      </c>
      <c r="AJ711" s="9">
        <v>3.0428788910505911</v>
      </c>
    </row>
    <row r="712" spans="1:36" x14ac:dyDescent="0.25">
      <c r="A712" t="s">
        <v>5411</v>
      </c>
      <c r="B712" t="s">
        <v>16</v>
      </c>
      <c r="C712" t="s">
        <v>17</v>
      </c>
      <c r="D712">
        <v>19840000</v>
      </c>
      <c r="E712">
        <v>19859999</v>
      </c>
      <c r="F712" t="s">
        <v>650</v>
      </c>
      <c r="G712" t="str">
        <f t="shared" si="22"/>
        <v>SPI II</v>
      </c>
      <c r="H712" t="s">
        <v>19</v>
      </c>
      <c r="I712" t="s">
        <v>20</v>
      </c>
      <c r="J712" t="s">
        <v>64</v>
      </c>
      <c r="K712" s="6">
        <v>0.03</v>
      </c>
      <c r="L712" s="7">
        <f t="shared" si="23"/>
        <v>2E-3</v>
      </c>
      <c r="M712" s="7">
        <v>3.0000000000000001E-3</v>
      </c>
      <c r="N712">
        <v>7</v>
      </c>
      <c r="O712" s="8">
        <v>17.934556092922943</v>
      </c>
      <c r="P712" s="9">
        <v>17.934556092922943</v>
      </c>
      <c r="Q712" s="9">
        <v>17.934556092922943</v>
      </c>
      <c r="R712" s="9">
        <v>18.35577997371016</v>
      </c>
      <c r="S712" s="9">
        <v>18.404835306435746</v>
      </c>
      <c r="T712" s="9">
        <v>19.112621008962602</v>
      </c>
      <c r="U712" s="9">
        <v>20.35176903227914</v>
      </c>
      <c r="V712" s="9">
        <v>20.35176903227914</v>
      </c>
      <c r="W712" s="9">
        <v>20.35176903227914</v>
      </c>
      <c r="X712" s="9">
        <v>19.91589544268896</v>
      </c>
      <c r="Y712" s="9">
        <v>19.91589544268896</v>
      </c>
      <c r="Z712" s="9">
        <v>21.609947773831163</v>
      </c>
      <c r="AA712" s="9">
        <v>21.609947773831163</v>
      </c>
      <c r="AB712" s="9">
        <v>23.372671736151272</v>
      </c>
      <c r="AC712" s="9">
        <v>23.372671736151272</v>
      </c>
      <c r="AD712" s="9">
        <v>26.430826810726163</v>
      </c>
      <c r="AE712" s="9">
        <v>27.959768706413232</v>
      </c>
      <c r="AF712" s="9">
        <v>29.772701744670762</v>
      </c>
      <c r="AG712" s="9">
        <v>29.772701744670762</v>
      </c>
      <c r="AH712" s="9">
        <v>32.589351949315954</v>
      </c>
      <c r="AI712" s="9">
        <v>34.825222308406182</v>
      </c>
      <c r="AJ712" s="9">
        <v>3.0428788910505911</v>
      </c>
    </row>
    <row r="713" spans="1:36" x14ac:dyDescent="0.25">
      <c r="A713" t="s">
        <v>5411</v>
      </c>
      <c r="B713" t="s">
        <v>16</v>
      </c>
      <c r="C713" t="s">
        <v>17</v>
      </c>
      <c r="D713">
        <v>19860000</v>
      </c>
      <c r="E713">
        <v>19864999</v>
      </c>
      <c r="F713" t="s">
        <v>651</v>
      </c>
      <c r="G713" t="str">
        <f t="shared" si="22"/>
        <v>SPI II</v>
      </c>
      <c r="H713" t="s">
        <v>19</v>
      </c>
      <c r="I713" t="s">
        <v>20</v>
      </c>
      <c r="J713" t="s">
        <v>64</v>
      </c>
      <c r="K713" s="6">
        <v>0.03</v>
      </c>
      <c r="L713" s="7">
        <f t="shared" si="23"/>
        <v>2E-3</v>
      </c>
      <c r="M713" s="7">
        <v>3.0000000000000001E-3</v>
      </c>
      <c r="N713">
        <v>7</v>
      </c>
      <c r="O713" s="8">
        <v>17.934556092922943</v>
      </c>
      <c r="P713" s="9">
        <v>17.934556092922943</v>
      </c>
      <c r="Q713" s="9">
        <v>17.934556092922943</v>
      </c>
      <c r="R713" s="9">
        <v>18.35577997371016</v>
      </c>
      <c r="S713" s="9">
        <v>18.404835306435746</v>
      </c>
      <c r="T713" s="9">
        <v>19.112621008962602</v>
      </c>
      <c r="U713" s="9">
        <v>20.35176903227914</v>
      </c>
      <c r="V713" s="9">
        <v>20.35176903227914</v>
      </c>
      <c r="W713" s="9">
        <v>20.35176903227914</v>
      </c>
      <c r="X713" s="9">
        <v>19.91589544268896</v>
      </c>
      <c r="Y713" s="9">
        <v>19.91589544268896</v>
      </c>
      <c r="Z713" s="9">
        <v>21.609947773831163</v>
      </c>
      <c r="AA713" s="9">
        <v>21.609947773831163</v>
      </c>
      <c r="AB713" s="9">
        <v>23.372671736151272</v>
      </c>
      <c r="AC713" s="9">
        <v>23.372671736151272</v>
      </c>
      <c r="AD713" s="9">
        <v>26.430826810726163</v>
      </c>
      <c r="AE713" s="9">
        <v>27.959768706413232</v>
      </c>
      <c r="AF713" s="9">
        <v>29.772701744670762</v>
      </c>
      <c r="AG713" s="9">
        <v>29.772701744670762</v>
      </c>
      <c r="AH713" s="9">
        <v>32.589351949315954</v>
      </c>
      <c r="AI713" s="9">
        <v>34.825222308406182</v>
      </c>
      <c r="AJ713" s="9">
        <v>3.0428788910505911</v>
      </c>
    </row>
    <row r="714" spans="1:36" x14ac:dyDescent="0.25">
      <c r="A714" t="s">
        <v>5411</v>
      </c>
      <c r="B714" t="s">
        <v>16</v>
      </c>
      <c r="C714" t="s">
        <v>17</v>
      </c>
      <c r="D714">
        <v>19865000</v>
      </c>
      <c r="E714">
        <v>19869999</v>
      </c>
      <c r="F714" t="s">
        <v>652</v>
      </c>
      <c r="G714" t="str">
        <f t="shared" si="22"/>
        <v>SPI II</v>
      </c>
      <c r="H714" t="s">
        <v>19</v>
      </c>
      <c r="I714" t="s">
        <v>20</v>
      </c>
      <c r="J714" t="s">
        <v>64</v>
      </c>
      <c r="K714" s="6">
        <v>0.03</v>
      </c>
      <c r="L714" s="7">
        <f t="shared" si="23"/>
        <v>2E-3</v>
      </c>
      <c r="M714" s="7">
        <v>3.0000000000000001E-3</v>
      </c>
      <c r="N714">
        <v>7</v>
      </c>
      <c r="O714" s="8">
        <v>17.934556092922943</v>
      </c>
      <c r="P714" s="9">
        <v>17.934556092922943</v>
      </c>
      <c r="Q714" s="9">
        <v>17.934556092922943</v>
      </c>
      <c r="R714" s="9">
        <v>18.35577997371016</v>
      </c>
      <c r="S714" s="9">
        <v>18.404835306435746</v>
      </c>
      <c r="T714" s="9">
        <v>19.112621008962602</v>
      </c>
      <c r="U714" s="9">
        <v>20.35176903227914</v>
      </c>
      <c r="V714" s="9">
        <v>20.35176903227914</v>
      </c>
      <c r="W714" s="9">
        <v>20.35176903227914</v>
      </c>
      <c r="X714" s="9">
        <v>19.91589544268896</v>
      </c>
      <c r="Y714" s="9">
        <v>19.91589544268896</v>
      </c>
      <c r="Z714" s="9">
        <v>21.609947773831163</v>
      </c>
      <c r="AA714" s="9">
        <v>21.609947773831163</v>
      </c>
      <c r="AB714" s="9">
        <v>23.372671736151272</v>
      </c>
      <c r="AC714" s="9">
        <v>23.372671736151272</v>
      </c>
      <c r="AD714" s="9">
        <v>26.430826810726163</v>
      </c>
      <c r="AE714" s="9">
        <v>27.959768706413232</v>
      </c>
      <c r="AF714" s="9">
        <v>29.772701744670762</v>
      </c>
      <c r="AG714" s="9">
        <v>29.772701744670762</v>
      </c>
      <c r="AH714" s="9">
        <v>32.589351949315954</v>
      </c>
      <c r="AI714" s="9">
        <v>34.825222308406182</v>
      </c>
      <c r="AJ714" s="9">
        <v>3.0428788910505911</v>
      </c>
    </row>
    <row r="715" spans="1:36" x14ac:dyDescent="0.25">
      <c r="A715" t="s">
        <v>5411</v>
      </c>
      <c r="B715" t="s">
        <v>16</v>
      </c>
      <c r="C715" t="s">
        <v>17</v>
      </c>
      <c r="D715">
        <v>19870000</v>
      </c>
      <c r="E715">
        <v>19879999</v>
      </c>
      <c r="F715" t="s">
        <v>653</v>
      </c>
      <c r="G715" t="str">
        <f t="shared" si="22"/>
        <v>SPI II</v>
      </c>
      <c r="H715" t="s">
        <v>19</v>
      </c>
      <c r="I715" t="s">
        <v>20</v>
      </c>
      <c r="J715" t="s">
        <v>64</v>
      </c>
      <c r="K715" s="6">
        <v>0.03</v>
      </c>
      <c r="L715" s="7">
        <f t="shared" si="23"/>
        <v>2E-3</v>
      </c>
      <c r="M715" s="7">
        <v>3.0000000000000001E-3</v>
      </c>
      <c r="N715">
        <v>7</v>
      </c>
      <c r="O715" s="8">
        <v>17.934556092922943</v>
      </c>
      <c r="P715" s="9">
        <v>17.934556092922943</v>
      </c>
      <c r="Q715" s="9">
        <v>17.934556092922943</v>
      </c>
      <c r="R715" s="9">
        <v>18.35577997371016</v>
      </c>
      <c r="S715" s="9">
        <v>18.404835306435746</v>
      </c>
      <c r="T715" s="9">
        <v>19.112621008962602</v>
      </c>
      <c r="U715" s="9">
        <v>20.35176903227914</v>
      </c>
      <c r="V715" s="9">
        <v>20.35176903227914</v>
      </c>
      <c r="W715" s="9">
        <v>20.35176903227914</v>
      </c>
      <c r="X715" s="9">
        <v>19.91589544268896</v>
      </c>
      <c r="Y715" s="9">
        <v>19.91589544268896</v>
      </c>
      <c r="Z715" s="9">
        <v>21.609947773831163</v>
      </c>
      <c r="AA715" s="9">
        <v>21.609947773831163</v>
      </c>
      <c r="AB715" s="9">
        <v>23.372671736151272</v>
      </c>
      <c r="AC715" s="9">
        <v>23.372671736151272</v>
      </c>
      <c r="AD715" s="9">
        <v>26.430826810726163</v>
      </c>
      <c r="AE715" s="9">
        <v>27.959768706413232</v>
      </c>
      <c r="AF715" s="9">
        <v>29.772701744670762</v>
      </c>
      <c r="AG715" s="9">
        <v>29.772701744670762</v>
      </c>
      <c r="AH715" s="9">
        <v>32.589351949315954</v>
      </c>
      <c r="AI715" s="9">
        <v>34.825222308406182</v>
      </c>
      <c r="AJ715" s="9">
        <v>3.0428788910505911</v>
      </c>
    </row>
    <row r="716" spans="1:36" x14ac:dyDescent="0.25">
      <c r="A716" t="s">
        <v>5411</v>
      </c>
      <c r="B716" t="s">
        <v>16</v>
      </c>
      <c r="C716" t="s">
        <v>17</v>
      </c>
      <c r="D716">
        <v>19880000</v>
      </c>
      <c r="E716">
        <v>19899999</v>
      </c>
      <c r="F716" t="s">
        <v>654</v>
      </c>
      <c r="G716" t="str">
        <f t="shared" si="22"/>
        <v>SPI II</v>
      </c>
      <c r="H716" t="s">
        <v>19</v>
      </c>
      <c r="I716" t="s">
        <v>20</v>
      </c>
      <c r="J716" t="s">
        <v>64</v>
      </c>
      <c r="K716" s="6">
        <v>0.03</v>
      </c>
      <c r="L716" s="7">
        <f t="shared" si="23"/>
        <v>2E-3</v>
      </c>
      <c r="M716" s="7">
        <v>3.0000000000000001E-3</v>
      </c>
      <c r="N716">
        <v>8</v>
      </c>
      <c r="O716" s="8">
        <v>17.934556092922943</v>
      </c>
      <c r="P716" s="9">
        <v>17.934556092922943</v>
      </c>
      <c r="Q716" s="9">
        <v>17.934556092922943</v>
      </c>
      <c r="R716" s="9">
        <v>18.35577997371016</v>
      </c>
      <c r="S716" s="9">
        <v>18.404835306435746</v>
      </c>
      <c r="T716" s="9">
        <v>19.112621008962602</v>
      </c>
      <c r="U716" s="9">
        <v>20.35176903227914</v>
      </c>
      <c r="V716" s="9">
        <v>20.35176903227914</v>
      </c>
      <c r="W716" s="9">
        <v>20.35176903227914</v>
      </c>
      <c r="X716" s="9">
        <v>19.91589544268896</v>
      </c>
      <c r="Y716" s="9">
        <v>19.91589544268896</v>
      </c>
      <c r="Z716" s="9">
        <v>21.609947773831163</v>
      </c>
      <c r="AA716" s="9">
        <v>21.609947773831163</v>
      </c>
      <c r="AB716" s="9">
        <v>23.372671736151272</v>
      </c>
      <c r="AC716" s="9">
        <v>23.372671736151272</v>
      </c>
      <c r="AD716" s="9">
        <v>26.430826810726163</v>
      </c>
      <c r="AE716" s="9">
        <v>27.959768706413232</v>
      </c>
      <c r="AF716" s="9">
        <v>29.772701744670762</v>
      </c>
      <c r="AG716" s="9">
        <v>29.772701744670762</v>
      </c>
      <c r="AH716" s="9">
        <v>32.589351949315954</v>
      </c>
      <c r="AI716" s="9">
        <v>34.825222308406182</v>
      </c>
      <c r="AJ716" s="9">
        <v>3.0428788910505911</v>
      </c>
    </row>
    <row r="717" spans="1:36" x14ac:dyDescent="0.25">
      <c r="A717" t="s">
        <v>5411</v>
      </c>
      <c r="B717" t="s">
        <v>16</v>
      </c>
      <c r="C717" t="s">
        <v>17</v>
      </c>
      <c r="D717">
        <v>19900000</v>
      </c>
      <c r="E717">
        <v>19919999</v>
      </c>
      <c r="F717" t="s">
        <v>655</v>
      </c>
      <c r="G717" t="str">
        <f t="shared" si="22"/>
        <v>SPI II</v>
      </c>
      <c r="H717" t="s">
        <v>19</v>
      </c>
      <c r="I717" t="s">
        <v>20</v>
      </c>
      <c r="J717" t="s">
        <v>64</v>
      </c>
      <c r="K717" s="6">
        <v>0.03</v>
      </c>
      <c r="L717" s="7">
        <f t="shared" si="23"/>
        <v>2E-3</v>
      </c>
      <c r="M717" s="7">
        <v>3.0000000000000001E-3</v>
      </c>
      <c r="N717">
        <v>8</v>
      </c>
      <c r="O717" s="8">
        <v>17.934556092922943</v>
      </c>
      <c r="P717" s="9">
        <v>17.934556092922943</v>
      </c>
      <c r="Q717" s="9">
        <v>17.934556092922943</v>
      </c>
      <c r="R717" s="9">
        <v>18.35577997371016</v>
      </c>
      <c r="S717" s="9">
        <v>18.404835306435746</v>
      </c>
      <c r="T717" s="9">
        <v>19.112621008962602</v>
      </c>
      <c r="U717" s="9">
        <v>20.35176903227914</v>
      </c>
      <c r="V717" s="9">
        <v>20.35176903227914</v>
      </c>
      <c r="W717" s="9">
        <v>20.35176903227914</v>
      </c>
      <c r="X717" s="9">
        <v>19.91589544268896</v>
      </c>
      <c r="Y717" s="9">
        <v>19.91589544268896</v>
      </c>
      <c r="Z717" s="9">
        <v>21.609947773831163</v>
      </c>
      <c r="AA717" s="9">
        <v>21.609947773831163</v>
      </c>
      <c r="AB717" s="9">
        <v>23.372671736151272</v>
      </c>
      <c r="AC717" s="9">
        <v>23.372671736151272</v>
      </c>
      <c r="AD717" s="9">
        <v>26.430826810726163</v>
      </c>
      <c r="AE717" s="9">
        <v>27.959768706413232</v>
      </c>
      <c r="AF717" s="9">
        <v>29.772701744670762</v>
      </c>
      <c r="AG717" s="9">
        <v>29.772701744670762</v>
      </c>
      <c r="AH717" s="9">
        <v>32.589351949315954</v>
      </c>
      <c r="AI717" s="9">
        <v>34.825222308406182</v>
      </c>
      <c r="AJ717" s="9">
        <v>3.0428788910505911</v>
      </c>
    </row>
    <row r="718" spans="1:36" x14ac:dyDescent="0.25">
      <c r="A718" t="s">
        <v>5411</v>
      </c>
      <c r="B718" t="s">
        <v>16</v>
      </c>
      <c r="C718" t="s">
        <v>17</v>
      </c>
      <c r="D718">
        <v>19920000</v>
      </c>
      <c r="E718">
        <v>19929999</v>
      </c>
      <c r="F718" t="s">
        <v>656</v>
      </c>
      <c r="G718" t="str">
        <f t="shared" si="22"/>
        <v>SPI II</v>
      </c>
      <c r="H718" t="s">
        <v>19</v>
      </c>
      <c r="I718" t="s">
        <v>20</v>
      </c>
      <c r="J718" t="s">
        <v>64</v>
      </c>
      <c r="K718" s="6">
        <v>0.03</v>
      </c>
      <c r="L718" s="7">
        <f t="shared" si="23"/>
        <v>2E-3</v>
      </c>
      <c r="M718" s="7">
        <v>3.0000000000000001E-3</v>
      </c>
      <c r="N718">
        <v>9</v>
      </c>
      <c r="O718" s="8">
        <v>17.934556092922943</v>
      </c>
      <c r="P718" s="9">
        <v>17.934556092922943</v>
      </c>
      <c r="Q718" s="9">
        <v>17.934556092922943</v>
      </c>
      <c r="R718" s="9">
        <v>18.35577997371016</v>
      </c>
      <c r="S718" s="9">
        <v>18.404835306435746</v>
      </c>
      <c r="T718" s="9">
        <v>19.112621008962602</v>
      </c>
      <c r="U718" s="9">
        <v>20.35176903227914</v>
      </c>
      <c r="V718" s="9">
        <v>20.35176903227914</v>
      </c>
      <c r="W718" s="9">
        <v>20.35176903227914</v>
      </c>
      <c r="X718" s="9">
        <v>19.91589544268896</v>
      </c>
      <c r="Y718" s="9">
        <v>19.91589544268896</v>
      </c>
      <c r="Z718" s="9">
        <v>21.609947773831163</v>
      </c>
      <c r="AA718" s="9">
        <v>21.609947773831163</v>
      </c>
      <c r="AB718" s="9">
        <v>23.372671736151272</v>
      </c>
      <c r="AC718" s="9">
        <v>23.372671736151272</v>
      </c>
      <c r="AD718" s="9">
        <v>26.430826810726163</v>
      </c>
      <c r="AE718" s="9">
        <v>27.959768706413232</v>
      </c>
      <c r="AF718" s="9">
        <v>29.772701744670762</v>
      </c>
      <c r="AG718" s="9">
        <v>29.772701744670762</v>
      </c>
      <c r="AH718" s="9">
        <v>32.589351949315954</v>
      </c>
      <c r="AI718" s="9">
        <v>34.825222308406182</v>
      </c>
      <c r="AJ718" s="9">
        <v>3.0428788910505911</v>
      </c>
    </row>
    <row r="719" spans="1:36" x14ac:dyDescent="0.25">
      <c r="A719" t="s">
        <v>5411</v>
      </c>
      <c r="B719" t="s">
        <v>16</v>
      </c>
      <c r="C719" t="s">
        <v>17</v>
      </c>
      <c r="D719">
        <v>19930000</v>
      </c>
      <c r="E719">
        <v>19939999</v>
      </c>
      <c r="F719" t="s">
        <v>657</v>
      </c>
      <c r="G719" t="str">
        <f t="shared" si="22"/>
        <v>SPI II</v>
      </c>
      <c r="H719" t="s">
        <v>19</v>
      </c>
      <c r="I719" t="s">
        <v>20</v>
      </c>
      <c r="J719" t="s">
        <v>64</v>
      </c>
      <c r="K719" s="6">
        <v>0.03</v>
      </c>
      <c r="L719" s="7">
        <f t="shared" si="23"/>
        <v>2E-3</v>
      </c>
      <c r="M719" s="7">
        <v>3.0000000000000001E-3</v>
      </c>
      <c r="N719">
        <v>9</v>
      </c>
      <c r="O719" s="8">
        <v>17.934556092922943</v>
      </c>
      <c r="P719" s="9">
        <v>17.934556092922943</v>
      </c>
      <c r="Q719" s="9">
        <v>17.934556092922943</v>
      </c>
      <c r="R719" s="9">
        <v>18.35577997371016</v>
      </c>
      <c r="S719" s="9">
        <v>18.404835306435746</v>
      </c>
      <c r="T719" s="9">
        <v>19.112621008962602</v>
      </c>
      <c r="U719" s="9">
        <v>20.35176903227914</v>
      </c>
      <c r="V719" s="9">
        <v>20.35176903227914</v>
      </c>
      <c r="W719" s="9">
        <v>20.35176903227914</v>
      </c>
      <c r="X719" s="9">
        <v>19.91589544268896</v>
      </c>
      <c r="Y719" s="9">
        <v>19.91589544268896</v>
      </c>
      <c r="Z719" s="9">
        <v>21.609947773831163</v>
      </c>
      <c r="AA719" s="9">
        <v>21.609947773831163</v>
      </c>
      <c r="AB719" s="9">
        <v>23.372671736151272</v>
      </c>
      <c r="AC719" s="9">
        <v>23.372671736151272</v>
      </c>
      <c r="AD719" s="9">
        <v>26.430826810726163</v>
      </c>
      <c r="AE719" s="9">
        <v>27.959768706413232</v>
      </c>
      <c r="AF719" s="9">
        <v>29.772701744670762</v>
      </c>
      <c r="AG719" s="9">
        <v>29.772701744670762</v>
      </c>
      <c r="AH719" s="9">
        <v>32.589351949315954</v>
      </c>
      <c r="AI719" s="9">
        <v>34.825222308406182</v>
      </c>
      <c r="AJ719" s="9">
        <v>3.0428788910505911</v>
      </c>
    </row>
    <row r="720" spans="1:36" x14ac:dyDescent="0.25">
      <c r="A720" t="s">
        <v>5411</v>
      </c>
      <c r="B720" t="s">
        <v>16</v>
      </c>
      <c r="C720" t="s">
        <v>17</v>
      </c>
      <c r="D720">
        <v>19940000</v>
      </c>
      <c r="E720">
        <v>19959999</v>
      </c>
      <c r="F720" t="s">
        <v>658</v>
      </c>
      <c r="G720" t="str">
        <f t="shared" si="22"/>
        <v>SPI II</v>
      </c>
      <c r="H720" t="s">
        <v>19</v>
      </c>
      <c r="I720" t="s">
        <v>20</v>
      </c>
      <c r="J720" t="s">
        <v>64</v>
      </c>
      <c r="K720" s="6">
        <v>0.03</v>
      </c>
      <c r="L720" s="7">
        <f t="shared" si="23"/>
        <v>2E-3</v>
      </c>
      <c r="M720" s="7">
        <v>3.0000000000000001E-3</v>
      </c>
      <c r="N720">
        <v>8</v>
      </c>
      <c r="O720" s="8">
        <v>17.934556092922943</v>
      </c>
      <c r="P720" s="9">
        <v>17.934556092922943</v>
      </c>
      <c r="Q720" s="9">
        <v>17.934556092922943</v>
      </c>
      <c r="R720" s="9">
        <v>18.35577997371016</v>
      </c>
      <c r="S720" s="9">
        <v>18.404835306435746</v>
      </c>
      <c r="T720" s="9">
        <v>19.112621008962602</v>
      </c>
      <c r="U720" s="9">
        <v>20.35176903227914</v>
      </c>
      <c r="V720" s="9">
        <v>20.35176903227914</v>
      </c>
      <c r="W720" s="9">
        <v>20.35176903227914</v>
      </c>
      <c r="X720" s="9">
        <v>19.91589544268896</v>
      </c>
      <c r="Y720" s="9">
        <v>19.91589544268896</v>
      </c>
      <c r="Z720" s="9">
        <v>21.609947773831163</v>
      </c>
      <c r="AA720" s="9">
        <v>21.609947773831163</v>
      </c>
      <c r="AB720" s="9">
        <v>23.372671736151272</v>
      </c>
      <c r="AC720" s="9">
        <v>23.372671736151272</v>
      </c>
      <c r="AD720" s="9">
        <v>26.430826810726163</v>
      </c>
      <c r="AE720" s="9">
        <v>27.959768706413232</v>
      </c>
      <c r="AF720" s="9">
        <v>29.772701744670762</v>
      </c>
      <c r="AG720" s="9">
        <v>29.772701744670762</v>
      </c>
      <c r="AH720" s="9">
        <v>32.589351949315954</v>
      </c>
      <c r="AI720" s="9">
        <v>34.825222308406182</v>
      </c>
      <c r="AJ720" s="9">
        <v>3.0428788910505911</v>
      </c>
    </row>
    <row r="721" spans="1:36" x14ac:dyDescent="0.25">
      <c r="A721" t="s">
        <v>5411</v>
      </c>
      <c r="B721" t="s">
        <v>16</v>
      </c>
      <c r="C721" t="s">
        <v>17</v>
      </c>
      <c r="D721">
        <v>19960000</v>
      </c>
      <c r="E721">
        <v>19969999</v>
      </c>
      <c r="F721" t="s">
        <v>659</v>
      </c>
      <c r="G721" t="str">
        <f t="shared" si="22"/>
        <v>SPI II</v>
      </c>
      <c r="H721" t="s">
        <v>19</v>
      </c>
      <c r="I721" t="s">
        <v>20</v>
      </c>
      <c r="J721" t="s">
        <v>64</v>
      </c>
      <c r="K721" s="6">
        <v>0.03</v>
      </c>
      <c r="L721" s="7">
        <f t="shared" si="23"/>
        <v>2E-3</v>
      </c>
      <c r="M721" s="7">
        <v>3.0000000000000001E-3</v>
      </c>
      <c r="N721">
        <v>9</v>
      </c>
      <c r="O721" s="8">
        <v>17.934556092922943</v>
      </c>
      <c r="P721" s="9">
        <v>17.934556092922943</v>
      </c>
      <c r="Q721" s="9">
        <v>17.934556092922943</v>
      </c>
      <c r="R721" s="9">
        <v>18.35577997371016</v>
      </c>
      <c r="S721" s="9">
        <v>18.404835306435746</v>
      </c>
      <c r="T721" s="9">
        <v>19.112621008962602</v>
      </c>
      <c r="U721" s="9">
        <v>20.35176903227914</v>
      </c>
      <c r="V721" s="9">
        <v>20.35176903227914</v>
      </c>
      <c r="W721" s="9">
        <v>20.35176903227914</v>
      </c>
      <c r="X721" s="9">
        <v>19.91589544268896</v>
      </c>
      <c r="Y721" s="9">
        <v>19.91589544268896</v>
      </c>
      <c r="Z721" s="9">
        <v>21.609947773831163</v>
      </c>
      <c r="AA721" s="9">
        <v>21.609947773831163</v>
      </c>
      <c r="AB721" s="9">
        <v>23.372671736151272</v>
      </c>
      <c r="AC721" s="9">
        <v>23.372671736151272</v>
      </c>
      <c r="AD721" s="9">
        <v>26.430826810726163</v>
      </c>
      <c r="AE721" s="9">
        <v>27.959768706413232</v>
      </c>
      <c r="AF721" s="9">
        <v>29.772701744670762</v>
      </c>
      <c r="AG721" s="9">
        <v>29.772701744670762</v>
      </c>
      <c r="AH721" s="9">
        <v>32.589351949315954</v>
      </c>
      <c r="AI721" s="9">
        <v>34.825222308406182</v>
      </c>
      <c r="AJ721" s="9">
        <v>3.0428788910505911</v>
      </c>
    </row>
    <row r="722" spans="1:36" x14ac:dyDescent="0.25">
      <c r="A722" t="s">
        <v>5411</v>
      </c>
      <c r="B722" t="s">
        <v>16</v>
      </c>
      <c r="C722" t="s">
        <v>17</v>
      </c>
      <c r="D722">
        <v>19970000</v>
      </c>
      <c r="E722">
        <v>19989999</v>
      </c>
      <c r="F722" t="s">
        <v>660</v>
      </c>
      <c r="G722" t="str">
        <f t="shared" si="22"/>
        <v>SPI II</v>
      </c>
      <c r="H722" t="s">
        <v>19</v>
      </c>
      <c r="I722" t="s">
        <v>20</v>
      </c>
      <c r="J722" t="s">
        <v>64</v>
      </c>
      <c r="K722" s="6">
        <v>0.03</v>
      </c>
      <c r="L722" s="7">
        <f t="shared" si="23"/>
        <v>2E-3</v>
      </c>
      <c r="M722" s="7">
        <v>3.0000000000000001E-3</v>
      </c>
      <c r="N722">
        <v>6</v>
      </c>
      <c r="O722" s="8">
        <v>17.934556092922943</v>
      </c>
      <c r="P722" s="9">
        <v>17.934556092922943</v>
      </c>
      <c r="Q722" s="9">
        <v>17.934556092922943</v>
      </c>
      <c r="R722" s="9">
        <v>18.35577997371016</v>
      </c>
      <c r="S722" s="9">
        <v>18.404835306435746</v>
      </c>
      <c r="T722" s="9">
        <v>19.112621008962602</v>
      </c>
      <c r="U722" s="9">
        <v>20.35176903227914</v>
      </c>
      <c r="V722" s="9">
        <v>20.35176903227914</v>
      </c>
      <c r="W722" s="9">
        <v>20.35176903227914</v>
      </c>
      <c r="X722" s="9">
        <v>19.91589544268896</v>
      </c>
      <c r="Y722" s="9">
        <v>19.91589544268896</v>
      </c>
      <c r="Z722" s="9">
        <v>21.609947773831163</v>
      </c>
      <c r="AA722" s="9">
        <v>21.609947773831163</v>
      </c>
      <c r="AB722" s="9">
        <v>23.372671736151272</v>
      </c>
      <c r="AC722" s="9">
        <v>23.372671736151272</v>
      </c>
      <c r="AD722" s="9">
        <v>26.430826810726163</v>
      </c>
      <c r="AE722" s="9">
        <v>27.959768706413232</v>
      </c>
      <c r="AF722" s="9">
        <v>29.772701744670762</v>
      </c>
      <c r="AG722" s="9">
        <v>29.772701744670762</v>
      </c>
      <c r="AH722" s="9">
        <v>32.589351949315954</v>
      </c>
      <c r="AI722" s="9">
        <v>34.825222308406182</v>
      </c>
      <c r="AJ722" s="9">
        <v>3.0428788910505911</v>
      </c>
    </row>
    <row r="723" spans="1:36" x14ac:dyDescent="0.25">
      <c r="A723" t="s">
        <v>5411</v>
      </c>
      <c r="B723" t="s">
        <v>16</v>
      </c>
      <c r="C723" t="s">
        <v>17</v>
      </c>
      <c r="D723">
        <v>19990000</v>
      </c>
      <c r="E723">
        <v>19999999</v>
      </c>
      <c r="F723" t="s">
        <v>661</v>
      </c>
      <c r="G723" t="str">
        <f t="shared" si="22"/>
        <v>SPI II</v>
      </c>
      <c r="H723" t="s">
        <v>19</v>
      </c>
      <c r="I723" t="s">
        <v>20</v>
      </c>
      <c r="J723" t="s">
        <v>64</v>
      </c>
      <c r="K723" s="6">
        <v>0.03</v>
      </c>
      <c r="L723" s="7">
        <f t="shared" si="23"/>
        <v>2E-3</v>
      </c>
      <c r="M723" s="7">
        <v>3.0000000000000001E-3</v>
      </c>
      <c r="N723">
        <v>6</v>
      </c>
      <c r="O723" s="8">
        <v>17.934556092922943</v>
      </c>
      <c r="P723" s="9">
        <v>17.934556092922943</v>
      </c>
      <c r="Q723" s="9">
        <v>17.934556092922943</v>
      </c>
      <c r="R723" s="9">
        <v>18.35577997371016</v>
      </c>
      <c r="S723" s="9">
        <v>18.404835306435746</v>
      </c>
      <c r="T723" s="9">
        <v>19.112621008962602</v>
      </c>
      <c r="U723" s="9">
        <v>20.35176903227914</v>
      </c>
      <c r="V723" s="9">
        <v>20.35176903227914</v>
      </c>
      <c r="W723" s="9">
        <v>20.35176903227914</v>
      </c>
      <c r="X723" s="9">
        <v>19.91589544268896</v>
      </c>
      <c r="Y723" s="9">
        <v>19.91589544268896</v>
      </c>
      <c r="Z723" s="9">
        <v>21.609947773831163</v>
      </c>
      <c r="AA723" s="9">
        <v>21.609947773831163</v>
      </c>
      <c r="AB723" s="9">
        <v>23.372671736151272</v>
      </c>
      <c r="AC723" s="9">
        <v>23.372671736151272</v>
      </c>
      <c r="AD723" s="9">
        <v>26.430826810726163</v>
      </c>
      <c r="AE723" s="9">
        <v>27.959768706413232</v>
      </c>
      <c r="AF723" s="9">
        <v>29.772701744670762</v>
      </c>
      <c r="AG723" s="9">
        <v>29.772701744670762</v>
      </c>
      <c r="AH723" s="9">
        <v>32.589351949315954</v>
      </c>
      <c r="AI723" s="9">
        <v>34.825222308406182</v>
      </c>
      <c r="AJ723" s="9">
        <v>3.0428788910505911</v>
      </c>
    </row>
    <row r="724" spans="1:36" x14ac:dyDescent="0.25">
      <c r="A724" t="s">
        <v>5411</v>
      </c>
      <c r="B724" t="s">
        <v>16</v>
      </c>
      <c r="C724" t="s">
        <v>17</v>
      </c>
      <c r="D724">
        <v>20000000</v>
      </c>
      <c r="E724">
        <v>20099999</v>
      </c>
      <c r="F724" t="s">
        <v>662</v>
      </c>
      <c r="G724" t="str">
        <f t="shared" si="22"/>
        <v>RJC</v>
      </c>
      <c r="H724" t="s">
        <v>663</v>
      </c>
      <c r="I724" t="s">
        <v>22</v>
      </c>
      <c r="J724" t="s">
        <v>21</v>
      </c>
      <c r="K724" s="6">
        <v>0.03</v>
      </c>
      <c r="L724" s="7">
        <f t="shared" si="23"/>
        <v>0.03</v>
      </c>
      <c r="M724" s="7">
        <v>3.0000000000000001E-3</v>
      </c>
      <c r="N724">
        <v>6</v>
      </c>
      <c r="O724" s="8">
        <v>10.849677748364684</v>
      </c>
      <c r="P724" s="9">
        <v>10.849677748364684</v>
      </c>
      <c r="Q724" s="9">
        <v>10.849677748364684</v>
      </c>
      <c r="R724" s="9">
        <v>11.170722907780601</v>
      </c>
      <c r="S724" s="9">
        <v>11.492217929976764</v>
      </c>
      <c r="T724" s="9">
        <v>11.883294545064322</v>
      </c>
      <c r="U724" s="9">
        <v>13.000297731326581</v>
      </c>
      <c r="V724" s="9">
        <v>13.000297731326581</v>
      </c>
      <c r="W724" s="9">
        <v>13.000297731326581</v>
      </c>
      <c r="X724" s="9">
        <v>14.958198549450643</v>
      </c>
      <c r="Y724" s="9">
        <v>14.958198549450643</v>
      </c>
      <c r="Z724" s="9">
        <v>17.051363746786457</v>
      </c>
      <c r="AA724" s="9">
        <v>17.051363746786457</v>
      </c>
      <c r="AB724" s="9">
        <v>19.346970753451323</v>
      </c>
      <c r="AC724" s="9">
        <v>19.346970753451323</v>
      </c>
      <c r="AD724" s="9">
        <v>21.432573204379402</v>
      </c>
      <c r="AE724" s="9">
        <v>23.588481528315008</v>
      </c>
      <c r="AF724" s="9">
        <v>25.821726312558901</v>
      </c>
      <c r="AG724" s="9">
        <v>25.821726312558901</v>
      </c>
      <c r="AH724" s="9">
        <v>28.140041203141894</v>
      </c>
      <c r="AI724" s="9">
        <v>30.066669018394961</v>
      </c>
      <c r="AJ724" s="9">
        <v>3.0428788910505911</v>
      </c>
    </row>
    <row r="725" spans="1:36" x14ac:dyDescent="0.25">
      <c r="A725" t="s">
        <v>5411</v>
      </c>
      <c r="B725" t="s">
        <v>16</v>
      </c>
      <c r="C725" t="s">
        <v>17</v>
      </c>
      <c r="D725">
        <v>20100000</v>
      </c>
      <c r="E725">
        <v>20199999</v>
      </c>
      <c r="F725" t="s">
        <v>662</v>
      </c>
      <c r="G725" t="str">
        <f t="shared" si="22"/>
        <v>RJR</v>
      </c>
      <c r="H725" t="s">
        <v>663</v>
      </c>
      <c r="I725" t="s">
        <v>22</v>
      </c>
      <c r="J725" t="s">
        <v>77</v>
      </c>
      <c r="K725" s="6">
        <v>0.03</v>
      </c>
      <c r="L725" s="7">
        <f t="shared" si="23"/>
        <v>0.03</v>
      </c>
      <c r="M725" s="7">
        <v>3.0000000000000001E-3</v>
      </c>
      <c r="N725">
        <v>17</v>
      </c>
      <c r="O725" s="8">
        <v>27.759279108538067</v>
      </c>
      <c r="P725" s="9">
        <v>27.759279108538067</v>
      </c>
      <c r="Q725" s="9">
        <v>27.759279108538067</v>
      </c>
      <c r="R725" s="9">
        <v>28.909938214135668</v>
      </c>
      <c r="S725" s="9">
        <v>29.129746609556125</v>
      </c>
      <c r="T725" s="9">
        <v>29.885241910517856</v>
      </c>
      <c r="U725" s="9">
        <v>31.387298550026539</v>
      </c>
      <c r="V725" s="9">
        <v>31.387298550026539</v>
      </c>
      <c r="W725" s="9">
        <v>31.387298550026539</v>
      </c>
      <c r="X725" s="9">
        <v>34.262376337518653</v>
      </c>
      <c r="Y725" s="9">
        <v>34.262376337518653</v>
      </c>
      <c r="Z725" s="9">
        <v>37.290012030342261</v>
      </c>
      <c r="AA725" s="9">
        <v>37.290012030342261</v>
      </c>
      <c r="AB725" s="9">
        <v>40.470361633702204</v>
      </c>
      <c r="AC725" s="9">
        <v>40.470361633702204</v>
      </c>
      <c r="AD725" s="9">
        <v>44.305029050310999</v>
      </c>
      <c r="AE725" s="9">
        <v>48.34275103891602</v>
      </c>
      <c r="AF725" s="9">
        <v>52.603833056716866</v>
      </c>
      <c r="AG725" s="9">
        <v>52.603833056716866</v>
      </c>
      <c r="AH725" s="9">
        <v>57.633590453735039</v>
      </c>
      <c r="AI725" s="9">
        <v>62.933613486080198</v>
      </c>
      <c r="AJ725" s="9">
        <v>3.0428788910505911</v>
      </c>
    </row>
    <row r="726" spans="1:36" x14ac:dyDescent="0.25">
      <c r="A726" t="s">
        <v>5411</v>
      </c>
      <c r="B726" t="s">
        <v>16</v>
      </c>
      <c r="C726" t="s">
        <v>17</v>
      </c>
      <c r="D726">
        <v>20200000</v>
      </c>
      <c r="E726">
        <v>20299999</v>
      </c>
      <c r="F726" t="s">
        <v>662</v>
      </c>
      <c r="G726" t="str">
        <f t="shared" si="22"/>
        <v>RJC</v>
      </c>
      <c r="H726" t="s">
        <v>663</v>
      </c>
      <c r="I726" t="s">
        <v>22</v>
      </c>
      <c r="J726" t="s">
        <v>21</v>
      </c>
      <c r="K726" s="6">
        <v>0.03</v>
      </c>
      <c r="L726" s="7">
        <f t="shared" si="23"/>
        <v>0.03</v>
      </c>
      <c r="M726" s="7">
        <v>3.0000000000000001E-3</v>
      </c>
      <c r="N726">
        <v>6</v>
      </c>
      <c r="O726" s="8">
        <v>10.849677748364684</v>
      </c>
      <c r="P726" s="9">
        <v>10.849677748364684</v>
      </c>
      <c r="Q726" s="9">
        <v>10.849677748364684</v>
      </c>
      <c r="R726" s="9">
        <v>11.170722907780601</v>
      </c>
      <c r="S726" s="9">
        <v>11.492217929976764</v>
      </c>
      <c r="T726" s="9">
        <v>11.883294545064322</v>
      </c>
      <c r="U726" s="9">
        <v>13.000297731326581</v>
      </c>
      <c r="V726" s="9">
        <v>13.000297731326581</v>
      </c>
      <c r="W726" s="9">
        <v>13.000297731326581</v>
      </c>
      <c r="X726" s="9">
        <v>14.958198549450643</v>
      </c>
      <c r="Y726" s="9">
        <v>14.958198549450643</v>
      </c>
      <c r="Z726" s="9">
        <v>17.051363746786457</v>
      </c>
      <c r="AA726" s="9">
        <v>17.051363746786457</v>
      </c>
      <c r="AB726" s="9">
        <v>19.346970753451323</v>
      </c>
      <c r="AC726" s="9">
        <v>19.346970753451323</v>
      </c>
      <c r="AD726" s="9">
        <v>21.432573204379402</v>
      </c>
      <c r="AE726" s="9">
        <v>23.588481528315008</v>
      </c>
      <c r="AF726" s="9">
        <v>25.821726312558901</v>
      </c>
      <c r="AG726" s="9">
        <v>25.821726312558901</v>
      </c>
      <c r="AH726" s="9">
        <v>28.140041203141894</v>
      </c>
      <c r="AI726" s="9">
        <v>30.066669018394961</v>
      </c>
      <c r="AJ726" s="9">
        <v>3.0428788910505911</v>
      </c>
    </row>
    <row r="727" spans="1:36" x14ac:dyDescent="0.25">
      <c r="A727" t="s">
        <v>5411</v>
      </c>
      <c r="B727" t="s">
        <v>16</v>
      </c>
      <c r="C727" t="s">
        <v>17</v>
      </c>
      <c r="D727">
        <v>20300000</v>
      </c>
      <c r="E727">
        <v>20499999</v>
      </c>
      <c r="F727" t="s">
        <v>662</v>
      </c>
      <c r="G727" t="str">
        <f t="shared" si="22"/>
        <v>RJR</v>
      </c>
      <c r="H727" t="s">
        <v>663</v>
      </c>
      <c r="I727" t="s">
        <v>22</v>
      </c>
      <c r="J727" t="s">
        <v>77</v>
      </c>
      <c r="K727" s="6">
        <v>0.03</v>
      </c>
      <c r="L727" s="7">
        <f t="shared" si="23"/>
        <v>0.03</v>
      </c>
      <c r="M727" s="7">
        <v>3.0000000000000001E-3</v>
      </c>
      <c r="N727">
        <v>17</v>
      </c>
      <c r="O727" s="8">
        <v>27.759279108538067</v>
      </c>
      <c r="P727" s="9">
        <v>27.759279108538067</v>
      </c>
      <c r="Q727" s="9">
        <v>27.759279108538067</v>
      </c>
      <c r="R727" s="9">
        <v>28.909938214135668</v>
      </c>
      <c r="S727" s="9">
        <v>29.129746609556125</v>
      </c>
      <c r="T727" s="9">
        <v>29.885241910517856</v>
      </c>
      <c r="U727" s="9">
        <v>31.387298550026539</v>
      </c>
      <c r="V727" s="9">
        <v>31.387298550026539</v>
      </c>
      <c r="W727" s="9">
        <v>31.387298550026539</v>
      </c>
      <c r="X727" s="9">
        <v>34.262376337518653</v>
      </c>
      <c r="Y727" s="9">
        <v>34.262376337518653</v>
      </c>
      <c r="Z727" s="9">
        <v>37.290012030342261</v>
      </c>
      <c r="AA727" s="9">
        <v>37.290012030342261</v>
      </c>
      <c r="AB727" s="9">
        <v>40.470361633702204</v>
      </c>
      <c r="AC727" s="9">
        <v>40.470361633702204</v>
      </c>
      <c r="AD727" s="9">
        <v>44.305029050310999</v>
      </c>
      <c r="AE727" s="9">
        <v>48.34275103891602</v>
      </c>
      <c r="AF727" s="9">
        <v>52.603833056716866</v>
      </c>
      <c r="AG727" s="9">
        <v>52.603833056716866</v>
      </c>
      <c r="AH727" s="9">
        <v>57.633590453735039</v>
      </c>
      <c r="AI727" s="9">
        <v>62.933613486080198</v>
      </c>
      <c r="AJ727" s="9">
        <v>3.0428788910505911</v>
      </c>
    </row>
    <row r="728" spans="1:36" x14ac:dyDescent="0.25">
      <c r="A728" t="s">
        <v>5411</v>
      </c>
      <c r="B728" t="s">
        <v>16</v>
      </c>
      <c r="C728" t="s">
        <v>17</v>
      </c>
      <c r="D728">
        <v>20500000</v>
      </c>
      <c r="E728">
        <v>20599999</v>
      </c>
      <c r="F728" t="s">
        <v>662</v>
      </c>
      <c r="G728" t="str">
        <f t="shared" si="22"/>
        <v>RJC</v>
      </c>
      <c r="H728" t="s">
        <v>663</v>
      </c>
      <c r="I728" t="s">
        <v>22</v>
      </c>
      <c r="J728" t="s">
        <v>21</v>
      </c>
      <c r="K728" s="6">
        <v>0.03</v>
      </c>
      <c r="L728" s="7">
        <f t="shared" si="23"/>
        <v>0.03</v>
      </c>
      <c r="M728" s="7">
        <v>3.0000000000000001E-3</v>
      </c>
      <c r="N728">
        <v>6</v>
      </c>
      <c r="O728" s="8">
        <v>10.849677748364684</v>
      </c>
      <c r="P728" s="9">
        <v>10.849677748364684</v>
      </c>
      <c r="Q728" s="9">
        <v>10.849677748364684</v>
      </c>
      <c r="R728" s="9">
        <v>11.170722907780601</v>
      </c>
      <c r="S728" s="9">
        <v>11.492217929976764</v>
      </c>
      <c r="T728" s="9">
        <v>11.883294545064322</v>
      </c>
      <c r="U728" s="9">
        <v>13.000297731326581</v>
      </c>
      <c r="V728" s="9">
        <v>13.000297731326581</v>
      </c>
      <c r="W728" s="9">
        <v>13.000297731326581</v>
      </c>
      <c r="X728" s="9">
        <v>14.958198549450643</v>
      </c>
      <c r="Y728" s="9">
        <v>14.958198549450643</v>
      </c>
      <c r="Z728" s="9">
        <v>17.051363746786457</v>
      </c>
      <c r="AA728" s="9">
        <v>17.051363746786457</v>
      </c>
      <c r="AB728" s="9">
        <v>19.346970753451323</v>
      </c>
      <c r="AC728" s="9">
        <v>19.346970753451323</v>
      </c>
      <c r="AD728" s="9">
        <v>21.432573204379402</v>
      </c>
      <c r="AE728" s="9">
        <v>23.588481528315008</v>
      </c>
      <c r="AF728" s="9">
        <v>25.821726312558901</v>
      </c>
      <c r="AG728" s="9">
        <v>25.821726312558901</v>
      </c>
      <c r="AH728" s="9">
        <v>28.140041203141894</v>
      </c>
      <c r="AI728" s="9">
        <v>30.066669018394961</v>
      </c>
      <c r="AJ728" s="9">
        <v>3.0428788910505911</v>
      </c>
    </row>
    <row r="729" spans="1:36" x14ac:dyDescent="0.25">
      <c r="A729" t="s">
        <v>5411</v>
      </c>
      <c r="B729" t="s">
        <v>16</v>
      </c>
      <c r="C729" t="s">
        <v>17</v>
      </c>
      <c r="D729">
        <v>20600000</v>
      </c>
      <c r="E729">
        <v>20799999</v>
      </c>
      <c r="F729" t="s">
        <v>662</v>
      </c>
      <c r="G729" t="str">
        <f t="shared" si="22"/>
        <v>RJC</v>
      </c>
      <c r="H729" t="s">
        <v>663</v>
      </c>
      <c r="I729" t="s">
        <v>22</v>
      </c>
      <c r="J729" t="s">
        <v>21</v>
      </c>
      <c r="K729" s="6">
        <v>0.03</v>
      </c>
      <c r="L729" s="7">
        <f t="shared" si="23"/>
        <v>0.03</v>
      </c>
      <c r="M729" s="7">
        <v>3.0000000000000001E-3</v>
      </c>
      <c r="N729">
        <v>6</v>
      </c>
      <c r="O729" s="8">
        <v>10.849677748364684</v>
      </c>
      <c r="P729" s="9">
        <v>10.849677748364684</v>
      </c>
      <c r="Q729" s="9">
        <v>10.849677748364684</v>
      </c>
      <c r="R729" s="9">
        <v>11.170722907780601</v>
      </c>
      <c r="S729" s="9">
        <v>11.492217929976764</v>
      </c>
      <c r="T729" s="9">
        <v>11.883294545064322</v>
      </c>
      <c r="U729" s="9">
        <v>13.000297731326581</v>
      </c>
      <c r="V729" s="9">
        <v>13.000297731326581</v>
      </c>
      <c r="W729" s="9">
        <v>13.000297731326581</v>
      </c>
      <c r="X729" s="9">
        <v>14.958198549450643</v>
      </c>
      <c r="Y729" s="9">
        <v>14.958198549450643</v>
      </c>
      <c r="Z729" s="9">
        <v>17.051363746786457</v>
      </c>
      <c r="AA729" s="9">
        <v>17.051363746786457</v>
      </c>
      <c r="AB729" s="9">
        <v>19.346970753451323</v>
      </c>
      <c r="AC729" s="9">
        <v>19.346970753451323</v>
      </c>
      <c r="AD729" s="9">
        <v>21.432573204379402</v>
      </c>
      <c r="AE729" s="9">
        <v>23.588481528315008</v>
      </c>
      <c r="AF729" s="9">
        <v>25.821726312558901</v>
      </c>
      <c r="AG729" s="9">
        <v>25.821726312558901</v>
      </c>
      <c r="AH729" s="9">
        <v>28.140041203141894</v>
      </c>
      <c r="AI729" s="9">
        <v>30.066669018394961</v>
      </c>
      <c r="AJ729" s="9">
        <v>3.0428788910505911</v>
      </c>
    </row>
    <row r="730" spans="1:36" x14ac:dyDescent="0.25">
      <c r="A730" t="s">
        <v>5411</v>
      </c>
      <c r="B730" t="s">
        <v>16</v>
      </c>
      <c r="C730" t="s">
        <v>17</v>
      </c>
      <c r="D730">
        <v>20800000</v>
      </c>
      <c r="E730">
        <v>20948899</v>
      </c>
      <c r="F730" t="s">
        <v>662</v>
      </c>
      <c r="G730" t="str">
        <f t="shared" si="22"/>
        <v>RJC</v>
      </c>
      <c r="H730" t="s">
        <v>663</v>
      </c>
      <c r="I730" t="s">
        <v>22</v>
      </c>
      <c r="J730" t="s">
        <v>21</v>
      </c>
      <c r="K730" s="6">
        <v>0.03</v>
      </c>
      <c r="L730" s="7">
        <f t="shared" si="23"/>
        <v>0.03</v>
      </c>
      <c r="M730" s="7">
        <v>3.0000000000000001E-3</v>
      </c>
      <c r="N730">
        <v>6</v>
      </c>
      <c r="O730" s="8">
        <v>10.849677748364684</v>
      </c>
      <c r="P730" s="9">
        <v>10.849677748364684</v>
      </c>
      <c r="Q730" s="9">
        <v>10.849677748364684</v>
      </c>
      <c r="R730" s="9">
        <v>11.170722907780601</v>
      </c>
      <c r="S730" s="9">
        <v>11.492217929976764</v>
      </c>
      <c r="T730" s="9">
        <v>11.883294545064322</v>
      </c>
      <c r="U730" s="9">
        <v>13.000297731326581</v>
      </c>
      <c r="V730" s="9">
        <v>13.000297731326581</v>
      </c>
      <c r="W730" s="9">
        <v>13.000297731326581</v>
      </c>
      <c r="X730" s="9">
        <v>14.958198549450643</v>
      </c>
      <c r="Y730" s="9">
        <v>14.958198549450643</v>
      </c>
      <c r="Z730" s="9">
        <v>17.051363746786457</v>
      </c>
      <c r="AA730" s="9">
        <v>17.051363746786457</v>
      </c>
      <c r="AB730" s="9">
        <v>19.346970753451323</v>
      </c>
      <c r="AC730" s="9">
        <v>19.346970753451323</v>
      </c>
      <c r="AD730" s="9">
        <v>21.432573204379402</v>
      </c>
      <c r="AE730" s="9">
        <v>23.588481528315008</v>
      </c>
      <c r="AF730" s="9">
        <v>25.821726312558901</v>
      </c>
      <c r="AG730" s="9">
        <v>25.821726312558901</v>
      </c>
      <c r="AH730" s="9">
        <v>28.140041203141894</v>
      </c>
      <c r="AI730" s="9">
        <v>30.066669018394961</v>
      </c>
      <c r="AJ730" s="9">
        <v>3.0428788910505911</v>
      </c>
    </row>
    <row r="731" spans="1:36" x14ac:dyDescent="0.25">
      <c r="A731" t="s">
        <v>5411</v>
      </c>
      <c r="B731" t="s">
        <v>16</v>
      </c>
      <c r="C731" t="s">
        <v>17</v>
      </c>
      <c r="D731">
        <v>20948900</v>
      </c>
      <c r="E731">
        <v>20999999</v>
      </c>
      <c r="F731" t="s">
        <v>662</v>
      </c>
      <c r="G731" t="str">
        <f t="shared" si="22"/>
        <v>RJC</v>
      </c>
      <c r="H731" t="s">
        <v>663</v>
      </c>
      <c r="I731" t="s">
        <v>20</v>
      </c>
      <c r="J731" t="s">
        <v>21</v>
      </c>
      <c r="K731" s="6">
        <v>0.03</v>
      </c>
      <c r="L731" s="7">
        <f t="shared" si="23"/>
        <v>2E-3</v>
      </c>
      <c r="M731" s="7">
        <v>3.0000000000000001E-3</v>
      </c>
      <c r="N731">
        <v>6</v>
      </c>
      <c r="O731" s="8">
        <v>10.849677748364684</v>
      </c>
      <c r="P731" s="9">
        <v>10.849677748364684</v>
      </c>
      <c r="Q731" s="9">
        <v>10.849677748364684</v>
      </c>
      <c r="R731" s="9">
        <v>11.170722907780601</v>
      </c>
      <c r="S731" s="9">
        <v>11.492217929976764</v>
      </c>
      <c r="T731" s="9">
        <v>11.883294545064322</v>
      </c>
      <c r="U731" s="9">
        <v>13.000297731326581</v>
      </c>
      <c r="V731" s="9">
        <v>13.000297731326581</v>
      </c>
      <c r="W731" s="9">
        <v>13.000297731326581</v>
      </c>
      <c r="X731" s="9">
        <v>14.958198549450643</v>
      </c>
      <c r="Y731" s="9">
        <v>14.958198549450643</v>
      </c>
      <c r="Z731" s="9">
        <v>17.051363746786457</v>
      </c>
      <c r="AA731" s="9">
        <v>17.051363746786457</v>
      </c>
      <c r="AB731" s="9">
        <v>19.346970753451323</v>
      </c>
      <c r="AC731" s="9">
        <v>19.346970753451323</v>
      </c>
      <c r="AD731" s="9">
        <v>21.432573204379402</v>
      </c>
      <c r="AE731" s="9">
        <v>23.588481528315008</v>
      </c>
      <c r="AF731" s="9">
        <v>25.821726312558901</v>
      </c>
      <c r="AG731" s="9">
        <v>25.821726312558901</v>
      </c>
      <c r="AH731" s="9">
        <v>28.140041203141894</v>
      </c>
      <c r="AI731" s="9">
        <v>30.066669018394961</v>
      </c>
      <c r="AJ731" s="9">
        <v>3.0428788910505911</v>
      </c>
    </row>
    <row r="732" spans="1:36" x14ac:dyDescent="0.25">
      <c r="A732" t="s">
        <v>5411</v>
      </c>
      <c r="B732" t="s">
        <v>16</v>
      </c>
      <c r="C732" t="s">
        <v>17</v>
      </c>
      <c r="D732">
        <v>21000000</v>
      </c>
      <c r="E732">
        <v>21099999</v>
      </c>
      <c r="F732" t="s">
        <v>662</v>
      </c>
      <c r="G732" t="str">
        <f t="shared" si="22"/>
        <v>RJC</v>
      </c>
      <c r="H732" t="s">
        <v>663</v>
      </c>
      <c r="I732" t="s">
        <v>22</v>
      </c>
      <c r="J732" t="s">
        <v>21</v>
      </c>
      <c r="K732" s="6">
        <v>0.03</v>
      </c>
      <c r="L732" s="7">
        <f t="shared" si="23"/>
        <v>0.03</v>
      </c>
      <c r="M732" s="7">
        <v>3.0000000000000001E-3</v>
      </c>
      <c r="N732">
        <v>6</v>
      </c>
      <c r="O732" s="8">
        <v>10.849677748364684</v>
      </c>
      <c r="P732" s="9">
        <v>10.849677748364684</v>
      </c>
      <c r="Q732" s="9">
        <v>10.849677748364684</v>
      </c>
      <c r="R732" s="9">
        <v>11.170722907780601</v>
      </c>
      <c r="S732" s="9">
        <v>11.492217929976764</v>
      </c>
      <c r="T732" s="9">
        <v>11.883294545064322</v>
      </c>
      <c r="U732" s="9">
        <v>13.000297731326581</v>
      </c>
      <c r="V732" s="9">
        <v>13.000297731326581</v>
      </c>
      <c r="W732" s="9">
        <v>13.000297731326581</v>
      </c>
      <c r="X732" s="9">
        <v>14.958198549450643</v>
      </c>
      <c r="Y732" s="9">
        <v>14.958198549450643</v>
      </c>
      <c r="Z732" s="9">
        <v>17.051363746786457</v>
      </c>
      <c r="AA732" s="9">
        <v>17.051363746786457</v>
      </c>
      <c r="AB732" s="9">
        <v>19.346970753451323</v>
      </c>
      <c r="AC732" s="9">
        <v>19.346970753451323</v>
      </c>
      <c r="AD732" s="9">
        <v>21.432573204379402</v>
      </c>
      <c r="AE732" s="9">
        <v>23.588481528315008</v>
      </c>
      <c r="AF732" s="9">
        <v>25.821726312558901</v>
      </c>
      <c r="AG732" s="9">
        <v>25.821726312558901</v>
      </c>
      <c r="AH732" s="9">
        <v>28.140041203141894</v>
      </c>
      <c r="AI732" s="9">
        <v>30.066669018394961</v>
      </c>
      <c r="AJ732" s="9">
        <v>3.0428788910505911</v>
      </c>
    </row>
    <row r="733" spans="1:36" x14ac:dyDescent="0.25">
      <c r="A733" t="s">
        <v>5411</v>
      </c>
      <c r="B733" t="s">
        <v>16</v>
      </c>
      <c r="C733" t="s">
        <v>17</v>
      </c>
      <c r="D733">
        <v>21100000</v>
      </c>
      <c r="E733">
        <v>21299999</v>
      </c>
      <c r="F733" t="s">
        <v>662</v>
      </c>
      <c r="G733" t="str">
        <f t="shared" si="22"/>
        <v>RJC</v>
      </c>
      <c r="H733" t="s">
        <v>663</v>
      </c>
      <c r="I733" t="s">
        <v>22</v>
      </c>
      <c r="J733" t="s">
        <v>21</v>
      </c>
      <c r="K733" s="6">
        <v>0.03</v>
      </c>
      <c r="L733" s="7">
        <f t="shared" si="23"/>
        <v>0.03</v>
      </c>
      <c r="M733" s="7">
        <v>3.0000000000000001E-3</v>
      </c>
      <c r="N733">
        <v>6</v>
      </c>
      <c r="O733" s="8">
        <v>10.849677748364684</v>
      </c>
      <c r="P733" s="9">
        <v>10.849677748364684</v>
      </c>
      <c r="Q733" s="9">
        <v>10.849677748364684</v>
      </c>
      <c r="R733" s="9">
        <v>11.170722907780601</v>
      </c>
      <c r="S733" s="9">
        <v>11.492217929976764</v>
      </c>
      <c r="T733" s="9">
        <v>11.883294545064322</v>
      </c>
      <c r="U733" s="9">
        <v>13.000297731326581</v>
      </c>
      <c r="V733" s="9">
        <v>13.000297731326581</v>
      </c>
      <c r="W733" s="9">
        <v>13.000297731326581</v>
      </c>
      <c r="X733" s="9">
        <v>14.958198549450643</v>
      </c>
      <c r="Y733" s="9">
        <v>14.958198549450643</v>
      </c>
      <c r="Z733" s="9">
        <v>17.051363746786457</v>
      </c>
      <c r="AA733" s="9">
        <v>17.051363746786457</v>
      </c>
      <c r="AB733" s="9">
        <v>19.346970753451323</v>
      </c>
      <c r="AC733" s="9">
        <v>19.346970753451323</v>
      </c>
      <c r="AD733" s="9">
        <v>21.432573204379402</v>
      </c>
      <c r="AE733" s="9">
        <v>23.588481528315008</v>
      </c>
      <c r="AF733" s="9">
        <v>25.821726312558901</v>
      </c>
      <c r="AG733" s="9">
        <v>25.821726312558901</v>
      </c>
      <c r="AH733" s="9">
        <v>28.140041203141894</v>
      </c>
      <c r="AI733" s="9">
        <v>30.066669018394961</v>
      </c>
      <c r="AJ733" s="9">
        <v>3.0428788910505911</v>
      </c>
    </row>
    <row r="734" spans="1:36" x14ac:dyDescent="0.25">
      <c r="A734" t="s">
        <v>5411</v>
      </c>
      <c r="B734" t="s">
        <v>16</v>
      </c>
      <c r="C734" t="s">
        <v>17</v>
      </c>
      <c r="D734">
        <v>21300000</v>
      </c>
      <c r="E734">
        <v>21310999</v>
      </c>
      <c r="F734" t="s">
        <v>662</v>
      </c>
      <c r="G734" t="str">
        <f t="shared" si="22"/>
        <v>RJC</v>
      </c>
      <c r="H734" t="s">
        <v>663</v>
      </c>
      <c r="I734" t="s">
        <v>22</v>
      </c>
      <c r="J734" t="s">
        <v>21</v>
      </c>
      <c r="K734" s="6">
        <v>0.03</v>
      </c>
      <c r="L734" s="7">
        <f t="shared" si="23"/>
        <v>0.03</v>
      </c>
      <c r="M734" s="7">
        <v>3.0000000000000001E-3</v>
      </c>
      <c r="N734">
        <v>6</v>
      </c>
      <c r="O734" s="8">
        <v>10.849677748364684</v>
      </c>
      <c r="P734" s="9">
        <v>10.849677748364684</v>
      </c>
      <c r="Q734" s="9">
        <v>10.849677748364684</v>
      </c>
      <c r="R734" s="9">
        <v>11.170722907780601</v>
      </c>
      <c r="S734" s="9">
        <v>11.492217929976764</v>
      </c>
      <c r="T734" s="9">
        <v>11.883294545064322</v>
      </c>
      <c r="U734" s="9">
        <v>13.000297731326581</v>
      </c>
      <c r="V734" s="9">
        <v>13.000297731326581</v>
      </c>
      <c r="W734" s="9">
        <v>13.000297731326581</v>
      </c>
      <c r="X734" s="9">
        <v>14.958198549450643</v>
      </c>
      <c r="Y734" s="9">
        <v>14.958198549450643</v>
      </c>
      <c r="Z734" s="9">
        <v>17.051363746786457</v>
      </c>
      <c r="AA734" s="9">
        <v>17.051363746786457</v>
      </c>
      <c r="AB734" s="9">
        <v>19.346970753451323</v>
      </c>
      <c r="AC734" s="9">
        <v>19.346970753451323</v>
      </c>
      <c r="AD734" s="9">
        <v>21.432573204379402</v>
      </c>
      <c r="AE734" s="9">
        <v>23.588481528315008</v>
      </c>
      <c r="AF734" s="9">
        <v>25.821726312558901</v>
      </c>
      <c r="AG734" s="9">
        <v>25.821726312558901</v>
      </c>
      <c r="AH734" s="9">
        <v>28.140041203141894</v>
      </c>
      <c r="AI734" s="9">
        <v>30.066669018394961</v>
      </c>
      <c r="AJ734" s="9">
        <v>3.0428788910505911</v>
      </c>
    </row>
    <row r="735" spans="1:36" x14ac:dyDescent="0.25">
      <c r="A735" t="s">
        <v>5411</v>
      </c>
      <c r="B735" t="s">
        <v>16</v>
      </c>
      <c r="C735" t="s">
        <v>17</v>
      </c>
      <c r="D735">
        <v>21311000</v>
      </c>
      <c r="E735">
        <v>21311999</v>
      </c>
      <c r="F735" t="s">
        <v>662</v>
      </c>
      <c r="G735" t="str">
        <f t="shared" si="22"/>
        <v>RJC</v>
      </c>
      <c r="H735" t="s">
        <v>663</v>
      </c>
      <c r="I735" t="s">
        <v>22</v>
      </c>
      <c r="J735" t="s">
        <v>21</v>
      </c>
      <c r="K735" s="6">
        <v>0.03</v>
      </c>
      <c r="L735" s="7">
        <f t="shared" si="23"/>
        <v>0.03</v>
      </c>
      <c r="M735" s="7">
        <v>3.0000000000000001E-3</v>
      </c>
      <c r="N735">
        <v>6</v>
      </c>
      <c r="O735" s="8">
        <v>10.849677748364684</v>
      </c>
      <c r="P735" s="9">
        <v>10.849677748364684</v>
      </c>
      <c r="Q735" s="9">
        <v>10.849677748364684</v>
      </c>
      <c r="R735" s="9">
        <v>11.170722907780601</v>
      </c>
      <c r="S735" s="9">
        <v>11.492217929976764</v>
      </c>
      <c r="T735" s="9">
        <v>11.883294545064322</v>
      </c>
      <c r="U735" s="9">
        <v>13.000297731326581</v>
      </c>
      <c r="V735" s="9">
        <v>13.000297731326581</v>
      </c>
      <c r="W735" s="9">
        <v>13.000297731326581</v>
      </c>
      <c r="X735" s="9">
        <v>14.958198549450643</v>
      </c>
      <c r="Y735" s="9">
        <v>14.958198549450643</v>
      </c>
      <c r="Z735" s="9">
        <v>17.051363746786457</v>
      </c>
      <c r="AA735" s="9">
        <v>17.051363746786457</v>
      </c>
      <c r="AB735" s="9">
        <v>19.346970753451323</v>
      </c>
      <c r="AC735" s="9">
        <v>19.346970753451323</v>
      </c>
      <c r="AD735" s="9">
        <v>21.432573204379402</v>
      </c>
      <c r="AE735" s="9">
        <v>23.588481528315008</v>
      </c>
      <c r="AF735" s="9">
        <v>25.821726312558901</v>
      </c>
      <c r="AG735" s="9">
        <v>25.821726312558901</v>
      </c>
      <c r="AH735" s="9">
        <v>28.140041203141894</v>
      </c>
      <c r="AI735" s="9">
        <v>30.066669018394961</v>
      </c>
      <c r="AJ735" s="9">
        <v>3.0428788910505911</v>
      </c>
    </row>
    <row r="736" spans="1:36" x14ac:dyDescent="0.25">
      <c r="A736" t="s">
        <v>5411</v>
      </c>
      <c r="B736" t="s">
        <v>16</v>
      </c>
      <c r="C736" t="s">
        <v>17</v>
      </c>
      <c r="D736">
        <v>21312000</v>
      </c>
      <c r="E736">
        <v>21379999</v>
      </c>
      <c r="F736" t="s">
        <v>662</v>
      </c>
      <c r="G736" t="str">
        <f t="shared" si="22"/>
        <v>RJC</v>
      </c>
      <c r="H736" t="s">
        <v>663</v>
      </c>
      <c r="I736" t="s">
        <v>22</v>
      </c>
      <c r="J736" t="s">
        <v>21</v>
      </c>
      <c r="K736" s="6">
        <v>0.03</v>
      </c>
      <c r="L736" s="7">
        <f t="shared" si="23"/>
        <v>0.03</v>
      </c>
      <c r="M736" s="7">
        <v>3.0000000000000001E-3</v>
      </c>
      <c r="N736">
        <v>6</v>
      </c>
      <c r="O736" s="8">
        <v>10.849677748364684</v>
      </c>
      <c r="P736" s="9">
        <v>10.849677748364684</v>
      </c>
      <c r="Q736" s="9">
        <v>10.849677748364684</v>
      </c>
      <c r="R736" s="9">
        <v>11.170722907780601</v>
      </c>
      <c r="S736" s="9">
        <v>11.492217929976764</v>
      </c>
      <c r="T736" s="9">
        <v>11.883294545064322</v>
      </c>
      <c r="U736" s="9">
        <v>13.000297731326581</v>
      </c>
      <c r="V736" s="9">
        <v>13.000297731326581</v>
      </c>
      <c r="W736" s="9">
        <v>13.000297731326581</v>
      </c>
      <c r="X736" s="9">
        <v>14.958198549450643</v>
      </c>
      <c r="Y736" s="9">
        <v>14.958198549450643</v>
      </c>
      <c r="Z736" s="9">
        <v>17.051363746786457</v>
      </c>
      <c r="AA736" s="9">
        <v>17.051363746786457</v>
      </c>
      <c r="AB736" s="9">
        <v>19.346970753451323</v>
      </c>
      <c r="AC736" s="9">
        <v>19.346970753451323</v>
      </c>
      <c r="AD736" s="9">
        <v>21.432573204379402</v>
      </c>
      <c r="AE736" s="9">
        <v>23.588481528315008</v>
      </c>
      <c r="AF736" s="9">
        <v>25.821726312558901</v>
      </c>
      <c r="AG736" s="9">
        <v>25.821726312558901</v>
      </c>
      <c r="AH736" s="9">
        <v>28.140041203141894</v>
      </c>
      <c r="AI736" s="9">
        <v>30.066669018394961</v>
      </c>
      <c r="AJ736" s="9">
        <v>3.0428788910505911</v>
      </c>
    </row>
    <row r="737" spans="1:36" x14ac:dyDescent="0.25">
      <c r="A737" t="s">
        <v>5411</v>
      </c>
      <c r="B737" t="s">
        <v>16</v>
      </c>
      <c r="C737" t="s">
        <v>17</v>
      </c>
      <c r="D737">
        <v>21380000</v>
      </c>
      <c r="E737">
        <v>21399999</v>
      </c>
      <c r="F737" t="s">
        <v>662</v>
      </c>
      <c r="G737" t="str">
        <f t="shared" si="22"/>
        <v>RJC</v>
      </c>
      <c r="H737" t="s">
        <v>663</v>
      </c>
      <c r="I737" t="s">
        <v>22</v>
      </c>
      <c r="J737" t="s">
        <v>21</v>
      </c>
      <c r="K737" s="6">
        <v>0.03</v>
      </c>
      <c r="L737" s="7">
        <f t="shared" si="23"/>
        <v>0.03</v>
      </c>
      <c r="M737" s="7">
        <v>3.0000000000000001E-3</v>
      </c>
      <c r="N737">
        <v>6</v>
      </c>
      <c r="O737" s="8">
        <v>10.849677748364684</v>
      </c>
      <c r="P737" s="9">
        <v>10.849677748364684</v>
      </c>
      <c r="Q737" s="9">
        <v>10.849677748364684</v>
      </c>
      <c r="R737" s="9">
        <v>11.170722907780601</v>
      </c>
      <c r="S737" s="9">
        <v>11.492217929976764</v>
      </c>
      <c r="T737" s="9">
        <v>11.883294545064322</v>
      </c>
      <c r="U737" s="9">
        <v>13.000297731326581</v>
      </c>
      <c r="V737" s="9">
        <v>13.000297731326581</v>
      </c>
      <c r="W737" s="9">
        <v>13.000297731326581</v>
      </c>
      <c r="X737" s="9">
        <v>14.958198549450643</v>
      </c>
      <c r="Y737" s="9">
        <v>14.958198549450643</v>
      </c>
      <c r="Z737" s="9">
        <v>17.051363746786457</v>
      </c>
      <c r="AA737" s="9">
        <v>17.051363746786457</v>
      </c>
      <c r="AB737" s="9">
        <v>19.346970753451323</v>
      </c>
      <c r="AC737" s="9">
        <v>19.346970753451323</v>
      </c>
      <c r="AD737" s="9">
        <v>21.432573204379402</v>
      </c>
      <c r="AE737" s="9">
        <v>23.588481528315008</v>
      </c>
      <c r="AF737" s="9">
        <v>25.821726312558901</v>
      </c>
      <c r="AG737" s="9">
        <v>25.821726312558901</v>
      </c>
      <c r="AH737" s="9">
        <v>28.140041203141894</v>
      </c>
      <c r="AI737" s="9">
        <v>30.066669018394961</v>
      </c>
      <c r="AJ737" s="9">
        <v>3.0428788910505911</v>
      </c>
    </row>
    <row r="738" spans="1:36" x14ac:dyDescent="0.25">
      <c r="A738" t="s">
        <v>5411</v>
      </c>
      <c r="B738" t="s">
        <v>16</v>
      </c>
      <c r="C738" t="s">
        <v>17</v>
      </c>
      <c r="D738">
        <v>21400000</v>
      </c>
      <c r="E738">
        <v>21499999</v>
      </c>
      <c r="F738" t="s">
        <v>662</v>
      </c>
      <c r="G738" t="str">
        <f t="shared" si="22"/>
        <v>RJR</v>
      </c>
      <c r="H738" t="s">
        <v>663</v>
      </c>
      <c r="I738" t="s">
        <v>20</v>
      </c>
      <c r="J738" t="s">
        <v>77</v>
      </c>
      <c r="K738" s="6">
        <v>0.03</v>
      </c>
      <c r="L738" s="7">
        <f t="shared" si="23"/>
        <v>2E-3</v>
      </c>
      <c r="M738" s="7">
        <v>3.0000000000000001E-3</v>
      </c>
      <c r="N738">
        <v>17</v>
      </c>
      <c r="O738" s="8">
        <v>27.759279108538067</v>
      </c>
      <c r="P738" s="9">
        <v>27.759279108538067</v>
      </c>
      <c r="Q738" s="9">
        <v>27.759279108538067</v>
      </c>
      <c r="R738" s="9">
        <v>28.909938214135668</v>
      </c>
      <c r="S738" s="9">
        <v>29.129746609556125</v>
      </c>
      <c r="T738" s="9">
        <v>29.885241910517856</v>
      </c>
      <c r="U738" s="9">
        <v>31.387298550026539</v>
      </c>
      <c r="V738" s="9">
        <v>31.387298550026539</v>
      </c>
      <c r="W738" s="9">
        <v>31.387298550026539</v>
      </c>
      <c r="X738" s="9">
        <v>34.262376337518653</v>
      </c>
      <c r="Y738" s="9">
        <v>34.262376337518653</v>
      </c>
      <c r="Z738" s="9">
        <v>37.290012030342261</v>
      </c>
      <c r="AA738" s="9">
        <v>37.290012030342261</v>
      </c>
      <c r="AB738" s="9">
        <v>40.470361633702204</v>
      </c>
      <c r="AC738" s="9">
        <v>40.470361633702204</v>
      </c>
      <c r="AD738" s="9">
        <v>44.305029050310999</v>
      </c>
      <c r="AE738" s="9">
        <v>48.34275103891602</v>
      </c>
      <c r="AF738" s="9">
        <v>52.603833056716866</v>
      </c>
      <c r="AG738" s="9">
        <v>52.603833056716866</v>
      </c>
      <c r="AH738" s="9">
        <v>57.633590453735039</v>
      </c>
      <c r="AI738" s="9">
        <v>62.933613486080198</v>
      </c>
      <c r="AJ738" s="9">
        <v>3.0428788910505911</v>
      </c>
    </row>
    <row r="739" spans="1:36" x14ac:dyDescent="0.25">
      <c r="A739" t="s">
        <v>5411</v>
      </c>
      <c r="B739" t="s">
        <v>16</v>
      </c>
      <c r="C739" t="s">
        <v>17</v>
      </c>
      <c r="D739">
        <v>21500000</v>
      </c>
      <c r="E739">
        <v>21599999</v>
      </c>
      <c r="F739" t="s">
        <v>662</v>
      </c>
      <c r="G739" t="str">
        <f t="shared" si="22"/>
        <v>RJC</v>
      </c>
      <c r="H739" t="s">
        <v>663</v>
      </c>
      <c r="I739" t="s">
        <v>20</v>
      </c>
      <c r="J739" t="s">
        <v>21</v>
      </c>
      <c r="K739" s="6">
        <v>0.03</v>
      </c>
      <c r="L739" s="7">
        <f t="shared" si="23"/>
        <v>2E-3</v>
      </c>
      <c r="M739" s="7">
        <v>3.0000000000000001E-3</v>
      </c>
      <c r="N739">
        <v>6</v>
      </c>
      <c r="O739" s="8">
        <v>10.849677748364684</v>
      </c>
      <c r="P739" s="9">
        <v>10.849677748364684</v>
      </c>
      <c r="Q739" s="9">
        <v>10.849677748364684</v>
      </c>
      <c r="R739" s="9">
        <v>11.170722907780601</v>
      </c>
      <c r="S739" s="9">
        <v>11.492217929976764</v>
      </c>
      <c r="T739" s="9">
        <v>11.883294545064322</v>
      </c>
      <c r="U739" s="9">
        <v>13.000297731326581</v>
      </c>
      <c r="V739" s="9">
        <v>13.000297731326581</v>
      </c>
      <c r="W739" s="9">
        <v>13.000297731326581</v>
      </c>
      <c r="X739" s="9">
        <v>14.958198549450643</v>
      </c>
      <c r="Y739" s="9">
        <v>14.958198549450643</v>
      </c>
      <c r="Z739" s="9">
        <v>17.051363746786457</v>
      </c>
      <c r="AA739" s="9">
        <v>17.051363746786457</v>
      </c>
      <c r="AB739" s="9">
        <v>19.346970753451323</v>
      </c>
      <c r="AC739" s="9">
        <v>19.346970753451323</v>
      </c>
      <c r="AD739" s="9">
        <v>21.432573204379402</v>
      </c>
      <c r="AE739" s="9">
        <v>23.588481528315008</v>
      </c>
      <c r="AF739" s="9">
        <v>25.821726312558901</v>
      </c>
      <c r="AG739" s="9">
        <v>25.821726312558901</v>
      </c>
      <c r="AH739" s="9">
        <v>28.140041203141894</v>
      </c>
      <c r="AI739" s="9">
        <v>30.066669018394961</v>
      </c>
      <c r="AJ739" s="9">
        <v>3.0428788910505911</v>
      </c>
    </row>
    <row r="740" spans="1:36" x14ac:dyDescent="0.25">
      <c r="A740" t="s">
        <v>5411</v>
      </c>
      <c r="B740" t="s">
        <v>16</v>
      </c>
      <c r="C740" t="s">
        <v>17</v>
      </c>
      <c r="D740">
        <v>21600000</v>
      </c>
      <c r="E740">
        <v>21699999</v>
      </c>
      <c r="F740" t="s">
        <v>662</v>
      </c>
      <c r="G740" t="str">
        <f t="shared" si="22"/>
        <v>RJC</v>
      </c>
      <c r="H740" t="s">
        <v>663</v>
      </c>
      <c r="I740" t="s">
        <v>20</v>
      </c>
      <c r="J740" t="s">
        <v>21</v>
      </c>
      <c r="K740" s="6">
        <v>0.03</v>
      </c>
      <c r="L740" s="7">
        <f t="shared" si="23"/>
        <v>2E-3</v>
      </c>
      <c r="M740" s="7">
        <v>3.0000000000000001E-3</v>
      </c>
      <c r="N740">
        <v>6</v>
      </c>
      <c r="O740" s="8">
        <v>10.849677748364684</v>
      </c>
      <c r="P740" s="9">
        <v>10.849677748364684</v>
      </c>
      <c r="Q740" s="9">
        <v>10.849677748364684</v>
      </c>
      <c r="R740" s="9">
        <v>11.170722907780601</v>
      </c>
      <c r="S740" s="9">
        <v>11.492217929976764</v>
      </c>
      <c r="T740" s="9">
        <v>11.883294545064322</v>
      </c>
      <c r="U740" s="9">
        <v>13.000297731326581</v>
      </c>
      <c r="V740" s="9">
        <v>13.000297731326581</v>
      </c>
      <c r="W740" s="9">
        <v>13.000297731326581</v>
      </c>
      <c r="X740" s="9">
        <v>14.958198549450643</v>
      </c>
      <c r="Y740" s="9">
        <v>14.958198549450643</v>
      </c>
      <c r="Z740" s="9">
        <v>17.051363746786457</v>
      </c>
      <c r="AA740" s="9">
        <v>17.051363746786457</v>
      </c>
      <c r="AB740" s="9">
        <v>19.346970753451323</v>
      </c>
      <c r="AC740" s="9">
        <v>19.346970753451323</v>
      </c>
      <c r="AD740" s="9">
        <v>21.432573204379402</v>
      </c>
      <c r="AE740" s="9">
        <v>23.588481528315008</v>
      </c>
      <c r="AF740" s="9">
        <v>25.821726312558901</v>
      </c>
      <c r="AG740" s="9">
        <v>25.821726312558901</v>
      </c>
      <c r="AH740" s="9">
        <v>28.140041203141894</v>
      </c>
      <c r="AI740" s="9">
        <v>30.066669018394961</v>
      </c>
      <c r="AJ740" s="9">
        <v>3.0428788910505911</v>
      </c>
    </row>
    <row r="741" spans="1:36" x14ac:dyDescent="0.25">
      <c r="A741" t="s">
        <v>5411</v>
      </c>
      <c r="B741" t="s">
        <v>16</v>
      </c>
      <c r="C741" t="s">
        <v>17</v>
      </c>
      <c r="D741">
        <v>21700000</v>
      </c>
      <c r="E741">
        <v>21719999</v>
      </c>
      <c r="F741" t="s">
        <v>662</v>
      </c>
      <c r="G741" t="str">
        <f t="shared" si="22"/>
        <v>RJC</v>
      </c>
      <c r="H741" t="s">
        <v>663</v>
      </c>
      <c r="I741" t="s">
        <v>22</v>
      </c>
      <c r="J741" t="s">
        <v>21</v>
      </c>
      <c r="K741" s="6">
        <v>0.03</v>
      </c>
      <c r="L741" s="7">
        <f t="shared" si="23"/>
        <v>0.03</v>
      </c>
      <c r="M741" s="7">
        <v>3.0000000000000001E-3</v>
      </c>
      <c r="N741">
        <v>6</v>
      </c>
      <c r="O741" s="8">
        <v>10.849677748364684</v>
      </c>
      <c r="P741" s="9">
        <v>10.849677748364684</v>
      </c>
      <c r="Q741" s="9">
        <v>10.849677748364684</v>
      </c>
      <c r="R741" s="9">
        <v>11.170722907780601</v>
      </c>
      <c r="S741" s="9">
        <v>11.492217929976764</v>
      </c>
      <c r="T741" s="9">
        <v>11.883294545064322</v>
      </c>
      <c r="U741" s="9">
        <v>13.000297731326581</v>
      </c>
      <c r="V741" s="9">
        <v>13.000297731326581</v>
      </c>
      <c r="W741" s="9">
        <v>13.000297731326581</v>
      </c>
      <c r="X741" s="9">
        <v>14.958198549450643</v>
      </c>
      <c r="Y741" s="9">
        <v>14.958198549450643</v>
      </c>
      <c r="Z741" s="9">
        <v>17.051363746786457</v>
      </c>
      <c r="AA741" s="9">
        <v>17.051363746786457</v>
      </c>
      <c r="AB741" s="9">
        <v>19.346970753451323</v>
      </c>
      <c r="AC741" s="9">
        <v>19.346970753451323</v>
      </c>
      <c r="AD741" s="9">
        <v>21.432573204379402</v>
      </c>
      <c r="AE741" s="9">
        <v>23.588481528315008</v>
      </c>
      <c r="AF741" s="9">
        <v>25.821726312558901</v>
      </c>
      <c r="AG741" s="9">
        <v>25.821726312558901</v>
      </c>
      <c r="AH741" s="9">
        <v>28.140041203141894</v>
      </c>
      <c r="AI741" s="9">
        <v>30.066669018394961</v>
      </c>
      <c r="AJ741" s="9">
        <v>3.0428788910505911</v>
      </c>
    </row>
    <row r="742" spans="1:36" x14ac:dyDescent="0.25">
      <c r="A742" t="s">
        <v>5411</v>
      </c>
      <c r="B742" t="s">
        <v>16</v>
      </c>
      <c r="C742" t="s">
        <v>17</v>
      </c>
      <c r="D742">
        <v>21720000</v>
      </c>
      <c r="E742">
        <v>21720999</v>
      </c>
      <c r="F742" t="s">
        <v>662</v>
      </c>
      <c r="G742" t="str">
        <f t="shared" si="22"/>
        <v>RJC</v>
      </c>
      <c r="H742" t="s">
        <v>663</v>
      </c>
      <c r="I742" t="s">
        <v>20</v>
      </c>
      <c r="J742" t="s">
        <v>21</v>
      </c>
      <c r="K742" s="6">
        <v>0.03</v>
      </c>
      <c r="L742" s="7">
        <f t="shared" si="23"/>
        <v>2E-3</v>
      </c>
      <c r="M742" s="7">
        <v>3.0000000000000001E-3</v>
      </c>
      <c r="N742">
        <v>6</v>
      </c>
      <c r="O742" s="8">
        <v>10.849677748364684</v>
      </c>
      <c r="P742" s="9">
        <v>10.849677748364684</v>
      </c>
      <c r="Q742" s="9">
        <v>10.849677748364684</v>
      </c>
      <c r="R742" s="9">
        <v>11.170722907780601</v>
      </c>
      <c r="S742" s="9">
        <v>11.492217929976764</v>
      </c>
      <c r="T742" s="9">
        <v>11.883294545064322</v>
      </c>
      <c r="U742" s="9">
        <v>13.000297731326581</v>
      </c>
      <c r="V742" s="9">
        <v>13.000297731326581</v>
      </c>
      <c r="W742" s="9">
        <v>13.000297731326581</v>
      </c>
      <c r="X742" s="9">
        <v>14.958198549450643</v>
      </c>
      <c r="Y742" s="9">
        <v>14.958198549450643</v>
      </c>
      <c r="Z742" s="9">
        <v>17.051363746786457</v>
      </c>
      <c r="AA742" s="9">
        <v>17.051363746786457</v>
      </c>
      <c r="AB742" s="9">
        <v>19.346970753451323</v>
      </c>
      <c r="AC742" s="9">
        <v>19.346970753451323</v>
      </c>
      <c r="AD742" s="9">
        <v>21.432573204379402</v>
      </c>
      <c r="AE742" s="9">
        <v>23.588481528315008</v>
      </c>
      <c r="AF742" s="9">
        <v>25.821726312558901</v>
      </c>
      <c r="AG742" s="9">
        <v>25.821726312558901</v>
      </c>
      <c r="AH742" s="9">
        <v>28.140041203141894</v>
      </c>
      <c r="AI742" s="9">
        <v>30.066669018394961</v>
      </c>
      <c r="AJ742" s="9">
        <v>3.0428788910505911</v>
      </c>
    </row>
    <row r="743" spans="1:36" x14ac:dyDescent="0.25">
      <c r="A743" t="s">
        <v>5411</v>
      </c>
      <c r="B743" t="s">
        <v>16</v>
      </c>
      <c r="C743" t="s">
        <v>17</v>
      </c>
      <c r="D743">
        <v>21721000</v>
      </c>
      <c r="E743">
        <v>21739999</v>
      </c>
      <c r="F743" t="s">
        <v>662</v>
      </c>
      <c r="G743" t="str">
        <f t="shared" si="22"/>
        <v>RJC</v>
      </c>
      <c r="H743" t="s">
        <v>663</v>
      </c>
      <c r="I743" t="s">
        <v>20</v>
      </c>
      <c r="J743" t="s">
        <v>21</v>
      </c>
      <c r="K743" s="6">
        <v>0.03</v>
      </c>
      <c r="L743" s="7">
        <f t="shared" si="23"/>
        <v>2E-3</v>
      </c>
      <c r="M743" s="7">
        <v>3.0000000000000001E-3</v>
      </c>
      <c r="N743">
        <v>6</v>
      </c>
      <c r="O743" s="8">
        <v>10.849677748364684</v>
      </c>
      <c r="P743" s="9">
        <v>10.849677748364684</v>
      </c>
      <c r="Q743" s="9">
        <v>10.849677748364684</v>
      </c>
      <c r="R743" s="9">
        <v>11.170722907780601</v>
      </c>
      <c r="S743" s="9">
        <v>11.492217929976764</v>
      </c>
      <c r="T743" s="9">
        <v>11.883294545064322</v>
      </c>
      <c r="U743" s="9">
        <v>13.000297731326581</v>
      </c>
      <c r="V743" s="9">
        <v>13.000297731326581</v>
      </c>
      <c r="W743" s="9">
        <v>13.000297731326581</v>
      </c>
      <c r="X743" s="9">
        <v>14.958198549450643</v>
      </c>
      <c r="Y743" s="9">
        <v>14.958198549450643</v>
      </c>
      <c r="Z743" s="9">
        <v>17.051363746786457</v>
      </c>
      <c r="AA743" s="9">
        <v>17.051363746786457</v>
      </c>
      <c r="AB743" s="9">
        <v>19.346970753451323</v>
      </c>
      <c r="AC743" s="9">
        <v>19.346970753451323</v>
      </c>
      <c r="AD743" s="9">
        <v>21.432573204379402</v>
      </c>
      <c r="AE743" s="9">
        <v>23.588481528315008</v>
      </c>
      <c r="AF743" s="9">
        <v>25.821726312558901</v>
      </c>
      <c r="AG743" s="9">
        <v>25.821726312558901</v>
      </c>
      <c r="AH743" s="9">
        <v>28.140041203141894</v>
      </c>
      <c r="AI743" s="9">
        <v>30.066669018394961</v>
      </c>
      <c r="AJ743" s="9">
        <v>3.0428788910505911</v>
      </c>
    </row>
    <row r="744" spans="1:36" x14ac:dyDescent="0.25">
      <c r="A744" t="s">
        <v>5411</v>
      </c>
      <c r="B744" t="s">
        <v>16</v>
      </c>
      <c r="C744" t="s">
        <v>17</v>
      </c>
      <c r="D744">
        <v>21740000</v>
      </c>
      <c r="E744">
        <v>21799999</v>
      </c>
      <c r="F744" t="s">
        <v>662</v>
      </c>
      <c r="G744" t="str">
        <f t="shared" si="22"/>
        <v>RJC</v>
      </c>
      <c r="H744" t="s">
        <v>663</v>
      </c>
      <c r="I744" t="s">
        <v>22</v>
      </c>
      <c r="J744" t="s">
        <v>21</v>
      </c>
      <c r="K744" s="6">
        <v>0.03</v>
      </c>
      <c r="L744" s="7">
        <f t="shared" si="23"/>
        <v>0.03</v>
      </c>
      <c r="M744" s="7">
        <v>3.0000000000000001E-3</v>
      </c>
      <c r="N744">
        <v>6</v>
      </c>
      <c r="O744" s="8">
        <v>10.849677748364684</v>
      </c>
      <c r="P744" s="9">
        <v>10.849677748364684</v>
      </c>
      <c r="Q744" s="9">
        <v>10.849677748364684</v>
      </c>
      <c r="R744" s="9">
        <v>11.170722907780601</v>
      </c>
      <c r="S744" s="9">
        <v>11.492217929976764</v>
      </c>
      <c r="T744" s="9">
        <v>11.883294545064322</v>
      </c>
      <c r="U744" s="9">
        <v>13.000297731326581</v>
      </c>
      <c r="V744" s="9">
        <v>13.000297731326581</v>
      </c>
      <c r="W744" s="9">
        <v>13.000297731326581</v>
      </c>
      <c r="X744" s="9">
        <v>14.958198549450643</v>
      </c>
      <c r="Y744" s="9">
        <v>14.958198549450643</v>
      </c>
      <c r="Z744" s="9">
        <v>17.051363746786457</v>
      </c>
      <c r="AA744" s="9">
        <v>17.051363746786457</v>
      </c>
      <c r="AB744" s="9">
        <v>19.346970753451323</v>
      </c>
      <c r="AC744" s="9">
        <v>19.346970753451323</v>
      </c>
      <c r="AD744" s="9">
        <v>21.432573204379402</v>
      </c>
      <c r="AE744" s="9">
        <v>23.588481528315008</v>
      </c>
      <c r="AF744" s="9">
        <v>25.821726312558901</v>
      </c>
      <c r="AG744" s="9">
        <v>25.821726312558901</v>
      </c>
      <c r="AH744" s="9">
        <v>28.140041203141894</v>
      </c>
      <c r="AI744" s="9">
        <v>30.066669018394961</v>
      </c>
      <c r="AJ744" s="9">
        <v>3.0428788910505911</v>
      </c>
    </row>
    <row r="745" spans="1:36" x14ac:dyDescent="0.25">
      <c r="A745" t="s">
        <v>5411</v>
      </c>
      <c r="B745" t="s">
        <v>16</v>
      </c>
      <c r="C745" t="s">
        <v>17</v>
      </c>
      <c r="D745">
        <v>21800000</v>
      </c>
      <c r="E745">
        <v>21899999</v>
      </c>
      <c r="F745" t="s">
        <v>662</v>
      </c>
      <c r="G745" t="str">
        <f t="shared" si="22"/>
        <v>RJC</v>
      </c>
      <c r="H745" t="s">
        <v>663</v>
      </c>
      <c r="I745" t="s">
        <v>22</v>
      </c>
      <c r="J745" t="s">
        <v>21</v>
      </c>
      <c r="K745" s="6">
        <v>0.03</v>
      </c>
      <c r="L745" s="7">
        <f t="shared" si="23"/>
        <v>0.03</v>
      </c>
      <c r="M745" s="7">
        <v>3.0000000000000001E-3</v>
      </c>
      <c r="N745">
        <v>6</v>
      </c>
      <c r="O745" s="8">
        <v>10.849677748364684</v>
      </c>
      <c r="P745" s="9">
        <v>10.849677748364684</v>
      </c>
      <c r="Q745" s="9">
        <v>10.849677748364684</v>
      </c>
      <c r="R745" s="9">
        <v>11.170722907780601</v>
      </c>
      <c r="S745" s="9">
        <v>11.492217929976764</v>
      </c>
      <c r="T745" s="9">
        <v>11.883294545064322</v>
      </c>
      <c r="U745" s="9">
        <v>13.000297731326581</v>
      </c>
      <c r="V745" s="9">
        <v>13.000297731326581</v>
      </c>
      <c r="W745" s="9">
        <v>13.000297731326581</v>
      </c>
      <c r="X745" s="9">
        <v>14.958198549450643</v>
      </c>
      <c r="Y745" s="9">
        <v>14.958198549450643</v>
      </c>
      <c r="Z745" s="9">
        <v>17.051363746786457</v>
      </c>
      <c r="AA745" s="9">
        <v>17.051363746786457</v>
      </c>
      <c r="AB745" s="9">
        <v>19.346970753451323</v>
      </c>
      <c r="AC745" s="9">
        <v>19.346970753451323</v>
      </c>
      <c r="AD745" s="9">
        <v>21.432573204379402</v>
      </c>
      <c r="AE745" s="9">
        <v>23.588481528315008</v>
      </c>
      <c r="AF745" s="9">
        <v>25.821726312558901</v>
      </c>
      <c r="AG745" s="9">
        <v>25.821726312558901</v>
      </c>
      <c r="AH745" s="9">
        <v>28.140041203141894</v>
      </c>
      <c r="AI745" s="9">
        <v>30.066669018394961</v>
      </c>
      <c r="AJ745" s="9">
        <v>3.0428788910505911</v>
      </c>
    </row>
    <row r="746" spans="1:36" x14ac:dyDescent="0.25">
      <c r="A746" t="s">
        <v>5411</v>
      </c>
      <c r="B746" t="s">
        <v>16</v>
      </c>
      <c r="C746" t="s">
        <v>17</v>
      </c>
      <c r="D746">
        <v>21900000</v>
      </c>
      <c r="E746">
        <v>21999999</v>
      </c>
      <c r="F746" t="s">
        <v>662</v>
      </c>
      <c r="G746" t="str">
        <f t="shared" si="22"/>
        <v>RJC</v>
      </c>
      <c r="H746" t="s">
        <v>663</v>
      </c>
      <c r="I746" t="s">
        <v>22</v>
      </c>
      <c r="J746" t="s">
        <v>21</v>
      </c>
      <c r="K746" s="6">
        <v>0.03</v>
      </c>
      <c r="L746" s="7">
        <f t="shared" si="23"/>
        <v>0.03</v>
      </c>
      <c r="M746" s="7">
        <v>3.0000000000000001E-3</v>
      </c>
      <c r="N746">
        <v>6</v>
      </c>
      <c r="O746" s="8">
        <v>10.849677748364684</v>
      </c>
      <c r="P746" s="9">
        <v>10.849677748364684</v>
      </c>
      <c r="Q746" s="9">
        <v>10.849677748364684</v>
      </c>
      <c r="R746" s="9">
        <v>11.170722907780601</v>
      </c>
      <c r="S746" s="9">
        <v>11.492217929976764</v>
      </c>
      <c r="T746" s="9">
        <v>11.883294545064322</v>
      </c>
      <c r="U746" s="9">
        <v>13.000297731326581</v>
      </c>
      <c r="V746" s="9">
        <v>13.000297731326581</v>
      </c>
      <c r="W746" s="9">
        <v>13.000297731326581</v>
      </c>
      <c r="X746" s="9">
        <v>14.958198549450643</v>
      </c>
      <c r="Y746" s="9">
        <v>14.958198549450643</v>
      </c>
      <c r="Z746" s="9">
        <v>17.051363746786457</v>
      </c>
      <c r="AA746" s="9">
        <v>17.051363746786457</v>
      </c>
      <c r="AB746" s="9">
        <v>19.346970753451323</v>
      </c>
      <c r="AC746" s="9">
        <v>19.346970753451323</v>
      </c>
      <c r="AD746" s="9">
        <v>21.432573204379402</v>
      </c>
      <c r="AE746" s="9">
        <v>23.588481528315008</v>
      </c>
      <c r="AF746" s="9">
        <v>25.821726312558901</v>
      </c>
      <c r="AG746" s="9">
        <v>25.821726312558901</v>
      </c>
      <c r="AH746" s="9">
        <v>28.140041203141894</v>
      </c>
      <c r="AI746" s="9">
        <v>30.066669018394961</v>
      </c>
      <c r="AJ746" s="9">
        <v>3.0428788910505911</v>
      </c>
    </row>
    <row r="747" spans="1:36" x14ac:dyDescent="0.25">
      <c r="A747" t="s">
        <v>5411</v>
      </c>
      <c r="B747" t="s">
        <v>16</v>
      </c>
      <c r="C747" t="s">
        <v>17</v>
      </c>
      <c r="D747">
        <v>22000000</v>
      </c>
      <c r="E747">
        <v>22099999</v>
      </c>
      <c r="F747" t="s">
        <v>662</v>
      </c>
      <c r="G747" t="str">
        <f t="shared" si="22"/>
        <v>RJC</v>
      </c>
      <c r="H747" t="s">
        <v>663</v>
      </c>
      <c r="I747" t="s">
        <v>22</v>
      </c>
      <c r="J747" t="s">
        <v>21</v>
      </c>
      <c r="K747" s="6">
        <v>0.03</v>
      </c>
      <c r="L747" s="7">
        <f t="shared" si="23"/>
        <v>0.03</v>
      </c>
      <c r="M747" s="7">
        <v>3.0000000000000001E-3</v>
      </c>
      <c r="N747">
        <v>6</v>
      </c>
      <c r="O747" s="8">
        <v>10.849677748364684</v>
      </c>
      <c r="P747" s="9">
        <v>10.849677748364684</v>
      </c>
      <c r="Q747" s="9">
        <v>10.849677748364684</v>
      </c>
      <c r="R747" s="9">
        <v>11.170722907780601</v>
      </c>
      <c r="S747" s="9">
        <v>11.492217929976764</v>
      </c>
      <c r="T747" s="9">
        <v>11.883294545064322</v>
      </c>
      <c r="U747" s="9">
        <v>13.000297731326581</v>
      </c>
      <c r="V747" s="9">
        <v>13.000297731326581</v>
      </c>
      <c r="W747" s="9">
        <v>13.000297731326581</v>
      </c>
      <c r="X747" s="9">
        <v>14.958198549450643</v>
      </c>
      <c r="Y747" s="9">
        <v>14.958198549450643</v>
      </c>
      <c r="Z747" s="9">
        <v>17.051363746786457</v>
      </c>
      <c r="AA747" s="9">
        <v>17.051363746786457</v>
      </c>
      <c r="AB747" s="9">
        <v>19.346970753451323</v>
      </c>
      <c r="AC747" s="9">
        <v>19.346970753451323</v>
      </c>
      <c r="AD747" s="9">
        <v>21.432573204379402</v>
      </c>
      <c r="AE747" s="9">
        <v>23.588481528315008</v>
      </c>
      <c r="AF747" s="9">
        <v>25.821726312558901</v>
      </c>
      <c r="AG747" s="9">
        <v>25.821726312558901</v>
      </c>
      <c r="AH747" s="9">
        <v>28.140041203141894</v>
      </c>
      <c r="AI747" s="9">
        <v>30.066669018394961</v>
      </c>
      <c r="AJ747" s="9">
        <v>3.0428788910505911</v>
      </c>
    </row>
    <row r="748" spans="1:36" x14ac:dyDescent="0.25">
      <c r="A748" t="s">
        <v>5411</v>
      </c>
      <c r="B748" t="s">
        <v>16</v>
      </c>
      <c r="C748" t="s">
        <v>17</v>
      </c>
      <c r="D748">
        <v>22100000</v>
      </c>
      <c r="E748">
        <v>22250999</v>
      </c>
      <c r="F748" t="s">
        <v>662</v>
      </c>
      <c r="G748" t="str">
        <f t="shared" si="22"/>
        <v>RJC</v>
      </c>
      <c r="H748" t="s">
        <v>663</v>
      </c>
      <c r="I748" t="s">
        <v>22</v>
      </c>
      <c r="J748" t="s">
        <v>21</v>
      </c>
      <c r="K748" s="6">
        <v>0.03</v>
      </c>
      <c r="L748" s="7">
        <f t="shared" si="23"/>
        <v>0.03</v>
      </c>
      <c r="M748" s="7">
        <v>3.0000000000000001E-3</v>
      </c>
      <c r="N748">
        <v>6</v>
      </c>
      <c r="O748" s="8">
        <v>10.849677748364684</v>
      </c>
      <c r="P748" s="9">
        <v>10.849677748364684</v>
      </c>
      <c r="Q748" s="9">
        <v>10.849677748364684</v>
      </c>
      <c r="R748" s="9">
        <v>11.170722907780601</v>
      </c>
      <c r="S748" s="9">
        <v>11.492217929976764</v>
      </c>
      <c r="T748" s="9">
        <v>11.883294545064322</v>
      </c>
      <c r="U748" s="9">
        <v>13.000297731326581</v>
      </c>
      <c r="V748" s="9">
        <v>13.000297731326581</v>
      </c>
      <c r="W748" s="9">
        <v>13.000297731326581</v>
      </c>
      <c r="X748" s="9">
        <v>14.958198549450643</v>
      </c>
      <c r="Y748" s="9">
        <v>14.958198549450643</v>
      </c>
      <c r="Z748" s="9">
        <v>17.051363746786457</v>
      </c>
      <c r="AA748" s="9">
        <v>17.051363746786457</v>
      </c>
      <c r="AB748" s="9">
        <v>19.346970753451323</v>
      </c>
      <c r="AC748" s="9">
        <v>19.346970753451323</v>
      </c>
      <c r="AD748" s="9">
        <v>21.432573204379402</v>
      </c>
      <c r="AE748" s="9">
        <v>23.588481528315008</v>
      </c>
      <c r="AF748" s="9">
        <v>25.821726312558901</v>
      </c>
      <c r="AG748" s="9">
        <v>25.821726312558901</v>
      </c>
      <c r="AH748" s="9">
        <v>28.140041203141894</v>
      </c>
      <c r="AI748" s="9">
        <v>30.066669018394961</v>
      </c>
      <c r="AJ748" s="9">
        <v>3.0428788910505911</v>
      </c>
    </row>
    <row r="749" spans="1:36" x14ac:dyDescent="0.25">
      <c r="A749" t="s">
        <v>5411</v>
      </c>
      <c r="B749" t="s">
        <v>16</v>
      </c>
      <c r="C749" t="s">
        <v>17</v>
      </c>
      <c r="D749">
        <v>22251000</v>
      </c>
      <c r="E749">
        <v>22299999</v>
      </c>
      <c r="F749" t="s">
        <v>662</v>
      </c>
      <c r="G749" t="str">
        <f t="shared" si="22"/>
        <v>RJC</v>
      </c>
      <c r="H749" t="s">
        <v>663</v>
      </c>
      <c r="I749" t="s">
        <v>22</v>
      </c>
      <c r="J749" t="s">
        <v>21</v>
      </c>
      <c r="K749" s="6">
        <v>0.03</v>
      </c>
      <c r="L749" s="7">
        <f t="shared" si="23"/>
        <v>0.03</v>
      </c>
      <c r="M749" s="7">
        <v>3.0000000000000001E-3</v>
      </c>
      <c r="N749">
        <v>6</v>
      </c>
      <c r="O749" s="8">
        <v>10.849677748364684</v>
      </c>
      <c r="P749" s="9">
        <v>10.849677748364684</v>
      </c>
      <c r="Q749" s="9">
        <v>10.849677748364684</v>
      </c>
      <c r="R749" s="9">
        <v>11.170722907780601</v>
      </c>
      <c r="S749" s="9">
        <v>11.492217929976764</v>
      </c>
      <c r="T749" s="9">
        <v>11.883294545064322</v>
      </c>
      <c r="U749" s="9">
        <v>13.000297731326581</v>
      </c>
      <c r="V749" s="9">
        <v>13.000297731326581</v>
      </c>
      <c r="W749" s="9">
        <v>13.000297731326581</v>
      </c>
      <c r="X749" s="9">
        <v>14.958198549450643</v>
      </c>
      <c r="Y749" s="9">
        <v>14.958198549450643</v>
      </c>
      <c r="Z749" s="9">
        <v>17.051363746786457</v>
      </c>
      <c r="AA749" s="9">
        <v>17.051363746786457</v>
      </c>
      <c r="AB749" s="9">
        <v>19.346970753451323</v>
      </c>
      <c r="AC749" s="9">
        <v>19.346970753451323</v>
      </c>
      <c r="AD749" s="9">
        <v>21.432573204379402</v>
      </c>
      <c r="AE749" s="9">
        <v>23.588481528315008</v>
      </c>
      <c r="AF749" s="9">
        <v>25.821726312558901</v>
      </c>
      <c r="AG749" s="9">
        <v>25.821726312558901</v>
      </c>
      <c r="AH749" s="9">
        <v>28.140041203141894</v>
      </c>
      <c r="AI749" s="9">
        <v>30.066669018394961</v>
      </c>
      <c r="AJ749" s="9">
        <v>3.0428788910505911</v>
      </c>
    </row>
    <row r="750" spans="1:36" x14ac:dyDescent="0.25">
      <c r="A750" t="s">
        <v>5411</v>
      </c>
      <c r="B750" t="s">
        <v>16</v>
      </c>
      <c r="C750" t="s">
        <v>17</v>
      </c>
      <c r="D750">
        <v>22300000</v>
      </c>
      <c r="E750">
        <v>22499999</v>
      </c>
      <c r="F750" t="s">
        <v>662</v>
      </c>
      <c r="G750" t="str">
        <f t="shared" si="22"/>
        <v>RJC</v>
      </c>
      <c r="H750" t="s">
        <v>663</v>
      </c>
      <c r="I750" t="s">
        <v>22</v>
      </c>
      <c r="J750" t="s">
        <v>21</v>
      </c>
      <c r="K750" s="6">
        <v>0.03</v>
      </c>
      <c r="L750" s="7">
        <f t="shared" si="23"/>
        <v>0.03</v>
      </c>
      <c r="M750" s="7">
        <v>3.0000000000000001E-3</v>
      </c>
      <c r="N750">
        <v>6</v>
      </c>
      <c r="O750" s="8">
        <v>10.849677748364684</v>
      </c>
      <c r="P750" s="9">
        <v>10.849677748364684</v>
      </c>
      <c r="Q750" s="9">
        <v>10.849677748364684</v>
      </c>
      <c r="R750" s="9">
        <v>11.170722907780601</v>
      </c>
      <c r="S750" s="9">
        <v>11.492217929976764</v>
      </c>
      <c r="T750" s="9">
        <v>11.883294545064322</v>
      </c>
      <c r="U750" s="9">
        <v>13.000297731326581</v>
      </c>
      <c r="V750" s="9">
        <v>13.000297731326581</v>
      </c>
      <c r="W750" s="9">
        <v>13.000297731326581</v>
      </c>
      <c r="X750" s="9">
        <v>14.958198549450643</v>
      </c>
      <c r="Y750" s="9">
        <v>14.958198549450643</v>
      </c>
      <c r="Z750" s="9">
        <v>17.051363746786457</v>
      </c>
      <c r="AA750" s="9">
        <v>17.051363746786457</v>
      </c>
      <c r="AB750" s="9">
        <v>19.346970753451323</v>
      </c>
      <c r="AC750" s="9">
        <v>19.346970753451323</v>
      </c>
      <c r="AD750" s="9">
        <v>21.432573204379402</v>
      </c>
      <c r="AE750" s="9">
        <v>23.588481528315008</v>
      </c>
      <c r="AF750" s="9">
        <v>25.821726312558901</v>
      </c>
      <c r="AG750" s="9">
        <v>25.821726312558901</v>
      </c>
      <c r="AH750" s="9">
        <v>28.140041203141894</v>
      </c>
      <c r="AI750" s="9">
        <v>30.066669018394961</v>
      </c>
      <c r="AJ750" s="9">
        <v>3.0428788910505911</v>
      </c>
    </row>
    <row r="751" spans="1:36" x14ac:dyDescent="0.25">
      <c r="A751" t="s">
        <v>5411</v>
      </c>
      <c r="B751" t="s">
        <v>16</v>
      </c>
      <c r="C751" t="s">
        <v>17</v>
      </c>
      <c r="D751">
        <v>22500000</v>
      </c>
      <c r="E751">
        <v>22699999</v>
      </c>
      <c r="F751" t="s">
        <v>662</v>
      </c>
      <c r="G751" t="str">
        <f t="shared" si="22"/>
        <v>RJC</v>
      </c>
      <c r="H751" t="s">
        <v>663</v>
      </c>
      <c r="I751" t="s">
        <v>22</v>
      </c>
      <c r="J751" t="s">
        <v>21</v>
      </c>
      <c r="K751" s="6">
        <v>0.03</v>
      </c>
      <c r="L751" s="7">
        <f t="shared" si="23"/>
        <v>0.03</v>
      </c>
      <c r="M751" s="7">
        <v>3.0000000000000001E-3</v>
      </c>
      <c r="N751">
        <v>6</v>
      </c>
      <c r="O751" s="8">
        <v>10.849677748364684</v>
      </c>
      <c r="P751" s="9">
        <v>10.849677748364684</v>
      </c>
      <c r="Q751" s="9">
        <v>10.849677748364684</v>
      </c>
      <c r="R751" s="9">
        <v>11.170722907780601</v>
      </c>
      <c r="S751" s="9">
        <v>11.492217929976764</v>
      </c>
      <c r="T751" s="9">
        <v>11.883294545064322</v>
      </c>
      <c r="U751" s="9">
        <v>13.000297731326581</v>
      </c>
      <c r="V751" s="9">
        <v>13.000297731326581</v>
      </c>
      <c r="W751" s="9">
        <v>13.000297731326581</v>
      </c>
      <c r="X751" s="9">
        <v>14.958198549450643</v>
      </c>
      <c r="Y751" s="9">
        <v>14.958198549450643</v>
      </c>
      <c r="Z751" s="9">
        <v>17.051363746786457</v>
      </c>
      <c r="AA751" s="9">
        <v>17.051363746786457</v>
      </c>
      <c r="AB751" s="9">
        <v>19.346970753451323</v>
      </c>
      <c r="AC751" s="9">
        <v>19.346970753451323</v>
      </c>
      <c r="AD751" s="9">
        <v>21.432573204379402</v>
      </c>
      <c r="AE751" s="9">
        <v>23.588481528315008</v>
      </c>
      <c r="AF751" s="9">
        <v>25.821726312558901</v>
      </c>
      <c r="AG751" s="9">
        <v>25.821726312558901</v>
      </c>
      <c r="AH751" s="9">
        <v>28.140041203141894</v>
      </c>
      <c r="AI751" s="9">
        <v>30.066669018394961</v>
      </c>
      <c r="AJ751" s="9">
        <v>3.0428788910505911</v>
      </c>
    </row>
    <row r="752" spans="1:36" x14ac:dyDescent="0.25">
      <c r="A752" t="s">
        <v>5411</v>
      </c>
      <c r="B752" t="s">
        <v>16</v>
      </c>
      <c r="C752" t="s">
        <v>17</v>
      </c>
      <c r="D752">
        <v>22700000</v>
      </c>
      <c r="E752">
        <v>22723729</v>
      </c>
      <c r="F752" t="s">
        <v>662</v>
      </c>
      <c r="G752" t="str">
        <f t="shared" si="22"/>
        <v>RJC</v>
      </c>
      <c r="H752" t="s">
        <v>663</v>
      </c>
      <c r="I752" t="s">
        <v>22</v>
      </c>
      <c r="J752" t="s">
        <v>21</v>
      </c>
      <c r="K752" s="6">
        <v>0.03</v>
      </c>
      <c r="L752" s="7">
        <f t="shared" si="23"/>
        <v>0.03</v>
      </c>
      <c r="M752" s="7">
        <v>3.0000000000000001E-3</v>
      </c>
      <c r="N752">
        <v>6</v>
      </c>
      <c r="O752" s="8">
        <v>10.849677748364684</v>
      </c>
      <c r="P752" s="9">
        <v>10.849677748364684</v>
      </c>
      <c r="Q752" s="9">
        <v>10.849677748364684</v>
      </c>
      <c r="R752" s="9">
        <v>11.170722907780601</v>
      </c>
      <c r="S752" s="9">
        <v>11.492217929976764</v>
      </c>
      <c r="T752" s="9">
        <v>11.883294545064322</v>
      </c>
      <c r="U752" s="9">
        <v>13.000297731326581</v>
      </c>
      <c r="V752" s="9">
        <v>13.000297731326581</v>
      </c>
      <c r="W752" s="9">
        <v>13.000297731326581</v>
      </c>
      <c r="X752" s="9">
        <v>14.958198549450643</v>
      </c>
      <c r="Y752" s="9">
        <v>14.958198549450643</v>
      </c>
      <c r="Z752" s="9">
        <v>17.051363746786457</v>
      </c>
      <c r="AA752" s="9">
        <v>17.051363746786457</v>
      </c>
      <c r="AB752" s="9">
        <v>19.346970753451323</v>
      </c>
      <c r="AC752" s="9">
        <v>19.346970753451323</v>
      </c>
      <c r="AD752" s="9">
        <v>21.432573204379402</v>
      </c>
      <c r="AE752" s="9">
        <v>23.588481528315008</v>
      </c>
      <c r="AF752" s="9">
        <v>25.821726312558901</v>
      </c>
      <c r="AG752" s="9">
        <v>25.821726312558901</v>
      </c>
      <c r="AH752" s="9">
        <v>28.140041203141894</v>
      </c>
      <c r="AI752" s="9">
        <v>30.066669018394961</v>
      </c>
      <c r="AJ752" s="9">
        <v>3.0428788910505911</v>
      </c>
    </row>
    <row r="753" spans="1:36" x14ac:dyDescent="0.25">
      <c r="A753" t="s">
        <v>5411</v>
      </c>
      <c r="B753" t="s">
        <v>16</v>
      </c>
      <c r="C753" t="s">
        <v>17</v>
      </c>
      <c r="D753">
        <v>22723730</v>
      </c>
      <c r="E753">
        <v>22723730</v>
      </c>
      <c r="F753" t="s">
        <v>662</v>
      </c>
      <c r="G753" t="str">
        <f t="shared" si="22"/>
        <v>RJC</v>
      </c>
      <c r="H753" t="s">
        <v>663</v>
      </c>
      <c r="I753" t="s">
        <v>20</v>
      </c>
      <c r="J753" t="s">
        <v>21</v>
      </c>
      <c r="K753" s="6">
        <v>0.03</v>
      </c>
      <c r="L753" s="7">
        <f t="shared" si="23"/>
        <v>2E-3</v>
      </c>
      <c r="M753" s="7">
        <v>3.0000000000000001E-3</v>
      </c>
      <c r="N753">
        <v>6</v>
      </c>
      <c r="O753" s="8">
        <v>10.849677748364684</v>
      </c>
      <c r="P753" s="9">
        <v>10.849677748364684</v>
      </c>
      <c r="Q753" s="9">
        <v>10.849677748364684</v>
      </c>
      <c r="R753" s="9">
        <v>11.170722907780601</v>
      </c>
      <c r="S753" s="9">
        <v>11.492217929976764</v>
      </c>
      <c r="T753" s="9">
        <v>11.883294545064322</v>
      </c>
      <c r="U753" s="9">
        <v>13.000297731326581</v>
      </c>
      <c r="V753" s="9">
        <v>13.000297731326581</v>
      </c>
      <c r="W753" s="9">
        <v>13.000297731326581</v>
      </c>
      <c r="X753" s="9">
        <v>14.958198549450643</v>
      </c>
      <c r="Y753" s="9">
        <v>14.958198549450643</v>
      </c>
      <c r="Z753" s="9">
        <v>17.051363746786457</v>
      </c>
      <c r="AA753" s="9">
        <v>17.051363746786457</v>
      </c>
      <c r="AB753" s="9">
        <v>19.346970753451323</v>
      </c>
      <c r="AC753" s="9">
        <v>19.346970753451323</v>
      </c>
      <c r="AD753" s="9">
        <v>21.432573204379402</v>
      </c>
      <c r="AE753" s="9">
        <v>23.588481528315008</v>
      </c>
      <c r="AF753" s="9">
        <v>25.821726312558901</v>
      </c>
      <c r="AG753" s="9">
        <v>25.821726312558901</v>
      </c>
      <c r="AH753" s="9">
        <v>28.140041203141894</v>
      </c>
      <c r="AI753" s="9">
        <v>30.066669018394961</v>
      </c>
      <c r="AJ753" s="9">
        <v>3.0428788910505911</v>
      </c>
    </row>
    <row r="754" spans="1:36" x14ac:dyDescent="0.25">
      <c r="A754" t="s">
        <v>5411</v>
      </c>
      <c r="B754" t="s">
        <v>16</v>
      </c>
      <c r="C754" t="s">
        <v>17</v>
      </c>
      <c r="D754">
        <v>22723731</v>
      </c>
      <c r="E754">
        <v>22752999</v>
      </c>
      <c r="F754" t="s">
        <v>662</v>
      </c>
      <c r="G754" t="str">
        <f t="shared" si="22"/>
        <v>RJC</v>
      </c>
      <c r="H754" t="s">
        <v>663</v>
      </c>
      <c r="I754" t="s">
        <v>20</v>
      </c>
      <c r="J754" t="s">
        <v>21</v>
      </c>
      <c r="K754" s="6">
        <v>0.03</v>
      </c>
      <c r="L754" s="7">
        <f t="shared" si="23"/>
        <v>2E-3</v>
      </c>
      <c r="M754" s="7">
        <v>3.0000000000000001E-3</v>
      </c>
      <c r="N754">
        <v>6</v>
      </c>
      <c r="O754" s="8">
        <v>10.849677748364684</v>
      </c>
      <c r="P754" s="9">
        <v>10.849677748364684</v>
      </c>
      <c r="Q754" s="9">
        <v>10.849677748364684</v>
      </c>
      <c r="R754" s="9">
        <v>11.170722907780601</v>
      </c>
      <c r="S754" s="9">
        <v>11.492217929976764</v>
      </c>
      <c r="T754" s="9">
        <v>11.883294545064322</v>
      </c>
      <c r="U754" s="9">
        <v>13.000297731326581</v>
      </c>
      <c r="V754" s="9">
        <v>13.000297731326581</v>
      </c>
      <c r="W754" s="9">
        <v>13.000297731326581</v>
      </c>
      <c r="X754" s="9">
        <v>14.958198549450643</v>
      </c>
      <c r="Y754" s="9">
        <v>14.958198549450643</v>
      </c>
      <c r="Z754" s="9">
        <v>17.051363746786457</v>
      </c>
      <c r="AA754" s="9">
        <v>17.051363746786457</v>
      </c>
      <c r="AB754" s="9">
        <v>19.346970753451323</v>
      </c>
      <c r="AC754" s="9">
        <v>19.346970753451323</v>
      </c>
      <c r="AD754" s="9">
        <v>21.432573204379402</v>
      </c>
      <c r="AE754" s="9">
        <v>23.588481528315008</v>
      </c>
      <c r="AF754" s="9">
        <v>25.821726312558901</v>
      </c>
      <c r="AG754" s="9">
        <v>25.821726312558901</v>
      </c>
      <c r="AH754" s="9">
        <v>28.140041203141894</v>
      </c>
      <c r="AI754" s="9">
        <v>30.066669018394961</v>
      </c>
      <c r="AJ754" s="9">
        <v>3.0428788910505911</v>
      </c>
    </row>
    <row r="755" spans="1:36" x14ac:dyDescent="0.25">
      <c r="A755" t="s">
        <v>5411</v>
      </c>
      <c r="B755" t="s">
        <v>16</v>
      </c>
      <c r="C755" t="s">
        <v>17</v>
      </c>
      <c r="D755">
        <v>22753000</v>
      </c>
      <c r="E755">
        <v>22754999</v>
      </c>
      <c r="F755" t="s">
        <v>662</v>
      </c>
      <c r="G755" t="str">
        <f t="shared" si="22"/>
        <v>RJC</v>
      </c>
      <c r="H755" t="s">
        <v>663</v>
      </c>
      <c r="I755" t="s">
        <v>22</v>
      </c>
      <c r="J755" t="s">
        <v>21</v>
      </c>
      <c r="K755" s="6">
        <v>0.03</v>
      </c>
      <c r="L755" s="7">
        <f t="shared" si="23"/>
        <v>0.03</v>
      </c>
      <c r="M755" s="7">
        <v>3.0000000000000001E-3</v>
      </c>
      <c r="N755">
        <v>6</v>
      </c>
      <c r="O755" s="8">
        <v>10.849677748364684</v>
      </c>
      <c r="P755" s="9">
        <v>10.849677748364684</v>
      </c>
      <c r="Q755" s="9">
        <v>10.849677748364684</v>
      </c>
      <c r="R755" s="9">
        <v>11.170722907780601</v>
      </c>
      <c r="S755" s="9">
        <v>11.492217929976764</v>
      </c>
      <c r="T755" s="9">
        <v>11.883294545064322</v>
      </c>
      <c r="U755" s="9">
        <v>13.000297731326581</v>
      </c>
      <c r="V755" s="9">
        <v>13.000297731326581</v>
      </c>
      <c r="W755" s="9">
        <v>13.000297731326581</v>
      </c>
      <c r="X755" s="9">
        <v>14.958198549450643</v>
      </c>
      <c r="Y755" s="9">
        <v>14.958198549450643</v>
      </c>
      <c r="Z755" s="9">
        <v>17.051363746786457</v>
      </c>
      <c r="AA755" s="9">
        <v>17.051363746786457</v>
      </c>
      <c r="AB755" s="9">
        <v>19.346970753451323</v>
      </c>
      <c r="AC755" s="9">
        <v>19.346970753451323</v>
      </c>
      <c r="AD755" s="9">
        <v>21.432573204379402</v>
      </c>
      <c r="AE755" s="9">
        <v>23.588481528315008</v>
      </c>
      <c r="AF755" s="9">
        <v>25.821726312558901</v>
      </c>
      <c r="AG755" s="9">
        <v>25.821726312558901</v>
      </c>
      <c r="AH755" s="9">
        <v>28.140041203141894</v>
      </c>
      <c r="AI755" s="9">
        <v>30.066669018394961</v>
      </c>
      <c r="AJ755" s="9">
        <v>3.0428788910505911</v>
      </c>
    </row>
    <row r="756" spans="1:36" x14ac:dyDescent="0.25">
      <c r="A756" t="s">
        <v>5411</v>
      </c>
      <c r="B756" t="s">
        <v>16</v>
      </c>
      <c r="C756" t="s">
        <v>17</v>
      </c>
      <c r="D756">
        <v>22755000</v>
      </c>
      <c r="E756">
        <v>22770240</v>
      </c>
      <c r="F756" t="s">
        <v>662</v>
      </c>
      <c r="G756" t="str">
        <f t="shared" si="22"/>
        <v>RJC</v>
      </c>
      <c r="H756" t="s">
        <v>663</v>
      </c>
      <c r="I756" t="s">
        <v>20</v>
      </c>
      <c r="J756" t="s">
        <v>21</v>
      </c>
      <c r="K756" s="6">
        <v>0.03</v>
      </c>
      <c r="L756" s="7">
        <f t="shared" si="23"/>
        <v>2E-3</v>
      </c>
      <c r="M756" s="7">
        <v>3.0000000000000001E-3</v>
      </c>
      <c r="N756">
        <v>6</v>
      </c>
      <c r="O756" s="8">
        <v>10.849677748364684</v>
      </c>
      <c r="P756" s="9">
        <v>10.849677748364684</v>
      </c>
      <c r="Q756" s="9">
        <v>10.849677748364684</v>
      </c>
      <c r="R756" s="9">
        <v>11.170722907780601</v>
      </c>
      <c r="S756" s="9">
        <v>11.492217929976764</v>
      </c>
      <c r="T756" s="9">
        <v>11.883294545064322</v>
      </c>
      <c r="U756" s="9">
        <v>13.000297731326581</v>
      </c>
      <c r="V756" s="9">
        <v>13.000297731326581</v>
      </c>
      <c r="W756" s="9">
        <v>13.000297731326581</v>
      </c>
      <c r="X756" s="9">
        <v>14.958198549450643</v>
      </c>
      <c r="Y756" s="9">
        <v>14.958198549450643</v>
      </c>
      <c r="Z756" s="9">
        <v>17.051363746786457</v>
      </c>
      <c r="AA756" s="9">
        <v>17.051363746786457</v>
      </c>
      <c r="AB756" s="9">
        <v>19.346970753451323</v>
      </c>
      <c r="AC756" s="9">
        <v>19.346970753451323</v>
      </c>
      <c r="AD756" s="9">
        <v>21.432573204379402</v>
      </c>
      <c r="AE756" s="9">
        <v>23.588481528315008</v>
      </c>
      <c r="AF756" s="9">
        <v>25.821726312558901</v>
      </c>
      <c r="AG756" s="9">
        <v>25.821726312558901</v>
      </c>
      <c r="AH756" s="9">
        <v>28.140041203141894</v>
      </c>
      <c r="AI756" s="9">
        <v>30.066669018394961</v>
      </c>
      <c r="AJ756" s="9">
        <v>3.0428788910505911</v>
      </c>
    </row>
    <row r="757" spans="1:36" x14ac:dyDescent="0.25">
      <c r="A757" t="s">
        <v>5411</v>
      </c>
      <c r="B757" t="s">
        <v>16</v>
      </c>
      <c r="C757" t="s">
        <v>17</v>
      </c>
      <c r="D757">
        <v>22770241</v>
      </c>
      <c r="E757">
        <v>22773690</v>
      </c>
      <c r="F757" t="s">
        <v>662</v>
      </c>
      <c r="G757" t="str">
        <f t="shared" si="22"/>
        <v>RJC</v>
      </c>
      <c r="H757" t="s">
        <v>663</v>
      </c>
      <c r="I757" t="s">
        <v>20</v>
      </c>
      <c r="J757" t="s">
        <v>21</v>
      </c>
      <c r="K757" s="6">
        <v>0.03</v>
      </c>
      <c r="L757" s="7">
        <f t="shared" si="23"/>
        <v>2E-3</v>
      </c>
      <c r="M757" s="7">
        <v>3.0000000000000001E-3</v>
      </c>
      <c r="N757">
        <v>6</v>
      </c>
      <c r="O757" s="8">
        <v>10.849677748364684</v>
      </c>
      <c r="P757" s="9">
        <v>10.849677748364684</v>
      </c>
      <c r="Q757" s="9">
        <v>10.849677748364684</v>
      </c>
      <c r="R757" s="9">
        <v>11.170722907780601</v>
      </c>
      <c r="S757" s="9">
        <v>11.492217929976764</v>
      </c>
      <c r="T757" s="9">
        <v>11.883294545064322</v>
      </c>
      <c r="U757" s="9">
        <v>13.000297731326581</v>
      </c>
      <c r="V757" s="9">
        <v>13.000297731326581</v>
      </c>
      <c r="W757" s="9">
        <v>13.000297731326581</v>
      </c>
      <c r="X757" s="9">
        <v>14.958198549450643</v>
      </c>
      <c r="Y757" s="9">
        <v>14.958198549450643</v>
      </c>
      <c r="Z757" s="9">
        <v>17.051363746786457</v>
      </c>
      <c r="AA757" s="9">
        <v>17.051363746786457</v>
      </c>
      <c r="AB757" s="9">
        <v>19.346970753451323</v>
      </c>
      <c r="AC757" s="9">
        <v>19.346970753451323</v>
      </c>
      <c r="AD757" s="9">
        <v>21.432573204379402</v>
      </c>
      <c r="AE757" s="9">
        <v>23.588481528315008</v>
      </c>
      <c r="AF757" s="9">
        <v>25.821726312558901</v>
      </c>
      <c r="AG757" s="9">
        <v>25.821726312558901</v>
      </c>
      <c r="AH757" s="9">
        <v>28.140041203141894</v>
      </c>
      <c r="AI757" s="9">
        <v>30.066669018394961</v>
      </c>
      <c r="AJ757" s="9">
        <v>3.0428788910505911</v>
      </c>
    </row>
    <row r="758" spans="1:36" x14ac:dyDescent="0.25">
      <c r="A758" t="s">
        <v>5411</v>
      </c>
      <c r="B758" t="s">
        <v>16</v>
      </c>
      <c r="C758" t="s">
        <v>17</v>
      </c>
      <c r="D758">
        <v>22773691</v>
      </c>
      <c r="E758">
        <v>22775090</v>
      </c>
      <c r="F758" t="s">
        <v>662</v>
      </c>
      <c r="G758" t="str">
        <f t="shared" si="22"/>
        <v>RJC</v>
      </c>
      <c r="H758" t="s">
        <v>663</v>
      </c>
      <c r="I758" t="s">
        <v>20</v>
      </c>
      <c r="J758" t="s">
        <v>21</v>
      </c>
      <c r="K758" s="6">
        <v>0.03</v>
      </c>
      <c r="L758" s="7">
        <f t="shared" si="23"/>
        <v>2E-3</v>
      </c>
      <c r="M758" s="7">
        <v>3.0000000000000001E-3</v>
      </c>
      <c r="N758">
        <v>6</v>
      </c>
      <c r="O758" s="8">
        <v>10.849677748364684</v>
      </c>
      <c r="P758" s="9">
        <v>10.849677748364684</v>
      </c>
      <c r="Q758" s="9">
        <v>10.849677748364684</v>
      </c>
      <c r="R758" s="9">
        <v>11.170722907780601</v>
      </c>
      <c r="S758" s="9">
        <v>11.492217929976764</v>
      </c>
      <c r="T758" s="9">
        <v>11.883294545064322</v>
      </c>
      <c r="U758" s="9">
        <v>13.000297731326581</v>
      </c>
      <c r="V758" s="9">
        <v>13.000297731326581</v>
      </c>
      <c r="W758" s="9">
        <v>13.000297731326581</v>
      </c>
      <c r="X758" s="9">
        <v>14.958198549450643</v>
      </c>
      <c r="Y758" s="9">
        <v>14.958198549450643</v>
      </c>
      <c r="Z758" s="9">
        <v>17.051363746786457</v>
      </c>
      <c r="AA758" s="9">
        <v>17.051363746786457</v>
      </c>
      <c r="AB758" s="9">
        <v>19.346970753451323</v>
      </c>
      <c r="AC758" s="9">
        <v>19.346970753451323</v>
      </c>
      <c r="AD758" s="9">
        <v>21.432573204379402</v>
      </c>
      <c r="AE758" s="9">
        <v>23.588481528315008</v>
      </c>
      <c r="AF758" s="9">
        <v>25.821726312558901</v>
      </c>
      <c r="AG758" s="9">
        <v>25.821726312558901</v>
      </c>
      <c r="AH758" s="9">
        <v>28.140041203141894</v>
      </c>
      <c r="AI758" s="9">
        <v>30.066669018394961</v>
      </c>
      <c r="AJ758" s="9">
        <v>3.0428788910505911</v>
      </c>
    </row>
    <row r="759" spans="1:36" x14ac:dyDescent="0.25">
      <c r="A759" t="s">
        <v>5411</v>
      </c>
      <c r="B759" t="s">
        <v>16</v>
      </c>
      <c r="C759" t="s">
        <v>17</v>
      </c>
      <c r="D759">
        <v>22775091</v>
      </c>
      <c r="E759">
        <v>22775114</v>
      </c>
      <c r="F759" t="s">
        <v>662</v>
      </c>
      <c r="G759" t="str">
        <f t="shared" si="22"/>
        <v>RJC</v>
      </c>
      <c r="H759" t="s">
        <v>663</v>
      </c>
      <c r="I759" t="s">
        <v>20</v>
      </c>
      <c r="J759" t="s">
        <v>21</v>
      </c>
      <c r="K759" s="6">
        <v>0.03</v>
      </c>
      <c r="L759" s="7">
        <f t="shared" si="23"/>
        <v>2E-3</v>
      </c>
      <c r="M759" s="7">
        <v>3.0000000000000001E-3</v>
      </c>
      <c r="N759">
        <v>6</v>
      </c>
      <c r="O759" s="8">
        <v>10.849677748364684</v>
      </c>
      <c r="P759" s="9">
        <v>10.849677748364684</v>
      </c>
      <c r="Q759" s="9">
        <v>10.849677748364684</v>
      </c>
      <c r="R759" s="9">
        <v>11.170722907780601</v>
      </c>
      <c r="S759" s="9">
        <v>11.492217929976764</v>
      </c>
      <c r="T759" s="9">
        <v>11.883294545064322</v>
      </c>
      <c r="U759" s="9">
        <v>13.000297731326581</v>
      </c>
      <c r="V759" s="9">
        <v>13.000297731326581</v>
      </c>
      <c r="W759" s="9">
        <v>13.000297731326581</v>
      </c>
      <c r="X759" s="9">
        <v>14.958198549450643</v>
      </c>
      <c r="Y759" s="9">
        <v>14.958198549450643</v>
      </c>
      <c r="Z759" s="9">
        <v>17.051363746786457</v>
      </c>
      <c r="AA759" s="9">
        <v>17.051363746786457</v>
      </c>
      <c r="AB759" s="9">
        <v>19.346970753451323</v>
      </c>
      <c r="AC759" s="9">
        <v>19.346970753451323</v>
      </c>
      <c r="AD759" s="9">
        <v>21.432573204379402</v>
      </c>
      <c r="AE759" s="9">
        <v>23.588481528315008</v>
      </c>
      <c r="AF759" s="9">
        <v>25.821726312558901</v>
      </c>
      <c r="AG759" s="9">
        <v>25.821726312558901</v>
      </c>
      <c r="AH759" s="9">
        <v>28.140041203141894</v>
      </c>
      <c r="AI759" s="9">
        <v>30.066669018394961</v>
      </c>
      <c r="AJ759" s="9">
        <v>3.0428788910505911</v>
      </c>
    </row>
    <row r="760" spans="1:36" x14ac:dyDescent="0.25">
      <c r="A760" t="s">
        <v>5411</v>
      </c>
      <c r="B760" t="s">
        <v>16</v>
      </c>
      <c r="C760" t="s">
        <v>17</v>
      </c>
      <c r="D760">
        <v>22775115</v>
      </c>
      <c r="E760">
        <v>22775180</v>
      </c>
      <c r="F760" t="s">
        <v>662</v>
      </c>
      <c r="G760" t="str">
        <f t="shared" si="22"/>
        <v>RJC</v>
      </c>
      <c r="H760" t="s">
        <v>663</v>
      </c>
      <c r="I760" t="s">
        <v>20</v>
      </c>
      <c r="J760" t="s">
        <v>21</v>
      </c>
      <c r="K760" s="6">
        <v>0.03</v>
      </c>
      <c r="L760" s="7">
        <f t="shared" si="23"/>
        <v>2E-3</v>
      </c>
      <c r="M760" s="7">
        <v>3.0000000000000001E-3</v>
      </c>
      <c r="N760">
        <v>6</v>
      </c>
      <c r="O760" s="8">
        <v>10.849677748364684</v>
      </c>
      <c r="P760" s="9">
        <v>10.849677748364684</v>
      </c>
      <c r="Q760" s="9">
        <v>10.849677748364684</v>
      </c>
      <c r="R760" s="9">
        <v>11.170722907780601</v>
      </c>
      <c r="S760" s="9">
        <v>11.492217929976764</v>
      </c>
      <c r="T760" s="9">
        <v>11.883294545064322</v>
      </c>
      <c r="U760" s="9">
        <v>13.000297731326581</v>
      </c>
      <c r="V760" s="9">
        <v>13.000297731326581</v>
      </c>
      <c r="W760" s="9">
        <v>13.000297731326581</v>
      </c>
      <c r="X760" s="9">
        <v>14.958198549450643</v>
      </c>
      <c r="Y760" s="9">
        <v>14.958198549450643</v>
      </c>
      <c r="Z760" s="9">
        <v>17.051363746786457</v>
      </c>
      <c r="AA760" s="9">
        <v>17.051363746786457</v>
      </c>
      <c r="AB760" s="9">
        <v>19.346970753451323</v>
      </c>
      <c r="AC760" s="9">
        <v>19.346970753451323</v>
      </c>
      <c r="AD760" s="9">
        <v>21.432573204379402</v>
      </c>
      <c r="AE760" s="9">
        <v>23.588481528315008</v>
      </c>
      <c r="AF760" s="9">
        <v>25.821726312558901</v>
      </c>
      <c r="AG760" s="9">
        <v>25.821726312558901</v>
      </c>
      <c r="AH760" s="9">
        <v>28.140041203141894</v>
      </c>
      <c r="AI760" s="9">
        <v>30.066669018394961</v>
      </c>
      <c r="AJ760" s="9">
        <v>3.0428788910505911</v>
      </c>
    </row>
    <row r="761" spans="1:36" x14ac:dyDescent="0.25">
      <c r="A761" t="s">
        <v>5411</v>
      </c>
      <c r="B761" t="s">
        <v>16</v>
      </c>
      <c r="C761" t="s">
        <v>17</v>
      </c>
      <c r="D761">
        <v>22775181</v>
      </c>
      <c r="E761">
        <v>22775899</v>
      </c>
      <c r="F761" t="s">
        <v>662</v>
      </c>
      <c r="G761" t="str">
        <f t="shared" si="22"/>
        <v>RJC</v>
      </c>
      <c r="H761" t="s">
        <v>663</v>
      </c>
      <c r="I761" t="s">
        <v>20</v>
      </c>
      <c r="J761" t="s">
        <v>21</v>
      </c>
      <c r="K761" s="6">
        <v>0.03</v>
      </c>
      <c r="L761" s="7">
        <f t="shared" si="23"/>
        <v>2E-3</v>
      </c>
      <c r="M761" s="7">
        <v>3.0000000000000001E-3</v>
      </c>
      <c r="N761">
        <v>6</v>
      </c>
      <c r="O761" s="8">
        <v>10.849677748364684</v>
      </c>
      <c r="P761" s="9">
        <v>10.849677748364684</v>
      </c>
      <c r="Q761" s="9">
        <v>10.849677748364684</v>
      </c>
      <c r="R761" s="9">
        <v>11.170722907780601</v>
      </c>
      <c r="S761" s="9">
        <v>11.492217929976764</v>
      </c>
      <c r="T761" s="9">
        <v>11.883294545064322</v>
      </c>
      <c r="U761" s="9">
        <v>13.000297731326581</v>
      </c>
      <c r="V761" s="9">
        <v>13.000297731326581</v>
      </c>
      <c r="W761" s="9">
        <v>13.000297731326581</v>
      </c>
      <c r="X761" s="9">
        <v>14.958198549450643</v>
      </c>
      <c r="Y761" s="9">
        <v>14.958198549450643</v>
      </c>
      <c r="Z761" s="9">
        <v>17.051363746786457</v>
      </c>
      <c r="AA761" s="9">
        <v>17.051363746786457</v>
      </c>
      <c r="AB761" s="9">
        <v>19.346970753451323</v>
      </c>
      <c r="AC761" s="9">
        <v>19.346970753451323</v>
      </c>
      <c r="AD761" s="9">
        <v>21.432573204379402</v>
      </c>
      <c r="AE761" s="9">
        <v>23.588481528315008</v>
      </c>
      <c r="AF761" s="9">
        <v>25.821726312558901</v>
      </c>
      <c r="AG761" s="9">
        <v>25.821726312558901</v>
      </c>
      <c r="AH761" s="9">
        <v>28.140041203141894</v>
      </c>
      <c r="AI761" s="9">
        <v>30.066669018394961</v>
      </c>
      <c r="AJ761" s="9">
        <v>3.0428788910505911</v>
      </c>
    </row>
    <row r="762" spans="1:36" x14ac:dyDescent="0.25">
      <c r="A762" t="s">
        <v>5411</v>
      </c>
      <c r="B762" t="s">
        <v>16</v>
      </c>
      <c r="C762" t="s">
        <v>17</v>
      </c>
      <c r="D762">
        <v>22775900</v>
      </c>
      <c r="E762">
        <v>22999999</v>
      </c>
      <c r="F762" t="s">
        <v>662</v>
      </c>
      <c r="G762" t="str">
        <f t="shared" si="22"/>
        <v>RJC</v>
      </c>
      <c r="H762" t="s">
        <v>663</v>
      </c>
      <c r="I762" t="s">
        <v>20</v>
      </c>
      <c r="J762" t="s">
        <v>21</v>
      </c>
      <c r="K762" s="6">
        <v>0.03</v>
      </c>
      <c r="L762" s="7">
        <f t="shared" si="23"/>
        <v>2E-3</v>
      </c>
      <c r="M762" s="7">
        <v>3.0000000000000001E-3</v>
      </c>
      <c r="N762">
        <v>6</v>
      </c>
      <c r="O762" s="8">
        <v>10.849677748364684</v>
      </c>
      <c r="P762" s="9">
        <v>10.849677748364684</v>
      </c>
      <c r="Q762" s="9">
        <v>10.849677748364684</v>
      </c>
      <c r="R762" s="9">
        <v>11.170722907780601</v>
      </c>
      <c r="S762" s="9">
        <v>11.492217929976764</v>
      </c>
      <c r="T762" s="9">
        <v>11.883294545064322</v>
      </c>
      <c r="U762" s="9">
        <v>13.000297731326581</v>
      </c>
      <c r="V762" s="9">
        <v>13.000297731326581</v>
      </c>
      <c r="W762" s="9">
        <v>13.000297731326581</v>
      </c>
      <c r="X762" s="9">
        <v>14.958198549450643</v>
      </c>
      <c r="Y762" s="9">
        <v>14.958198549450643</v>
      </c>
      <c r="Z762" s="9">
        <v>17.051363746786457</v>
      </c>
      <c r="AA762" s="9">
        <v>17.051363746786457</v>
      </c>
      <c r="AB762" s="9">
        <v>19.346970753451323</v>
      </c>
      <c r="AC762" s="9">
        <v>19.346970753451323</v>
      </c>
      <c r="AD762" s="9">
        <v>21.432573204379402</v>
      </c>
      <c r="AE762" s="9">
        <v>23.588481528315008</v>
      </c>
      <c r="AF762" s="9">
        <v>25.821726312558901</v>
      </c>
      <c r="AG762" s="9">
        <v>25.821726312558901</v>
      </c>
      <c r="AH762" s="9">
        <v>28.140041203141894</v>
      </c>
      <c r="AI762" s="9">
        <v>30.066669018394961</v>
      </c>
      <c r="AJ762" s="9">
        <v>3.0428788910505911</v>
      </c>
    </row>
    <row r="763" spans="1:36" x14ac:dyDescent="0.25">
      <c r="A763" t="s">
        <v>5411</v>
      </c>
      <c r="B763" t="s">
        <v>16</v>
      </c>
      <c r="C763" t="s">
        <v>17</v>
      </c>
      <c r="D763">
        <v>23000000</v>
      </c>
      <c r="E763">
        <v>23099999</v>
      </c>
      <c r="F763" t="s">
        <v>662</v>
      </c>
      <c r="G763" t="str">
        <f t="shared" si="22"/>
        <v>RJC</v>
      </c>
      <c r="H763" t="s">
        <v>663</v>
      </c>
      <c r="I763" t="s">
        <v>22</v>
      </c>
      <c r="J763" t="s">
        <v>21</v>
      </c>
      <c r="K763" s="6">
        <v>0.03</v>
      </c>
      <c r="L763" s="7">
        <f t="shared" si="23"/>
        <v>0.03</v>
      </c>
      <c r="M763" s="7">
        <v>3.0000000000000001E-3</v>
      </c>
      <c r="N763">
        <v>6</v>
      </c>
      <c r="O763" s="8">
        <v>10.849677748364684</v>
      </c>
      <c r="P763" s="9">
        <v>10.849677748364684</v>
      </c>
      <c r="Q763" s="9">
        <v>10.849677748364684</v>
      </c>
      <c r="R763" s="9">
        <v>11.170722907780601</v>
      </c>
      <c r="S763" s="9">
        <v>11.492217929976764</v>
      </c>
      <c r="T763" s="9">
        <v>11.883294545064322</v>
      </c>
      <c r="U763" s="9">
        <v>13.000297731326581</v>
      </c>
      <c r="V763" s="9">
        <v>13.000297731326581</v>
      </c>
      <c r="W763" s="9">
        <v>13.000297731326581</v>
      </c>
      <c r="X763" s="9">
        <v>14.958198549450643</v>
      </c>
      <c r="Y763" s="9">
        <v>14.958198549450643</v>
      </c>
      <c r="Z763" s="9">
        <v>17.051363746786457</v>
      </c>
      <c r="AA763" s="9">
        <v>17.051363746786457</v>
      </c>
      <c r="AB763" s="9">
        <v>19.346970753451323</v>
      </c>
      <c r="AC763" s="9">
        <v>19.346970753451323</v>
      </c>
      <c r="AD763" s="9">
        <v>21.432573204379402</v>
      </c>
      <c r="AE763" s="9">
        <v>23.588481528315008</v>
      </c>
      <c r="AF763" s="9">
        <v>25.821726312558901</v>
      </c>
      <c r="AG763" s="9">
        <v>25.821726312558901</v>
      </c>
      <c r="AH763" s="9">
        <v>28.140041203141894</v>
      </c>
      <c r="AI763" s="9">
        <v>30.066669018394961</v>
      </c>
      <c r="AJ763" s="9">
        <v>3.0428788910505911</v>
      </c>
    </row>
    <row r="764" spans="1:36" x14ac:dyDescent="0.25">
      <c r="A764" t="s">
        <v>5411</v>
      </c>
      <c r="B764" t="s">
        <v>16</v>
      </c>
      <c r="C764" t="s">
        <v>17</v>
      </c>
      <c r="D764">
        <v>23100000</v>
      </c>
      <c r="E764">
        <v>23599999</v>
      </c>
      <c r="F764" t="s">
        <v>662</v>
      </c>
      <c r="G764" t="str">
        <f t="shared" si="22"/>
        <v>RJI II</v>
      </c>
      <c r="H764" t="s">
        <v>663</v>
      </c>
      <c r="I764" t="s">
        <v>22</v>
      </c>
      <c r="J764" t="s">
        <v>64</v>
      </c>
      <c r="K764" s="6">
        <v>0.03</v>
      </c>
      <c r="L764" s="7">
        <f t="shared" si="23"/>
        <v>0.03</v>
      </c>
      <c r="M764" s="7">
        <v>3.0000000000000001E-3</v>
      </c>
      <c r="N764">
        <v>6</v>
      </c>
      <c r="O764" s="8">
        <v>19.191626852122567</v>
      </c>
      <c r="P764" s="9">
        <v>19.191626852122567</v>
      </c>
      <c r="Q764" s="9">
        <v>19.191626852122567</v>
      </c>
      <c r="R764" s="9">
        <v>19.642928460363855</v>
      </c>
      <c r="S764" s="9">
        <v>19.262254068797603</v>
      </c>
      <c r="T764" s="9">
        <v>20.002437846806995</v>
      </c>
      <c r="U764" s="9">
        <v>22.129401407702662</v>
      </c>
      <c r="V764" s="9">
        <v>22.129401407702662</v>
      </c>
      <c r="W764" s="9">
        <v>22.129401407702662</v>
      </c>
      <c r="X764" s="9">
        <v>23.753502845598582</v>
      </c>
      <c r="Y764" s="9">
        <v>23.753502845598582</v>
      </c>
      <c r="Z764" s="9">
        <v>25.775343328389187</v>
      </c>
      <c r="AA764" s="9">
        <v>25.775343328389187</v>
      </c>
      <c r="AB764" s="9">
        <v>27.866292679254457</v>
      </c>
      <c r="AC764" s="9">
        <v>27.866292679254457</v>
      </c>
      <c r="AD764" s="9">
        <v>31.93012744838439</v>
      </c>
      <c r="AE764" s="9">
        <v>34.043682702868942</v>
      </c>
      <c r="AF764" s="9">
        <v>36.2561115580978</v>
      </c>
      <c r="AG764" s="9">
        <v>36.2561115580978</v>
      </c>
      <c r="AH764" s="9">
        <v>39.68435845151825</v>
      </c>
      <c r="AI764" s="9">
        <v>42.41487012813608</v>
      </c>
      <c r="AJ764" s="9">
        <v>3.0428788910505911</v>
      </c>
    </row>
    <row r="765" spans="1:36" x14ac:dyDescent="0.25">
      <c r="A765" t="s">
        <v>5411</v>
      </c>
      <c r="B765" t="s">
        <v>16</v>
      </c>
      <c r="C765" t="s">
        <v>17</v>
      </c>
      <c r="D765">
        <v>23600000</v>
      </c>
      <c r="E765">
        <v>23859999</v>
      </c>
      <c r="F765" t="s">
        <v>664</v>
      </c>
      <c r="G765" t="str">
        <f t="shared" si="22"/>
        <v>RJI II</v>
      </c>
      <c r="H765" t="s">
        <v>663</v>
      </c>
      <c r="I765" t="s">
        <v>22</v>
      </c>
      <c r="J765" t="s">
        <v>64</v>
      </c>
      <c r="K765" s="6">
        <v>0.03</v>
      </c>
      <c r="L765" s="7">
        <f t="shared" si="23"/>
        <v>0.03</v>
      </c>
      <c r="M765" s="7">
        <v>3.0000000000000001E-3</v>
      </c>
      <c r="N765">
        <v>8</v>
      </c>
      <c r="O765" s="8">
        <v>19.191626852122567</v>
      </c>
      <c r="P765" s="9">
        <v>19.191626852122567</v>
      </c>
      <c r="Q765" s="9">
        <v>19.191626852122567</v>
      </c>
      <c r="R765" s="9">
        <v>19.642928460363855</v>
      </c>
      <c r="S765" s="9">
        <v>19.262254068797603</v>
      </c>
      <c r="T765" s="9">
        <v>20.002437846806995</v>
      </c>
      <c r="U765" s="9">
        <v>22.129401407702662</v>
      </c>
      <c r="V765" s="9">
        <v>22.129401407702662</v>
      </c>
      <c r="W765" s="9">
        <v>22.129401407702662</v>
      </c>
      <c r="X765" s="9">
        <v>23.753502845598582</v>
      </c>
      <c r="Y765" s="9">
        <v>23.753502845598582</v>
      </c>
      <c r="Z765" s="9">
        <v>25.775343328389187</v>
      </c>
      <c r="AA765" s="9">
        <v>25.775343328389187</v>
      </c>
      <c r="AB765" s="9">
        <v>27.866292679254457</v>
      </c>
      <c r="AC765" s="9">
        <v>27.866292679254457</v>
      </c>
      <c r="AD765" s="9">
        <v>31.93012744838439</v>
      </c>
      <c r="AE765" s="9">
        <v>34.043682702868942</v>
      </c>
      <c r="AF765" s="9">
        <v>36.2561115580978</v>
      </c>
      <c r="AG765" s="9">
        <v>36.2561115580978</v>
      </c>
      <c r="AH765" s="9">
        <v>39.68435845151825</v>
      </c>
      <c r="AI765" s="9">
        <v>42.41487012813608</v>
      </c>
      <c r="AJ765" s="9">
        <v>3.0428788910505911</v>
      </c>
    </row>
    <row r="766" spans="1:36" x14ac:dyDescent="0.25">
      <c r="A766" t="s">
        <v>5411</v>
      </c>
      <c r="B766" t="s">
        <v>16</v>
      </c>
      <c r="C766" t="s">
        <v>17</v>
      </c>
      <c r="D766">
        <v>23860000</v>
      </c>
      <c r="E766">
        <v>23860999</v>
      </c>
      <c r="F766" t="s">
        <v>665</v>
      </c>
      <c r="G766" t="str">
        <f t="shared" si="22"/>
        <v>RJI</v>
      </c>
      <c r="H766" t="s">
        <v>663</v>
      </c>
      <c r="I766" t="s">
        <v>22</v>
      </c>
      <c r="J766" t="s">
        <v>62</v>
      </c>
      <c r="K766" s="6">
        <v>0.03</v>
      </c>
      <c r="L766" s="7">
        <f t="shared" si="23"/>
        <v>0.03</v>
      </c>
      <c r="M766" s="7">
        <v>3.0000000000000001E-3</v>
      </c>
      <c r="N766">
        <v>9</v>
      </c>
      <c r="O766" s="8">
        <v>15.267633692923473</v>
      </c>
      <c r="P766" s="9">
        <v>15.267633692923473</v>
      </c>
      <c r="Q766" s="9">
        <v>15.267633692923473</v>
      </c>
      <c r="R766" s="9">
        <v>15.455820801950338</v>
      </c>
      <c r="S766" s="9">
        <v>15.721645950324477</v>
      </c>
      <c r="T766" s="9">
        <v>16.739439286239044</v>
      </c>
      <c r="U766" s="9">
        <v>18.882065020469135</v>
      </c>
      <c r="V766" s="9">
        <v>18.882065020469135</v>
      </c>
      <c r="W766" s="9">
        <v>18.882065020469135</v>
      </c>
      <c r="X766" s="9">
        <v>20.560260982458932</v>
      </c>
      <c r="Y766" s="9">
        <v>20.560260982458932</v>
      </c>
      <c r="Z766" s="9">
        <v>22.671148936966464</v>
      </c>
      <c r="AA766" s="9">
        <v>22.671148936966464</v>
      </c>
      <c r="AB766" s="9">
        <v>24.988647885599047</v>
      </c>
      <c r="AC766" s="9">
        <v>24.988647885599047</v>
      </c>
      <c r="AD766" s="9">
        <v>27.429334733487696</v>
      </c>
      <c r="AE766" s="9">
        <v>30.009055056381616</v>
      </c>
      <c r="AF766" s="9">
        <v>34.85116305716884</v>
      </c>
      <c r="AG766" s="9">
        <v>34.85116305716884</v>
      </c>
      <c r="AH766" s="9">
        <v>37.75822329541549</v>
      </c>
      <c r="AI766" s="9">
        <v>40.581849370377171</v>
      </c>
      <c r="AJ766" s="9">
        <v>3.0428788910505911</v>
      </c>
    </row>
    <row r="767" spans="1:36" x14ac:dyDescent="0.25">
      <c r="A767" t="s">
        <v>5411</v>
      </c>
      <c r="B767" t="s">
        <v>16</v>
      </c>
      <c r="C767" t="s">
        <v>17</v>
      </c>
      <c r="D767">
        <v>23861000</v>
      </c>
      <c r="E767">
        <v>23869999</v>
      </c>
      <c r="F767" t="s">
        <v>666</v>
      </c>
      <c r="G767" t="str">
        <f t="shared" si="22"/>
        <v>RJR</v>
      </c>
      <c r="H767" t="s">
        <v>663</v>
      </c>
      <c r="I767" t="s">
        <v>22</v>
      </c>
      <c r="J767" t="s">
        <v>77</v>
      </c>
      <c r="K767" s="6">
        <v>0.03</v>
      </c>
      <c r="L767" s="7">
        <f t="shared" si="23"/>
        <v>0.03</v>
      </c>
      <c r="M767" s="7">
        <v>3.0000000000000001E-3</v>
      </c>
      <c r="N767">
        <v>20</v>
      </c>
      <c r="O767" s="8">
        <v>27.759279108538067</v>
      </c>
      <c r="P767" s="9">
        <v>27.759279108538067</v>
      </c>
      <c r="Q767" s="9">
        <v>27.759279108538067</v>
      </c>
      <c r="R767" s="9">
        <v>28.909938214135668</v>
      </c>
      <c r="S767" s="9">
        <v>29.129746609556125</v>
      </c>
      <c r="T767" s="9">
        <v>29.885241910517856</v>
      </c>
      <c r="U767" s="9">
        <v>31.387298550026539</v>
      </c>
      <c r="V767" s="9">
        <v>31.387298550026539</v>
      </c>
      <c r="W767" s="9">
        <v>31.387298550026539</v>
      </c>
      <c r="X767" s="9">
        <v>34.262376337518653</v>
      </c>
      <c r="Y767" s="9">
        <v>34.262376337518653</v>
      </c>
      <c r="Z767" s="9">
        <v>37.290012030342261</v>
      </c>
      <c r="AA767" s="9">
        <v>37.290012030342261</v>
      </c>
      <c r="AB767" s="9">
        <v>40.470361633702204</v>
      </c>
      <c r="AC767" s="9">
        <v>40.470361633702204</v>
      </c>
      <c r="AD767" s="9">
        <v>44.305029050310999</v>
      </c>
      <c r="AE767" s="9">
        <v>48.34275103891602</v>
      </c>
      <c r="AF767" s="9">
        <v>52.603833056716866</v>
      </c>
      <c r="AG767" s="9">
        <v>52.603833056716866</v>
      </c>
      <c r="AH767" s="9">
        <v>57.633590453735039</v>
      </c>
      <c r="AI767" s="9">
        <v>62.933613486080198</v>
      </c>
      <c r="AJ767" s="9">
        <v>3.0428788910505911</v>
      </c>
    </row>
    <row r="768" spans="1:36" x14ac:dyDescent="0.25">
      <c r="A768" t="s">
        <v>5411</v>
      </c>
      <c r="B768" t="s">
        <v>16</v>
      </c>
      <c r="C768" t="s">
        <v>17</v>
      </c>
      <c r="D768">
        <v>23870000</v>
      </c>
      <c r="E768">
        <v>23879999</v>
      </c>
      <c r="F768" t="s">
        <v>666</v>
      </c>
      <c r="G768" t="str">
        <f t="shared" si="22"/>
        <v>RJI</v>
      </c>
      <c r="H768" t="s">
        <v>663</v>
      </c>
      <c r="I768" t="s">
        <v>22</v>
      </c>
      <c r="J768" t="s">
        <v>62</v>
      </c>
      <c r="K768" s="6">
        <v>0.03</v>
      </c>
      <c r="L768" s="7">
        <f t="shared" si="23"/>
        <v>0.03</v>
      </c>
      <c r="M768" s="7">
        <v>3.0000000000000001E-3</v>
      </c>
      <c r="N768">
        <v>9</v>
      </c>
      <c r="O768" s="8">
        <v>15.267633692923473</v>
      </c>
      <c r="P768" s="9">
        <v>15.267633692923473</v>
      </c>
      <c r="Q768" s="9">
        <v>15.267633692923473</v>
      </c>
      <c r="R768" s="9">
        <v>15.455820801950338</v>
      </c>
      <c r="S768" s="9">
        <v>15.721645950324477</v>
      </c>
      <c r="T768" s="9">
        <v>16.739439286239044</v>
      </c>
      <c r="U768" s="9">
        <v>18.882065020469135</v>
      </c>
      <c r="V768" s="9">
        <v>18.882065020469135</v>
      </c>
      <c r="W768" s="9">
        <v>18.882065020469135</v>
      </c>
      <c r="X768" s="9">
        <v>20.560260982458932</v>
      </c>
      <c r="Y768" s="9">
        <v>20.560260982458932</v>
      </c>
      <c r="Z768" s="9">
        <v>22.671148936966464</v>
      </c>
      <c r="AA768" s="9">
        <v>22.671148936966464</v>
      </c>
      <c r="AB768" s="9">
        <v>24.988647885599047</v>
      </c>
      <c r="AC768" s="9">
        <v>24.988647885599047</v>
      </c>
      <c r="AD768" s="9">
        <v>27.429334733487696</v>
      </c>
      <c r="AE768" s="9">
        <v>30.009055056381616</v>
      </c>
      <c r="AF768" s="9">
        <v>34.85116305716884</v>
      </c>
      <c r="AG768" s="9">
        <v>34.85116305716884</v>
      </c>
      <c r="AH768" s="9">
        <v>37.75822329541549</v>
      </c>
      <c r="AI768" s="9">
        <v>40.581849370377171</v>
      </c>
      <c r="AJ768" s="9">
        <v>3.0428788910505911</v>
      </c>
    </row>
    <row r="769" spans="1:36" x14ac:dyDescent="0.25">
      <c r="A769" t="s">
        <v>5411</v>
      </c>
      <c r="B769" t="s">
        <v>16</v>
      </c>
      <c r="C769" t="s">
        <v>17</v>
      </c>
      <c r="D769">
        <v>23880000</v>
      </c>
      <c r="E769">
        <v>23889999</v>
      </c>
      <c r="F769" t="s">
        <v>666</v>
      </c>
      <c r="G769" t="str">
        <f t="shared" si="22"/>
        <v>RJI</v>
      </c>
      <c r="H769" t="s">
        <v>663</v>
      </c>
      <c r="I769" t="s">
        <v>22</v>
      </c>
      <c r="J769" t="s">
        <v>62</v>
      </c>
      <c r="K769" s="6">
        <v>0.03</v>
      </c>
      <c r="L769" s="7">
        <f t="shared" si="23"/>
        <v>0.03</v>
      </c>
      <c r="M769" s="7">
        <v>3.0000000000000001E-3</v>
      </c>
      <c r="N769">
        <v>9</v>
      </c>
      <c r="O769" s="8">
        <v>15.267633692923473</v>
      </c>
      <c r="P769" s="9">
        <v>15.267633692923473</v>
      </c>
      <c r="Q769" s="9">
        <v>15.267633692923473</v>
      </c>
      <c r="R769" s="9">
        <v>15.455820801950338</v>
      </c>
      <c r="S769" s="9">
        <v>15.721645950324477</v>
      </c>
      <c r="T769" s="9">
        <v>16.739439286239044</v>
      </c>
      <c r="U769" s="9">
        <v>18.882065020469135</v>
      </c>
      <c r="V769" s="9">
        <v>18.882065020469135</v>
      </c>
      <c r="W769" s="9">
        <v>18.882065020469135</v>
      </c>
      <c r="X769" s="9">
        <v>20.560260982458932</v>
      </c>
      <c r="Y769" s="9">
        <v>20.560260982458932</v>
      </c>
      <c r="Z769" s="9">
        <v>22.671148936966464</v>
      </c>
      <c r="AA769" s="9">
        <v>22.671148936966464</v>
      </c>
      <c r="AB769" s="9">
        <v>24.988647885599047</v>
      </c>
      <c r="AC769" s="9">
        <v>24.988647885599047</v>
      </c>
      <c r="AD769" s="9">
        <v>27.429334733487696</v>
      </c>
      <c r="AE769" s="9">
        <v>30.009055056381616</v>
      </c>
      <c r="AF769" s="9">
        <v>34.85116305716884</v>
      </c>
      <c r="AG769" s="9">
        <v>34.85116305716884</v>
      </c>
      <c r="AH769" s="9">
        <v>37.75822329541549</v>
      </c>
      <c r="AI769" s="9">
        <v>40.581849370377171</v>
      </c>
      <c r="AJ769" s="9">
        <v>3.0428788910505911</v>
      </c>
    </row>
    <row r="770" spans="1:36" x14ac:dyDescent="0.25">
      <c r="A770" t="s">
        <v>5411</v>
      </c>
      <c r="B770" t="s">
        <v>16</v>
      </c>
      <c r="C770" t="s">
        <v>17</v>
      </c>
      <c r="D770">
        <v>23890000</v>
      </c>
      <c r="E770">
        <v>23899999</v>
      </c>
      <c r="F770" t="s">
        <v>667</v>
      </c>
      <c r="G770" t="str">
        <f t="shared" si="22"/>
        <v>RJI</v>
      </c>
      <c r="H770" t="s">
        <v>663</v>
      </c>
      <c r="I770" t="s">
        <v>20</v>
      </c>
      <c r="J770" t="s">
        <v>62</v>
      </c>
      <c r="K770" s="6">
        <v>0.03</v>
      </c>
      <c r="L770" s="7">
        <f t="shared" si="23"/>
        <v>2E-3</v>
      </c>
      <c r="M770" s="7">
        <v>3.0000000000000001E-3</v>
      </c>
      <c r="N770">
        <v>9</v>
      </c>
      <c r="O770" s="8">
        <v>15.267633692923473</v>
      </c>
      <c r="P770" s="9">
        <v>15.267633692923473</v>
      </c>
      <c r="Q770" s="9">
        <v>15.267633692923473</v>
      </c>
      <c r="R770" s="9">
        <v>15.455820801950338</v>
      </c>
      <c r="S770" s="9">
        <v>15.721645950324477</v>
      </c>
      <c r="T770" s="9">
        <v>16.739439286239044</v>
      </c>
      <c r="U770" s="9">
        <v>18.882065020469135</v>
      </c>
      <c r="V770" s="9">
        <v>18.882065020469135</v>
      </c>
      <c r="W770" s="9">
        <v>18.882065020469135</v>
      </c>
      <c r="X770" s="9">
        <v>20.560260982458932</v>
      </c>
      <c r="Y770" s="9">
        <v>20.560260982458932</v>
      </c>
      <c r="Z770" s="9">
        <v>22.671148936966464</v>
      </c>
      <c r="AA770" s="9">
        <v>22.671148936966464</v>
      </c>
      <c r="AB770" s="9">
        <v>24.988647885599047</v>
      </c>
      <c r="AC770" s="9">
        <v>24.988647885599047</v>
      </c>
      <c r="AD770" s="9">
        <v>27.429334733487696</v>
      </c>
      <c r="AE770" s="9">
        <v>30.009055056381616</v>
      </c>
      <c r="AF770" s="9">
        <v>34.85116305716884</v>
      </c>
      <c r="AG770" s="9">
        <v>34.85116305716884</v>
      </c>
      <c r="AH770" s="9">
        <v>37.75822329541549</v>
      </c>
      <c r="AI770" s="9">
        <v>40.581849370377171</v>
      </c>
      <c r="AJ770" s="9">
        <v>3.0428788910505911</v>
      </c>
    </row>
    <row r="771" spans="1:36" x14ac:dyDescent="0.25">
      <c r="A771" t="s">
        <v>5411</v>
      </c>
      <c r="B771" t="s">
        <v>16</v>
      </c>
      <c r="C771" t="s">
        <v>17</v>
      </c>
      <c r="D771">
        <v>23900000</v>
      </c>
      <c r="E771">
        <v>23969999</v>
      </c>
      <c r="F771" t="s">
        <v>668</v>
      </c>
      <c r="G771" t="str">
        <f t="shared" si="22"/>
        <v>RJI II</v>
      </c>
      <c r="H771" t="s">
        <v>663</v>
      </c>
      <c r="I771" t="s">
        <v>20</v>
      </c>
      <c r="J771" t="s">
        <v>64</v>
      </c>
      <c r="K771" s="6">
        <v>0.03</v>
      </c>
      <c r="L771" s="7">
        <f t="shared" si="23"/>
        <v>2E-3</v>
      </c>
      <c r="M771" s="7">
        <v>3.0000000000000001E-3</v>
      </c>
      <c r="N771">
        <v>11</v>
      </c>
      <c r="O771" s="8">
        <v>19.191626852122567</v>
      </c>
      <c r="P771" s="9">
        <v>19.191626852122567</v>
      </c>
      <c r="Q771" s="9">
        <v>19.191626852122567</v>
      </c>
      <c r="R771" s="9">
        <v>19.642928460363855</v>
      </c>
      <c r="S771" s="9">
        <v>19.262254068797603</v>
      </c>
      <c r="T771" s="9">
        <v>20.002437846806995</v>
      </c>
      <c r="U771" s="9">
        <v>22.129401407702662</v>
      </c>
      <c r="V771" s="9">
        <v>22.129401407702662</v>
      </c>
      <c r="W771" s="9">
        <v>22.129401407702662</v>
      </c>
      <c r="X771" s="9">
        <v>23.753502845598582</v>
      </c>
      <c r="Y771" s="9">
        <v>23.753502845598582</v>
      </c>
      <c r="Z771" s="9">
        <v>25.775343328389187</v>
      </c>
      <c r="AA771" s="9">
        <v>25.775343328389187</v>
      </c>
      <c r="AB771" s="9">
        <v>27.866292679254457</v>
      </c>
      <c r="AC771" s="9">
        <v>27.866292679254457</v>
      </c>
      <c r="AD771" s="9">
        <v>31.93012744838439</v>
      </c>
      <c r="AE771" s="9">
        <v>34.043682702868942</v>
      </c>
      <c r="AF771" s="9">
        <v>36.2561115580978</v>
      </c>
      <c r="AG771" s="9">
        <v>36.2561115580978</v>
      </c>
      <c r="AH771" s="9">
        <v>39.68435845151825</v>
      </c>
      <c r="AI771" s="9">
        <v>42.41487012813608</v>
      </c>
      <c r="AJ771" s="9">
        <v>3.0428788910505911</v>
      </c>
    </row>
    <row r="772" spans="1:36" x14ac:dyDescent="0.25">
      <c r="A772" t="s">
        <v>5411</v>
      </c>
      <c r="B772" t="s">
        <v>16</v>
      </c>
      <c r="C772" t="s">
        <v>17</v>
      </c>
      <c r="D772">
        <v>23970000</v>
      </c>
      <c r="E772">
        <v>23999999</v>
      </c>
      <c r="F772" t="s">
        <v>669</v>
      </c>
      <c r="G772" t="str">
        <f t="shared" ref="G772:G835" si="24">H772&amp;IF(J772="CAPITAL","C",IF(J772="INTERIOR","I",IF(J772="INTERIOR II","I II","R")))</f>
        <v>RJI II</v>
      </c>
      <c r="H772" t="s">
        <v>663</v>
      </c>
      <c r="I772" t="s">
        <v>20</v>
      </c>
      <c r="J772" t="s">
        <v>64</v>
      </c>
      <c r="K772" s="6">
        <v>0.03</v>
      </c>
      <c r="L772" s="7">
        <f t="shared" ref="L772:L835" si="25">IF(I772="(0) Não",0.2%,3%)</f>
        <v>2E-3</v>
      </c>
      <c r="M772" s="7">
        <v>3.0000000000000001E-3</v>
      </c>
      <c r="N772">
        <v>11</v>
      </c>
      <c r="O772" s="8">
        <v>19.191626852122567</v>
      </c>
      <c r="P772" s="9">
        <v>19.191626852122567</v>
      </c>
      <c r="Q772" s="9">
        <v>19.191626852122567</v>
      </c>
      <c r="R772" s="9">
        <v>19.642928460363855</v>
      </c>
      <c r="S772" s="9">
        <v>19.262254068797603</v>
      </c>
      <c r="T772" s="9">
        <v>20.002437846806995</v>
      </c>
      <c r="U772" s="9">
        <v>22.129401407702662</v>
      </c>
      <c r="V772" s="9">
        <v>22.129401407702662</v>
      </c>
      <c r="W772" s="9">
        <v>22.129401407702662</v>
      </c>
      <c r="X772" s="9">
        <v>23.753502845598582</v>
      </c>
      <c r="Y772" s="9">
        <v>23.753502845598582</v>
      </c>
      <c r="Z772" s="9">
        <v>25.775343328389187</v>
      </c>
      <c r="AA772" s="9">
        <v>25.775343328389187</v>
      </c>
      <c r="AB772" s="9">
        <v>27.866292679254457</v>
      </c>
      <c r="AC772" s="9">
        <v>27.866292679254457</v>
      </c>
      <c r="AD772" s="9">
        <v>31.93012744838439</v>
      </c>
      <c r="AE772" s="9">
        <v>34.043682702868942</v>
      </c>
      <c r="AF772" s="9">
        <v>36.2561115580978</v>
      </c>
      <c r="AG772" s="9">
        <v>36.2561115580978</v>
      </c>
      <c r="AH772" s="9">
        <v>39.68435845151825</v>
      </c>
      <c r="AI772" s="9">
        <v>42.41487012813608</v>
      </c>
      <c r="AJ772" s="9">
        <v>3.0428788910505911</v>
      </c>
    </row>
    <row r="773" spans="1:36" x14ac:dyDescent="0.25">
      <c r="A773" t="s">
        <v>5411</v>
      </c>
      <c r="B773" t="s">
        <v>16</v>
      </c>
      <c r="C773" t="s">
        <v>17</v>
      </c>
      <c r="D773">
        <v>24000000</v>
      </c>
      <c r="E773">
        <v>24099999</v>
      </c>
      <c r="F773" t="s">
        <v>670</v>
      </c>
      <c r="G773" t="str">
        <f t="shared" si="24"/>
        <v>RJI</v>
      </c>
      <c r="H773" t="s">
        <v>663</v>
      </c>
      <c r="I773" t="s">
        <v>20</v>
      </c>
      <c r="J773" t="s">
        <v>62</v>
      </c>
      <c r="K773" s="6">
        <v>0.03</v>
      </c>
      <c r="L773" s="7">
        <f t="shared" si="25"/>
        <v>2E-3</v>
      </c>
      <c r="M773" s="7">
        <v>3.0000000000000001E-3</v>
      </c>
      <c r="N773">
        <v>7</v>
      </c>
      <c r="O773" s="8">
        <v>15.267633692923473</v>
      </c>
      <c r="P773" s="9">
        <v>15.267633692923473</v>
      </c>
      <c r="Q773" s="9">
        <v>15.267633692923473</v>
      </c>
      <c r="R773" s="9">
        <v>15.455820801950338</v>
      </c>
      <c r="S773" s="9">
        <v>15.721645950324477</v>
      </c>
      <c r="T773" s="9">
        <v>16.739439286239044</v>
      </c>
      <c r="U773" s="9">
        <v>18.882065020469135</v>
      </c>
      <c r="V773" s="9">
        <v>18.882065020469135</v>
      </c>
      <c r="W773" s="9">
        <v>18.882065020469135</v>
      </c>
      <c r="X773" s="9">
        <v>20.560260982458932</v>
      </c>
      <c r="Y773" s="9">
        <v>20.560260982458932</v>
      </c>
      <c r="Z773" s="9">
        <v>22.671148936966464</v>
      </c>
      <c r="AA773" s="9">
        <v>22.671148936966464</v>
      </c>
      <c r="AB773" s="9">
        <v>24.988647885599047</v>
      </c>
      <c r="AC773" s="9">
        <v>24.988647885599047</v>
      </c>
      <c r="AD773" s="9">
        <v>27.429334733487696</v>
      </c>
      <c r="AE773" s="9">
        <v>30.009055056381616</v>
      </c>
      <c r="AF773" s="9">
        <v>34.85116305716884</v>
      </c>
      <c r="AG773" s="9">
        <v>34.85116305716884</v>
      </c>
      <c r="AH773" s="9">
        <v>37.75822329541549</v>
      </c>
      <c r="AI773" s="9">
        <v>40.581849370377171</v>
      </c>
      <c r="AJ773" s="9">
        <v>3.0428788910505911</v>
      </c>
    </row>
    <row r="774" spans="1:36" x14ac:dyDescent="0.25">
      <c r="A774" t="s">
        <v>5411</v>
      </c>
      <c r="B774" t="s">
        <v>16</v>
      </c>
      <c r="C774" t="s">
        <v>17</v>
      </c>
      <c r="D774">
        <v>24100000</v>
      </c>
      <c r="E774">
        <v>24199999</v>
      </c>
      <c r="F774" t="s">
        <v>670</v>
      </c>
      <c r="G774" t="str">
        <f t="shared" si="24"/>
        <v>RJI</v>
      </c>
      <c r="H774" t="s">
        <v>663</v>
      </c>
      <c r="I774" t="s">
        <v>20</v>
      </c>
      <c r="J774" t="s">
        <v>62</v>
      </c>
      <c r="K774" s="6">
        <v>0.03</v>
      </c>
      <c r="L774" s="7">
        <f t="shared" si="25"/>
        <v>2E-3</v>
      </c>
      <c r="M774" s="7">
        <v>3.0000000000000001E-3</v>
      </c>
      <c r="N774">
        <v>7</v>
      </c>
      <c r="O774" s="8">
        <v>15.267633692923473</v>
      </c>
      <c r="P774" s="9">
        <v>15.267633692923473</v>
      </c>
      <c r="Q774" s="9">
        <v>15.267633692923473</v>
      </c>
      <c r="R774" s="9">
        <v>15.455820801950338</v>
      </c>
      <c r="S774" s="9">
        <v>15.721645950324477</v>
      </c>
      <c r="T774" s="9">
        <v>16.739439286239044</v>
      </c>
      <c r="U774" s="9">
        <v>18.882065020469135</v>
      </c>
      <c r="V774" s="9">
        <v>18.882065020469135</v>
      </c>
      <c r="W774" s="9">
        <v>18.882065020469135</v>
      </c>
      <c r="X774" s="9">
        <v>20.560260982458932</v>
      </c>
      <c r="Y774" s="9">
        <v>20.560260982458932</v>
      </c>
      <c r="Z774" s="9">
        <v>22.671148936966464</v>
      </c>
      <c r="AA774" s="9">
        <v>22.671148936966464</v>
      </c>
      <c r="AB774" s="9">
        <v>24.988647885599047</v>
      </c>
      <c r="AC774" s="9">
        <v>24.988647885599047</v>
      </c>
      <c r="AD774" s="9">
        <v>27.429334733487696</v>
      </c>
      <c r="AE774" s="9">
        <v>30.009055056381616</v>
      </c>
      <c r="AF774" s="9">
        <v>34.85116305716884</v>
      </c>
      <c r="AG774" s="9">
        <v>34.85116305716884</v>
      </c>
      <c r="AH774" s="9">
        <v>37.75822329541549</v>
      </c>
      <c r="AI774" s="9">
        <v>40.581849370377171</v>
      </c>
      <c r="AJ774" s="9">
        <v>3.0428788910505911</v>
      </c>
    </row>
    <row r="775" spans="1:36" x14ac:dyDescent="0.25">
      <c r="A775" t="s">
        <v>5411</v>
      </c>
      <c r="B775" t="s">
        <v>16</v>
      </c>
      <c r="C775" t="s">
        <v>17</v>
      </c>
      <c r="D775">
        <v>24200000</v>
      </c>
      <c r="E775">
        <v>24299999</v>
      </c>
      <c r="F775" t="s">
        <v>670</v>
      </c>
      <c r="G775" t="str">
        <f t="shared" si="24"/>
        <v>RJI</v>
      </c>
      <c r="H775" t="s">
        <v>663</v>
      </c>
      <c r="I775" t="s">
        <v>20</v>
      </c>
      <c r="J775" t="s">
        <v>62</v>
      </c>
      <c r="K775" s="6">
        <v>0.03</v>
      </c>
      <c r="L775" s="7">
        <f t="shared" si="25"/>
        <v>2E-3</v>
      </c>
      <c r="M775" s="7">
        <v>3.0000000000000001E-3</v>
      </c>
      <c r="N775">
        <v>7</v>
      </c>
      <c r="O775" s="8">
        <v>15.267633692923473</v>
      </c>
      <c r="P775" s="9">
        <v>15.267633692923473</v>
      </c>
      <c r="Q775" s="9">
        <v>15.267633692923473</v>
      </c>
      <c r="R775" s="9">
        <v>15.455820801950338</v>
      </c>
      <c r="S775" s="9">
        <v>15.721645950324477</v>
      </c>
      <c r="T775" s="9">
        <v>16.739439286239044</v>
      </c>
      <c r="U775" s="9">
        <v>18.882065020469135</v>
      </c>
      <c r="V775" s="9">
        <v>18.882065020469135</v>
      </c>
      <c r="W775" s="9">
        <v>18.882065020469135</v>
      </c>
      <c r="X775" s="9">
        <v>20.560260982458932</v>
      </c>
      <c r="Y775" s="9">
        <v>20.560260982458932</v>
      </c>
      <c r="Z775" s="9">
        <v>22.671148936966464</v>
      </c>
      <c r="AA775" s="9">
        <v>22.671148936966464</v>
      </c>
      <c r="AB775" s="9">
        <v>24.988647885599047</v>
      </c>
      <c r="AC775" s="9">
        <v>24.988647885599047</v>
      </c>
      <c r="AD775" s="9">
        <v>27.429334733487696</v>
      </c>
      <c r="AE775" s="9">
        <v>30.009055056381616</v>
      </c>
      <c r="AF775" s="9">
        <v>34.85116305716884</v>
      </c>
      <c r="AG775" s="9">
        <v>34.85116305716884</v>
      </c>
      <c r="AH775" s="9">
        <v>37.75822329541549</v>
      </c>
      <c r="AI775" s="9">
        <v>40.581849370377171</v>
      </c>
      <c r="AJ775" s="9">
        <v>3.0428788910505911</v>
      </c>
    </row>
    <row r="776" spans="1:36" x14ac:dyDescent="0.25">
      <c r="A776" t="s">
        <v>5411</v>
      </c>
      <c r="B776" t="s">
        <v>16</v>
      </c>
      <c r="C776" t="s">
        <v>17</v>
      </c>
      <c r="D776">
        <v>24300000</v>
      </c>
      <c r="E776">
        <v>24399999</v>
      </c>
      <c r="F776" t="s">
        <v>670</v>
      </c>
      <c r="G776" t="str">
        <f t="shared" si="24"/>
        <v>RJI</v>
      </c>
      <c r="H776" t="s">
        <v>663</v>
      </c>
      <c r="I776" t="s">
        <v>22</v>
      </c>
      <c r="J776" t="s">
        <v>62</v>
      </c>
      <c r="K776" s="6">
        <v>0.03</v>
      </c>
      <c r="L776" s="7">
        <f t="shared" si="25"/>
        <v>0.03</v>
      </c>
      <c r="M776" s="7">
        <v>3.0000000000000001E-3</v>
      </c>
      <c r="N776">
        <v>7</v>
      </c>
      <c r="O776" s="8">
        <v>15.267633692923473</v>
      </c>
      <c r="P776" s="9">
        <v>15.267633692923473</v>
      </c>
      <c r="Q776" s="9">
        <v>15.267633692923473</v>
      </c>
      <c r="R776" s="9">
        <v>15.455820801950338</v>
      </c>
      <c r="S776" s="9">
        <v>15.721645950324477</v>
      </c>
      <c r="T776" s="9">
        <v>16.739439286239044</v>
      </c>
      <c r="U776" s="9">
        <v>18.882065020469135</v>
      </c>
      <c r="V776" s="9">
        <v>18.882065020469135</v>
      </c>
      <c r="W776" s="9">
        <v>18.882065020469135</v>
      </c>
      <c r="X776" s="9">
        <v>20.560260982458932</v>
      </c>
      <c r="Y776" s="9">
        <v>20.560260982458932</v>
      </c>
      <c r="Z776" s="9">
        <v>22.671148936966464</v>
      </c>
      <c r="AA776" s="9">
        <v>22.671148936966464</v>
      </c>
      <c r="AB776" s="9">
        <v>24.988647885599047</v>
      </c>
      <c r="AC776" s="9">
        <v>24.988647885599047</v>
      </c>
      <c r="AD776" s="9">
        <v>27.429334733487696</v>
      </c>
      <c r="AE776" s="9">
        <v>30.009055056381616</v>
      </c>
      <c r="AF776" s="9">
        <v>34.85116305716884</v>
      </c>
      <c r="AG776" s="9">
        <v>34.85116305716884</v>
      </c>
      <c r="AH776" s="9">
        <v>37.75822329541549</v>
      </c>
      <c r="AI776" s="9">
        <v>40.581849370377171</v>
      </c>
      <c r="AJ776" s="9">
        <v>3.0428788910505911</v>
      </c>
    </row>
    <row r="777" spans="1:36" x14ac:dyDescent="0.25">
      <c r="A777" t="s">
        <v>5411</v>
      </c>
      <c r="B777" t="s">
        <v>16</v>
      </c>
      <c r="C777" t="s">
        <v>17</v>
      </c>
      <c r="D777">
        <v>24400000</v>
      </c>
      <c r="E777">
        <v>24499999</v>
      </c>
      <c r="F777" t="s">
        <v>671</v>
      </c>
      <c r="G777" t="str">
        <f t="shared" si="24"/>
        <v>RJI</v>
      </c>
      <c r="H777" t="s">
        <v>663</v>
      </c>
      <c r="I777" t="s">
        <v>22</v>
      </c>
      <c r="J777" t="s">
        <v>62</v>
      </c>
      <c r="K777" s="6">
        <v>0.03</v>
      </c>
      <c r="L777" s="7">
        <f t="shared" si="25"/>
        <v>0.03</v>
      </c>
      <c r="M777" s="7">
        <v>3.0000000000000001E-3</v>
      </c>
      <c r="N777">
        <v>9</v>
      </c>
      <c r="O777" s="8">
        <v>15.267633692923473</v>
      </c>
      <c r="P777" s="9">
        <v>15.267633692923473</v>
      </c>
      <c r="Q777" s="9">
        <v>15.267633692923473</v>
      </c>
      <c r="R777" s="9">
        <v>15.455820801950338</v>
      </c>
      <c r="S777" s="9">
        <v>15.721645950324477</v>
      </c>
      <c r="T777" s="9">
        <v>16.739439286239044</v>
      </c>
      <c r="U777" s="9">
        <v>18.882065020469135</v>
      </c>
      <c r="V777" s="9">
        <v>18.882065020469135</v>
      </c>
      <c r="W777" s="9">
        <v>18.882065020469135</v>
      </c>
      <c r="X777" s="9">
        <v>20.560260982458932</v>
      </c>
      <c r="Y777" s="9">
        <v>20.560260982458932</v>
      </c>
      <c r="Z777" s="9">
        <v>22.671148936966464</v>
      </c>
      <c r="AA777" s="9">
        <v>22.671148936966464</v>
      </c>
      <c r="AB777" s="9">
        <v>24.988647885599047</v>
      </c>
      <c r="AC777" s="9">
        <v>24.988647885599047</v>
      </c>
      <c r="AD777" s="9">
        <v>27.429334733487696</v>
      </c>
      <c r="AE777" s="9">
        <v>30.009055056381616</v>
      </c>
      <c r="AF777" s="9">
        <v>34.85116305716884</v>
      </c>
      <c r="AG777" s="9">
        <v>34.85116305716884</v>
      </c>
      <c r="AH777" s="9">
        <v>37.75822329541549</v>
      </c>
      <c r="AI777" s="9">
        <v>40.581849370377171</v>
      </c>
      <c r="AJ777" s="9">
        <v>3.0428788910505911</v>
      </c>
    </row>
    <row r="778" spans="1:36" x14ac:dyDescent="0.25">
      <c r="A778" t="s">
        <v>5411</v>
      </c>
      <c r="B778" t="s">
        <v>16</v>
      </c>
      <c r="C778" t="s">
        <v>17</v>
      </c>
      <c r="D778">
        <v>24500000</v>
      </c>
      <c r="E778">
        <v>24699999</v>
      </c>
      <c r="F778" t="s">
        <v>671</v>
      </c>
      <c r="G778" t="str">
        <f t="shared" si="24"/>
        <v>RJR</v>
      </c>
      <c r="H778" t="s">
        <v>663</v>
      </c>
      <c r="I778" t="s">
        <v>22</v>
      </c>
      <c r="J778" t="s">
        <v>77</v>
      </c>
      <c r="K778" s="6">
        <v>0.03</v>
      </c>
      <c r="L778" s="7">
        <f t="shared" si="25"/>
        <v>0.03</v>
      </c>
      <c r="M778" s="7">
        <v>3.0000000000000001E-3</v>
      </c>
      <c r="N778">
        <v>21</v>
      </c>
      <c r="O778" s="8">
        <v>27.759279108538067</v>
      </c>
      <c r="P778" s="9">
        <v>27.759279108538067</v>
      </c>
      <c r="Q778" s="9">
        <v>27.759279108538067</v>
      </c>
      <c r="R778" s="9">
        <v>28.909938214135668</v>
      </c>
      <c r="S778" s="9">
        <v>29.129746609556125</v>
      </c>
      <c r="T778" s="9">
        <v>29.885241910517856</v>
      </c>
      <c r="U778" s="9">
        <v>31.387298550026539</v>
      </c>
      <c r="V778" s="9">
        <v>31.387298550026539</v>
      </c>
      <c r="W778" s="9">
        <v>31.387298550026539</v>
      </c>
      <c r="X778" s="9">
        <v>34.262376337518653</v>
      </c>
      <c r="Y778" s="9">
        <v>34.262376337518653</v>
      </c>
      <c r="Z778" s="9">
        <v>37.290012030342261</v>
      </c>
      <c r="AA778" s="9">
        <v>37.290012030342261</v>
      </c>
      <c r="AB778" s="9">
        <v>40.470361633702204</v>
      </c>
      <c r="AC778" s="9">
        <v>40.470361633702204</v>
      </c>
      <c r="AD778" s="9">
        <v>44.305029050310999</v>
      </c>
      <c r="AE778" s="9">
        <v>48.34275103891602</v>
      </c>
      <c r="AF778" s="9">
        <v>52.603833056716866</v>
      </c>
      <c r="AG778" s="9">
        <v>52.603833056716866</v>
      </c>
      <c r="AH778" s="9">
        <v>57.633590453735039</v>
      </c>
      <c r="AI778" s="9">
        <v>62.933613486080198</v>
      </c>
      <c r="AJ778" s="9">
        <v>3.0428788910505911</v>
      </c>
    </row>
    <row r="779" spans="1:36" x14ac:dyDescent="0.25">
      <c r="A779" t="s">
        <v>5411</v>
      </c>
      <c r="B779" t="s">
        <v>16</v>
      </c>
      <c r="C779" t="s">
        <v>17</v>
      </c>
      <c r="D779">
        <v>24700000</v>
      </c>
      <c r="E779">
        <v>24799999</v>
      </c>
      <c r="F779" t="s">
        <v>671</v>
      </c>
      <c r="G779" t="str">
        <f t="shared" si="24"/>
        <v>RJI</v>
      </c>
      <c r="H779" t="s">
        <v>663</v>
      </c>
      <c r="I779" t="s">
        <v>22</v>
      </c>
      <c r="J779" t="s">
        <v>62</v>
      </c>
      <c r="K779" s="6">
        <v>0.03</v>
      </c>
      <c r="L779" s="7">
        <f t="shared" si="25"/>
        <v>0.03</v>
      </c>
      <c r="M779" s="7">
        <v>3.0000000000000001E-3</v>
      </c>
      <c r="N779">
        <v>9</v>
      </c>
      <c r="O779" s="8">
        <v>15.267633692923473</v>
      </c>
      <c r="P779" s="9">
        <v>15.267633692923473</v>
      </c>
      <c r="Q779" s="9">
        <v>15.267633692923473</v>
      </c>
      <c r="R779" s="9">
        <v>15.455820801950338</v>
      </c>
      <c r="S779" s="9">
        <v>15.721645950324477</v>
      </c>
      <c r="T779" s="9">
        <v>16.739439286239044</v>
      </c>
      <c r="U779" s="9">
        <v>18.882065020469135</v>
      </c>
      <c r="V779" s="9">
        <v>18.882065020469135</v>
      </c>
      <c r="W779" s="9">
        <v>18.882065020469135</v>
      </c>
      <c r="X779" s="9">
        <v>20.560260982458932</v>
      </c>
      <c r="Y779" s="9">
        <v>20.560260982458932</v>
      </c>
      <c r="Z779" s="9">
        <v>22.671148936966464</v>
      </c>
      <c r="AA779" s="9">
        <v>22.671148936966464</v>
      </c>
      <c r="AB779" s="9">
        <v>24.988647885599047</v>
      </c>
      <c r="AC779" s="9">
        <v>24.988647885599047</v>
      </c>
      <c r="AD779" s="9">
        <v>27.429334733487696</v>
      </c>
      <c r="AE779" s="9">
        <v>30.009055056381616</v>
      </c>
      <c r="AF779" s="9">
        <v>34.85116305716884</v>
      </c>
      <c r="AG779" s="9">
        <v>34.85116305716884</v>
      </c>
      <c r="AH779" s="9">
        <v>37.75822329541549</v>
      </c>
      <c r="AI779" s="9">
        <v>40.581849370377171</v>
      </c>
      <c r="AJ779" s="9">
        <v>3.0428788910505911</v>
      </c>
    </row>
    <row r="780" spans="1:36" x14ac:dyDescent="0.25">
      <c r="A780" t="s">
        <v>5411</v>
      </c>
      <c r="B780" t="s">
        <v>16</v>
      </c>
      <c r="C780" t="s">
        <v>17</v>
      </c>
      <c r="D780">
        <v>24800000</v>
      </c>
      <c r="E780">
        <v>24889999</v>
      </c>
      <c r="F780" t="s">
        <v>672</v>
      </c>
      <c r="G780" t="str">
        <f t="shared" si="24"/>
        <v>RJI</v>
      </c>
      <c r="H780" t="s">
        <v>663</v>
      </c>
      <c r="I780" t="s">
        <v>22</v>
      </c>
      <c r="J780" t="s">
        <v>62</v>
      </c>
      <c r="K780" s="6">
        <v>0.03</v>
      </c>
      <c r="L780" s="7">
        <f t="shared" si="25"/>
        <v>0.03</v>
      </c>
      <c r="M780" s="7">
        <v>3.0000000000000001E-3</v>
      </c>
      <c r="N780">
        <v>9</v>
      </c>
      <c r="O780" s="8">
        <v>15.267633692923473</v>
      </c>
      <c r="P780" s="9">
        <v>15.267633692923473</v>
      </c>
      <c r="Q780" s="9">
        <v>15.267633692923473</v>
      </c>
      <c r="R780" s="9">
        <v>15.455820801950338</v>
      </c>
      <c r="S780" s="9">
        <v>15.721645950324477</v>
      </c>
      <c r="T780" s="9">
        <v>16.739439286239044</v>
      </c>
      <c r="U780" s="9">
        <v>18.882065020469135</v>
      </c>
      <c r="V780" s="9">
        <v>18.882065020469135</v>
      </c>
      <c r="W780" s="9">
        <v>18.882065020469135</v>
      </c>
      <c r="X780" s="9">
        <v>20.560260982458932</v>
      </c>
      <c r="Y780" s="9">
        <v>20.560260982458932</v>
      </c>
      <c r="Z780" s="9">
        <v>22.671148936966464</v>
      </c>
      <c r="AA780" s="9">
        <v>22.671148936966464</v>
      </c>
      <c r="AB780" s="9">
        <v>24.988647885599047</v>
      </c>
      <c r="AC780" s="9">
        <v>24.988647885599047</v>
      </c>
      <c r="AD780" s="9">
        <v>27.429334733487696</v>
      </c>
      <c r="AE780" s="9">
        <v>30.009055056381616</v>
      </c>
      <c r="AF780" s="9">
        <v>34.85116305716884</v>
      </c>
      <c r="AG780" s="9">
        <v>34.85116305716884</v>
      </c>
      <c r="AH780" s="9">
        <v>37.75822329541549</v>
      </c>
      <c r="AI780" s="9">
        <v>40.581849370377171</v>
      </c>
      <c r="AJ780" s="9">
        <v>3.0428788910505911</v>
      </c>
    </row>
    <row r="781" spans="1:36" x14ac:dyDescent="0.25">
      <c r="A781" t="s">
        <v>5411</v>
      </c>
      <c r="B781" t="s">
        <v>16</v>
      </c>
      <c r="C781" t="s">
        <v>17</v>
      </c>
      <c r="D781">
        <v>24890000</v>
      </c>
      <c r="E781">
        <v>24899999</v>
      </c>
      <c r="F781" t="s">
        <v>673</v>
      </c>
      <c r="G781" t="str">
        <f t="shared" si="24"/>
        <v>RJI</v>
      </c>
      <c r="H781" t="s">
        <v>663</v>
      </c>
      <c r="I781" t="s">
        <v>22</v>
      </c>
      <c r="J781" t="s">
        <v>62</v>
      </c>
      <c r="K781" s="6">
        <v>0.03</v>
      </c>
      <c r="L781" s="7">
        <f t="shared" si="25"/>
        <v>0.03</v>
      </c>
      <c r="M781" s="7">
        <v>3.0000000000000001E-3</v>
      </c>
      <c r="N781">
        <v>9</v>
      </c>
      <c r="O781" s="8">
        <v>15.267633692923473</v>
      </c>
      <c r="P781" s="9">
        <v>15.267633692923473</v>
      </c>
      <c r="Q781" s="9">
        <v>15.267633692923473</v>
      </c>
      <c r="R781" s="9">
        <v>15.455820801950338</v>
      </c>
      <c r="S781" s="9">
        <v>15.721645950324477</v>
      </c>
      <c r="T781" s="9">
        <v>16.739439286239044</v>
      </c>
      <c r="U781" s="9">
        <v>18.882065020469135</v>
      </c>
      <c r="V781" s="9">
        <v>18.882065020469135</v>
      </c>
      <c r="W781" s="9">
        <v>18.882065020469135</v>
      </c>
      <c r="X781" s="9">
        <v>20.560260982458932</v>
      </c>
      <c r="Y781" s="9">
        <v>20.560260982458932</v>
      </c>
      <c r="Z781" s="9">
        <v>22.671148936966464</v>
      </c>
      <c r="AA781" s="9">
        <v>22.671148936966464</v>
      </c>
      <c r="AB781" s="9">
        <v>24.988647885599047</v>
      </c>
      <c r="AC781" s="9">
        <v>24.988647885599047</v>
      </c>
      <c r="AD781" s="9">
        <v>27.429334733487696</v>
      </c>
      <c r="AE781" s="9">
        <v>30.009055056381616</v>
      </c>
      <c r="AF781" s="9">
        <v>34.85116305716884</v>
      </c>
      <c r="AG781" s="9">
        <v>34.85116305716884</v>
      </c>
      <c r="AH781" s="9">
        <v>37.75822329541549</v>
      </c>
      <c r="AI781" s="9">
        <v>40.581849370377171</v>
      </c>
      <c r="AJ781" s="9">
        <v>3.0428788910505911</v>
      </c>
    </row>
    <row r="782" spans="1:36" x14ac:dyDescent="0.25">
      <c r="A782" t="s">
        <v>5411</v>
      </c>
      <c r="B782" t="s">
        <v>16</v>
      </c>
      <c r="C782" t="s">
        <v>17</v>
      </c>
      <c r="D782">
        <v>24900000</v>
      </c>
      <c r="E782">
        <v>24999999</v>
      </c>
      <c r="F782" t="s">
        <v>674</v>
      </c>
      <c r="G782" t="str">
        <f t="shared" si="24"/>
        <v>RJI</v>
      </c>
      <c r="H782" t="s">
        <v>663</v>
      </c>
      <c r="I782" t="s">
        <v>22</v>
      </c>
      <c r="J782" t="s">
        <v>62</v>
      </c>
      <c r="K782" s="6">
        <v>0.03</v>
      </c>
      <c r="L782" s="7">
        <f t="shared" si="25"/>
        <v>0.03</v>
      </c>
      <c r="M782" s="7">
        <v>3.0000000000000001E-3</v>
      </c>
      <c r="N782">
        <v>9</v>
      </c>
      <c r="O782" s="8">
        <v>15.267633692923473</v>
      </c>
      <c r="P782" s="9">
        <v>15.267633692923473</v>
      </c>
      <c r="Q782" s="9">
        <v>15.267633692923473</v>
      </c>
      <c r="R782" s="9">
        <v>15.455820801950338</v>
      </c>
      <c r="S782" s="9">
        <v>15.721645950324477</v>
      </c>
      <c r="T782" s="9">
        <v>16.739439286239044</v>
      </c>
      <c r="U782" s="9">
        <v>18.882065020469135</v>
      </c>
      <c r="V782" s="9">
        <v>18.882065020469135</v>
      </c>
      <c r="W782" s="9">
        <v>18.882065020469135</v>
      </c>
      <c r="X782" s="9">
        <v>20.560260982458932</v>
      </c>
      <c r="Y782" s="9">
        <v>20.560260982458932</v>
      </c>
      <c r="Z782" s="9">
        <v>22.671148936966464</v>
      </c>
      <c r="AA782" s="9">
        <v>22.671148936966464</v>
      </c>
      <c r="AB782" s="9">
        <v>24.988647885599047</v>
      </c>
      <c r="AC782" s="9">
        <v>24.988647885599047</v>
      </c>
      <c r="AD782" s="9">
        <v>27.429334733487696</v>
      </c>
      <c r="AE782" s="9">
        <v>30.009055056381616</v>
      </c>
      <c r="AF782" s="9">
        <v>34.85116305716884</v>
      </c>
      <c r="AG782" s="9">
        <v>34.85116305716884</v>
      </c>
      <c r="AH782" s="9">
        <v>37.75822329541549</v>
      </c>
      <c r="AI782" s="9">
        <v>40.581849370377171</v>
      </c>
      <c r="AJ782" s="9">
        <v>3.0428788910505911</v>
      </c>
    </row>
    <row r="783" spans="1:36" x14ac:dyDescent="0.25">
      <c r="A783" t="s">
        <v>5411</v>
      </c>
      <c r="B783" t="s">
        <v>16</v>
      </c>
      <c r="C783" t="s">
        <v>17</v>
      </c>
      <c r="D783">
        <v>25000000</v>
      </c>
      <c r="E783">
        <v>25099999</v>
      </c>
      <c r="F783" t="s">
        <v>675</v>
      </c>
      <c r="G783" t="str">
        <f t="shared" si="24"/>
        <v>RJI</v>
      </c>
      <c r="H783" t="s">
        <v>663</v>
      </c>
      <c r="I783" t="s">
        <v>22</v>
      </c>
      <c r="J783" t="s">
        <v>62</v>
      </c>
      <c r="K783" s="6">
        <v>0.03</v>
      </c>
      <c r="L783" s="7">
        <f t="shared" si="25"/>
        <v>0.03</v>
      </c>
      <c r="M783" s="7">
        <v>3.0000000000000001E-3</v>
      </c>
      <c r="N783">
        <v>7</v>
      </c>
      <c r="O783" s="8">
        <v>15.267633692923473</v>
      </c>
      <c r="P783" s="9">
        <v>15.267633692923473</v>
      </c>
      <c r="Q783" s="9">
        <v>15.267633692923473</v>
      </c>
      <c r="R783" s="9">
        <v>15.455820801950338</v>
      </c>
      <c r="S783" s="9">
        <v>15.721645950324477</v>
      </c>
      <c r="T783" s="9">
        <v>16.739439286239044</v>
      </c>
      <c r="U783" s="9">
        <v>18.882065020469135</v>
      </c>
      <c r="V783" s="9">
        <v>18.882065020469135</v>
      </c>
      <c r="W783" s="9">
        <v>18.882065020469135</v>
      </c>
      <c r="X783" s="9">
        <v>20.560260982458932</v>
      </c>
      <c r="Y783" s="9">
        <v>20.560260982458932</v>
      </c>
      <c r="Z783" s="9">
        <v>22.671148936966464</v>
      </c>
      <c r="AA783" s="9">
        <v>22.671148936966464</v>
      </c>
      <c r="AB783" s="9">
        <v>24.988647885599047</v>
      </c>
      <c r="AC783" s="9">
        <v>24.988647885599047</v>
      </c>
      <c r="AD783" s="9">
        <v>27.429334733487696</v>
      </c>
      <c r="AE783" s="9">
        <v>30.009055056381616</v>
      </c>
      <c r="AF783" s="9">
        <v>34.85116305716884</v>
      </c>
      <c r="AG783" s="9">
        <v>34.85116305716884</v>
      </c>
      <c r="AH783" s="9">
        <v>37.75822329541549</v>
      </c>
      <c r="AI783" s="9">
        <v>40.581849370377171</v>
      </c>
      <c r="AJ783" s="9">
        <v>3.0428788910505911</v>
      </c>
    </row>
    <row r="784" spans="1:36" x14ac:dyDescent="0.25">
      <c r="A784" t="s">
        <v>5411</v>
      </c>
      <c r="B784" t="s">
        <v>16</v>
      </c>
      <c r="C784" t="s">
        <v>17</v>
      </c>
      <c r="D784">
        <v>25100000</v>
      </c>
      <c r="E784">
        <v>25199999</v>
      </c>
      <c r="F784" t="s">
        <v>675</v>
      </c>
      <c r="G784" t="str">
        <f t="shared" si="24"/>
        <v>RJR</v>
      </c>
      <c r="H784" t="s">
        <v>663</v>
      </c>
      <c r="I784" t="s">
        <v>22</v>
      </c>
      <c r="J784" t="s">
        <v>77</v>
      </c>
      <c r="K784" s="6">
        <v>0.03</v>
      </c>
      <c r="L784" s="7">
        <f t="shared" si="25"/>
        <v>0.03</v>
      </c>
      <c r="M784" s="7">
        <v>3.0000000000000001E-3</v>
      </c>
      <c r="N784">
        <v>21</v>
      </c>
      <c r="O784" s="8">
        <v>27.759279108538067</v>
      </c>
      <c r="P784" s="9">
        <v>27.759279108538067</v>
      </c>
      <c r="Q784" s="9">
        <v>27.759279108538067</v>
      </c>
      <c r="R784" s="9">
        <v>28.909938214135668</v>
      </c>
      <c r="S784" s="9">
        <v>29.129746609556125</v>
      </c>
      <c r="T784" s="9">
        <v>29.885241910517856</v>
      </c>
      <c r="U784" s="9">
        <v>31.387298550026539</v>
      </c>
      <c r="V784" s="9">
        <v>31.387298550026539</v>
      </c>
      <c r="W784" s="9">
        <v>31.387298550026539</v>
      </c>
      <c r="X784" s="9">
        <v>34.262376337518653</v>
      </c>
      <c r="Y784" s="9">
        <v>34.262376337518653</v>
      </c>
      <c r="Z784" s="9">
        <v>37.290012030342261</v>
      </c>
      <c r="AA784" s="9">
        <v>37.290012030342261</v>
      </c>
      <c r="AB784" s="9">
        <v>40.470361633702204</v>
      </c>
      <c r="AC784" s="9">
        <v>40.470361633702204</v>
      </c>
      <c r="AD784" s="9">
        <v>44.305029050310999</v>
      </c>
      <c r="AE784" s="9">
        <v>48.34275103891602</v>
      </c>
      <c r="AF784" s="9">
        <v>52.603833056716866</v>
      </c>
      <c r="AG784" s="9">
        <v>52.603833056716866</v>
      </c>
      <c r="AH784" s="9">
        <v>57.633590453735039</v>
      </c>
      <c r="AI784" s="9">
        <v>62.933613486080198</v>
      </c>
      <c r="AJ784" s="9">
        <v>3.0428788910505911</v>
      </c>
    </row>
    <row r="785" spans="1:36" x14ac:dyDescent="0.25">
      <c r="A785" t="s">
        <v>5411</v>
      </c>
      <c r="B785" t="s">
        <v>16</v>
      </c>
      <c r="C785" t="s">
        <v>17</v>
      </c>
      <c r="D785">
        <v>25200000</v>
      </c>
      <c r="E785">
        <v>25299999</v>
      </c>
      <c r="F785" t="s">
        <v>675</v>
      </c>
      <c r="G785" t="str">
        <f t="shared" si="24"/>
        <v>RJI</v>
      </c>
      <c r="H785" t="s">
        <v>663</v>
      </c>
      <c r="I785" t="s">
        <v>22</v>
      </c>
      <c r="J785" t="s">
        <v>62</v>
      </c>
      <c r="K785" s="6">
        <v>0.03</v>
      </c>
      <c r="L785" s="7">
        <f t="shared" si="25"/>
        <v>0.03</v>
      </c>
      <c r="M785" s="7">
        <v>3.0000000000000001E-3</v>
      </c>
      <c r="N785">
        <v>7</v>
      </c>
      <c r="O785" s="8">
        <v>15.267633692923473</v>
      </c>
      <c r="P785" s="9">
        <v>15.267633692923473</v>
      </c>
      <c r="Q785" s="9">
        <v>15.267633692923473</v>
      </c>
      <c r="R785" s="9">
        <v>15.455820801950338</v>
      </c>
      <c r="S785" s="9">
        <v>15.721645950324477</v>
      </c>
      <c r="T785" s="9">
        <v>16.739439286239044</v>
      </c>
      <c r="U785" s="9">
        <v>18.882065020469135</v>
      </c>
      <c r="V785" s="9">
        <v>18.882065020469135</v>
      </c>
      <c r="W785" s="9">
        <v>18.882065020469135</v>
      </c>
      <c r="X785" s="9">
        <v>20.560260982458932</v>
      </c>
      <c r="Y785" s="9">
        <v>20.560260982458932</v>
      </c>
      <c r="Z785" s="9">
        <v>22.671148936966464</v>
      </c>
      <c r="AA785" s="9">
        <v>22.671148936966464</v>
      </c>
      <c r="AB785" s="9">
        <v>24.988647885599047</v>
      </c>
      <c r="AC785" s="9">
        <v>24.988647885599047</v>
      </c>
      <c r="AD785" s="9">
        <v>27.429334733487696</v>
      </c>
      <c r="AE785" s="9">
        <v>30.009055056381616</v>
      </c>
      <c r="AF785" s="9">
        <v>34.85116305716884</v>
      </c>
      <c r="AG785" s="9">
        <v>34.85116305716884</v>
      </c>
      <c r="AH785" s="9">
        <v>37.75822329541549</v>
      </c>
      <c r="AI785" s="9">
        <v>40.581849370377171</v>
      </c>
      <c r="AJ785" s="9">
        <v>3.0428788910505911</v>
      </c>
    </row>
    <row r="786" spans="1:36" x14ac:dyDescent="0.25">
      <c r="A786" t="s">
        <v>5411</v>
      </c>
      <c r="B786" t="s">
        <v>16</v>
      </c>
      <c r="C786" t="s">
        <v>17</v>
      </c>
      <c r="D786">
        <v>25300000</v>
      </c>
      <c r="E786">
        <v>25599999</v>
      </c>
      <c r="F786" t="s">
        <v>676</v>
      </c>
      <c r="G786" t="str">
        <f t="shared" si="24"/>
        <v>RJI II</v>
      </c>
      <c r="H786" t="s">
        <v>663</v>
      </c>
      <c r="I786" t="s">
        <v>22</v>
      </c>
      <c r="J786" t="s">
        <v>64</v>
      </c>
      <c r="K786" s="6">
        <v>0.03</v>
      </c>
      <c r="L786" s="7">
        <f t="shared" si="25"/>
        <v>0.03</v>
      </c>
      <c r="M786" s="7">
        <v>3.0000000000000001E-3</v>
      </c>
      <c r="N786">
        <v>9</v>
      </c>
      <c r="O786" s="8">
        <v>19.191626852122567</v>
      </c>
      <c r="P786" s="9">
        <v>19.191626852122567</v>
      </c>
      <c r="Q786" s="9">
        <v>19.191626852122567</v>
      </c>
      <c r="R786" s="9">
        <v>19.642928460363855</v>
      </c>
      <c r="S786" s="9">
        <v>19.262254068797603</v>
      </c>
      <c r="T786" s="9">
        <v>20.002437846806995</v>
      </c>
      <c r="U786" s="9">
        <v>22.129401407702662</v>
      </c>
      <c r="V786" s="9">
        <v>22.129401407702662</v>
      </c>
      <c r="W786" s="9">
        <v>22.129401407702662</v>
      </c>
      <c r="X786" s="9">
        <v>23.753502845598582</v>
      </c>
      <c r="Y786" s="9">
        <v>23.753502845598582</v>
      </c>
      <c r="Z786" s="9">
        <v>25.775343328389187</v>
      </c>
      <c r="AA786" s="9">
        <v>25.775343328389187</v>
      </c>
      <c r="AB786" s="9">
        <v>27.866292679254457</v>
      </c>
      <c r="AC786" s="9">
        <v>27.866292679254457</v>
      </c>
      <c r="AD786" s="9">
        <v>31.93012744838439</v>
      </c>
      <c r="AE786" s="9">
        <v>34.043682702868942</v>
      </c>
      <c r="AF786" s="9">
        <v>36.2561115580978</v>
      </c>
      <c r="AG786" s="9">
        <v>36.2561115580978</v>
      </c>
      <c r="AH786" s="9">
        <v>39.68435845151825</v>
      </c>
      <c r="AI786" s="9">
        <v>42.41487012813608</v>
      </c>
      <c r="AJ786" s="9">
        <v>3.0428788910505911</v>
      </c>
    </row>
    <row r="787" spans="1:36" x14ac:dyDescent="0.25">
      <c r="A787" t="s">
        <v>5411</v>
      </c>
      <c r="B787" t="s">
        <v>16</v>
      </c>
      <c r="C787" t="s">
        <v>17</v>
      </c>
      <c r="D787">
        <v>25600000</v>
      </c>
      <c r="E787">
        <v>25699999</v>
      </c>
      <c r="F787" t="s">
        <v>677</v>
      </c>
      <c r="G787" t="str">
        <f t="shared" si="24"/>
        <v>RJI</v>
      </c>
      <c r="H787" t="s">
        <v>663</v>
      </c>
      <c r="I787" t="s">
        <v>20</v>
      </c>
      <c r="J787" t="s">
        <v>62</v>
      </c>
      <c r="K787" s="6">
        <v>0.03</v>
      </c>
      <c r="L787" s="7">
        <f t="shared" si="25"/>
        <v>2E-3</v>
      </c>
      <c r="M787" s="7">
        <v>3.0000000000000001E-3</v>
      </c>
      <c r="N787">
        <v>8</v>
      </c>
      <c r="O787" s="8">
        <v>15.267633692923473</v>
      </c>
      <c r="P787" s="9">
        <v>15.267633692923473</v>
      </c>
      <c r="Q787" s="9">
        <v>15.267633692923473</v>
      </c>
      <c r="R787" s="9">
        <v>15.455820801950338</v>
      </c>
      <c r="S787" s="9">
        <v>15.721645950324477</v>
      </c>
      <c r="T787" s="9">
        <v>16.739439286239044</v>
      </c>
      <c r="U787" s="9">
        <v>18.882065020469135</v>
      </c>
      <c r="V787" s="9">
        <v>18.882065020469135</v>
      </c>
      <c r="W787" s="9">
        <v>18.882065020469135</v>
      </c>
      <c r="X787" s="9">
        <v>20.560260982458932</v>
      </c>
      <c r="Y787" s="9">
        <v>20.560260982458932</v>
      </c>
      <c r="Z787" s="9">
        <v>22.671148936966464</v>
      </c>
      <c r="AA787" s="9">
        <v>22.671148936966464</v>
      </c>
      <c r="AB787" s="9">
        <v>24.988647885599047</v>
      </c>
      <c r="AC787" s="9">
        <v>24.988647885599047</v>
      </c>
      <c r="AD787" s="9">
        <v>27.429334733487696</v>
      </c>
      <c r="AE787" s="9">
        <v>30.009055056381616</v>
      </c>
      <c r="AF787" s="9">
        <v>34.85116305716884</v>
      </c>
      <c r="AG787" s="9">
        <v>34.85116305716884</v>
      </c>
      <c r="AH787" s="9">
        <v>37.75822329541549</v>
      </c>
      <c r="AI787" s="9">
        <v>40.581849370377171</v>
      </c>
      <c r="AJ787" s="9">
        <v>3.0428788910505911</v>
      </c>
    </row>
    <row r="788" spans="1:36" x14ac:dyDescent="0.25">
      <c r="A788" t="s">
        <v>5411</v>
      </c>
      <c r="B788" t="s">
        <v>16</v>
      </c>
      <c r="C788" t="s">
        <v>17</v>
      </c>
      <c r="D788">
        <v>25700000</v>
      </c>
      <c r="E788">
        <v>25779999</v>
      </c>
      <c r="F788" t="s">
        <v>677</v>
      </c>
      <c r="G788" t="str">
        <f t="shared" si="24"/>
        <v>RJI</v>
      </c>
      <c r="H788" t="s">
        <v>663</v>
      </c>
      <c r="I788" t="s">
        <v>20</v>
      </c>
      <c r="J788" t="s">
        <v>62</v>
      </c>
      <c r="K788" s="6">
        <v>0.03</v>
      </c>
      <c r="L788" s="7">
        <f t="shared" si="25"/>
        <v>2E-3</v>
      </c>
      <c r="M788" s="7">
        <v>3.0000000000000001E-3</v>
      </c>
      <c r="N788">
        <v>8</v>
      </c>
      <c r="O788" s="8">
        <v>15.267633692923473</v>
      </c>
      <c r="P788" s="9">
        <v>15.267633692923473</v>
      </c>
      <c r="Q788" s="9">
        <v>15.267633692923473</v>
      </c>
      <c r="R788" s="9">
        <v>15.455820801950338</v>
      </c>
      <c r="S788" s="9">
        <v>15.721645950324477</v>
      </c>
      <c r="T788" s="9">
        <v>16.739439286239044</v>
      </c>
      <c r="U788" s="9">
        <v>18.882065020469135</v>
      </c>
      <c r="V788" s="9">
        <v>18.882065020469135</v>
      </c>
      <c r="W788" s="9">
        <v>18.882065020469135</v>
      </c>
      <c r="X788" s="9">
        <v>20.560260982458932</v>
      </c>
      <c r="Y788" s="9">
        <v>20.560260982458932</v>
      </c>
      <c r="Z788" s="9">
        <v>22.671148936966464</v>
      </c>
      <c r="AA788" s="9">
        <v>22.671148936966464</v>
      </c>
      <c r="AB788" s="9">
        <v>24.988647885599047</v>
      </c>
      <c r="AC788" s="9">
        <v>24.988647885599047</v>
      </c>
      <c r="AD788" s="9">
        <v>27.429334733487696</v>
      </c>
      <c r="AE788" s="9">
        <v>30.009055056381616</v>
      </c>
      <c r="AF788" s="9">
        <v>34.85116305716884</v>
      </c>
      <c r="AG788" s="9">
        <v>34.85116305716884</v>
      </c>
      <c r="AH788" s="9">
        <v>37.75822329541549</v>
      </c>
      <c r="AI788" s="9">
        <v>40.581849370377171</v>
      </c>
      <c r="AJ788" s="9">
        <v>3.0428788910505911</v>
      </c>
    </row>
    <row r="789" spans="1:36" x14ac:dyDescent="0.25">
      <c r="A789" t="s">
        <v>5411</v>
      </c>
      <c r="B789" t="s">
        <v>16</v>
      </c>
      <c r="C789" t="s">
        <v>17</v>
      </c>
      <c r="D789">
        <v>25780000</v>
      </c>
      <c r="E789">
        <v>25799999</v>
      </c>
      <c r="F789" t="s">
        <v>678</v>
      </c>
      <c r="G789" t="str">
        <f t="shared" si="24"/>
        <v>RJI</v>
      </c>
      <c r="H789" t="s">
        <v>663</v>
      </c>
      <c r="I789" t="s">
        <v>20</v>
      </c>
      <c r="J789" t="s">
        <v>62</v>
      </c>
      <c r="K789" s="6">
        <v>0.03</v>
      </c>
      <c r="L789" s="7">
        <f t="shared" si="25"/>
        <v>2E-3</v>
      </c>
      <c r="M789" s="7">
        <v>3.0000000000000001E-3</v>
      </c>
      <c r="N789">
        <v>9</v>
      </c>
      <c r="O789" s="8">
        <v>15.267633692923473</v>
      </c>
      <c r="P789" s="9">
        <v>15.267633692923473</v>
      </c>
      <c r="Q789" s="9">
        <v>15.267633692923473</v>
      </c>
      <c r="R789" s="9">
        <v>15.455820801950338</v>
      </c>
      <c r="S789" s="9">
        <v>15.721645950324477</v>
      </c>
      <c r="T789" s="9">
        <v>16.739439286239044</v>
      </c>
      <c r="U789" s="9">
        <v>18.882065020469135</v>
      </c>
      <c r="V789" s="9">
        <v>18.882065020469135</v>
      </c>
      <c r="W789" s="9">
        <v>18.882065020469135</v>
      </c>
      <c r="X789" s="9">
        <v>20.560260982458932</v>
      </c>
      <c r="Y789" s="9">
        <v>20.560260982458932</v>
      </c>
      <c r="Z789" s="9">
        <v>22.671148936966464</v>
      </c>
      <c r="AA789" s="9">
        <v>22.671148936966464</v>
      </c>
      <c r="AB789" s="9">
        <v>24.988647885599047</v>
      </c>
      <c r="AC789" s="9">
        <v>24.988647885599047</v>
      </c>
      <c r="AD789" s="9">
        <v>27.429334733487696</v>
      </c>
      <c r="AE789" s="9">
        <v>30.009055056381616</v>
      </c>
      <c r="AF789" s="9">
        <v>34.85116305716884</v>
      </c>
      <c r="AG789" s="9">
        <v>34.85116305716884</v>
      </c>
      <c r="AH789" s="9">
        <v>37.75822329541549</v>
      </c>
      <c r="AI789" s="9">
        <v>40.581849370377171</v>
      </c>
      <c r="AJ789" s="9">
        <v>3.0428788910505911</v>
      </c>
    </row>
    <row r="790" spans="1:36" x14ac:dyDescent="0.25">
      <c r="A790" t="s">
        <v>5411</v>
      </c>
      <c r="B790" t="s">
        <v>16</v>
      </c>
      <c r="C790" t="s">
        <v>17</v>
      </c>
      <c r="D790">
        <v>25800000</v>
      </c>
      <c r="E790">
        <v>25859999</v>
      </c>
      <c r="F790" t="s">
        <v>679</v>
      </c>
      <c r="G790" t="str">
        <f t="shared" si="24"/>
        <v>RJI</v>
      </c>
      <c r="H790" t="s">
        <v>663</v>
      </c>
      <c r="I790" t="s">
        <v>20</v>
      </c>
      <c r="J790" t="s">
        <v>62</v>
      </c>
      <c r="K790" s="6">
        <v>0.03</v>
      </c>
      <c r="L790" s="7">
        <f t="shared" si="25"/>
        <v>2E-3</v>
      </c>
      <c r="M790" s="7">
        <v>3.0000000000000001E-3</v>
      </c>
      <c r="N790">
        <v>8</v>
      </c>
      <c r="O790" s="8">
        <v>15.267633692923473</v>
      </c>
      <c r="P790" s="9">
        <v>15.267633692923473</v>
      </c>
      <c r="Q790" s="9">
        <v>15.267633692923473</v>
      </c>
      <c r="R790" s="9">
        <v>15.455820801950338</v>
      </c>
      <c r="S790" s="9">
        <v>15.721645950324477</v>
      </c>
      <c r="T790" s="9">
        <v>16.739439286239044</v>
      </c>
      <c r="U790" s="9">
        <v>18.882065020469135</v>
      </c>
      <c r="V790" s="9">
        <v>18.882065020469135</v>
      </c>
      <c r="W790" s="9">
        <v>18.882065020469135</v>
      </c>
      <c r="X790" s="9">
        <v>20.560260982458932</v>
      </c>
      <c r="Y790" s="9">
        <v>20.560260982458932</v>
      </c>
      <c r="Z790" s="9">
        <v>22.671148936966464</v>
      </c>
      <c r="AA790" s="9">
        <v>22.671148936966464</v>
      </c>
      <c r="AB790" s="9">
        <v>24.988647885599047</v>
      </c>
      <c r="AC790" s="9">
        <v>24.988647885599047</v>
      </c>
      <c r="AD790" s="9">
        <v>27.429334733487696</v>
      </c>
      <c r="AE790" s="9">
        <v>30.009055056381616</v>
      </c>
      <c r="AF790" s="9">
        <v>34.85116305716884</v>
      </c>
      <c r="AG790" s="9">
        <v>34.85116305716884</v>
      </c>
      <c r="AH790" s="9">
        <v>37.75822329541549</v>
      </c>
      <c r="AI790" s="9">
        <v>40.581849370377171</v>
      </c>
      <c r="AJ790" s="9">
        <v>3.0428788910505911</v>
      </c>
    </row>
    <row r="791" spans="1:36" x14ac:dyDescent="0.25">
      <c r="A791" t="s">
        <v>5411</v>
      </c>
      <c r="B791" t="s">
        <v>16</v>
      </c>
      <c r="C791" t="s">
        <v>17</v>
      </c>
      <c r="D791">
        <v>25860000</v>
      </c>
      <c r="E791">
        <v>25869999</v>
      </c>
      <c r="F791" t="s">
        <v>680</v>
      </c>
      <c r="G791" t="str">
        <f t="shared" si="24"/>
        <v>RJI II</v>
      </c>
      <c r="H791" t="s">
        <v>663</v>
      </c>
      <c r="I791" t="s">
        <v>20</v>
      </c>
      <c r="J791" t="s">
        <v>64</v>
      </c>
      <c r="K791" s="6">
        <v>0.03</v>
      </c>
      <c r="L791" s="7">
        <f t="shared" si="25"/>
        <v>2E-3</v>
      </c>
      <c r="M791" s="7">
        <v>3.0000000000000001E-3</v>
      </c>
      <c r="N791">
        <v>8</v>
      </c>
      <c r="O791" s="8">
        <v>19.191626852122567</v>
      </c>
      <c r="P791" s="9">
        <v>19.191626852122567</v>
      </c>
      <c r="Q791" s="9">
        <v>19.191626852122567</v>
      </c>
      <c r="R791" s="9">
        <v>19.642928460363855</v>
      </c>
      <c r="S791" s="9">
        <v>19.262254068797603</v>
      </c>
      <c r="T791" s="9">
        <v>20.002437846806995</v>
      </c>
      <c r="U791" s="9">
        <v>22.129401407702662</v>
      </c>
      <c r="V791" s="9">
        <v>22.129401407702662</v>
      </c>
      <c r="W791" s="9">
        <v>22.129401407702662</v>
      </c>
      <c r="X791" s="9">
        <v>23.753502845598582</v>
      </c>
      <c r="Y791" s="9">
        <v>23.753502845598582</v>
      </c>
      <c r="Z791" s="9">
        <v>25.775343328389187</v>
      </c>
      <c r="AA791" s="9">
        <v>25.775343328389187</v>
      </c>
      <c r="AB791" s="9">
        <v>27.866292679254457</v>
      </c>
      <c r="AC791" s="9">
        <v>27.866292679254457</v>
      </c>
      <c r="AD791" s="9">
        <v>31.93012744838439</v>
      </c>
      <c r="AE791" s="9">
        <v>34.043682702868942</v>
      </c>
      <c r="AF791" s="9">
        <v>36.2561115580978</v>
      </c>
      <c r="AG791" s="9">
        <v>36.2561115580978</v>
      </c>
      <c r="AH791" s="9">
        <v>39.68435845151825</v>
      </c>
      <c r="AI791" s="9">
        <v>42.41487012813608</v>
      </c>
      <c r="AJ791" s="9">
        <v>3.0428788910505911</v>
      </c>
    </row>
    <row r="792" spans="1:36" x14ac:dyDescent="0.25">
      <c r="A792" t="s">
        <v>5411</v>
      </c>
      <c r="B792" t="s">
        <v>16</v>
      </c>
      <c r="C792" t="s">
        <v>17</v>
      </c>
      <c r="D792">
        <v>25870000</v>
      </c>
      <c r="E792">
        <v>25879999</v>
      </c>
      <c r="F792" t="s">
        <v>681</v>
      </c>
      <c r="G792" t="str">
        <f t="shared" si="24"/>
        <v>RJI</v>
      </c>
      <c r="H792" t="s">
        <v>663</v>
      </c>
      <c r="I792" t="s">
        <v>20</v>
      </c>
      <c r="J792" t="s">
        <v>62</v>
      </c>
      <c r="K792" s="6">
        <v>0.03</v>
      </c>
      <c r="L792" s="7">
        <f t="shared" si="25"/>
        <v>2E-3</v>
      </c>
      <c r="M792" s="7">
        <v>3.0000000000000001E-3</v>
      </c>
      <c r="N792">
        <v>8</v>
      </c>
      <c r="O792" s="8">
        <v>15.267633692923473</v>
      </c>
      <c r="P792" s="9">
        <v>15.267633692923473</v>
      </c>
      <c r="Q792" s="9">
        <v>15.267633692923473</v>
      </c>
      <c r="R792" s="9">
        <v>15.455820801950338</v>
      </c>
      <c r="S792" s="9">
        <v>15.721645950324477</v>
      </c>
      <c r="T792" s="9">
        <v>16.739439286239044</v>
      </c>
      <c r="U792" s="9">
        <v>18.882065020469135</v>
      </c>
      <c r="V792" s="9">
        <v>18.882065020469135</v>
      </c>
      <c r="W792" s="9">
        <v>18.882065020469135</v>
      </c>
      <c r="X792" s="9">
        <v>20.560260982458932</v>
      </c>
      <c r="Y792" s="9">
        <v>20.560260982458932</v>
      </c>
      <c r="Z792" s="9">
        <v>22.671148936966464</v>
      </c>
      <c r="AA792" s="9">
        <v>22.671148936966464</v>
      </c>
      <c r="AB792" s="9">
        <v>24.988647885599047</v>
      </c>
      <c r="AC792" s="9">
        <v>24.988647885599047</v>
      </c>
      <c r="AD792" s="9">
        <v>27.429334733487696</v>
      </c>
      <c r="AE792" s="9">
        <v>30.009055056381616</v>
      </c>
      <c r="AF792" s="9">
        <v>34.85116305716884</v>
      </c>
      <c r="AG792" s="9">
        <v>34.85116305716884</v>
      </c>
      <c r="AH792" s="9">
        <v>37.75822329541549</v>
      </c>
      <c r="AI792" s="9">
        <v>40.581849370377171</v>
      </c>
      <c r="AJ792" s="9">
        <v>3.0428788910505911</v>
      </c>
    </row>
    <row r="793" spans="1:36" x14ac:dyDescent="0.25">
      <c r="A793" t="s">
        <v>5411</v>
      </c>
      <c r="B793" t="s">
        <v>16</v>
      </c>
      <c r="C793" t="s">
        <v>17</v>
      </c>
      <c r="D793">
        <v>25880000</v>
      </c>
      <c r="E793">
        <v>25880999</v>
      </c>
      <c r="F793" t="s">
        <v>682</v>
      </c>
      <c r="G793" t="str">
        <f t="shared" si="24"/>
        <v>RJI</v>
      </c>
      <c r="H793" t="s">
        <v>663</v>
      </c>
      <c r="I793" t="s">
        <v>20</v>
      </c>
      <c r="J793" t="s">
        <v>62</v>
      </c>
      <c r="K793" s="6">
        <v>0.03</v>
      </c>
      <c r="L793" s="7">
        <f t="shared" si="25"/>
        <v>2E-3</v>
      </c>
      <c r="M793" s="7">
        <v>3.0000000000000001E-3</v>
      </c>
      <c r="N793">
        <v>9</v>
      </c>
      <c r="O793" s="8">
        <v>15.267633692923473</v>
      </c>
      <c r="P793" s="9">
        <v>15.267633692923473</v>
      </c>
      <c r="Q793" s="9">
        <v>15.267633692923473</v>
      </c>
      <c r="R793" s="9">
        <v>15.455820801950338</v>
      </c>
      <c r="S793" s="9">
        <v>15.721645950324477</v>
      </c>
      <c r="T793" s="9">
        <v>16.739439286239044</v>
      </c>
      <c r="U793" s="9">
        <v>18.882065020469135</v>
      </c>
      <c r="V793" s="9">
        <v>18.882065020469135</v>
      </c>
      <c r="W793" s="9">
        <v>18.882065020469135</v>
      </c>
      <c r="X793" s="9">
        <v>20.560260982458932</v>
      </c>
      <c r="Y793" s="9">
        <v>20.560260982458932</v>
      </c>
      <c r="Z793" s="9">
        <v>22.671148936966464</v>
      </c>
      <c r="AA793" s="9">
        <v>22.671148936966464</v>
      </c>
      <c r="AB793" s="9">
        <v>24.988647885599047</v>
      </c>
      <c r="AC793" s="9">
        <v>24.988647885599047</v>
      </c>
      <c r="AD793" s="9">
        <v>27.429334733487696</v>
      </c>
      <c r="AE793" s="9">
        <v>30.009055056381616</v>
      </c>
      <c r="AF793" s="9">
        <v>34.85116305716884</v>
      </c>
      <c r="AG793" s="9">
        <v>34.85116305716884</v>
      </c>
      <c r="AH793" s="9">
        <v>37.75822329541549</v>
      </c>
      <c r="AI793" s="9">
        <v>40.581849370377171</v>
      </c>
      <c r="AJ793" s="9">
        <v>3.0428788910505911</v>
      </c>
    </row>
    <row r="794" spans="1:36" x14ac:dyDescent="0.25">
      <c r="A794" t="s">
        <v>5411</v>
      </c>
      <c r="B794" t="s">
        <v>16</v>
      </c>
      <c r="C794" t="s">
        <v>17</v>
      </c>
      <c r="D794">
        <v>25881000</v>
      </c>
      <c r="E794">
        <v>25899999</v>
      </c>
      <c r="F794" t="s">
        <v>683</v>
      </c>
      <c r="G794" t="str">
        <f t="shared" si="24"/>
        <v>RJI II</v>
      </c>
      <c r="H794" t="s">
        <v>663</v>
      </c>
      <c r="I794" t="s">
        <v>20</v>
      </c>
      <c r="J794" t="s">
        <v>64</v>
      </c>
      <c r="K794" s="6">
        <v>0.03</v>
      </c>
      <c r="L794" s="7">
        <f t="shared" si="25"/>
        <v>2E-3</v>
      </c>
      <c r="M794" s="7">
        <v>3.0000000000000001E-3</v>
      </c>
      <c r="N794">
        <v>8</v>
      </c>
      <c r="O794" s="8">
        <v>19.191626852122567</v>
      </c>
      <c r="P794" s="9">
        <v>19.191626852122567</v>
      </c>
      <c r="Q794" s="9">
        <v>19.191626852122567</v>
      </c>
      <c r="R794" s="9">
        <v>19.642928460363855</v>
      </c>
      <c r="S794" s="9">
        <v>19.262254068797603</v>
      </c>
      <c r="T794" s="9">
        <v>20.002437846806995</v>
      </c>
      <c r="U794" s="9">
        <v>22.129401407702662</v>
      </c>
      <c r="V794" s="9">
        <v>22.129401407702662</v>
      </c>
      <c r="W794" s="9">
        <v>22.129401407702662</v>
      </c>
      <c r="X794" s="9">
        <v>23.753502845598582</v>
      </c>
      <c r="Y794" s="9">
        <v>23.753502845598582</v>
      </c>
      <c r="Z794" s="9">
        <v>25.775343328389187</v>
      </c>
      <c r="AA794" s="9">
        <v>25.775343328389187</v>
      </c>
      <c r="AB794" s="9">
        <v>27.866292679254457</v>
      </c>
      <c r="AC794" s="9">
        <v>27.866292679254457</v>
      </c>
      <c r="AD794" s="9">
        <v>31.93012744838439</v>
      </c>
      <c r="AE794" s="9">
        <v>34.043682702868942</v>
      </c>
      <c r="AF794" s="9">
        <v>36.2561115580978</v>
      </c>
      <c r="AG794" s="9">
        <v>36.2561115580978</v>
      </c>
      <c r="AH794" s="9">
        <v>39.68435845151825</v>
      </c>
      <c r="AI794" s="9">
        <v>42.41487012813608</v>
      </c>
      <c r="AJ794" s="9">
        <v>3.0428788910505911</v>
      </c>
    </row>
    <row r="795" spans="1:36" x14ac:dyDescent="0.25">
      <c r="A795" t="s">
        <v>5411</v>
      </c>
      <c r="B795" t="s">
        <v>16</v>
      </c>
      <c r="C795" t="s">
        <v>17</v>
      </c>
      <c r="D795">
        <v>25900000</v>
      </c>
      <c r="E795">
        <v>25939999</v>
      </c>
      <c r="F795" t="s">
        <v>684</v>
      </c>
      <c r="G795" t="str">
        <f t="shared" si="24"/>
        <v>RJI</v>
      </c>
      <c r="H795" t="s">
        <v>663</v>
      </c>
      <c r="I795" t="s">
        <v>22</v>
      </c>
      <c r="J795" t="s">
        <v>62</v>
      </c>
      <c r="K795" s="6">
        <v>0.03</v>
      </c>
      <c r="L795" s="7">
        <f t="shared" si="25"/>
        <v>0.03</v>
      </c>
      <c r="M795" s="7">
        <v>3.0000000000000001E-3</v>
      </c>
      <c r="N795">
        <v>8</v>
      </c>
      <c r="O795" s="8">
        <v>15.267633692923473</v>
      </c>
      <c r="P795" s="9">
        <v>15.267633692923473</v>
      </c>
      <c r="Q795" s="9">
        <v>15.267633692923473</v>
      </c>
      <c r="R795" s="9">
        <v>15.455820801950338</v>
      </c>
      <c r="S795" s="9">
        <v>15.721645950324477</v>
      </c>
      <c r="T795" s="9">
        <v>16.739439286239044</v>
      </c>
      <c r="U795" s="9">
        <v>18.882065020469135</v>
      </c>
      <c r="V795" s="9">
        <v>18.882065020469135</v>
      </c>
      <c r="W795" s="9">
        <v>18.882065020469135</v>
      </c>
      <c r="X795" s="9">
        <v>20.560260982458932</v>
      </c>
      <c r="Y795" s="9">
        <v>20.560260982458932</v>
      </c>
      <c r="Z795" s="9">
        <v>22.671148936966464</v>
      </c>
      <c r="AA795" s="9">
        <v>22.671148936966464</v>
      </c>
      <c r="AB795" s="9">
        <v>24.988647885599047</v>
      </c>
      <c r="AC795" s="9">
        <v>24.988647885599047</v>
      </c>
      <c r="AD795" s="9">
        <v>27.429334733487696</v>
      </c>
      <c r="AE795" s="9">
        <v>30.009055056381616</v>
      </c>
      <c r="AF795" s="9">
        <v>34.85116305716884</v>
      </c>
      <c r="AG795" s="9">
        <v>34.85116305716884</v>
      </c>
      <c r="AH795" s="9">
        <v>37.75822329541549</v>
      </c>
      <c r="AI795" s="9">
        <v>40.581849370377171</v>
      </c>
      <c r="AJ795" s="9">
        <v>3.0428788910505911</v>
      </c>
    </row>
    <row r="796" spans="1:36" x14ac:dyDescent="0.25">
      <c r="A796" t="s">
        <v>5411</v>
      </c>
      <c r="B796" t="s">
        <v>16</v>
      </c>
      <c r="C796" t="s">
        <v>17</v>
      </c>
      <c r="D796">
        <v>25940000</v>
      </c>
      <c r="E796">
        <v>25949999</v>
      </c>
      <c r="F796" t="s">
        <v>685</v>
      </c>
      <c r="G796" t="str">
        <f t="shared" si="24"/>
        <v>RJI</v>
      </c>
      <c r="H796" t="s">
        <v>663</v>
      </c>
      <c r="I796" t="s">
        <v>22</v>
      </c>
      <c r="J796" t="s">
        <v>62</v>
      </c>
      <c r="K796" s="6">
        <v>0.03</v>
      </c>
      <c r="L796" s="7">
        <f t="shared" si="25"/>
        <v>0.03</v>
      </c>
      <c r="M796" s="7">
        <v>3.0000000000000001E-3</v>
      </c>
      <c r="N796">
        <v>8</v>
      </c>
      <c r="O796" s="8">
        <v>15.267633692923473</v>
      </c>
      <c r="P796" s="9">
        <v>15.267633692923473</v>
      </c>
      <c r="Q796" s="9">
        <v>15.267633692923473</v>
      </c>
      <c r="R796" s="9">
        <v>15.455820801950338</v>
      </c>
      <c r="S796" s="9">
        <v>15.721645950324477</v>
      </c>
      <c r="T796" s="9">
        <v>16.739439286239044</v>
      </c>
      <c r="U796" s="9">
        <v>18.882065020469135</v>
      </c>
      <c r="V796" s="9">
        <v>18.882065020469135</v>
      </c>
      <c r="W796" s="9">
        <v>18.882065020469135</v>
      </c>
      <c r="X796" s="9">
        <v>20.560260982458932</v>
      </c>
      <c r="Y796" s="9">
        <v>20.560260982458932</v>
      </c>
      <c r="Z796" s="9">
        <v>22.671148936966464</v>
      </c>
      <c r="AA796" s="9">
        <v>22.671148936966464</v>
      </c>
      <c r="AB796" s="9">
        <v>24.988647885599047</v>
      </c>
      <c r="AC796" s="9">
        <v>24.988647885599047</v>
      </c>
      <c r="AD796" s="9">
        <v>27.429334733487696</v>
      </c>
      <c r="AE796" s="9">
        <v>30.009055056381616</v>
      </c>
      <c r="AF796" s="9">
        <v>34.85116305716884</v>
      </c>
      <c r="AG796" s="9">
        <v>34.85116305716884</v>
      </c>
      <c r="AH796" s="9">
        <v>37.75822329541549</v>
      </c>
      <c r="AI796" s="9">
        <v>40.581849370377171</v>
      </c>
      <c r="AJ796" s="9">
        <v>3.0428788910505911</v>
      </c>
    </row>
    <row r="797" spans="1:36" x14ac:dyDescent="0.25">
      <c r="A797" t="s">
        <v>5411</v>
      </c>
      <c r="B797" t="s">
        <v>16</v>
      </c>
      <c r="C797" t="s">
        <v>17</v>
      </c>
      <c r="D797">
        <v>25950000</v>
      </c>
      <c r="E797">
        <v>25999999</v>
      </c>
      <c r="F797" t="s">
        <v>686</v>
      </c>
      <c r="G797" t="str">
        <f t="shared" si="24"/>
        <v>RJI</v>
      </c>
      <c r="H797" t="s">
        <v>663</v>
      </c>
      <c r="I797" t="s">
        <v>20</v>
      </c>
      <c r="J797" t="s">
        <v>62</v>
      </c>
      <c r="K797" s="6">
        <v>0.03</v>
      </c>
      <c r="L797" s="7">
        <f t="shared" si="25"/>
        <v>2E-3</v>
      </c>
      <c r="M797" s="7">
        <v>3.0000000000000001E-3</v>
      </c>
      <c r="N797">
        <v>8</v>
      </c>
      <c r="O797" s="8">
        <v>15.267633692923473</v>
      </c>
      <c r="P797" s="9">
        <v>15.267633692923473</v>
      </c>
      <c r="Q797" s="9">
        <v>15.267633692923473</v>
      </c>
      <c r="R797" s="9">
        <v>15.455820801950338</v>
      </c>
      <c r="S797" s="9">
        <v>15.721645950324477</v>
      </c>
      <c r="T797" s="9">
        <v>16.739439286239044</v>
      </c>
      <c r="U797" s="9">
        <v>18.882065020469135</v>
      </c>
      <c r="V797" s="9">
        <v>18.882065020469135</v>
      </c>
      <c r="W797" s="9">
        <v>18.882065020469135</v>
      </c>
      <c r="X797" s="9">
        <v>20.560260982458932</v>
      </c>
      <c r="Y797" s="9">
        <v>20.560260982458932</v>
      </c>
      <c r="Z797" s="9">
        <v>22.671148936966464</v>
      </c>
      <c r="AA797" s="9">
        <v>22.671148936966464</v>
      </c>
      <c r="AB797" s="9">
        <v>24.988647885599047</v>
      </c>
      <c r="AC797" s="9">
        <v>24.988647885599047</v>
      </c>
      <c r="AD797" s="9">
        <v>27.429334733487696</v>
      </c>
      <c r="AE797" s="9">
        <v>30.009055056381616</v>
      </c>
      <c r="AF797" s="9">
        <v>34.85116305716884</v>
      </c>
      <c r="AG797" s="9">
        <v>34.85116305716884</v>
      </c>
      <c r="AH797" s="9">
        <v>37.75822329541549</v>
      </c>
      <c r="AI797" s="9">
        <v>40.581849370377171</v>
      </c>
      <c r="AJ797" s="9">
        <v>3.0428788910505911</v>
      </c>
    </row>
    <row r="798" spans="1:36" x14ac:dyDescent="0.25">
      <c r="A798" t="s">
        <v>5411</v>
      </c>
      <c r="B798" t="s">
        <v>16</v>
      </c>
      <c r="C798" t="s">
        <v>17</v>
      </c>
      <c r="D798">
        <v>26000000</v>
      </c>
      <c r="E798">
        <v>26099999</v>
      </c>
      <c r="F798" t="s">
        <v>687</v>
      </c>
      <c r="G798" t="str">
        <f t="shared" si="24"/>
        <v>RJI</v>
      </c>
      <c r="H798" t="s">
        <v>663</v>
      </c>
      <c r="I798" t="s">
        <v>22</v>
      </c>
      <c r="J798" t="s">
        <v>62</v>
      </c>
      <c r="K798" s="6">
        <v>0.03</v>
      </c>
      <c r="L798" s="7">
        <f t="shared" si="25"/>
        <v>0.03</v>
      </c>
      <c r="M798" s="7">
        <v>3.0000000000000001E-3</v>
      </c>
      <c r="N798">
        <v>7</v>
      </c>
      <c r="O798" s="8">
        <v>15.267633692923473</v>
      </c>
      <c r="P798" s="9">
        <v>15.267633692923473</v>
      </c>
      <c r="Q798" s="9">
        <v>15.267633692923473</v>
      </c>
      <c r="R798" s="9">
        <v>15.455820801950338</v>
      </c>
      <c r="S798" s="9">
        <v>15.721645950324477</v>
      </c>
      <c r="T798" s="9">
        <v>16.739439286239044</v>
      </c>
      <c r="U798" s="9">
        <v>18.882065020469135</v>
      </c>
      <c r="V798" s="9">
        <v>18.882065020469135</v>
      </c>
      <c r="W798" s="9">
        <v>18.882065020469135</v>
      </c>
      <c r="X798" s="9">
        <v>20.560260982458932</v>
      </c>
      <c r="Y798" s="9">
        <v>20.560260982458932</v>
      </c>
      <c r="Z798" s="9">
        <v>22.671148936966464</v>
      </c>
      <c r="AA798" s="9">
        <v>22.671148936966464</v>
      </c>
      <c r="AB798" s="9">
        <v>24.988647885599047</v>
      </c>
      <c r="AC798" s="9">
        <v>24.988647885599047</v>
      </c>
      <c r="AD798" s="9">
        <v>27.429334733487696</v>
      </c>
      <c r="AE798" s="9">
        <v>30.009055056381616</v>
      </c>
      <c r="AF798" s="9">
        <v>34.85116305716884</v>
      </c>
      <c r="AG798" s="9">
        <v>34.85116305716884</v>
      </c>
      <c r="AH798" s="9">
        <v>37.75822329541549</v>
      </c>
      <c r="AI798" s="9">
        <v>40.581849370377171</v>
      </c>
      <c r="AJ798" s="9">
        <v>3.0428788910505911</v>
      </c>
    </row>
    <row r="799" spans="1:36" x14ac:dyDescent="0.25">
      <c r="A799" t="s">
        <v>5411</v>
      </c>
      <c r="B799" t="s">
        <v>16</v>
      </c>
      <c r="C799" t="s">
        <v>17</v>
      </c>
      <c r="D799">
        <v>26100000</v>
      </c>
      <c r="E799">
        <v>26199999</v>
      </c>
      <c r="F799" t="s">
        <v>688</v>
      </c>
      <c r="G799" t="str">
        <f t="shared" si="24"/>
        <v>RJI</v>
      </c>
      <c r="H799" t="s">
        <v>663</v>
      </c>
      <c r="I799" t="s">
        <v>22</v>
      </c>
      <c r="J799" t="s">
        <v>62</v>
      </c>
      <c r="K799" s="6">
        <v>0.03</v>
      </c>
      <c r="L799" s="7">
        <f t="shared" si="25"/>
        <v>0.03</v>
      </c>
      <c r="M799" s="7">
        <v>3.0000000000000001E-3</v>
      </c>
      <c r="N799">
        <v>7</v>
      </c>
      <c r="O799" s="8">
        <v>15.267633692923473</v>
      </c>
      <c r="P799" s="9">
        <v>15.267633692923473</v>
      </c>
      <c r="Q799" s="9">
        <v>15.267633692923473</v>
      </c>
      <c r="R799" s="9">
        <v>15.455820801950338</v>
      </c>
      <c r="S799" s="9">
        <v>15.721645950324477</v>
      </c>
      <c r="T799" s="9">
        <v>16.739439286239044</v>
      </c>
      <c r="U799" s="9">
        <v>18.882065020469135</v>
      </c>
      <c r="V799" s="9">
        <v>18.882065020469135</v>
      </c>
      <c r="W799" s="9">
        <v>18.882065020469135</v>
      </c>
      <c r="X799" s="9">
        <v>20.560260982458932</v>
      </c>
      <c r="Y799" s="9">
        <v>20.560260982458932</v>
      </c>
      <c r="Z799" s="9">
        <v>22.671148936966464</v>
      </c>
      <c r="AA799" s="9">
        <v>22.671148936966464</v>
      </c>
      <c r="AB799" s="9">
        <v>24.988647885599047</v>
      </c>
      <c r="AC799" s="9">
        <v>24.988647885599047</v>
      </c>
      <c r="AD799" s="9">
        <v>27.429334733487696</v>
      </c>
      <c r="AE799" s="9">
        <v>30.009055056381616</v>
      </c>
      <c r="AF799" s="9">
        <v>34.85116305716884</v>
      </c>
      <c r="AG799" s="9">
        <v>34.85116305716884</v>
      </c>
      <c r="AH799" s="9">
        <v>37.75822329541549</v>
      </c>
      <c r="AI799" s="9">
        <v>40.581849370377171</v>
      </c>
      <c r="AJ799" s="9">
        <v>3.0428788910505911</v>
      </c>
    </row>
    <row r="800" spans="1:36" x14ac:dyDescent="0.25">
      <c r="A800" t="s">
        <v>5411</v>
      </c>
      <c r="B800" t="s">
        <v>16</v>
      </c>
      <c r="C800" t="s">
        <v>17</v>
      </c>
      <c r="D800">
        <v>26200000</v>
      </c>
      <c r="E800">
        <v>26299999</v>
      </c>
      <c r="F800" t="s">
        <v>687</v>
      </c>
      <c r="G800" t="str">
        <f t="shared" si="24"/>
        <v>RJI</v>
      </c>
      <c r="H800" t="s">
        <v>663</v>
      </c>
      <c r="I800" t="s">
        <v>22</v>
      </c>
      <c r="J800" t="s">
        <v>62</v>
      </c>
      <c r="K800" s="6">
        <v>0.03</v>
      </c>
      <c r="L800" s="7">
        <f t="shared" si="25"/>
        <v>0.03</v>
      </c>
      <c r="M800" s="7">
        <v>3.0000000000000001E-3</v>
      </c>
      <c r="N800">
        <v>7</v>
      </c>
      <c r="O800" s="8">
        <v>15.267633692923473</v>
      </c>
      <c r="P800" s="9">
        <v>15.267633692923473</v>
      </c>
      <c r="Q800" s="9">
        <v>15.267633692923473</v>
      </c>
      <c r="R800" s="9">
        <v>15.455820801950338</v>
      </c>
      <c r="S800" s="9">
        <v>15.721645950324477</v>
      </c>
      <c r="T800" s="9">
        <v>16.739439286239044</v>
      </c>
      <c r="U800" s="9">
        <v>18.882065020469135</v>
      </c>
      <c r="V800" s="9">
        <v>18.882065020469135</v>
      </c>
      <c r="W800" s="9">
        <v>18.882065020469135</v>
      </c>
      <c r="X800" s="9">
        <v>20.560260982458932</v>
      </c>
      <c r="Y800" s="9">
        <v>20.560260982458932</v>
      </c>
      <c r="Z800" s="9">
        <v>22.671148936966464</v>
      </c>
      <c r="AA800" s="9">
        <v>22.671148936966464</v>
      </c>
      <c r="AB800" s="9">
        <v>24.988647885599047</v>
      </c>
      <c r="AC800" s="9">
        <v>24.988647885599047</v>
      </c>
      <c r="AD800" s="9">
        <v>27.429334733487696</v>
      </c>
      <c r="AE800" s="9">
        <v>30.009055056381616</v>
      </c>
      <c r="AF800" s="9">
        <v>34.85116305716884</v>
      </c>
      <c r="AG800" s="9">
        <v>34.85116305716884</v>
      </c>
      <c r="AH800" s="9">
        <v>37.75822329541549</v>
      </c>
      <c r="AI800" s="9">
        <v>40.581849370377171</v>
      </c>
      <c r="AJ800" s="9">
        <v>3.0428788910505911</v>
      </c>
    </row>
    <row r="801" spans="1:36" x14ac:dyDescent="0.25">
      <c r="A801" t="s">
        <v>5411</v>
      </c>
      <c r="B801" t="s">
        <v>16</v>
      </c>
      <c r="C801" t="s">
        <v>17</v>
      </c>
      <c r="D801">
        <v>26300000</v>
      </c>
      <c r="E801">
        <v>26399999</v>
      </c>
      <c r="F801" t="s">
        <v>689</v>
      </c>
      <c r="G801" t="str">
        <f t="shared" si="24"/>
        <v>RJI</v>
      </c>
      <c r="H801" t="s">
        <v>663</v>
      </c>
      <c r="I801" t="s">
        <v>22</v>
      </c>
      <c r="J801" t="s">
        <v>62</v>
      </c>
      <c r="K801" s="6">
        <v>0.03</v>
      </c>
      <c r="L801" s="7">
        <f t="shared" si="25"/>
        <v>0.03</v>
      </c>
      <c r="M801" s="7">
        <v>3.0000000000000001E-3</v>
      </c>
      <c r="N801">
        <v>7</v>
      </c>
      <c r="O801" s="8">
        <v>15.267633692923473</v>
      </c>
      <c r="P801" s="9">
        <v>15.267633692923473</v>
      </c>
      <c r="Q801" s="9">
        <v>15.267633692923473</v>
      </c>
      <c r="R801" s="9">
        <v>15.455820801950338</v>
      </c>
      <c r="S801" s="9">
        <v>15.721645950324477</v>
      </c>
      <c r="T801" s="9">
        <v>16.739439286239044</v>
      </c>
      <c r="U801" s="9">
        <v>18.882065020469135</v>
      </c>
      <c r="V801" s="9">
        <v>18.882065020469135</v>
      </c>
      <c r="W801" s="9">
        <v>18.882065020469135</v>
      </c>
      <c r="X801" s="9">
        <v>20.560260982458932</v>
      </c>
      <c r="Y801" s="9">
        <v>20.560260982458932</v>
      </c>
      <c r="Z801" s="9">
        <v>22.671148936966464</v>
      </c>
      <c r="AA801" s="9">
        <v>22.671148936966464</v>
      </c>
      <c r="AB801" s="9">
        <v>24.988647885599047</v>
      </c>
      <c r="AC801" s="9">
        <v>24.988647885599047</v>
      </c>
      <c r="AD801" s="9">
        <v>27.429334733487696</v>
      </c>
      <c r="AE801" s="9">
        <v>30.009055056381616</v>
      </c>
      <c r="AF801" s="9">
        <v>34.85116305716884</v>
      </c>
      <c r="AG801" s="9">
        <v>34.85116305716884</v>
      </c>
      <c r="AH801" s="9">
        <v>37.75822329541549</v>
      </c>
      <c r="AI801" s="9">
        <v>40.581849370377171</v>
      </c>
      <c r="AJ801" s="9">
        <v>3.0428788910505911</v>
      </c>
    </row>
    <row r="802" spans="1:36" x14ac:dyDescent="0.25">
      <c r="A802" t="s">
        <v>5411</v>
      </c>
      <c r="B802" t="s">
        <v>16</v>
      </c>
      <c r="C802" t="s">
        <v>17</v>
      </c>
      <c r="D802">
        <v>26400000</v>
      </c>
      <c r="E802">
        <v>26499999</v>
      </c>
      <c r="F802" t="s">
        <v>690</v>
      </c>
      <c r="G802" t="str">
        <f t="shared" si="24"/>
        <v>RJI</v>
      </c>
      <c r="H802" t="s">
        <v>663</v>
      </c>
      <c r="I802" t="s">
        <v>22</v>
      </c>
      <c r="J802" t="s">
        <v>62</v>
      </c>
      <c r="K802" s="6">
        <v>0.03</v>
      </c>
      <c r="L802" s="7">
        <f t="shared" si="25"/>
        <v>0.03</v>
      </c>
      <c r="M802" s="7">
        <v>3.0000000000000001E-3</v>
      </c>
      <c r="N802">
        <v>9</v>
      </c>
      <c r="O802" s="8">
        <v>15.267633692923473</v>
      </c>
      <c r="P802" s="9">
        <v>15.267633692923473</v>
      </c>
      <c r="Q802" s="9">
        <v>15.267633692923473</v>
      </c>
      <c r="R802" s="9">
        <v>15.455820801950338</v>
      </c>
      <c r="S802" s="9">
        <v>15.721645950324477</v>
      </c>
      <c r="T802" s="9">
        <v>16.739439286239044</v>
      </c>
      <c r="U802" s="9">
        <v>18.882065020469135</v>
      </c>
      <c r="V802" s="9">
        <v>18.882065020469135</v>
      </c>
      <c r="W802" s="9">
        <v>18.882065020469135</v>
      </c>
      <c r="X802" s="9">
        <v>20.560260982458932</v>
      </c>
      <c r="Y802" s="9">
        <v>20.560260982458932</v>
      </c>
      <c r="Z802" s="9">
        <v>22.671148936966464</v>
      </c>
      <c r="AA802" s="9">
        <v>22.671148936966464</v>
      </c>
      <c r="AB802" s="9">
        <v>24.988647885599047</v>
      </c>
      <c r="AC802" s="9">
        <v>24.988647885599047</v>
      </c>
      <c r="AD802" s="9">
        <v>27.429334733487696</v>
      </c>
      <c r="AE802" s="9">
        <v>30.009055056381616</v>
      </c>
      <c r="AF802" s="9">
        <v>34.85116305716884</v>
      </c>
      <c r="AG802" s="9">
        <v>34.85116305716884</v>
      </c>
      <c r="AH802" s="9">
        <v>37.75822329541549</v>
      </c>
      <c r="AI802" s="9">
        <v>40.581849370377171</v>
      </c>
      <c r="AJ802" s="9">
        <v>3.0428788910505911</v>
      </c>
    </row>
    <row r="803" spans="1:36" x14ac:dyDescent="0.25">
      <c r="A803" t="s">
        <v>5411</v>
      </c>
      <c r="B803" t="s">
        <v>16</v>
      </c>
      <c r="C803" t="s">
        <v>17</v>
      </c>
      <c r="D803">
        <v>26500000</v>
      </c>
      <c r="E803">
        <v>26549999</v>
      </c>
      <c r="F803" t="s">
        <v>691</v>
      </c>
      <c r="G803" t="str">
        <f t="shared" si="24"/>
        <v>RJI</v>
      </c>
      <c r="H803" t="s">
        <v>663</v>
      </c>
      <c r="I803" t="s">
        <v>22</v>
      </c>
      <c r="J803" t="s">
        <v>62</v>
      </c>
      <c r="K803" s="6">
        <v>0.03</v>
      </c>
      <c r="L803" s="7">
        <f t="shared" si="25"/>
        <v>0.03</v>
      </c>
      <c r="M803" s="7">
        <v>3.0000000000000001E-3</v>
      </c>
      <c r="N803">
        <v>7</v>
      </c>
      <c r="O803" s="8">
        <v>15.267633692923473</v>
      </c>
      <c r="P803" s="9">
        <v>15.267633692923473</v>
      </c>
      <c r="Q803" s="9">
        <v>15.267633692923473</v>
      </c>
      <c r="R803" s="9">
        <v>15.455820801950338</v>
      </c>
      <c r="S803" s="9">
        <v>15.721645950324477</v>
      </c>
      <c r="T803" s="9">
        <v>16.739439286239044</v>
      </c>
      <c r="U803" s="9">
        <v>18.882065020469135</v>
      </c>
      <c r="V803" s="9">
        <v>18.882065020469135</v>
      </c>
      <c r="W803" s="9">
        <v>18.882065020469135</v>
      </c>
      <c r="X803" s="9">
        <v>20.560260982458932</v>
      </c>
      <c r="Y803" s="9">
        <v>20.560260982458932</v>
      </c>
      <c r="Z803" s="9">
        <v>22.671148936966464</v>
      </c>
      <c r="AA803" s="9">
        <v>22.671148936966464</v>
      </c>
      <c r="AB803" s="9">
        <v>24.988647885599047</v>
      </c>
      <c r="AC803" s="9">
        <v>24.988647885599047</v>
      </c>
      <c r="AD803" s="9">
        <v>27.429334733487696</v>
      </c>
      <c r="AE803" s="9">
        <v>30.009055056381616</v>
      </c>
      <c r="AF803" s="9">
        <v>34.85116305716884</v>
      </c>
      <c r="AG803" s="9">
        <v>34.85116305716884</v>
      </c>
      <c r="AH803" s="9">
        <v>37.75822329541549</v>
      </c>
      <c r="AI803" s="9">
        <v>40.581849370377171</v>
      </c>
      <c r="AJ803" s="9">
        <v>3.0428788910505911</v>
      </c>
    </row>
    <row r="804" spans="1:36" x14ac:dyDescent="0.25">
      <c r="A804" t="s">
        <v>5411</v>
      </c>
      <c r="B804" t="s">
        <v>16</v>
      </c>
      <c r="C804" t="s">
        <v>17</v>
      </c>
      <c r="D804">
        <v>26550000</v>
      </c>
      <c r="E804">
        <v>26599999</v>
      </c>
      <c r="F804" t="s">
        <v>692</v>
      </c>
      <c r="G804" t="str">
        <f t="shared" si="24"/>
        <v>RJI</v>
      </c>
      <c r="H804" t="s">
        <v>663</v>
      </c>
      <c r="I804" t="s">
        <v>22</v>
      </c>
      <c r="J804" t="s">
        <v>62</v>
      </c>
      <c r="K804" s="6">
        <v>0.03</v>
      </c>
      <c r="L804" s="7">
        <f t="shared" si="25"/>
        <v>0.03</v>
      </c>
      <c r="M804" s="7">
        <v>3.0000000000000001E-3</v>
      </c>
      <c r="N804">
        <v>7</v>
      </c>
      <c r="O804" s="8">
        <v>15.267633692923473</v>
      </c>
      <c r="P804" s="9">
        <v>15.267633692923473</v>
      </c>
      <c r="Q804" s="9">
        <v>15.267633692923473</v>
      </c>
      <c r="R804" s="9">
        <v>15.455820801950338</v>
      </c>
      <c r="S804" s="9">
        <v>15.721645950324477</v>
      </c>
      <c r="T804" s="9">
        <v>16.739439286239044</v>
      </c>
      <c r="U804" s="9">
        <v>18.882065020469135</v>
      </c>
      <c r="V804" s="9">
        <v>18.882065020469135</v>
      </c>
      <c r="W804" s="9">
        <v>18.882065020469135</v>
      </c>
      <c r="X804" s="9">
        <v>20.560260982458932</v>
      </c>
      <c r="Y804" s="9">
        <v>20.560260982458932</v>
      </c>
      <c r="Z804" s="9">
        <v>22.671148936966464</v>
      </c>
      <c r="AA804" s="9">
        <v>22.671148936966464</v>
      </c>
      <c r="AB804" s="9">
        <v>24.988647885599047</v>
      </c>
      <c r="AC804" s="9">
        <v>24.988647885599047</v>
      </c>
      <c r="AD804" s="9">
        <v>27.429334733487696</v>
      </c>
      <c r="AE804" s="9">
        <v>30.009055056381616</v>
      </c>
      <c r="AF804" s="9">
        <v>34.85116305716884</v>
      </c>
      <c r="AG804" s="9">
        <v>34.85116305716884</v>
      </c>
      <c r="AH804" s="9">
        <v>37.75822329541549</v>
      </c>
      <c r="AI804" s="9">
        <v>40.581849370377171</v>
      </c>
      <c r="AJ804" s="9">
        <v>3.0428788910505911</v>
      </c>
    </row>
    <row r="805" spans="1:36" x14ac:dyDescent="0.25">
      <c r="A805" t="s">
        <v>5411</v>
      </c>
      <c r="B805" t="s">
        <v>16</v>
      </c>
      <c r="C805" t="s">
        <v>17</v>
      </c>
      <c r="D805">
        <v>26600000</v>
      </c>
      <c r="E805">
        <v>26649969</v>
      </c>
      <c r="F805" t="s">
        <v>693</v>
      </c>
      <c r="G805" t="str">
        <f t="shared" si="24"/>
        <v>RJI</v>
      </c>
      <c r="H805" t="s">
        <v>663</v>
      </c>
      <c r="I805" t="s">
        <v>22</v>
      </c>
      <c r="J805" t="s">
        <v>62</v>
      </c>
      <c r="K805" s="6">
        <v>0.03</v>
      </c>
      <c r="L805" s="7">
        <f t="shared" si="25"/>
        <v>0.03</v>
      </c>
      <c r="M805" s="7">
        <v>3.0000000000000001E-3</v>
      </c>
      <c r="N805">
        <v>7</v>
      </c>
      <c r="O805" s="8">
        <v>15.267633692923473</v>
      </c>
      <c r="P805" s="9">
        <v>15.267633692923473</v>
      </c>
      <c r="Q805" s="9">
        <v>15.267633692923473</v>
      </c>
      <c r="R805" s="9">
        <v>15.455820801950338</v>
      </c>
      <c r="S805" s="9">
        <v>15.721645950324477</v>
      </c>
      <c r="T805" s="9">
        <v>16.739439286239044</v>
      </c>
      <c r="U805" s="9">
        <v>18.882065020469135</v>
      </c>
      <c r="V805" s="9">
        <v>18.882065020469135</v>
      </c>
      <c r="W805" s="9">
        <v>18.882065020469135</v>
      </c>
      <c r="X805" s="9">
        <v>20.560260982458932</v>
      </c>
      <c r="Y805" s="9">
        <v>20.560260982458932</v>
      </c>
      <c r="Z805" s="9">
        <v>22.671148936966464</v>
      </c>
      <c r="AA805" s="9">
        <v>22.671148936966464</v>
      </c>
      <c r="AB805" s="9">
        <v>24.988647885599047</v>
      </c>
      <c r="AC805" s="9">
        <v>24.988647885599047</v>
      </c>
      <c r="AD805" s="9">
        <v>27.429334733487696</v>
      </c>
      <c r="AE805" s="9">
        <v>30.009055056381616</v>
      </c>
      <c r="AF805" s="9">
        <v>34.85116305716884</v>
      </c>
      <c r="AG805" s="9">
        <v>34.85116305716884</v>
      </c>
      <c r="AH805" s="9">
        <v>37.75822329541549</v>
      </c>
      <c r="AI805" s="9">
        <v>40.581849370377171</v>
      </c>
      <c r="AJ805" s="9">
        <v>3.0428788910505911</v>
      </c>
    </row>
    <row r="806" spans="1:36" x14ac:dyDescent="0.25">
      <c r="A806" t="s">
        <v>5411</v>
      </c>
      <c r="B806" t="s">
        <v>16</v>
      </c>
      <c r="C806" t="s">
        <v>17</v>
      </c>
      <c r="D806">
        <v>26649970</v>
      </c>
      <c r="E806">
        <v>26649999</v>
      </c>
      <c r="F806" t="s">
        <v>693</v>
      </c>
      <c r="G806" t="str">
        <f t="shared" si="24"/>
        <v>RJR</v>
      </c>
      <c r="H806" t="s">
        <v>663</v>
      </c>
      <c r="I806" t="s">
        <v>22</v>
      </c>
      <c r="J806" t="s">
        <v>77</v>
      </c>
      <c r="K806" s="6">
        <v>0.03</v>
      </c>
      <c r="L806" s="7">
        <f t="shared" si="25"/>
        <v>0.03</v>
      </c>
      <c r="M806" s="7">
        <v>3.0000000000000001E-3</v>
      </c>
      <c r="N806">
        <v>21</v>
      </c>
      <c r="O806" s="8">
        <v>27.759279108538067</v>
      </c>
      <c r="P806" s="9">
        <v>27.759279108538067</v>
      </c>
      <c r="Q806" s="9">
        <v>27.759279108538067</v>
      </c>
      <c r="R806" s="9">
        <v>28.909938214135668</v>
      </c>
      <c r="S806" s="9">
        <v>29.129746609556125</v>
      </c>
      <c r="T806" s="9">
        <v>29.885241910517856</v>
      </c>
      <c r="U806" s="9">
        <v>31.387298550026539</v>
      </c>
      <c r="V806" s="9">
        <v>31.387298550026539</v>
      </c>
      <c r="W806" s="9">
        <v>31.387298550026539</v>
      </c>
      <c r="X806" s="9">
        <v>34.262376337518653</v>
      </c>
      <c r="Y806" s="9">
        <v>34.262376337518653</v>
      </c>
      <c r="Z806" s="9">
        <v>37.290012030342261</v>
      </c>
      <c r="AA806" s="9">
        <v>37.290012030342261</v>
      </c>
      <c r="AB806" s="9">
        <v>40.470361633702204</v>
      </c>
      <c r="AC806" s="9">
        <v>40.470361633702204</v>
      </c>
      <c r="AD806" s="9">
        <v>44.305029050310999</v>
      </c>
      <c r="AE806" s="9">
        <v>48.34275103891602</v>
      </c>
      <c r="AF806" s="9">
        <v>52.603833056716866</v>
      </c>
      <c r="AG806" s="9">
        <v>52.603833056716866</v>
      </c>
      <c r="AH806" s="9">
        <v>57.633590453735039</v>
      </c>
      <c r="AI806" s="9">
        <v>62.933613486080198</v>
      </c>
      <c r="AJ806" s="9">
        <v>3.0428788910505911</v>
      </c>
    </row>
    <row r="807" spans="1:36" x14ac:dyDescent="0.25">
      <c r="A807" t="s">
        <v>5411</v>
      </c>
      <c r="B807" t="s">
        <v>16</v>
      </c>
      <c r="C807" t="s">
        <v>17</v>
      </c>
      <c r="D807">
        <v>26650000</v>
      </c>
      <c r="E807">
        <v>26650969</v>
      </c>
      <c r="F807" t="s">
        <v>694</v>
      </c>
      <c r="G807" t="str">
        <f t="shared" si="24"/>
        <v>RJI</v>
      </c>
      <c r="H807" t="s">
        <v>663</v>
      </c>
      <c r="I807" t="s">
        <v>20</v>
      </c>
      <c r="J807" t="s">
        <v>62</v>
      </c>
      <c r="K807" s="6">
        <v>0.03</v>
      </c>
      <c r="L807" s="7">
        <f t="shared" si="25"/>
        <v>2E-3</v>
      </c>
      <c r="M807" s="7">
        <v>3.0000000000000001E-3</v>
      </c>
      <c r="N807">
        <v>8</v>
      </c>
      <c r="O807" s="8">
        <v>15.267633692923473</v>
      </c>
      <c r="P807" s="9">
        <v>15.267633692923473</v>
      </c>
      <c r="Q807" s="9">
        <v>15.267633692923473</v>
      </c>
      <c r="R807" s="9">
        <v>15.455820801950338</v>
      </c>
      <c r="S807" s="9">
        <v>15.721645950324477</v>
      </c>
      <c r="T807" s="9">
        <v>16.739439286239044</v>
      </c>
      <c r="U807" s="9">
        <v>18.882065020469135</v>
      </c>
      <c r="V807" s="9">
        <v>18.882065020469135</v>
      </c>
      <c r="W807" s="9">
        <v>18.882065020469135</v>
      </c>
      <c r="X807" s="9">
        <v>20.560260982458932</v>
      </c>
      <c r="Y807" s="9">
        <v>20.560260982458932</v>
      </c>
      <c r="Z807" s="9">
        <v>22.671148936966464</v>
      </c>
      <c r="AA807" s="9">
        <v>22.671148936966464</v>
      </c>
      <c r="AB807" s="9">
        <v>24.988647885599047</v>
      </c>
      <c r="AC807" s="9">
        <v>24.988647885599047</v>
      </c>
      <c r="AD807" s="9">
        <v>27.429334733487696</v>
      </c>
      <c r="AE807" s="9">
        <v>30.009055056381616</v>
      </c>
      <c r="AF807" s="9">
        <v>34.85116305716884</v>
      </c>
      <c r="AG807" s="9">
        <v>34.85116305716884</v>
      </c>
      <c r="AH807" s="9">
        <v>37.75822329541549</v>
      </c>
      <c r="AI807" s="9">
        <v>40.581849370377171</v>
      </c>
      <c r="AJ807" s="9">
        <v>3.0428788910505911</v>
      </c>
    </row>
    <row r="808" spans="1:36" x14ac:dyDescent="0.25">
      <c r="A808" t="s">
        <v>5411</v>
      </c>
      <c r="B808" t="s">
        <v>16</v>
      </c>
      <c r="C808" t="s">
        <v>17</v>
      </c>
      <c r="D808">
        <v>26650970</v>
      </c>
      <c r="E808">
        <v>26650999</v>
      </c>
      <c r="F808" t="s">
        <v>694</v>
      </c>
      <c r="G808" t="str">
        <f t="shared" si="24"/>
        <v>RJR</v>
      </c>
      <c r="H808" t="s">
        <v>663</v>
      </c>
      <c r="I808" t="s">
        <v>20</v>
      </c>
      <c r="J808" t="s">
        <v>77</v>
      </c>
      <c r="K808" s="6">
        <v>0.03</v>
      </c>
      <c r="L808" s="7">
        <f t="shared" si="25"/>
        <v>2E-3</v>
      </c>
      <c r="M808" s="7">
        <v>3.0000000000000001E-3</v>
      </c>
      <c r="N808">
        <v>21</v>
      </c>
      <c r="O808" s="8">
        <v>27.759279108538067</v>
      </c>
      <c r="P808" s="9">
        <v>27.759279108538067</v>
      </c>
      <c r="Q808" s="9">
        <v>27.759279108538067</v>
      </c>
      <c r="R808" s="9">
        <v>28.909938214135668</v>
      </c>
      <c r="S808" s="9">
        <v>29.129746609556125</v>
      </c>
      <c r="T808" s="9">
        <v>29.885241910517856</v>
      </c>
      <c r="U808" s="9">
        <v>31.387298550026539</v>
      </c>
      <c r="V808" s="9">
        <v>31.387298550026539</v>
      </c>
      <c r="W808" s="9">
        <v>31.387298550026539</v>
      </c>
      <c r="X808" s="9">
        <v>34.262376337518653</v>
      </c>
      <c r="Y808" s="9">
        <v>34.262376337518653</v>
      </c>
      <c r="Z808" s="9">
        <v>37.290012030342261</v>
      </c>
      <c r="AA808" s="9">
        <v>37.290012030342261</v>
      </c>
      <c r="AB808" s="9">
        <v>40.470361633702204</v>
      </c>
      <c r="AC808" s="9">
        <v>40.470361633702204</v>
      </c>
      <c r="AD808" s="9">
        <v>44.305029050310999</v>
      </c>
      <c r="AE808" s="9">
        <v>48.34275103891602</v>
      </c>
      <c r="AF808" s="9">
        <v>52.603833056716866</v>
      </c>
      <c r="AG808" s="9">
        <v>52.603833056716866</v>
      </c>
      <c r="AH808" s="9">
        <v>57.633590453735039</v>
      </c>
      <c r="AI808" s="9">
        <v>62.933613486080198</v>
      </c>
      <c r="AJ808" s="9">
        <v>3.0428788910505911</v>
      </c>
    </row>
    <row r="809" spans="1:36" x14ac:dyDescent="0.25">
      <c r="A809" t="s">
        <v>5411</v>
      </c>
      <c r="B809" t="s">
        <v>16</v>
      </c>
      <c r="C809" t="s">
        <v>17</v>
      </c>
      <c r="D809">
        <v>26651000</v>
      </c>
      <c r="E809">
        <v>26699969</v>
      </c>
      <c r="F809" t="s">
        <v>695</v>
      </c>
      <c r="G809" t="str">
        <f t="shared" si="24"/>
        <v>RJI II</v>
      </c>
      <c r="H809" t="s">
        <v>663</v>
      </c>
      <c r="I809" t="s">
        <v>20</v>
      </c>
      <c r="J809" t="s">
        <v>64</v>
      </c>
      <c r="K809" s="6">
        <v>0.03</v>
      </c>
      <c r="L809" s="7">
        <f t="shared" si="25"/>
        <v>2E-3</v>
      </c>
      <c r="M809" s="7">
        <v>3.0000000000000001E-3</v>
      </c>
      <c r="N809">
        <v>8</v>
      </c>
      <c r="O809" s="8">
        <v>19.191626852122567</v>
      </c>
      <c r="P809" s="9">
        <v>19.191626852122567</v>
      </c>
      <c r="Q809" s="9">
        <v>19.191626852122567</v>
      </c>
      <c r="R809" s="9">
        <v>19.642928460363855</v>
      </c>
      <c r="S809" s="9">
        <v>19.262254068797603</v>
      </c>
      <c r="T809" s="9">
        <v>20.002437846806995</v>
      </c>
      <c r="U809" s="9">
        <v>22.129401407702662</v>
      </c>
      <c r="V809" s="9">
        <v>22.129401407702662</v>
      </c>
      <c r="W809" s="9">
        <v>22.129401407702662</v>
      </c>
      <c r="X809" s="9">
        <v>23.753502845598582</v>
      </c>
      <c r="Y809" s="9">
        <v>23.753502845598582</v>
      </c>
      <c r="Z809" s="9">
        <v>25.775343328389187</v>
      </c>
      <c r="AA809" s="9">
        <v>25.775343328389187</v>
      </c>
      <c r="AB809" s="9">
        <v>27.866292679254457</v>
      </c>
      <c r="AC809" s="9">
        <v>27.866292679254457</v>
      </c>
      <c r="AD809" s="9">
        <v>31.93012744838439</v>
      </c>
      <c r="AE809" s="9">
        <v>34.043682702868942</v>
      </c>
      <c r="AF809" s="9">
        <v>36.2561115580978</v>
      </c>
      <c r="AG809" s="9">
        <v>36.2561115580978</v>
      </c>
      <c r="AH809" s="9">
        <v>39.68435845151825</v>
      </c>
      <c r="AI809" s="9">
        <v>42.41487012813608</v>
      </c>
      <c r="AJ809" s="9">
        <v>3.0428788910505911</v>
      </c>
    </row>
    <row r="810" spans="1:36" x14ac:dyDescent="0.25">
      <c r="A810" t="s">
        <v>5411</v>
      </c>
      <c r="B810" t="s">
        <v>16</v>
      </c>
      <c r="C810" t="s">
        <v>17</v>
      </c>
      <c r="D810">
        <v>26699970</v>
      </c>
      <c r="E810">
        <v>26699999</v>
      </c>
      <c r="F810" t="s">
        <v>694</v>
      </c>
      <c r="G810" t="str">
        <f t="shared" si="24"/>
        <v>RJR</v>
      </c>
      <c r="H810" t="s">
        <v>663</v>
      </c>
      <c r="I810" t="s">
        <v>20</v>
      </c>
      <c r="J810" t="s">
        <v>77</v>
      </c>
      <c r="K810" s="6">
        <v>0.03</v>
      </c>
      <c r="L810" s="7">
        <f t="shared" si="25"/>
        <v>2E-3</v>
      </c>
      <c r="M810" s="7">
        <v>3.0000000000000001E-3</v>
      </c>
      <c r="N810">
        <v>21</v>
      </c>
      <c r="O810" s="8">
        <v>27.759279108538067</v>
      </c>
      <c r="P810" s="9">
        <v>27.759279108538067</v>
      </c>
      <c r="Q810" s="9">
        <v>27.759279108538067</v>
      </c>
      <c r="R810" s="9">
        <v>28.909938214135668</v>
      </c>
      <c r="S810" s="9">
        <v>29.129746609556125</v>
      </c>
      <c r="T810" s="9">
        <v>29.885241910517856</v>
      </c>
      <c r="U810" s="9">
        <v>31.387298550026539</v>
      </c>
      <c r="V810" s="9">
        <v>31.387298550026539</v>
      </c>
      <c r="W810" s="9">
        <v>31.387298550026539</v>
      </c>
      <c r="X810" s="9">
        <v>34.262376337518653</v>
      </c>
      <c r="Y810" s="9">
        <v>34.262376337518653</v>
      </c>
      <c r="Z810" s="9">
        <v>37.290012030342261</v>
      </c>
      <c r="AA810" s="9">
        <v>37.290012030342261</v>
      </c>
      <c r="AB810" s="9">
        <v>40.470361633702204</v>
      </c>
      <c r="AC810" s="9">
        <v>40.470361633702204</v>
      </c>
      <c r="AD810" s="9">
        <v>44.305029050310999</v>
      </c>
      <c r="AE810" s="9">
        <v>48.34275103891602</v>
      </c>
      <c r="AF810" s="9">
        <v>52.603833056716866</v>
      </c>
      <c r="AG810" s="9">
        <v>52.603833056716866</v>
      </c>
      <c r="AH810" s="9">
        <v>57.633590453735039</v>
      </c>
      <c r="AI810" s="9">
        <v>62.933613486080198</v>
      </c>
      <c r="AJ810" s="9">
        <v>3.0428788910505911</v>
      </c>
    </row>
    <row r="811" spans="1:36" x14ac:dyDescent="0.25">
      <c r="A811" t="s">
        <v>5411</v>
      </c>
      <c r="B811" t="s">
        <v>16</v>
      </c>
      <c r="C811" t="s">
        <v>17</v>
      </c>
      <c r="D811">
        <v>26700000</v>
      </c>
      <c r="E811">
        <v>26899969</v>
      </c>
      <c r="F811" t="s">
        <v>696</v>
      </c>
      <c r="G811" t="str">
        <f t="shared" si="24"/>
        <v>RJI</v>
      </c>
      <c r="H811" t="s">
        <v>663</v>
      </c>
      <c r="I811" t="s">
        <v>20</v>
      </c>
      <c r="J811" t="s">
        <v>62</v>
      </c>
      <c r="K811" s="6">
        <v>0.03</v>
      </c>
      <c r="L811" s="7">
        <f t="shared" si="25"/>
        <v>2E-3</v>
      </c>
      <c r="M811" s="7">
        <v>3.0000000000000001E-3</v>
      </c>
      <c r="N811">
        <v>9</v>
      </c>
      <c r="O811" s="8">
        <v>15.267633692923473</v>
      </c>
      <c r="P811" s="9">
        <v>15.267633692923473</v>
      </c>
      <c r="Q811" s="9">
        <v>15.267633692923473</v>
      </c>
      <c r="R811" s="9">
        <v>15.455820801950338</v>
      </c>
      <c r="S811" s="9">
        <v>15.721645950324477</v>
      </c>
      <c r="T811" s="9">
        <v>16.739439286239044</v>
      </c>
      <c r="U811" s="9">
        <v>18.882065020469135</v>
      </c>
      <c r="V811" s="9">
        <v>18.882065020469135</v>
      </c>
      <c r="W811" s="9">
        <v>18.882065020469135</v>
      </c>
      <c r="X811" s="9">
        <v>20.560260982458932</v>
      </c>
      <c r="Y811" s="9">
        <v>20.560260982458932</v>
      </c>
      <c r="Z811" s="9">
        <v>22.671148936966464</v>
      </c>
      <c r="AA811" s="9">
        <v>22.671148936966464</v>
      </c>
      <c r="AB811" s="9">
        <v>24.988647885599047</v>
      </c>
      <c r="AC811" s="9">
        <v>24.988647885599047</v>
      </c>
      <c r="AD811" s="9">
        <v>27.429334733487696</v>
      </c>
      <c r="AE811" s="9">
        <v>30.009055056381616</v>
      </c>
      <c r="AF811" s="9">
        <v>34.85116305716884</v>
      </c>
      <c r="AG811" s="9">
        <v>34.85116305716884</v>
      </c>
      <c r="AH811" s="9">
        <v>37.75822329541549</v>
      </c>
      <c r="AI811" s="9">
        <v>40.581849370377171</v>
      </c>
      <c r="AJ811" s="9">
        <v>3.0428788910505911</v>
      </c>
    </row>
    <row r="812" spans="1:36" x14ac:dyDescent="0.25">
      <c r="A812" t="s">
        <v>5411</v>
      </c>
      <c r="B812" t="s">
        <v>16</v>
      </c>
      <c r="C812" t="s">
        <v>17</v>
      </c>
      <c r="D812">
        <v>26899970</v>
      </c>
      <c r="E812">
        <v>26899999</v>
      </c>
      <c r="F812" t="s">
        <v>696</v>
      </c>
      <c r="G812" t="str">
        <f t="shared" si="24"/>
        <v>RJR</v>
      </c>
      <c r="H812" t="s">
        <v>663</v>
      </c>
      <c r="I812" t="s">
        <v>20</v>
      </c>
      <c r="J812" t="s">
        <v>77</v>
      </c>
      <c r="K812" s="6">
        <v>0.03</v>
      </c>
      <c r="L812" s="7">
        <f t="shared" si="25"/>
        <v>2E-3</v>
      </c>
      <c r="M812" s="7">
        <v>3.0000000000000001E-3</v>
      </c>
      <c r="N812">
        <v>21</v>
      </c>
      <c r="O812" s="8">
        <v>27.759279108538067</v>
      </c>
      <c r="P812" s="9">
        <v>27.759279108538067</v>
      </c>
      <c r="Q812" s="9">
        <v>27.759279108538067</v>
      </c>
      <c r="R812" s="9">
        <v>28.909938214135668</v>
      </c>
      <c r="S812" s="9">
        <v>29.129746609556125</v>
      </c>
      <c r="T812" s="9">
        <v>29.885241910517856</v>
      </c>
      <c r="U812" s="9">
        <v>31.387298550026539</v>
      </c>
      <c r="V812" s="9">
        <v>31.387298550026539</v>
      </c>
      <c r="W812" s="9">
        <v>31.387298550026539</v>
      </c>
      <c r="X812" s="9">
        <v>34.262376337518653</v>
      </c>
      <c r="Y812" s="9">
        <v>34.262376337518653</v>
      </c>
      <c r="Z812" s="9">
        <v>37.290012030342261</v>
      </c>
      <c r="AA812" s="9">
        <v>37.290012030342261</v>
      </c>
      <c r="AB812" s="9">
        <v>40.470361633702204</v>
      </c>
      <c r="AC812" s="9">
        <v>40.470361633702204</v>
      </c>
      <c r="AD812" s="9">
        <v>44.305029050310999</v>
      </c>
      <c r="AE812" s="9">
        <v>48.34275103891602</v>
      </c>
      <c r="AF812" s="9">
        <v>52.603833056716866</v>
      </c>
      <c r="AG812" s="9">
        <v>52.603833056716866</v>
      </c>
      <c r="AH812" s="9">
        <v>57.633590453735039</v>
      </c>
      <c r="AI812" s="9">
        <v>62.933613486080198</v>
      </c>
      <c r="AJ812" s="9">
        <v>3.0428788910505911</v>
      </c>
    </row>
    <row r="813" spans="1:36" x14ac:dyDescent="0.25">
      <c r="A813" t="s">
        <v>5411</v>
      </c>
      <c r="B813" t="s">
        <v>16</v>
      </c>
      <c r="C813" t="s">
        <v>17</v>
      </c>
      <c r="D813">
        <v>26900000</v>
      </c>
      <c r="E813">
        <v>26949999</v>
      </c>
      <c r="F813" t="s">
        <v>697</v>
      </c>
      <c r="G813" t="str">
        <f t="shared" si="24"/>
        <v>RJI</v>
      </c>
      <c r="H813" t="s">
        <v>663</v>
      </c>
      <c r="I813" t="s">
        <v>20</v>
      </c>
      <c r="J813" t="s">
        <v>62</v>
      </c>
      <c r="K813" s="6">
        <v>0.03</v>
      </c>
      <c r="L813" s="7">
        <f t="shared" si="25"/>
        <v>2E-3</v>
      </c>
      <c r="M813" s="7">
        <v>3.0000000000000001E-3</v>
      </c>
      <c r="N813">
        <v>8</v>
      </c>
      <c r="O813" s="8">
        <v>15.267633692923473</v>
      </c>
      <c r="P813" s="9">
        <v>15.267633692923473</v>
      </c>
      <c r="Q813" s="9">
        <v>15.267633692923473</v>
      </c>
      <c r="R813" s="9">
        <v>15.455820801950338</v>
      </c>
      <c r="S813" s="9">
        <v>15.721645950324477</v>
      </c>
      <c r="T813" s="9">
        <v>16.739439286239044</v>
      </c>
      <c r="U813" s="9">
        <v>18.882065020469135</v>
      </c>
      <c r="V813" s="9">
        <v>18.882065020469135</v>
      </c>
      <c r="W813" s="9">
        <v>18.882065020469135</v>
      </c>
      <c r="X813" s="9">
        <v>20.560260982458932</v>
      </c>
      <c r="Y813" s="9">
        <v>20.560260982458932</v>
      </c>
      <c r="Z813" s="9">
        <v>22.671148936966464</v>
      </c>
      <c r="AA813" s="9">
        <v>22.671148936966464</v>
      </c>
      <c r="AB813" s="9">
        <v>24.988647885599047</v>
      </c>
      <c r="AC813" s="9">
        <v>24.988647885599047</v>
      </c>
      <c r="AD813" s="9">
        <v>27.429334733487696</v>
      </c>
      <c r="AE813" s="9">
        <v>30.009055056381616</v>
      </c>
      <c r="AF813" s="9">
        <v>34.85116305716884</v>
      </c>
      <c r="AG813" s="9">
        <v>34.85116305716884</v>
      </c>
      <c r="AH813" s="9">
        <v>37.75822329541549</v>
      </c>
      <c r="AI813" s="9">
        <v>40.581849370377171</v>
      </c>
      <c r="AJ813" s="9">
        <v>3.0428788910505911</v>
      </c>
    </row>
    <row r="814" spans="1:36" x14ac:dyDescent="0.25">
      <c r="A814" t="s">
        <v>5411</v>
      </c>
      <c r="B814" t="s">
        <v>16</v>
      </c>
      <c r="C814" t="s">
        <v>17</v>
      </c>
      <c r="D814">
        <v>26950000</v>
      </c>
      <c r="E814">
        <v>26999999</v>
      </c>
      <c r="F814" t="s">
        <v>698</v>
      </c>
      <c r="G814" t="str">
        <f t="shared" si="24"/>
        <v>RJI</v>
      </c>
      <c r="H814" t="s">
        <v>663</v>
      </c>
      <c r="I814" t="s">
        <v>20</v>
      </c>
      <c r="J814" t="s">
        <v>62</v>
      </c>
      <c r="K814" s="6">
        <v>0.03</v>
      </c>
      <c r="L814" s="7">
        <f t="shared" si="25"/>
        <v>2E-3</v>
      </c>
      <c r="M814" s="7">
        <v>3.0000000000000001E-3</v>
      </c>
      <c r="N814">
        <v>8</v>
      </c>
      <c r="O814" s="8">
        <v>15.267633692923473</v>
      </c>
      <c r="P814" s="9">
        <v>15.267633692923473</v>
      </c>
      <c r="Q814" s="9">
        <v>15.267633692923473</v>
      </c>
      <c r="R814" s="9">
        <v>15.455820801950338</v>
      </c>
      <c r="S814" s="9">
        <v>15.721645950324477</v>
      </c>
      <c r="T814" s="9">
        <v>16.739439286239044</v>
      </c>
      <c r="U814" s="9">
        <v>18.882065020469135</v>
      </c>
      <c r="V814" s="9">
        <v>18.882065020469135</v>
      </c>
      <c r="W814" s="9">
        <v>18.882065020469135</v>
      </c>
      <c r="X814" s="9">
        <v>20.560260982458932</v>
      </c>
      <c r="Y814" s="9">
        <v>20.560260982458932</v>
      </c>
      <c r="Z814" s="9">
        <v>22.671148936966464</v>
      </c>
      <c r="AA814" s="9">
        <v>22.671148936966464</v>
      </c>
      <c r="AB814" s="9">
        <v>24.988647885599047</v>
      </c>
      <c r="AC814" s="9">
        <v>24.988647885599047</v>
      </c>
      <c r="AD814" s="9">
        <v>27.429334733487696</v>
      </c>
      <c r="AE814" s="9">
        <v>30.009055056381616</v>
      </c>
      <c r="AF814" s="9">
        <v>34.85116305716884</v>
      </c>
      <c r="AG814" s="9">
        <v>34.85116305716884</v>
      </c>
      <c r="AH814" s="9">
        <v>37.75822329541549</v>
      </c>
      <c r="AI814" s="9">
        <v>40.581849370377171</v>
      </c>
      <c r="AJ814" s="9">
        <v>3.0428788910505911</v>
      </c>
    </row>
    <row r="815" spans="1:36" x14ac:dyDescent="0.25">
      <c r="A815" t="s">
        <v>5411</v>
      </c>
      <c r="B815" t="s">
        <v>16</v>
      </c>
      <c r="C815" t="s">
        <v>17</v>
      </c>
      <c r="D815">
        <v>27000000</v>
      </c>
      <c r="E815">
        <v>27099999</v>
      </c>
      <c r="F815" t="s">
        <v>699</v>
      </c>
      <c r="G815" t="str">
        <f t="shared" si="24"/>
        <v>RJI</v>
      </c>
      <c r="H815" t="s">
        <v>663</v>
      </c>
      <c r="I815" t="s">
        <v>20</v>
      </c>
      <c r="J815" t="s">
        <v>62</v>
      </c>
      <c r="K815" s="6">
        <v>0.03</v>
      </c>
      <c r="L815" s="7">
        <f t="shared" si="25"/>
        <v>2E-3</v>
      </c>
      <c r="M815" s="7">
        <v>3.0000000000000001E-3</v>
      </c>
      <c r="N815">
        <v>9</v>
      </c>
      <c r="O815" s="8">
        <v>15.267633692923473</v>
      </c>
      <c r="P815" s="9">
        <v>15.267633692923473</v>
      </c>
      <c r="Q815" s="9">
        <v>15.267633692923473</v>
      </c>
      <c r="R815" s="9">
        <v>15.455820801950338</v>
      </c>
      <c r="S815" s="9">
        <v>15.721645950324477</v>
      </c>
      <c r="T815" s="9">
        <v>16.739439286239044</v>
      </c>
      <c r="U815" s="9">
        <v>18.882065020469135</v>
      </c>
      <c r="V815" s="9">
        <v>18.882065020469135</v>
      </c>
      <c r="W815" s="9">
        <v>18.882065020469135</v>
      </c>
      <c r="X815" s="9">
        <v>20.560260982458932</v>
      </c>
      <c r="Y815" s="9">
        <v>20.560260982458932</v>
      </c>
      <c r="Z815" s="9">
        <v>22.671148936966464</v>
      </c>
      <c r="AA815" s="9">
        <v>22.671148936966464</v>
      </c>
      <c r="AB815" s="9">
        <v>24.988647885599047</v>
      </c>
      <c r="AC815" s="9">
        <v>24.988647885599047</v>
      </c>
      <c r="AD815" s="9">
        <v>27.429334733487696</v>
      </c>
      <c r="AE815" s="9">
        <v>30.009055056381616</v>
      </c>
      <c r="AF815" s="9">
        <v>34.85116305716884</v>
      </c>
      <c r="AG815" s="9">
        <v>34.85116305716884</v>
      </c>
      <c r="AH815" s="9">
        <v>37.75822329541549</v>
      </c>
      <c r="AI815" s="9">
        <v>40.581849370377171</v>
      </c>
      <c r="AJ815" s="9">
        <v>3.0428788910505911</v>
      </c>
    </row>
    <row r="816" spans="1:36" x14ac:dyDescent="0.25">
      <c r="A816" t="s">
        <v>5411</v>
      </c>
      <c r="B816" t="s">
        <v>16</v>
      </c>
      <c r="C816" t="s">
        <v>17</v>
      </c>
      <c r="D816">
        <v>27100000</v>
      </c>
      <c r="E816">
        <v>27174999</v>
      </c>
      <c r="F816" t="s">
        <v>699</v>
      </c>
      <c r="G816" t="str">
        <f t="shared" si="24"/>
        <v>RJI</v>
      </c>
      <c r="H816" t="s">
        <v>663</v>
      </c>
      <c r="I816" t="s">
        <v>20</v>
      </c>
      <c r="J816" t="s">
        <v>62</v>
      </c>
      <c r="K816" s="6">
        <v>0.03</v>
      </c>
      <c r="L816" s="7">
        <f t="shared" si="25"/>
        <v>2E-3</v>
      </c>
      <c r="M816" s="7">
        <v>3.0000000000000001E-3</v>
      </c>
      <c r="N816">
        <v>9</v>
      </c>
      <c r="O816" s="8">
        <v>15.267633692923473</v>
      </c>
      <c r="P816" s="9">
        <v>15.267633692923473</v>
      </c>
      <c r="Q816" s="9">
        <v>15.267633692923473</v>
      </c>
      <c r="R816" s="9">
        <v>15.455820801950338</v>
      </c>
      <c r="S816" s="9">
        <v>15.721645950324477</v>
      </c>
      <c r="T816" s="9">
        <v>16.739439286239044</v>
      </c>
      <c r="U816" s="9">
        <v>18.882065020469135</v>
      </c>
      <c r="V816" s="9">
        <v>18.882065020469135</v>
      </c>
      <c r="W816" s="9">
        <v>18.882065020469135</v>
      </c>
      <c r="X816" s="9">
        <v>20.560260982458932</v>
      </c>
      <c r="Y816" s="9">
        <v>20.560260982458932</v>
      </c>
      <c r="Z816" s="9">
        <v>22.671148936966464</v>
      </c>
      <c r="AA816" s="9">
        <v>22.671148936966464</v>
      </c>
      <c r="AB816" s="9">
        <v>24.988647885599047</v>
      </c>
      <c r="AC816" s="9">
        <v>24.988647885599047</v>
      </c>
      <c r="AD816" s="9">
        <v>27.429334733487696</v>
      </c>
      <c r="AE816" s="9">
        <v>30.009055056381616</v>
      </c>
      <c r="AF816" s="9">
        <v>34.85116305716884</v>
      </c>
      <c r="AG816" s="9">
        <v>34.85116305716884</v>
      </c>
      <c r="AH816" s="9">
        <v>37.75822329541549</v>
      </c>
      <c r="AI816" s="9">
        <v>40.581849370377171</v>
      </c>
      <c r="AJ816" s="9">
        <v>3.0428788910505911</v>
      </c>
    </row>
    <row r="817" spans="1:36" x14ac:dyDescent="0.25">
      <c r="A817" t="s">
        <v>5411</v>
      </c>
      <c r="B817" t="s">
        <v>16</v>
      </c>
      <c r="C817" t="s">
        <v>17</v>
      </c>
      <c r="D817">
        <v>27175000</v>
      </c>
      <c r="E817">
        <v>27175999</v>
      </c>
      <c r="F817" t="s">
        <v>700</v>
      </c>
      <c r="G817" t="str">
        <f t="shared" si="24"/>
        <v>RJI</v>
      </c>
      <c r="H817" t="s">
        <v>663</v>
      </c>
      <c r="I817" t="s">
        <v>20</v>
      </c>
      <c r="J817" t="s">
        <v>62</v>
      </c>
      <c r="K817" s="6">
        <v>0.03</v>
      </c>
      <c r="L817" s="7">
        <f t="shared" si="25"/>
        <v>2E-3</v>
      </c>
      <c r="M817" s="7">
        <v>3.0000000000000001E-3</v>
      </c>
      <c r="N817">
        <v>9</v>
      </c>
      <c r="O817" s="8">
        <v>15.267633692923473</v>
      </c>
      <c r="P817" s="9">
        <v>15.267633692923473</v>
      </c>
      <c r="Q817" s="9">
        <v>15.267633692923473</v>
      </c>
      <c r="R817" s="9">
        <v>15.455820801950338</v>
      </c>
      <c r="S817" s="9">
        <v>15.721645950324477</v>
      </c>
      <c r="T817" s="9">
        <v>16.739439286239044</v>
      </c>
      <c r="U817" s="9">
        <v>18.882065020469135</v>
      </c>
      <c r="V817" s="9">
        <v>18.882065020469135</v>
      </c>
      <c r="W817" s="9">
        <v>18.882065020469135</v>
      </c>
      <c r="X817" s="9">
        <v>20.560260982458932</v>
      </c>
      <c r="Y817" s="9">
        <v>20.560260982458932</v>
      </c>
      <c r="Z817" s="9">
        <v>22.671148936966464</v>
      </c>
      <c r="AA817" s="9">
        <v>22.671148936966464</v>
      </c>
      <c r="AB817" s="9">
        <v>24.988647885599047</v>
      </c>
      <c r="AC817" s="9">
        <v>24.988647885599047</v>
      </c>
      <c r="AD817" s="9">
        <v>27.429334733487696</v>
      </c>
      <c r="AE817" s="9">
        <v>30.009055056381616</v>
      </c>
      <c r="AF817" s="9">
        <v>34.85116305716884</v>
      </c>
      <c r="AG817" s="9">
        <v>34.85116305716884</v>
      </c>
      <c r="AH817" s="9">
        <v>37.75822329541549</v>
      </c>
      <c r="AI817" s="9">
        <v>40.581849370377171</v>
      </c>
      <c r="AJ817" s="9">
        <v>3.0428788910505911</v>
      </c>
    </row>
    <row r="818" spans="1:36" x14ac:dyDescent="0.25">
      <c r="A818" t="s">
        <v>5411</v>
      </c>
      <c r="B818" t="s">
        <v>16</v>
      </c>
      <c r="C818" t="s">
        <v>17</v>
      </c>
      <c r="D818">
        <v>27176000</v>
      </c>
      <c r="E818">
        <v>27184999</v>
      </c>
      <c r="F818" t="s">
        <v>701</v>
      </c>
      <c r="G818" t="str">
        <f t="shared" si="24"/>
        <v>RJI II</v>
      </c>
      <c r="H818" t="s">
        <v>663</v>
      </c>
      <c r="I818" t="s">
        <v>20</v>
      </c>
      <c r="J818" t="s">
        <v>64</v>
      </c>
      <c r="K818" s="6">
        <v>0.03</v>
      </c>
      <c r="L818" s="7">
        <f t="shared" si="25"/>
        <v>2E-3</v>
      </c>
      <c r="M818" s="7">
        <v>3.0000000000000001E-3</v>
      </c>
      <c r="N818">
        <v>9</v>
      </c>
      <c r="O818" s="8">
        <v>19.191626852122567</v>
      </c>
      <c r="P818" s="9">
        <v>19.191626852122567</v>
      </c>
      <c r="Q818" s="9">
        <v>19.191626852122567</v>
      </c>
      <c r="R818" s="9">
        <v>19.642928460363855</v>
      </c>
      <c r="S818" s="9">
        <v>19.262254068797603</v>
      </c>
      <c r="T818" s="9">
        <v>20.002437846806995</v>
      </c>
      <c r="U818" s="9">
        <v>22.129401407702662</v>
      </c>
      <c r="V818" s="9">
        <v>22.129401407702662</v>
      </c>
      <c r="W818" s="9">
        <v>22.129401407702662</v>
      </c>
      <c r="X818" s="9">
        <v>23.753502845598582</v>
      </c>
      <c r="Y818" s="9">
        <v>23.753502845598582</v>
      </c>
      <c r="Z818" s="9">
        <v>25.775343328389187</v>
      </c>
      <c r="AA818" s="9">
        <v>25.775343328389187</v>
      </c>
      <c r="AB818" s="9">
        <v>27.866292679254457</v>
      </c>
      <c r="AC818" s="9">
        <v>27.866292679254457</v>
      </c>
      <c r="AD818" s="9">
        <v>31.93012744838439</v>
      </c>
      <c r="AE818" s="9">
        <v>34.043682702868942</v>
      </c>
      <c r="AF818" s="9">
        <v>36.2561115580978</v>
      </c>
      <c r="AG818" s="9">
        <v>36.2561115580978</v>
      </c>
      <c r="AH818" s="9">
        <v>39.68435845151825</v>
      </c>
      <c r="AI818" s="9">
        <v>42.41487012813608</v>
      </c>
      <c r="AJ818" s="9">
        <v>3.0428788910505911</v>
      </c>
    </row>
    <row r="819" spans="1:36" x14ac:dyDescent="0.25">
      <c r="A819" t="s">
        <v>5411</v>
      </c>
      <c r="B819" t="s">
        <v>16</v>
      </c>
      <c r="C819" t="s">
        <v>17</v>
      </c>
      <c r="D819">
        <v>27185000</v>
      </c>
      <c r="E819">
        <v>27185999</v>
      </c>
      <c r="F819" t="s">
        <v>701</v>
      </c>
      <c r="G819" t="str">
        <f t="shared" si="24"/>
        <v>RJI II</v>
      </c>
      <c r="H819" t="s">
        <v>663</v>
      </c>
      <c r="I819" t="s">
        <v>20</v>
      </c>
      <c r="J819" t="s">
        <v>64</v>
      </c>
      <c r="K819" s="6">
        <v>0.03</v>
      </c>
      <c r="L819" s="7">
        <f t="shared" si="25"/>
        <v>2E-3</v>
      </c>
      <c r="M819" s="7">
        <v>3.0000000000000001E-3</v>
      </c>
      <c r="N819">
        <v>9</v>
      </c>
      <c r="O819" s="8">
        <v>19.191626852122567</v>
      </c>
      <c r="P819" s="9">
        <v>19.191626852122567</v>
      </c>
      <c r="Q819" s="9">
        <v>19.191626852122567</v>
      </c>
      <c r="R819" s="9">
        <v>19.642928460363855</v>
      </c>
      <c r="S819" s="9">
        <v>19.262254068797603</v>
      </c>
      <c r="T819" s="9">
        <v>20.002437846806995</v>
      </c>
      <c r="U819" s="9">
        <v>22.129401407702662</v>
      </c>
      <c r="V819" s="9">
        <v>22.129401407702662</v>
      </c>
      <c r="W819" s="9">
        <v>22.129401407702662</v>
      </c>
      <c r="X819" s="9">
        <v>23.753502845598582</v>
      </c>
      <c r="Y819" s="9">
        <v>23.753502845598582</v>
      </c>
      <c r="Z819" s="9">
        <v>25.775343328389187</v>
      </c>
      <c r="AA819" s="9">
        <v>25.775343328389187</v>
      </c>
      <c r="AB819" s="9">
        <v>27.866292679254457</v>
      </c>
      <c r="AC819" s="9">
        <v>27.866292679254457</v>
      </c>
      <c r="AD819" s="9">
        <v>31.93012744838439</v>
      </c>
      <c r="AE819" s="9">
        <v>34.043682702868942</v>
      </c>
      <c r="AF819" s="9">
        <v>36.2561115580978</v>
      </c>
      <c r="AG819" s="9">
        <v>36.2561115580978</v>
      </c>
      <c r="AH819" s="9">
        <v>39.68435845151825</v>
      </c>
      <c r="AI819" s="9">
        <v>42.41487012813608</v>
      </c>
      <c r="AJ819" s="9">
        <v>3.0428788910505911</v>
      </c>
    </row>
    <row r="820" spans="1:36" x14ac:dyDescent="0.25">
      <c r="A820" t="s">
        <v>5411</v>
      </c>
      <c r="B820" t="s">
        <v>16</v>
      </c>
      <c r="C820" t="s">
        <v>17</v>
      </c>
      <c r="D820">
        <v>27186000</v>
      </c>
      <c r="E820">
        <v>27195999</v>
      </c>
      <c r="F820" t="s">
        <v>701</v>
      </c>
      <c r="G820" t="str">
        <f t="shared" si="24"/>
        <v>RJI II</v>
      </c>
      <c r="H820" t="s">
        <v>663</v>
      </c>
      <c r="I820" t="s">
        <v>22</v>
      </c>
      <c r="J820" t="s">
        <v>64</v>
      </c>
      <c r="K820" s="6">
        <v>0.03</v>
      </c>
      <c r="L820" s="7">
        <f t="shared" si="25"/>
        <v>0.03</v>
      </c>
      <c r="M820" s="7">
        <v>3.0000000000000001E-3</v>
      </c>
      <c r="N820">
        <v>9</v>
      </c>
      <c r="O820" s="8">
        <v>19.191626852122567</v>
      </c>
      <c r="P820" s="9">
        <v>19.191626852122567</v>
      </c>
      <c r="Q820" s="9">
        <v>19.191626852122567</v>
      </c>
      <c r="R820" s="9">
        <v>19.642928460363855</v>
      </c>
      <c r="S820" s="9">
        <v>19.262254068797603</v>
      </c>
      <c r="T820" s="9">
        <v>20.002437846806995</v>
      </c>
      <c r="U820" s="9">
        <v>22.129401407702662</v>
      </c>
      <c r="V820" s="9">
        <v>22.129401407702662</v>
      </c>
      <c r="W820" s="9">
        <v>22.129401407702662</v>
      </c>
      <c r="X820" s="9">
        <v>23.753502845598582</v>
      </c>
      <c r="Y820" s="9">
        <v>23.753502845598582</v>
      </c>
      <c r="Z820" s="9">
        <v>25.775343328389187</v>
      </c>
      <c r="AA820" s="9">
        <v>25.775343328389187</v>
      </c>
      <c r="AB820" s="9">
        <v>27.866292679254457</v>
      </c>
      <c r="AC820" s="9">
        <v>27.866292679254457</v>
      </c>
      <c r="AD820" s="9">
        <v>31.93012744838439</v>
      </c>
      <c r="AE820" s="9">
        <v>34.043682702868942</v>
      </c>
      <c r="AF820" s="9">
        <v>36.2561115580978</v>
      </c>
      <c r="AG820" s="9">
        <v>36.2561115580978</v>
      </c>
      <c r="AH820" s="9">
        <v>39.68435845151825</v>
      </c>
      <c r="AI820" s="9">
        <v>42.41487012813608</v>
      </c>
      <c r="AJ820" s="9">
        <v>3.0428788910505911</v>
      </c>
    </row>
    <row r="821" spans="1:36" x14ac:dyDescent="0.25">
      <c r="A821" t="s">
        <v>5411</v>
      </c>
      <c r="B821" t="s">
        <v>16</v>
      </c>
      <c r="C821" t="s">
        <v>17</v>
      </c>
      <c r="D821">
        <v>27196000</v>
      </c>
      <c r="E821">
        <v>27197999</v>
      </c>
      <c r="F821" t="s">
        <v>702</v>
      </c>
      <c r="G821" t="str">
        <f t="shared" si="24"/>
        <v>RJI</v>
      </c>
      <c r="H821" t="s">
        <v>663</v>
      </c>
      <c r="I821" t="s">
        <v>22</v>
      </c>
      <c r="J821" t="s">
        <v>62</v>
      </c>
      <c r="K821" s="6">
        <v>0.03</v>
      </c>
      <c r="L821" s="7">
        <f t="shared" si="25"/>
        <v>0.03</v>
      </c>
      <c r="M821" s="7">
        <v>3.0000000000000001E-3</v>
      </c>
      <c r="N821">
        <v>9</v>
      </c>
      <c r="O821" s="8">
        <v>15.267633692923473</v>
      </c>
      <c r="P821" s="9">
        <v>15.267633692923473</v>
      </c>
      <c r="Q821" s="9">
        <v>15.267633692923473</v>
      </c>
      <c r="R821" s="9">
        <v>15.455820801950338</v>
      </c>
      <c r="S821" s="9">
        <v>15.721645950324477</v>
      </c>
      <c r="T821" s="9">
        <v>16.739439286239044</v>
      </c>
      <c r="U821" s="9">
        <v>18.882065020469135</v>
      </c>
      <c r="V821" s="9">
        <v>18.882065020469135</v>
      </c>
      <c r="W821" s="9">
        <v>18.882065020469135</v>
      </c>
      <c r="X821" s="9">
        <v>20.560260982458932</v>
      </c>
      <c r="Y821" s="9">
        <v>20.560260982458932</v>
      </c>
      <c r="Z821" s="9">
        <v>22.671148936966464</v>
      </c>
      <c r="AA821" s="9">
        <v>22.671148936966464</v>
      </c>
      <c r="AB821" s="9">
        <v>24.988647885599047</v>
      </c>
      <c r="AC821" s="9">
        <v>24.988647885599047</v>
      </c>
      <c r="AD821" s="9">
        <v>27.429334733487696</v>
      </c>
      <c r="AE821" s="9">
        <v>30.009055056381616</v>
      </c>
      <c r="AF821" s="9">
        <v>34.85116305716884</v>
      </c>
      <c r="AG821" s="9">
        <v>34.85116305716884</v>
      </c>
      <c r="AH821" s="9">
        <v>37.75822329541549</v>
      </c>
      <c r="AI821" s="9">
        <v>40.581849370377171</v>
      </c>
      <c r="AJ821" s="9">
        <v>3.0428788910505911</v>
      </c>
    </row>
    <row r="822" spans="1:36" x14ac:dyDescent="0.25">
      <c r="A822" t="s">
        <v>5411</v>
      </c>
      <c r="B822" t="s">
        <v>16</v>
      </c>
      <c r="C822" t="s">
        <v>17</v>
      </c>
      <c r="D822">
        <v>27198000</v>
      </c>
      <c r="E822">
        <v>27299999</v>
      </c>
      <c r="F822" t="s">
        <v>703</v>
      </c>
      <c r="G822" t="str">
        <f t="shared" si="24"/>
        <v>RJI</v>
      </c>
      <c r="H822" t="s">
        <v>663</v>
      </c>
      <c r="I822" t="s">
        <v>22</v>
      </c>
      <c r="J822" t="s">
        <v>62</v>
      </c>
      <c r="K822" s="6">
        <v>0.03</v>
      </c>
      <c r="L822" s="7">
        <f t="shared" si="25"/>
        <v>0.03</v>
      </c>
      <c r="M822" s="7">
        <v>3.0000000000000001E-3</v>
      </c>
      <c r="N822">
        <v>8</v>
      </c>
      <c r="O822" s="8">
        <v>15.267633692923473</v>
      </c>
      <c r="P822" s="9">
        <v>15.267633692923473</v>
      </c>
      <c r="Q822" s="9">
        <v>15.267633692923473</v>
      </c>
      <c r="R822" s="9">
        <v>15.455820801950338</v>
      </c>
      <c r="S822" s="9">
        <v>15.721645950324477</v>
      </c>
      <c r="T822" s="9">
        <v>16.739439286239044</v>
      </c>
      <c r="U822" s="9">
        <v>18.882065020469135</v>
      </c>
      <c r="V822" s="9">
        <v>18.882065020469135</v>
      </c>
      <c r="W822" s="9">
        <v>18.882065020469135</v>
      </c>
      <c r="X822" s="9">
        <v>20.560260982458932</v>
      </c>
      <c r="Y822" s="9">
        <v>20.560260982458932</v>
      </c>
      <c r="Z822" s="9">
        <v>22.671148936966464</v>
      </c>
      <c r="AA822" s="9">
        <v>22.671148936966464</v>
      </c>
      <c r="AB822" s="9">
        <v>24.988647885599047</v>
      </c>
      <c r="AC822" s="9">
        <v>24.988647885599047</v>
      </c>
      <c r="AD822" s="9">
        <v>27.429334733487696</v>
      </c>
      <c r="AE822" s="9">
        <v>30.009055056381616</v>
      </c>
      <c r="AF822" s="9">
        <v>34.85116305716884</v>
      </c>
      <c r="AG822" s="9">
        <v>34.85116305716884</v>
      </c>
      <c r="AH822" s="9">
        <v>37.75822329541549</v>
      </c>
      <c r="AI822" s="9">
        <v>40.581849370377171</v>
      </c>
      <c r="AJ822" s="9">
        <v>3.0428788910505911</v>
      </c>
    </row>
    <row r="823" spans="1:36" x14ac:dyDescent="0.25">
      <c r="A823" t="s">
        <v>5411</v>
      </c>
      <c r="B823" t="s">
        <v>16</v>
      </c>
      <c r="C823" t="s">
        <v>17</v>
      </c>
      <c r="D823">
        <v>27300000</v>
      </c>
      <c r="E823">
        <v>27399999</v>
      </c>
      <c r="F823" t="s">
        <v>704</v>
      </c>
      <c r="G823" t="str">
        <f t="shared" si="24"/>
        <v>RJI</v>
      </c>
      <c r="H823" t="s">
        <v>663</v>
      </c>
      <c r="I823" t="s">
        <v>20</v>
      </c>
      <c r="J823" t="s">
        <v>62</v>
      </c>
      <c r="K823" s="6">
        <v>0.03</v>
      </c>
      <c r="L823" s="7">
        <f t="shared" si="25"/>
        <v>2E-3</v>
      </c>
      <c r="M823" s="7">
        <v>3.0000000000000001E-3</v>
      </c>
      <c r="N823">
        <v>8</v>
      </c>
      <c r="O823" s="8">
        <v>15.267633692923473</v>
      </c>
      <c r="P823" s="9">
        <v>15.267633692923473</v>
      </c>
      <c r="Q823" s="9">
        <v>15.267633692923473</v>
      </c>
      <c r="R823" s="9">
        <v>15.455820801950338</v>
      </c>
      <c r="S823" s="9">
        <v>15.721645950324477</v>
      </c>
      <c r="T823" s="9">
        <v>16.739439286239044</v>
      </c>
      <c r="U823" s="9">
        <v>18.882065020469135</v>
      </c>
      <c r="V823" s="9">
        <v>18.882065020469135</v>
      </c>
      <c r="W823" s="9">
        <v>18.882065020469135</v>
      </c>
      <c r="X823" s="9">
        <v>20.560260982458932</v>
      </c>
      <c r="Y823" s="9">
        <v>20.560260982458932</v>
      </c>
      <c r="Z823" s="9">
        <v>22.671148936966464</v>
      </c>
      <c r="AA823" s="9">
        <v>22.671148936966464</v>
      </c>
      <c r="AB823" s="9">
        <v>24.988647885599047</v>
      </c>
      <c r="AC823" s="9">
        <v>24.988647885599047</v>
      </c>
      <c r="AD823" s="9">
        <v>27.429334733487696</v>
      </c>
      <c r="AE823" s="9">
        <v>30.009055056381616</v>
      </c>
      <c r="AF823" s="9">
        <v>34.85116305716884</v>
      </c>
      <c r="AG823" s="9">
        <v>34.85116305716884</v>
      </c>
      <c r="AH823" s="9">
        <v>37.75822329541549</v>
      </c>
      <c r="AI823" s="9">
        <v>40.581849370377171</v>
      </c>
      <c r="AJ823" s="9">
        <v>3.0428788910505911</v>
      </c>
    </row>
    <row r="824" spans="1:36" x14ac:dyDescent="0.25">
      <c r="A824" t="s">
        <v>5411</v>
      </c>
      <c r="B824" t="s">
        <v>16</v>
      </c>
      <c r="C824" t="s">
        <v>17</v>
      </c>
      <c r="D824">
        <v>27400000</v>
      </c>
      <c r="E824">
        <v>27459999</v>
      </c>
      <c r="F824" t="s">
        <v>705</v>
      </c>
      <c r="G824" t="str">
        <f t="shared" si="24"/>
        <v>RJI</v>
      </c>
      <c r="H824" t="s">
        <v>663</v>
      </c>
      <c r="I824" t="s">
        <v>20</v>
      </c>
      <c r="J824" t="s">
        <v>62</v>
      </c>
      <c r="K824" s="6">
        <v>0.03</v>
      </c>
      <c r="L824" s="7">
        <f t="shared" si="25"/>
        <v>2E-3</v>
      </c>
      <c r="M824" s="7">
        <v>3.0000000000000001E-3</v>
      </c>
      <c r="N824">
        <v>9</v>
      </c>
      <c r="O824" s="8">
        <v>15.267633692923473</v>
      </c>
      <c r="P824" s="9">
        <v>15.267633692923473</v>
      </c>
      <c r="Q824" s="9">
        <v>15.267633692923473</v>
      </c>
      <c r="R824" s="9">
        <v>15.455820801950338</v>
      </c>
      <c r="S824" s="9">
        <v>15.721645950324477</v>
      </c>
      <c r="T824" s="9">
        <v>16.739439286239044</v>
      </c>
      <c r="U824" s="9">
        <v>18.882065020469135</v>
      </c>
      <c r="V824" s="9">
        <v>18.882065020469135</v>
      </c>
      <c r="W824" s="9">
        <v>18.882065020469135</v>
      </c>
      <c r="X824" s="9">
        <v>20.560260982458932</v>
      </c>
      <c r="Y824" s="9">
        <v>20.560260982458932</v>
      </c>
      <c r="Z824" s="9">
        <v>22.671148936966464</v>
      </c>
      <c r="AA824" s="9">
        <v>22.671148936966464</v>
      </c>
      <c r="AB824" s="9">
        <v>24.988647885599047</v>
      </c>
      <c r="AC824" s="9">
        <v>24.988647885599047</v>
      </c>
      <c r="AD824" s="9">
        <v>27.429334733487696</v>
      </c>
      <c r="AE824" s="9">
        <v>30.009055056381616</v>
      </c>
      <c r="AF824" s="9">
        <v>34.85116305716884</v>
      </c>
      <c r="AG824" s="9">
        <v>34.85116305716884</v>
      </c>
      <c r="AH824" s="9">
        <v>37.75822329541549</v>
      </c>
      <c r="AI824" s="9">
        <v>40.581849370377171</v>
      </c>
      <c r="AJ824" s="9">
        <v>3.0428788910505911</v>
      </c>
    </row>
    <row r="825" spans="1:36" x14ac:dyDescent="0.25">
      <c r="A825" t="s">
        <v>5411</v>
      </c>
      <c r="B825" t="s">
        <v>16</v>
      </c>
      <c r="C825" t="s">
        <v>17</v>
      </c>
      <c r="D825">
        <v>27460000</v>
      </c>
      <c r="E825">
        <v>27460999</v>
      </c>
      <c r="F825" t="s">
        <v>172</v>
      </c>
      <c r="G825" t="str">
        <f t="shared" si="24"/>
        <v>RJI</v>
      </c>
      <c r="H825" t="s">
        <v>663</v>
      </c>
      <c r="I825" t="s">
        <v>20</v>
      </c>
      <c r="J825" t="s">
        <v>62</v>
      </c>
      <c r="K825" s="6">
        <v>0.03</v>
      </c>
      <c r="L825" s="7">
        <f t="shared" si="25"/>
        <v>2E-3</v>
      </c>
      <c r="M825" s="7">
        <v>3.0000000000000001E-3</v>
      </c>
      <c r="N825">
        <v>9</v>
      </c>
      <c r="O825" s="8">
        <v>15.267633692923473</v>
      </c>
      <c r="P825" s="9">
        <v>15.267633692923473</v>
      </c>
      <c r="Q825" s="9">
        <v>15.267633692923473</v>
      </c>
      <c r="R825" s="9">
        <v>15.455820801950338</v>
      </c>
      <c r="S825" s="9">
        <v>15.721645950324477</v>
      </c>
      <c r="T825" s="9">
        <v>16.739439286239044</v>
      </c>
      <c r="U825" s="9">
        <v>18.882065020469135</v>
      </c>
      <c r="V825" s="9">
        <v>18.882065020469135</v>
      </c>
      <c r="W825" s="9">
        <v>18.882065020469135</v>
      </c>
      <c r="X825" s="9">
        <v>20.560260982458932</v>
      </c>
      <c r="Y825" s="9">
        <v>20.560260982458932</v>
      </c>
      <c r="Z825" s="9">
        <v>22.671148936966464</v>
      </c>
      <c r="AA825" s="9">
        <v>22.671148936966464</v>
      </c>
      <c r="AB825" s="9">
        <v>24.988647885599047</v>
      </c>
      <c r="AC825" s="9">
        <v>24.988647885599047</v>
      </c>
      <c r="AD825" s="9">
        <v>27.429334733487696</v>
      </c>
      <c r="AE825" s="9">
        <v>30.009055056381616</v>
      </c>
      <c r="AF825" s="9">
        <v>34.85116305716884</v>
      </c>
      <c r="AG825" s="9">
        <v>34.85116305716884</v>
      </c>
      <c r="AH825" s="9">
        <v>37.75822329541549</v>
      </c>
      <c r="AI825" s="9">
        <v>40.581849370377171</v>
      </c>
      <c r="AJ825" s="9">
        <v>3.0428788910505911</v>
      </c>
    </row>
    <row r="826" spans="1:36" x14ac:dyDescent="0.25">
      <c r="A826" t="s">
        <v>5411</v>
      </c>
      <c r="B826" t="s">
        <v>16</v>
      </c>
      <c r="C826" t="s">
        <v>17</v>
      </c>
      <c r="D826">
        <v>27461000</v>
      </c>
      <c r="E826">
        <v>27475999</v>
      </c>
      <c r="F826" t="s">
        <v>706</v>
      </c>
      <c r="G826" t="str">
        <f t="shared" si="24"/>
        <v>RJI II</v>
      </c>
      <c r="H826" t="s">
        <v>663</v>
      </c>
      <c r="I826" t="s">
        <v>20</v>
      </c>
      <c r="J826" t="s">
        <v>64</v>
      </c>
      <c r="K826" s="6">
        <v>0.03</v>
      </c>
      <c r="L826" s="7">
        <f t="shared" si="25"/>
        <v>2E-3</v>
      </c>
      <c r="M826" s="7">
        <v>3.0000000000000001E-3</v>
      </c>
      <c r="N826">
        <v>9</v>
      </c>
      <c r="O826" s="8">
        <v>19.191626852122567</v>
      </c>
      <c r="P826" s="9">
        <v>19.191626852122567</v>
      </c>
      <c r="Q826" s="9">
        <v>19.191626852122567</v>
      </c>
      <c r="R826" s="9">
        <v>19.642928460363855</v>
      </c>
      <c r="S826" s="9">
        <v>19.262254068797603</v>
      </c>
      <c r="T826" s="9">
        <v>20.002437846806995</v>
      </c>
      <c r="U826" s="9">
        <v>22.129401407702662</v>
      </c>
      <c r="V826" s="9">
        <v>22.129401407702662</v>
      </c>
      <c r="W826" s="9">
        <v>22.129401407702662</v>
      </c>
      <c r="X826" s="9">
        <v>23.753502845598582</v>
      </c>
      <c r="Y826" s="9">
        <v>23.753502845598582</v>
      </c>
      <c r="Z826" s="9">
        <v>25.775343328389187</v>
      </c>
      <c r="AA826" s="9">
        <v>25.775343328389187</v>
      </c>
      <c r="AB826" s="9">
        <v>27.866292679254457</v>
      </c>
      <c r="AC826" s="9">
        <v>27.866292679254457</v>
      </c>
      <c r="AD826" s="9">
        <v>31.93012744838439</v>
      </c>
      <c r="AE826" s="9">
        <v>34.043682702868942</v>
      </c>
      <c r="AF826" s="9">
        <v>36.2561115580978</v>
      </c>
      <c r="AG826" s="9">
        <v>36.2561115580978</v>
      </c>
      <c r="AH826" s="9">
        <v>39.68435845151825</v>
      </c>
      <c r="AI826" s="9">
        <v>42.41487012813608</v>
      </c>
      <c r="AJ826" s="9">
        <v>3.0428788910505911</v>
      </c>
    </row>
    <row r="827" spans="1:36" x14ac:dyDescent="0.25">
      <c r="A827" t="s">
        <v>5411</v>
      </c>
      <c r="B827" t="s">
        <v>16</v>
      </c>
      <c r="C827" t="s">
        <v>17</v>
      </c>
      <c r="D827">
        <v>27476000</v>
      </c>
      <c r="E827">
        <v>27569999</v>
      </c>
      <c r="F827" t="s">
        <v>707</v>
      </c>
      <c r="G827" t="str">
        <f t="shared" si="24"/>
        <v>RJI II</v>
      </c>
      <c r="H827" t="s">
        <v>663</v>
      </c>
      <c r="I827" t="s">
        <v>22</v>
      </c>
      <c r="J827" t="s">
        <v>64</v>
      </c>
      <c r="K827" s="6">
        <v>0.03</v>
      </c>
      <c r="L827" s="7">
        <f t="shared" si="25"/>
        <v>0.03</v>
      </c>
      <c r="M827" s="7">
        <v>3.0000000000000001E-3</v>
      </c>
      <c r="N827">
        <v>8</v>
      </c>
      <c r="O827" s="8">
        <v>19.191626852122567</v>
      </c>
      <c r="P827" s="9">
        <v>19.191626852122567</v>
      </c>
      <c r="Q827" s="9">
        <v>19.191626852122567</v>
      </c>
      <c r="R827" s="9">
        <v>19.642928460363855</v>
      </c>
      <c r="S827" s="9">
        <v>19.262254068797603</v>
      </c>
      <c r="T827" s="9">
        <v>20.002437846806995</v>
      </c>
      <c r="U827" s="9">
        <v>22.129401407702662</v>
      </c>
      <c r="V827" s="9">
        <v>22.129401407702662</v>
      </c>
      <c r="W827" s="9">
        <v>22.129401407702662</v>
      </c>
      <c r="X827" s="9">
        <v>23.753502845598582</v>
      </c>
      <c r="Y827" s="9">
        <v>23.753502845598582</v>
      </c>
      <c r="Z827" s="9">
        <v>25.775343328389187</v>
      </c>
      <c r="AA827" s="9">
        <v>25.775343328389187</v>
      </c>
      <c r="AB827" s="9">
        <v>27.866292679254457</v>
      </c>
      <c r="AC827" s="9">
        <v>27.866292679254457</v>
      </c>
      <c r="AD827" s="9">
        <v>31.93012744838439</v>
      </c>
      <c r="AE827" s="9">
        <v>34.043682702868942</v>
      </c>
      <c r="AF827" s="9">
        <v>36.2561115580978</v>
      </c>
      <c r="AG827" s="9">
        <v>36.2561115580978</v>
      </c>
      <c r="AH827" s="9">
        <v>39.68435845151825</v>
      </c>
      <c r="AI827" s="9">
        <v>42.41487012813608</v>
      </c>
      <c r="AJ827" s="9">
        <v>3.0428788910505911</v>
      </c>
    </row>
    <row r="828" spans="1:36" x14ac:dyDescent="0.25">
      <c r="A828" t="s">
        <v>5411</v>
      </c>
      <c r="B828" t="s">
        <v>16</v>
      </c>
      <c r="C828" t="s">
        <v>17</v>
      </c>
      <c r="D828">
        <v>27570000</v>
      </c>
      <c r="E828">
        <v>27579999</v>
      </c>
      <c r="F828" t="s">
        <v>708</v>
      </c>
      <c r="G828" t="str">
        <f t="shared" si="24"/>
        <v>RJI</v>
      </c>
      <c r="H828" t="s">
        <v>663</v>
      </c>
      <c r="I828" t="s">
        <v>20</v>
      </c>
      <c r="J828" t="s">
        <v>62</v>
      </c>
      <c r="K828" s="6">
        <v>0.03</v>
      </c>
      <c r="L828" s="7">
        <f t="shared" si="25"/>
        <v>2E-3</v>
      </c>
      <c r="M828" s="7">
        <v>3.0000000000000001E-3</v>
      </c>
      <c r="N828">
        <v>9</v>
      </c>
      <c r="O828" s="8">
        <v>15.267633692923473</v>
      </c>
      <c r="P828" s="9">
        <v>15.267633692923473</v>
      </c>
      <c r="Q828" s="9">
        <v>15.267633692923473</v>
      </c>
      <c r="R828" s="9">
        <v>15.455820801950338</v>
      </c>
      <c r="S828" s="9">
        <v>15.721645950324477</v>
      </c>
      <c r="T828" s="9">
        <v>16.739439286239044</v>
      </c>
      <c r="U828" s="9">
        <v>18.882065020469135</v>
      </c>
      <c r="V828" s="9">
        <v>18.882065020469135</v>
      </c>
      <c r="W828" s="9">
        <v>18.882065020469135</v>
      </c>
      <c r="X828" s="9">
        <v>20.560260982458932</v>
      </c>
      <c r="Y828" s="9">
        <v>20.560260982458932</v>
      </c>
      <c r="Z828" s="9">
        <v>22.671148936966464</v>
      </c>
      <c r="AA828" s="9">
        <v>22.671148936966464</v>
      </c>
      <c r="AB828" s="9">
        <v>24.988647885599047</v>
      </c>
      <c r="AC828" s="9">
        <v>24.988647885599047</v>
      </c>
      <c r="AD828" s="9">
        <v>27.429334733487696</v>
      </c>
      <c r="AE828" s="9">
        <v>30.009055056381616</v>
      </c>
      <c r="AF828" s="9">
        <v>34.85116305716884</v>
      </c>
      <c r="AG828" s="9">
        <v>34.85116305716884</v>
      </c>
      <c r="AH828" s="9">
        <v>37.75822329541549</v>
      </c>
      <c r="AI828" s="9">
        <v>40.581849370377171</v>
      </c>
      <c r="AJ828" s="9">
        <v>3.0428788910505911</v>
      </c>
    </row>
    <row r="829" spans="1:36" x14ac:dyDescent="0.25">
      <c r="A829" t="s">
        <v>5411</v>
      </c>
      <c r="B829" t="s">
        <v>16</v>
      </c>
      <c r="C829" t="s">
        <v>17</v>
      </c>
      <c r="D829">
        <v>27580000</v>
      </c>
      <c r="E829">
        <v>27580999</v>
      </c>
      <c r="F829" t="s">
        <v>709</v>
      </c>
      <c r="G829" t="str">
        <f t="shared" si="24"/>
        <v>RJI</v>
      </c>
      <c r="H829" t="s">
        <v>663</v>
      </c>
      <c r="I829" t="s">
        <v>20</v>
      </c>
      <c r="J829" t="s">
        <v>62</v>
      </c>
      <c r="K829" s="6">
        <v>0.03</v>
      </c>
      <c r="L829" s="7">
        <f t="shared" si="25"/>
        <v>2E-3</v>
      </c>
      <c r="M829" s="7">
        <v>3.0000000000000001E-3</v>
      </c>
      <c r="N829">
        <v>9</v>
      </c>
      <c r="O829" s="8">
        <v>15.267633692923473</v>
      </c>
      <c r="P829" s="9">
        <v>15.267633692923473</v>
      </c>
      <c r="Q829" s="9">
        <v>15.267633692923473</v>
      </c>
      <c r="R829" s="9">
        <v>15.455820801950338</v>
      </c>
      <c r="S829" s="9">
        <v>15.721645950324477</v>
      </c>
      <c r="T829" s="9">
        <v>16.739439286239044</v>
      </c>
      <c r="U829" s="9">
        <v>18.882065020469135</v>
      </c>
      <c r="V829" s="9">
        <v>18.882065020469135</v>
      </c>
      <c r="W829" s="9">
        <v>18.882065020469135</v>
      </c>
      <c r="X829" s="9">
        <v>20.560260982458932</v>
      </c>
      <c r="Y829" s="9">
        <v>20.560260982458932</v>
      </c>
      <c r="Z829" s="9">
        <v>22.671148936966464</v>
      </c>
      <c r="AA829" s="9">
        <v>22.671148936966464</v>
      </c>
      <c r="AB829" s="9">
        <v>24.988647885599047</v>
      </c>
      <c r="AC829" s="9">
        <v>24.988647885599047</v>
      </c>
      <c r="AD829" s="9">
        <v>27.429334733487696</v>
      </c>
      <c r="AE829" s="9">
        <v>30.009055056381616</v>
      </c>
      <c r="AF829" s="9">
        <v>34.85116305716884</v>
      </c>
      <c r="AG829" s="9">
        <v>34.85116305716884</v>
      </c>
      <c r="AH829" s="9">
        <v>37.75822329541549</v>
      </c>
      <c r="AI829" s="9">
        <v>40.581849370377171</v>
      </c>
      <c r="AJ829" s="9">
        <v>3.0428788910505911</v>
      </c>
    </row>
    <row r="830" spans="1:36" x14ac:dyDescent="0.25">
      <c r="A830" t="s">
        <v>5411</v>
      </c>
      <c r="B830" t="s">
        <v>16</v>
      </c>
      <c r="C830" t="s">
        <v>17</v>
      </c>
      <c r="D830">
        <v>27581000</v>
      </c>
      <c r="E830">
        <v>27597999</v>
      </c>
      <c r="F830" t="s">
        <v>710</v>
      </c>
      <c r="G830" t="str">
        <f t="shared" si="24"/>
        <v>RJR</v>
      </c>
      <c r="H830" t="s">
        <v>663</v>
      </c>
      <c r="I830" t="s">
        <v>20</v>
      </c>
      <c r="J830" t="s">
        <v>77</v>
      </c>
      <c r="K830" s="6">
        <v>0.03</v>
      </c>
      <c r="L830" s="7">
        <f t="shared" si="25"/>
        <v>2E-3</v>
      </c>
      <c r="M830" s="7">
        <v>3.0000000000000001E-3</v>
      </c>
      <c r="N830">
        <v>21</v>
      </c>
      <c r="O830" s="8">
        <v>27.759279108538067</v>
      </c>
      <c r="P830" s="9">
        <v>27.759279108538067</v>
      </c>
      <c r="Q830" s="9">
        <v>27.759279108538067</v>
      </c>
      <c r="R830" s="9">
        <v>28.909938214135668</v>
      </c>
      <c r="S830" s="9">
        <v>29.129746609556125</v>
      </c>
      <c r="T830" s="9">
        <v>29.885241910517856</v>
      </c>
      <c r="U830" s="9">
        <v>31.387298550026539</v>
      </c>
      <c r="V830" s="9">
        <v>31.387298550026539</v>
      </c>
      <c r="W830" s="9">
        <v>31.387298550026539</v>
      </c>
      <c r="X830" s="9">
        <v>34.262376337518653</v>
      </c>
      <c r="Y830" s="9">
        <v>34.262376337518653</v>
      </c>
      <c r="Z830" s="9">
        <v>37.290012030342261</v>
      </c>
      <c r="AA830" s="9">
        <v>37.290012030342261</v>
      </c>
      <c r="AB830" s="9">
        <v>40.470361633702204</v>
      </c>
      <c r="AC830" s="9">
        <v>40.470361633702204</v>
      </c>
      <c r="AD830" s="9">
        <v>44.305029050310999</v>
      </c>
      <c r="AE830" s="9">
        <v>48.34275103891602</v>
      </c>
      <c r="AF830" s="9">
        <v>52.603833056716866</v>
      </c>
      <c r="AG830" s="9">
        <v>52.603833056716866</v>
      </c>
      <c r="AH830" s="9">
        <v>57.633590453735039</v>
      </c>
      <c r="AI830" s="9">
        <v>62.933613486080198</v>
      </c>
      <c r="AJ830" s="9">
        <v>3.0428788910505911</v>
      </c>
    </row>
    <row r="831" spans="1:36" x14ac:dyDescent="0.25">
      <c r="A831" t="s">
        <v>5411</v>
      </c>
      <c r="B831" t="s">
        <v>16</v>
      </c>
      <c r="C831" t="s">
        <v>17</v>
      </c>
      <c r="D831">
        <v>27598000</v>
      </c>
      <c r="E831">
        <v>27599999</v>
      </c>
      <c r="F831" t="s">
        <v>710</v>
      </c>
      <c r="G831" t="str">
        <f t="shared" si="24"/>
        <v>RJI</v>
      </c>
      <c r="H831" t="s">
        <v>663</v>
      </c>
      <c r="I831" t="s">
        <v>20</v>
      </c>
      <c r="J831" t="s">
        <v>62</v>
      </c>
      <c r="K831" s="6">
        <v>0.03</v>
      </c>
      <c r="L831" s="7">
        <f t="shared" si="25"/>
        <v>2E-3</v>
      </c>
      <c r="M831" s="7">
        <v>3.0000000000000001E-3</v>
      </c>
      <c r="N831">
        <v>9</v>
      </c>
      <c r="O831" s="8">
        <v>15.267633692923473</v>
      </c>
      <c r="P831" s="9">
        <v>15.267633692923473</v>
      </c>
      <c r="Q831" s="9">
        <v>15.267633692923473</v>
      </c>
      <c r="R831" s="9">
        <v>15.455820801950338</v>
      </c>
      <c r="S831" s="9">
        <v>15.721645950324477</v>
      </c>
      <c r="T831" s="9">
        <v>16.739439286239044</v>
      </c>
      <c r="U831" s="9">
        <v>18.882065020469135</v>
      </c>
      <c r="V831" s="9">
        <v>18.882065020469135</v>
      </c>
      <c r="W831" s="9">
        <v>18.882065020469135</v>
      </c>
      <c r="X831" s="9">
        <v>20.560260982458932</v>
      </c>
      <c r="Y831" s="9">
        <v>20.560260982458932</v>
      </c>
      <c r="Z831" s="9">
        <v>22.671148936966464</v>
      </c>
      <c r="AA831" s="9">
        <v>22.671148936966464</v>
      </c>
      <c r="AB831" s="9">
        <v>24.988647885599047</v>
      </c>
      <c r="AC831" s="9">
        <v>24.988647885599047</v>
      </c>
      <c r="AD831" s="9">
        <v>27.429334733487696</v>
      </c>
      <c r="AE831" s="9">
        <v>30.009055056381616</v>
      </c>
      <c r="AF831" s="9">
        <v>34.85116305716884</v>
      </c>
      <c r="AG831" s="9">
        <v>34.85116305716884</v>
      </c>
      <c r="AH831" s="9">
        <v>37.75822329541549</v>
      </c>
      <c r="AI831" s="9">
        <v>40.581849370377171</v>
      </c>
      <c r="AJ831" s="9">
        <v>3.0428788910505911</v>
      </c>
    </row>
    <row r="832" spans="1:36" x14ac:dyDescent="0.25">
      <c r="A832" t="s">
        <v>5411</v>
      </c>
      <c r="B832" t="s">
        <v>16</v>
      </c>
      <c r="C832" t="s">
        <v>17</v>
      </c>
      <c r="D832">
        <v>27600000</v>
      </c>
      <c r="E832">
        <v>27600969</v>
      </c>
      <c r="F832" t="s">
        <v>711</v>
      </c>
      <c r="G832" t="str">
        <f t="shared" si="24"/>
        <v>RJI</v>
      </c>
      <c r="H832" t="s">
        <v>663</v>
      </c>
      <c r="I832" t="s">
        <v>20</v>
      </c>
      <c r="J832" t="s">
        <v>62</v>
      </c>
      <c r="K832" s="6">
        <v>0.03</v>
      </c>
      <c r="L832" s="7">
        <f t="shared" si="25"/>
        <v>2E-3</v>
      </c>
      <c r="M832" s="7">
        <v>3.0000000000000001E-3</v>
      </c>
      <c r="N832">
        <v>9</v>
      </c>
      <c r="O832" s="8">
        <v>15.267633692923473</v>
      </c>
      <c r="P832" s="9">
        <v>15.267633692923473</v>
      </c>
      <c r="Q832" s="9">
        <v>15.267633692923473</v>
      </c>
      <c r="R832" s="9">
        <v>15.455820801950338</v>
      </c>
      <c r="S832" s="9">
        <v>15.721645950324477</v>
      </c>
      <c r="T832" s="9">
        <v>16.739439286239044</v>
      </c>
      <c r="U832" s="9">
        <v>18.882065020469135</v>
      </c>
      <c r="V832" s="9">
        <v>18.882065020469135</v>
      </c>
      <c r="W832" s="9">
        <v>18.882065020469135</v>
      </c>
      <c r="X832" s="9">
        <v>20.560260982458932</v>
      </c>
      <c r="Y832" s="9">
        <v>20.560260982458932</v>
      </c>
      <c r="Z832" s="9">
        <v>22.671148936966464</v>
      </c>
      <c r="AA832" s="9">
        <v>22.671148936966464</v>
      </c>
      <c r="AB832" s="9">
        <v>24.988647885599047</v>
      </c>
      <c r="AC832" s="9">
        <v>24.988647885599047</v>
      </c>
      <c r="AD832" s="9">
        <v>27.429334733487696</v>
      </c>
      <c r="AE832" s="9">
        <v>30.009055056381616</v>
      </c>
      <c r="AF832" s="9">
        <v>34.85116305716884</v>
      </c>
      <c r="AG832" s="9">
        <v>34.85116305716884</v>
      </c>
      <c r="AH832" s="9">
        <v>37.75822329541549</v>
      </c>
      <c r="AI832" s="9">
        <v>40.581849370377171</v>
      </c>
      <c r="AJ832" s="9">
        <v>3.0428788910505911</v>
      </c>
    </row>
    <row r="833" spans="1:36" x14ac:dyDescent="0.25">
      <c r="A833" t="s">
        <v>5411</v>
      </c>
      <c r="B833" t="s">
        <v>16</v>
      </c>
      <c r="C833" t="s">
        <v>17</v>
      </c>
      <c r="D833">
        <v>27600970</v>
      </c>
      <c r="E833">
        <v>27600999</v>
      </c>
      <c r="F833" t="s">
        <v>711</v>
      </c>
      <c r="G833" t="str">
        <f t="shared" si="24"/>
        <v>RJR</v>
      </c>
      <c r="H833" t="s">
        <v>663</v>
      </c>
      <c r="I833" t="s">
        <v>20</v>
      </c>
      <c r="J833" t="s">
        <v>77</v>
      </c>
      <c r="K833" s="6">
        <v>0.03</v>
      </c>
      <c r="L833" s="7">
        <f t="shared" si="25"/>
        <v>2E-3</v>
      </c>
      <c r="M833" s="7">
        <v>3.0000000000000001E-3</v>
      </c>
      <c r="N833">
        <v>21</v>
      </c>
      <c r="O833" s="8">
        <v>27.759279108538067</v>
      </c>
      <c r="P833" s="9">
        <v>27.759279108538067</v>
      </c>
      <c r="Q833" s="9">
        <v>27.759279108538067</v>
      </c>
      <c r="R833" s="9">
        <v>28.909938214135668</v>
      </c>
      <c r="S833" s="9">
        <v>29.129746609556125</v>
      </c>
      <c r="T833" s="9">
        <v>29.885241910517856</v>
      </c>
      <c r="U833" s="9">
        <v>31.387298550026539</v>
      </c>
      <c r="V833" s="9">
        <v>31.387298550026539</v>
      </c>
      <c r="W833" s="9">
        <v>31.387298550026539</v>
      </c>
      <c r="X833" s="9">
        <v>34.262376337518653</v>
      </c>
      <c r="Y833" s="9">
        <v>34.262376337518653</v>
      </c>
      <c r="Z833" s="9">
        <v>37.290012030342261</v>
      </c>
      <c r="AA833" s="9">
        <v>37.290012030342261</v>
      </c>
      <c r="AB833" s="9">
        <v>40.470361633702204</v>
      </c>
      <c r="AC833" s="9">
        <v>40.470361633702204</v>
      </c>
      <c r="AD833" s="9">
        <v>44.305029050310999</v>
      </c>
      <c r="AE833" s="9">
        <v>48.34275103891602</v>
      </c>
      <c r="AF833" s="9">
        <v>52.603833056716866</v>
      </c>
      <c r="AG833" s="9">
        <v>52.603833056716866</v>
      </c>
      <c r="AH833" s="9">
        <v>57.633590453735039</v>
      </c>
      <c r="AI833" s="9">
        <v>62.933613486080198</v>
      </c>
      <c r="AJ833" s="9">
        <v>3.0428788910505911</v>
      </c>
    </row>
    <row r="834" spans="1:36" x14ac:dyDescent="0.25">
      <c r="A834" t="s">
        <v>5411</v>
      </c>
      <c r="B834" t="s">
        <v>16</v>
      </c>
      <c r="C834" t="s">
        <v>17</v>
      </c>
      <c r="D834">
        <v>27601000</v>
      </c>
      <c r="E834">
        <v>27639969</v>
      </c>
      <c r="F834" t="s">
        <v>712</v>
      </c>
      <c r="G834" t="str">
        <f t="shared" si="24"/>
        <v>RJI II</v>
      </c>
      <c r="H834" t="s">
        <v>663</v>
      </c>
      <c r="I834" t="s">
        <v>20</v>
      </c>
      <c r="J834" t="s">
        <v>64</v>
      </c>
      <c r="K834" s="6">
        <v>0.03</v>
      </c>
      <c r="L834" s="7">
        <f t="shared" si="25"/>
        <v>2E-3</v>
      </c>
      <c r="M834" s="7">
        <v>3.0000000000000001E-3</v>
      </c>
      <c r="N834">
        <v>9</v>
      </c>
      <c r="O834" s="8">
        <v>19.191626852122567</v>
      </c>
      <c r="P834" s="9">
        <v>19.191626852122567</v>
      </c>
      <c r="Q834" s="9">
        <v>19.191626852122567</v>
      </c>
      <c r="R834" s="9">
        <v>19.642928460363855</v>
      </c>
      <c r="S834" s="9">
        <v>19.262254068797603</v>
      </c>
      <c r="T834" s="9">
        <v>20.002437846806995</v>
      </c>
      <c r="U834" s="9">
        <v>22.129401407702662</v>
      </c>
      <c r="V834" s="9">
        <v>22.129401407702662</v>
      </c>
      <c r="W834" s="9">
        <v>22.129401407702662</v>
      </c>
      <c r="X834" s="9">
        <v>23.753502845598582</v>
      </c>
      <c r="Y834" s="9">
        <v>23.753502845598582</v>
      </c>
      <c r="Z834" s="9">
        <v>25.775343328389187</v>
      </c>
      <c r="AA834" s="9">
        <v>25.775343328389187</v>
      </c>
      <c r="AB834" s="9">
        <v>27.866292679254457</v>
      </c>
      <c r="AC834" s="9">
        <v>27.866292679254457</v>
      </c>
      <c r="AD834" s="9">
        <v>31.93012744838439</v>
      </c>
      <c r="AE834" s="9">
        <v>34.043682702868942</v>
      </c>
      <c r="AF834" s="9">
        <v>36.2561115580978</v>
      </c>
      <c r="AG834" s="9">
        <v>36.2561115580978</v>
      </c>
      <c r="AH834" s="9">
        <v>39.68435845151825</v>
      </c>
      <c r="AI834" s="9">
        <v>42.41487012813608</v>
      </c>
      <c r="AJ834" s="9">
        <v>3.0428788910505911</v>
      </c>
    </row>
    <row r="835" spans="1:36" x14ac:dyDescent="0.25">
      <c r="A835" t="s">
        <v>5411</v>
      </c>
      <c r="B835" t="s">
        <v>16</v>
      </c>
      <c r="C835" t="s">
        <v>17</v>
      </c>
      <c r="D835">
        <v>27639970</v>
      </c>
      <c r="E835">
        <v>27639999</v>
      </c>
      <c r="F835" t="s">
        <v>711</v>
      </c>
      <c r="G835" t="str">
        <f t="shared" si="24"/>
        <v>RJR</v>
      </c>
      <c r="H835" t="s">
        <v>663</v>
      </c>
      <c r="I835" t="s">
        <v>20</v>
      </c>
      <c r="J835" t="s">
        <v>77</v>
      </c>
      <c r="K835" s="6">
        <v>0.03</v>
      </c>
      <c r="L835" s="7">
        <f t="shared" si="25"/>
        <v>2E-3</v>
      </c>
      <c r="M835" s="7">
        <v>3.0000000000000001E-3</v>
      </c>
      <c r="N835">
        <v>21</v>
      </c>
      <c r="O835" s="8">
        <v>27.759279108538067</v>
      </c>
      <c r="P835" s="9">
        <v>27.759279108538067</v>
      </c>
      <c r="Q835" s="9">
        <v>27.759279108538067</v>
      </c>
      <c r="R835" s="9">
        <v>28.909938214135668</v>
      </c>
      <c r="S835" s="9">
        <v>29.129746609556125</v>
      </c>
      <c r="T835" s="9">
        <v>29.885241910517856</v>
      </c>
      <c r="U835" s="9">
        <v>31.387298550026539</v>
      </c>
      <c r="V835" s="9">
        <v>31.387298550026539</v>
      </c>
      <c r="W835" s="9">
        <v>31.387298550026539</v>
      </c>
      <c r="X835" s="9">
        <v>34.262376337518653</v>
      </c>
      <c r="Y835" s="9">
        <v>34.262376337518653</v>
      </c>
      <c r="Z835" s="9">
        <v>37.290012030342261</v>
      </c>
      <c r="AA835" s="9">
        <v>37.290012030342261</v>
      </c>
      <c r="AB835" s="9">
        <v>40.470361633702204</v>
      </c>
      <c r="AC835" s="9">
        <v>40.470361633702204</v>
      </c>
      <c r="AD835" s="9">
        <v>44.305029050310999</v>
      </c>
      <c r="AE835" s="9">
        <v>48.34275103891602</v>
      </c>
      <c r="AF835" s="9">
        <v>52.603833056716866</v>
      </c>
      <c r="AG835" s="9">
        <v>52.603833056716866</v>
      </c>
      <c r="AH835" s="9">
        <v>57.633590453735039</v>
      </c>
      <c r="AI835" s="9">
        <v>62.933613486080198</v>
      </c>
      <c r="AJ835" s="9">
        <v>3.0428788910505911</v>
      </c>
    </row>
    <row r="836" spans="1:36" x14ac:dyDescent="0.25">
      <c r="A836" t="s">
        <v>5411</v>
      </c>
      <c r="B836" t="s">
        <v>16</v>
      </c>
      <c r="C836" t="s">
        <v>17</v>
      </c>
      <c r="D836">
        <v>27640000</v>
      </c>
      <c r="E836">
        <v>27649969</v>
      </c>
      <c r="F836" t="s">
        <v>712</v>
      </c>
      <c r="G836" t="str">
        <f t="shared" ref="G836:G899" si="26">H836&amp;IF(J836="CAPITAL","C",IF(J836="INTERIOR","I",IF(J836="INTERIOR II","I II","R")))</f>
        <v>RJI II</v>
      </c>
      <c r="H836" t="s">
        <v>663</v>
      </c>
      <c r="I836" t="s">
        <v>20</v>
      </c>
      <c r="J836" t="s">
        <v>64</v>
      </c>
      <c r="K836" s="6">
        <v>0.03</v>
      </c>
      <c r="L836" s="7">
        <f t="shared" ref="L836:L899" si="27">IF(I836="(0) Não",0.2%,3%)</f>
        <v>2E-3</v>
      </c>
      <c r="M836" s="7">
        <v>3.0000000000000001E-3</v>
      </c>
      <c r="N836">
        <v>9</v>
      </c>
      <c r="O836" s="8">
        <v>19.191626852122567</v>
      </c>
      <c r="P836" s="9">
        <v>19.191626852122567</v>
      </c>
      <c r="Q836" s="9">
        <v>19.191626852122567</v>
      </c>
      <c r="R836" s="9">
        <v>19.642928460363855</v>
      </c>
      <c r="S836" s="9">
        <v>19.262254068797603</v>
      </c>
      <c r="T836" s="9">
        <v>20.002437846806995</v>
      </c>
      <c r="U836" s="9">
        <v>22.129401407702662</v>
      </c>
      <c r="V836" s="9">
        <v>22.129401407702662</v>
      </c>
      <c r="W836" s="9">
        <v>22.129401407702662</v>
      </c>
      <c r="X836" s="9">
        <v>23.753502845598582</v>
      </c>
      <c r="Y836" s="9">
        <v>23.753502845598582</v>
      </c>
      <c r="Z836" s="9">
        <v>25.775343328389187</v>
      </c>
      <c r="AA836" s="9">
        <v>25.775343328389187</v>
      </c>
      <c r="AB836" s="9">
        <v>27.866292679254457</v>
      </c>
      <c r="AC836" s="9">
        <v>27.866292679254457</v>
      </c>
      <c r="AD836" s="9">
        <v>31.93012744838439</v>
      </c>
      <c r="AE836" s="9">
        <v>34.043682702868942</v>
      </c>
      <c r="AF836" s="9">
        <v>36.2561115580978</v>
      </c>
      <c r="AG836" s="9">
        <v>36.2561115580978</v>
      </c>
      <c r="AH836" s="9">
        <v>39.68435845151825</v>
      </c>
      <c r="AI836" s="9">
        <v>42.41487012813608</v>
      </c>
      <c r="AJ836" s="9">
        <v>3.0428788910505911</v>
      </c>
    </row>
    <row r="837" spans="1:36" x14ac:dyDescent="0.25">
      <c r="A837" t="s">
        <v>5411</v>
      </c>
      <c r="B837" t="s">
        <v>16</v>
      </c>
      <c r="C837" t="s">
        <v>17</v>
      </c>
      <c r="D837">
        <v>27649970</v>
      </c>
      <c r="E837">
        <v>27649999</v>
      </c>
      <c r="F837" t="s">
        <v>711</v>
      </c>
      <c r="G837" t="str">
        <f t="shared" si="26"/>
        <v>RJR</v>
      </c>
      <c r="H837" t="s">
        <v>663</v>
      </c>
      <c r="I837" t="s">
        <v>20</v>
      </c>
      <c r="J837" t="s">
        <v>77</v>
      </c>
      <c r="K837" s="6">
        <v>0.03</v>
      </c>
      <c r="L837" s="7">
        <f t="shared" si="27"/>
        <v>2E-3</v>
      </c>
      <c r="M837" s="7">
        <v>3.0000000000000001E-3</v>
      </c>
      <c r="N837">
        <v>21</v>
      </c>
      <c r="O837" s="8">
        <v>27.759279108538067</v>
      </c>
      <c r="P837" s="9">
        <v>27.759279108538067</v>
      </c>
      <c r="Q837" s="9">
        <v>27.759279108538067</v>
      </c>
      <c r="R837" s="9">
        <v>28.909938214135668</v>
      </c>
      <c r="S837" s="9">
        <v>29.129746609556125</v>
      </c>
      <c r="T837" s="9">
        <v>29.885241910517856</v>
      </c>
      <c r="U837" s="9">
        <v>31.387298550026539</v>
      </c>
      <c r="V837" s="9">
        <v>31.387298550026539</v>
      </c>
      <c r="W837" s="9">
        <v>31.387298550026539</v>
      </c>
      <c r="X837" s="9">
        <v>34.262376337518653</v>
      </c>
      <c r="Y837" s="9">
        <v>34.262376337518653</v>
      </c>
      <c r="Z837" s="9">
        <v>37.290012030342261</v>
      </c>
      <c r="AA837" s="9">
        <v>37.290012030342261</v>
      </c>
      <c r="AB837" s="9">
        <v>40.470361633702204</v>
      </c>
      <c r="AC837" s="9">
        <v>40.470361633702204</v>
      </c>
      <c r="AD837" s="9">
        <v>44.305029050310999</v>
      </c>
      <c r="AE837" s="9">
        <v>48.34275103891602</v>
      </c>
      <c r="AF837" s="9">
        <v>52.603833056716866</v>
      </c>
      <c r="AG837" s="9">
        <v>52.603833056716866</v>
      </c>
      <c r="AH837" s="9">
        <v>57.633590453735039</v>
      </c>
      <c r="AI837" s="9">
        <v>62.933613486080198</v>
      </c>
      <c r="AJ837" s="9">
        <v>3.0428788910505911</v>
      </c>
    </row>
    <row r="838" spans="1:36" x14ac:dyDescent="0.25">
      <c r="A838" t="s">
        <v>5411</v>
      </c>
      <c r="B838" t="s">
        <v>16</v>
      </c>
      <c r="C838" t="s">
        <v>17</v>
      </c>
      <c r="D838">
        <v>27650000</v>
      </c>
      <c r="E838">
        <v>27657969</v>
      </c>
      <c r="F838" t="s">
        <v>712</v>
      </c>
      <c r="G838" t="str">
        <f t="shared" si="26"/>
        <v>RJI II</v>
      </c>
      <c r="H838" t="s">
        <v>663</v>
      </c>
      <c r="I838" t="s">
        <v>20</v>
      </c>
      <c r="J838" t="s">
        <v>64</v>
      </c>
      <c r="K838" s="6">
        <v>0.03</v>
      </c>
      <c r="L838" s="7">
        <f t="shared" si="27"/>
        <v>2E-3</v>
      </c>
      <c r="M838" s="7">
        <v>3.0000000000000001E-3</v>
      </c>
      <c r="N838">
        <v>9</v>
      </c>
      <c r="O838" s="8">
        <v>19.191626852122567</v>
      </c>
      <c r="P838" s="9">
        <v>19.191626852122567</v>
      </c>
      <c r="Q838" s="9">
        <v>19.191626852122567</v>
      </c>
      <c r="R838" s="9">
        <v>19.642928460363855</v>
      </c>
      <c r="S838" s="9">
        <v>19.262254068797603</v>
      </c>
      <c r="T838" s="9">
        <v>20.002437846806995</v>
      </c>
      <c r="U838" s="9">
        <v>22.129401407702662</v>
      </c>
      <c r="V838" s="9">
        <v>22.129401407702662</v>
      </c>
      <c r="W838" s="9">
        <v>22.129401407702662</v>
      </c>
      <c r="X838" s="9">
        <v>23.753502845598582</v>
      </c>
      <c r="Y838" s="9">
        <v>23.753502845598582</v>
      </c>
      <c r="Z838" s="9">
        <v>25.775343328389187</v>
      </c>
      <c r="AA838" s="9">
        <v>25.775343328389187</v>
      </c>
      <c r="AB838" s="9">
        <v>27.866292679254457</v>
      </c>
      <c r="AC838" s="9">
        <v>27.866292679254457</v>
      </c>
      <c r="AD838" s="9">
        <v>31.93012744838439</v>
      </c>
      <c r="AE838" s="9">
        <v>34.043682702868942</v>
      </c>
      <c r="AF838" s="9">
        <v>36.2561115580978</v>
      </c>
      <c r="AG838" s="9">
        <v>36.2561115580978</v>
      </c>
      <c r="AH838" s="9">
        <v>39.68435845151825</v>
      </c>
      <c r="AI838" s="9">
        <v>42.41487012813608</v>
      </c>
      <c r="AJ838" s="9">
        <v>3.0428788910505911</v>
      </c>
    </row>
    <row r="839" spans="1:36" x14ac:dyDescent="0.25">
      <c r="A839" t="s">
        <v>5411</v>
      </c>
      <c r="B839" t="s">
        <v>16</v>
      </c>
      <c r="C839" t="s">
        <v>17</v>
      </c>
      <c r="D839">
        <v>27657970</v>
      </c>
      <c r="E839">
        <v>27657999</v>
      </c>
      <c r="F839" t="s">
        <v>711</v>
      </c>
      <c r="G839" t="str">
        <f t="shared" si="26"/>
        <v>RJR</v>
      </c>
      <c r="H839" t="s">
        <v>663</v>
      </c>
      <c r="I839" t="s">
        <v>20</v>
      </c>
      <c r="J839" t="s">
        <v>77</v>
      </c>
      <c r="K839" s="6">
        <v>0.03</v>
      </c>
      <c r="L839" s="7">
        <f t="shared" si="27"/>
        <v>2E-3</v>
      </c>
      <c r="M839" s="7">
        <v>3.0000000000000001E-3</v>
      </c>
      <c r="N839">
        <v>21</v>
      </c>
      <c r="O839" s="8">
        <v>27.759279108538067</v>
      </c>
      <c r="P839" s="9">
        <v>27.759279108538067</v>
      </c>
      <c r="Q839" s="9">
        <v>27.759279108538067</v>
      </c>
      <c r="R839" s="9">
        <v>28.909938214135668</v>
      </c>
      <c r="S839" s="9">
        <v>29.129746609556125</v>
      </c>
      <c r="T839" s="9">
        <v>29.885241910517856</v>
      </c>
      <c r="U839" s="9">
        <v>31.387298550026539</v>
      </c>
      <c r="V839" s="9">
        <v>31.387298550026539</v>
      </c>
      <c r="W839" s="9">
        <v>31.387298550026539</v>
      </c>
      <c r="X839" s="9">
        <v>34.262376337518653</v>
      </c>
      <c r="Y839" s="9">
        <v>34.262376337518653</v>
      </c>
      <c r="Z839" s="9">
        <v>37.290012030342261</v>
      </c>
      <c r="AA839" s="9">
        <v>37.290012030342261</v>
      </c>
      <c r="AB839" s="9">
        <v>40.470361633702204</v>
      </c>
      <c r="AC839" s="9">
        <v>40.470361633702204</v>
      </c>
      <c r="AD839" s="9">
        <v>44.305029050310999</v>
      </c>
      <c r="AE839" s="9">
        <v>48.34275103891602</v>
      </c>
      <c r="AF839" s="9">
        <v>52.603833056716866</v>
      </c>
      <c r="AG839" s="9">
        <v>52.603833056716866</v>
      </c>
      <c r="AH839" s="9">
        <v>57.633590453735039</v>
      </c>
      <c r="AI839" s="9">
        <v>62.933613486080198</v>
      </c>
      <c r="AJ839" s="9">
        <v>3.0428788910505911</v>
      </c>
    </row>
    <row r="840" spans="1:36" x14ac:dyDescent="0.25">
      <c r="A840" t="s">
        <v>5411</v>
      </c>
      <c r="B840" t="s">
        <v>16</v>
      </c>
      <c r="C840" t="s">
        <v>17</v>
      </c>
      <c r="D840">
        <v>27658000</v>
      </c>
      <c r="E840">
        <v>27699999</v>
      </c>
      <c r="F840" t="s">
        <v>713</v>
      </c>
      <c r="G840" t="str">
        <f t="shared" si="26"/>
        <v>RJI</v>
      </c>
      <c r="H840" t="s">
        <v>663</v>
      </c>
      <c r="I840" t="s">
        <v>22</v>
      </c>
      <c r="J840" t="s">
        <v>62</v>
      </c>
      <c r="K840" s="6">
        <v>0.03</v>
      </c>
      <c r="L840" s="7">
        <f t="shared" si="27"/>
        <v>0.03</v>
      </c>
      <c r="M840" s="7">
        <v>3.0000000000000001E-3</v>
      </c>
      <c r="N840">
        <v>8</v>
      </c>
      <c r="O840" s="8">
        <v>15.267633692923473</v>
      </c>
      <c r="P840" s="9">
        <v>15.267633692923473</v>
      </c>
      <c r="Q840" s="9">
        <v>15.267633692923473</v>
      </c>
      <c r="R840" s="9">
        <v>15.455820801950338</v>
      </c>
      <c r="S840" s="9">
        <v>15.721645950324477</v>
      </c>
      <c r="T840" s="9">
        <v>16.739439286239044</v>
      </c>
      <c r="U840" s="9">
        <v>18.882065020469135</v>
      </c>
      <c r="V840" s="9">
        <v>18.882065020469135</v>
      </c>
      <c r="W840" s="9">
        <v>18.882065020469135</v>
      </c>
      <c r="X840" s="9">
        <v>20.560260982458932</v>
      </c>
      <c r="Y840" s="9">
        <v>20.560260982458932</v>
      </c>
      <c r="Z840" s="9">
        <v>22.671148936966464</v>
      </c>
      <c r="AA840" s="9">
        <v>22.671148936966464</v>
      </c>
      <c r="AB840" s="9">
        <v>24.988647885599047</v>
      </c>
      <c r="AC840" s="9">
        <v>24.988647885599047</v>
      </c>
      <c r="AD840" s="9">
        <v>27.429334733487696</v>
      </c>
      <c r="AE840" s="9">
        <v>30.009055056381616</v>
      </c>
      <c r="AF840" s="9">
        <v>34.85116305716884</v>
      </c>
      <c r="AG840" s="9">
        <v>34.85116305716884</v>
      </c>
      <c r="AH840" s="9">
        <v>37.75822329541549</v>
      </c>
      <c r="AI840" s="9">
        <v>40.581849370377171</v>
      </c>
      <c r="AJ840" s="9">
        <v>3.0428788910505911</v>
      </c>
    </row>
    <row r="841" spans="1:36" x14ac:dyDescent="0.25">
      <c r="A841" t="s">
        <v>5411</v>
      </c>
      <c r="B841" t="s">
        <v>16</v>
      </c>
      <c r="C841" t="s">
        <v>17</v>
      </c>
      <c r="D841">
        <v>27700000</v>
      </c>
      <c r="E841">
        <v>27899999</v>
      </c>
      <c r="F841" t="s">
        <v>714</v>
      </c>
      <c r="G841" t="str">
        <f t="shared" si="26"/>
        <v>RJI</v>
      </c>
      <c r="H841" t="s">
        <v>663</v>
      </c>
      <c r="I841" t="s">
        <v>20</v>
      </c>
      <c r="J841" t="s">
        <v>62</v>
      </c>
      <c r="K841" s="6">
        <v>0.03</v>
      </c>
      <c r="L841" s="7">
        <f t="shared" si="27"/>
        <v>2E-3</v>
      </c>
      <c r="M841" s="7">
        <v>3.0000000000000001E-3</v>
      </c>
      <c r="N841">
        <v>9</v>
      </c>
      <c r="O841" s="8">
        <v>15.267633692923473</v>
      </c>
      <c r="P841" s="9">
        <v>15.267633692923473</v>
      </c>
      <c r="Q841" s="9">
        <v>15.267633692923473</v>
      </c>
      <c r="R841" s="9">
        <v>15.455820801950338</v>
      </c>
      <c r="S841" s="9">
        <v>15.721645950324477</v>
      </c>
      <c r="T841" s="9">
        <v>16.739439286239044</v>
      </c>
      <c r="U841" s="9">
        <v>18.882065020469135</v>
      </c>
      <c r="V841" s="9">
        <v>18.882065020469135</v>
      </c>
      <c r="W841" s="9">
        <v>18.882065020469135</v>
      </c>
      <c r="X841" s="9">
        <v>20.560260982458932</v>
      </c>
      <c r="Y841" s="9">
        <v>20.560260982458932</v>
      </c>
      <c r="Z841" s="9">
        <v>22.671148936966464</v>
      </c>
      <c r="AA841" s="9">
        <v>22.671148936966464</v>
      </c>
      <c r="AB841" s="9">
        <v>24.988647885599047</v>
      </c>
      <c r="AC841" s="9">
        <v>24.988647885599047</v>
      </c>
      <c r="AD841" s="9">
        <v>27.429334733487696</v>
      </c>
      <c r="AE841" s="9">
        <v>30.009055056381616</v>
      </c>
      <c r="AF841" s="9">
        <v>34.85116305716884</v>
      </c>
      <c r="AG841" s="9">
        <v>34.85116305716884</v>
      </c>
      <c r="AH841" s="9">
        <v>37.75822329541549</v>
      </c>
      <c r="AI841" s="9">
        <v>40.581849370377171</v>
      </c>
      <c r="AJ841" s="9">
        <v>3.0428788910505911</v>
      </c>
    </row>
    <row r="842" spans="1:36" x14ac:dyDescent="0.25">
      <c r="A842" t="s">
        <v>5411</v>
      </c>
      <c r="B842" t="s">
        <v>16</v>
      </c>
      <c r="C842" t="s">
        <v>17</v>
      </c>
      <c r="D842">
        <v>27900000</v>
      </c>
      <c r="E842">
        <v>27997999</v>
      </c>
      <c r="F842" t="s">
        <v>715</v>
      </c>
      <c r="G842" t="str">
        <f t="shared" si="26"/>
        <v>RJI</v>
      </c>
      <c r="H842" t="s">
        <v>663</v>
      </c>
      <c r="I842" t="s">
        <v>20</v>
      </c>
      <c r="J842" t="s">
        <v>62</v>
      </c>
      <c r="K842" s="6">
        <v>0.03</v>
      </c>
      <c r="L842" s="7">
        <f t="shared" si="27"/>
        <v>2E-3</v>
      </c>
      <c r="M842" s="7">
        <v>3.0000000000000001E-3</v>
      </c>
      <c r="N842">
        <v>8</v>
      </c>
      <c r="O842" s="8">
        <v>15.267633692923473</v>
      </c>
      <c r="P842" s="9">
        <v>15.267633692923473</v>
      </c>
      <c r="Q842" s="9">
        <v>15.267633692923473</v>
      </c>
      <c r="R842" s="9">
        <v>15.455820801950338</v>
      </c>
      <c r="S842" s="9">
        <v>15.721645950324477</v>
      </c>
      <c r="T842" s="9">
        <v>16.739439286239044</v>
      </c>
      <c r="U842" s="9">
        <v>18.882065020469135</v>
      </c>
      <c r="V842" s="9">
        <v>18.882065020469135</v>
      </c>
      <c r="W842" s="9">
        <v>18.882065020469135</v>
      </c>
      <c r="X842" s="9">
        <v>20.560260982458932</v>
      </c>
      <c r="Y842" s="9">
        <v>20.560260982458932</v>
      </c>
      <c r="Z842" s="9">
        <v>22.671148936966464</v>
      </c>
      <c r="AA842" s="9">
        <v>22.671148936966464</v>
      </c>
      <c r="AB842" s="9">
        <v>24.988647885599047</v>
      </c>
      <c r="AC842" s="9">
        <v>24.988647885599047</v>
      </c>
      <c r="AD842" s="9">
        <v>27.429334733487696</v>
      </c>
      <c r="AE842" s="9">
        <v>30.009055056381616</v>
      </c>
      <c r="AF842" s="9">
        <v>34.85116305716884</v>
      </c>
      <c r="AG842" s="9">
        <v>34.85116305716884</v>
      </c>
      <c r="AH842" s="9">
        <v>37.75822329541549</v>
      </c>
      <c r="AI842" s="9">
        <v>40.581849370377171</v>
      </c>
      <c r="AJ842" s="9">
        <v>3.0428788910505911</v>
      </c>
    </row>
    <row r="843" spans="1:36" x14ac:dyDescent="0.25">
      <c r="A843" t="s">
        <v>5411</v>
      </c>
      <c r="B843" t="s">
        <v>16</v>
      </c>
      <c r="C843" t="s">
        <v>17</v>
      </c>
      <c r="D843">
        <v>27998000</v>
      </c>
      <c r="E843">
        <v>27999999</v>
      </c>
      <c r="F843" t="s">
        <v>716</v>
      </c>
      <c r="G843" t="str">
        <f t="shared" si="26"/>
        <v>RJI</v>
      </c>
      <c r="H843" t="s">
        <v>663</v>
      </c>
      <c r="I843" t="s">
        <v>20</v>
      </c>
      <c r="J843" t="s">
        <v>62</v>
      </c>
      <c r="K843" s="6">
        <v>0.03</v>
      </c>
      <c r="L843" s="7">
        <f t="shared" si="27"/>
        <v>2E-3</v>
      </c>
      <c r="M843" s="7">
        <v>3.0000000000000001E-3</v>
      </c>
      <c r="N843">
        <v>9</v>
      </c>
      <c r="O843" s="8">
        <v>15.267633692923473</v>
      </c>
      <c r="P843" s="9">
        <v>15.267633692923473</v>
      </c>
      <c r="Q843" s="9">
        <v>15.267633692923473</v>
      </c>
      <c r="R843" s="9">
        <v>15.455820801950338</v>
      </c>
      <c r="S843" s="9">
        <v>15.721645950324477</v>
      </c>
      <c r="T843" s="9">
        <v>16.739439286239044</v>
      </c>
      <c r="U843" s="9">
        <v>18.882065020469135</v>
      </c>
      <c r="V843" s="9">
        <v>18.882065020469135</v>
      </c>
      <c r="W843" s="9">
        <v>18.882065020469135</v>
      </c>
      <c r="X843" s="9">
        <v>20.560260982458932</v>
      </c>
      <c r="Y843" s="9">
        <v>20.560260982458932</v>
      </c>
      <c r="Z843" s="9">
        <v>22.671148936966464</v>
      </c>
      <c r="AA843" s="9">
        <v>22.671148936966464</v>
      </c>
      <c r="AB843" s="9">
        <v>24.988647885599047</v>
      </c>
      <c r="AC843" s="9">
        <v>24.988647885599047</v>
      </c>
      <c r="AD843" s="9">
        <v>27.429334733487696</v>
      </c>
      <c r="AE843" s="9">
        <v>30.009055056381616</v>
      </c>
      <c r="AF843" s="9">
        <v>34.85116305716884</v>
      </c>
      <c r="AG843" s="9">
        <v>34.85116305716884</v>
      </c>
      <c r="AH843" s="9">
        <v>37.75822329541549</v>
      </c>
      <c r="AI843" s="9">
        <v>40.581849370377171</v>
      </c>
      <c r="AJ843" s="9">
        <v>3.0428788910505911</v>
      </c>
    </row>
    <row r="844" spans="1:36" x14ac:dyDescent="0.25">
      <c r="A844" t="s">
        <v>5411</v>
      </c>
      <c r="B844" t="s">
        <v>16</v>
      </c>
      <c r="C844" t="s">
        <v>17</v>
      </c>
      <c r="D844">
        <v>28000000</v>
      </c>
      <c r="E844">
        <v>28179969</v>
      </c>
      <c r="F844" t="s">
        <v>717</v>
      </c>
      <c r="G844" t="str">
        <f t="shared" si="26"/>
        <v>RJI</v>
      </c>
      <c r="H844" t="s">
        <v>663</v>
      </c>
      <c r="I844" t="s">
        <v>20</v>
      </c>
      <c r="J844" t="s">
        <v>62</v>
      </c>
      <c r="K844" s="6">
        <v>0.03</v>
      </c>
      <c r="L844" s="7">
        <f t="shared" si="27"/>
        <v>2E-3</v>
      </c>
      <c r="M844" s="7">
        <v>3.0000000000000001E-3</v>
      </c>
      <c r="N844">
        <v>8</v>
      </c>
      <c r="O844" s="8">
        <v>15.267633692923473</v>
      </c>
      <c r="P844" s="9">
        <v>15.267633692923473</v>
      </c>
      <c r="Q844" s="9">
        <v>15.267633692923473</v>
      </c>
      <c r="R844" s="9">
        <v>15.455820801950338</v>
      </c>
      <c r="S844" s="9">
        <v>15.721645950324477</v>
      </c>
      <c r="T844" s="9">
        <v>16.739439286239044</v>
      </c>
      <c r="U844" s="9">
        <v>18.882065020469135</v>
      </c>
      <c r="V844" s="9">
        <v>18.882065020469135</v>
      </c>
      <c r="W844" s="9">
        <v>18.882065020469135</v>
      </c>
      <c r="X844" s="9">
        <v>20.560260982458932</v>
      </c>
      <c r="Y844" s="9">
        <v>20.560260982458932</v>
      </c>
      <c r="Z844" s="9">
        <v>22.671148936966464</v>
      </c>
      <c r="AA844" s="9">
        <v>22.671148936966464</v>
      </c>
      <c r="AB844" s="9">
        <v>24.988647885599047</v>
      </c>
      <c r="AC844" s="9">
        <v>24.988647885599047</v>
      </c>
      <c r="AD844" s="9">
        <v>27.429334733487696</v>
      </c>
      <c r="AE844" s="9">
        <v>30.009055056381616</v>
      </c>
      <c r="AF844" s="9">
        <v>34.85116305716884</v>
      </c>
      <c r="AG844" s="9">
        <v>34.85116305716884</v>
      </c>
      <c r="AH844" s="9">
        <v>37.75822329541549</v>
      </c>
      <c r="AI844" s="9">
        <v>40.581849370377171</v>
      </c>
      <c r="AJ844" s="9">
        <v>3.0428788910505911</v>
      </c>
    </row>
    <row r="845" spans="1:36" x14ac:dyDescent="0.25">
      <c r="A845" t="s">
        <v>5411</v>
      </c>
      <c r="B845" t="s">
        <v>16</v>
      </c>
      <c r="C845" t="s">
        <v>17</v>
      </c>
      <c r="D845">
        <v>28179970</v>
      </c>
      <c r="E845">
        <v>28179999</v>
      </c>
      <c r="F845" t="s">
        <v>718</v>
      </c>
      <c r="G845" t="str">
        <f t="shared" si="26"/>
        <v>RJR</v>
      </c>
      <c r="H845" t="s">
        <v>663</v>
      </c>
      <c r="I845" t="s">
        <v>20</v>
      </c>
      <c r="J845" t="s">
        <v>77</v>
      </c>
      <c r="K845" s="6">
        <v>0.03</v>
      </c>
      <c r="L845" s="7">
        <f t="shared" si="27"/>
        <v>2E-3</v>
      </c>
      <c r="M845" s="7">
        <v>3.0000000000000001E-3</v>
      </c>
      <c r="N845">
        <v>21</v>
      </c>
      <c r="O845" s="8">
        <v>27.759279108538067</v>
      </c>
      <c r="P845" s="9">
        <v>27.759279108538067</v>
      </c>
      <c r="Q845" s="9">
        <v>27.759279108538067</v>
      </c>
      <c r="R845" s="9">
        <v>28.909938214135668</v>
      </c>
      <c r="S845" s="9">
        <v>29.129746609556125</v>
      </c>
      <c r="T845" s="9">
        <v>29.885241910517856</v>
      </c>
      <c r="U845" s="9">
        <v>31.387298550026539</v>
      </c>
      <c r="V845" s="9">
        <v>31.387298550026539</v>
      </c>
      <c r="W845" s="9">
        <v>31.387298550026539</v>
      </c>
      <c r="X845" s="9">
        <v>34.262376337518653</v>
      </c>
      <c r="Y845" s="9">
        <v>34.262376337518653</v>
      </c>
      <c r="Z845" s="9">
        <v>37.290012030342261</v>
      </c>
      <c r="AA845" s="9">
        <v>37.290012030342261</v>
      </c>
      <c r="AB845" s="9">
        <v>40.470361633702204</v>
      </c>
      <c r="AC845" s="9">
        <v>40.470361633702204</v>
      </c>
      <c r="AD845" s="9">
        <v>44.305029050310999</v>
      </c>
      <c r="AE845" s="9">
        <v>48.34275103891602</v>
      </c>
      <c r="AF845" s="9">
        <v>52.603833056716866</v>
      </c>
      <c r="AG845" s="9">
        <v>52.603833056716866</v>
      </c>
      <c r="AH845" s="9">
        <v>57.633590453735039</v>
      </c>
      <c r="AI845" s="9">
        <v>62.933613486080198</v>
      </c>
      <c r="AJ845" s="9">
        <v>3.0428788910505911</v>
      </c>
    </row>
    <row r="846" spans="1:36" x14ac:dyDescent="0.25">
      <c r="A846" t="s">
        <v>5411</v>
      </c>
      <c r="B846" t="s">
        <v>16</v>
      </c>
      <c r="C846" t="s">
        <v>17</v>
      </c>
      <c r="D846">
        <v>28180000</v>
      </c>
      <c r="E846">
        <v>28199969</v>
      </c>
      <c r="F846" t="s">
        <v>719</v>
      </c>
      <c r="G846" t="str">
        <f t="shared" si="26"/>
        <v>RJI II</v>
      </c>
      <c r="H846" t="s">
        <v>663</v>
      </c>
      <c r="I846" t="s">
        <v>20</v>
      </c>
      <c r="J846" t="s">
        <v>64</v>
      </c>
      <c r="K846" s="6">
        <v>0.03</v>
      </c>
      <c r="L846" s="7">
        <f t="shared" si="27"/>
        <v>2E-3</v>
      </c>
      <c r="M846" s="7">
        <v>3.0000000000000001E-3</v>
      </c>
      <c r="N846">
        <v>8</v>
      </c>
      <c r="O846" s="8">
        <v>19.191626852122567</v>
      </c>
      <c r="P846" s="9">
        <v>19.191626852122567</v>
      </c>
      <c r="Q846" s="9">
        <v>19.191626852122567</v>
      </c>
      <c r="R846" s="9">
        <v>19.642928460363855</v>
      </c>
      <c r="S846" s="9">
        <v>19.262254068797603</v>
      </c>
      <c r="T846" s="9">
        <v>20.002437846806995</v>
      </c>
      <c r="U846" s="9">
        <v>22.129401407702662</v>
      </c>
      <c r="V846" s="9">
        <v>22.129401407702662</v>
      </c>
      <c r="W846" s="9">
        <v>22.129401407702662</v>
      </c>
      <c r="X846" s="9">
        <v>23.753502845598582</v>
      </c>
      <c r="Y846" s="9">
        <v>23.753502845598582</v>
      </c>
      <c r="Z846" s="9">
        <v>25.775343328389187</v>
      </c>
      <c r="AA846" s="9">
        <v>25.775343328389187</v>
      </c>
      <c r="AB846" s="9">
        <v>27.866292679254457</v>
      </c>
      <c r="AC846" s="9">
        <v>27.866292679254457</v>
      </c>
      <c r="AD846" s="9">
        <v>31.93012744838439</v>
      </c>
      <c r="AE846" s="9">
        <v>34.043682702868942</v>
      </c>
      <c r="AF846" s="9">
        <v>36.2561115580978</v>
      </c>
      <c r="AG846" s="9">
        <v>36.2561115580978</v>
      </c>
      <c r="AH846" s="9">
        <v>39.68435845151825</v>
      </c>
      <c r="AI846" s="9">
        <v>42.41487012813608</v>
      </c>
      <c r="AJ846" s="9">
        <v>3.0428788910505911</v>
      </c>
    </row>
    <row r="847" spans="1:36" x14ac:dyDescent="0.25">
      <c r="A847" t="s">
        <v>5411</v>
      </c>
      <c r="B847" t="s">
        <v>16</v>
      </c>
      <c r="C847" t="s">
        <v>17</v>
      </c>
      <c r="D847">
        <v>28199970</v>
      </c>
      <c r="E847">
        <v>28199999</v>
      </c>
      <c r="F847" t="s">
        <v>719</v>
      </c>
      <c r="G847" t="str">
        <f t="shared" si="26"/>
        <v>RJR</v>
      </c>
      <c r="H847" t="s">
        <v>663</v>
      </c>
      <c r="I847" t="s">
        <v>20</v>
      </c>
      <c r="J847" t="s">
        <v>77</v>
      </c>
      <c r="K847" s="6">
        <v>0.03</v>
      </c>
      <c r="L847" s="7">
        <f t="shared" si="27"/>
        <v>2E-3</v>
      </c>
      <c r="M847" s="7">
        <v>3.0000000000000001E-3</v>
      </c>
      <c r="N847">
        <v>21</v>
      </c>
      <c r="O847" s="8">
        <v>27.759279108538067</v>
      </c>
      <c r="P847" s="9">
        <v>27.759279108538067</v>
      </c>
      <c r="Q847" s="9">
        <v>27.759279108538067</v>
      </c>
      <c r="R847" s="9">
        <v>28.909938214135668</v>
      </c>
      <c r="S847" s="9">
        <v>29.129746609556125</v>
      </c>
      <c r="T847" s="9">
        <v>29.885241910517856</v>
      </c>
      <c r="U847" s="9">
        <v>31.387298550026539</v>
      </c>
      <c r="V847" s="9">
        <v>31.387298550026539</v>
      </c>
      <c r="W847" s="9">
        <v>31.387298550026539</v>
      </c>
      <c r="X847" s="9">
        <v>34.262376337518653</v>
      </c>
      <c r="Y847" s="9">
        <v>34.262376337518653</v>
      </c>
      <c r="Z847" s="9">
        <v>37.290012030342261</v>
      </c>
      <c r="AA847" s="9">
        <v>37.290012030342261</v>
      </c>
      <c r="AB847" s="9">
        <v>40.470361633702204</v>
      </c>
      <c r="AC847" s="9">
        <v>40.470361633702204</v>
      </c>
      <c r="AD847" s="9">
        <v>44.305029050310999</v>
      </c>
      <c r="AE847" s="9">
        <v>48.34275103891602</v>
      </c>
      <c r="AF847" s="9">
        <v>52.603833056716866</v>
      </c>
      <c r="AG847" s="9">
        <v>52.603833056716866</v>
      </c>
      <c r="AH847" s="9">
        <v>57.633590453735039</v>
      </c>
      <c r="AI847" s="9">
        <v>62.933613486080198</v>
      </c>
      <c r="AJ847" s="9">
        <v>3.0428788910505911</v>
      </c>
    </row>
    <row r="848" spans="1:36" x14ac:dyDescent="0.25">
      <c r="A848" t="s">
        <v>5411</v>
      </c>
      <c r="B848" t="s">
        <v>16</v>
      </c>
      <c r="C848" t="s">
        <v>17</v>
      </c>
      <c r="D848">
        <v>28200000</v>
      </c>
      <c r="E848">
        <v>28200969</v>
      </c>
      <c r="F848" t="s">
        <v>720</v>
      </c>
      <c r="G848" t="str">
        <f t="shared" si="26"/>
        <v>RJI</v>
      </c>
      <c r="H848" t="s">
        <v>663</v>
      </c>
      <c r="I848" t="s">
        <v>20</v>
      </c>
      <c r="J848" t="s">
        <v>62</v>
      </c>
      <c r="K848" s="6">
        <v>0.03</v>
      </c>
      <c r="L848" s="7">
        <f t="shared" si="27"/>
        <v>2E-3</v>
      </c>
      <c r="M848" s="7">
        <v>3.0000000000000001E-3</v>
      </c>
      <c r="N848">
        <v>8</v>
      </c>
      <c r="O848" s="8">
        <v>15.267633692923473</v>
      </c>
      <c r="P848" s="9">
        <v>15.267633692923473</v>
      </c>
      <c r="Q848" s="9">
        <v>15.267633692923473</v>
      </c>
      <c r="R848" s="9">
        <v>15.455820801950338</v>
      </c>
      <c r="S848" s="9">
        <v>15.721645950324477</v>
      </c>
      <c r="T848" s="9">
        <v>16.739439286239044</v>
      </c>
      <c r="U848" s="9">
        <v>18.882065020469135</v>
      </c>
      <c r="V848" s="9">
        <v>18.882065020469135</v>
      </c>
      <c r="W848" s="9">
        <v>18.882065020469135</v>
      </c>
      <c r="X848" s="9">
        <v>20.560260982458932</v>
      </c>
      <c r="Y848" s="9">
        <v>20.560260982458932</v>
      </c>
      <c r="Z848" s="9">
        <v>22.671148936966464</v>
      </c>
      <c r="AA848" s="9">
        <v>22.671148936966464</v>
      </c>
      <c r="AB848" s="9">
        <v>24.988647885599047</v>
      </c>
      <c r="AC848" s="9">
        <v>24.988647885599047</v>
      </c>
      <c r="AD848" s="9">
        <v>27.429334733487696</v>
      </c>
      <c r="AE848" s="9">
        <v>30.009055056381616</v>
      </c>
      <c r="AF848" s="9">
        <v>34.85116305716884</v>
      </c>
      <c r="AG848" s="9">
        <v>34.85116305716884</v>
      </c>
      <c r="AH848" s="9">
        <v>37.75822329541549</v>
      </c>
      <c r="AI848" s="9">
        <v>40.581849370377171</v>
      </c>
      <c r="AJ848" s="9">
        <v>3.0428788910505911</v>
      </c>
    </row>
    <row r="849" spans="1:36" x14ac:dyDescent="0.25">
      <c r="A849" t="s">
        <v>5411</v>
      </c>
      <c r="B849" t="s">
        <v>16</v>
      </c>
      <c r="C849" t="s">
        <v>17</v>
      </c>
      <c r="D849">
        <v>28200970</v>
      </c>
      <c r="E849">
        <v>28219999</v>
      </c>
      <c r="F849" t="s">
        <v>720</v>
      </c>
      <c r="G849" t="str">
        <f t="shared" si="26"/>
        <v>RJR</v>
      </c>
      <c r="H849" t="s">
        <v>663</v>
      </c>
      <c r="I849" t="s">
        <v>20</v>
      </c>
      <c r="J849" t="s">
        <v>77</v>
      </c>
      <c r="K849" s="6">
        <v>0.03</v>
      </c>
      <c r="L849" s="7">
        <f t="shared" si="27"/>
        <v>2E-3</v>
      </c>
      <c r="M849" s="7">
        <v>3.0000000000000001E-3</v>
      </c>
      <c r="N849">
        <v>21</v>
      </c>
      <c r="O849" s="8">
        <v>27.759279108538067</v>
      </c>
      <c r="P849" s="9">
        <v>27.759279108538067</v>
      </c>
      <c r="Q849" s="9">
        <v>27.759279108538067</v>
      </c>
      <c r="R849" s="9">
        <v>28.909938214135668</v>
      </c>
      <c r="S849" s="9">
        <v>29.129746609556125</v>
      </c>
      <c r="T849" s="9">
        <v>29.885241910517856</v>
      </c>
      <c r="U849" s="9">
        <v>31.387298550026539</v>
      </c>
      <c r="V849" s="9">
        <v>31.387298550026539</v>
      </c>
      <c r="W849" s="9">
        <v>31.387298550026539</v>
      </c>
      <c r="X849" s="9">
        <v>34.262376337518653</v>
      </c>
      <c r="Y849" s="9">
        <v>34.262376337518653</v>
      </c>
      <c r="Z849" s="9">
        <v>37.290012030342261</v>
      </c>
      <c r="AA849" s="9">
        <v>37.290012030342261</v>
      </c>
      <c r="AB849" s="9">
        <v>40.470361633702204</v>
      </c>
      <c r="AC849" s="9">
        <v>40.470361633702204</v>
      </c>
      <c r="AD849" s="9">
        <v>44.305029050310999</v>
      </c>
      <c r="AE849" s="9">
        <v>48.34275103891602</v>
      </c>
      <c r="AF849" s="9">
        <v>52.603833056716866</v>
      </c>
      <c r="AG849" s="9">
        <v>52.603833056716866</v>
      </c>
      <c r="AH849" s="9">
        <v>57.633590453735039</v>
      </c>
      <c r="AI849" s="9">
        <v>62.933613486080198</v>
      </c>
      <c r="AJ849" s="9">
        <v>3.0428788910505911</v>
      </c>
    </row>
    <row r="850" spans="1:36" x14ac:dyDescent="0.25">
      <c r="A850" t="s">
        <v>5411</v>
      </c>
      <c r="B850" t="s">
        <v>16</v>
      </c>
      <c r="C850" t="s">
        <v>17</v>
      </c>
      <c r="D850">
        <v>28220000</v>
      </c>
      <c r="E850">
        <v>28229969</v>
      </c>
      <c r="F850" t="s">
        <v>721</v>
      </c>
      <c r="G850" t="str">
        <f t="shared" si="26"/>
        <v>RJI</v>
      </c>
      <c r="H850" t="s">
        <v>663</v>
      </c>
      <c r="I850" t="s">
        <v>20</v>
      </c>
      <c r="J850" t="s">
        <v>62</v>
      </c>
      <c r="K850" s="6">
        <v>0.03</v>
      </c>
      <c r="L850" s="7">
        <f t="shared" si="27"/>
        <v>2E-3</v>
      </c>
      <c r="M850" s="7">
        <v>3.0000000000000001E-3</v>
      </c>
      <c r="N850">
        <v>10</v>
      </c>
      <c r="O850" s="8">
        <v>15.267633692923473</v>
      </c>
      <c r="P850" s="9">
        <v>15.267633692923473</v>
      </c>
      <c r="Q850" s="9">
        <v>15.267633692923473</v>
      </c>
      <c r="R850" s="9">
        <v>15.455820801950338</v>
      </c>
      <c r="S850" s="9">
        <v>15.721645950324477</v>
      </c>
      <c r="T850" s="9">
        <v>16.739439286239044</v>
      </c>
      <c r="U850" s="9">
        <v>18.882065020469135</v>
      </c>
      <c r="V850" s="9">
        <v>18.882065020469135</v>
      </c>
      <c r="W850" s="9">
        <v>18.882065020469135</v>
      </c>
      <c r="X850" s="9">
        <v>20.560260982458932</v>
      </c>
      <c r="Y850" s="9">
        <v>20.560260982458932</v>
      </c>
      <c r="Z850" s="9">
        <v>22.671148936966464</v>
      </c>
      <c r="AA850" s="9">
        <v>22.671148936966464</v>
      </c>
      <c r="AB850" s="9">
        <v>24.988647885599047</v>
      </c>
      <c r="AC850" s="9">
        <v>24.988647885599047</v>
      </c>
      <c r="AD850" s="9">
        <v>27.429334733487696</v>
      </c>
      <c r="AE850" s="9">
        <v>30.009055056381616</v>
      </c>
      <c r="AF850" s="9">
        <v>34.85116305716884</v>
      </c>
      <c r="AG850" s="9">
        <v>34.85116305716884</v>
      </c>
      <c r="AH850" s="9">
        <v>37.75822329541549</v>
      </c>
      <c r="AI850" s="9">
        <v>40.581849370377171</v>
      </c>
      <c r="AJ850" s="9">
        <v>3.0428788910505911</v>
      </c>
    </row>
    <row r="851" spans="1:36" x14ac:dyDescent="0.25">
      <c r="A851" t="s">
        <v>5411</v>
      </c>
      <c r="B851" t="s">
        <v>16</v>
      </c>
      <c r="C851" t="s">
        <v>17</v>
      </c>
      <c r="D851">
        <v>28229970</v>
      </c>
      <c r="E851">
        <v>28229999</v>
      </c>
      <c r="F851" t="s">
        <v>720</v>
      </c>
      <c r="G851" t="str">
        <f t="shared" si="26"/>
        <v>RJR</v>
      </c>
      <c r="H851" t="s">
        <v>663</v>
      </c>
      <c r="I851" t="s">
        <v>20</v>
      </c>
      <c r="J851" t="s">
        <v>77</v>
      </c>
      <c r="K851" s="6">
        <v>0.03</v>
      </c>
      <c r="L851" s="7">
        <f t="shared" si="27"/>
        <v>2E-3</v>
      </c>
      <c r="M851" s="7">
        <v>3.0000000000000001E-3</v>
      </c>
      <c r="N851">
        <v>21</v>
      </c>
      <c r="O851" s="8">
        <v>27.759279108538067</v>
      </c>
      <c r="P851" s="9">
        <v>27.759279108538067</v>
      </c>
      <c r="Q851" s="9">
        <v>27.759279108538067</v>
      </c>
      <c r="R851" s="9">
        <v>28.909938214135668</v>
      </c>
      <c r="S851" s="9">
        <v>29.129746609556125</v>
      </c>
      <c r="T851" s="9">
        <v>29.885241910517856</v>
      </c>
      <c r="U851" s="9">
        <v>31.387298550026539</v>
      </c>
      <c r="V851" s="9">
        <v>31.387298550026539</v>
      </c>
      <c r="W851" s="9">
        <v>31.387298550026539</v>
      </c>
      <c r="X851" s="9">
        <v>34.262376337518653</v>
      </c>
      <c r="Y851" s="9">
        <v>34.262376337518653</v>
      </c>
      <c r="Z851" s="9">
        <v>37.290012030342261</v>
      </c>
      <c r="AA851" s="9">
        <v>37.290012030342261</v>
      </c>
      <c r="AB851" s="9">
        <v>40.470361633702204</v>
      </c>
      <c r="AC851" s="9">
        <v>40.470361633702204</v>
      </c>
      <c r="AD851" s="9">
        <v>44.305029050310999</v>
      </c>
      <c r="AE851" s="9">
        <v>48.34275103891602</v>
      </c>
      <c r="AF851" s="9">
        <v>52.603833056716866</v>
      </c>
      <c r="AG851" s="9">
        <v>52.603833056716866</v>
      </c>
      <c r="AH851" s="9">
        <v>57.633590453735039</v>
      </c>
      <c r="AI851" s="9">
        <v>62.933613486080198</v>
      </c>
      <c r="AJ851" s="9">
        <v>3.0428788910505911</v>
      </c>
    </row>
    <row r="852" spans="1:36" x14ac:dyDescent="0.25">
      <c r="A852" t="s">
        <v>5411</v>
      </c>
      <c r="B852" t="s">
        <v>16</v>
      </c>
      <c r="C852" t="s">
        <v>17</v>
      </c>
      <c r="D852">
        <v>28230000</v>
      </c>
      <c r="E852">
        <v>28230969</v>
      </c>
      <c r="F852" t="s">
        <v>722</v>
      </c>
      <c r="G852" t="str">
        <f t="shared" si="26"/>
        <v>RJI</v>
      </c>
      <c r="H852" t="s">
        <v>663</v>
      </c>
      <c r="I852" t="s">
        <v>20</v>
      </c>
      <c r="J852" t="s">
        <v>62</v>
      </c>
      <c r="K852" s="6">
        <v>0.03</v>
      </c>
      <c r="L852" s="7">
        <f t="shared" si="27"/>
        <v>2E-3</v>
      </c>
      <c r="M852" s="7">
        <v>3.0000000000000001E-3</v>
      </c>
      <c r="N852">
        <v>8</v>
      </c>
      <c r="O852" s="8">
        <v>15.267633692923473</v>
      </c>
      <c r="P852" s="9">
        <v>15.267633692923473</v>
      </c>
      <c r="Q852" s="9">
        <v>15.267633692923473</v>
      </c>
      <c r="R852" s="9">
        <v>15.455820801950338</v>
      </c>
      <c r="S852" s="9">
        <v>15.721645950324477</v>
      </c>
      <c r="T852" s="9">
        <v>16.739439286239044</v>
      </c>
      <c r="U852" s="9">
        <v>18.882065020469135</v>
      </c>
      <c r="V852" s="9">
        <v>18.882065020469135</v>
      </c>
      <c r="W852" s="9">
        <v>18.882065020469135</v>
      </c>
      <c r="X852" s="9">
        <v>20.560260982458932</v>
      </c>
      <c r="Y852" s="9">
        <v>20.560260982458932</v>
      </c>
      <c r="Z852" s="9">
        <v>22.671148936966464</v>
      </c>
      <c r="AA852" s="9">
        <v>22.671148936966464</v>
      </c>
      <c r="AB852" s="9">
        <v>24.988647885599047</v>
      </c>
      <c r="AC852" s="9">
        <v>24.988647885599047</v>
      </c>
      <c r="AD852" s="9">
        <v>27.429334733487696</v>
      </c>
      <c r="AE852" s="9">
        <v>30.009055056381616</v>
      </c>
      <c r="AF852" s="9">
        <v>34.85116305716884</v>
      </c>
      <c r="AG852" s="9">
        <v>34.85116305716884</v>
      </c>
      <c r="AH852" s="9">
        <v>37.75822329541549</v>
      </c>
      <c r="AI852" s="9">
        <v>40.581849370377171</v>
      </c>
      <c r="AJ852" s="9">
        <v>3.0428788910505911</v>
      </c>
    </row>
    <row r="853" spans="1:36" x14ac:dyDescent="0.25">
      <c r="A853" t="s">
        <v>5411</v>
      </c>
      <c r="B853" t="s">
        <v>16</v>
      </c>
      <c r="C853" t="s">
        <v>17</v>
      </c>
      <c r="D853">
        <v>28230970</v>
      </c>
      <c r="E853">
        <v>28230999</v>
      </c>
      <c r="F853" t="s">
        <v>722</v>
      </c>
      <c r="G853" t="str">
        <f t="shared" si="26"/>
        <v>RJR</v>
      </c>
      <c r="H853" t="s">
        <v>663</v>
      </c>
      <c r="I853" t="s">
        <v>20</v>
      </c>
      <c r="J853" t="s">
        <v>77</v>
      </c>
      <c r="K853" s="6">
        <v>0.03</v>
      </c>
      <c r="L853" s="7">
        <f t="shared" si="27"/>
        <v>2E-3</v>
      </c>
      <c r="M853" s="7">
        <v>3.0000000000000001E-3</v>
      </c>
      <c r="N853">
        <v>21</v>
      </c>
      <c r="O853" s="8">
        <v>27.759279108538067</v>
      </c>
      <c r="P853" s="9">
        <v>27.759279108538067</v>
      </c>
      <c r="Q853" s="9">
        <v>27.759279108538067</v>
      </c>
      <c r="R853" s="9">
        <v>28.909938214135668</v>
      </c>
      <c r="S853" s="9">
        <v>29.129746609556125</v>
      </c>
      <c r="T853" s="9">
        <v>29.885241910517856</v>
      </c>
      <c r="U853" s="9">
        <v>31.387298550026539</v>
      </c>
      <c r="V853" s="9">
        <v>31.387298550026539</v>
      </c>
      <c r="W853" s="9">
        <v>31.387298550026539</v>
      </c>
      <c r="X853" s="9">
        <v>34.262376337518653</v>
      </c>
      <c r="Y853" s="9">
        <v>34.262376337518653</v>
      </c>
      <c r="Z853" s="9">
        <v>37.290012030342261</v>
      </c>
      <c r="AA853" s="9">
        <v>37.290012030342261</v>
      </c>
      <c r="AB853" s="9">
        <v>40.470361633702204</v>
      </c>
      <c r="AC853" s="9">
        <v>40.470361633702204</v>
      </c>
      <c r="AD853" s="9">
        <v>44.305029050310999</v>
      </c>
      <c r="AE853" s="9">
        <v>48.34275103891602</v>
      </c>
      <c r="AF853" s="9">
        <v>52.603833056716866</v>
      </c>
      <c r="AG853" s="9">
        <v>52.603833056716866</v>
      </c>
      <c r="AH853" s="9">
        <v>57.633590453735039</v>
      </c>
      <c r="AI853" s="9">
        <v>62.933613486080198</v>
      </c>
      <c r="AJ853" s="9">
        <v>3.0428788910505911</v>
      </c>
    </row>
    <row r="854" spans="1:36" x14ac:dyDescent="0.25">
      <c r="A854" t="s">
        <v>5411</v>
      </c>
      <c r="B854" t="s">
        <v>16</v>
      </c>
      <c r="C854" t="s">
        <v>17</v>
      </c>
      <c r="D854">
        <v>28231000</v>
      </c>
      <c r="E854">
        <v>28234999</v>
      </c>
      <c r="F854" t="s">
        <v>723</v>
      </c>
      <c r="G854" t="str">
        <f t="shared" si="26"/>
        <v>RJR</v>
      </c>
      <c r="H854" t="s">
        <v>663</v>
      </c>
      <c r="I854" t="s">
        <v>20</v>
      </c>
      <c r="J854" t="s">
        <v>77</v>
      </c>
      <c r="K854" s="6">
        <v>0.03</v>
      </c>
      <c r="L854" s="7">
        <f t="shared" si="27"/>
        <v>2E-3</v>
      </c>
      <c r="M854" s="7">
        <v>3.0000000000000001E-3</v>
      </c>
      <c r="N854">
        <v>21</v>
      </c>
      <c r="O854" s="8">
        <v>27.759279108538067</v>
      </c>
      <c r="P854" s="9">
        <v>27.759279108538067</v>
      </c>
      <c r="Q854" s="9">
        <v>27.759279108538067</v>
      </c>
      <c r="R854" s="9">
        <v>28.909938214135668</v>
      </c>
      <c r="S854" s="9">
        <v>29.129746609556125</v>
      </c>
      <c r="T854" s="9">
        <v>29.885241910517856</v>
      </c>
      <c r="U854" s="9">
        <v>31.387298550026539</v>
      </c>
      <c r="V854" s="9">
        <v>31.387298550026539</v>
      </c>
      <c r="W854" s="9">
        <v>31.387298550026539</v>
      </c>
      <c r="X854" s="9">
        <v>34.262376337518653</v>
      </c>
      <c r="Y854" s="9">
        <v>34.262376337518653</v>
      </c>
      <c r="Z854" s="9">
        <v>37.290012030342261</v>
      </c>
      <c r="AA854" s="9">
        <v>37.290012030342261</v>
      </c>
      <c r="AB854" s="9">
        <v>40.470361633702204</v>
      </c>
      <c r="AC854" s="9">
        <v>40.470361633702204</v>
      </c>
      <c r="AD854" s="9">
        <v>44.305029050310999</v>
      </c>
      <c r="AE854" s="9">
        <v>48.34275103891602</v>
      </c>
      <c r="AF854" s="9">
        <v>52.603833056716866</v>
      </c>
      <c r="AG854" s="9">
        <v>52.603833056716866</v>
      </c>
      <c r="AH854" s="9">
        <v>57.633590453735039</v>
      </c>
      <c r="AI854" s="9">
        <v>62.933613486080198</v>
      </c>
      <c r="AJ854" s="9">
        <v>3.0428788910505911</v>
      </c>
    </row>
    <row r="855" spans="1:36" x14ac:dyDescent="0.25">
      <c r="A855" t="s">
        <v>5411</v>
      </c>
      <c r="B855" t="s">
        <v>16</v>
      </c>
      <c r="C855" t="s">
        <v>17</v>
      </c>
      <c r="D855">
        <v>28235000</v>
      </c>
      <c r="E855">
        <v>28249969</v>
      </c>
      <c r="F855" t="s">
        <v>723</v>
      </c>
      <c r="G855" t="str">
        <f t="shared" si="26"/>
        <v>RJI</v>
      </c>
      <c r="H855" t="s">
        <v>663</v>
      </c>
      <c r="I855" t="s">
        <v>20</v>
      </c>
      <c r="J855" t="s">
        <v>62</v>
      </c>
      <c r="K855" s="6">
        <v>0.03</v>
      </c>
      <c r="L855" s="7">
        <f t="shared" si="27"/>
        <v>2E-3</v>
      </c>
      <c r="M855" s="7">
        <v>3.0000000000000001E-3</v>
      </c>
      <c r="N855">
        <v>9</v>
      </c>
      <c r="O855" s="8">
        <v>15.267633692923473</v>
      </c>
      <c r="P855" s="9">
        <v>15.267633692923473</v>
      </c>
      <c r="Q855" s="9">
        <v>15.267633692923473</v>
      </c>
      <c r="R855" s="9">
        <v>15.455820801950338</v>
      </c>
      <c r="S855" s="9">
        <v>15.721645950324477</v>
      </c>
      <c r="T855" s="9">
        <v>16.739439286239044</v>
      </c>
      <c r="U855" s="9">
        <v>18.882065020469135</v>
      </c>
      <c r="V855" s="9">
        <v>18.882065020469135</v>
      </c>
      <c r="W855" s="9">
        <v>18.882065020469135</v>
      </c>
      <c r="X855" s="9">
        <v>20.560260982458932</v>
      </c>
      <c r="Y855" s="9">
        <v>20.560260982458932</v>
      </c>
      <c r="Z855" s="9">
        <v>22.671148936966464</v>
      </c>
      <c r="AA855" s="9">
        <v>22.671148936966464</v>
      </c>
      <c r="AB855" s="9">
        <v>24.988647885599047</v>
      </c>
      <c r="AC855" s="9">
        <v>24.988647885599047</v>
      </c>
      <c r="AD855" s="9">
        <v>27.429334733487696</v>
      </c>
      <c r="AE855" s="9">
        <v>30.009055056381616</v>
      </c>
      <c r="AF855" s="9">
        <v>34.85116305716884</v>
      </c>
      <c r="AG855" s="9">
        <v>34.85116305716884</v>
      </c>
      <c r="AH855" s="9">
        <v>37.75822329541549</v>
      </c>
      <c r="AI855" s="9">
        <v>40.581849370377171</v>
      </c>
      <c r="AJ855" s="9">
        <v>3.0428788910505911</v>
      </c>
    </row>
    <row r="856" spans="1:36" x14ac:dyDescent="0.25">
      <c r="A856" t="s">
        <v>5411</v>
      </c>
      <c r="B856" t="s">
        <v>16</v>
      </c>
      <c r="C856" t="s">
        <v>17</v>
      </c>
      <c r="D856">
        <v>28249970</v>
      </c>
      <c r="E856">
        <v>28249999</v>
      </c>
      <c r="F856" t="s">
        <v>722</v>
      </c>
      <c r="G856" t="str">
        <f t="shared" si="26"/>
        <v>RJR</v>
      </c>
      <c r="H856" t="s">
        <v>663</v>
      </c>
      <c r="I856" t="s">
        <v>20</v>
      </c>
      <c r="J856" t="s">
        <v>77</v>
      </c>
      <c r="K856" s="6">
        <v>0.03</v>
      </c>
      <c r="L856" s="7">
        <f t="shared" si="27"/>
        <v>2E-3</v>
      </c>
      <c r="M856" s="7">
        <v>3.0000000000000001E-3</v>
      </c>
      <c r="N856">
        <v>21</v>
      </c>
      <c r="O856" s="8">
        <v>27.759279108538067</v>
      </c>
      <c r="P856" s="9">
        <v>27.759279108538067</v>
      </c>
      <c r="Q856" s="9">
        <v>27.759279108538067</v>
      </c>
      <c r="R856" s="9">
        <v>28.909938214135668</v>
      </c>
      <c r="S856" s="9">
        <v>29.129746609556125</v>
      </c>
      <c r="T856" s="9">
        <v>29.885241910517856</v>
      </c>
      <c r="U856" s="9">
        <v>31.387298550026539</v>
      </c>
      <c r="V856" s="9">
        <v>31.387298550026539</v>
      </c>
      <c r="W856" s="9">
        <v>31.387298550026539</v>
      </c>
      <c r="X856" s="9">
        <v>34.262376337518653</v>
      </c>
      <c r="Y856" s="9">
        <v>34.262376337518653</v>
      </c>
      <c r="Z856" s="9">
        <v>37.290012030342261</v>
      </c>
      <c r="AA856" s="9">
        <v>37.290012030342261</v>
      </c>
      <c r="AB856" s="9">
        <v>40.470361633702204</v>
      </c>
      <c r="AC856" s="9">
        <v>40.470361633702204</v>
      </c>
      <c r="AD856" s="9">
        <v>44.305029050310999</v>
      </c>
      <c r="AE856" s="9">
        <v>48.34275103891602</v>
      </c>
      <c r="AF856" s="9">
        <v>52.603833056716866</v>
      </c>
      <c r="AG856" s="9">
        <v>52.603833056716866</v>
      </c>
      <c r="AH856" s="9">
        <v>57.633590453735039</v>
      </c>
      <c r="AI856" s="9">
        <v>62.933613486080198</v>
      </c>
      <c r="AJ856" s="9">
        <v>3.0428788910505911</v>
      </c>
    </row>
    <row r="857" spans="1:36" x14ac:dyDescent="0.25">
      <c r="A857" t="s">
        <v>5411</v>
      </c>
      <c r="B857" t="s">
        <v>16</v>
      </c>
      <c r="C857" t="s">
        <v>17</v>
      </c>
      <c r="D857">
        <v>28250000</v>
      </c>
      <c r="E857">
        <v>28299969</v>
      </c>
      <c r="F857" t="s">
        <v>724</v>
      </c>
      <c r="G857" t="str">
        <f t="shared" si="26"/>
        <v>RJI</v>
      </c>
      <c r="H857" t="s">
        <v>663</v>
      </c>
      <c r="I857" t="s">
        <v>20</v>
      </c>
      <c r="J857" t="s">
        <v>62</v>
      </c>
      <c r="K857" s="6">
        <v>0.03</v>
      </c>
      <c r="L857" s="7">
        <f t="shared" si="27"/>
        <v>2E-3</v>
      </c>
      <c r="M857" s="7">
        <v>3.0000000000000001E-3</v>
      </c>
      <c r="N857">
        <v>9</v>
      </c>
      <c r="O857" s="8">
        <v>15.267633692923473</v>
      </c>
      <c r="P857" s="9">
        <v>15.267633692923473</v>
      </c>
      <c r="Q857" s="9">
        <v>15.267633692923473</v>
      </c>
      <c r="R857" s="9">
        <v>15.455820801950338</v>
      </c>
      <c r="S857" s="9">
        <v>15.721645950324477</v>
      </c>
      <c r="T857" s="9">
        <v>16.739439286239044</v>
      </c>
      <c r="U857" s="9">
        <v>18.882065020469135</v>
      </c>
      <c r="V857" s="9">
        <v>18.882065020469135</v>
      </c>
      <c r="W857" s="9">
        <v>18.882065020469135</v>
      </c>
      <c r="X857" s="9">
        <v>20.560260982458932</v>
      </c>
      <c r="Y857" s="9">
        <v>20.560260982458932</v>
      </c>
      <c r="Z857" s="9">
        <v>22.671148936966464</v>
      </c>
      <c r="AA857" s="9">
        <v>22.671148936966464</v>
      </c>
      <c r="AB857" s="9">
        <v>24.988647885599047</v>
      </c>
      <c r="AC857" s="9">
        <v>24.988647885599047</v>
      </c>
      <c r="AD857" s="9">
        <v>27.429334733487696</v>
      </c>
      <c r="AE857" s="9">
        <v>30.009055056381616</v>
      </c>
      <c r="AF857" s="9">
        <v>34.85116305716884</v>
      </c>
      <c r="AG857" s="9">
        <v>34.85116305716884</v>
      </c>
      <c r="AH857" s="9">
        <v>37.75822329541549</v>
      </c>
      <c r="AI857" s="9">
        <v>40.581849370377171</v>
      </c>
      <c r="AJ857" s="9">
        <v>3.0428788910505911</v>
      </c>
    </row>
    <row r="858" spans="1:36" x14ac:dyDescent="0.25">
      <c r="A858" t="s">
        <v>5411</v>
      </c>
      <c r="B858" t="s">
        <v>16</v>
      </c>
      <c r="C858" t="s">
        <v>17</v>
      </c>
      <c r="D858">
        <v>28299970</v>
      </c>
      <c r="E858">
        <v>28299999</v>
      </c>
      <c r="F858" t="s">
        <v>724</v>
      </c>
      <c r="G858" t="str">
        <f t="shared" si="26"/>
        <v>RJR</v>
      </c>
      <c r="H858" t="s">
        <v>663</v>
      </c>
      <c r="I858" t="s">
        <v>20</v>
      </c>
      <c r="J858" t="s">
        <v>77</v>
      </c>
      <c r="K858" s="6">
        <v>0.03</v>
      </c>
      <c r="L858" s="7">
        <f t="shared" si="27"/>
        <v>2E-3</v>
      </c>
      <c r="M858" s="7">
        <v>3.0000000000000001E-3</v>
      </c>
      <c r="N858">
        <v>21</v>
      </c>
      <c r="O858" s="8">
        <v>27.759279108538067</v>
      </c>
      <c r="P858" s="9">
        <v>27.759279108538067</v>
      </c>
      <c r="Q858" s="9">
        <v>27.759279108538067</v>
      </c>
      <c r="R858" s="9">
        <v>28.909938214135668</v>
      </c>
      <c r="S858" s="9">
        <v>29.129746609556125</v>
      </c>
      <c r="T858" s="9">
        <v>29.885241910517856</v>
      </c>
      <c r="U858" s="9">
        <v>31.387298550026539</v>
      </c>
      <c r="V858" s="9">
        <v>31.387298550026539</v>
      </c>
      <c r="W858" s="9">
        <v>31.387298550026539</v>
      </c>
      <c r="X858" s="9">
        <v>34.262376337518653</v>
      </c>
      <c r="Y858" s="9">
        <v>34.262376337518653</v>
      </c>
      <c r="Z858" s="9">
        <v>37.290012030342261</v>
      </c>
      <c r="AA858" s="9">
        <v>37.290012030342261</v>
      </c>
      <c r="AB858" s="9">
        <v>40.470361633702204</v>
      </c>
      <c r="AC858" s="9">
        <v>40.470361633702204</v>
      </c>
      <c r="AD858" s="9">
        <v>44.305029050310999</v>
      </c>
      <c r="AE858" s="9">
        <v>48.34275103891602</v>
      </c>
      <c r="AF858" s="9">
        <v>52.603833056716866</v>
      </c>
      <c r="AG858" s="9">
        <v>52.603833056716866</v>
      </c>
      <c r="AH858" s="9">
        <v>57.633590453735039</v>
      </c>
      <c r="AI858" s="9">
        <v>62.933613486080198</v>
      </c>
      <c r="AJ858" s="9">
        <v>3.0428788910505911</v>
      </c>
    </row>
    <row r="859" spans="1:36" x14ac:dyDescent="0.25">
      <c r="A859" t="s">
        <v>5411</v>
      </c>
      <c r="B859" t="s">
        <v>16</v>
      </c>
      <c r="C859" t="s">
        <v>17</v>
      </c>
      <c r="D859">
        <v>28300000</v>
      </c>
      <c r="E859">
        <v>28300999</v>
      </c>
      <c r="F859" t="s">
        <v>725</v>
      </c>
      <c r="G859" t="str">
        <f t="shared" si="26"/>
        <v>RJI</v>
      </c>
      <c r="H859" t="s">
        <v>663</v>
      </c>
      <c r="I859" t="s">
        <v>20</v>
      </c>
      <c r="J859" t="s">
        <v>62</v>
      </c>
      <c r="K859" s="6">
        <v>0.03</v>
      </c>
      <c r="L859" s="7">
        <f t="shared" si="27"/>
        <v>2E-3</v>
      </c>
      <c r="M859" s="7">
        <v>3.0000000000000001E-3</v>
      </c>
      <c r="N859">
        <v>8</v>
      </c>
      <c r="O859" s="8">
        <v>15.267633692923473</v>
      </c>
      <c r="P859" s="9">
        <v>15.267633692923473</v>
      </c>
      <c r="Q859" s="9">
        <v>15.267633692923473</v>
      </c>
      <c r="R859" s="9">
        <v>15.455820801950338</v>
      </c>
      <c r="S859" s="9">
        <v>15.721645950324477</v>
      </c>
      <c r="T859" s="9">
        <v>16.739439286239044</v>
      </c>
      <c r="U859" s="9">
        <v>18.882065020469135</v>
      </c>
      <c r="V859" s="9">
        <v>18.882065020469135</v>
      </c>
      <c r="W859" s="9">
        <v>18.882065020469135</v>
      </c>
      <c r="X859" s="9">
        <v>20.560260982458932</v>
      </c>
      <c r="Y859" s="9">
        <v>20.560260982458932</v>
      </c>
      <c r="Z859" s="9">
        <v>22.671148936966464</v>
      </c>
      <c r="AA859" s="9">
        <v>22.671148936966464</v>
      </c>
      <c r="AB859" s="9">
        <v>24.988647885599047</v>
      </c>
      <c r="AC859" s="9">
        <v>24.988647885599047</v>
      </c>
      <c r="AD859" s="9">
        <v>27.429334733487696</v>
      </c>
      <c r="AE859" s="9">
        <v>30.009055056381616</v>
      </c>
      <c r="AF859" s="9">
        <v>34.85116305716884</v>
      </c>
      <c r="AG859" s="9">
        <v>34.85116305716884</v>
      </c>
      <c r="AH859" s="9">
        <v>37.75822329541549</v>
      </c>
      <c r="AI859" s="9">
        <v>40.581849370377171</v>
      </c>
      <c r="AJ859" s="9">
        <v>3.0428788910505911</v>
      </c>
    </row>
    <row r="860" spans="1:36" x14ac:dyDescent="0.25">
      <c r="A860" t="s">
        <v>5411</v>
      </c>
      <c r="B860" t="s">
        <v>16</v>
      </c>
      <c r="C860" t="s">
        <v>17</v>
      </c>
      <c r="D860">
        <v>28301000</v>
      </c>
      <c r="E860">
        <v>28329999</v>
      </c>
      <c r="F860" t="s">
        <v>726</v>
      </c>
      <c r="G860" t="str">
        <f t="shared" si="26"/>
        <v>RJI II</v>
      </c>
      <c r="H860" t="s">
        <v>663</v>
      </c>
      <c r="I860" t="s">
        <v>20</v>
      </c>
      <c r="J860" t="s">
        <v>64</v>
      </c>
      <c r="K860" s="6">
        <v>0.03</v>
      </c>
      <c r="L860" s="7">
        <f t="shared" si="27"/>
        <v>2E-3</v>
      </c>
      <c r="M860" s="7">
        <v>3.0000000000000001E-3</v>
      </c>
      <c r="N860">
        <v>10</v>
      </c>
      <c r="O860" s="8">
        <v>19.191626852122567</v>
      </c>
      <c r="P860" s="9">
        <v>19.191626852122567</v>
      </c>
      <c r="Q860" s="9">
        <v>19.191626852122567</v>
      </c>
      <c r="R860" s="9">
        <v>19.642928460363855</v>
      </c>
      <c r="S860" s="9">
        <v>19.262254068797603</v>
      </c>
      <c r="T860" s="9">
        <v>20.002437846806995</v>
      </c>
      <c r="U860" s="9">
        <v>22.129401407702662</v>
      </c>
      <c r="V860" s="9">
        <v>22.129401407702662</v>
      </c>
      <c r="W860" s="9">
        <v>22.129401407702662</v>
      </c>
      <c r="X860" s="9">
        <v>23.753502845598582</v>
      </c>
      <c r="Y860" s="9">
        <v>23.753502845598582</v>
      </c>
      <c r="Z860" s="9">
        <v>25.775343328389187</v>
      </c>
      <c r="AA860" s="9">
        <v>25.775343328389187</v>
      </c>
      <c r="AB860" s="9">
        <v>27.866292679254457</v>
      </c>
      <c r="AC860" s="9">
        <v>27.866292679254457</v>
      </c>
      <c r="AD860" s="9">
        <v>31.93012744838439</v>
      </c>
      <c r="AE860" s="9">
        <v>34.043682702868942</v>
      </c>
      <c r="AF860" s="9">
        <v>36.2561115580978</v>
      </c>
      <c r="AG860" s="9">
        <v>36.2561115580978</v>
      </c>
      <c r="AH860" s="9">
        <v>39.68435845151825</v>
      </c>
      <c r="AI860" s="9">
        <v>42.41487012813608</v>
      </c>
      <c r="AJ860" s="9">
        <v>3.0428788910505911</v>
      </c>
    </row>
    <row r="861" spans="1:36" x14ac:dyDescent="0.25">
      <c r="A861" t="s">
        <v>5411</v>
      </c>
      <c r="B861" t="s">
        <v>16</v>
      </c>
      <c r="C861" t="s">
        <v>17</v>
      </c>
      <c r="D861">
        <v>28330000</v>
      </c>
      <c r="E861">
        <v>28332999</v>
      </c>
      <c r="F861" t="s">
        <v>726</v>
      </c>
      <c r="G861" t="str">
        <f t="shared" si="26"/>
        <v>RJI II</v>
      </c>
      <c r="H861" t="s">
        <v>663</v>
      </c>
      <c r="I861" t="s">
        <v>20</v>
      </c>
      <c r="J861" t="s">
        <v>64</v>
      </c>
      <c r="K861" s="6">
        <v>0.03</v>
      </c>
      <c r="L861" s="7">
        <f t="shared" si="27"/>
        <v>2E-3</v>
      </c>
      <c r="M861" s="7">
        <v>3.0000000000000001E-3</v>
      </c>
      <c r="N861">
        <v>10</v>
      </c>
      <c r="O861" s="8">
        <v>19.191626852122567</v>
      </c>
      <c r="P861" s="9">
        <v>19.191626852122567</v>
      </c>
      <c r="Q861" s="9">
        <v>19.191626852122567</v>
      </c>
      <c r="R861" s="9">
        <v>19.642928460363855</v>
      </c>
      <c r="S861" s="9">
        <v>19.262254068797603</v>
      </c>
      <c r="T861" s="9">
        <v>20.002437846806995</v>
      </c>
      <c r="U861" s="9">
        <v>22.129401407702662</v>
      </c>
      <c r="V861" s="9">
        <v>22.129401407702662</v>
      </c>
      <c r="W861" s="9">
        <v>22.129401407702662</v>
      </c>
      <c r="X861" s="9">
        <v>23.753502845598582</v>
      </c>
      <c r="Y861" s="9">
        <v>23.753502845598582</v>
      </c>
      <c r="Z861" s="9">
        <v>25.775343328389187</v>
      </c>
      <c r="AA861" s="9">
        <v>25.775343328389187</v>
      </c>
      <c r="AB861" s="9">
        <v>27.866292679254457</v>
      </c>
      <c r="AC861" s="9">
        <v>27.866292679254457</v>
      </c>
      <c r="AD861" s="9">
        <v>31.93012744838439</v>
      </c>
      <c r="AE861" s="9">
        <v>34.043682702868942</v>
      </c>
      <c r="AF861" s="9">
        <v>36.2561115580978</v>
      </c>
      <c r="AG861" s="9">
        <v>36.2561115580978</v>
      </c>
      <c r="AH861" s="9">
        <v>39.68435845151825</v>
      </c>
      <c r="AI861" s="9">
        <v>42.41487012813608</v>
      </c>
      <c r="AJ861" s="9">
        <v>3.0428788910505911</v>
      </c>
    </row>
    <row r="862" spans="1:36" x14ac:dyDescent="0.25">
      <c r="A862" t="s">
        <v>5411</v>
      </c>
      <c r="B862" t="s">
        <v>16</v>
      </c>
      <c r="C862" t="s">
        <v>17</v>
      </c>
      <c r="D862">
        <v>28333000</v>
      </c>
      <c r="E862">
        <v>28333999</v>
      </c>
      <c r="F862" t="s">
        <v>726</v>
      </c>
      <c r="G862" t="str">
        <f t="shared" si="26"/>
        <v>RJI II</v>
      </c>
      <c r="H862" t="s">
        <v>663</v>
      </c>
      <c r="I862" t="s">
        <v>20</v>
      </c>
      <c r="J862" t="s">
        <v>64</v>
      </c>
      <c r="K862" s="6">
        <v>0.03</v>
      </c>
      <c r="L862" s="7">
        <f t="shared" si="27"/>
        <v>2E-3</v>
      </c>
      <c r="M862" s="7">
        <v>3.0000000000000001E-3</v>
      </c>
      <c r="N862">
        <v>10</v>
      </c>
      <c r="O862" s="8">
        <v>19.191626852122567</v>
      </c>
      <c r="P862" s="9">
        <v>19.191626852122567</v>
      </c>
      <c r="Q862" s="9">
        <v>19.191626852122567</v>
      </c>
      <c r="R862" s="9">
        <v>19.642928460363855</v>
      </c>
      <c r="S862" s="9">
        <v>19.262254068797603</v>
      </c>
      <c r="T862" s="9">
        <v>20.002437846806995</v>
      </c>
      <c r="U862" s="9">
        <v>22.129401407702662</v>
      </c>
      <c r="V862" s="9">
        <v>22.129401407702662</v>
      </c>
      <c r="W862" s="9">
        <v>22.129401407702662</v>
      </c>
      <c r="X862" s="9">
        <v>23.753502845598582</v>
      </c>
      <c r="Y862" s="9">
        <v>23.753502845598582</v>
      </c>
      <c r="Z862" s="9">
        <v>25.775343328389187</v>
      </c>
      <c r="AA862" s="9">
        <v>25.775343328389187</v>
      </c>
      <c r="AB862" s="9">
        <v>27.866292679254457</v>
      </c>
      <c r="AC862" s="9">
        <v>27.866292679254457</v>
      </c>
      <c r="AD862" s="9">
        <v>31.93012744838439</v>
      </c>
      <c r="AE862" s="9">
        <v>34.043682702868942</v>
      </c>
      <c r="AF862" s="9">
        <v>36.2561115580978</v>
      </c>
      <c r="AG862" s="9">
        <v>36.2561115580978</v>
      </c>
      <c r="AH862" s="9">
        <v>39.68435845151825</v>
      </c>
      <c r="AI862" s="9">
        <v>42.41487012813608</v>
      </c>
      <c r="AJ862" s="9">
        <v>3.0428788910505911</v>
      </c>
    </row>
    <row r="863" spans="1:36" x14ac:dyDescent="0.25">
      <c r="A863" t="s">
        <v>5411</v>
      </c>
      <c r="B863" t="s">
        <v>16</v>
      </c>
      <c r="C863" t="s">
        <v>17</v>
      </c>
      <c r="D863">
        <v>28334000</v>
      </c>
      <c r="E863">
        <v>28369999</v>
      </c>
      <c r="F863" t="s">
        <v>726</v>
      </c>
      <c r="G863" t="str">
        <f t="shared" si="26"/>
        <v>RJI II</v>
      </c>
      <c r="H863" t="s">
        <v>663</v>
      </c>
      <c r="I863" t="s">
        <v>22</v>
      </c>
      <c r="J863" t="s">
        <v>64</v>
      </c>
      <c r="K863" s="6">
        <v>0.03</v>
      </c>
      <c r="L863" s="7">
        <f t="shared" si="27"/>
        <v>0.03</v>
      </c>
      <c r="M863" s="7">
        <v>3.0000000000000001E-3</v>
      </c>
      <c r="N863">
        <v>10</v>
      </c>
      <c r="O863" s="8">
        <v>19.191626852122567</v>
      </c>
      <c r="P863" s="9">
        <v>19.191626852122567</v>
      </c>
      <c r="Q863" s="9">
        <v>19.191626852122567</v>
      </c>
      <c r="R863" s="9">
        <v>19.642928460363855</v>
      </c>
      <c r="S863" s="9">
        <v>19.262254068797603</v>
      </c>
      <c r="T863" s="9">
        <v>20.002437846806995</v>
      </c>
      <c r="U863" s="9">
        <v>22.129401407702662</v>
      </c>
      <c r="V863" s="9">
        <v>22.129401407702662</v>
      </c>
      <c r="W863" s="9">
        <v>22.129401407702662</v>
      </c>
      <c r="X863" s="9">
        <v>23.753502845598582</v>
      </c>
      <c r="Y863" s="9">
        <v>23.753502845598582</v>
      </c>
      <c r="Z863" s="9">
        <v>25.775343328389187</v>
      </c>
      <c r="AA863" s="9">
        <v>25.775343328389187</v>
      </c>
      <c r="AB863" s="9">
        <v>27.866292679254457</v>
      </c>
      <c r="AC863" s="9">
        <v>27.866292679254457</v>
      </c>
      <c r="AD863" s="9">
        <v>31.93012744838439</v>
      </c>
      <c r="AE863" s="9">
        <v>34.043682702868942</v>
      </c>
      <c r="AF863" s="9">
        <v>36.2561115580978</v>
      </c>
      <c r="AG863" s="9">
        <v>36.2561115580978</v>
      </c>
      <c r="AH863" s="9">
        <v>39.68435845151825</v>
      </c>
      <c r="AI863" s="9">
        <v>42.41487012813608</v>
      </c>
      <c r="AJ863" s="9">
        <v>3.0428788910505911</v>
      </c>
    </row>
    <row r="864" spans="1:36" x14ac:dyDescent="0.25">
      <c r="A864" t="s">
        <v>5411</v>
      </c>
      <c r="B864" t="s">
        <v>16</v>
      </c>
      <c r="C864" t="s">
        <v>17</v>
      </c>
      <c r="D864">
        <v>28370000</v>
      </c>
      <c r="E864">
        <v>28371999</v>
      </c>
      <c r="F864" t="s">
        <v>727</v>
      </c>
      <c r="G864" t="str">
        <f t="shared" si="26"/>
        <v>RJI II</v>
      </c>
      <c r="H864" t="s">
        <v>663</v>
      </c>
      <c r="I864" t="s">
        <v>20</v>
      </c>
      <c r="J864" t="s">
        <v>64</v>
      </c>
      <c r="K864" s="6">
        <v>0.03</v>
      </c>
      <c r="L864" s="7">
        <f t="shared" si="27"/>
        <v>2E-3</v>
      </c>
      <c r="M864" s="7">
        <v>3.0000000000000001E-3</v>
      </c>
      <c r="N864">
        <v>9</v>
      </c>
      <c r="O864" s="8">
        <v>19.191626852122567</v>
      </c>
      <c r="P864" s="9">
        <v>19.191626852122567</v>
      </c>
      <c r="Q864" s="9">
        <v>19.191626852122567</v>
      </c>
      <c r="R864" s="9">
        <v>19.642928460363855</v>
      </c>
      <c r="S864" s="9">
        <v>19.262254068797603</v>
      </c>
      <c r="T864" s="9">
        <v>20.002437846806995</v>
      </c>
      <c r="U864" s="9">
        <v>22.129401407702662</v>
      </c>
      <c r="V864" s="9">
        <v>22.129401407702662</v>
      </c>
      <c r="W864" s="9">
        <v>22.129401407702662</v>
      </c>
      <c r="X864" s="9">
        <v>23.753502845598582</v>
      </c>
      <c r="Y864" s="9">
        <v>23.753502845598582</v>
      </c>
      <c r="Z864" s="9">
        <v>25.775343328389187</v>
      </c>
      <c r="AA864" s="9">
        <v>25.775343328389187</v>
      </c>
      <c r="AB864" s="9">
        <v>27.866292679254457</v>
      </c>
      <c r="AC864" s="9">
        <v>27.866292679254457</v>
      </c>
      <c r="AD864" s="9">
        <v>31.93012744838439</v>
      </c>
      <c r="AE864" s="9">
        <v>34.043682702868942</v>
      </c>
      <c r="AF864" s="9">
        <v>36.2561115580978</v>
      </c>
      <c r="AG864" s="9">
        <v>36.2561115580978</v>
      </c>
      <c r="AH864" s="9">
        <v>39.68435845151825</v>
      </c>
      <c r="AI864" s="9">
        <v>42.41487012813608</v>
      </c>
      <c r="AJ864" s="9">
        <v>3.0428788910505911</v>
      </c>
    </row>
    <row r="865" spans="1:36" x14ac:dyDescent="0.25">
      <c r="A865" t="s">
        <v>5411</v>
      </c>
      <c r="B865" t="s">
        <v>16</v>
      </c>
      <c r="C865" t="s">
        <v>17</v>
      </c>
      <c r="D865">
        <v>28372000</v>
      </c>
      <c r="E865">
        <v>28372999</v>
      </c>
      <c r="F865" t="s">
        <v>727</v>
      </c>
      <c r="G865" t="str">
        <f t="shared" si="26"/>
        <v>RJI II</v>
      </c>
      <c r="H865" t="s">
        <v>663</v>
      </c>
      <c r="I865" t="s">
        <v>20</v>
      </c>
      <c r="J865" t="s">
        <v>64</v>
      </c>
      <c r="K865" s="6">
        <v>0.03</v>
      </c>
      <c r="L865" s="7">
        <f t="shared" si="27"/>
        <v>2E-3</v>
      </c>
      <c r="M865" s="7">
        <v>3.0000000000000001E-3</v>
      </c>
      <c r="N865">
        <v>9</v>
      </c>
      <c r="O865" s="8">
        <v>19.191626852122567</v>
      </c>
      <c r="P865" s="9">
        <v>19.191626852122567</v>
      </c>
      <c r="Q865" s="9">
        <v>19.191626852122567</v>
      </c>
      <c r="R865" s="9">
        <v>19.642928460363855</v>
      </c>
      <c r="S865" s="9">
        <v>19.262254068797603</v>
      </c>
      <c r="T865" s="9">
        <v>20.002437846806995</v>
      </c>
      <c r="U865" s="9">
        <v>22.129401407702662</v>
      </c>
      <c r="V865" s="9">
        <v>22.129401407702662</v>
      </c>
      <c r="W865" s="9">
        <v>22.129401407702662</v>
      </c>
      <c r="X865" s="9">
        <v>23.753502845598582</v>
      </c>
      <c r="Y865" s="9">
        <v>23.753502845598582</v>
      </c>
      <c r="Z865" s="9">
        <v>25.775343328389187</v>
      </c>
      <c r="AA865" s="9">
        <v>25.775343328389187</v>
      </c>
      <c r="AB865" s="9">
        <v>27.866292679254457</v>
      </c>
      <c r="AC865" s="9">
        <v>27.866292679254457</v>
      </c>
      <c r="AD865" s="9">
        <v>31.93012744838439</v>
      </c>
      <c r="AE865" s="9">
        <v>34.043682702868942</v>
      </c>
      <c r="AF865" s="9">
        <v>36.2561115580978</v>
      </c>
      <c r="AG865" s="9">
        <v>36.2561115580978</v>
      </c>
      <c r="AH865" s="9">
        <v>39.68435845151825</v>
      </c>
      <c r="AI865" s="9">
        <v>42.41487012813608</v>
      </c>
      <c r="AJ865" s="9">
        <v>3.0428788910505911</v>
      </c>
    </row>
    <row r="866" spans="1:36" x14ac:dyDescent="0.25">
      <c r="A866" t="s">
        <v>5411</v>
      </c>
      <c r="B866" t="s">
        <v>16</v>
      </c>
      <c r="C866" t="s">
        <v>17</v>
      </c>
      <c r="D866">
        <v>28373000</v>
      </c>
      <c r="E866">
        <v>28375999</v>
      </c>
      <c r="F866" t="s">
        <v>728</v>
      </c>
      <c r="G866" t="str">
        <f t="shared" si="26"/>
        <v>RJI II</v>
      </c>
      <c r="H866" t="s">
        <v>663</v>
      </c>
      <c r="I866" t="s">
        <v>22</v>
      </c>
      <c r="J866" t="s">
        <v>64</v>
      </c>
      <c r="K866" s="6">
        <v>0.03</v>
      </c>
      <c r="L866" s="7">
        <f t="shared" si="27"/>
        <v>0.03</v>
      </c>
      <c r="M866" s="7">
        <v>3.0000000000000001E-3</v>
      </c>
      <c r="N866">
        <v>9</v>
      </c>
      <c r="O866" s="8">
        <v>19.191626852122567</v>
      </c>
      <c r="P866" s="9">
        <v>19.191626852122567</v>
      </c>
      <c r="Q866" s="9">
        <v>19.191626852122567</v>
      </c>
      <c r="R866" s="9">
        <v>19.642928460363855</v>
      </c>
      <c r="S866" s="9">
        <v>19.262254068797603</v>
      </c>
      <c r="T866" s="9">
        <v>20.002437846806995</v>
      </c>
      <c r="U866" s="9">
        <v>22.129401407702662</v>
      </c>
      <c r="V866" s="9">
        <v>22.129401407702662</v>
      </c>
      <c r="W866" s="9">
        <v>22.129401407702662</v>
      </c>
      <c r="X866" s="9">
        <v>23.753502845598582</v>
      </c>
      <c r="Y866" s="9">
        <v>23.753502845598582</v>
      </c>
      <c r="Z866" s="9">
        <v>25.775343328389187</v>
      </c>
      <c r="AA866" s="9">
        <v>25.775343328389187</v>
      </c>
      <c r="AB866" s="9">
        <v>27.866292679254457</v>
      </c>
      <c r="AC866" s="9">
        <v>27.866292679254457</v>
      </c>
      <c r="AD866" s="9">
        <v>31.93012744838439</v>
      </c>
      <c r="AE866" s="9">
        <v>34.043682702868942</v>
      </c>
      <c r="AF866" s="9">
        <v>36.2561115580978</v>
      </c>
      <c r="AG866" s="9">
        <v>36.2561115580978</v>
      </c>
      <c r="AH866" s="9">
        <v>39.68435845151825</v>
      </c>
      <c r="AI866" s="9">
        <v>42.41487012813608</v>
      </c>
      <c r="AJ866" s="9">
        <v>3.0428788910505911</v>
      </c>
    </row>
    <row r="867" spans="1:36" x14ac:dyDescent="0.25">
      <c r="A867" t="s">
        <v>5411</v>
      </c>
      <c r="B867" t="s">
        <v>16</v>
      </c>
      <c r="C867" t="s">
        <v>17</v>
      </c>
      <c r="D867">
        <v>28376000</v>
      </c>
      <c r="E867">
        <v>28380999</v>
      </c>
      <c r="F867" t="s">
        <v>729</v>
      </c>
      <c r="G867" t="str">
        <f t="shared" si="26"/>
        <v>RJI II</v>
      </c>
      <c r="H867" t="s">
        <v>663</v>
      </c>
      <c r="I867" t="s">
        <v>22</v>
      </c>
      <c r="J867" t="s">
        <v>64</v>
      </c>
      <c r="K867" s="6">
        <v>0.03</v>
      </c>
      <c r="L867" s="7">
        <f t="shared" si="27"/>
        <v>0.03</v>
      </c>
      <c r="M867" s="7">
        <v>3.0000000000000001E-3</v>
      </c>
      <c r="N867">
        <v>9</v>
      </c>
      <c r="O867" s="8">
        <v>19.191626852122567</v>
      </c>
      <c r="P867" s="9">
        <v>19.191626852122567</v>
      </c>
      <c r="Q867" s="9">
        <v>19.191626852122567</v>
      </c>
      <c r="R867" s="9">
        <v>19.642928460363855</v>
      </c>
      <c r="S867" s="9">
        <v>19.262254068797603</v>
      </c>
      <c r="T867" s="9">
        <v>20.002437846806995</v>
      </c>
      <c r="U867" s="9">
        <v>22.129401407702662</v>
      </c>
      <c r="V867" s="9">
        <v>22.129401407702662</v>
      </c>
      <c r="W867" s="9">
        <v>22.129401407702662</v>
      </c>
      <c r="X867" s="9">
        <v>23.753502845598582</v>
      </c>
      <c r="Y867" s="9">
        <v>23.753502845598582</v>
      </c>
      <c r="Z867" s="9">
        <v>25.775343328389187</v>
      </c>
      <c r="AA867" s="9">
        <v>25.775343328389187</v>
      </c>
      <c r="AB867" s="9">
        <v>27.866292679254457</v>
      </c>
      <c r="AC867" s="9">
        <v>27.866292679254457</v>
      </c>
      <c r="AD867" s="9">
        <v>31.93012744838439</v>
      </c>
      <c r="AE867" s="9">
        <v>34.043682702868942</v>
      </c>
      <c r="AF867" s="9">
        <v>36.2561115580978</v>
      </c>
      <c r="AG867" s="9">
        <v>36.2561115580978</v>
      </c>
      <c r="AH867" s="9">
        <v>39.68435845151825</v>
      </c>
      <c r="AI867" s="9">
        <v>42.41487012813608</v>
      </c>
      <c r="AJ867" s="9">
        <v>3.0428788910505911</v>
      </c>
    </row>
    <row r="868" spans="1:36" x14ac:dyDescent="0.25">
      <c r="A868" t="s">
        <v>5411</v>
      </c>
      <c r="B868" t="s">
        <v>16</v>
      </c>
      <c r="C868" t="s">
        <v>17</v>
      </c>
      <c r="D868">
        <v>28381000</v>
      </c>
      <c r="E868">
        <v>28382999</v>
      </c>
      <c r="F868" t="s">
        <v>729</v>
      </c>
      <c r="G868" t="str">
        <f t="shared" si="26"/>
        <v>RJR</v>
      </c>
      <c r="H868" t="s">
        <v>663</v>
      </c>
      <c r="I868" t="s">
        <v>20</v>
      </c>
      <c r="J868" t="s">
        <v>77</v>
      </c>
      <c r="K868" s="6">
        <v>0.03</v>
      </c>
      <c r="L868" s="7">
        <f t="shared" si="27"/>
        <v>2E-3</v>
      </c>
      <c r="M868" s="7">
        <v>3.0000000000000001E-3</v>
      </c>
      <c r="N868">
        <v>21</v>
      </c>
      <c r="O868" s="8">
        <v>27.759279108538067</v>
      </c>
      <c r="P868" s="9">
        <v>27.759279108538067</v>
      </c>
      <c r="Q868" s="9">
        <v>27.759279108538067</v>
      </c>
      <c r="R868" s="9">
        <v>28.909938214135668</v>
      </c>
      <c r="S868" s="9">
        <v>29.129746609556125</v>
      </c>
      <c r="T868" s="9">
        <v>29.885241910517856</v>
      </c>
      <c r="U868" s="9">
        <v>31.387298550026539</v>
      </c>
      <c r="V868" s="9">
        <v>31.387298550026539</v>
      </c>
      <c r="W868" s="9">
        <v>31.387298550026539</v>
      </c>
      <c r="X868" s="9">
        <v>34.262376337518653</v>
      </c>
      <c r="Y868" s="9">
        <v>34.262376337518653</v>
      </c>
      <c r="Z868" s="9">
        <v>37.290012030342261</v>
      </c>
      <c r="AA868" s="9">
        <v>37.290012030342261</v>
      </c>
      <c r="AB868" s="9">
        <v>40.470361633702204</v>
      </c>
      <c r="AC868" s="9">
        <v>40.470361633702204</v>
      </c>
      <c r="AD868" s="9">
        <v>44.305029050310999</v>
      </c>
      <c r="AE868" s="9">
        <v>48.34275103891602</v>
      </c>
      <c r="AF868" s="9">
        <v>52.603833056716866</v>
      </c>
      <c r="AG868" s="9">
        <v>52.603833056716866</v>
      </c>
      <c r="AH868" s="9">
        <v>57.633590453735039</v>
      </c>
      <c r="AI868" s="9">
        <v>62.933613486080198</v>
      </c>
      <c r="AJ868" s="9">
        <v>3.0428788910505911</v>
      </c>
    </row>
    <row r="869" spans="1:36" x14ac:dyDescent="0.25">
      <c r="A869" t="s">
        <v>5411</v>
      </c>
      <c r="B869" t="s">
        <v>16</v>
      </c>
      <c r="C869" t="s">
        <v>17</v>
      </c>
      <c r="D869">
        <v>28383000</v>
      </c>
      <c r="E869">
        <v>28383999</v>
      </c>
      <c r="F869" t="s">
        <v>729</v>
      </c>
      <c r="G869" t="str">
        <f t="shared" si="26"/>
        <v>RJI II</v>
      </c>
      <c r="H869" t="s">
        <v>663</v>
      </c>
      <c r="I869" t="s">
        <v>20</v>
      </c>
      <c r="J869" t="s">
        <v>64</v>
      </c>
      <c r="K869" s="6">
        <v>0.03</v>
      </c>
      <c r="L869" s="7">
        <f t="shared" si="27"/>
        <v>2E-3</v>
      </c>
      <c r="M869" s="7">
        <v>3.0000000000000001E-3</v>
      </c>
      <c r="N869">
        <v>10</v>
      </c>
      <c r="O869" s="8">
        <v>19.191626852122567</v>
      </c>
      <c r="P869" s="9">
        <v>19.191626852122567</v>
      </c>
      <c r="Q869" s="9">
        <v>19.191626852122567</v>
      </c>
      <c r="R869" s="9">
        <v>19.642928460363855</v>
      </c>
      <c r="S869" s="9">
        <v>19.262254068797603</v>
      </c>
      <c r="T869" s="9">
        <v>20.002437846806995</v>
      </c>
      <c r="U869" s="9">
        <v>22.129401407702662</v>
      </c>
      <c r="V869" s="9">
        <v>22.129401407702662</v>
      </c>
      <c r="W869" s="9">
        <v>22.129401407702662</v>
      </c>
      <c r="X869" s="9">
        <v>23.753502845598582</v>
      </c>
      <c r="Y869" s="9">
        <v>23.753502845598582</v>
      </c>
      <c r="Z869" s="9">
        <v>25.775343328389187</v>
      </c>
      <c r="AA869" s="9">
        <v>25.775343328389187</v>
      </c>
      <c r="AB869" s="9">
        <v>27.866292679254457</v>
      </c>
      <c r="AC869" s="9">
        <v>27.866292679254457</v>
      </c>
      <c r="AD869" s="9">
        <v>31.93012744838439</v>
      </c>
      <c r="AE869" s="9">
        <v>34.043682702868942</v>
      </c>
      <c r="AF869" s="9">
        <v>36.2561115580978</v>
      </c>
      <c r="AG869" s="9">
        <v>36.2561115580978</v>
      </c>
      <c r="AH869" s="9">
        <v>39.68435845151825</v>
      </c>
      <c r="AI869" s="9">
        <v>42.41487012813608</v>
      </c>
      <c r="AJ869" s="9">
        <v>3.0428788910505911</v>
      </c>
    </row>
    <row r="870" spans="1:36" x14ac:dyDescent="0.25">
      <c r="A870" t="s">
        <v>5411</v>
      </c>
      <c r="B870" t="s">
        <v>16</v>
      </c>
      <c r="C870" t="s">
        <v>17</v>
      </c>
      <c r="D870">
        <v>28384000</v>
      </c>
      <c r="E870">
        <v>28388999</v>
      </c>
      <c r="F870" t="s">
        <v>729</v>
      </c>
      <c r="G870" t="str">
        <f t="shared" si="26"/>
        <v>RJI II</v>
      </c>
      <c r="H870" t="s">
        <v>663</v>
      </c>
      <c r="I870" t="s">
        <v>22</v>
      </c>
      <c r="J870" t="s">
        <v>64</v>
      </c>
      <c r="K870" s="6">
        <v>0.03</v>
      </c>
      <c r="L870" s="7">
        <f t="shared" si="27"/>
        <v>0.03</v>
      </c>
      <c r="M870" s="7">
        <v>3.0000000000000001E-3</v>
      </c>
      <c r="N870">
        <v>10</v>
      </c>
      <c r="O870" s="8">
        <v>19.191626852122567</v>
      </c>
      <c r="P870" s="9">
        <v>19.191626852122567</v>
      </c>
      <c r="Q870" s="9">
        <v>19.191626852122567</v>
      </c>
      <c r="R870" s="9">
        <v>19.642928460363855</v>
      </c>
      <c r="S870" s="9">
        <v>19.262254068797603</v>
      </c>
      <c r="T870" s="9">
        <v>20.002437846806995</v>
      </c>
      <c r="U870" s="9">
        <v>22.129401407702662</v>
      </c>
      <c r="V870" s="9">
        <v>22.129401407702662</v>
      </c>
      <c r="W870" s="9">
        <v>22.129401407702662</v>
      </c>
      <c r="X870" s="9">
        <v>23.753502845598582</v>
      </c>
      <c r="Y870" s="9">
        <v>23.753502845598582</v>
      </c>
      <c r="Z870" s="9">
        <v>25.775343328389187</v>
      </c>
      <c r="AA870" s="9">
        <v>25.775343328389187</v>
      </c>
      <c r="AB870" s="9">
        <v>27.866292679254457</v>
      </c>
      <c r="AC870" s="9">
        <v>27.866292679254457</v>
      </c>
      <c r="AD870" s="9">
        <v>31.93012744838439</v>
      </c>
      <c r="AE870" s="9">
        <v>34.043682702868942</v>
      </c>
      <c r="AF870" s="9">
        <v>36.2561115580978</v>
      </c>
      <c r="AG870" s="9">
        <v>36.2561115580978</v>
      </c>
      <c r="AH870" s="9">
        <v>39.68435845151825</v>
      </c>
      <c r="AI870" s="9">
        <v>42.41487012813608</v>
      </c>
      <c r="AJ870" s="9">
        <v>3.0428788910505911</v>
      </c>
    </row>
    <row r="871" spans="1:36" x14ac:dyDescent="0.25">
      <c r="A871" t="s">
        <v>5411</v>
      </c>
      <c r="B871" t="s">
        <v>16</v>
      </c>
      <c r="C871" t="s">
        <v>17</v>
      </c>
      <c r="D871">
        <v>28389000</v>
      </c>
      <c r="E871">
        <v>28390999</v>
      </c>
      <c r="F871" t="s">
        <v>730</v>
      </c>
      <c r="G871" t="str">
        <f t="shared" si="26"/>
        <v>RJI II</v>
      </c>
      <c r="H871" t="s">
        <v>663</v>
      </c>
      <c r="I871" t="s">
        <v>22</v>
      </c>
      <c r="J871" t="s">
        <v>64</v>
      </c>
      <c r="K871" s="6">
        <v>0.03</v>
      </c>
      <c r="L871" s="7">
        <f t="shared" si="27"/>
        <v>0.03</v>
      </c>
      <c r="M871" s="7">
        <v>3.0000000000000001E-3</v>
      </c>
      <c r="N871">
        <v>9</v>
      </c>
      <c r="O871" s="8">
        <v>19.191626852122567</v>
      </c>
      <c r="P871" s="9">
        <v>19.191626852122567</v>
      </c>
      <c r="Q871" s="9">
        <v>19.191626852122567</v>
      </c>
      <c r="R871" s="9">
        <v>19.642928460363855</v>
      </c>
      <c r="S871" s="9">
        <v>19.262254068797603</v>
      </c>
      <c r="T871" s="9">
        <v>20.002437846806995</v>
      </c>
      <c r="U871" s="9">
        <v>22.129401407702662</v>
      </c>
      <c r="V871" s="9">
        <v>22.129401407702662</v>
      </c>
      <c r="W871" s="9">
        <v>22.129401407702662</v>
      </c>
      <c r="X871" s="9">
        <v>23.753502845598582</v>
      </c>
      <c r="Y871" s="9">
        <v>23.753502845598582</v>
      </c>
      <c r="Z871" s="9">
        <v>25.775343328389187</v>
      </c>
      <c r="AA871" s="9">
        <v>25.775343328389187</v>
      </c>
      <c r="AB871" s="9">
        <v>27.866292679254457</v>
      </c>
      <c r="AC871" s="9">
        <v>27.866292679254457</v>
      </c>
      <c r="AD871" s="9">
        <v>31.93012744838439</v>
      </c>
      <c r="AE871" s="9">
        <v>34.043682702868942</v>
      </c>
      <c r="AF871" s="9">
        <v>36.2561115580978</v>
      </c>
      <c r="AG871" s="9">
        <v>36.2561115580978</v>
      </c>
      <c r="AH871" s="9">
        <v>39.68435845151825</v>
      </c>
      <c r="AI871" s="9">
        <v>42.41487012813608</v>
      </c>
      <c r="AJ871" s="9">
        <v>3.0428788910505911</v>
      </c>
    </row>
    <row r="872" spans="1:36" x14ac:dyDescent="0.25">
      <c r="A872" t="s">
        <v>5411</v>
      </c>
      <c r="B872" t="s">
        <v>16</v>
      </c>
      <c r="C872" t="s">
        <v>17</v>
      </c>
      <c r="D872">
        <v>28391000</v>
      </c>
      <c r="E872">
        <v>28397999</v>
      </c>
      <c r="F872" t="s">
        <v>730</v>
      </c>
      <c r="G872" t="str">
        <f t="shared" si="26"/>
        <v>RJI II</v>
      </c>
      <c r="H872" t="s">
        <v>663</v>
      </c>
      <c r="I872" t="s">
        <v>20</v>
      </c>
      <c r="J872" t="s">
        <v>64</v>
      </c>
      <c r="K872" s="6">
        <v>0.03</v>
      </c>
      <c r="L872" s="7">
        <f t="shared" si="27"/>
        <v>2E-3</v>
      </c>
      <c r="M872" s="7">
        <v>3.0000000000000001E-3</v>
      </c>
      <c r="N872">
        <v>9</v>
      </c>
      <c r="O872" s="8">
        <v>19.191626852122567</v>
      </c>
      <c r="P872" s="9">
        <v>19.191626852122567</v>
      </c>
      <c r="Q872" s="9">
        <v>19.191626852122567</v>
      </c>
      <c r="R872" s="9">
        <v>19.642928460363855</v>
      </c>
      <c r="S872" s="9">
        <v>19.262254068797603</v>
      </c>
      <c r="T872" s="9">
        <v>20.002437846806995</v>
      </c>
      <c r="U872" s="9">
        <v>22.129401407702662</v>
      </c>
      <c r="V872" s="9">
        <v>22.129401407702662</v>
      </c>
      <c r="W872" s="9">
        <v>22.129401407702662</v>
      </c>
      <c r="X872" s="9">
        <v>23.753502845598582</v>
      </c>
      <c r="Y872" s="9">
        <v>23.753502845598582</v>
      </c>
      <c r="Z872" s="9">
        <v>25.775343328389187</v>
      </c>
      <c r="AA872" s="9">
        <v>25.775343328389187</v>
      </c>
      <c r="AB872" s="9">
        <v>27.866292679254457</v>
      </c>
      <c r="AC872" s="9">
        <v>27.866292679254457</v>
      </c>
      <c r="AD872" s="9">
        <v>31.93012744838439</v>
      </c>
      <c r="AE872" s="9">
        <v>34.043682702868942</v>
      </c>
      <c r="AF872" s="9">
        <v>36.2561115580978</v>
      </c>
      <c r="AG872" s="9">
        <v>36.2561115580978</v>
      </c>
      <c r="AH872" s="9">
        <v>39.68435845151825</v>
      </c>
      <c r="AI872" s="9">
        <v>42.41487012813608</v>
      </c>
      <c r="AJ872" s="9">
        <v>3.0428788910505911</v>
      </c>
    </row>
    <row r="873" spans="1:36" x14ac:dyDescent="0.25">
      <c r="A873" t="s">
        <v>5411</v>
      </c>
      <c r="B873" t="s">
        <v>16</v>
      </c>
      <c r="C873" t="s">
        <v>17</v>
      </c>
      <c r="D873">
        <v>28398000</v>
      </c>
      <c r="E873">
        <v>28399999</v>
      </c>
      <c r="F873" t="s">
        <v>730</v>
      </c>
      <c r="G873" t="str">
        <f t="shared" si="26"/>
        <v>RJI II</v>
      </c>
      <c r="H873" t="s">
        <v>663</v>
      </c>
      <c r="I873" t="s">
        <v>20</v>
      </c>
      <c r="J873" t="s">
        <v>64</v>
      </c>
      <c r="K873" s="6">
        <v>0.03</v>
      </c>
      <c r="L873" s="7">
        <f t="shared" si="27"/>
        <v>2E-3</v>
      </c>
      <c r="M873" s="7">
        <v>3.0000000000000001E-3</v>
      </c>
      <c r="N873">
        <v>9</v>
      </c>
      <c r="O873" s="8">
        <v>19.191626852122567</v>
      </c>
      <c r="P873" s="9">
        <v>19.191626852122567</v>
      </c>
      <c r="Q873" s="9">
        <v>19.191626852122567</v>
      </c>
      <c r="R873" s="9">
        <v>19.642928460363855</v>
      </c>
      <c r="S873" s="9">
        <v>19.262254068797603</v>
      </c>
      <c r="T873" s="9">
        <v>20.002437846806995</v>
      </c>
      <c r="U873" s="9">
        <v>22.129401407702662</v>
      </c>
      <c r="V873" s="9">
        <v>22.129401407702662</v>
      </c>
      <c r="W873" s="9">
        <v>22.129401407702662</v>
      </c>
      <c r="X873" s="9">
        <v>23.753502845598582</v>
      </c>
      <c r="Y873" s="9">
        <v>23.753502845598582</v>
      </c>
      <c r="Z873" s="9">
        <v>25.775343328389187</v>
      </c>
      <c r="AA873" s="9">
        <v>25.775343328389187</v>
      </c>
      <c r="AB873" s="9">
        <v>27.866292679254457</v>
      </c>
      <c r="AC873" s="9">
        <v>27.866292679254457</v>
      </c>
      <c r="AD873" s="9">
        <v>31.93012744838439</v>
      </c>
      <c r="AE873" s="9">
        <v>34.043682702868942</v>
      </c>
      <c r="AF873" s="9">
        <v>36.2561115580978</v>
      </c>
      <c r="AG873" s="9">
        <v>36.2561115580978</v>
      </c>
      <c r="AH873" s="9">
        <v>39.68435845151825</v>
      </c>
      <c r="AI873" s="9">
        <v>42.41487012813608</v>
      </c>
      <c r="AJ873" s="9">
        <v>3.0428788910505911</v>
      </c>
    </row>
    <row r="874" spans="1:36" x14ac:dyDescent="0.25">
      <c r="A874" t="s">
        <v>5411</v>
      </c>
      <c r="B874" t="s">
        <v>16</v>
      </c>
      <c r="C874" t="s">
        <v>17</v>
      </c>
      <c r="D874">
        <v>28400000</v>
      </c>
      <c r="E874">
        <v>28400999</v>
      </c>
      <c r="F874" t="s">
        <v>731</v>
      </c>
      <c r="G874" t="str">
        <f t="shared" si="26"/>
        <v>RJI</v>
      </c>
      <c r="H874" t="s">
        <v>663</v>
      </c>
      <c r="I874" t="s">
        <v>20</v>
      </c>
      <c r="J874" t="s">
        <v>62</v>
      </c>
      <c r="K874" s="6">
        <v>0.03</v>
      </c>
      <c r="L874" s="7">
        <f t="shared" si="27"/>
        <v>2E-3</v>
      </c>
      <c r="M874" s="7">
        <v>3.0000000000000001E-3</v>
      </c>
      <c r="N874">
        <v>9</v>
      </c>
      <c r="O874" s="8">
        <v>15.267633692923473</v>
      </c>
      <c r="P874" s="9">
        <v>15.267633692923473</v>
      </c>
      <c r="Q874" s="9">
        <v>15.267633692923473</v>
      </c>
      <c r="R874" s="9">
        <v>15.455820801950338</v>
      </c>
      <c r="S874" s="9">
        <v>15.721645950324477</v>
      </c>
      <c r="T874" s="9">
        <v>16.739439286239044</v>
      </c>
      <c r="U874" s="9">
        <v>18.882065020469135</v>
      </c>
      <c r="V874" s="9">
        <v>18.882065020469135</v>
      </c>
      <c r="W874" s="9">
        <v>18.882065020469135</v>
      </c>
      <c r="X874" s="9">
        <v>20.560260982458932</v>
      </c>
      <c r="Y874" s="9">
        <v>20.560260982458932</v>
      </c>
      <c r="Z874" s="9">
        <v>22.671148936966464</v>
      </c>
      <c r="AA874" s="9">
        <v>22.671148936966464</v>
      </c>
      <c r="AB874" s="9">
        <v>24.988647885599047</v>
      </c>
      <c r="AC874" s="9">
        <v>24.988647885599047</v>
      </c>
      <c r="AD874" s="9">
        <v>27.429334733487696</v>
      </c>
      <c r="AE874" s="9">
        <v>30.009055056381616</v>
      </c>
      <c r="AF874" s="9">
        <v>34.85116305716884</v>
      </c>
      <c r="AG874" s="9">
        <v>34.85116305716884</v>
      </c>
      <c r="AH874" s="9">
        <v>37.75822329541549</v>
      </c>
      <c r="AI874" s="9">
        <v>40.581849370377171</v>
      </c>
      <c r="AJ874" s="9">
        <v>3.0428788910505911</v>
      </c>
    </row>
    <row r="875" spans="1:36" x14ac:dyDescent="0.25">
      <c r="A875" t="s">
        <v>5411</v>
      </c>
      <c r="B875" t="s">
        <v>16</v>
      </c>
      <c r="C875" t="s">
        <v>17</v>
      </c>
      <c r="D875">
        <v>28401000</v>
      </c>
      <c r="E875">
        <v>28429999</v>
      </c>
      <c r="F875" t="s">
        <v>732</v>
      </c>
      <c r="G875" t="str">
        <f t="shared" si="26"/>
        <v>RJI II</v>
      </c>
      <c r="H875" t="s">
        <v>663</v>
      </c>
      <c r="I875" t="s">
        <v>20</v>
      </c>
      <c r="J875" t="s">
        <v>64</v>
      </c>
      <c r="K875" s="6">
        <v>0.03</v>
      </c>
      <c r="L875" s="7">
        <f t="shared" si="27"/>
        <v>2E-3</v>
      </c>
      <c r="M875" s="7">
        <v>3.0000000000000001E-3</v>
      </c>
      <c r="N875">
        <v>9</v>
      </c>
      <c r="O875" s="8">
        <v>19.191626852122567</v>
      </c>
      <c r="P875" s="9">
        <v>19.191626852122567</v>
      </c>
      <c r="Q875" s="9">
        <v>19.191626852122567</v>
      </c>
      <c r="R875" s="9">
        <v>19.642928460363855</v>
      </c>
      <c r="S875" s="9">
        <v>19.262254068797603</v>
      </c>
      <c r="T875" s="9">
        <v>20.002437846806995</v>
      </c>
      <c r="U875" s="9">
        <v>22.129401407702662</v>
      </c>
      <c r="V875" s="9">
        <v>22.129401407702662</v>
      </c>
      <c r="W875" s="9">
        <v>22.129401407702662</v>
      </c>
      <c r="X875" s="9">
        <v>23.753502845598582</v>
      </c>
      <c r="Y875" s="9">
        <v>23.753502845598582</v>
      </c>
      <c r="Z875" s="9">
        <v>25.775343328389187</v>
      </c>
      <c r="AA875" s="9">
        <v>25.775343328389187</v>
      </c>
      <c r="AB875" s="9">
        <v>27.866292679254457</v>
      </c>
      <c r="AC875" s="9">
        <v>27.866292679254457</v>
      </c>
      <c r="AD875" s="9">
        <v>31.93012744838439</v>
      </c>
      <c r="AE875" s="9">
        <v>34.043682702868942</v>
      </c>
      <c r="AF875" s="9">
        <v>36.2561115580978</v>
      </c>
      <c r="AG875" s="9">
        <v>36.2561115580978</v>
      </c>
      <c r="AH875" s="9">
        <v>39.68435845151825</v>
      </c>
      <c r="AI875" s="9">
        <v>42.41487012813608</v>
      </c>
      <c r="AJ875" s="9">
        <v>3.0428788910505911</v>
      </c>
    </row>
    <row r="876" spans="1:36" x14ac:dyDescent="0.25">
      <c r="A876" t="s">
        <v>5411</v>
      </c>
      <c r="B876" t="s">
        <v>16</v>
      </c>
      <c r="C876" t="s">
        <v>17</v>
      </c>
      <c r="D876">
        <v>28430000</v>
      </c>
      <c r="E876">
        <v>28430999</v>
      </c>
      <c r="F876" t="s">
        <v>733</v>
      </c>
      <c r="G876" t="str">
        <f t="shared" si="26"/>
        <v>RJI</v>
      </c>
      <c r="H876" t="s">
        <v>663</v>
      </c>
      <c r="I876" t="s">
        <v>20</v>
      </c>
      <c r="J876" t="s">
        <v>62</v>
      </c>
      <c r="K876" s="6">
        <v>0.03</v>
      </c>
      <c r="L876" s="7">
        <f t="shared" si="27"/>
        <v>2E-3</v>
      </c>
      <c r="M876" s="7">
        <v>3.0000000000000001E-3</v>
      </c>
      <c r="N876">
        <v>9</v>
      </c>
      <c r="O876" s="8">
        <v>15.267633692923473</v>
      </c>
      <c r="P876" s="9">
        <v>15.267633692923473</v>
      </c>
      <c r="Q876" s="9">
        <v>15.267633692923473</v>
      </c>
      <c r="R876" s="9">
        <v>15.455820801950338</v>
      </c>
      <c r="S876" s="9">
        <v>15.721645950324477</v>
      </c>
      <c r="T876" s="9">
        <v>16.739439286239044</v>
      </c>
      <c r="U876" s="9">
        <v>18.882065020469135</v>
      </c>
      <c r="V876" s="9">
        <v>18.882065020469135</v>
      </c>
      <c r="W876" s="9">
        <v>18.882065020469135</v>
      </c>
      <c r="X876" s="9">
        <v>20.560260982458932</v>
      </c>
      <c r="Y876" s="9">
        <v>20.560260982458932</v>
      </c>
      <c r="Z876" s="9">
        <v>22.671148936966464</v>
      </c>
      <c r="AA876" s="9">
        <v>22.671148936966464</v>
      </c>
      <c r="AB876" s="9">
        <v>24.988647885599047</v>
      </c>
      <c r="AC876" s="9">
        <v>24.988647885599047</v>
      </c>
      <c r="AD876" s="9">
        <v>27.429334733487696</v>
      </c>
      <c r="AE876" s="9">
        <v>30.009055056381616</v>
      </c>
      <c r="AF876" s="9">
        <v>34.85116305716884</v>
      </c>
      <c r="AG876" s="9">
        <v>34.85116305716884</v>
      </c>
      <c r="AH876" s="9">
        <v>37.75822329541549</v>
      </c>
      <c r="AI876" s="9">
        <v>40.581849370377171</v>
      </c>
      <c r="AJ876" s="9">
        <v>3.0428788910505911</v>
      </c>
    </row>
    <row r="877" spans="1:36" x14ac:dyDescent="0.25">
      <c r="A877" t="s">
        <v>5411</v>
      </c>
      <c r="B877" t="s">
        <v>16</v>
      </c>
      <c r="C877" t="s">
        <v>17</v>
      </c>
      <c r="D877">
        <v>28431000</v>
      </c>
      <c r="E877">
        <v>28454999</v>
      </c>
      <c r="F877" t="s">
        <v>734</v>
      </c>
      <c r="G877" t="str">
        <f t="shared" si="26"/>
        <v>RJI II</v>
      </c>
      <c r="H877" t="s">
        <v>663</v>
      </c>
      <c r="I877" t="s">
        <v>20</v>
      </c>
      <c r="J877" t="s">
        <v>64</v>
      </c>
      <c r="K877" s="6">
        <v>0.03</v>
      </c>
      <c r="L877" s="7">
        <f t="shared" si="27"/>
        <v>2E-3</v>
      </c>
      <c r="M877" s="7">
        <v>3.0000000000000001E-3</v>
      </c>
      <c r="N877">
        <v>9</v>
      </c>
      <c r="O877" s="8">
        <v>19.191626852122567</v>
      </c>
      <c r="P877" s="9">
        <v>19.191626852122567</v>
      </c>
      <c r="Q877" s="9">
        <v>19.191626852122567</v>
      </c>
      <c r="R877" s="9">
        <v>19.642928460363855</v>
      </c>
      <c r="S877" s="9">
        <v>19.262254068797603</v>
      </c>
      <c r="T877" s="9">
        <v>20.002437846806995</v>
      </c>
      <c r="U877" s="9">
        <v>22.129401407702662</v>
      </c>
      <c r="V877" s="9">
        <v>22.129401407702662</v>
      </c>
      <c r="W877" s="9">
        <v>22.129401407702662</v>
      </c>
      <c r="X877" s="9">
        <v>23.753502845598582</v>
      </c>
      <c r="Y877" s="9">
        <v>23.753502845598582</v>
      </c>
      <c r="Z877" s="9">
        <v>25.775343328389187</v>
      </c>
      <c r="AA877" s="9">
        <v>25.775343328389187</v>
      </c>
      <c r="AB877" s="9">
        <v>27.866292679254457</v>
      </c>
      <c r="AC877" s="9">
        <v>27.866292679254457</v>
      </c>
      <c r="AD877" s="9">
        <v>31.93012744838439</v>
      </c>
      <c r="AE877" s="9">
        <v>34.043682702868942</v>
      </c>
      <c r="AF877" s="9">
        <v>36.2561115580978</v>
      </c>
      <c r="AG877" s="9">
        <v>36.2561115580978</v>
      </c>
      <c r="AH877" s="9">
        <v>39.68435845151825</v>
      </c>
      <c r="AI877" s="9">
        <v>42.41487012813608</v>
      </c>
      <c r="AJ877" s="9">
        <v>3.0428788910505911</v>
      </c>
    </row>
    <row r="878" spans="1:36" x14ac:dyDescent="0.25">
      <c r="A878" t="s">
        <v>5411</v>
      </c>
      <c r="B878" t="s">
        <v>16</v>
      </c>
      <c r="C878" t="s">
        <v>17</v>
      </c>
      <c r="D878">
        <v>28455000</v>
      </c>
      <c r="E878">
        <v>28455999</v>
      </c>
      <c r="F878" t="s">
        <v>735</v>
      </c>
      <c r="G878" t="str">
        <f t="shared" si="26"/>
        <v>RJI</v>
      </c>
      <c r="H878" t="s">
        <v>663</v>
      </c>
      <c r="I878" t="s">
        <v>20</v>
      </c>
      <c r="J878" t="s">
        <v>62</v>
      </c>
      <c r="K878" s="6">
        <v>0.03</v>
      </c>
      <c r="L878" s="7">
        <f t="shared" si="27"/>
        <v>2E-3</v>
      </c>
      <c r="M878" s="7">
        <v>3.0000000000000001E-3</v>
      </c>
      <c r="N878">
        <v>9</v>
      </c>
      <c r="O878" s="8">
        <v>15.267633692923473</v>
      </c>
      <c r="P878" s="9">
        <v>15.267633692923473</v>
      </c>
      <c r="Q878" s="9">
        <v>15.267633692923473</v>
      </c>
      <c r="R878" s="9">
        <v>15.455820801950338</v>
      </c>
      <c r="S878" s="9">
        <v>15.721645950324477</v>
      </c>
      <c r="T878" s="9">
        <v>16.739439286239044</v>
      </c>
      <c r="U878" s="9">
        <v>18.882065020469135</v>
      </c>
      <c r="V878" s="9">
        <v>18.882065020469135</v>
      </c>
      <c r="W878" s="9">
        <v>18.882065020469135</v>
      </c>
      <c r="X878" s="9">
        <v>20.560260982458932</v>
      </c>
      <c r="Y878" s="9">
        <v>20.560260982458932</v>
      </c>
      <c r="Z878" s="9">
        <v>22.671148936966464</v>
      </c>
      <c r="AA878" s="9">
        <v>22.671148936966464</v>
      </c>
      <c r="AB878" s="9">
        <v>24.988647885599047</v>
      </c>
      <c r="AC878" s="9">
        <v>24.988647885599047</v>
      </c>
      <c r="AD878" s="9">
        <v>27.429334733487696</v>
      </c>
      <c r="AE878" s="9">
        <v>30.009055056381616</v>
      </c>
      <c r="AF878" s="9">
        <v>34.85116305716884</v>
      </c>
      <c r="AG878" s="9">
        <v>34.85116305716884</v>
      </c>
      <c r="AH878" s="9">
        <v>37.75822329541549</v>
      </c>
      <c r="AI878" s="9">
        <v>40.581849370377171</v>
      </c>
      <c r="AJ878" s="9">
        <v>3.0428788910505911</v>
      </c>
    </row>
    <row r="879" spans="1:36" x14ac:dyDescent="0.25">
      <c r="A879" t="s">
        <v>5411</v>
      </c>
      <c r="B879" t="s">
        <v>16</v>
      </c>
      <c r="C879" t="s">
        <v>17</v>
      </c>
      <c r="D879">
        <v>28456000</v>
      </c>
      <c r="E879">
        <v>28469999</v>
      </c>
      <c r="F879" t="s">
        <v>736</v>
      </c>
      <c r="G879" t="str">
        <f t="shared" si="26"/>
        <v>RJI II</v>
      </c>
      <c r="H879" t="s">
        <v>663</v>
      </c>
      <c r="I879" t="s">
        <v>22</v>
      </c>
      <c r="J879" t="s">
        <v>64</v>
      </c>
      <c r="K879" s="6">
        <v>0.03</v>
      </c>
      <c r="L879" s="7">
        <f t="shared" si="27"/>
        <v>0.03</v>
      </c>
      <c r="M879" s="7">
        <v>3.0000000000000001E-3</v>
      </c>
      <c r="N879">
        <v>9</v>
      </c>
      <c r="O879" s="8">
        <v>19.191626852122567</v>
      </c>
      <c r="P879" s="9">
        <v>19.191626852122567</v>
      </c>
      <c r="Q879" s="9">
        <v>19.191626852122567</v>
      </c>
      <c r="R879" s="9">
        <v>19.642928460363855</v>
      </c>
      <c r="S879" s="9">
        <v>19.262254068797603</v>
      </c>
      <c r="T879" s="9">
        <v>20.002437846806995</v>
      </c>
      <c r="U879" s="9">
        <v>22.129401407702662</v>
      </c>
      <c r="V879" s="9">
        <v>22.129401407702662</v>
      </c>
      <c r="W879" s="9">
        <v>22.129401407702662</v>
      </c>
      <c r="X879" s="9">
        <v>23.753502845598582</v>
      </c>
      <c r="Y879" s="9">
        <v>23.753502845598582</v>
      </c>
      <c r="Z879" s="9">
        <v>25.775343328389187</v>
      </c>
      <c r="AA879" s="9">
        <v>25.775343328389187</v>
      </c>
      <c r="AB879" s="9">
        <v>27.866292679254457</v>
      </c>
      <c r="AC879" s="9">
        <v>27.866292679254457</v>
      </c>
      <c r="AD879" s="9">
        <v>31.93012744838439</v>
      </c>
      <c r="AE879" s="9">
        <v>34.043682702868942</v>
      </c>
      <c r="AF879" s="9">
        <v>36.2561115580978</v>
      </c>
      <c r="AG879" s="9">
        <v>36.2561115580978</v>
      </c>
      <c r="AH879" s="9">
        <v>39.68435845151825</v>
      </c>
      <c r="AI879" s="9">
        <v>42.41487012813608</v>
      </c>
      <c r="AJ879" s="9">
        <v>3.0428788910505911</v>
      </c>
    </row>
    <row r="880" spans="1:36" x14ac:dyDescent="0.25">
      <c r="A880" t="s">
        <v>5411</v>
      </c>
      <c r="B880" t="s">
        <v>16</v>
      </c>
      <c r="C880" t="s">
        <v>17</v>
      </c>
      <c r="D880">
        <v>28470000</v>
      </c>
      <c r="E880">
        <v>28470999</v>
      </c>
      <c r="F880" t="s">
        <v>737</v>
      </c>
      <c r="G880" t="str">
        <f t="shared" si="26"/>
        <v>RJI</v>
      </c>
      <c r="H880" t="s">
        <v>663</v>
      </c>
      <c r="I880" t="s">
        <v>20</v>
      </c>
      <c r="J880" t="s">
        <v>62</v>
      </c>
      <c r="K880" s="6">
        <v>0.03</v>
      </c>
      <c r="L880" s="7">
        <f t="shared" si="27"/>
        <v>2E-3</v>
      </c>
      <c r="M880" s="7">
        <v>3.0000000000000001E-3</v>
      </c>
      <c r="N880">
        <v>9</v>
      </c>
      <c r="O880" s="8">
        <v>15.267633692923473</v>
      </c>
      <c r="P880" s="9">
        <v>15.267633692923473</v>
      </c>
      <c r="Q880" s="9">
        <v>15.267633692923473</v>
      </c>
      <c r="R880" s="9">
        <v>15.455820801950338</v>
      </c>
      <c r="S880" s="9">
        <v>15.721645950324477</v>
      </c>
      <c r="T880" s="9">
        <v>16.739439286239044</v>
      </c>
      <c r="U880" s="9">
        <v>18.882065020469135</v>
      </c>
      <c r="V880" s="9">
        <v>18.882065020469135</v>
      </c>
      <c r="W880" s="9">
        <v>18.882065020469135</v>
      </c>
      <c r="X880" s="9">
        <v>20.560260982458932</v>
      </c>
      <c r="Y880" s="9">
        <v>20.560260982458932</v>
      </c>
      <c r="Z880" s="9">
        <v>22.671148936966464</v>
      </c>
      <c r="AA880" s="9">
        <v>22.671148936966464</v>
      </c>
      <c r="AB880" s="9">
        <v>24.988647885599047</v>
      </c>
      <c r="AC880" s="9">
        <v>24.988647885599047</v>
      </c>
      <c r="AD880" s="9">
        <v>27.429334733487696</v>
      </c>
      <c r="AE880" s="9">
        <v>30.009055056381616</v>
      </c>
      <c r="AF880" s="9">
        <v>34.85116305716884</v>
      </c>
      <c r="AG880" s="9">
        <v>34.85116305716884</v>
      </c>
      <c r="AH880" s="9">
        <v>37.75822329541549</v>
      </c>
      <c r="AI880" s="9">
        <v>40.581849370377171</v>
      </c>
      <c r="AJ880" s="9">
        <v>3.0428788910505911</v>
      </c>
    </row>
    <row r="881" spans="1:36" x14ac:dyDescent="0.25">
      <c r="A881" t="s">
        <v>5411</v>
      </c>
      <c r="B881" t="s">
        <v>16</v>
      </c>
      <c r="C881" t="s">
        <v>17</v>
      </c>
      <c r="D881">
        <v>28471000</v>
      </c>
      <c r="E881">
        <v>28489999</v>
      </c>
      <c r="F881" t="s">
        <v>738</v>
      </c>
      <c r="G881" t="str">
        <f t="shared" si="26"/>
        <v>RJI</v>
      </c>
      <c r="H881" t="s">
        <v>663</v>
      </c>
      <c r="I881" t="s">
        <v>20</v>
      </c>
      <c r="J881" t="s">
        <v>62</v>
      </c>
      <c r="K881" s="6">
        <v>0.03</v>
      </c>
      <c r="L881" s="7">
        <f t="shared" si="27"/>
        <v>2E-3</v>
      </c>
      <c r="M881" s="7">
        <v>3.0000000000000001E-3</v>
      </c>
      <c r="N881">
        <v>9</v>
      </c>
      <c r="O881" s="8">
        <v>15.267633692923473</v>
      </c>
      <c r="P881" s="9">
        <v>15.267633692923473</v>
      </c>
      <c r="Q881" s="9">
        <v>15.267633692923473</v>
      </c>
      <c r="R881" s="9">
        <v>15.455820801950338</v>
      </c>
      <c r="S881" s="9">
        <v>15.721645950324477</v>
      </c>
      <c r="T881" s="9">
        <v>16.739439286239044</v>
      </c>
      <c r="U881" s="9">
        <v>18.882065020469135</v>
      </c>
      <c r="V881" s="9">
        <v>18.882065020469135</v>
      </c>
      <c r="W881" s="9">
        <v>18.882065020469135</v>
      </c>
      <c r="X881" s="9">
        <v>20.560260982458932</v>
      </c>
      <c r="Y881" s="9">
        <v>20.560260982458932</v>
      </c>
      <c r="Z881" s="9">
        <v>22.671148936966464</v>
      </c>
      <c r="AA881" s="9">
        <v>22.671148936966464</v>
      </c>
      <c r="AB881" s="9">
        <v>24.988647885599047</v>
      </c>
      <c r="AC881" s="9">
        <v>24.988647885599047</v>
      </c>
      <c r="AD881" s="9">
        <v>27.429334733487696</v>
      </c>
      <c r="AE881" s="9">
        <v>30.009055056381616</v>
      </c>
      <c r="AF881" s="9">
        <v>34.85116305716884</v>
      </c>
      <c r="AG881" s="9">
        <v>34.85116305716884</v>
      </c>
      <c r="AH881" s="9">
        <v>37.75822329541549</v>
      </c>
      <c r="AI881" s="9">
        <v>40.581849370377171</v>
      </c>
      <c r="AJ881" s="9">
        <v>3.0428788910505911</v>
      </c>
    </row>
    <row r="882" spans="1:36" x14ac:dyDescent="0.25">
      <c r="A882" t="s">
        <v>5411</v>
      </c>
      <c r="B882" t="s">
        <v>16</v>
      </c>
      <c r="C882" t="s">
        <v>17</v>
      </c>
      <c r="D882">
        <v>28490000</v>
      </c>
      <c r="E882">
        <v>28494999</v>
      </c>
      <c r="F882" t="s">
        <v>738</v>
      </c>
      <c r="G882" t="str">
        <f t="shared" si="26"/>
        <v>RJI</v>
      </c>
      <c r="H882" t="s">
        <v>663</v>
      </c>
      <c r="I882" t="s">
        <v>20</v>
      </c>
      <c r="J882" t="s">
        <v>62</v>
      </c>
      <c r="K882" s="6">
        <v>0.03</v>
      </c>
      <c r="L882" s="7">
        <f t="shared" si="27"/>
        <v>2E-3</v>
      </c>
      <c r="M882" s="7">
        <v>3.0000000000000001E-3</v>
      </c>
      <c r="N882">
        <v>9</v>
      </c>
      <c r="O882" s="8">
        <v>15.267633692923473</v>
      </c>
      <c r="P882" s="9">
        <v>15.267633692923473</v>
      </c>
      <c r="Q882" s="9">
        <v>15.267633692923473</v>
      </c>
      <c r="R882" s="9">
        <v>15.455820801950338</v>
      </c>
      <c r="S882" s="9">
        <v>15.721645950324477</v>
      </c>
      <c r="T882" s="9">
        <v>16.739439286239044</v>
      </c>
      <c r="U882" s="9">
        <v>18.882065020469135</v>
      </c>
      <c r="V882" s="9">
        <v>18.882065020469135</v>
      </c>
      <c r="W882" s="9">
        <v>18.882065020469135</v>
      </c>
      <c r="X882" s="9">
        <v>20.560260982458932</v>
      </c>
      <c r="Y882" s="9">
        <v>20.560260982458932</v>
      </c>
      <c r="Z882" s="9">
        <v>22.671148936966464</v>
      </c>
      <c r="AA882" s="9">
        <v>22.671148936966464</v>
      </c>
      <c r="AB882" s="9">
        <v>24.988647885599047</v>
      </c>
      <c r="AC882" s="9">
        <v>24.988647885599047</v>
      </c>
      <c r="AD882" s="9">
        <v>27.429334733487696</v>
      </c>
      <c r="AE882" s="9">
        <v>30.009055056381616</v>
      </c>
      <c r="AF882" s="9">
        <v>34.85116305716884</v>
      </c>
      <c r="AG882" s="9">
        <v>34.85116305716884</v>
      </c>
      <c r="AH882" s="9">
        <v>37.75822329541549</v>
      </c>
      <c r="AI882" s="9">
        <v>40.581849370377171</v>
      </c>
      <c r="AJ882" s="9">
        <v>3.0428788910505911</v>
      </c>
    </row>
    <row r="883" spans="1:36" x14ac:dyDescent="0.25">
      <c r="A883" t="s">
        <v>5411</v>
      </c>
      <c r="B883" t="s">
        <v>16</v>
      </c>
      <c r="C883" t="s">
        <v>17</v>
      </c>
      <c r="D883">
        <v>28495000</v>
      </c>
      <c r="E883">
        <v>28495999</v>
      </c>
      <c r="F883" t="s">
        <v>739</v>
      </c>
      <c r="G883" t="str">
        <f t="shared" si="26"/>
        <v>RJI</v>
      </c>
      <c r="H883" t="s">
        <v>663</v>
      </c>
      <c r="I883" t="s">
        <v>20</v>
      </c>
      <c r="J883" t="s">
        <v>62</v>
      </c>
      <c r="K883" s="6">
        <v>0.03</v>
      </c>
      <c r="L883" s="7">
        <f t="shared" si="27"/>
        <v>2E-3</v>
      </c>
      <c r="M883" s="7">
        <v>3.0000000000000001E-3</v>
      </c>
      <c r="N883">
        <v>9</v>
      </c>
      <c r="O883" s="8">
        <v>15.267633692923473</v>
      </c>
      <c r="P883" s="9">
        <v>15.267633692923473</v>
      </c>
      <c r="Q883" s="9">
        <v>15.267633692923473</v>
      </c>
      <c r="R883" s="9">
        <v>15.455820801950338</v>
      </c>
      <c r="S883" s="9">
        <v>15.721645950324477</v>
      </c>
      <c r="T883" s="9">
        <v>16.739439286239044</v>
      </c>
      <c r="U883" s="9">
        <v>18.882065020469135</v>
      </c>
      <c r="V883" s="9">
        <v>18.882065020469135</v>
      </c>
      <c r="W883" s="9">
        <v>18.882065020469135</v>
      </c>
      <c r="X883" s="9">
        <v>20.560260982458932</v>
      </c>
      <c r="Y883" s="9">
        <v>20.560260982458932</v>
      </c>
      <c r="Z883" s="9">
        <v>22.671148936966464</v>
      </c>
      <c r="AA883" s="9">
        <v>22.671148936966464</v>
      </c>
      <c r="AB883" s="9">
        <v>24.988647885599047</v>
      </c>
      <c r="AC883" s="9">
        <v>24.988647885599047</v>
      </c>
      <c r="AD883" s="9">
        <v>27.429334733487696</v>
      </c>
      <c r="AE883" s="9">
        <v>30.009055056381616</v>
      </c>
      <c r="AF883" s="9">
        <v>34.85116305716884</v>
      </c>
      <c r="AG883" s="9">
        <v>34.85116305716884</v>
      </c>
      <c r="AH883" s="9">
        <v>37.75822329541549</v>
      </c>
      <c r="AI883" s="9">
        <v>40.581849370377171</v>
      </c>
      <c r="AJ883" s="9">
        <v>3.0428788910505911</v>
      </c>
    </row>
    <row r="884" spans="1:36" x14ac:dyDescent="0.25">
      <c r="A884" t="s">
        <v>5411</v>
      </c>
      <c r="B884" t="s">
        <v>16</v>
      </c>
      <c r="C884" t="s">
        <v>17</v>
      </c>
      <c r="D884">
        <v>28496000</v>
      </c>
      <c r="E884">
        <v>28539999</v>
      </c>
      <c r="F884" t="s">
        <v>740</v>
      </c>
      <c r="G884" t="str">
        <f t="shared" si="26"/>
        <v>RJI II</v>
      </c>
      <c r="H884" t="s">
        <v>663</v>
      </c>
      <c r="I884" t="s">
        <v>22</v>
      </c>
      <c r="J884" t="s">
        <v>64</v>
      </c>
      <c r="K884" s="6">
        <v>0.03</v>
      </c>
      <c r="L884" s="7">
        <f t="shared" si="27"/>
        <v>0.03</v>
      </c>
      <c r="M884" s="7">
        <v>3.0000000000000001E-3</v>
      </c>
      <c r="N884">
        <v>8</v>
      </c>
      <c r="O884" s="8">
        <v>19.191626852122567</v>
      </c>
      <c r="P884" s="9">
        <v>19.191626852122567</v>
      </c>
      <c r="Q884" s="9">
        <v>19.191626852122567</v>
      </c>
      <c r="R884" s="9">
        <v>19.642928460363855</v>
      </c>
      <c r="S884" s="9">
        <v>19.262254068797603</v>
      </c>
      <c r="T884" s="9">
        <v>20.002437846806995</v>
      </c>
      <c r="U884" s="9">
        <v>22.129401407702662</v>
      </c>
      <c r="V884" s="9">
        <v>22.129401407702662</v>
      </c>
      <c r="W884" s="9">
        <v>22.129401407702662</v>
      </c>
      <c r="X884" s="9">
        <v>23.753502845598582</v>
      </c>
      <c r="Y884" s="9">
        <v>23.753502845598582</v>
      </c>
      <c r="Z884" s="9">
        <v>25.775343328389187</v>
      </c>
      <c r="AA884" s="9">
        <v>25.775343328389187</v>
      </c>
      <c r="AB884" s="9">
        <v>27.866292679254457</v>
      </c>
      <c r="AC884" s="9">
        <v>27.866292679254457</v>
      </c>
      <c r="AD884" s="9">
        <v>31.93012744838439</v>
      </c>
      <c r="AE884" s="9">
        <v>34.043682702868942</v>
      </c>
      <c r="AF884" s="9">
        <v>36.2561115580978</v>
      </c>
      <c r="AG884" s="9">
        <v>36.2561115580978</v>
      </c>
      <c r="AH884" s="9">
        <v>39.68435845151825</v>
      </c>
      <c r="AI884" s="9">
        <v>42.41487012813608</v>
      </c>
      <c r="AJ884" s="9">
        <v>3.0428788910505911</v>
      </c>
    </row>
    <row r="885" spans="1:36" x14ac:dyDescent="0.25">
      <c r="A885" t="s">
        <v>5411</v>
      </c>
      <c r="B885" t="s">
        <v>16</v>
      </c>
      <c r="C885" t="s">
        <v>17</v>
      </c>
      <c r="D885">
        <v>28540000</v>
      </c>
      <c r="E885">
        <v>28544999</v>
      </c>
      <c r="F885" t="s">
        <v>741</v>
      </c>
      <c r="G885" t="str">
        <f t="shared" si="26"/>
        <v>RJI</v>
      </c>
      <c r="H885" t="s">
        <v>663</v>
      </c>
      <c r="I885" t="s">
        <v>20</v>
      </c>
      <c r="J885" t="s">
        <v>62</v>
      </c>
      <c r="K885" s="6">
        <v>0.03</v>
      </c>
      <c r="L885" s="7">
        <f t="shared" si="27"/>
        <v>2E-3</v>
      </c>
      <c r="M885" s="7">
        <v>3.0000000000000001E-3</v>
      </c>
      <c r="N885">
        <v>8</v>
      </c>
      <c r="O885" s="8">
        <v>15.267633692923473</v>
      </c>
      <c r="P885" s="9">
        <v>15.267633692923473</v>
      </c>
      <c r="Q885" s="9">
        <v>15.267633692923473</v>
      </c>
      <c r="R885" s="9">
        <v>15.455820801950338</v>
      </c>
      <c r="S885" s="9">
        <v>15.721645950324477</v>
      </c>
      <c r="T885" s="9">
        <v>16.739439286239044</v>
      </c>
      <c r="U885" s="9">
        <v>18.882065020469135</v>
      </c>
      <c r="V885" s="9">
        <v>18.882065020469135</v>
      </c>
      <c r="W885" s="9">
        <v>18.882065020469135</v>
      </c>
      <c r="X885" s="9">
        <v>20.560260982458932</v>
      </c>
      <c r="Y885" s="9">
        <v>20.560260982458932</v>
      </c>
      <c r="Z885" s="9">
        <v>22.671148936966464</v>
      </c>
      <c r="AA885" s="9">
        <v>22.671148936966464</v>
      </c>
      <c r="AB885" s="9">
        <v>24.988647885599047</v>
      </c>
      <c r="AC885" s="9">
        <v>24.988647885599047</v>
      </c>
      <c r="AD885" s="9">
        <v>27.429334733487696</v>
      </c>
      <c r="AE885" s="9">
        <v>30.009055056381616</v>
      </c>
      <c r="AF885" s="9">
        <v>34.85116305716884</v>
      </c>
      <c r="AG885" s="9">
        <v>34.85116305716884</v>
      </c>
      <c r="AH885" s="9">
        <v>37.75822329541549</v>
      </c>
      <c r="AI885" s="9">
        <v>40.581849370377171</v>
      </c>
      <c r="AJ885" s="9">
        <v>3.0428788910505911</v>
      </c>
    </row>
    <row r="886" spans="1:36" x14ac:dyDescent="0.25">
      <c r="A886" t="s">
        <v>5411</v>
      </c>
      <c r="B886" t="s">
        <v>16</v>
      </c>
      <c r="C886" t="s">
        <v>17</v>
      </c>
      <c r="D886">
        <v>28545000</v>
      </c>
      <c r="E886">
        <v>28545999</v>
      </c>
      <c r="F886" t="s">
        <v>742</v>
      </c>
      <c r="G886" t="str">
        <f t="shared" si="26"/>
        <v>RJI</v>
      </c>
      <c r="H886" t="s">
        <v>663</v>
      </c>
      <c r="I886" t="s">
        <v>20</v>
      </c>
      <c r="J886" t="s">
        <v>62</v>
      </c>
      <c r="K886" s="6">
        <v>0.03</v>
      </c>
      <c r="L886" s="7">
        <f t="shared" si="27"/>
        <v>2E-3</v>
      </c>
      <c r="M886" s="7">
        <v>3.0000000000000001E-3</v>
      </c>
      <c r="N886">
        <v>8</v>
      </c>
      <c r="O886" s="8">
        <v>15.267633692923473</v>
      </c>
      <c r="P886" s="9">
        <v>15.267633692923473</v>
      </c>
      <c r="Q886" s="9">
        <v>15.267633692923473</v>
      </c>
      <c r="R886" s="9">
        <v>15.455820801950338</v>
      </c>
      <c r="S886" s="9">
        <v>15.721645950324477</v>
      </c>
      <c r="T886" s="9">
        <v>16.739439286239044</v>
      </c>
      <c r="U886" s="9">
        <v>18.882065020469135</v>
      </c>
      <c r="V886" s="9">
        <v>18.882065020469135</v>
      </c>
      <c r="W886" s="9">
        <v>18.882065020469135</v>
      </c>
      <c r="X886" s="9">
        <v>20.560260982458932</v>
      </c>
      <c r="Y886" s="9">
        <v>20.560260982458932</v>
      </c>
      <c r="Z886" s="9">
        <v>22.671148936966464</v>
      </c>
      <c r="AA886" s="9">
        <v>22.671148936966464</v>
      </c>
      <c r="AB886" s="9">
        <v>24.988647885599047</v>
      </c>
      <c r="AC886" s="9">
        <v>24.988647885599047</v>
      </c>
      <c r="AD886" s="9">
        <v>27.429334733487696</v>
      </c>
      <c r="AE886" s="9">
        <v>30.009055056381616</v>
      </c>
      <c r="AF886" s="9">
        <v>34.85116305716884</v>
      </c>
      <c r="AG886" s="9">
        <v>34.85116305716884</v>
      </c>
      <c r="AH886" s="9">
        <v>37.75822329541549</v>
      </c>
      <c r="AI886" s="9">
        <v>40.581849370377171</v>
      </c>
      <c r="AJ886" s="9">
        <v>3.0428788910505911</v>
      </c>
    </row>
    <row r="887" spans="1:36" x14ac:dyDescent="0.25">
      <c r="A887" t="s">
        <v>5411</v>
      </c>
      <c r="B887" t="s">
        <v>16</v>
      </c>
      <c r="C887" t="s">
        <v>17</v>
      </c>
      <c r="D887">
        <v>28546000</v>
      </c>
      <c r="E887">
        <v>28550999</v>
      </c>
      <c r="F887" t="s">
        <v>743</v>
      </c>
      <c r="G887" t="str">
        <f t="shared" si="26"/>
        <v>RJI II</v>
      </c>
      <c r="H887" t="s">
        <v>663</v>
      </c>
      <c r="I887" t="s">
        <v>22</v>
      </c>
      <c r="J887" t="s">
        <v>64</v>
      </c>
      <c r="K887" s="6">
        <v>0.03</v>
      </c>
      <c r="L887" s="7">
        <f t="shared" si="27"/>
        <v>0.03</v>
      </c>
      <c r="M887" s="7">
        <v>3.0000000000000001E-3</v>
      </c>
      <c r="N887">
        <v>9</v>
      </c>
      <c r="O887" s="8">
        <v>19.191626852122567</v>
      </c>
      <c r="P887" s="9">
        <v>19.191626852122567</v>
      </c>
      <c r="Q887" s="9">
        <v>19.191626852122567</v>
      </c>
      <c r="R887" s="9">
        <v>19.642928460363855</v>
      </c>
      <c r="S887" s="9">
        <v>19.262254068797603</v>
      </c>
      <c r="T887" s="9">
        <v>20.002437846806995</v>
      </c>
      <c r="U887" s="9">
        <v>22.129401407702662</v>
      </c>
      <c r="V887" s="9">
        <v>22.129401407702662</v>
      </c>
      <c r="W887" s="9">
        <v>22.129401407702662</v>
      </c>
      <c r="X887" s="9">
        <v>23.753502845598582</v>
      </c>
      <c r="Y887" s="9">
        <v>23.753502845598582</v>
      </c>
      <c r="Z887" s="9">
        <v>25.775343328389187</v>
      </c>
      <c r="AA887" s="9">
        <v>25.775343328389187</v>
      </c>
      <c r="AB887" s="9">
        <v>27.866292679254457</v>
      </c>
      <c r="AC887" s="9">
        <v>27.866292679254457</v>
      </c>
      <c r="AD887" s="9">
        <v>31.93012744838439</v>
      </c>
      <c r="AE887" s="9">
        <v>34.043682702868942</v>
      </c>
      <c r="AF887" s="9">
        <v>36.2561115580978</v>
      </c>
      <c r="AG887" s="9">
        <v>36.2561115580978</v>
      </c>
      <c r="AH887" s="9">
        <v>39.68435845151825</v>
      </c>
      <c r="AI887" s="9">
        <v>42.41487012813608</v>
      </c>
      <c r="AJ887" s="9">
        <v>3.0428788910505911</v>
      </c>
    </row>
    <row r="888" spans="1:36" x14ac:dyDescent="0.25">
      <c r="A888" t="s">
        <v>5411</v>
      </c>
      <c r="B888" t="s">
        <v>16</v>
      </c>
      <c r="C888" t="s">
        <v>17</v>
      </c>
      <c r="D888">
        <v>28551000</v>
      </c>
      <c r="E888">
        <v>28554999</v>
      </c>
      <c r="F888" t="s">
        <v>743</v>
      </c>
      <c r="G888" t="str">
        <f t="shared" si="26"/>
        <v>RJI II</v>
      </c>
      <c r="H888" t="s">
        <v>663</v>
      </c>
      <c r="I888" t="s">
        <v>20</v>
      </c>
      <c r="J888" t="s">
        <v>64</v>
      </c>
      <c r="K888" s="6">
        <v>0.03</v>
      </c>
      <c r="L888" s="7">
        <f t="shared" si="27"/>
        <v>2E-3</v>
      </c>
      <c r="M888" s="7">
        <v>3.0000000000000001E-3</v>
      </c>
      <c r="N888">
        <v>9</v>
      </c>
      <c r="O888" s="8">
        <v>19.191626852122567</v>
      </c>
      <c r="P888" s="9">
        <v>19.191626852122567</v>
      </c>
      <c r="Q888" s="9">
        <v>19.191626852122567</v>
      </c>
      <c r="R888" s="9">
        <v>19.642928460363855</v>
      </c>
      <c r="S888" s="9">
        <v>19.262254068797603</v>
      </c>
      <c r="T888" s="9">
        <v>20.002437846806995</v>
      </c>
      <c r="U888" s="9">
        <v>22.129401407702662</v>
      </c>
      <c r="V888" s="9">
        <v>22.129401407702662</v>
      </c>
      <c r="W888" s="9">
        <v>22.129401407702662</v>
      </c>
      <c r="X888" s="9">
        <v>23.753502845598582</v>
      </c>
      <c r="Y888" s="9">
        <v>23.753502845598582</v>
      </c>
      <c r="Z888" s="9">
        <v>25.775343328389187</v>
      </c>
      <c r="AA888" s="9">
        <v>25.775343328389187</v>
      </c>
      <c r="AB888" s="9">
        <v>27.866292679254457</v>
      </c>
      <c r="AC888" s="9">
        <v>27.866292679254457</v>
      </c>
      <c r="AD888" s="9">
        <v>31.93012744838439</v>
      </c>
      <c r="AE888" s="9">
        <v>34.043682702868942</v>
      </c>
      <c r="AF888" s="9">
        <v>36.2561115580978</v>
      </c>
      <c r="AG888" s="9">
        <v>36.2561115580978</v>
      </c>
      <c r="AH888" s="9">
        <v>39.68435845151825</v>
      </c>
      <c r="AI888" s="9">
        <v>42.41487012813608</v>
      </c>
      <c r="AJ888" s="9">
        <v>3.0428788910505911</v>
      </c>
    </row>
    <row r="889" spans="1:36" x14ac:dyDescent="0.25">
      <c r="A889" t="s">
        <v>5411</v>
      </c>
      <c r="B889" t="s">
        <v>16</v>
      </c>
      <c r="C889" t="s">
        <v>17</v>
      </c>
      <c r="D889">
        <v>28555000</v>
      </c>
      <c r="E889">
        <v>28555999</v>
      </c>
      <c r="F889" t="s">
        <v>743</v>
      </c>
      <c r="G889" t="str">
        <f t="shared" si="26"/>
        <v>RJI II</v>
      </c>
      <c r="H889" t="s">
        <v>663</v>
      </c>
      <c r="I889" t="s">
        <v>20</v>
      </c>
      <c r="J889" t="s">
        <v>64</v>
      </c>
      <c r="K889" s="6">
        <v>0.03</v>
      </c>
      <c r="L889" s="7">
        <f t="shared" si="27"/>
        <v>2E-3</v>
      </c>
      <c r="M889" s="7">
        <v>3.0000000000000001E-3</v>
      </c>
      <c r="N889">
        <v>9</v>
      </c>
      <c r="O889" s="8">
        <v>19.191626852122567</v>
      </c>
      <c r="P889" s="9">
        <v>19.191626852122567</v>
      </c>
      <c r="Q889" s="9">
        <v>19.191626852122567</v>
      </c>
      <c r="R889" s="9">
        <v>19.642928460363855</v>
      </c>
      <c r="S889" s="9">
        <v>19.262254068797603</v>
      </c>
      <c r="T889" s="9">
        <v>20.002437846806995</v>
      </c>
      <c r="U889" s="9">
        <v>22.129401407702662</v>
      </c>
      <c r="V889" s="9">
        <v>22.129401407702662</v>
      </c>
      <c r="W889" s="9">
        <v>22.129401407702662</v>
      </c>
      <c r="X889" s="9">
        <v>23.753502845598582</v>
      </c>
      <c r="Y889" s="9">
        <v>23.753502845598582</v>
      </c>
      <c r="Z889" s="9">
        <v>25.775343328389187</v>
      </c>
      <c r="AA889" s="9">
        <v>25.775343328389187</v>
      </c>
      <c r="AB889" s="9">
        <v>27.866292679254457</v>
      </c>
      <c r="AC889" s="9">
        <v>27.866292679254457</v>
      </c>
      <c r="AD889" s="9">
        <v>31.93012744838439</v>
      </c>
      <c r="AE889" s="9">
        <v>34.043682702868942</v>
      </c>
      <c r="AF889" s="9">
        <v>36.2561115580978</v>
      </c>
      <c r="AG889" s="9">
        <v>36.2561115580978</v>
      </c>
      <c r="AH889" s="9">
        <v>39.68435845151825</v>
      </c>
      <c r="AI889" s="9">
        <v>42.41487012813608</v>
      </c>
      <c r="AJ889" s="9">
        <v>3.0428788910505911</v>
      </c>
    </row>
    <row r="890" spans="1:36" x14ac:dyDescent="0.25">
      <c r="A890" t="s">
        <v>5411</v>
      </c>
      <c r="B890" t="s">
        <v>16</v>
      </c>
      <c r="C890" t="s">
        <v>17</v>
      </c>
      <c r="D890">
        <v>28556000</v>
      </c>
      <c r="E890">
        <v>28569999</v>
      </c>
      <c r="F890" t="s">
        <v>744</v>
      </c>
      <c r="G890" t="str">
        <f t="shared" si="26"/>
        <v>RJI II</v>
      </c>
      <c r="H890" t="s">
        <v>663</v>
      </c>
      <c r="I890" t="s">
        <v>22</v>
      </c>
      <c r="J890" t="s">
        <v>64</v>
      </c>
      <c r="K890" s="6">
        <v>0.03</v>
      </c>
      <c r="L890" s="7">
        <f t="shared" si="27"/>
        <v>0.03</v>
      </c>
      <c r="M890" s="7">
        <v>3.0000000000000001E-3</v>
      </c>
      <c r="N890">
        <v>9</v>
      </c>
      <c r="O890" s="8">
        <v>19.191626852122567</v>
      </c>
      <c r="P890" s="9">
        <v>19.191626852122567</v>
      </c>
      <c r="Q890" s="9">
        <v>19.191626852122567</v>
      </c>
      <c r="R890" s="9">
        <v>19.642928460363855</v>
      </c>
      <c r="S890" s="9">
        <v>19.262254068797603</v>
      </c>
      <c r="T890" s="9">
        <v>20.002437846806995</v>
      </c>
      <c r="U890" s="9">
        <v>22.129401407702662</v>
      </c>
      <c r="V890" s="9">
        <v>22.129401407702662</v>
      </c>
      <c r="W890" s="9">
        <v>22.129401407702662</v>
      </c>
      <c r="X890" s="9">
        <v>23.753502845598582</v>
      </c>
      <c r="Y890" s="9">
        <v>23.753502845598582</v>
      </c>
      <c r="Z890" s="9">
        <v>25.775343328389187</v>
      </c>
      <c r="AA890" s="9">
        <v>25.775343328389187</v>
      </c>
      <c r="AB890" s="9">
        <v>27.866292679254457</v>
      </c>
      <c r="AC890" s="9">
        <v>27.866292679254457</v>
      </c>
      <c r="AD890" s="9">
        <v>31.93012744838439</v>
      </c>
      <c r="AE890" s="9">
        <v>34.043682702868942</v>
      </c>
      <c r="AF890" s="9">
        <v>36.2561115580978</v>
      </c>
      <c r="AG890" s="9">
        <v>36.2561115580978</v>
      </c>
      <c r="AH890" s="9">
        <v>39.68435845151825</v>
      </c>
      <c r="AI890" s="9">
        <v>42.41487012813608</v>
      </c>
      <c r="AJ890" s="9">
        <v>3.0428788910505911</v>
      </c>
    </row>
    <row r="891" spans="1:36" x14ac:dyDescent="0.25">
      <c r="A891" t="s">
        <v>5411</v>
      </c>
      <c r="B891" t="s">
        <v>16</v>
      </c>
      <c r="C891" t="s">
        <v>17</v>
      </c>
      <c r="D891">
        <v>28570000</v>
      </c>
      <c r="E891">
        <v>28574999</v>
      </c>
      <c r="F891" t="s">
        <v>744</v>
      </c>
      <c r="G891" t="str">
        <f t="shared" si="26"/>
        <v>RJI II</v>
      </c>
      <c r="H891" t="s">
        <v>663</v>
      </c>
      <c r="I891" t="s">
        <v>20</v>
      </c>
      <c r="J891" t="s">
        <v>64</v>
      </c>
      <c r="K891" s="6">
        <v>0.03</v>
      </c>
      <c r="L891" s="7">
        <f t="shared" si="27"/>
        <v>2E-3</v>
      </c>
      <c r="M891" s="7">
        <v>3.0000000000000001E-3</v>
      </c>
      <c r="N891">
        <v>9</v>
      </c>
      <c r="O891" s="8">
        <v>19.191626852122567</v>
      </c>
      <c r="P891" s="9">
        <v>19.191626852122567</v>
      </c>
      <c r="Q891" s="9">
        <v>19.191626852122567</v>
      </c>
      <c r="R891" s="9">
        <v>19.642928460363855</v>
      </c>
      <c r="S891" s="9">
        <v>19.262254068797603</v>
      </c>
      <c r="T891" s="9">
        <v>20.002437846806995</v>
      </c>
      <c r="U891" s="9">
        <v>22.129401407702662</v>
      </c>
      <c r="V891" s="9">
        <v>22.129401407702662</v>
      </c>
      <c r="W891" s="9">
        <v>22.129401407702662</v>
      </c>
      <c r="X891" s="9">
        <v>23.753502845598582</v>
      </c>
      <c r="Y891" s="9">
        <v>23.753502845598582</v>
      </c>
      <c r="Z891" s="9">
        <v>25.775343328389187</v>
      </c>
      <c r="AA891" s="9">
        <v>25.775343328389187</v>
      </c>
      <c r="AB891" s="9">
        <v>27.866292679254457</v>
      </c>
      <c r="AC891" s="9">
        <v>27.866292679254457</v>
      </c>
      <c r="AD891" s="9">
        <v>31.93012744838439</v>
      </c>
      <c r="AE891" s="9">
        <v>34.043682702868942</v>
      </c>
      <c r="AF891" s="9">
        <v>36.2561115580978</v>
      </c>
      <c r="AG891" s="9">
        <v>36.2561115580978</v>
      </c>
      <c r="AH891" s="9">
        <v>39.68435845151825</v>
      </c>
      <c r="AI891" s="9">
        <v>42.41487012813608</v>
      </c>
      <c r="AJ891" s="9">
        <v>3.0428788910505911</v>
      </c>
    </row>
    <row r="892" spans="1:36" x14ac:dyDescent="0.25">
      <c r="A892" t="s">
        <v>5411</v>
      </c>
      <c r="B892" t="s">
        <v>16</v>
      </c>
      <c r="C892" t="s">
        <v>17</v>
      </c>
      <c r="D892">
        <v>28575000</v>
      </c>
      <c r="E892">
        <v>28575999</v>
      </c>
      <c r="F892" t="s">
        <v>744</v>
      </c>
      <c r="G892" t="str">
        <f t="shared" si="26"/>
        <v>RJI II</v>
      </c>
      <c r="H892" t="s">
        <v>663</v>
      </c>
      <c r="I892" t="s">
        <v>20</v>
      </c>
      <c r="J892" t="s">
        <v>64</v>
      </c>
      <c r="K892" s="6">
        <v>0.03</v>
      </c>
      <c r="L892" s="7">
        <f t="shared" si="27"/>
        <v>2E-3</v>
      </c>
      <c r="M892" s="7">
        <v>3.0000000000000001E-3</v>
      </c>
      <c r="N892">
        <v>9</v>
      </c>
      <c r="O892" s="8">
        <v>19.191626852122567</v>
      </c>
      <c r="P892" s="9">
        <v>19.191626852122567</v>
      </c>
      <c r="Q892" s="9">
        <v>19.191626852122567</v>
      </c>
      <c r="R892" s="9">
        <v>19.642928460363855</v>
      </c>
      <c r="S892" s="9">
        <v>19.262254068797603</v>
      </c>
      <c r="T892" s="9">
        <v>20.002437846806995</v>
      </c>
      <c r="U892" s="9">
        <v>22.129401407702662</v>
      </c>
      <c r="V892" s="9">
        <v>22.129401407702662</v>
      </c>
      <c r="W892" s="9">
        <v>22.129401407702662</v>
      </c>
      <c r="X892" s="9">
        <v>23.753502845598582</v>
      </c>
      <c r="Y892" s="9">
        <v>23.753502845598582</v>
      </c>
      <c r="Z892" s="9">
        <v>25.775343328389187</v>
      </c>
      <c r="AA892" s="9">
        <v>25.775343328389187</v>
      </c>
      <c r="AB892" s="9">
        <v>27.866292679254457</v>
      </c>
      <c r="AC892" s="9">
        <v>27.866292679254457</v>
      </c>
      <c r="AD892" s="9">
        <v>31.93012744838439</v>
      </c>
      <c r="AE892" s="9">
        <v>34.043682702868942</v>
      </c>
      <c r="AF892" s="9">
        <v>36.2561115580978</v>
      </c>
      <c r="AG892" s="9">
        <v>36.2561115580978</v>
      </c>
      <c r="AH892" s="9">
        <v>39.68435845151825</v>
      </c>
      <c r="AI892" s="9">
        <v>42.41487012813608</v>
      </c>
      <c r="AJ892" s="9">
        <v>3.0428788910505911</v>
      </c>
    </row>
    <row r="893" spans="1:36" x14ac:dyDescent="0.25">
      <c r="A893" t="s">
        <v>5411</v>
      </c>
      <c r="B893" t="s">
        <v>16</v>
      </c>
      <c r="C893" t="s">
        <v>17</v>
      </c>
      <c r="D893">
        <v>28576000</v>
      </c>
      <c r="E893">
        <v>28594999</v>
      </c>
      <c r="F893" t="s">
        <v>744</v>
      </c>
      <c r="G893" t="str">
        <f t="shared" si="26"/>
        <v>RJI II</v>
      </c>
      <c r="H893" t="s">
        <v>663</v>
      </c>
      <c r="I893" t="s">
        <v>22</v>
      </c>
      <c r="J893" t="s">
        <v>64</v>
      </c>
      <c r="K893" s="6">
        <v>0.03</v>
      </c>
      <c r="L893" s="7">
        <f t="shared" si="27"/>
        <v>0.03</v>
      </c>
      <c r="M893" s="7">
        <v>3.0000000000000001E-3</v>
      </c>
      <c r="N893">
        <v>10</v>
      </c>
      <c r="O893" s="8">
        <v>19.191626852122567</v>
      </c>
      <c r="P893" s="9">
        <v>19.191626852122567</v>
      </c>
      <c r="Q893" s="9">
        <v>19.191626852122567</v>
      </c>
      <c r="R893" s="9">
        <v>19.642928460363855</v>
      </c>
      <c r="S893" s="9">
        <v>19.262254068797603</v>
      </c>
      <c r="T893" s="9">
        <v>20.002437846806995</v>
      </c>
      <c r="U893" s="9">
        <v>22.129401407702662</v>
      </c>
      <c r="V893" s="9">
        <v>22.129401407702662</v>
      </c>
      <c r="W893" s="9">
        <v>22.129401407702662</v>
      </c>
      <c r="X893" s="9">
        <v>23.753502845598582</v>
      </c>
      <c r="Y893" s="9">
        <v>23.753502845598582</v>
      </c>
      <c r="Z893" s="9">
        <v>25.775343328389187</v>
      </c>
      <c r="AA893" s="9">
        <v>25.775343328389187</v>
      </c>
      <c r="AB893" s="9">
        <v>27.866292679254457</v>
      </c>
      <c r="AC893" s="9">
        <v>27.866292679254457</v>
      </c>
      <c r="AD893" s="9">
        <v>31.93012744838439</v>
      </c>
      <c r="AE893" s="9">
        <v>34.043682702868942</v>
      </c>
      <c r="AF893" s="9">
        <v>36.2561115580978</v>
      </c>
      <c r="AG893" s="9">
        <v>36.2561115580978</v>
      </c>
      <c r="AH893" s="9">
        <v>39.68435845151825</v>
      </c>
      <c r="AI893" s="9">
        <v>42.41487012813608</v>
      </c>
      <c r="AJ893" s="9">
        <v>3.0428788910505911</v>
      </c>
    </row>
    <row r="894" spans="1:36" x14ac:dyDescent="0.25">
      <c r="A894" t="s">
        <v>5411</v>
      </c>
      <c r="B894" t="s">
        <v>16</v>
      </c>
      <c r="C894" t="s">
        <v>17</v>
      </c>
      <c r="D894">
        <v>28595000</v>
      </c>
      <c r="E894">
        <v>28599999</v>
      </c>
      <c r="F894" t="s">
        <v>744</v>
      </c>
      <c r="G894" t="str">
        <f t="shared" si="26"/>
        <v>RJI II</v>
      </c>
      <c r="H894" t="s">
        <v>663</v>
      </c>
      <c r="I894" t="s">
        <v>20</v>
      </c>
      <c r="J894" t="s">
        <v>64</v>
      </c>
      <c r="K894" s="6">
        <v>0.03</v>
      </c>
      <c r="L894" s="7">
        <f t="shared" si="27"/>
        <v>2E-3</v>
      </c>
      <c r="M894" s="7">
        <v>3.0000000000000001E-3</v>
      </c>
      <c r="N894">
        <v>10</v>
      </c>
      <c r="O894" s="8">
        <v>19.191626852122567</v>
      </c>
      <c r="P894" s="9">
        <v>19.191626852122567</v>
      </c>
      <c r="Q894" s="9">
        <v>19.191626852122567</v>
      </c>
      <c r="R894" s="9">
        <v>19.642928460363855</v>
      </c>
      <c r="S894" s="9">
        <v>19.262254068797603</v>
      </c>
      <c r="T894" s="9">
        <v>20.002437846806995</v>
      </c>
      <c r="U894" s="9">
        <v>22.129401407702662</v>
      </c>
      <c r="V894" s="9">
        <v>22.129401407702662</v>
      </c>
      <c r="W894" s="9">
        <v>22.129401407702662</v>
      </c>
      <c r="X894" s="9">
        <v>23.753502845598582</v>
      </c>
      <c r="Y894" s="9">
        <v>23.753502845598582</v>
      </c>
      <c r="Z894" s="9">
        <v>25.775343328389187</v>
      </c>
      <c r="AA894" s="9">
        <v>25.775343328389187</v>
      </c>
      <c r="AB894" s="9">
        <v>27.866292679254457</v>
      </c>
      <c r="AC894" s="9">
        <v>27.866292679254457</v>
      </c>
      <c r="AD894" s="9">
        <v>31.93012744838439</v>
      </c>
      <c r="AE894" s="9">
        <v>34.043682702868942</v>
      </c>
      <c r="AF894" s="9">
        <v>36.2561115580978</v>
      </c>
      <c r="AG894" s="9">
        <v>36.2561115580978</v>
      </c>
      <c r="AH894" s="9">
        <v>39.68435845151825</v>
      </c>
      <c r="AI894" s="9">
        <v>42.41487012813608</v>
      </c>
      <c r="AJ894" s="9">
        <v>3.0428788910505911</v>
      </c>
    </row>
    <row r="895" spans="1:36" x14ac:dyDescent="0.25">
      <c r="A895" t="s">
        <v>5411</v>
      </c>
      <c r="B895" t="s">
        <v>16</v>
      </c>
      <c r="C895" t="s">
        <v>17</v>
      </c>
      <c r="D895">
        <v>28600000</v>
      </c>
      <c r="E895">
        <v>28636999</v>
      </c>
      <c r="F895" t="s">
        <v>745</v>
      </c>
      <c r="G895" t="str">
        <f t="shared" si="26"/>
        <v>RJI</v>
      </c>
      <c r="H895" t="s">
        <v>663</v>
      </c>
      <c r="I895" t="s">
        <v>20</v>
      </c>
      <c r="J895" t="s">
        <v>62</v>
      </c>
      <c r="K895" s="6">
        <v>0.03</v>
      </c>
      <c r="L895" s="7">
        <f t="shared" si="27"/>
        <v>2E-3</v>
      </c>
      <c r="M895" s="7">
        <v>3.0000000000000001E-3</v>
      </c>
      <c r="N895">
        <v>8</v>
      </c>
      <c r="O895" s="8">
        <v>15.267633692923473</v>
      </c>
      <c r="P895" s="9">
        <v>15.267633692923473</v>
      </c>
      <c r="Q895" s="9">
        <v>15.267633692923473</v>
      </c>
      <c r="R895" s="9">
        <v>15.455820801950338</v>
      </c>
      <c r="S895" s="9">
        <v>15.721645950324477</v>
      </c>
      <c r="T895" s="9">
        <v>16.739439286239044</v>
      </c>
      <c r="U895" s="9">
        <v>18.882065020469135</v>
      </c>
      <c r="V895" s="9">
        <v>18.882065020469135</v>
      </c>
      <c r="W895" s="9">
        <v>18.882065020469135</v>
      </c>
      <c r="X895" s="9">
        <v>20.560260982458932</v>
      </c>
      <c r="Y895" s="9">
        <v>20.560260982458932</v>
      </c>
      <c r="Z895" s="9">
        <v>22.671148936966464</v>
      </c>
      <c r="AA895" s="9">
        <v>22.671148936966464</v>
      </c>
      <c r="AB895" s="9">
        <v>24.988647885599047</v>
      </c>
      <c r="AC895" s="9">
        <v>24.988647885599047</v>
      </c>
      <c r="AD895" s="9">
        <v>27.429334733487696</v>
      </c>
      <c r="AE895" s="9">
        <v>30.009055056381616</v>
      </c>
      <c r="AF895" s="9">
        <v>34.85116305716884</v>
      </c>
      <c r="AG895" s="9">
        <v>34.85116305716884</v>
      </c>
      <c r="AH895" s="9">
        <v>37.75822329541549</v>
      </c>
      <c r="AI895" s="9">
        <v>40.581849370377171</v>
      </c>
      <c r="AJ895" s="9">
        <v>3.0428788910505911</v>
      </c>
    </row>
    <row r="896" spans="1:36" x14ac:dyDescent="0.25">
      <c r="A896" t="s">
        <v>5411</v>
      </c>
      <c r="B896" t="s">
        <v>16</v>
      </c>
      <c r="C896" t="s">
        <v>17</v>
      </c>
      <c r="D896">
        <v>28637000</v>
      </c>
      <c r="E896">
        <v>28639999</v>
      </c>
      <c r="F896" t="s">
        <v>746</v>
      </c>
      <c r="G896" t="str">
        <f t="shared" si="26"/>
        <v>RJI</v>
      </c>
      <c r="H896" t="s">
        <v>663</v>
      </c>
      <c r="I896" t="s">
        <v>20</v>
      </c>
      <c r="J896" t="s">
        <v>62</v>
      </c>
      <c r="K896" s="6">
        <v>0.03</v>
      </c>
      <c r="L896" s="7">
        <f t="shared" si="27"/>
        <v>2E-3</v>
      </c>
      <c r="M896" s="7">
        <v>3.0000000000000001E-3</v>
      </c>
      <c r="N896">
        <v>8</v>
      </c>
      <c r="O896" s="8">
        <v>15.267633692923473</v>
      </c>
      <c r="P896" s="9">
        <v>15.267633692923473</v>
      </c>
      <c r="Q896" s="9">
        <v>15.267633692923473</v>
      </c>
      <c r="R896" s="9">
        <v>15.455820801950338</v>
      </c>
      <c r="S896" s="9">
        <v>15.721645950324477</v>
      </c>
      <c r="T896" s="9">
        <v>16.739439286239044</v>
      </c>
      <c r="U896" s="9">
        <v>18.882065020469135</v>
      </c>
      <c r="V896" s="9">
        <v>18.882065020469135</v>
      </c>
      <c r="W896" s="9">
        <v>18.882065020469135</v>
      </c>
      <c r="X896" s="9">
        <v>20.560260982458932</v>
      </c>
      <c r="Y896" s="9">
        <v>20.560260982458932</v>
      </c>
      <c r="Z896" s="9">
        <v>22.671148936966464</v>
      </c>
      <c r="AA896" s="9">
        <v>22.671148936966464</v>
      </c>
      <c r="AB896" s="9">
        <v>24.988647885599047</v>
      </c>
      <c r="AC896" s="9">
        <v>24.988647885599047</v>
      </c>
      <c r="AD896" s="9">
        <v>27.429334733487696</v>
      </c>
      <c r="AE896" s="9">
        <v>30.009055056381616</v>
      </c>
      <c r="AF896" s="9">
        <v>34.85116305716884</v>
      </c>
      <c r="AG896" s="9">
        <v>34.85116305716884</v>
      </c>
      <c r="AH896" s="9">
        <v>37.75822329541549</v>
      </c>
      <c r="AI896" s="9">
        <v>40.581849370377171</v>
      </c>
      <c r="AJ896" s="9">
        <v>3.0428788910505911</v>
      </c>
    </row>
    <row r="897" spans="1:36" x14ac:dyDescent="0.25">
      <c r="A897" t="s">
        <v>5411</v>
      </c>
      <c r="B897" t="s">
        <v>16</v>
      </c>
      <c r="C897" t="s">
        <v>17</v>
      </c>
      <c r="D897">
        <v>28640000</v>
      </c>
      <c r="E897">
        <v>28649999</v>
      </c>
      <c r="F897" t="s">
        <v>747</v>
      </c>
      <c r="G897" t="str">
        <f t="shared" si="26"/>
        <v>RJI</v>
      </c>
      <c r="H897" t="s">
        <v>663</v>
      </c>
      <c r="I897" t="s">
        <v>20</v>
      </c>
      <c r="J897" t="s">
        <v>62</v>
      </c>
      <c r="K897" s="6">
        <v>0.03</v>
      </c>
      <c r="L897" s="7">
        <f t="shared" si="27"/>
        <v>2E-3</v>
      </c>
      <c r="M897" s="7">
        <v>3.0000000000000001E-3</v>
      </c>
      <c r="N897">
        <v>9</v>
      </c>
      <c r="O897" s="8">
        <v>15.267633692923473</v>
      </c>
      <c r="P897" s="9">
        <v>15.267633692923473</v>
      </c>
      <c r="Q897" s="9">
        <v>15.267633692923473</v>
      </c>
      <c r="R897" s="9">
        <v>15.455820801950338</v>
      </c>
      <c r="S897" s="9">
        <v>15.721645950324477</v>
      </c>
      <c r="T897" s="9">
        <v>16.739439286239044</v>
      </c>
      <c r="U897" s="9">
        <v>18.882065020469135</v>
      </c>
      <c r="V897" s="9">
        <v>18.882065020469135</v>
      </c>
      <c r="W897" s="9">
        <v>18.882065020469135</v>
      </c>
      <c r="X897" s="9">
        <v>20.560260982458932</v>
      </c>
      <c r="Y897" s="9">
        <v>20.560260982458932</v>
      </c>
      <c r="Z897" s="9">
        <v>22.671148936966464</v>
      </c>
      <c r="AA897" s="9">
        <v>22.671148936966464</v>
      </c>
      <c r="AB897" s="9">
        <v>24.988647885599047</v>
      </c>
      <c r="AC897" s="9">
        <v>24.988647885599047</v>
      </c>
      <c r="AD897" s="9">
        <v>27.429334733487696</v>
      </c>
      <c r="AE897" s="9">
        <v>30.009055056381616</v>
      </c>
      <c r="AF897" s="9">
        <v>34.85116305716884</v>
      </c>
      <c r="AG897" s="9">
        <v>34.85116305716884</v>
      </c>
      <c r="AH897" s="9">
        <v>37.75822329541549</v>
      </c>
      <c r="AI897" s="9">
        <v>40.581849370377171</v>
      </c>
      <c r="AJ897" s="9">
        <v>3.0428788910505911</v>
      </c>
    </row>
    <row r="898" spans="1:36" x14ac:dyDescent="0.25">
      <c r="A898" t="s">
        <v>5411</v>
      </c>
      <c r="B898" t="s">
        <v>16</v>
      </c>
      <c r="C898" t="s">
        <v>17</v>
      </c>
      <c r="D898">
        <v>28650000</v>
      </c>
      <c r="E898">
        <v>28650999</v>
      </c>
      <c r="F898" t="s">
        <v>748</v>
      </c>
      <c r="G898" t="str">
        <f t="shared" si="26"/>
        <v>RJI</v>
      </c>
      <c r="H898" t="s">
        <v>663</v>
      </c>
      <c r="I898" t="s">
        <v>20</v>
      </c>
      <c r="J898" t="s">
        <v>62</v>
      </c>
      <c r="K898" s="6">
        <v>0.03</v>
      </c>
      <c r="L898" s="7">
        <f t="shared" si="27"/>
        <v>2E-3</v>
      </c>
      <c r="M898" s="7">
        <v>3.0000000000000001E-3</v>
      </c>
      <c r="N898">
        <v>8</v>
      </c>
      <c r="O898" s="8">
        <v>15.267633692923473</v>
      </c>
      <c r="P898" s="9">
        <v>15.267633692923473</v>
      </c>
      <c r="Q898" s="9">
        <v>15.267633692923473</v>
      </c>
      <c r="R898" s="9">
        <v>15.455820801950338</v>
      </c>
      <c r="S898" s="9">
        <v>15.721645950324477</v>
      </c>
      <c r="T898" s="9">
        <v>16.739439286239044</v>
      </c>
      <c r="U898" s="9">
        <v>18.882065020469135</v>
      </c>
      <c r="V898" s="9">
        <v>18.882065020469135</v>
      </c>
      <c r="W898" s="9">
        <v>18.882065020469135</v>
      </c>
      <c r="X898" s="9">
        <v>20.560260982458932</v>
      </c>
      <c r="Y898" s="9">
        <v>20.560260982458932</v>
      </c>
      <c r="Z898" s="9">
        <v>22.671148936966464</v>
      </c>
      <c r="AA898" s="9">
        <v>22.671148936966464</v>
      </c>
      <c r="AB898" s="9">
        <v>24.988647885599047</v>
      </c>
      <c r="AC898" s="9">
        <v>24.988647885599047</v>
      </c>
      <c r="AD898" s="9">
        <v>27.429334733487696</v>
      </c>
      <c r="AE898" s="9">
        <v>30.009055056381616</v>
      </c>
      <c r="AF898" s="9">
        <v>34.85116305716884</v>
      </c>
      <c r="AG898" s="9">
        <v>34.85116305716884</v>
      </c>
      <c r="AH898" s="9">
        <v>37.75822329541549</v>
      </c>
      <c r="AI898" s="9">
        <v>40.581849370377171</v>
      </c>
      <c r="AJ898" s="9">
        <v>3.0428788910505911</v>
      </c>
    </row>
    <row r="899" spans="1:36" x14ac:dyDescent="0.25">
      <c r="A899" t="s">
        <v>5411</v>
      </c>
      <c r="B899" t="s">
        <v>16</v>
      </c>
      <c r="C899" t="s">
        <v>17</v>
      </c>
      <c r="D899">
        <v>28651000</v>
      </c>
      <c r="E899">
        <v>28654999</v>
      </c>
      <c r="F899" t="s">
        <v>749</v>
      </c>
      <c r="G899" t="str">
        <f t="shared" si="26"/>
        <v>RJR</v>
      </c>
      <c r="H899" t="s">
        <v>663</v>
      </c>
      <c r="I899" t="s">
        <v>20</v>
      </c>
      <c r="J899" t="s">
        <v>77</v>
      </c>
      <c r="K899" s="6">
        <v>0.03</v>
      </c>
      <c r="L899" s="7">
        <f t="shared" si="27"/>
        <v>2E-3</v>
      </c>
      <c r="M899" s="7">
        <v>3.0000000000000001E-3</v>
      </c>
      <c r="N899">
        <v>21</v>
      </c>
      <c r="O899" s="8">
        <v>27.759279108538067</v>
      </c>
      <c r="P899" s="9">
        <v>27.759279108538067</v>
      </c>
      <c r="Q899" s="9">
        <v>27.759279108538067</v>
      </c>
      <c r="R899" s="9">
        <v>28.909938214135668</v>
      </c>
      <c r="S899" s="9">
        <v>29.129746609556125</v>
      </c>
      <c r="T899" s="9">
        <v>29.885241910517856</v>
      </c>
      <c r="U899" s="9">
        <v>31.387298550026539</v>
      </c>
      <c r="V899" s="9">
        <v>31.387298550026539</v>
      </c>
      <c r="W899" s="9">
        <v>31.387298550026539</v>
      </c>
      <c r="X899" s="9">
        <v>34.262376337518653</v>
      </c>
      <c r="Y899" s="9">
        <v>34.262376337518653</v>
      </c>
      <c r="Z899" s="9">
        <v>37.290012030342261</v>
      </c>
      <c r="AA899" s="9">
        <v>37.290012030342261</v>
      </c>
      <c r="AB899" s="9">
        <v>40.470361633702204</v>
      </c>
      <c r="AC899" s="9">
        <v>40.470361633702204</v>
      </c>
      <c r="AD899" s="9">
        <v>44.305029050310999</v>
      </c>
      <c r="AE899" s="9">
        <v>48.34275103891602</v>
      </c>
      <c r="AF899" s="9">
        <v>52.603833056716866</v>
      </c>
      <c r="AG899" s="9">
        <v>52.603833056716866</v>
      </c>
      <c r="AH899" s="9">
        <v>57.633590453735039</v>
      </c>
      <c r="AI899" s="9">
        <v>62.933613486080198</v>
      </c>
      <c r="AJ899" s="9">
        <v>3.0428788910505911</v>
      </c>
    </row>
    <row r="900" spans="1:36" x14ac:dyDescent="0.25">
      <c r="A900" t="s">
        <v>5411</v>
      </c>
      <c r="B900" t="s">
        <v>16</v>
      </c>
      <c r="C900" t="s">
        <v>17</v>
      </c>
      <c r="D900">
        <v>28655000</v>
      </c>
      <c r="E900">
        <v>28659999</v>
      </c>
      <c r="F900" t="s">
        <v>749</v>
      </c>
      <c r="G900" t="str">
        <f t="shared" ref="G900:G963" si="28">H900&amp;IF(J900="CAPITAL","C",IF(J900="INTERIOR","I",IF(J900="INTERIOR II","I II","R")))</f>
        <v>RJI</v>
      </c>
      <c r="H900" t="s">
        <v>663</v>
      </c>
      <c r="I900" t="s">
        <v>20</v>
      </c>
      <c r="J900" t="s">
        <v>62</v>
      </c>
      <c r="K900" s="6">
        <v>0.03</v>
      </c>
      <c r="L900" s="7">
        <f t="shared" ref="L900:L963" si="29">IF(I900="(0) Não",0.2%,3%)</f>
        <v>2E-3</v>
      </c>
      <c r="M900" s="7">
        <v>3.0000000000000001E-3</v>
      </c>
      <c r="N900">
        <v>8</v>
      </c>
      <c r="O900" s="8">
        <v>15.267633692923473</v>
      </c>
      <c r="P900" s="9">
        <v>15.267633692923473</v>
      </c>
      <c r="Q900" s="9">
        <v>15.267633692923473</v>
      </c>
      <c r="R900" s="9">
        <v>15.455820801950338</v>
      </c>
      <c r="S900" s="9">
        <v>15.721645950324477</v>
      </c>
      <c r="T900" s="9">
        <v>16.739439286239044</v>
      </c>
      <c r="U900" s="9">
        <v>18.882065020469135</v>
      </c>
      <c r="V900" s="9">
        <v>18.882065020469135</v>
      </c>
      <c r="W900" s="9">
        <v>18.882065020469135</v>
      </c>
      <c r="X900" s="9">
        <v>20.560260982458932</v>
      </c>
      <c r="Y900" s="9">
        <v>20.560260982458932</v>
      </c>
      <c r="Z900" s="9">
        <v>22.671148936966464</v>
      </c>
      <c r="AA900" s="9">
        <v>22.671148936966464</v>
      </c>
      <c r="AB900" s="9">
        <v>24.988647885599047</v>
      </c>
      <c r="AC900" s="9">
        <v>24.988647885599047</v>
      </c>
      <c r="AD900" s="9">
        <v>27.429334733487696</v>
      </c>
      <c r="AE900" s="9">
        <v>30.009055056381616</v>
      </c>
      <c r="AF900" s="9">
        <v>34.85116305716884</v>
      </c>
      <c r="AG900" s="9">
        <v>34.85116305716884</v>
      </c>
      <c r="AH900" s="9">
        <v>37.75822329541549</v>
      </c>
      <c r="AI900" s="9">
        <v>40.581849370377171</v>
      </c>
      <c r="AJ900" s="9">
        <v>3.0428788910505911</v>
      </c>
    </row>
    <row r="901" spans="1:36" x14ac:dyDescent="0.25">
      <c r="A901" t="s">
        <v>5411</v>
      </c>
      <c r="B901" t="s">
        <v>16</v>
      </c>
      <c r="C901" t="s">
        <v>17</v>
      </c>
      <c r="D901">
        <v>28660000</v>
      </c>
      <c r="E901">
        <v>28679999</v>
      </c>
      <c r="F901" t="s">
        <v>750</v>
      </c>
      <c r="G901" t="str">
        <f t="shared" si="28"/>
        <v>RJI</v>
      </c>
      <c r="H901" t="s">
        <v>663</v>
      </c>
      <c r="I901" t="s">
        <v>20</v>
      </c>
      <c r="J901" t="s">
        <v>62</v>
      </c>
      <c r="K901" s="6">
        <v>0.03</v>
      </c>
      <c r="L901" s="7">
        <f t="shared" si="29"/>
        <v>2E-3</v>
      </c>
      <c r="M901" s="7">
        <v>3.0000000000000001E-3</v>
      </c>
      <c r="N901">
        <v>8</v>
      </c>
      <c r="O901" s="8">
        <v>15.267633692923473</v>
      </c>
      <c r="P901" s="9">
        <v>15.267633692923473</v>
      </c>
      <c r="Q901" s="9">
        <v>15.267633692923473</v>
      </c>
      <c r="R901" s="9">
        <v>15.455820801950338</v>
      </c>
      <c r="S901" s="9">
        <v>15.721645950324477</v>
      </c>
      <c r="T901" s="9">
        <v>16.739439286239044</v>
      </c>
      <c r="U901" s="9">
        <v>18.882065020469135</v>
      </c>
      <c r="V901" s="9">
        <v>18.882065020469135</v>
      </c>
      <c r="W901" s="9">
        <v>18.882065020469135</v>
      </c>
      <c r="X901" s="9">
        <v>20.560260982458932</v>
      </c>
      <c r="Y901" s="9">
        <v>20.560260982458932</v>
      </c>
      <c r="Z901" s="9">
        <v>22.671148936966464</v>
      </c>
      <c r="AA901" s="9">
        <v>22.671148936966464</v>
      </c>
      <c r="AB901" s="9">
        <v>24.988647885599047</v>
      </c>
      <c r="AC901" s="9">
        <v>24.988647885599047</v>
      </c>
      <c r="AD901" s="9">
        <v>27.429334733487696</v>
      </c>
      <c r="AE901" s="9">
        <v>30.009055056381616</v>
      </c>
      <c r="AF901" s="9">
        <v>34.85116305716884</v>
      </c>
      <c r="AG901" s="9">
        <v>34.85116305716884</v>
      </c>
      <c r="AH901" s="9">
        <v>37.75822329541549</v>
      </c>
      <c r="AI901" s="9">
        <v>40.581849370377171</v>
      </c>
      <c r="AJ901" s="9">
        <v>3.0428788910505911</v>
      </c>
    </row>
    <row r="902" spans="1:36" x14ac:dyDescent="0.25">
      <c r="A902" t="s">
        <v>5411</v>
      </c>
      <c r="B902" t="s">
        <v>16</v>
      </c>
      <c r="C902" t="s">
        <v>17</v>
      </c>
      <c r="D902">
        <v>28680000</v>
      </c>
      <c r="E902">
        <v>28680999</v>
      </c>
      <c r="F902" t="s">
        <v>751</v>
      </c>
      <c r="G902" t="str">
        <f t="shared" si="28"/>
        <v>RJI</v>
      </c>
      <c r="H902" t="s">
        <v>663</v>
      </c>
      <c r="I902" t="s">
        <v>20</v>
      </c>
      <c r="J902" t="s">
        <v>62</v>
      </c>
      <c r="K902" s="6">
        <v>0.03</v>
      </c>
      <c r="L902" s="7">
        <f t="shared" si="29"/>
        <v>2E-3</v>
      </c>
      <c r="M902" s="7">
        <v>3.0000000000000001E-3</v>
      </c>
      <c r="N902">
        <v>8</v>
      </c>
      <c r="O902" s="8">
        <v>15.267633692923473</v>
      </c>
      <c r="P902" s="9">
        <v>15.267633692923473</v>
      </c>
      <c r="Q902" s="9">
        <v>15.267633692923473</v>
      </c>
      <c r="R902" s="9">
        <v>15.455820801950338</v>
      </c>
      <c r="S902" s="9">
        <v>15.721645950324477</v>
      </c>
      <c r="T902" s="9">
        <v>16.739439286239044</v>
      </c>
      <c r="U902" s="9">
        <v>18.882065020469135</v>
      </c>
      <c r="V902" s="9">
        <v>18.882065020469135</v>
      </c>
      <c r="W902" s="9">
        <v>18.882065020469135</v>
      </c>
      <c r="X902" s="9">
        <v>20.560260982458932</v>
      </c>
      <c r="Y902" s="9">
        <v>20.560260982458932</v>
      </c>
      <c r="Z902" s="9">
        <v>22.671148936966464</v>
      </c>
      <c r="AA902" s="9">
        <v>22.671148936966464</v>
      </c>
      <c r="AB902" s="9">
        <v>24.988647885599047</v>
      </c>
      <c r="AC902" s="9">
        <v>24.988647885599047</v>
      </c>
      <c r="AD902" s="9">
        <v>27.429334733487696</v>
      </c>
      <c r="AE902" s="9">
        <v>30.009055056381616</v>
      </c>
      <c r="AF902" s="9">
        <v>34.85116305716884</v>
      </c>
      <c r="AG902" s="9">
        <v>34.85116305716884</v>
      </c>
      <c r="AH902" s="9">
        <v>37.75822329541549</v>
      </c>
      <c r="AI902" s="9">
        <v>40.581849370377171</v>
      </c>
      <c r="AJ902" s="9">
        <v>3.0428788910505911</v>
      </c>
    </row>
    <row r="903" spans="1:36" x14ac:dyDescent="0.25">
      <c r="A903" t="s">
        <v>5411</v>
      </c>
      <c r="B903" t="s">
        <v>16</v>
      </c>
      <c r="C903" t="s">
        <v>17</v>
      </c>
      <c r="D903">
        <v>28681000</v>
      </c>
      <c r="E903">
        <v>28694999</v>
      </c>
      <c r="F903" t="s">
        <v>752</v>
      </c>
      <c r="G903" t="str">
        <f t="shared" si="28"/>
        <v>RJI</v>
      </c>
      <c r="H903" t="s">
        <v>663</v>
      </c>
      <c r="I903" t="s">
        <v>20</v>
      </c>
      <c r="J903" t="s">
        <v>62</v>
      </c>
      <c r="K903" s="6">
        <v>0.03</v>
      </c>
      <c r="L903" s="7">
        <f t="shared" si="29"/>
        <v>2E-3</v>
      </c>
      <c r="M903" s="7">
        <v>3.0000000000000001E-3</v>
      </c>
      <c r="N903">
        <v>8</v>
      </c>
      <c r="O903" s="8">
        <v>15.267633692923473</v>
      </c>
      <c r="P903" s="9">
        <v>15.267633692923473</v>
      </c>
      <c r="Q903" s="9">
        <v>15.267633692923473</v>
      </c>
      <c r="R903" s="9">
        <v>15.455820801950338</v>
      </c>
      <c r="S903" s="9">
        <v>15.721645950324477</v>
      </c>
      <c r="T903" s="9">
        <v>16.739439286239044</v>
      </c>
      <c r="U903" s="9">
        <v>18.882065020469135</v>
      </c>
      <c r="V903" s="9">
        <v>18.882065020469135</v>
      </c>
      <c r="W903" s="9">
        <v>18.882065020469135</v>
      </c>
      <c r="X903" s="9">
        <v>20.560260982458932</v>
      </c>
      <c r="Y903" s="9">
        <v>20.560260982458932</v>
      </c>
      <c r="Z903" s="9">
        <v>22.671148936966464</v>
      </c>
      <c r="AA903" s="9">
        <v>22.671148936966464</v>
      </c>
      <c r="AB903" s="9">
        <v>24.988647885599047</v>
      </c>
      <c r="AC903" s="9">
        <v>24.988647885599047</v>
      </c>
      <c r="AD903" s="9">
        <v>27.429334733487696</v>
      </c>
      <c r="AE903" s="9">
        <v>30.009055056381616</v>
      </c>
      <c r="AF903" s="9">
        <v>34.85116305716884</v>
      </c>
      <c r="AG903" s="9">
        <v>34.85116305716884</v>
      </c>
      <c r="AH903" s="9">
        <v>37.75822329541549</v>
      </c>
      <c r="AI903" s="9">
        <v>40.581849370377171</v>
      </c>
      <c r="AJ903" s="9">
        <v>3.0428788910505911</v>
      </c>
    </row>
    <row r="904" spans="1:36" x14ac:dyDescent="0.25">
      <c r="A904" t="s">
        <v>5411</v>
      </c>
      <c r="B904" t="s">
        <v>16</v>
      </c>
      <c r="C904" t="s">
        <v>17</v>
      </c>
      <c r="D904">
        <v>28695000</v>
      </c>
      <c r="E904">
        <v>28695999</v>
      </c>
      <c r="F904" t="s">
        <v>752</v>
      </c>
      <c r="G904" t="str">
        <f t="shared" si="28"/>
        <v>RJI</v>
      </c>
      <c r="H904" t="s">
        <v>663</v>
      </c>
      <c r="I904" t="s">
        <v>20</v>
      </c>
      <c r="J904" t="s">
        <v>62</v>
      </c>
      <c r="K904" s="6">
        <v>0.03</v>
      </c>
      <c r="L904" s="7">
        <f t="shared" si="29"/>
        <v>2E-3</v>
      </c>
      <c r="M904" s="7">
        <v>3.0000000000000001E-3</v>
      </c>
      <c r="N904">
        <v>8</v>
      </c>
      <c r="O904" s="8">
        <v>15.267633692923473</v>
      </c>
      <c r="P904" s="9">
        <v>15.267633692923473</v>
      </c>
      <c r="Q904" s="9">
        <v>15.267633692923473</v>
      </c>
      <c r="R904" s="9">
        <v>15.455820801950338</v>
      </c>
      <c r="S904" s="9">
        <v>15.721645950324477</v>
      </c>
      <c r="T904" s="9">
        <v>16.739439286239044</v>
      </c>
      <c r="U904" s="9">
        <v>18.882065020469135</v>
      </c>
      <c r="V904" s="9">
        <v>18.882065020469135</v>
      </c>
      <c r="W904" s="9">
        <v>18.882065020469135</v>
      </c>
      <c r="X904" s="9">
        <v>20.560260982458932</v>
      </c>
      <c r="Y904" s="9">
        <v>20.560260982458932</v>
      </c>
      <c r="Z904" s="9">
        <v>22.671148936966464</v>
      </c>
      <c r="AA904" s="9">
        <v>22.671148936966464</v>
      </c>
      <c r="AB904" s="9">
        <v>24.988647885599047</v>
      </c>
      <c r="AC904" s="9">
        <v>24.988647885599047</v>
      </c>
      <c r="AD904" s="9">
        <v>27.429334733487696</v>
      </c>
      <c r="AE904" s="9">
        <v>30.009055056381616</v>
      </c>
      <c r="AF904" s="9">
        <v>34.85116305716884</v>
      </c>
      <c r="AG904" s="9">
        <v>34.85116305716884</v>
      </c>
      <c r="AH904" s="9">
        <v>37.75822329541549</v>
      </c>
      <c r="AI904" s="9">
        <v>40.581849370377171</v>
      </c>
      <c r="AJ904" s="9">
        <v>3.0428788910505911</v>
      </c>
    </row>
    <row r="905" spans="1:36" x14ac:dyDescent="0.25">
      <c r="A905" t="s">
        <v>5411</v>
      </c>
      <c r="B905" t="s">
        <v>16</v>
      </c>
      <c r="C905" t="s">
        <v>17</v>
      </c>
      <c r="D905">
        <v>28696000</v>
      </c>
      <c r="E905">
        <v>28739999</v>
      </c>
      <c r="F905" t="s">
        <v>753</v>
      </c>
      <c r="G905" t="str">
        <f t="shared" si="28"/>
        <v>RJI II</v>
      </c>
      <c r="H905" t="s">
        <v>663</v>
      </c>
      <c r="I905" t="s">
        <v>22</v>
      </c>
      <c r="J905" t="s">
        <v>64</v>
      </c>
      <c r="K905" s="6">
        <v>0.03</v>
      </c>
      <c r="L905" s="7">
        <f t="shared" si="29"/>
        <v>0.03</v>
      </c>
      <c r="M905" s="7">
        <v>3.0000000000000001E-3</v>
      </c>
      <c r="N905">
        <v>9</v>
      </c>
      <c r="O905" s="8">
        <v>19.191626852122567</v>
      </c>
      <c r="P905" s="9">
        <v>19.191626852122567</v>
      </c>
      <c r="Q905" s="9">
        <v>19.191626852122567</v>
      </c>
      <c r="R905" s="9">
        <v>19.642928460363855</v>
      </c>
      <c r="S905" s="9">
        <v>19.262254068797603</v>
      </c>
      <c r="T905" s="9">
        <v>20.002437846806995</v>
      </c>
      <c r="U905" s="9">
        <v>22.129401407702662</v>
      </c>
      <c r="V905" s="9">
        <v>22.129401407702662</v>
      </c>
      <c r="W905" s="9">
        <v>22.129401407702662</v>
      </c>
      <c r="X905" s="9">
        <v>23.753502845598582</v>
      </c>
      <c r="Y905" s="9">
        <v>23.753502845598582</v>
      </c>
      <c r="Z905" s="9">
        <v>25.775343328389187</v>
      </c>
      <c r="AA905" s="9">
        <v>25.775343328389187</v>
      </c>
      <c r="AB905" s="9">
        <v>27.866292679254457</v>
      </c>
      <c r="AC905" s="9">
        <v>27.866292679254457</v>
      </c>
      <c r="AD905" s="9">
        <v>31.93012744838439</v>
      </c>
      <c r="AE905" s="9">
        <v>34.043682702868942</v>
      </c>
      <c r="AF905" s="9">
        <v>36.2561115580978</v>
      </c>
      <c r="AG905" s="9">
        <v>36.2561115580978</v>
      </c>
      <c r="AH905" s="9">
        <v>39.68435845151825</v>
      </c>
      <c r="AI905" s="9">
        <v>42.41487012813608</v>
      </c>
      <c r="AJ905" s="9">
        <v>3.0428788910505911</v>
      </c>
    </row>
    <row r="906" spans="1:36" x14ac:dyDescent="0.25">
      <c r="A906" t="s">
        <v>5411</v>
      </c>
      <c r="B906" t="s">
        <v>16</v>
      </c>
      <c r="C906" t="s">
        <v>17</v>
      </c>
      <c r="D906">
        <v>28740000</v>
      </c>
      <c r="E906">
        <v>28749999</v>
      </c>
      <c r="F906" t="s">
        <v>754</v>
      </c>
      <c r="G906" t="str">
        <f t="shared" si="28"/>
        <v>RJI</v>
      </c>
      <c r="H906" t="s">
        <v>663</v>
      </c>
      <c r="I906" t="s">
        <v>20</v>
      </c>
      <c r="J906" t="s">
        <v>62</v>
      </c>
      <c r="K906" s="6">
        <v>0.03</v>
      </c>
      <c r="L906" s="7">
        <f t="shared" si="29"/>
        <v>2E-3</v>
      </c>
      <c r="M906" s="7">
        <v>3.0000000000000001E-3</v>
      </c>
      <c r="N906">
        <v>9</v>
      </c>
      <c r="O906" s="8">
        <v>15.267633692923473</v>
      </c>
      <c r="P906" s="9">
        <v>15.267633692923473</v>
      </c>
      <c r="Q906" s="9">
        <v>15.267633692923473</v>
      </c>
      <c r="R906" s="9">
        <v>15.455820801950338</v>
      </c>
      <c r="S906" s="9">
        <v>15.721645950324477</v>
      </c>
      <c r="T906" s="9">
        <v>16.739439286239044</v>
      </c>
      <c r="U906" s="9">
        <v>18.882065020469135</v>
      </c>
      <c r="V906" s="9">
        <v>18.882065020469135</v>
      </c>
      <c r="W906" s="9">
        <v>18.882065020469135</v>
      </c>
      <c r="X906" s="9">
        <v>20.560260982458932</v>
      </c>
      <c r="Y906" s="9">
        <v>20.560260982458932</v>
      </c>
      <c r="Z906" s="9">
        <v>22.671148936966464</v>
      </c>
      <c r="AA906" s="9">
        <v>22.671148936966464</v>
      </c>
      <c r="AB906" s="9">
        <v>24.988647885599047</v>
      </c>
      <c r="AC906" s="9">
        <v>24.988647885599047</v>
      </c>
      <c r="AD906" s="9">
        <v>27.429334733487696</v>
      </c>
      <c r="AE906" s="9">
        <v>30.009055056381616</v>
      </c>
      <c r="AF906" s="9">
        <v>34.85116305716884</v>
      </c>
      <c r="AG906" s="9">
        <v>34.85116305716884</v>
      </c>
      <c r="AH906" s="9">
        <v>37.75822329541549</v>
      </c>
      <c r="AI906" s="9">
        <v>40.581849370377171</v>
      </c>
      <c r="AJ906" s="9">
        <v>3.0428788910505911</v>
      </c>
    </row>
    <row r="907" spans="1:36" x14ac:dyDescent="0.25">
      <c r="A907" t="s">
        <v>5411</v>
      </c>
      <c r="B907" t="s">
        <v>16</v>
      </c>
      <c r="C907" t="s">
        <v>17</v>
      </c>
      <c r="D907">
        <v>28750000</v>
      </c>
      <c r="E907">
        <v>28754999</v>
      </c>
      <c r="F907" t="s">
        <v>755</v>
      </c>
      <c r="G907" t="str">
        <f t="shared" si="28"/>
        <v>RJI</v>
      </c>
      <c r="H907" t="s">
        <v>663</v>
      </c>
      <c r="I907" t="s">
        <v>20</v>
      </c>
      <c r="J907" t="s">
        <v>62</v>
      </c>
      <c r="K907" s="6">
        <v>0.03</v>
      </c>
      <c r="L907" s="7">
        <f t="shared" si="29"/>
        <v>2E-3</v>
      </c>
      <c r="M907" s="7">
        <v>3.0000000000000001E-3</v>
      </c>
      <c r="N907">
        <v>7</v>
      </c>
      <c r="O907" s="8">
        <v>15.267633692923473</v>
      </c>
      <c r="P907" s="9">
        <v>15.267633692923473</v>
      </c>
      <c r="Q907" s="9">
        <v>15.267633692923473</v>
      </c>
      <c r="R907" s="9">
        <v>15.455820801950338</v>
      </c>
      <c r="S907" s="9">
        <v>15.721645950324477</v>
      </c>
      <c r="T907" s="9">
        <v>16.739439286239044</v>
      </c>
      <c r="U907" s="9">
        <v>18.882065020469135</v>
      </c>
      <c r="V907" s="9">
        <v>18.882065020469135</v>
      </c>
      <c r="W907" s="9">
        <v>18.882065020469135</v>
      </c>
      <c r="X907" s="9">
        <v>20.560260982458932</v>
      </c>
      <c r="Y907" s="9">
        <v>20.560260982458932</v>
      </c>
      <c r="Z907" s="9">
        <v>22.671148936966464</v>
      </c>
      <c r="AA907" s="9">
        <v>22.671148936966464</v>
      </c>
      <c r="AB907" s="9">
        <v>24.988647885599047</v>
      </c>
      <c r="AC907" s="9">
        <v>24.988647885599047</v>
      </c>
      <c r="AD907" s="9">
        <v>27.429334733487696</v>
      </c>
      <c r="AE907" s="9">
        <v>30.009055056381616</v>
      </c>
      <c r="AF907" s="9">
        <v>34.85116305716884</v>
      </c>
      <c r="AG907" s="9">
        <v>34.85116305716884</v>
      </c>
      <c r="AH907" s="9">
        <v>37.75822329541549</v>
      </c>
      <c r="AI907" s="9">
        <v>40.581849370377171</v>
      </c>
      <c r="AJ907" s="9">
        <v>3.0428788910505911</v>
      </c>
    </row>
    <row r="908" spans="1:36" x14ac:dyDescent="0.25">
      <c r="A908" t="s">
        <v>5411</v>
      </c>
      <c r="B908" t="s">
        <v>16</v>
      </c>
      <c r="C908" t="s">
        <v>17</v>
      </c>
      <c r="D908">
        <v>28755000</v>
      </c>
      <c r="E908">
        <v>28755999</v>
      </c>
      <c r="F908" t="s">
        <v>756</v>
      </c>
      <c r="G908" t="str">
        <f t="shared" si="28"/>
        <v>RJI</v>
      </c>
      <c r="H908" t="s">
        <v>663</v>
      </c>
      <c r="I908" t="s">
        <v>20</v>
      </c>
      <c r="J908" t="s">
        <v>62</v>
      </c>
      <c r="K908" s="6">
        <v>0.03</v>
      </c>
      <c r="L908" s="7">
        <f t="shared" si="29"/>
        <v>2E-3</v>
      </c>
      <c r="M908" s="7">
        <v>3.0000000000000001E-3</v>
      </c>
      <c r="N908">
        <v>7</v>
      </c>
      <c r="O908" s="8">
        <v>15.267633692923473</v>
      </c>
      <c r="P908" s="9">
        <v>15.267633692923473</v>
      </c>
      <c r="Q908" s="9">
        <v>15.267633692923473</v>
      </c>
      <c r="R908" s="9">
        <v>15.455820801950338</v>
      </c>
      <c r="S908" s="9">
        <v>15.721645950324477</v>
      </c>
      <c r="T908" s="9">
        <v>16.739439286239044</v>
      </c>
      <c r="U908" s="9">
        <v>18.882065020469135</v>
      </c>
      <c r="V908" s="9">
        <v>18.882065020469135</v>
      </c>
      <c r="W908" s="9">
        <v>18.882065020469135</v>
      </c>
      <c r="X908" s="9">
        <v>20.560260982458932</v>
      </c>
      <c r="Y908" s="9">
        <v>20.560260982458932</v>
      </c>
      <c r="Z908" s="9">
        <v>22.671148936966464</v>
      </c>
      <c r="AA908" s="9">
        <v>22.671148936966464</v>
      </c>
      <c r="AB908" s="9">
        <v>24.988647885599047</v>
      </c>
      <c r="AC908" s="9">
        <v>24.988647885599047</v>
      </c>
      <c r="AD908" s="9">
        <v>27.429334733487696</v>
      </c>
      <c r="AE908" s="9">
        <v>30.009055056381616</v>
      </c>
      <c r="AF908" s="9">
        <v>34.85116305716884</v>
      </c>
      <c r="AG908" s="9">
        <v>34.85116305716884</v>
      </c>
      <c r="AH908" s="9">
        <v>37.75822329541549</v>
      </c>
      <c r="AI908" s="9">
        <v>40.581849370377171</v>
      </c>
      <c r="AJ908" s="9">
        <v>3.0428788910505911</v>
      </c>
    </row>
    <row r="909" spans="1:36" x14ac:dyDescent="0.25">
      <c r="A909" t="s">
        <v>5411</v>
      </c>
      <c r="B909" t="s">
        <v>16</v>
      </c>
      <c r="C909" t="s">
        <v>17</v>
      </c>
      <c r="D909">
        <v>28756000</v>
      </c>
      <c r="E909">
        <v>28769999</v>
      </c>
      <c r="F909" t="s">
        <v>756</v>
      </c>
      <c r="G909" t="str">
        <f t="shared" si="28"/>
        <v>RJR</v>
      </c>
      <c r="H909" t="s">
        <v>663</v>
      </c>
      <c r="I909" t="s">
        <v>20</v>
      </c>
      <c r="J909" t="s">
        <v>77</v>
      </c>
      <c r="K909" s="6">
        <v>0.03</v>
      </c>
      <c r="L909" s="7">
        <f t="shared" si="29"/>
        <v>2E-3</v>
      </c>
      <c r="M909" s="7">
        <v>3.0000000000000001E-3</v>
      </c>
      <c r="N909">
        <v>17</v>
      </c>
      <c r="O909" s="8">
        <v>27.759279108538067</v>
      </c>
      <c r="P909" s="9">
        <v>27.759279108538067</v>
      </c>
      <c r="Q909" s="9">
        <v>27.759279108538067</v>
      </c>
      <c r="R909" s="9">
        <v>28.909938214135668</v>
      </c>
      <c r="S909" s="9">
        <v>29.129746609556125</v>
      </c>
      <c r="T909" s="9">
        <v>29.885241910517856</v>
      </c>
      <c r="U909" s="9">
        <v>31.387298550026539</v>
      </c>
      <c r="V909" s="9">
        <v>31.387298550026539</v>
      </c>
      <c r="W909" s="9">
        <v>31.387298550026539</v>
      </c>
      <c r="X909" s="9">
        <v>34.262376337518653</v>
      </c>
      <c r="Y909" s="9">
        <v>34.262376337518653</v>
      </c>
      <c r="Z909" s="9">
        <v>37.290012030342261</v>
      </c>
      <c r="AA909" s="9">
        <v>37.290012030342261</v>
      </c>
      <c r="AB909" s="9">
        <v>40.470361633702204</v>
      </c>
      <c r="AC909" s="9">
        <v>40.470361633702204</v>
      </c>
      <c r="AD909" s="9">
        <v>44.305029050310999</v>
      </c>
      <c r="AE909" s="9">
        <v>48.34275103891602</v>
      </c>
      <c r="AF909" s="9">
        <v>52.603833056716866</v>
      </c>
      <c r="AG909" s="9">
        <v>52.603833056716866</v>
      </c>
      <c r="AH909" s="9">
        <v>57.633590453735039</v>
      </c>
      <c r="AI909" s="9">
        <v>62.933613486080198</v>
      </c>
      <c r="AJ909" s="9">
        <v>3.0428788910505911</v>
      </c>
    </row>
    <row r="910" spans="1:36" x14ac:dyDescent="0.25">
      <c r="A910" t="s">
        <v>5411</v>
      </c>
      <c r="B910" t="s">
        <v>16</v>
      </c>
      <c r="C910" t="s">
        <v>17</v>
      </c>
      <c r="D910">
        <v>28770000</v>
      </c>
      <c r="E910">
        <v>28799999</v>
      </c>
      <c r="F910" t="s">
        <v>757</v>
      </c>
      <c r="G910" t="str">
        <f t="shared" si="28"/>
        <v>RJI</v>
      </c>
      <c r="H910" t="s">
        <v>663</v>
      </c>
      <c r="I910" t="s">
        <v>20</v>
      </c>
      <c r="J910" t="s">
        <v>62</v>
      </c>
      <c r="K910" s="6">
        <v>0.03</v>
      </c>
      <c r="L910" s="7">
        <f t="shared" si="29"/>
        <v>2E-3</v>
      </c>
      <c r="M910" s="7">
        <v>3.0000000000000001E-3</v>
      </c>
      <c r="N910">
        <v>7</v>
      </c>
      <c r="O910" s="8">
        <v>15.267633692923473</v>
      </c>
      <c r="P910" s="9">
        <v>15.267633692923473</v>
      </c>
      <c r="Q910" s="9">
        <v>15.267633692923473</v>
      </c>
      <c r="R910" s="9">
        <v>15.455820801950338</v>
      </c>
      <c r="S910" s="9">
        <v>15.721645950324477</v>
      </c>
      <c r="T910" s="9">
        <v>16.739439286239044</v>
      </c>
      <c r="U910" s="9">
        <v>18.882065020469135</v>
      </c>
      <c r="V910" s="9">
        <v>18.882065020469135</v>
      </c>
      <c r="W910" s="9">
        <v>18.882065020469135</v>
      </c>
      <c r="X910" s="9">
        <v>20.560260982458932</v>
      </c>
      <c r="Y910" s="9">
        <v>20.560260982458932</v>
      </c>
      <c r="Z910" s="9">
        <v>22.671148936966464</v>
      </c>
      <c r="AA910" s="9">
        <v>22.671148936966464</v>
      </c>
      <c r="AB910" s="9">
        <v>24.988647885599047</v>
      </c>
      <c r="AC910" s="9">
        <v>24.988647885599047</v>
      </c>
      <c r="AD910" s="9">
        <v>27.429334733487696</v>
      </c>
      <c r="AE910" s="9">
        <v>30.009055056381616</v>
      </c>
      <c r="AF910" s="9">
        <v>34.85116305716884</v>
      </c>
      <c r="AG910" s="9">
        <v>34.85116305716884</v>
      </c>
      <c r="AH910" s="9">
        <v>37.75822329541549</v>
      </c>
      <c r="AI910" s="9">
        <v>40.581849370377171</v>
      </c>
      <c r="AJ910" s="9">
        <v>3.0428788910505911</v>
      </c>
    </row>
    <row r="911" spans="1:36" x14ac:dyDescent="0.25">
      <c r="A911" t="s">
        <v>5411</v>
      </c>
      <c r="B911" t="s">
        <v>16</v>
      </c>
      <c r="C911" t="s">
        <v>17</v>
      </c>
      <c r="D911">
        <v>28800000</v>
      </c>
      <c r="E911">
        <v>28819999</v>
      </c>
      <c r="F911" t="s">
        <v>758</v>
      </c>
      <c r="G911" t="str">
        <f t="shared" si="28"/>
        <v>RJI</v>
      </c>
      <c r="H911" t="s">
        <v>663</v>
      </c>
      <c r="I911" t="s">
        <v>20</v>
      </c>
      <c r="J911" t="s">
        <v>62</v>
      </c>
      <c r="K911" s="6">
        <v>0.03</v>
      </c>
      <c r="L911" s="7">
        <f t="shared" si="29"/>
        <v>2E-3</v>
      </c>
      <c r="M911" s="7">
        <v>3.0000000000000001E-3</v>
      </c>
      <c r="N911">
        <v>9</v>
      </c>
      <c r="O911" s="8">
        <v>15.267633692923473</v>
      </c>
      <c r="P911" s="9">
        <v>15.267633692923473</v>
      </c>
      <c r="Q911" s="9">
        <v>15.267633692923473</v>
      </c>
      <c r="R911" s="9">
        <v>15.455820801950338</v>
      </c>
      <c r="S911" s="9">
        <v>15.721645950324477</v>
      </c>
      <c r="T911" s="9">
        <v>16.739439286239044</v>
      </c>
      <c r="U911" s="9">
        <v>18.882065020469135</v>
      </c>
      <c r="V911" s="9">
        <v>18.882065020469135</v>
      </c>
      <c r="W911" s="9">
        <v>18.882065020469135</v>
      </c>
      <c r="X911" s="9">
        <v>20.560260982458932</v>
      </c>
      <c r="Y911" s="9">
        <v>20.560260982458932</v>
      </c>
      <c r="Z911" s="9">
        <v>22.671148936966464</v>
      </c>
      <c r="AA911" s="9">
        <v>22.671148936966464</v>
      </c>
      <c r="AB911" s="9">
        <v>24.988647885599047</v>
      </c>
      <c r="AC911" s="9">
        <v>24.988647885599047</v>
      </c>
      <c r="AD911" s="9">
        <v>27.429334733487696</v>
      </c>
      <c r="AE911" s="9">
        <v>30.009055056381616</v>
      </c>
      <c r="AF911" s="9">
        <v>34.85116305716884</v>
      </c>
      <c r="AG911" s="9">
        <v>34.85116305716884</v>
      </c>
      <c r="AH911" s="9">
        <v>37.75822329541549</v>
      </c>
      <c r="AI911" s="9">
        <v>40.581849370377171</v>
      </c>
      <c r="AJ911" s="9">
        <v>3.0428788910505911</v>
      </c>
    </row>
    <row r="912" spans="1:36" x14ac:dyDescent="0.25">
      <c r="A912" t="s">
        <v>5411</v>
      </c>
      <c r="B912" t="s">
        <v>16</v>
      </c>
      <c r="C912" t="s">
        <v>17</v>
      </c>
      <c r="D912">
        <v>28820000</v>
      </c>
      <c r="E912">
        <v>28820969</v>
      </c>
      <c r="F912" t="s">
        <v>759</v>
      </c>
      <c r="G912" t="str">
        <f t="shared" si="28"/>
        <v>RJI</v>
      </c>
      <c r="H912" t="s">
        <v>663</v>
      </c>
      <c r="I912" t="s">
        <v>20</v>
      </c>
      <c r="J912" t="s">
        <v>62</v>
      </c>
      <c r="K912" s="6">
        <v>0.03</v>
      </c>
      <c r="L912" s="7">
        <f t="shared" si="29"/>
        <v>2E-3</v>
      </c>
      <c r="M912" s="7">
        <v>3.0000000000000001E-3</v>
      </c>
      <c r="N912">
        <v>7</v>
      </c>
      <c r="O912" s="8">
        <v>15.267633692923473</v>
      </c>
      <c r="P912" s="9">
        <v>15.267633692923473</v>
      </c>
      <c r="Q912" s="9">
        <v>15.267633692923473</v>
      </c>
      <c r="R912" s="9">
        <v>15.455820801950338</v>
      </c>
      <c r="S912" s="9">
        <v>15.721645950324477</v>
      </c>
      <c r="T912" s="9">
        <v>16.739439286239044</v>
      </c>
      <c r="U912" s="9">
        <v>18.882065020469135</v>
      </c>
      <c r="V912" s="9">
        <v>18.882065020469135</v>
      </c>
      <c r="W912" s="9">
        <v>18.882065020469135</v>
      </c>
      <c r="X912" s="9">
        <v>20.560260982458932</v>
      </c>
      <c r="Y912" s="9">
        <v>20.560260982458932</v>
      </c>
      <c r="Z912" s="9">
        <v>22.671148936966464</v>
      </c>
      <c r="AA912" s="9">
        <v>22.671148936966464</v>
      </c>
      <c r="AB912" s="9">
        <v>24.988647885599047</v>
      </c>
      <c r="AC912" s="9">
        <v>24.988647885599047</v>
      </c>
      <c r="AD912" s="9">
        <v>27.429334733487696</v>
      </c>
      <c r="AE912" s="9">
        <v>30.009055056381616</v>
      </c>
      <c r="AF912" s="9">
        <v>34.85116305716884</v>
      </c>
      <c r="AG912" s="9">
        <v>34.85116305716884</v>
      </c>
      <c r="AH912" s="9">
        <v>37.75822329541549</v>
      </c>
      <c r="AI912" s="9">
        <v>40.581849370377171</v>
      </c>
      <c r="AJ912" s="9">
        <v>3.0428788910505911</v>
      </c>
    </row>
    <row r="913" spans="1:36" x14ac:dyDescent="0.25">
      <c r="A913" t="s">
        <v>5411</v>
      </c>
      <c r="B913" t="s">
        <v>16</v>
      </c>
      <c r="C913" t="s">
        <v>17</v>
      </c>
      <c r="D913">
        <v>28820970</v>
      </c>
      <c r="E913">
        <v>28859999</v>
      </c>
      <c r="F913" t="s">
        <v>759</v>
      </c>
      <c r="G913" t="str">
        <f t="shared" si="28"/>
        <v>RJI</v>
      </c>
      <c r="H913" t="s">
        <v>663</v>
      </c>
      <c r="I913" t="s">
        <v>20</v>
      </c>
      <c r="J913" t="s">
        <v>62</v>
      </c>
      <c r="K913" s="6">
        <v>0.03</v>
      </c>
      <c r="L913" s="7">
        <f t="shared" si="29"/>
        <v>2E-3</v>
      </c>
      <c r="M913" s="7">
        <v>3.0000000000000001E-3</v>
      </c>
      <c r="N913">
        <v>7</v>
      </c>
      <c r="O913" s="8">
        <v>15.267633692923473</v>
      </c>
      <c r="P913" s="9">
        <v>15.267633692923473</v>
      </c>
      <c r="Q913" s="9">
        <v>15.267633692923473</v>
      </c>
      <c r="R913" s="9">
        <v>15.455820801950338</v>
      </c>
      <c r="S913" s="9">
        <v>15.721645950324477</v>
      </c>
      <c r="T913" s="9">
        <v>16.739439286239044</v>
      </c>
      <c r="U913" s="9">
        <v>18.882065020469135</v>
      </c>
      <c r="V913" s="9">
        <v>18.882065020469135</v>
      </c>
      <c r="W913" s="9">
        <v>18.882065020469135</v>
      </c>
      <c r="X913" s="9">
        <v>20.560260982458932</v>
      </c>
      <c r="Y913" s="9">
        <v>20.560260982458932</v>
      </c>
      <c r="Z913" s="9">
        <v>22.671148936966464</v>
      </c>
      <c r="AA913" s="9">
        <v>22.671148936966464</v>
      </c>
      <c r="AB913" s="9">
        <v>24.988647885599047</v>
      </c>
      <c r="AC913" s="9">
        <v>24.988647885599047</v>
      </c>
      <c r="AD913" s="9">
        <v>27.429334733487696</v>
      </c>
      <c r="AE913" s="9">
        <v>30.009055056381616</v>
      </c>
      <c r="AF913" s="9">
        <v>34.85116305716884</v>
      </c>
      <c r="AG913" s="9">
        <v>34.85116305716884</v>
      </c>
      <c r="AH913" s="9">
        <v>37.75822329541549</v>
      </c>
      <c r="AI913" s="9">
        <v>40.581849370377171</v>
      </c>
      <c r="AJ913" s="9">
        <v>3.0428788910505911</v>
      </c>
    </row>
    <row r="914" spans="1:36" x14ac:dyDescent="0.25">
      <c r="A914" t="s">
        <v>5411</v>
      </c>
      <c r="B914" t="s">
        <v>16</v>
      </c>
      <c r="C914" t="s">
        <v>17</v>
      </c>
      <c r="D914">
        <v>28860000</v>
      </c>
      <c r="E914">
        <v>28860969</v>
      </c>
      <c r="F914" t="s">
        <v>760</v>
      </c>
      <c r="G914" t="str">
        <f t="shared" si="28"/>
        <v>RJI</v>
      </c>
      <c r="H914" t="s">
        <v>663</v>
      </c>
      <c r="I914" t="s">
        <v>20</v>
      </c>
      <c r="J914" t="s">
        <v>62</v>
      </c>
      <c r="K914" s="6">
        <v>0.03</v>
      </c>
      <c r="L914" s="7">
        <f t="shared" si="29"/>
        <v>2E-3</v>
      </c>
      <c r="M914" s="7">
        <v>3.0000000000000001E-3</v>
      </c>
      <c r="N914">
        <v>7</v>
      </c>
      <c r="O914" s="8">
        <v>15.267633692923473</v>
      </c>
      <c r="P914" s="9">
        <v>15.267633692923473</v>
      </c>
      <c r="Q914" s="9">
        <v>15.267633692923473</v>
      </c>
      <c r="R914" s="9">
        <v>15.455820801950338</v>
      </c>
      <c r="S914" s="9">
        <v>15.721645950324477</v>
      </c>
      <c r="T914" s="9">
        <v>16.739439286239044</v>
      </c>
      <c r="U914" s="9">
        <v>18.882065020469135</v>
      </c>
      <c r="V914" s="9">
        <v>18.882065020469135</v>
      </c>
      <c r="W914" s="9">
        <v>18.882065020469135</v>
      </c>
      <c r="X914" s="9">
        <v>20.560260982458932</v>
      </c>
      <c r="Y914" s="9">
        <v>20.560260982458932</v>
      </c>
      <c r="Z914" s="9">
        <v>22.671148936966464</v>
      </c>
      <c r="AA914" s="9">
        <v>22.671148936966464</v>
      </c>
      <c r="AB914" s="9">
        <v>24.988647885599047</v>
      </c>
      <c r="AC914" s="9">
        <v>24.988647885599047</v>
      </c>
      <c r="AD914" s="9">
        <v>27.429334733487696</v>
      </c>
      <c r="AE914" s="9">
        <v>30.009055056381616</v>
      </c>
      <c r="AF914" s="9">
        <v>34.85116305716884</v>
      </c>
      <c r="AG914" s="9">
        <v>34.85116305716884</v>
      </c>
      <c r="AH914" s="9">
        <v>37.75822329541549</v>
      </c>
      <c r="AI914" s="9">
        <v>40.581849370377171</v>
      </c>
      <c r="AJ914" s="9">
        <v>3.0428788910505911</v>
      </c>
    </row>
    <row r="915" spans="1:36" x14ac:dyDescent="0.25">
      <c r="A915" t="s">
        <v>5411</v>
      </c>
      <c r="B915" t="s">
        <v>16</v>
      </c>
      <c r="C915" t="s">
        <v>17</v>
      </c>
      <c r="D915">
        <v>28860970</v>
      </c>
      <c r="E915">
        <v>28860999</v>
      </c>
      <c r="F915" t="s">
        <v>760</v>
      </c>
      <c r="G915" t="str">
        <f t="shared" si="28"/>
        <v>RJI</v>
      </c>
      <c r="H915" t="s">
        <v>663</v>
      </c>
      <c r="I915" t="s">
        <v>20</v>
      </c>
      <c r="J915" t="s">
        <v>62</v>
      </c>
      <c r="K915" s="6">
        <v>0.03</v>
      </c>
      <c r="L915" s="7">
        <f t="shared" si="29"/>
        <v>2E-3</v>
      </c>
      <c r="M915" s="7">
        <v>3.0000000000000001E-3</v>
      </c>
      <c r="N915">
        <v>7</v>
      </c>
      <c r="O915" s="8">
        <v>15.267633692923473</v>
      </c>
      <c r="P915" s="9">
        <v>15.267633692923473</v>
      </c>
      <c r="Q915" s="9">
        <v>15.267633692923473</v>
      </c>
      <c r="R915" s="9">
        <v>15.455820801950338</v>
      </c>
      <c r="S915" s="9">
        <v>15.721645950324477</v>
      </c>
      <c r="T915" s="9">
        <v>16.739439286239044</v>
      </c>
      <c r="U915" s="9">
        <v>18.882065020469135</v>
      </c>
      <c r="V915" s="9">
        <v>18.882065020469135</v>
      </c>
      <c r="W915" s="9">
        <v>18.882065020469135</v>
      </c>
      <c r="X915" s="9">
        <v>20.560260982458932</v>
      </c>
      <c r="Y915" s="9">
        <v>20.560260982458932</v>
      </c>
      <c r="Z915" s="9">
        <v>22.671148936966464</v>
      </c>
      <c r="AA915" s="9">
        <v>22.671148936966464</v>
      </c>
      <c r="AB915" s="9">
        <v>24.988647885599047</v>
      </c>
      <c r="AC915" s="9">
        <v>24.988647885599047</v>
      </c>
      <c r="AD915" s="9">
        <v>27.429334733487696</v>
      </c>
      <c r="AE915" s="9">
        <v>30.009055056381616</v>
      </c>
      <c r="AF915" s="9">
        <v>34.85116305716884</v>
      </c>
      <c r="AG915" s="9">
        <v>34.85116305716884</v>
      </c>
      <c r="AH915" s="9">
        <v>37.75822329541549</v>
      </c>
      <c r="AI915" s="9">
        <v>40.581849370377171</v>
      </c>
      <c r="AJ915" s="9">
        <v>3.0428788910505911</v>
      </c>
    </row>
    <row r="916" spans="1:36" x14ac:dyDescent="0.25">
      <c r="A916" t="s">
        <v>5411</v>
      </c>
      <c r="B916" t="s">
        <v>16</v>
      </c>
      <c r="C916" t="s">
        <v>17</v>
      </c>
      <c r="D916">
        <v>28861000</v>
      </c>
      <c r="E916">
        <v>28879999</v>
      </c>
      <c r="F916" t="s">
        <v>761</v>
      </c>
      <c r="G916" t="str">
        <f t="shared" si="28"/>
        <v>RJR</v>
      </c>
      <c r="H916" t="s">
        <v>663</v>
      </c>
      <c r="I916" t="s">
        <v>20</v>
      </c>
      <c r="J916" t="s">
        <v>77</v>
      </c>
      <c r="K916" s="6">
        <v>0.03</v>
      </c>
      <c r="L916" s="7">
        <f t="shared" si="29"/>
        <v>2E-3</v>
      </c>
      <c r="M916" s="7">
        <v>3.0000000000000001E-3</v>
      </c>
      <c r="N916">
        <v>17</v>
      </c>
      <c r="O916" s="8">
        <v>27.759279108538067</v>
      </c>
      <c r="P916" s="9">
        <v>27.759279108538067</v>
      </c>
      <c r="Q916" s="9">
        <v>27.759279108538067</v>
      </c>
      <c r="R916" s="9">
        <v>28.909938214135668</v>
      </c>
      <c r="S916" s="9">
        <v>29.129746609556125</v>
      </c>
      <c r="T916" s="9">
        <v>29.885241910517856</v>
      </c>
      <c r="U916" s="9">
        <v>31.387298550026539</v>
      </c>
      <c r="V916" s="9">
        <v>31.387298550026539</v>
      </c>
      <c r="W916" s="9">
        <v>31.387298550026539</v>
      </c>
      <c r="X916" s="9">
        <v>34.262376337518653</v>
      </c>
      <c r="Y916" s="9">
        <v>34.262376337518653</v>
      </c>
      <c r="Z916" s="9">
        <v>37.290012030342261</v>
      </c>
      <c r="AA916" s="9">
        <v>37.290012030342261</v>
      </c>
      <c r="AB916" s="9">
        <v>40.470361633702204</v>
      </c>
      <c r="AC916" s="9">
        <v>40.470361633702204</v>
      </c>
      <c r="AD916" s="9">
        <v>44.305029050310999</v>
      </c>
      <c r="AE916" s="9">
        <v>48.34275103891602</v>
      </c>
      <c r="AF916" s="9">
        <v>52.603833056716866</v>
      </c>
      <c r="AG916" s="9">
        <v>52.603833056716866</v>
      </c>
      <c r="AH916" s="9">
        <v>57.633590453735039</v>
      </c>
      <c r="AI916" s="9">
        <v>62.933613486080198</v>
      </c>
      <c r="AJ916" s="9">
        <v>3.0428788910505911</v>
      </c>
    </row>
    <row r="917" spans="1:36" x14ac:dyDescent="0.25">
      <c r="A917" t="s">
        <v>5411</v>
      </c>
      <c r="B917" t="s">
        <v>16</v>
      </c>
      <c r="C917" t="s">
        <v>17</v>
      </c>
      <c r="D917">
        <v>28880000</v>
      </c>
      <c r="E917">
        <v>28889999</v>
      </c>
      <c r="F917" t="s">
        <v>761</v>
      </c>
      <c r="G917" t="str">
        <f t="shared" si="28"/>
        <v>RJI</v>
      </c>
      <c r="H917" t="s">
        <v>663</v>
      </c>
      <c r="I917" t="s">
        <v>20</v>
      </c>
      <c r="J917" t="s">
        <v>62</v>
      </c>
      <c r="K917" s="6">
        <v>0.03</v>
      </c>
      <c r="L917" s="7">
        <f t="shared" si="29"/>
        <v>2E-3</v>
      </c>
      <c r="M917" s="7">
        <v>3.0000000000000001E-3</v>
      </c>
      <c r="N917">
        <v>7</v>
      </c>
      <c r="O917" s="8">
        <v>15.267633692923473</v>
      </c>
      <c r="P917" s="9">
        <v>15.267633692923473</v>
      </c>
      <c r="Q917" s="9">
        <v>15.267633692923473</v>
      </c>
      <c r="R917" s="9">
        <v>15.455820801950338</v>
      </c>
      <c r="S917" s="9">
        <v>15.721645950324477</v>
      </c>
      <c r="T917" s="9">
        <v>16.739439286239044</v>
      </c>
      <c r="U917" s="9">
        <v>18.882065020469135</v>
      </c>
      <c r="V917" s="9">
        <v>18.882065020469135</v>
      </c>
      <c r="W917" s="9">
        <v>18.882065020469135</v>
      </c>
      <c r="X917" s="9">
        <v>20.560260982458932</v>
      </c>
      <c r="Y917" s="9">
        <v>20.560260982458932</v>
      </c>
      <c r="Z917" s="9">
        <v>22.671148936966464</v>
      </c>
      <c r="AA917" s="9">
        <v>22.671148936966464</v>
      </c>
      <c r="AB917" s="9">
        <v>24.988647885599047</v>
      </c>
      <c r="AC917" s="9">
        <v>24.988647885599047</v>
      </c>
      <c r="AD917" s="9">
        <v>27.429334733487696</v>
      </c>
      <c r="AE917" s="9">
        <v>30.009055056381616</v>
      </c>
      <c r="AF917" s="9">
        <v>34.85116305716884</v>
      </c>
      <c r="AG917" s="9">
        <v>34.85116305716884</v>
      </c>
      <c r="AH917" s="9">
        <v>37.75822329541549</v>
      </c>
      <c r="AI917" s="9">
        <v>40.581849370377171</v>
      </c>
      <c r="AJ917" s="9">
        <v>3.0428788910505911</v>
      </c>
    </row>
    <row r="918" spans="1:36" x14ac:dyDescent="0.25">
      <c r="A918" t="s">
        <v>5411</v>
      </c>
      <c r="B918" t="s">
        <v>16</v>
      </c>
      <c r="C918" t="s">
        <v>17</v>
      </c>
      <c r="D918">
        <v>28890000</v>
      </c>
      <c r="E918">
        <v>28899999</v>
      </c>
      <c r="F918" t="s">
        <v>762</v>
      </c>
      <c r="G918" t="str">
        <f t="shared" si="28"/>
        <v>RJI</v>
      </c>
      <c r="H918" t="s">
        <v>663</v>
      </c>
      <c r="I918" t="s">
        <v>20</v>
      </c>
      <c r="J918" t="s">
        <v>62</v>
      </c>
      <c r="K918" s="6">
        <v>0.03</v>
      </c>
      <c r="L918" s="7">
        <f t="shared" si="29"/>
        <v>2E-3</v>
      </c>
      <c r="M918" s="7">
        <v>3.0000000000000001E-3</v>
      </c>
      <c r="N918">
        <v>7</v>
      </c>
      <c r="O918" s="8">
        <v>15.267633692923473</v>
      </c>
      <c r="P918" s="9">
        <v>15.267633692923473</v>
      </c>
      <c r="Q918" s="9">
        <v>15.267633692923473</v>
      </c>
      <c r="R918" s="9">
        <v>15.455820801950338</v>
      </c>
      <c r="S918" s="9">
        <v>15.721645950324477</v>
      </c>
      <c r="T918" s="9">
        <v>16.739439286239044</v>
      </c>
      <c r="U918" s="9">
        <v>18.882065020469135</v>
      </c>
      <c r="V918" s="9">
        <v>18.882065020469135</v>
      </c>
      <c r="W918" s="9">
        <v>18.882065020469135</v>
      </c>
      <c r="X918" s="9">
        <v>20.560260982458932</v>
      </c>
      <c r="Y918" s="9">
        <v>20.560260982458932</v>
      </c>
      <c r="Z918" s="9">
        <v>22.671148936966464</v>
      </c>
      <c r="AA918" s="9">
        <v>22.671148936966464</v>
      </c>
      <c r="AB918" s="9">
        <v>24.988647885599047</v>
      </c>
      <c r="AC918" s="9">
        <v>24.988647885599047</v>
      </c>
      <c r="AD918" s="9">
        <v>27.429334733487696</v>
      </c>
      <c r="AE918" s="9">
        <v>30.009055056381616</v>
      </c>
      <c r="AF918" s="9">
        <v>34.85116305716884</v>
      </c>
      <c r="AG918" s="9">
        <v>34.85116305716884</v>
      </c>
      <c r="AH918" s="9">
        <v>37.75822329541549</v>
      </c>
      <c r="AI918" s="9">
        <v>40.581849370377171</v>
      </c>
      <c r="AJ918" s="9">
        <v>3.0428788910505911</v>
      </c>
    </row>
    <row r="919" spans="1:36" x14ac:dyDescent="0.25">
      <c r="A919" t="s">
        <v>5411</v>
      </c>
      <c r="B919" t="s">
        <v>16</v>
      </c>
      <c r="C919" t="s">
        <v>17</v>
      </c>
      <c r="D919">
        <v>28900000</v>
      </c>
      <c r="E919">
        <v>28924999</v>
      </c>
      <c r="F919" t="s">
        <v>763</v>
      </c>
      <c r="G919" t="str">
        <f t="shared" si="28"/>
        <v>RJI</v>
      </c>
      <c r="H919" t="s">
        <v>663</v>
      </c>
      <c r="I919" t="s">
        <v>20</v>
      </c>
      <c r="J919" t="s">
        <v>62</v>
      </c>
      <c r="K919" s="6">
        <v>0.03</v>
      </c>
      <c r="L919" s="7">
        <f t="shared" si="29"/>
        <v>2E-3</v>
      </c>
      <c r="M919" s="7">
        <v>3.0000000000000001E-3</v>
      </c>
      <c r="N919">
        <v>7</v>
      </c>
      <c r="O919" s="8">
        <v>15.267633692923473</v>
      </c>
      <c r="P919" s="9">
        <v>15.267633692923473</v>
      </c>
      <c r="Q919" s="9">
        <v>15.267633692923473</v>
      </c>
      <c r="R919" s="9">
        <v>15.455820801950338</v>
      </c>
      <c r="S919" s="9">
        <v>15.721645950324477</v>
      </c>
      <c r="T919" s="9">
        <v>16.739439286239044</v>
      </c>
      <c r="U919" s="9">
        <v>18.882065020469135</v>
      </c>
      <c r="V919" s="9">
        <v>18.882065020469135</v>
      </c>
      <c r="W919" s="9">
        <v>18.882065020469135</v>
      </c>
      <c r="X919" s="9">
        <v>20.560260982458932</v>
      </c>
      <c r="Y919" s="9">
        <v>20.560260982458932</v>
      </c>
      <c r="Z919" s="9">
        <v>22.671148936966464</v>
      </c>
      <c r="AA919" s="9">
        <v>22.671148936966464</v>
      </c>
      <c r="AB919" s="9">
        <v>24.988647885599047</v>
      </c>
      <c r="AC919" s="9">
        <v>24.988647885599047</v>
      </c>
      <c r="AD919" s="9">
        <v>27.429334733487696</v>
      </c>
      <c r="AE919" s="9">
        <v>30.009055056381616</v>
      </c>
      <c r="AF919" s="9">
        <v>34.85116305716884</v>
      </c>
      <c r="AG919" s="9">
        <v>34.85116305716884</v>
      </c>
      <c r="AH919" s="9">
        <v>37.75822329541549</v>
      </c>
      <c r="AI919" s="9">
        <v>40.581849370377171</v>
      </c>
      <c r="AJ919" s="9">
        <v>3.0428788910505911</v>
      </c>
    </row>
    <row r="920" spans="1:36" x14ac:dyDescent="0.25">
      <c r="A920" t="s">
        <v>5411</v>
      </c>
      <c r="B920" t="s">
        <v>16</v>
      </c>
      <c r="C920" t="s">
        <v>17</v>
      </c>
      <c r="D920">
        <v>28925000</v>
      </c>
      <c r="E920">
        <v>28929999</v>
      </c>
      <c r="F920" t="s">
        <v>763</v>
      </c>
      <c r="G920" t="str">
        <f t="shared" si="28"/>
        <v>RJI</v>
      </c>
      <c r="H920" t="s">
        <v>663</v>
      </c>
      <c r="I920" t="s">
        <v>20</v>
      </c>
      <c r="J920" t="s">
        <v>62</v>
      </c>
      <c r="K920" s="6">
        <v>0.03</v>
      </c>
      <c r="L920" s="7">
        <f t="shared" si="29"/>
        <v>2E-3</v>
      </c>
      <c r="M920" s="7">
        <v>3.0000000000000001E-3</v>
      </c>
      <c r="N920">
        <v>7</v>
      </c>
      <c r="O920" s="8">
        <v>15.267633692923473</v>
      </c>
      <c r="P920" s="9">
        <v>15.267633692923473</v>
      </c>
      <c r="Q920" s="9">
        <v>15.267633692923473</v>
      </c>
      <c r="R920" s="9">
        <v>15.455820801950338</v>
      </c>
      <c r="S920" s="9">
        <v>15.721645950324477</v>
      </c>
      <c r="T920" s="9">
        <v>16.739439286239044</v>
      </c>
      <c r="U920" s="9">
        <v>18.882065020469135</v>
      </c>
      <c r="V920" s="9">
        <v>18.882065020469135</v>
      </c>
      <c r="W920" s="9">
        <v>18.882065020469135</v>
      </c>
      <c r="X920" s="9">
        <v>20.560260982458932</v>
      </c>
      <c r="Y920" s="9">
        <v>20.560260982458932</v>
      </c>
      <c r="Z920" s="9">
        <v>22.671148936966464</v>
      </c>
      <c r="AA920" s="9">
        <v>22.671148936966464</v>
      </c>
      <c r="AB920" s="9">
        <v>24.988647885599047</v>
      </c>
      <c r="AC920" s="9">
        <v>24.988647885599047</v>
      </c>
      <c r="AD920" s="9">
        <v>27.429334733487696</v>
      </c>
      <c r="AE920" s="9">
        <v>30.009055056381616</v>
      </c>
      <c r="AF920" s="9">
        <v>34.85116305716884</v>
      </c>
      <c r="AG920" s="9">
        <v>34.85116305716884</v>
      </c>
      <c r="AH920" s="9">
        <v>37.75822329541549</v>
      </c>
      <c r="AI920" s="9">
        <v>40.581849370377171</v>
      </c>
      <c r="AJ920" s="9">
        <v>3.0428788910505911</v>
      </c>
    </row>
    <row r="921" spans="1:36" x14ac:dyDescent="0.25">
      <c r="A921" t="s">
        <v>5411</v>
      </c>
      <c r="B921" t="s">
        <v>16</v>
      </c>
      <c r="C921" t="s">
        <v>17</v>
      </c>
      <c r="D921">
        <v>28930000</v>
      </c>
      <c r="E921">
        <v>28939999</v>
      </c>
      <c r="F921" t="s">
        <v>764</v>
      </c>
      <c r="G921" t="str">
        <f t="shared" si="28"/>
        <v>RJI</v>
      </c>
      <c r="H921" t="s">
        <v>663</v>
      </c>
      <c r="I921" t="s">
        <v>20</v>
      </c>
      <c r="J921" t="s">
        <v>62</v>
      </c>
      <c r="K921" s="6">
        <v>0.03</v>
      </c>
      <c r="L921" s="7">
        <f t="shared" si="29"/>
        <v>2E-3</v>
      </c>
      <c r="M921" s="7">
        <v>3.0000000000000001E-3</v>
      </c>
      <c r="N921">
        <v>7</v>
      </c>
      <c r="O921" s="8">
        <v>15.267633692923473</v>
      </c>
      <c r="P921" s="9">
        <v>15.267633692923473</v>
      </c>
      <c r="Q921" s="9">
        <v>15.267633692923473</v>
      </c>
      <c r="R921" s="9">
        <v>15.455820801950338</v>
      </c>
      <c r="S921" s="9">
        <v>15.721645950324477</v>
      </c>
      <c r="T921" s="9">
        <v>16.739439286239044</v>
      </c>
      <c r="U921" s="9">
        <v>18.882065020469135</v>
      </c>
      <c r="V921" s="9">
        <v>18.882065020469135</v>
      </c>
      <c r="W921" s="9">
        <v>18.882065020469135</v>
      </c>
      <c r="X921" s="9">
        <v>20.560260982458932</v>
      </c>
      <c r="Y921" s="9">
        <v>20.560260982458932</v>
      </c>
      <c r="Z921" s="9">
        <v>22.671148936966464</v>
      </c>
      <c r="AA921" s="9">
        <v>22.671148936966464</v>
      </c>
      <c r="AB921" s="9">
        <v>24.988647885599047</v>
      </c>
      <c r="AC921" s="9">
        <v>24.988647885599047</v>
      </c>
      <c r="AD921" s="9">
        <v>27.429334733487696</v>
      </c>
      <c r="AE921" s="9">
        <v>30.009055056381616</v>
      </c>
      <c r="AF921" s="9">
        <v>34.85116305716884</v>
      </c>
      <c r="AG921" s="9">
        <v>34.85116305716884</v>
      </c>
      <c r="AH921" s="9">
        <v>37.75822329541549</v>
      </c>
      <c r="AI921" s="9">
        <v>40.581849370377171</v>
      </c>
      <c r="AJ921" s="9">
        <v>3.0428788910505911</v>
      </c>
    </row>
    <row r="922" spans="1:36" x14ac:dyDescent="0.25">
      <c r="A922" t="s">
        <v>5411</v>
      </c>
      <c r="B922" t="s">
        <v>16</v>
      </c>
      <c r="C922" t="s">
        <v>17</v>
      </c>
      <c r="D922">
        <v>28940000</v>
      </c>
      <c r="E922">
        <v>28949999</v>
      </c>
      <c r="F922" t="s">
        <v>765</v>
      </c>
      <c r="G922" t="str">
        <f t="shared" si="28"/>
        <v>RJI</v>
      </c>
      <c r="H922" t="s">
        <v>663</v>
      </c>
      <c r="I922" t="s">
        <v>20</v>
      </c>
      <c r="J922" t="s">
        <v>62</v>
      </c>
      <c r="K922" s="6">
        <v>0.03</v>
      </c>
      <c r="L922" s="7">
        <f t="shared" si="29"/>
        <v>2E-3</v>
      </c>
      <c r="M922" s="7">
        <v>3.0000000000000001E-3</v>
      </c>
      <c r="N922">
        <v>7</v>
      </c>
      <c r="O922" s="8">
        <v>15.267633692923473</v>
      </c>
      <c r="P922" s="9">
        <v>15.267633692923473</v>
      </c>
      <c r="Q922" s="9">
        <v>15.267633692923473</v>
      </c>
      <c r="R922" s="9">
        <v>15.455820801950338</v>
      </c>
      <c r="S922" s="9">
        <v>15.721645950324477</v>
      </c>
      <c r="T922" s="9">
        <v>16.739439286239044</v>
      </c>
      <c r="U922" s="9">
        <v>18.882065020469135</v>
      </c>
      <c r="V922" s="9">
        <v>18.882065020469135</v>
      </c>
      <c r="W922" s="9">
        <v>18.882065020469135</v>
      </c>
      <c r="X922" s="9">
        <v>20.560260982458932</v>
      </c>
      <c r="Y922" s="9">
        <v>20.560260982458932</v>
      </c>
      <c r="Z922" s="9">
        <v>22.671148936966464</v>
      </c>
      <c r="AA922" s="9">
        <v>22.671148936966464</v>
      </c>
      <c r="AB922" s="9">
        <v>24.988647885599047</v>
      </c>
      <c r="AC922" s="9">
        <v>24.988647885599047</v>
      </c>
      <c r="AD922" s="9">
        <v>27.429334733487696</v>
      </c>
      <c r="AE922" s="9">
        <v>30.009055056381616</v>
      </c>
      <c r="AF922" s="9">
        <v>34.85116305716884</v>
      </c>
      <c r="AG922" s="9">
        <v>34.85116305716884</v>
      </c>
      <c r="AH922" s="9">
        <v>37.75822329541549</v>
      </c>
      <c r="AI922" s="9">
        <v>40.581849370377171</v>
      </c>
      <c r="AJ922" s="9">
        <v>3.0428788910505911</v>
      </c>
    </row>
    <row r="923" spans="1:36" x14ac:dyDescent="0.25">
      <c r="A923" t="s">
        <v>5411</v>
      </c>
      <c r="B923" t="s">
        <v>16</v>
      </c>
      <c r="C923" t="s">
        <v>17</v>
      </c>
      <c r="D923">
        <v>28950000</v>
      </c>
      <c r="E923">
        <v>28959999</v>
      </c>
      <c r="F923" t="s">
        <v>766</v>
      </c>
      <c r="G923" t="str">
        <f t="shared" si="28"/>
        <v>RJI</v>
      </c>
      <c r="H923" t="s">
        <v>663</v>
      </c>
      <c r="I923" t="s">
        <v>20</v>
      </c>
      <c r="J923" t="s">
        <v>62</v>
      </c>
      <c r="K923" s="6">
        <v>0.03</v>
      </c>
      <c r="L923" s="7">
        <f t="shared" si="29"/>
        <v>2E-3</v>
      </c>
      <c r="M923" s="7">
        <v>3.0000000000000001E-3</v>
      </c>
      <c r="N923">
        <v>7</v>
      </c>
      <c r="O923" s="8">
        <v>15.267633692923473</v>
      </c>
      <c r="P923" s="9">
        <v>15.267633692923473</v>
      </c>
      <c r="Q923" s="9">
        <v>15.267633692923473</v>
      </c>
      <c r="R923" s="9">
        <v>15.455820801950338</v>
      </c>
      <c r="S923" s="9">
        <v>15.721645950324477</v>
      </c>
      <c r="T923" s="9">
        <v>16.739439286239044</v>
      </c>
      <c r="U923" s="9">
        <v>18.882065020469135</v>
      </c>
      <c r="V923" s="9">
        <v>18.882065020469135</v>
      </c>
      <c r="W923" s="9">
        <v>18.882065020469135</v>
      </c>
      <c r="X923" s="9">
        <v>20.560260982458932</v>
      </c>
      <c r="Y923" s="9">
        <v>20.560260982458932</v>
      </c>
      <c r="Z923" s="9">
        <v>22.671148936966464</v>
      </c>
      <c r="AA923" s="9">
        <v>22.671148936966464</v>
      </c>
      <c r="AB923" s="9">
        <v>24.988647885599047</v>
      </c>
      <c r="AC923" s="9">
        <v>24.988647885599047</v>
      </c>
      <c r="AD923" s="9">
        <v>27.429334733487696</v>
      </c>
      <c r="AE923" s="9">
        <v>30.009055056381616</v>
      </c>
      <c r="AF923" s="9">
        <v>34.85116305716884</v>
      </c>
      <c r="AG923" s="9">
        <v>34.85116305716884</v>
      </c>
      <c r="AH923" s="9">
        <v>37.75822329541549</v>
      </c>
      <c r="AI923" s="9">
        <v>40.581849370377171</v>
      </c>
      <c r="AJ923" s="9">
        <v>3.0428788910505911</v>
      </c>
    </row>
    <row r="924" spans="1:36" x14ac:dyDescent="0.25">
      <c r="A924" t="s">
        <v>5411</v>
      </c>
      <c r="B924" t="s">
        <v>16</v>
      </c>
      <c r="C924" t="s">
        <v>17</v>
      </c>
      <c r="D924">
        <v>28960000</v>
      </c>
      <c r="E924">
        <v>28969999</v>
      </c>
      <c r="F924" t="s">
        <v>767</v>
      </c>
      <c r="G924" t="str">
        <f t="shared" si="28"/>
        <v>RJI</v>
      </c>
      <c r="H924" t="s">
        <v>663</v>
      </c>
      <c r="I924" t="s">
        <v>20</v>
      </c>
      <c r="J924" t="s">
        <v>62</v>
      </c>
      <c r="K924" s="6">
        <v>0.03</v>
      </c>
      <c r="L924" s="7">
        <f t="shared" si="29"/>
        <v>2E-3</v>
      </c>
      <c r="M924" s="7">
        <v>3.0000000000000001E-3</v>
      </c>
      <c r="N924">
        <v>7</v>
      </c>
      <c r="O924" s="8">
        <v>15.267633692923473</v>
      </c>
      <c r="P924" s="9">
        <v>15.267633692923473</v>
      </c>
      <c r="Q924" s="9">
        <v>15.267633692923473</v>
      </c>
      <c r="R924" s="9">
        <v>15.455820801950338</v>
      </c>
      <c r="S924" s="9">
        <v>15.721645950324477</v>
      </c>
      <c r="T924" s="9">
        <v>16.739439286239044</v>
      </c>
      <c r="U924" s="9">
        <v>18.882065020469135</v>
      </c>
      <c r="V924" s="9">
        <v>18.882065020469135</v>
      </c>
      <c r="W924" s="9">
        <v>18.882065020469135</v>
      </c>
      <c r="X924" s="9">
        <v>20.560260982458932</v>
      </c>
      <c r="Y924" s="9">
        <v>20.560260982458932</v>
      </c>
      <c r="Z924" s="9">
        <v>22.671148936966464</v>
      </c>
      <c r="AA924" s="9">
        <v>22.671148936966464</v>
      </c>
      <c r="AB924" s="9">
        <v>24.988647885599047</v>
      </c>
      <c r="AC924" s="9">
        <v>24.988647885599047</v>
      </c>
      <c r="AD924" s="9">
        <v>27.429334733487696</v>
      </c>
      <c r="AE924" s="9">
        <v>30.009055056381616</v>
      </c>
      <c r="AF924" s="9">
        <v>34.85116305716884</v>
      </c>
      <c r="AG924" s="9">
        <v>34.85116305716884</v>
      </c>
      <c r="AH924" s="9">
        <v>37.75822329541549</v>
      </c>
      <c r="AI924" s="9">
        <v>40.581849370377171</v>
      </c>
      <c r="AJ924" s="9">
        <v>3.0428788910505911</v>
      </c>
    </row>
    <row r="925" spans="1:36" x14ac:dyDescent="0.25">
      <c r="A925" t="s">
        <v>5411</v>
      </c>
      <c r="B925" t="s">
        <v>16</v>
      </c>
      <c r="C925" t="s">
        <v>17</v>
      </c>
      <c r="D925">
        <v>28970000</v>
      </c>
      <c r="E925">
        <v>28989969</v>
      </c>
      <c r="F925" t="s">
        <v>768</v>
      </c>
      <c r="G925" t="str">
        <f t="shared" si="28"/>
        <v>RJI</v>
      </c>
      <c r="H925" t="s">
        <v>663</v>
      </c>
      <c r="I925" t="s">
        <v>20</v>
      </c>
      <c r="J925" t="s">
        <v>62</v>
      </c>
      <c r="K925" s="6">
        <v>0.03</v>
      </c>
      <c r="L925" s="7">
        <f t="shared" si="29"/>
        <v>2E-3</v>
      </c>
      <c r="M925" s="7">
        <v>3.0000000000000001E-3</v>
      </c>
      <c r="N925">
        <v>7</v>
      </c>
      <c r="O925" s="8">
        <v>15.267633692923473</v>
      </c>
      <c r="P925" s="9">
        <v>15.267633692923473</v>
      </c>
      <c r="Q925" s="9">
        <v>15.267633692923473</v>
      </c>
      <c r="R925" s="9">
        <v>15.455820801950338</v>
      </c>
      <c r="S925" s="9">
        <v>15.721645950324477</v>
      </c>
      <c r="T925" s="9">
        <v>16.739439286239044</v>
      </c>
      <c r="U925" s="9">
        <v>18.882065020469135</v>
      </c>
      <c r="V925" s="9">
        <v>18.882065020469135</v>
      </c>
      <c r="W925" s="9">
        <v>18.882065020469135</v>
      </c>
      <c r="X925" s="9">
        <v>20.560260982458932</v>
      </c>
      <c r="Y925" s="9">
        <v>20.560260982458932</v>
      </c>
      <c r="Z925" s="9">
        <v>22.671148936966464</v>
      </c>
      <c r="AA925" s="9">
        <v>22.671148936966464</v>
      </c>
      <c r="AB925" s="9">
        <v>24.988647885599047</v>
      </c>
      <c r="AC925" s="9">
        <v>24.988647885599047</v>
      </c>
      <c r="AD925" s="9">
        <v>27.429334733487696</v>
      </c>
      <c r="AE925" s="9">
        <v>30.009055056381616</v>
      </c>
      <c r="AF925" s="9">
        <v>34.85116305716884</v>
      </c>
      <c r="AG925" s="9">
        <v>34.85116305716884</v>
      </c>
      <c r="AH925" s="9">
        <v>37.75822329541549</v>
      </c>
      <c r="AI925" s="9">
        <v>40.581849370377171</v>
      </c>
      <c r="AJ925" s="9">
        <v>3.0428788910505911</v>
      </c>
    </row>
    <row r="926" spans="1:36" x14ac:dyDescent="0.25">
      <c r="A926" t="s">
        <v>5411</v>
      </c>
      <c r="B926" t="s">
        <v>16</v>
      </c>
      <c r="C926" t="s">
        <v>17</v>
      </c>
      <c r="D926">
        <v>28989970</v>
      </c>
      <c r="E926">
        <v>28989999</v>
      </c>
      <c r="F926" t="s">
        <v>768</v>
      </c>
      <c r="G926" t="str">
        <f t="shared" si="28"/>
        <v>RJI</v>
      </c>
      <c r="H926" t="s">
        <v>663</v>
      </c>
      <c r="I926" t="s">
        <v>20</v>
      </c>
      <c r="J926" t="s">
        <v>62</v>
      </c>
      <c r="K926" s="6">
        <v>0.03</v>
      </c>
      <c r="L926" s="7">
        <f t="shared" si="29"/>
        <v>2E-3</v>
      </c>
      <c r="M926" s="7">
        <v>3.0000000000000001E-3</v>
      </c>
      <c r="N926">
        <v>7</v>
      </c>
      <c r="O926" s="8">
        <v>15.267633692923473</v>
      </c>
      <c r="P926" s="9">
        <v>15.267633692923473</v>
      </c>
      <c r="Q926" s="9">
        <v>15.267633692923473</v>
      </c>
      <c r="R926" s="9">
        <v>15.455820801950338</v>
      </c>
      <c r="S926" s="9">
        <v>15.721645950324477</v>
      </c>
      <c r="T926" s="9">
        <v>16.739439286239044</v>
      </c>
      <c r="U926" s="9">
        <v>18.882065020469135</v>
      </c>
      <c r="V926" s="9">
        <v>18.882065020469135</v>
      </c>
      <c r="W926" s="9">
        <v>18.882065020469135</v>
      </c>
      <c r="X926" s="9">
        <v>20.560260982458932</v>
      </c>
      <c r="Y926" s="9">
        <v>20.560260982458932</v>
      </c>
      <c r="Z926" s="9">
        <v>22.671148936966464</v>
      </c>
      <c r="AA926" s="9">
        <v>22.671148936966464</v>
      </c>
      <c r="AB926" s="9">
        <v>24.988647885599047</v>
      </c>
      <c r="AC926" s="9">
        <v>24.988647885599047</v>
      </c>
      <c r="AD926" s="9">
        <v>27.429334733487696</v>
      </c>
      <c r="AE926" s="9">
        <v>30.009055056381616</v>
      </c>
      <c r="AF926" s="9">
        <v>34.85116305716884</v>
      </c>
      <c r="AG926" s="9">
        <v>34.85116305716884</v>
      </c>
      <c r="AH926" s="9">
        <v>37.75822329541549</v>
      </c>
      <c r="AI926" s="9">
        <v>40.581849370377171</v>
      </c>
      <c r="AJ926" s="9">
        <v>3.0428788910505911</v>
      </c>
    </row>
    <row r="927" spans="1:36" x14ac:dyDescent="0.25">
      <c r="A927" t="s">
        <v>5411</v>
      </c>
      <c r="B927" t="s">
        <v>16</v>
      </c>
      <c r="C927" t="s">
        <v>17</v>
      </c>
      <c r="D927">
        <v>28990000</v>
      </c>
      <c r="E927">
        <v>28999969</v>
      </c>
      <c r="F927" t="s">
        <v>769</v>
      </c>
      <c r="G927" t="str">
        <f t="shared" si="28"/>
        <v>RJI</v>
      </c>
      <c r="H927" t="s">
        <v>663</v>
      </c>
      <c r="I927" t="s">
        <v>20</v>
      </c>
      <c r="J927" t="s">
        <v>62</v>
      </c>
      <c r="K927" s="6">
        <v>0.03</v>
      </c>
      <c r="L927" s="7">
        <f t="shared" si="29"/>
        <v>2E-3</v>
      </c>
      <c r="M927" s="7">
        <v>3.0000000000000001E-3</v>
      </c>
      <c r="N927">
        <v>7</v>
      </c>
      <c r="O927" s="8">
        <v>15.267633692923473</v>
      </c>
      <c r="P927" s="9">
        <v>15.267633692923473</v>
      </c>
      <c r="Q927" s="9">
        <v>15.267633692923473</v>
      </c>
      <c r="R927" s="9">
        <v>15.455820801950338</v>
      </c>
      <c r="S927" s="9">
        <v>15.721645950324477</v>
      </c>
      <c r="T927" s="9">
        <v>16.739439286239044</v>
      </c>
      <c r="U927" s="9">
        <v>18.882065020469135</v>
      </c>
      <c r="V927" s="9">
        <v>18.882065020469135</v>
      </c>
      <c r="W927" s="9">
        <v>18.882065020469135</v>
      </c>
      <c r="X927" s="9">
        <v>20.560260982458932</v>
      </c>
      <c r="Y927" s="9">
        <v>20.560260982458932</v>
      </c>
      <c r="Z927" s="9">
        <v>22.671148936966464</v>
      </c>
      <c r="AA927" s="9">
        <v>22.671148936966464</v>
      </c>
      <c r="AB927" s="9">
        <v>24.988647885599047</v>
      </c>
      <c r="AC927" s="9">
        <v>24.988647885599047</v>
      </c>
      <c r="AD927" s="9">
        <v>27.429334733487696</v>
      </c>
      <c r="AE927" s="9">
        <v>30.009055056381616</v>
      </c>
      <c r="AF927" s="9">
        <v>34.85116305716884</v>
      </c>
      <c r="AG927" s="9">
        <v>34.85116305716884</v>
      </c>
      <c r="AH927" s="9">
        <v>37.75822329541549</v>
      </c>
      <c r="AI927" s="9">
        <v>40.581849370377171</v>
      </c>
      <c r="AJ927" s="9">
        <v>3.0428788910505911</v>
      </c>
    </row>
    <row r="928" spans="1:36" x14ac:dyDescent="0.25">
      <c r="A928" t="s">
        <v>5411</v>
      </c>
      <c r="B928" t="s">
        <v>16</v>
      </c>
      <c r="C928" t="s">
        <v>17</v>
      </c>
      <c r="D928">
        <v>28999970</v>
      </c>
      <c r="E928">
        <v>28999999</v>
      </c>
      <c r="F928" t="s">
        <v>770</v>
      </c>
      <c r="G928" t="str">
        <f t="shared" si="28"/>
        <v>RJI</v>
      </c>
      <c r="H928" t="s">
        <v>663</v>
      </c>
      <c r="I928" t="s">
        <v>20</v>
      </c>
      <c r="J928" t="s">
        <v>62</v>
      </c>
      <c r="K928" s="6">
        <v>0.03</v>
      </c>
      <c r="L928" s="7">
        <f t="shared" si="29"/>
        <v>2E-3</v>
      </c>
      <c r="M928" s="7">
        <v>3.0000000000000001E-3</v>
      </c>
      <c r="N928">
        <v>7</v>
      </c>
      <c r="O928" s="8">
        <v>15.267633692923473</v>
      </c>
      <c r="P928" s="9">
        <v>15.267633692923473</v>
      </c>
      <c r="Q928" s="9">
        <v>15.267633692923473</v>
      </c>
      <c r="R928" s="9">
        <v>15.455820801950338</v>
      </c>
      <c r="S928" s="9">
        <v>15.721645950324477</v>
      </c>
      <c r="T928" s="9">
        <v>16.739439286239044</v>
      </c>
      <c r="U928" s="9">
        <v>18.882065020469135</v>
      </c>
      <c r="V928" s="9">
        <v>18.882065020469135</v>
      </c>
      <c r="W928" s="9">
        <v>18.882065020469135</v>
      </c>
      <c r="X928" s="9">
        <v>20.560260982458932</v>
      </c>
      <c r="Y928" s="9">
        <v>20.560260982458932</v>
      </c>
      <c r="Z928" s="9">
        <v>22.671148936966464</v>
      </c>
      <c r="AA928" s="9">
        <v>22.671148936966464</v>
      </c>
      <c r="AB928" s="9">
        <v>24.988647885599047</v>
      </c>
      <c r="AC928" s="9">
        <v>24.988647885599047</v>
      </c>
      <c r="AD928" s="9">
        <v>27.429334733487696</v>
      </c>
      <c r="AE928" s="9">
        <v>30.009055056381616</v>
      </c>
      <c r="AF928" s="9">
        <v>34.85116305716884</v>
      </c>
      <c r="AG928" s="9">
        <v>34.85116305716884</v>
      </c>
      <c r="AH928" s="9">
        <v>37.75822329541549</v>
      </c>
      <c r="AI928" s="9">
        <v>40.581849370377171</v>
      </c>
      <c r="AJ928" s="9">
        <v>3.0428788910505911</v>
      </c>
    </row>
    <row r="929" spans="1:36" x14ac:dyDescent="0.25">
      <c r="A929" t="s">
        <v>5411</v>
      </c>
      <c r="B929" t="s">
        <v>16</v>
      </c>
      <c r="C929" t="s">
        <v>17</v>
      </c>
      <c r="D929">
        <v>29000000</v>
      </c>
      <c r="E929">
        <v>29099999</v>
      </c>
      <c r="F929" t="s">
        <v>771</v>
      </c>
      <c r="G929" t="str">
        <f t="shared" si="28"/>
        <v>ESC</v>
      </c>
      <c r="H929" t="s">
        <v>772</v>
      </c>
      <c r="I929" t="s">
        <v>20</v>
      </c>
      <c r="J929" t="s">
        <v>21</v>
      </c>
      <c r="K929" s="6">
        <v>0.03</v>
      </c>
      <c r="L929" s="7">
        <f t="shared" si="29"/>
        <v>2E-3</v>
      </c>
      <c r="M929" s="7">
        <v>3.0000000000000001E-3</v>
      </c>
      <c r="N929">
        <v>7</v>
      </c>
      <c r="O929" s="8">
        <v>10.757857324309652</v>
      </c>
      <c r="P929" s="9">
        <v>10.757857324309652</v>
      </c>
      <c r="Q929" s="9">
        <v>10.757857324309652</v>
      </c>
      <c r="R929" s="9">
        <v>11.22314512962223</v>
      </c>
      <c r="S929" s="9">
        <v>11.68884964993126</v>
      </c>
      <c r="T929" s="9">
        <v>12.260983349645192</v>
      </c>
      <c r="U929" s="9">
        <v>13.799376853006919</v>
      </c>
      <c r="V929" s="9">
        <v>13.799376853006919</v>
      </c>
      <c r="W929" s="9">
        <v>13.799376853006919</v>
      </c>
      <c r="X929" s="9">
        <v>16.452504320116319</v>
      </c>
      <c r="Y929" s="9">
        <v>16.452504320116319</v>
      </c>
      <c r="Z929" s="9">
        <v>19.230929317442918</v>
      </c>
      <c r="AA929" s="9">
        <v>19.230929317442918</v>
      </c>
      <c r="AB929" s="9">
        <v>22.196879359200619</v>
      </c>
      <c r="AC929" s="9">
        <v>22.196879359200619</v>
      </c>
      <c r="AD929" s="9">
        <v>24.968298865117955</v>
      </c>
      <c r="AE929" s="9">
        <v>27.804843811294869</v>
      </c>
      <c r="AF929" s="9">
        <v>30.713026741757393</v>
      </c>
      <c r="AG929" s="9">
        <v>30.713026741757393</v>
      </c>
      <c r="AH929" s="9">
        <v>33.700011454933993</v>
      </c>
      <c r="AI929" s="9">
        <v>36.324170245699733</v>
      </c>
      <c r="AJ929" s="9">
        <v>3.0428788910505911</v>
      </c>
    </row>
    <row r="930" spans="1:36" x14ac:dyDescent="0.25">
      <c r="A930" t="s">
        <v>5411</v>
      </c>
      <c r="B930" t="s">
        <v>16</v>
      </c>
      <c r="C930" t="s">
        <v>17</v>
      </c>
      <c r="D930">
        <v>29100000</v>
      </c>
      <c r="E930">
        <v>29129999</v>
      </c>
      <c r="F930" t="s">
        <v>773</v>
      </c>
      <c r="G930" t="str">
        <f t="shared" si="28"/>
        <v>ESI</v>
      </c>
      <c r="H930" t="s">
        <v>772</v>
      </c>
      <c r="I930" t="s">
        <v>20</v>
      </c>
      <c r="J930" t="s">
        <v>62</v>
      </c>
      <c r="K930" s="6">
        <v>0.03</v>
      </c>
      <c r="L930" s="7">
        <f t="shared" si="29"/>
        <v>2E-3</v>
      </c>
      <c r="M930" s="7">
        <v>3.0000000000000001E-3</v>
      </c>
      <c r="N930">
        <v>8</v>
      </c>
      <c r="O930" s="8">
        <v>14.639784453895587</v>
      </c>
      <c r="P930" s="9">
        <v>14.639784453895587</v>
      </c>
      <c r="Q930" s="9">
        <v>14.639784453895587</v>
      </c>
      <c r="R930" s="9">
        <v>14.814105144362575</v>
      </c>
      <c r="S930" s="9">
        <v>15.591401233828892</v>
      </c>
      <c r="T930" s="9">
        <v>16.593603635775594</v>
      </c>
      <c r="U930" s="9">
        <v>18.121298359807103</v>
      </c>
      <c r="V930" s="9">
        <v>18.121298359807103</v>
      </c>
      <c r="W930" s="9">
        <v>18.121298359807103</v>
      </c>
      <c r="X930" s="9">
        <v>20.030960246178328</v>
      </c>
      <c r="Y930" s="9">
        <v>20.030960246178328</v>
      </c>
      <c r="Z930" s="9">
        <v>22.08850036318066</v>
      </c>
      <c r="AA930" s="9">
        <v>22.08850036318066</v>
      </c>
      <c r="AB930" s="9">
        <v>24.340260034306734</v>
      </c>
      <c r="AC930" s="9">
        <v>24.340260034306734</v>
      </c>
      <c r="AD930" s="9">
        <v>26.951684254029054</v>
      </c>
      <c r="AE930" s="9">
        <v>30.069469859200559</v>
      </c>
      <c r="AF930" s="9">
        <v>34.10140905017392</v>
      </c>
      <c r="AG930" s="9">
        <v>34.10140905017392</v>
      </c>
      <c r="AH930" s="9">
        <v>36.942116726295687</v>
      </c>
      <c r="AI930" s="9">
        <v>39.704394181119142</v>
      </c>
      <c r="AJ930" s="9">
        <v>3.0428788910505911</v>
      </c>
    </row>
    <row r="931" spans="1:36" x14ac:dyDescent="0.25">
      <c r="A931" t="s">
        <v>5411</v>
      </c>
      <c r="B931" t="s">
        <v>16</v>
      </c>
      <c r="C931" t="s">
        <v>17</v>
      </c>
      <c r="D931">
        <v>29130000</v>
      </c>
      <c r="E931">
        <v>29130999</v>
      </c>
      <c r="F931" t="s">
        <v>774</v>
      </c>
      <c r="G931" t="str">
        <f t="shared" si="28"/>
        <v>ESI</v>
      </c>
      <c r="H931" t="s">
        <v>772</v>
      </c>
      <c r="I931" t="s">
        <v>20</v>
      </c>
      <c r="J931" t="s">
        <v>62</v>
      </c>
      <c r="K931" s="6">
        <v>0.03</v>
      </c>
      <c r="L931" s="7">
        <f t="shared" si="29"/>
        <v>2E-3</v>
      </c>
      <c r="M931" s="7">
        <v>3.0000000000000001E-3</v>
      </c>
      <c r="N931">
        <v>9</v>
      </c>
      <c r="O931" s="8">
        <v>14.639784453895587</v>
      </c>
      <c r="P931" s="9">
        <v>14.639784453895587</v>
      </c>
      <c r="Q931" s="9">
        <v>14.639784453895587</v>
      </c>
      <c r="R931" s="9">
        <v>14.814105144362575</v>
      </c>
      <c r="S931" s="9">
        <v>15.591401233828892</v>
      </c>
      <c r="T931" s="9">
        <v>16.593603635775594</v>
      </c>
      <c r="U931" s="9">
        <v>18.121298359807103</v>
      </c>
      <c r="V931" s="9">
        <v>18.121298359807103</v>
      </c>
      <c r="W931" s="9">
        <v>18.121298359807103</v>
      </c>
      <c r="X931" s="9">
        <v>20.030960246178328</v>
      </c>
      <c r="Y931" s="9">
        <v>20.030960246178328</v>
      </c>
      <c r="Z931" s="9">
        <v>22.08850036318066</v>
      </c>
      <c r="AA931" s="9">
        <v>22.08850036318066</v>
      </c>
      <c r="AB931" s="9">
        <v>24.340260034306734</v>
      </c>
      <c r="AC931" s="9">
        <v>24.340260034306734</v>
      </c>
      <c r="AD931" s="9">
        <v>26.951684254029054</v>
      </c>
      <c r="AE931" s="9">
        <v>30.069469859200559</v>
      </c>
      <c r="AF931" s="9">
        <v>34.10140905017392</v>
      </c>
      <c r="AG931" s="9">
        <v>34.10140905017392</v>
      </c>
      <c r="AH931" s="9">
        <v>36.942116726295687</v>
      </c>
      <c r="AI931" s="9">
        <v>39.704394181119142</v>
      </c>
      <c r="AJ931" s="9">
        <v>3.0428788910505911</v>
      </c>
    </row>
    <row r="932" spans="1:36" x14ac:dyDescent="0.25">
      <c r="A932" t="s">
        <v>5411</v>
      </c>
      <c r="B932" t="s">
        <v>16</v>
      </c>
      <c r="C932" t="s">
        <v>17</v>
      </c>
      <c r="D932">
        <v>29131000</v>
      </c>
      <c r="E932">
        <v>29139999</v>
      </c>
      <c r="F932" t="s">
        <v>774</v>
      </c>
      <c r="G932" t="str">
        <f t="shared" si="28"/>
        <v>ESI</v>
      </c>
      <c r="H932" t="s">
        <v>772</v>
      </c>
      <c r="I932" t="s">
        <v>20</v>
      </c>
      <c r="J932" t="s">
        <v>62</v>
      </c>
      <c r="K932" s="6">
        <v>0.03</v>
      </c>
      <c r="L932" s="7">
        <f t="shared" si="29"/>
        <v>2E-3</v>
      </c>
      <c r="M932" s="7">
        <v>3.0000000000000001E-3</v>
      </c>
      <c r="N932">
        <v>9</v>
      </c>
      <c r="O932" s="8">
        <v>14.639784453895587</v>
      </c>
      <c r="P932" s="9">
        <v>14.639784453895587</v>
      </c>
      <c r="Q932" s="9">
        <v>14.639784453895587</v>
      </c>
      <c r="R932" s="9">
        <v>14.814105144362575</v>
      </c>
      <c r="S932" s="9">
        <v>15.591401233828892</v>
      </c>
      <c r="T932" s="9">
        <v>16.593603635775594</v>
      </c>
      <c r="U932" s="9">
        <v>18.121298359807103</v>
      </c>
      <c r="V932" s="9">
        <v>18.121298359807103</v>
      </c>
      <c r="W932" s="9">
        <v>18.121298359807103</v>
      </c>
      <c r="X932" s="9">
        <v>20.030960246178328</v>
      </c>
      <c r="Y932" s="9">
        <v>20.030960246178328</v>
      </c>
      <c r="Z932" s="9">
        <v>22.08850036318066</v>
      </c>
      <c r="AA932" s="9">
        <v>22.08850036318066</v>
      </c>
      <c r="AB932" s="9">
        <v>24.340260034306734</v>
      </c>
      <c r="AC932" s="9">
        <v>24.340260034306734</v>
      </c>
      <c r="AD932" s="9">
        <v>26.951684254029054</v>
      </c>
      <c r="AE932" s="9">
        <v>30.069469859200559</v>
      </c>
      <c r="AF932" s="9">
        <v>34.10140905017392</v>
      </c>
      <c r="AG932" s="9">
        <v>34.10140905017392</v>
      </c>
      <c r="AH932" s="9">
        <v>36.942116726295687</v>
      </c>
      <c r="AI932" s="9">
        <v>39.704394181119142</v>
      </c>
      <c r="AJ932" s="9">
        <v>3.0428788910505911</v>
      </c>
    </row>
    <row r="933" spans="1:36" x14ac:dyDescent="0.25">
      <c r="A933" t="s">
        <v>5411</v>
      </c>
      <c r="B933" t="s">
        <v>16</v>
      </c>
      <c r="C933" t="s">
        <v>17</v>
      </c>
      <c r="D933">
        <v>29140000</v>
      </c>
      <c r="E933">
        <v>29159999</v>
      </c>
      <c r="F933" t="s">
        <v>775</v>
      </c>
      <c r="G933" t="str">
        <f t="shared" si="28"/>
        <v>ESI</v>
      </c>
      <c r="H933" t="s">
        <v>772</v>
      </c>
      <c r="I933" t="s">
        <v>20</v>
      </c>
      <c r="J933" t="s">
        <v>62</v>
      </c>
      <c r="K933" s="6">
        <v>0.03</v>
      </c>
      <c r="L933" s="7">
        <f t="shared" si="29"/>
        <v>2E-3</v>
      </c>
      <c r="M933" s="7">
        <v>3.0000000000000001E-3</v>
      </c>
      <c r="N933">
        <v>9</v>
      </c>
      <c r="O933" s="8">
        <v>14.639784453895587</v>
      </c>
      <c r="P933" s="9">
        <v>14.639784453895587</v>
      </c>
      <c r="Q933" s="9">
        <v>14.639784453895587</v>
      </c>
      <c r="R933" s="9">
        <v>14.814105144362575</v>
      </c>
      <c r="S933" s="9">
        <v>15.591401233828892</v>
      </c>
      <c r="T933" s="9">
        <v>16.593603635775594</v>
      </c>
      <c r="U933" s="9">
        <v>18.121298359807103</v>
      </c>
      <c r="V933" s="9">
        <v>18.121298359807103</v>
      </c>
      <c r="W933" s="9">
        <v>18.121298359807103</v>
      </c>
      <c r="X933" s="9">
        <v>20.030960246178328</v>
      </c>
      <c r="Y933" s="9">
        <v>20.030960246178328</v>
      </c>
      <c r="Z933" s="9">
        <v>22.08850036318066</v>
      </c>
      <c r="AA933" s="9">
        <v>22.08850036318066</v>
      </c>
      <c r="AB933" s="9">
        <v>24.340260034306734</v>
      </c>
      <c r="AC933" s="9">
        <v>24.340260034306734</v>
      </c>
      <c r="AD933" s="9">
        <v>26.951684254029054</v>
      </c>
      <c r="AE933" s="9">
        <v>30.069469859200559</v>
      </c>
      <c r="AF933" s="9">
        <v>34.10140905017392</v>
      </c>
      <c r="AG933" s="9">
        <v>34.10140905017392</v>
      </c>
      <c r="AH933" s="9">
        <v>36.942116726295687</v>
      </c>
      <c r="AI933" s="9">
        <v>39.704394181119142</v>
      </c>
      <c r="AJ933" s="9">
        <v>3.0428788910505911</v>
      </c>
    </row>
    <row r="934" spans="1:36" x14ac:dyDescent="0.25">
      <c r="A934" t="s">
        <v>5411</v>
      </c>
      <c r="B934" t="s">
        <v>16</v>
      </c>
      <c r="C934" t="s">
        <v>17</v>
      </c>
      <c r="D934">
        <v>29160000</v>
      </c>
      <c r="E934">
        <v>29184999</v>
      </c>
      <c r="F934" t="s">
        <v>776</v>
      </c>
      <c r="G934" t="str">
        <f t="shared" si="28"/>
        <v>ESI</v>
      </c>
      <c r="H934" t="s">
        <v>772</v>
      </c>
      <c r="I934" t="s">
        <v>20</v>
      </c>
      <c r="J934" t="s">
        <v>62</v>
      </c>
      <c r="K934" s="6">
        <v>0.03</v>
      </c>
      <c r="L934" s="7">
        <f t="shared" si="29"/>
        <v>2E-3</v>
      </c>
      <c r="M934" s="7">
        <v>3.0000000000000001E-3</v>
      </c>
      <c r="N934">
        <v>9</v>
      </c>
      <c r="O934" s="8">
        <v>14.639784453895587</v>
      </c>
      <c r="P934" s="9">
        <v>14.639784453895587</v>
      </c>
      <c r="Q934" s="9">
        <v>14.639784453895587</v>
      </c>
      <c r="R934" s="9">
        <v>14.814105144362575</v>
      </c>
      <c r="S934" s="9">
        <v>15.591401233828892</v>
      </c>
      <c r="T934" s="9">
        <v>16.593603635775594</v>
      </c>
      <c r="U934" s="9">
        <v>18.121298359807103</v>
      </c>
      <c r="V934" s="9">
        <v>18.121298359807103</v>
      </c>
      <c r="W934" s="9">
        <v>18.121298359807103</v>
      </c>
      <c r="X934" s="9">
        <v>20.030960246178328</v>
      </c>
      <c r="Y934" s="9">
        <v>20.030960246178328</v>
      </c>
      <c r="Z934" s="9">
        <v>22.08850036318066</v>
      </c>
      <c r="AA934" s="9">
        <v>22.08850036318066</v>
      </c>
      <c r="AB934" s="9">
        <v>24.340260034306734</v>
      </c>
      <c r="AC934" s="9">
        <v>24.340260034306734</v>
      </c>
      <c r="AD934" s="9">
        <v>26.951684254029054</v>
      </c>
      <c r="AE934" s="9">
        <v>30.069469859200559</v>
      </c>
      <c r="AF934" s="9">
        <v>34.10140905017392</v>
      </c>
      <c r="AG934" s="9">
        <v>34.10140905017392</v>
      </c>
      <c r="AH934" s="9">
        <v>36.942116726295687</v>
      </c>
      <c r="AI934" s="9">
        <v>39.704394181119142</v>
      </c>
      <c r="AJ934" s="9">
        <v>3.0428788910505911</v>
      </c>
    </row>
    <row r="935" spans="1:36" x14ac:dyDescent="0.25">
      <c r="A935" t="s">
        <v>5411</v>
      </c>
      <c r="B935" t="s">
        <v>16</v>
      </c>
      <c r="C935" t="s">
        <v>17</v>
      </c>
      <c r="D935">
        <v>29185000</v>
      </c>
      <c r="E935">
        <v>29189999</v>
      </c>
      <c r="F935" t="s">
        <v>777</v>
      </c>
      <c r="G935" t="str">
        <f t="shared" si="28"/>
        <v>ESI II</v>
      </c>
      <c r="H935" t="s">
        <v>772</v>
      </c>
      <c r="I935" t="s">
        <v>20</v>
      </c>
      <c r="J935" t="s">
        <v>64</v>
      </c>
      <c r="K935" s="6">
        <v>0.03</v>
      </c>
      <c r="L935" s="7">
        <f t="shared" si="29"/>
        <v>2E-3</v>
      </c>
      <c r="M935" s="7">
        <v>3.0000000000000001E-3</v>
      </c>
      <c r="N935">
        <v>10</v>
      </c>
      <c r="O935" s="8">
        <v>18.831619796940856</v>
      </c>
      <c r="P935" s="9">
        <v>18.831619796940856</v>
      </c>
      <c r="Q935" s="9">
        <v>18.831619796940856</v>
      </c>
      <c r="R935" s="9">
        <v>19.270228228143885</v>
      </c>
      <c r="S935" s="9">
        <v>19.533186067089943</v>
      </c>
      <c r="T935" s="9">
        <v>20.288326244442615</v>
      </c>
      <c r="U935" s="9">
        <v>21.727692071919854</v>
      </c>
      <c r="V935" s="9">
        <v>21.727692071919854</v>
      </c>
      <c r="W935" s="9">
        <v>21.727692071919854</v>
      </c>
      <c r="X935" s="9">
        <v>23.660574028090565</v>
      </c>
      <c r="Y935" s="9">
        <v>23.660574028090565</v>
      </c>
      <c r="Z935" s="9">
        <v>25.663958288360334</v>
      </c>
      <c r="AA935" s="9">
        <v>25.663958288360334</v>
      </c>
      <c r="AB935" s="9">
        <v>27.177517246880505</v>
      </c>
      <c r="AC935" s="9">
        <v>27.177517246880505</v>
      </c>
      <c r="AD935" s="9">
        <v>31.506881792360829</v>
      </c>
      <c r="AE935" s="9">
        <v>34.32501712237967</v>
      </c>
      <c r="AF935" s="9">
        <v>37.236096134957549</v>
      </c>
      <c r="AG935" s="9">
        <v>37.236096134957549</v>
      </c>
      <c r="AH935" s="9">
        <v>40.854075194728338</v>
      </c>
      <c r="AI935" s="9">
        <v>43.816165523709728</v>
      </c>
      <c r="AJ935" s="9">
        <v>3.0428788910505911</v>
      </c>
    </row>
    <row r="936" spans="1:36" x14ac:dyDescent="0.25">
      <c r="A936" t="s">
        <v>5411</v>
      </c>
      <c r="B936" t="s">
        <v>16</v>
      </c>
      <c r="C936" t="s">
        <v>17</v>
      </c>
      <c r="D936">
        <v>29190000</v>
      </c>
      <c r="E936">
        <v>29199999</v>
      </c>
      <c r="F936" t="s">
        <v>778</v>
      </c>
      <c r="G936" t="str">
        <f t="shared" si="28"/>
        <v>ESI II</v>
      </c>
      <c r="H936" t="s">
        <v>772</v>
      </c>
      <c r="I936" t="s">
        <v>20</v>
      </c>
      <c r="J936" t="s">
        <v>64</v>
      </c>
      <c r="K936" s="6">
        <v>0.03</v>
      </c>
      <c r="L936" s="7">
        <f t="shared" si="29"/>
        <v>2E-3</v>
      </c>
      <c r="M936" s="7">
        <v>3.0000000000000001E-3</v>
      </c>
      <c r="N936">
        <v>10</v>
      </c>
      <c r="O936" s="8">
        <v>18.831619796940856</v>
      </c>
      <c r="P936" s="9">
        <v>18.831619796940856</v>
      </c>
      <c r="Q936" s="9">
        <v>18.831619796940856</v>
      </c>
      <c r="R936" s="9">
        <v>19.270228228143885</v>
      </c>
      <c r="S936" s="9">
        <v>19.533186067089943</v>
      </c>
      <c r="T936" s="9">
        <v>20.288326244442615</v>
      </c>
      <c r="U936" s="9">
        <v>21.727692071919854</v>
      </c>
      <c r="V936" s="9">
        <v>21.727692071919854</v>
      </c>
      <c r="W936" s="9">
        <v>21.727692071919854</v>
      </c>
      <c r="X936" s="9">
        <v>23.660574028090565</v>
      </c>
      <c r="Y936" s="9">
        <v>23.660574028090565</v>
      </c>
      <c r="Z936" s="9">
        <v>25.663958288360334</v>
      </c>
      <c r="AA936" s="9">
        <v>25.663958288360334</v>
      </c>
      <c r="AB936" s="9">
        <v>27.177517246880505</v>
      </c>
      <c r="AC936" s="9">
        <v>27.177517246880505</v>
      </c>
      <c r="AD936" s="9">
        <v>31.506881792360829</v>
      </c>
      <c r="AE936" s="9">
        <v>34.32501712237967</v>
      </c>
      <c r="AF936" s="9">
        <v>37.236096134957549</v>
      </c>
      <c r="AG936" s="9">
        <v>37.236096134957549</v>
      </c>
      <c r="AH936" s="9">
        <v>40.854075194728338</v>
      </c>
      <c r="AI936" s="9">
        <v>43.816165523709728</v>
      </c>
      <c r="AJ936" s="9">
        <v>3.0428788910505911</v>
      </c>
    </row>
    <row r="937" spans="1:36" x14ac:dyDescent="0.25">
      <c r="A937" t="s">
        <v>5411</v>
      </c>
      <c r="B937" t="s">
        <v>16</v>
      </c>
      <c r="C937" t="s">
        <v>17</v>
      </c>
      <c r="D937">
        <v>29200000</v>
      </c>
      <c r="E937">
        <v>29229999</v>
      </c>
      <c r="F937" t="s">
        <v>779</v>
      </c>
      <c r="G937" t="str">
        <f t="shared" si="28"/>
        <v>ESI II</v>
      </c>
      <c r="H937" t="s">
        <v>772</v>
      </c>
      <c r="I937" t="s">
        <v>20</v>
      </c>
      <c r="J937" t="s">
        <v>64</v>
      </c>
      <c r="K937" s="6">
        <v>0.03</v>
      </c>
      <c r="L937" s="7">
        <f t="shared" si="29"/>
        <v>2E-3</v>
      </c>
      <c r="M937" s="7">
        <v>3.0000000000000001E-3</v>
      </c>
      <c r="N937">
        <v>10</v>
      </c>
      <c r="O937" s="8">
        <v>18.831619796940856</v>
      </c>
      <c r="P937" s="9">
        <v>18.831619796940856</v>
      </c>
      <c r="Q937" s="9">
        <v>18.831619796940856</v>
      </c>
      <c r="R937" s="9">
        <v>19.270228228143885</v>
      </c>
      <c r="S937" s="9">
        <v>19.533186067089943</v>
      </c>
      <c r="T937" s="9">
        <v>20.288326244442615</v>
      </c>
      <c r="U937" s="9">
        <v>21.727692071919854</v>
      </c>
      <c r="V937" s="9">
        <v>21.727692071919854</v>
      </c>
      <c r="W937" s="9">
        <v>21.727692071919854</v>
      </c>
      <c r="X937" s="9">
        <v>23.660574028090565</v>
      </c>
      <c r="Y937" s="9">
        <v>23.660574028090565</v>
      </c>
      <c r="Z937" s="9">
        <v>25.663958288360334</v>
      </c>
      <c r="AA937" s="9">
        <v>25.663958288360334</v>
      </c>
      <c r="AB937" s="9">
        <v>27.177517246880505</v>
      </c>
      <c r="AC937" s="9">
        <v>27.177517246880505</v>
      </c>
      <c r="AD937" s="9">
        <v>31.506881792360829</v>
      </c>
      <c r="AE937" s="9">
        <v>34.32501712237967</v>
      </c>
      <c r="AF937" s="9">
        <v>37.236096134957549</v>
      </c>
      <c r="AG937" s="9">
        <v>37.236096134957549</v>
      </c>
      <c r="AH937" s="9">
        <v>40.854075194728338</v>
      </c>
      <c r="AI937" s="9">
        <v>43.816165523709728</v>
      </c>
      <c r="AJ937" s="9">
        <v>3.0428788910505911</v>
      </c>
    </row>
    <row r="938" spans="1:36" x14ac:dyDescent="0.25">
      <c r="A938" t="s">
        <v>5411</v>
      </c>
      <c r="B938" t="s">
        <v>16</v>
      </c>
      <c r="C938" t="s">
        <v>17</v>
      </c>
      <c r="D938">
        <v>29230000</v>
      </c>
      <c r="E938">
        <v>29239999</v>
      </c>
      <c r="F938" t="s">
        <v>780</v>
      </c>
      <c r="G938" t="str">
        <f t="shared" si="28"/>
        <v>ESI II</v>
      </c>
      <c r="H938" t="s">
        <v>772</v>
      </c>
      <c r="I938" t="s">
        <v>20</v>
      </c>
      <c r="J938" t="s">
        <v>64</v>
      </c>
      <c r="K938" s="6">
        <v>0.03</v>
      </c>
      <c r="L938" s="7">
        <f t="shared" si="29"/>
        <v>2E-3</v>
      </c>
      <c r="M938" s="7">
        <v>3.0000000000000001E-3</v>
      </c>
      <c r="N938">
        <v>10</v>
      </c>
      <c r="O938" s="8">
        <v>18.831619796940856</v>
      </c>
      <c r="P938" s="9">
        <v>18.831619796940856</v>
      </c>
      <c r="Q938" s="9">
        <v>18.831619796940856</v>
      </c>
      <c r="R938" s="9">
        <v>19.270228228143885</v>
      </c>
      <c r="S938" s="9">
        <v>19.533186067089943</v>
      </c>
      <c r="T938" s="9">
        <v>20.288326244442615</v>
      </c>
      <c r="U938" s="9">
        <v>21.727692071919854</v>
      </c>
      <c r="V938" s="9">
        <v>21.727692071919854</v>
      </c>
      <c r="W938" s="9">
        <v>21.727692071919854</v>
      </c>
      <c r="X938" s="9">
        <v>23.660574028090565</v>
      </c>
      <c r="Y938" s="9">
        <v>23.660574028090565</v>
      </c>
      <c r="Z938" s="9">
        <v>25.663958288360334</v>
      </c>
      <c r="AA938" s="9">
        <v>25.663958288360334</v>
      </c>
      <c r="AB938" s="9">
        <v>27.177517246880505</v>
      </c>
      <c r="AC938" s="9">
        <v>27.177517246880505</v>
      </c>
      <c r="AD938" s="9">
        <v>31.506881792360829</v>
      </c>
      <c r="AE938" s="9">
        <v>34.32501712237967</v>
      </c>
      <c r="AF938" s="9">
        <v>37.236096134957549</v>
      </c>
      <c r="AG938" s="9">
        <v>37.236096134957549</v>
      </c>
      <c r="AH938" s="9">
        <v>40.854075194728338</v>
      </c>
      <c r="AI938" s="9">
        <v>43.816165523709728</v>
      </c>
      <c r="AJ938" s="9">
        <v>3.0428788910505911</v>
      </c>
    </row>
    <row r="939" spans="1:36" x14ac:dyDescent="0.25">
      <c r="A939" t="s">
        <v>5411</v>
      </c>
      <c r="B939" t="s">
        <v>16</v>
      </c>
      <c r="C939" t="s">
        <v>17</v>
      </c>
      <c r="D939">
        <v>29240000</v>
      </c>
      <c r="E939">
        <v>29254999</v>
      </c>
      <c r="F939" t="s">
        <v>781</v>
      </c>
      <c r="G939" t="str">
        <f t="shared" si="28"/>
        <v>ESI II</v>
      </c>
      <c r="H939" t="s">
        <v>772</v>
      </c>
      <c r="I939" t="s">
        <v>20</v>
      </c>
      <c r="J939" t="s">
        <v>64</v>
      </c>
      <c r="K939" s="6">
        <v>0.03</v>
      </c>
      <c r="L939" s="7">
        <f t="shared" si="29"/>
        <v>2E-3</v>
      </c>
      <c r="M939" s="7">
        <v>3.0000000000000001E-3</v>
      </c>
      <c r="N939">
        <v>10</v>
      </c>
      <c r="O939" s="8">
        <v>18.831619796940856</v>
      </c>
      <c r="P939" s="9">
        <v>18.831619796940856</v>
      </c>
      <c r="Q939" s="9">
        <v>18.831619796940856</v>
      </c>
      <c r="R939" s="9">
        <v>19.270228228143885</v>
      </c>
      <c r="S939" s="9">
        <v>19.533186067089943</v>
      </c>
      <c r="T939" s="9">
        <v>20.288326244442615</v>
      </c>
      <c r="U939" s="9">
        <v>21.727692071919854</v>
      </c>
      <c r="V939" s="9">
        <v>21.727692071919854</v>
      </c>
      <c r="W939" s="9">
        <v>21.727692071919854</v>
      </c>
      <c r="X939" s="9">
        <v>23.660574028090565</v>
      </c>
      <c r="Y939" s="9">
        <v>23.660574028090565</v>
      </c>
      <c r="Z939" s="9">
        <v>25.663958288360334</v>
      </c>
      <c r="AA939" s="9">
        <v>25.663958288360334</v>
      </c>
      <c r="AB939" s="9">
        <v>27.177517246880505</v>
      </c>
      <c r="AC939" s="9">
        <v>27.177517246880505</v>
      </c>
      <c r="AD939" s="9">
        <v>31.506881792360829</v>
      </c>
      <c r="AE939" s="9">
        <v>34.32501712237967</v>
      </c>
      <c r="AF939" s="9">
        <v>37.236096134957549</v>
      </c>
      <c r="AG939" s="9">
        <v>37.236096134957549</v>
      </c>
      <c r="AH939" s="9">
        <v>40.854075194728338</v>
      </c>
      <c r="AI939" s="9">
        <v>43.816165523709728</v>
      </c>
      <c r="AJ939" s="9">
        <v>3.0428788910505911</v>
      </c>
    </row>
    <row r="940" spans="1:36" x14ac:dyDescent="0.25">
      <c r="A940" t="s">
        <v>5411</v>
      </c>
      <c r="B940" t="s">
        <v>16</v>
      </c>
      <c r="C940" t="s">
        <v>17</v>
      </c>
      <c r="D940">
        <v>29255000</v>
      </c>
      <c r="E940">
        <v>29259999</v>
      </c>
      <c r="F940" t="s">
        <v>782</v>
      </c>
      <c r="G940" t="str">
        <f t="shared" si="28"/>
        <v>ESI II</v>
      </c>
      <c r="H940" t="s">
        <v>772</v>
      </c>
      <c r="I940" t="s">
        <v>20</v>
      </c>
      <c r="J940" t="s">
        <v>64</v>
      </c>
      <c r="K940" s="6">
        <v>0.03</v>
      </c>
      <c r="L940" s="7">
        <f t="shared" si="29"/>
        <v>2E-3</v>
      </c>
      <c r="M940" s="7">
        <v>3.0000000000000001E-3</v>
      </c>
      <c r="N940">
        <v>10</v>
      </c>
      <c r="O940" s="8">
        <v>18.831619796940856</v>
      </c>
      <c r="P940" s="9">
        <v>18.831619796940856</v>
      </c>
      <c r="Q940" s="9">
        <v>18.831619796940856</v>
      </c>
      <c r="R940" s="9">
        <v>19.270228228143885</v>
      </c>
      <c r="S940" s="9">
        <v>19.533186067089943</v>
      </c>
      <c r="T940" s="9">
        <v>20.288326244442615</v>
      </c>
      <c r="U940" s="9">
        <v>21.727692071919854</v>
      </c>
      <c r="V940" s="9">
        <v>21.727692071919854</v>
      </c>
      <c r="W940" s="9">
        <v>21.727692071919854</v>
      </c>
      <c r="X940" s="9">
        <v>23.660574028090565</v>
      </c>
      <c r="Y940" s="9">
        <v>23.660574028090565</v>
      </c>
      <c r="Z940" s="9">
        <v>25.663958288360334</v>
      </c>
      <c r="AA940" s="9">
        <v>25.663958288360334</v>
      </c>
      <c r="AB940" s="9">
        <v>27.177517246880505</v>
      </c>
      <c r="AC940" s="9">
        <v>27.177517246880505</v>
      </c>
      <c r="AD940" s="9">
        <v>31.506881792360829</v>
      </c>
      <c r="AE940" s="9">
        <v>34.32501712237967</v>
      </c>
      <c r="AF940" s="9">
        <v>37.236096134957549</v>
      </c>
      <c r="AG940" s="9">
        <v>37.236096134957549</v>
      </c>
      <c r="AH940" s="9">
        <v>40.854075194728338</v>
      </c>
      <c r="AI940" s="9">
        <v>43.816165523709728</v>
      </c>
      <c r="AJ940" s="9">
        <v>3.0428788910505911</v>
      </c>
    </row>
    <row r="941" spans="1:36" x14ac:dyDescent="0.25">
      <c r="A941" t="s">
        <v>5411</v>
      </c>
      <c r="B941" t="s">
        <v>16</v>
      </c>
      <c r="C941" t="s">
        <v>17</v>
      </c>
      <c r="D941">
        <v>29260000</v>
      </c>
      <c r="E941">
        <v>29279999</v>
      </c>
      <c r="F941" t="s">
        <v>783</v>
      </c>
      <c r="G941" t="str">
        <f t="shared" si="28"/>
        <v>ESI II</v>
      </c>
      <c r="H941" t="s">
        <v>772</v>
      </c>
      <c r="I941" t="s">
        <v>20</v>
      </c>
      <c r="J941" t="s">
        <v>64</v>
      </c>
      <c r="K941" s="6">
        <v>0.03</v>
      </c>
      <c r="L941" s="7">
        <f t="shared" si="29"/>
        <v>2E-3</v>
      </c>
      <c r="M941" s="7">
        <v>3.0000000000000001E-3</v>
      </c>
      <c r="N941">
        <v>10</v>
      </c>
      <c r="O941" s="8">
        <v>18.831619796940856</v>
      </c>
      <c r="P941" s="9">
        <v>18.831619796940856</v>
      </c>
      <c r="Q941" s="9">
        <v>18.831619796940856</v>
      </c>
      <c r="R941" s="9">
        <v>19.270228228143885</v>
      </c>
      <c r="S941" s="9">
        <v>19.533186067089943</v>
      </c>
      <c r="T941" s="9">
        <v>20.288326244442615</v>
      </c>
      <c r="U941" s="9">
        <v>21.727692071919854</v>
      </c>
      <c r="V941" s="9">
        <v>21.727692071919854</v>
      </c>
      <c r="W941" s="9">
        <v>21.727692071919854</v>
      </c>
      <c r="X941" s="9">
        <v>23.660574028090565</v>
      </c>
      <c r="Y941" s="9">
        <v>23.660574028090565</v>
      </c>
      <c r="Z941" s="9">
        <v>25.663958288360334</v>
      </c>
      <c r="AA941" s="9">
        <v>25.663958288360334</v>
      </c>
      <c r="AB941" s="9">
        <v>27.177517246880505</v>
      </c>
      <c r="AC941" s="9">
        <v>27.177517246880505</v>
      </c>
      <c r="AD941" s="9">
        <v>31.506881792360829</v>
      </c>
      <c r="AE941" s="9">
        <v>34.32501712237967</v>
      </c>
      <c r="AF941" s="9">
        <v>37.236096134957549</v>
      </c>
      <c r="AG941" s="9">
        <v>37.236096134957549</v>
      </c>
      <c r="AH941" s="9">
        <v>40.854075194728338</v>
      </c>
      <c r="AI941" s="9">
        <v>43.816165523709728</v>
      </c>
      <c r="AJ941" s="9">
        <v>3.0428788910505911</v>
      </c>
    </row>
    <row r="942" spans="1:36" x14ac:dyDescent="0.25">
      <c r="A942" t="s">
        <v>5411</v>
      </c>
      <c r="B942" t="s">
        <v>16</v>
      </c>
      <c r="C942" t="s">
        <v>17</v>
      </c>
      <c r="D942">
        <v>29280000</v>
      </c>
      <c r="E942">
        <v>29284999</v>
      </c>
      <c r="F942" t="s">
        <v>784</v>
      </c>
      <c r="G942" t="str">
        <f t="shared" si="28"/>
        <v>ESI II</v>
      </c>
      <c r="H942" t="s">
        <v>772</v>
      </c>
      <c r="I942" t="s">
        <v>20</v>
      </c>
      <c r="J942" t="s">
        <v>64</v>
      </c>
      <c r="K942" s="6">
        <v>0.03</v>
      </c>
      <c r="L942" s="7">
        <f t="shared" si="29"/>
        <v>2E-3</v>
      </c>
      <c r="M942" s="7">
        <v>3.0000000000000001E-3</v>
      </c>
      <c r="N942">
        <v>10</v>
      </c>
      <c r="O942" s="8">
        <v>18.831619796940856</v>
      </c>
      <c r="P942" s="9">
        <v>18.831619796940856</v>
      </c>
      <c r="Q942" s="9">
        <v>18.831619796940856</v>
      </c>
      <c r="R942" s="9">
        <v>19.270228228143885</v>
      </c>
      <c r="S942" s="9">
        <v>19.533186067089943</v>
      </c>
      <c r="T942" s="9">
        <v>20.288326244442615</v>
      </c>
      <c r="U942" s="9">
        <v>21.727692071919854</v>
      </c>
      <c r="V942" s="9">
        <v>21.727692071919854</v>
      </c>
      <c r="W942" s="9">
        <v>21.727692071919854</v>
      </c>
      <c r="X942" s="9">
        <v>23.660574028090565</v>
      </c>
      <c r="Y942" s="9">
        <v>23.660574028090565</v>
      </c>
      <c r="Z942" s="9">
        <v>25.663958288360334</v>
      </c>
      <c r="AA942" s="9">
        <v>25.663958288360334</v>
      </c>
      <c r="AB942" s="9">
        <v>27.177517246880505</v>
      </c>
      <c r="AC942" s="9">
        <v>27.177517246880505</v>
      </c>
      <c r="AD942" s="9">
        <v>31.506881792360829</v>
      </c>
      <c r="AE942" s="9">
        <v>34.32501712237967</v>
      </c>
      <c r="AF942" s="9">
        <v>37.236096134957549</v>
      </c>
      <c r="AG942" s="9">
        <v>37.236096134957549</v>
      </c>
      <c r="AH942" s="9">
        <v>40.854075194728338</v>
      </c>
      <c r="AI942" s="9">
        <v>43.816165523709728</v>
      </c>
      <c r="AJ942" s="9">
        <v>3.0428788910505911</v>
      </c>
    </row>
    <row r="943" spans="1:36" x14ac:dyDescent="0.25">
      <c r="A943" t="s">
        <v>5411</v>
      </c>
      <c r="B943" t="s">
        <v>16</v>
      </c>
      <c r="C943" t="s">
        <v>17</v>
      </c>
      <c r="D943">
        <v>29285000</v>
      </c>
      <c r="E943">
        <v>29289999</v>
      </c>
      <c r="F943" t="s">
        <v>785</v>
      </c>
      <c r="G943" t="str">
        <f t="shared" si="28"/>
        <v>ESI II</v>
      </c>
      <c r="H943" t="s">
        <v>772</v>
      </c>
      <c r="I943" t="s">
        <v>20</v>
      </c>
      <c r="J943" t="s">
        <v>64</v>
      </c>
      <c r="K943" s="6">
        <v>0.03</v>
      </c>
      <c r="L943" s="7">
        <f t="shared" si="29"/>
        <v>2E-3</v>
      </c>
      <c r="M943" s="7">
        <v>3.0000000000000001E-3</v>
      </c>
      <c r="N943">
        <v>10</v>
      </c>
      <c r="O943" s="8">
        <v>18.831619796940856</v>
      </c>
      <c r="P943" s="9">
        <v>18.831619796940856</v>
      </c>
      <c r="Q943" s="9">
        <v>18.831619796940856</v>
      </c>
      <c r="R943" s="9">
        <v>19.270228228143885</v>
      </c>
      <c r="S943" s="9">
        <v>19.533186067089943</v>
      </c>
      <c r="T943" s="9">
        <v>20.288326244442615</v>
      </c>
      <c r="U943" s="9">
        <v>21.727692071919854</v>
      </c>
      <c r="V943" s="9">
        <v>21.727692071919854</v>
      </c>
      <c r="W943" s="9">
        <v>21.727692071919854</v>
      </c>
      <c r="X943" s="9">
        <v>23.660574028090565</v>
      </c>
      <c r="Y943" s="9">
        <v>23.660574028090565</v>
      </c>
      <c r="Z943" s="9">
        <v>25.663958288360334</v>
      </c>
      <c r="AA943" s="9">
        <v>25.663958288360334</v>
      </c>
      <c r="AB943" s="9">
        <v>27.177517246880505</v>
      </c>
      <c r="AC943" s="9">
        <v>27.177517246880505</v>
      </c>
      <c r="AD943" s="9">
        <v>31.506881792360829</v>
      </c>
      <c r="AE943" s="9">
        <v>34.32501712237967</v>
      </c>
      <c r="AF943" s="9">
        <v>37.236096134957549</v>
      </c>
      <c r="AG943" s="9">
        <v>37.236096134957549</v>
      </c>
      <c r="AH943" s="9">
        <v>40.854075194728338</v>
      </c>
      <c r="AI943" s="9">
        <v>43.816165523709728</v>
      </c>
      <c r="AJ943" s="9">
        <v>3.0428788910505911</v>
      </c>
    </row>
    <row r="944" spans="1:36" x14ac:dyDescent="0.25">
      <c r="A944" t="s">
        <v>5411</v>
      </c>
      <c r="B944" t="s">
        <v>16</v>
      </c>
      <c r="C944" t="s">
        <v>17</v>
      </c>
      <c r="D944">
        <v>29290000</v>
      </c>
      <c r="E944">
        <v>29294999</v>
      </c>
      <c r="F944" t="s">
        <v>786</v>
      </c>
      <c r="G944" t="str">
        <f t="shared" si="28"/>
        <v>ESI II</v>
      </c>
      <c r="H944" t="s">
        <v>772</v>
      </c>
      <c r="I944" t="s">
        <v>20</v>
      </c>
      <c r="J944" t="s">
        <v>64</v>
      </c>
      <c r="K944" s="6">
        <v>0.03</v>
      </c>
      <c r="L944" s="7">
        <f t="shared" si="29"/>
        <v>2E-3</v>
      </c>
      <c r="M944" s="7">
        <v>3.0000000000000001E-3</v>
      </c>
      <c r="N944">
        <v>10</v>
      </c>
      <c r="O944" s="8">
        <v>18.831619796940856</v>
      </c>
      <c r="P944" s="9">
        <v>18.831619796940856</v>
      </c>
      <c r="Q944" s="9">
        <v>18.831619796940856</v>
      </c>
      <c r="R944" s="9">
        <v>19.270228228143885</v>
      </c>
      <c r="S944" s="9">
        <v>19.533186067089943</v>
      </c>
      <c r="T944" s="9">
        <v>20.288326244442615</v>
      </c>
      <c r="U944" s="9">
        <v>21.727692071919854</v>
      </c>
      <c r="V944" s="9">
        <v>21.727692071919854</v>
      </c>
      <c r="W944" s="9">
        <v>21.727692071919854</v>
      </c>
      <c r="X944" s="9">
        <v>23.660574028090565</v>
      </c>
      <c r="Y944" s="9">
        <v>23.660574028090565</v>
      </c>
      <c r="Z944" s="9">
        <v>25.663958288360334</v>
      </c>
      <c r="AA944" s="9">
        <v>25.663958288360334</v>
      </c>
      <c r="AB944" s="9">
        <v>27.177517246880505</v>
      </c>
      <c r="AC944" s="9">
        <v>27.177517246880505</v>
      </c>
      <c r="AD944" s="9">
        <v>31.506881792360829</v>
      </c>
      <c r="AE944" s="9">
        <v>34.32501712237967</v>
      </c>
      <c r="AF944" s="9">
        <v>37.236096134957549</v>
      </c>
      <c r="AG944" s="9">
        <v>37.236096134957549</v>
      </c>
      <c r="AH944" s="9">
        <v>40.854075194728338</v>
      </c>
      <c r="AI944" s="9">
        <v>43.816165523709728</v>
      </c>
      <c r="AJ944" s="9">
        <v>3.0428788910505911</v>
      </c>
    </row>
    <row r="945" spans="1:36" x14ac:dyDescent="0.25">
      <c r="A945" t="s">
        <v>5411</v>
      </c>
      <c r="B945" t="s">
        <v>16</v>
      </c>
      <c r="C945" t="s">
        <v>17</v>
      </c>
      <c r="D945">
        <v>29295000</v>
      </c>
      <c r="E945">
        <v>29299999</v>
      </c>
      <c r="F945" t="s">
        <v>787</v>
      </c>
      <c r="G945" t="str">
        <f t="shared" si="28"/>
        <v>ESI II</v>
      </c>
      <c r="H945" t="s">
        <v>772</v>
      </c>
      <c r="I945" t="s">
        <v>20</v>
      </c>
      <c r="J945" t="s">
        <v>64</v>
      </c>
      <c r="K945" s="6">
        <v>0.03</v>
      </c>
      <c r="L945" s="7">
        <f t="shared" si="29"/>
        <v>2E-3</v>
      </c>
      <c r="M945" s="7">
        <v>3.0000000000000001E-3</v>
      </c>
      <c r="N945">
        <v>10</v>
      </c>
      <c r="O945" s="8">
        <v>18.831619796940856</v>
      </c>
      <c r="P945" s="9">
        <v>18.831619796940856</v>
      </c>
      <c r="Q945" s="9">
        <v>18.831619796940856</v>
      </c>
      <c r="R945" s="9">
        <v>19.270228228143885</v>
      </c>
      <c r="S945" s="9">
        <v>19.533186067089943</v>
      </c>
      <c r="T945" s="9">
        <v>20.288326244442615</v>
      </c>
      <c r="U945" s="9">
        <v>21.727692071919854</v>
      </c>
      <c r="V945" s="9">
        <v>21.727692071919854</v>
      </c>
      <c r="W945" s="9">
        <v>21.727692071919854</v>
      </c>
      <c r="X945" s="9">
        <v>23.660574028090565</v>
      </c>
      <c r="Y945" s="9">
        <v>23.660574028090565</v>
      </c>
      <c r="Z945" s="9">
        <v>25.663958288360334</v>
      </c>
      <c r="AA945" s="9">
        <v>25.663958288360334</v>
      </c>
      <c r="AB945" s="9">
        <v>27.177517246880505</v>
      </c>
      <c r="AC945" s="9">
        <v>27.177517246880505</v>
      </c>
      <c r="AD945" s="9">
        <v>31.506881792360829</v>
      </c>
      <c r="AE945" s="9">
        <v>34.32501712237967</v>
      </c>
      <c r="AF945" s="9">
        <v>37.236096134957549</v>
      </c>
      <c r="AG945" s="9">
        <v>37.236096134957549</v>
      </c>
      <c r="AH945" s="9">
        <v>40.854075194728338</v>
      </c>
      <c r="AI945" s="9">
        <v>43.816165523709728</v>
      </c>
      <c r="AJ945" s="9">
        <v>3.0428788910505911</v>
      </c>
    </row>
    <row r="946" spans="1:36" x14ac:dyDescent="0.25">
      <c r="A946" t="s">
        <v>5411</v>
      </c>
      <c r="B946" t="s">
        <v>16</v>
      </c>
      <c r="C946" t="s">
        <v>17</v>
      </c>
      <c r="D946">
        <v>29300000</v>
      </c>
      <c r="E946">
        <v>29329999</v>
      </c>
      <c r="F946" t="s">
        <v>788</v>
      </c>
      <c r="G946" t="str">
        <f t="shared" si="28"/>
        <v>ESI II</v>
      </c>
      <c r="H946" t="s">
        <v>772</v>
      </c>
      <c r="I946" t="s">
        <v>20</v>
      </c>
      <c r="J946" t="s">
        <v>64</v>
      </c>
      <c r="K946" s="6">
        <v>0.03</v>
      </c>
      <c r="L946" s="7">
        <f t="shared" si="29"/>
        <v>2E-3</v>
      </c>
      <c r="M946" s="7">
        <v>3.0000000000000001E-3</v>
      </c>
      <c r="N946">
        <v>10</v>
      </c>
      <c r="O946" s="8">
        <v>18.831619796940856</v>
      </c>
      <c r="P946" s="9">
        <v>18.831619796940856</v>
      </c>
      <c r="Q946" s="9">
        <v>18.831619796940856</v>
      </c>
      <c r="R946" s="9">
        <v>19.270228228143885</v>
      </c>
      <c r="S946" s="9">
        <v>19.533186067089943</v>
      </c>
      <c r="T946" s="9">
        <v>20.288326244442615</v>
      </c>
      <c r="U946" s="9">
        <v>21.727692071919854</v>
      </c>
      <c r="V946" s="9">
        <v>21.727692071919854</v>
      </c>
      <c r="W946" s="9">
        <v>21.727692071919854</v>
      </c>
      <c r="X946" s="9">
        <v>23.660574028090565</v>
      </c>
      <c r="Y946" s="9">
        <v>23.660574028090565</v>
      </c>
      <c r="Z946" s="9">
        <v>25.663958288360334</v>
      </c>
      <c r="AA946" s="9">
        <v>25.663958288360334</v>
      </c>
      <c r="AB946" s="9">
        <v>27.177517246880505</v>
      </c>
      <c r="AC946" s="9">
        <v>27.177517246880505</v>
      </c>
      <c r="AD946" s="9">
        <v>31.506881792360829</v>
      </c>
      <c r="AE946" s="9">
        <v>34.32501712237967</v>
      </c>
      <c r="AF946" s="9">
        <v>37.236096134957549</v>
      </c>
      <c r="AG946" s="9">
        <v>37.236096134957549</v>
      </c>
      <c r="AH946" s="9">
        <v>40.854075194728338</v>
      </c>
      <c r="AI946" s="9">
        <v>43.816165523709728</v>
      </c>
      <c r="AJ946" s="9">
        <v>3.0428788910505911</v>
      </c>
    </row>
    <row r="947" spans="1:36" x14ac:dyDescent="0.25">
      <c r="A947" t="s">
        <v>5411</v>
      </c>
      <c r="B947" t="s">
        <v>16</v>
      </c>
      <c r="C947" t="s">
        <v>17</v>
      </c>
      <c r="D947">
        <v>29330000</v>
      </c>
      <c r="E947">
        <v>29344999</v>
      </c>
      <c r="F947" t="s">
        <v>789</v>
      </c>
      <c r="G947" t="str">
        <f t="shared" si="28"/>
        <v>ESI II</v>
      </c>
      <c r="H947" t="s">
        <v>772</v>
      </c>
      <c r="I947" t="s">
        <v>20</v>
      </c>
      <c r="J947" t="s">
        <v>64</v>
      </c>
      <c r="K947" s="6">
        <v>0.03</v>
      </c>
      <c r="L947" s="7">
        <f t="shared" si="29"/>
        <v>2E-3</v>
      </c>
      <c r="M947" s="7">
        <v>3.0000000000000001E-3</v>
      </c>
      <c r="N947">
        <v>10</v>
      </c>
      <c r="O947" s="8">
        <v>18.831619796940856</v>
      </c>
      <c r="P947" s="9">
        <v>18.831619796940856</v>
      </c>
      <c r="Q947" s="9">
        <v>18.831619796940856</v>
      </c>
      <c r="R947" s="9">
        <v>19.270228228143885</v>
      </c>
      <c r="S947" s="9">
        <v>19.533186067089943</v>
      </c>
      <c r="T947" s="9">
        <v>20.288326244442615</v>
      </c>
      <c r="U947" s="9">
        <v>21.727692071919854</v>
      </c>
      <c r="V947" s="9">
        <v>21.727692071919854</v>
      </c>
      <c r="W947" s="9">
        <v>21.727692071919854</v>
      </c>
      <c r="X947" s="9">
        <v>23.660574028090565</v>
      </c>
      <c r="Y947" s="9">
        <v>23.660574028090565</v>
      </c>
      <c r="Z947" s="9">
        <v>25.663958288360334</v>
      </c>
      <c r="AA947" s="9">
        <v>25.663958288360334</v>
      </c>
      <c r="AB947" s="9">
        <v>27.177517246880505</v>
      </c>
      <c r="AC947" s="9">
        <v>27.177517246880505</v>
      </c>
      <c r="AD947" s="9">
        <v>31.506881792360829</v>
      </c>
      <c r="AE947" s="9">
        <v>34.32501712237967</v>
      </c>
      <c r="AF947" s="9">
        <v>37.236096134957549</v>
      </c>
      <c r="AG947" s="9">
        <v>37.236096134957549</v>
      </c>
      <c r="AH947" s="9">
        <v>40.854075194728338</v>
      </c>
      <c r="AI947" s="9">
        <v>43.816165523709728</v>
      </c>
      <c r="AJ947" s="9">
        <v>3.0428788910505911</v>
      </c>
    </row>
    <row r="948" spans="1:36" x14ac:dyDescent="0.25">
      <c r="A948" t="s">
        <v>5411</v>
      </c>
      <c r="B948" t="s">
        <v>16</v>
      </c>
      <c r="C948" t="s">
        <v>17</v>
      </c>
      <c r="D948">
        <v>29345000</v>
      </c>
      <c r="E948">
        <v>29349999</v>
      </c>
      <c r="F948" t="s">
        <v>790</v>
      </c>
      <c r="G948" t="str">
        <f t="shared" si="28"/>
        <v>ESI II</v>
      </c>
      <c r="H948" t="s">
        <v>772</v>
      </c>
      <c r="I948" t="s">
        <v>20</v>
      </c>
      <c r="J948" t="s">
        <v>64</v>
      </c>
      <c r="K948" s="6">
        <v>0.03</v>
      </c>
      <c r="L948" s="7">
        <f t="shared" si="29"/>
        <v>2E-3</v>
      </c>
      <c r="M948" s="7">
        <v>3.0000000000000001E-3</v>
      </c>
      <c r="N948">
        <v>10</v>
      </c>
      <c r="O948" s="8">
        <v>18.831619796940856</v>
      </c>
      <c r="P948" s="9">
        <v>18.831619796940856</v>
      </c>
      <c r="Q948" s="9">
        <v>18.831619796940856</v>
      </c>
      <c r="R948" s="9">
        <v>19.270228228143885</v>
      </c>
      <c r="S948" s="9">
        <v>19.533186067089943</v>
      </c>
      <c r="T948" s="9">
        <v>20.288326244442615</v>
      </c>
      <c r="U948" s="9">
        <v>21.727692071919854</v>
      </c>
      <c r="V948" s="9">
        <v>21.727692071919854</v>
      </c>
      <c r="W948" s="9">
        <v>21.727692071919854</v>
      </c>
      <c r="X948" s="9">
        <v>23.660574028090565</v>
      </c>
      <c r="Y948" s="9">
        <v>23.660574028090565</v>
      </c>
      <c r="Z948" s="9">
        <v>25.663958288360334</v>
      </c>
      <c r="AA948" s="9">
        <v>25.663958288360334</v>
      </c>
      <c r="AB948" s="9">
        <v>27.177517246880505</v>
      </c>
      <c r="AC948" s="9">
        <v>27.177517246880505</v>
      </c>
      <c r="AD948" s="9">
        <v>31.506881792360829</v>
      </c>
      <c r="AE948" s="9">
        <v>34.32501712237967</v>
      </c>
      <c r="AF948" s="9">
        <v>37.236096134957549</v>
      </c>
      <c r="AG948" s="9">
        <v>37.236096134957549</v>
      </c>
      <c r="AH948" s="9">
        <v>40.854075194728338</v>
      </c>
      <c r="AI948" s="9">
        <v>43.816165523709728</v>
      </c>
      <c r="AJ948" s="9">
        <v>3.0428788910505911</v>
      </c>
    </row>
    <row r="949" spans="1:36" x14ac:dyDescent="0.25">
      <c r="A949" t="s">
        <v>5411</v>
      </c>
      <c r="B949" t="s">
        <v>16</v>
      </c>
      <c r="C949" t="s">
        <v>17</v>
      </c>
      <c r="D949">
        <v>29350000</v>
      </c>
      <c r="E949">
        <v>29359999</v>
      </c>
      <c r="F949" t="s">
        <v>791</v>
      </c>
      <c r="G949" t="str">
        <f t="shared" si="28"/>
        <v>ESI II</v>
      </c>
      <c r="H949" t="s">
        <v>772</v>
      </c>
      <c r="I949" t="s">
        <v>20</v>
      </c>
      <c r="J949" t="s">
        <v>64</v>
      </c>
      <c r="K949" s="6">
        <v>0.03</v>
      </c>
      <c r="L949" s="7">
        <f t="shared" si="29"/>
        <v>2E-3</v>
      </c>
      <c r="M949" s="7">
        <v>3.0000000000000001E-3</v>
      </c>
      <c r="N949">
        <v>10</v>
      </c>
      <c r="O949" s="8">
        <v>18.831619796940856</v>
      </c>
      <c r="P949" s="9">
        <v>18.831619796940856</v>
      </c>
      <c r="Q949" s="9">
        <v>18.831619796940856</v>
      </c>
      <c r="R949" s="9">
        <v>19.270228228143885</v>
      </c>
      <c r="S949" s="9">
        <v>19.533186067089943</v>
      </c>
      <c r="T949" s="9">
        <v>20.288326244442615</v>
      </c>
      <c r="U949" s="9">
        <v>21.727692071919854</v>
      </c>
      <c r="V949" s="9">
        <v>21.727692071919854</v>
      </c>
      <c r="W949" s="9">
        <v>21.727692071919854</v>
      </c>
      <c r="X949" s="9">
        <v>23.660574028090565</v>
      </c>
      <c r="Y949" s="9">
        <v>23.660574028090565</v>
      </c>
      <c r="Z949" s="9">
        <v>25.663958288360334</v>
      </c>
      <c r="AA949" s="9">
        <v>25.663958288360334</v>
      </c>
      <c r="AB949" s="9">
        <v>27.177517246880505</v>
      </c>
      <c r="AC949" s="9">
        <v>27.177517246880505</v>
      </c>
      <c r="AD949" s="9">
        <v>31.506881792360829</v>
      </c>
      <c r="AE949" s="9">
        <v>34.32501712237967</v>
      </c>
      <c r="AF949" s="9">
        <v>37.236096134957549</v>
      </c>
      <c r="AG949" s="9">
        <v>37.236096134957549</v>
      </c>
      <c r="AH949" s="9">
        <v>40.854075194728338</v>
      </c>
      <c r="AI949" s="9">
        <v>43.816165523709728</v>
      </c>
      <c r="AJ949" s="9">
        <v>3.0428788910505911</v>
      </c>
    </row>
    <row r="950" spans="1:36" x14ac:dyDescent="0.25">
      <c r="A950" t="s">
        <v>5411</v>
      </c>
      <c r="B950" t="s">
        <v>16</v>
      </c>
      <c r="C950" t="s">
        <v>17</v>
      </c>
      <c r="D950">
        <v>29360000</v>
      </c>
      <c r="E950">
        <v>29369999</v>
      </c>
      <c r="F950" t="s">
        <v>792</v>
      </c>
      <c r="G950" t="str">
        <f t="shared" si="28"/>
        <v>ESI II</v>
      </c>
      <c r="H950" t="s">
        <v>772</v>
      </c>
      <c r="I950" t="s">
        <v>20</v>
      </c>
      <c r="J950" t="s">
        <v>64</v>
      </c>
      <c r="K950" s="6">
        <v>0.03</v>
      </c>
      <c r="L950" s="7">
        <f t="shared" si="29"/>
        <v>2E-3</v>
      </c>
      <c r="M950" s="7">
        <v>3.0000000000000001E-3</v>
      </c>
      <c r="N950">
        <v>10</v>
      </c>
      <c r="O950" s="8">
        <v>18.831619796940856</v>
      </c>
      <c r="P950" s="9">
        <v>18.831619796940856</v>
      </c>
      <c r="Q950" s="9">
        <v>18.831619796940856</v>
      </c>
      <c r="R950" s="9">
        <v>19.270228228143885</v>
      </c>
      <c r="S950" s="9">
        <v>19.533186067089943</v>
      </c>
      <c r="T950" s="9">
        <v>20.288326244442615</v>
      </c>
      <c r="U950" s="9">
        <v>21.727692071919854</v>
      </c>
      <c r="V950" s="9">
        <v>21.727692071919854</v>
      </c>
      <c r="W950" s="9">
        <v>21.727692071919854</v>
      </c>
      <c r="X950" s="9">
        <v>23.660574028090565</v>
      </c>
      <c r="Y950" s="9">
        <v>23.660574028090565</v>
      </c>
      <c r="Z950" s="9">
        <v>25.663958288360334</v>
      </c>
      <c r="AA950" s="9">
        <v>25.663958288360334</v>
      </c>
      <c r="AB950" s="9">
        <v>27.177517246880505</v>
      </c>
      <c r="AC950" s="9">
        <v>27.177517246880505</v>
      </c>
      <c r="AD950" s="9">
        <v>31.506881792360829</v>
      </c>
      <c r="AE950" s="9">
        <v>34.32501712237967</v>
      </c>
      <c r="AF950" s="9">
        <v>37.236096134957549</v>
      </c>
      <c r="AG950" s="9">
        <v>37.236096134957549</v>
      </c>
      <c r="AH950" s="9">
        <v>40.854075194728338</v>
      </c>
      <c r="AI950" s="9">
        <v>43.816165523709728</v>
      </c>
      <c r="AJ950" s="9">
        <v>3.0428788910505911</v>
      </c>
    </row>
    <row r="951" spans="1:36" x14ac:dyDescent="0.25">
      <c r="A951" t="s">
        <v>5411</v>
      </c>
      <c r="B951" t="s">
        <v>16</v>
      </c>
      <c r="C951" t="s">
        <v>17</v>
      </c>
      <c r="D951">
        <v>29370000</v>
      </c>
      <c r="E951">
        <v>29374999</v>
      </c>
      <c r="F951" t="s">
        <v>793</v>
      </c>
      <c r="G951" t="str">
        <f t="shared" si="28"/>
        <v>ESI II</v>
      </c>
      <c r="H951" t="s">
        <v>772</v>
      </c>
      <c r="I951" t="s">
        <v>20</v>
      </c>
      <c r="J951" t="s">
        <v>64</v>
      </c>
      <c r="K951" s="6">
        <v>0.03</v>
      </c>
      <c r="L951" s="7">
        <f t="shared" si="29"/>
        <v>2E-3</v>
      </c>
      <c r="M951" s="7">
        <v>3.0000000000000001E-3</v>
      </c>
      <c r="N951">
        <v>10</v>
      </c>
      <c r="O951" s="8">
        <v>18.831619796940856</v>
      </c>
      <c r="P951" s="9">
        <v>18.831619796940856</v>
      </c>
      <c r="Q951" s="9">
        <v>18.831619796940856</v>
      </c>
      <c r="R951" s="9">
        <v>19.270228228143885</v>
      </c>
      <c r="S951" s="9">
        <v>19.533186067089943</v>
      </c>
      <c r="T951" s="9">
        <v>20.288326244442615</v>
      </c>
      <c r="U951" s="9">
        <v>21.727692071919854</v>
      </c>
      <c r="V951" s="9">
        <v>21.727692071919854</v>
      </c>
      <c r="W951" s="9">
        <v>21.727692071919854</v>
      </c>
      <c r="X951" s="9">
        <v>23.660574028090565</v>
      </c>
      <c r="Y951" s="9">
        <v>23.660574028090565</v>
      </c>
      <c r="Z951" s="9">
        <v>25.663958288360334</v>
      </c>
      <c r="AA951" s="9">
        <v>25.663958288360334</v>
      </c>
      <c r="AB951" s="9">
        <v>27.177517246880505</v>
      </c>
      <c r="AC951" s="9">
        <v>27.177517246880505</v>
      </c>
      <c r="AD951" s="9">
        <v>31.506881792360829</v>
      </c>
      <c r="AE951" s="9">
        <v>34.32501712237967</v>
      </c>
      <c r="AF951" s="9">
        <v>37.236096134957549</v>
      </c>
      <c r="AG951" s="9">
        <v>37.236096134957549</v>
      </c>
      <c r="AH951" s="9">
        <v>40.854075194728338</v>
      </c>
      <c r="AI951" s="9">
        <v>43.816165523709728</v>
      </c>
      <c r="AJ951" s="9">
        <v>3.0428788910505911</v>
      </c>
    </row>
    <row r="952" spans="1:36" x14ac:dyDescent="0.25">
      <c r="A952" t="s">
        <v>5411</v>
      </c>
      <c r="B952" t="s">
        <v>16</v>
      </c>
      <c r="C952" t="s">
        <v>17</v>
      </c>
      <c r="D952">
        <v>29375000</v>
      </c>
      <c r="E952">
        <v>29379999</v>
      </c>
      <c r="F952" t="s">
        <v>794</v>
      </c>
      <c r="G952" t="str">
        <f t="shared" si="28"/>
        <v>ESI II</v>
      </c>
      <c r="H952" t="s">
        <v>772</v>
      </c>
      <c r="I952" t="s">
        <v>20</v>
      </c>
      <c r="J952" t="s">
        <v>64</v>
      </c>
      <c r="K952" s="6">
        <v>0.03</v>
      </c>
      <c r="L952" s="7">
        <f t="shared" si="29"/>
        <v>2E-3</v>
      </c>
      <c r="M952" s="7">
        <v>3.0000000000000001E-3</v>
      </c>
      <c r="N952">
        <v>10</v>
      </c>
      <c r="O952" s="8">
        <v>18.831619796940856</v>
      </c>
      <c r="P952" s="9">
        <v>18.831619796940856</v>
      </c>
      <c r="Q952" s="9">
        <v>18.831619796940856</v>
      </c>
      <c r="R952" s="9">
        <v>19.270228228143885</v>
      </c>
      <c r="S952" s="9">
        <v>19.533186067089943</v>
      </c>
      <c r="T952" s="9">
        <v>20.288326244442615</v>
      </c>
      <c r="U952" s="9">
        <v>21.727692071919854</v>
      </c>
      <c r="V952" s="9">
        <v>21.727692071919854</v>
      </c>
      <c r="W952" s="9">
        <v>21.727692071919854</v>
      </c>
      <c r="X952" s="9">
        <v>23.660574028090565</v>
      </c>
      <c r="Y952" s="9">
        <v>23.660574028090565</v>
      </c>
      <c r="Z952" s="9">
        <v>25.663958288360334</v>
      </c>
      <c r="AA952" s="9">
        <v>25.663958288360334</v>
      </c>
      <c r="AB952" s="9">
        <v>27.177517246880505</v>
      </c>
      <c r="AC952" s="9">
        <v>27.177517246880505</v>
      </c>
      <c r="AD952" s="9">
        <v>31.506881792360829</v>
      </c>
      <c r="AE952" s="9">
        <v>34.32501712237967</v>
      </c>
      <c r="AF952" s="9">
        <v>37.236096134957549</v>
      </c>
      <c r="AG952" s="9">
        <v>37.236096134957549</v>
      </c>
      <c r="AH952" s="9">
        <v>40.854075194728338</v>
      </c>
      <c r="AI952" s="9">
        <v>43.816165523709728</v>
      </c>
      <c r="AJ952" s="9">
        <v>3.0428788910505911</v>
      </c>
    </row>
    <row r="953" spans="1:36" x14ac:dyDescent="0.25">
      <c r="A953" t="s">
        <v>5411</v>
      </c>
      <c r="B953" t="s">
        <v>16</v>
      </c>
      <c r="C953" t="s">
        <v>17</v>
      </c>
      <c r="D953">
        <v>29380000</v>
      </c>
      <c r="E953">
        <v>29389999</v>
      </c>
      <c r="F953" t="s">
        <v>795</v>
      </c>
      <c r="G953" t="str">
        <f t="shared" si="28"/>
        <v>ESI II</v>
      </c>
      <c r="H953" t="s">
        <v>772</v>
      </c>
      <c r="I953" t="s">
        <v>20</v>
      </c>
      <c r="J953" t="s">
        <v>64</v>
      </c>
      <c r="K953" s="6">
        <v>0.03</v>
      </c>
      <c r="L953" s="7">
        <f t="shared" si="29"/>
        <v>2E-3</v>
      </c>
      <c r="M953" s="7">
        <v>3.0000000000000001E-3</v>
      </c>
      <c r="N953">
        <v>10</v>
      </c>
      <c r="O953" s="8">
        <v>18.831619796940856</v>
      </c>
      <c r="P953" s="9">
        <v>18.831619796940856</v>
      </c>
      <c r="Q953" s="9">
        <v>18.831619796940856</v>
      </c>
      <c r="R953" s="9">
        <v>19.270228228143885</v>
      </c>
      <c r="S953" s="9">
        <v>19.533186067089943</v>
      </c>
      <c r="T953" s="9">
        <v>20.288326244442615</v>
      </c>
      <c r="U953" s="9">
        <v>21.727692071919854</v>
      </c>
      <c r="V953" s="9">
        <v>21.727692071919854</v>
      </c>
      <c r="W953" s="9">
        <v>21.727692071919854</v>
      </c>
      <c r="X953" s="9">
        <v>23.660574028090565</v>
      </c>
      <c r="Y953" s="9">
        <v>23.660574028090565</v>
      </c>
      <c r="Z953" s="9">
        <v>25.663958288360334</v>
      </c>
      <c r="AA953" s="9">
        <v>25.663958288360334</v>
      </c>
      <c r="AB953" s="9">
        <v>27.177517246880505</v>
      </c>
      <c r="AC953" s="9">
        <v>27.177517246880505</v>
      </c>
      <c r="AD953" s="9">
        <v>31.506881792360829</v>
      </c>
      <c r="AE953" s="9">
        <v>34.32501712237967</v>
      </c>
      <c r="AF953" s="9">
        <v>37.236096134957549</v>
      </c>
      <c r="AG953" s="9">
        <v>37.236096134957549</v>
      </c>
      <c r="AH953" s="9">
        <v>40.854075194728338</v>
      </c>
      <c r="AI953" s="9">
        <v>43.816165523709728</v>
      </c>
      <c r="AJ953" s="9">
        <v>3.0428788910505911</v>
      </c>
    </row>
    <row r="954" spans="1:36" x14ac:dyDescent="0.25">
      <c r="A954" t="s">
        <v>5411</v>
      </c>
      <c r="B954" t="s">
        <v>16</v>
      </c>
      <c r="C954" t="s">
        <v>17</v>
      </c>
      <c r="D954">
        <v>29390000</v>
      </c>
      <c r="E954">
        <v>29394999</v>
      </c>
      <c r="F954" t="s">
        <v>796</v>
      </c>
      <c r="G954" t="str">
        <f t="shared" si="28"/>
        <v>ESI II</v>
      </c>
      <c r="H954" t="s">
        <v>772</v>
      </c>
      <c r="I954" t="s">
        <v>20</v>
      </c>
      <c r="J954" t="s">
        <v>64</v>
      </c>
      <c r="K954" s="6">
        <v>0.03</v>
      </c>
      <c r="L954" s="7">
        <f t="shared" si="29"/>
        <v>2E-3</v>
      </c>
      <c r="M954" s="7">
        <v>3.0000000000000001E-3</v>
      </c>
      <c r="N954">
        <v>10</v>
      </c>
      <c r="O954" s="8">
        <v>18.831619796940856</v>
      </c>
      <c r="P954" s="9">
        <v>18.831619796940856</v>
      </c>
      <c r="Q954" s="9">
        <v>18.831619796940856</v>
      </c>
      <c r="R954" s="9">
        <v>19.270228228143885</v>
      </c>
      <c r="S954" s="9">
        <v>19.533186067089943</v>
      </c>
      <c r="T954" s="9">
        <v>20.288326244442615</v>
      </c>
      <c r="U954" s="9">
        <v>21.727692071919854</v>
      </c>
      <c r="V954" s="9">
        <v>21.727692071919854</v>
      </c>
      <c r="W954" s="9">
        <v>21.727692071919854</v>
      </c>
      <c r="X954" s="9">
        <v>23.660574028090565</v>
      </c>
      <c r="Y954" s="9">
        <v>23.660574028090565</v>
      </c>
      <c r="Z954" s="9">
        <v>25.663958288360334</v>
      </c>
      <c r="AA954" s="9">
        <v>25.663958288360334</v>
      </c>
      <c r="AB954" s="9">
        <v>27.177517246880505</v>
      </c>
      <c r="AC954" s="9">
        <v>27.177517246880505</v>
      </c>
      <c r="AD954" s="9">
        <v>31.506881792360829</v>
      </c>
      <c r="AE954" s="9">
        <v>34.32501712237967</v>
      </c>
      <c r="AF954" s="9">
        <v>37.236096134957549</v>
      </c>
      <c r="AG954" s="9">
        <v>37.236096134957549</v>
      </c>
      <c r="AH954" s="9">
        <v>40.854075194728338</v>
      </c>
      <c r="AI954" s="9">
        <v>43.816165523709728</v>
      </c>
      <c r="AJ954" s="9">
        <v>3.0428788910505911</v>
      </c>
    </row>
    <row r="955" spans="1:36" x14ac:dyDescent="0.25">
      <c r="A955" t="s">
        <v>5411</v>
      </c>
      <c r="B955" t="s">
        <v>16</v>
      </c>
      <c r="C955" t="s">
        <v>17</v>
      </c>
      <c r="D955">
        <v>29395000</v>
      </c>
      <c r="E955">
        <v>29397999</v>
      </c>
      <c r="F955" t="s">
        <v>797</v>
      </c>
      <c r="G955" t="str">
        <f t="shared" si="28"/>
        <v>ESI II</v>
      </c>
      <c r="H955" t="s">
        <v>772</v>
      </c>
      <c r="I955" t="s">
        <v>20</v>
      </c>
      <c r="J955" t="s">
        <v>64</v>
      </c>
      <c r="K955" s="6">
        <v>0.03</v>
      </c>
      <c r="L955" s="7">
        <f t="shared" si="29"/>
        <v>2E-3</v>
      </c>
      <c r="M955" s="7">
        <v>3.0000000000000001E-3</v>
      </c>
      <c r="N955">
        <v>10</v>
      </c>
      <c r="O955" s="8">
        <v>18.831619796940856</v>
      </c>
      <c r="P955" s="9">
        <v>18.831619796940856</v>
      </c>
      <c r="Q955" s="9">
        <v>18.831619796940856</v>
      </c>
      <c r="R955" s="9">
        <v>19.270228228143885</v>
      </c>
      <c r="S955" s="9">
        <v>19.533186067089943</v>
      </c>
      <c r="T955" s="9">
        <v>20.288326244442615</v>
      </c>
      <c r="U955" s="9">
        <v>21.727692071919854</v>
      </c>
      <c r="V955" s="9">
        <v>21.727692071919854</v>
      </c>
      <c r="W955" s="9">
        <v>21.727692071919854</v>
      </c>
      <c r="X955" s="9">
        <v>23.660574028090565</v>
      </c>
      <c r="Y955" s="9">
        <v>23.660574028090565</v>
      </c>
      <c r="Z955" s="9">
        <v>25.663958288360334</v>
      </c>
      <c r="AA955" s="9">
        <v>25.663958288360334</v>
      </c>
      <c r="AB955" s="9">
        <v>27.177517246880505</v>
      </c>
      <c r="AC955" s="9">
        <v>27.177517246880505</v>
      </c>
      <c r="AD955" s="9">
        <v>31.506881792360829</v>
      </c>
      <c r="AE955" s="9">
        <v>34.32501712237967</v>
      </c>
      <c r="AF955" s="9">
        <v>37.236096134957549</v>
      </c>
      <c r="AG955" s="9">
        <v>37.236096134957549</v>
      </c>
      <c r="AH955" s="9">
        <v>40.854075194728338</v>
      </c>
      <c r="AI955" s="9">
        <v>43.816165523709728</v>
      </c>
      <c r="AJ955" s="9">
        <v>3.0428788910505911</v>
      </c>
    </row>
    <row r="956" spans="1:36" x14ac:dyDescent="0.25">
      <c r="A956" t="s">
        <v>5411</v>
      </c>
      <c r="B956" t="s">
        <v>16</v>
      </c>
      <c r="C956" t="s">
        <v>17</v>
      </c>
      <c r="D956">
        <v>29398000</v>
      </c>
      <c r="E956">
        <v>29399999</v>
      </c>
      <c r="F956" t="s">
        <v>798</v>
      </c>
      <c r="G956" t="str">
        <f t="shared" si="28"/>
        <v>ESI II</v>
      </c>
      <c r="H956" t="s">
        <v>772</v>
      </c>
      <c r="I956" t="s">
        <v>20</v>
      </c>
      <c r="J956" t="s">
        <v>64</v>
      </c>
      <c r="K956" s="6">
        <v>0.03</v>
      </c>
      <c r="L956" s="7">
        <f t="shared" si="29"/>
        <v>2E-3</v>
      </c>
      <c r="M956" s="7">
        <v>3.0000000000000001E-3</v>
      </c>
      <c r="N956">
        <v>10</v>
      </c>
      <c r="O956" s="8">
        <v>18.831619796940856</v>
      </c>
      <c r="P956" s="9">
        <v>18.831619796940856</v>
      </c>
      <c r="Q956" s="9">
        <v>18.831619796940856</v>
      </c>
      <c r="R956" s="9">
        <v>19.270228228143885</v>
      </c>
      <c r="S956" s="9">
        <v>19.533186067089943</v>
      </c>
      <c r="T956" s="9">
        <v>20.288326244442615</v>
      </c>
      <c r="U956" s="9">
        <v>21.727692071919854</v>
      </c>
      <c r="V956" s="9">
        <v>21.727692071919854</v>
      </c>
      <c r="W956" s="9">
        <v>21.727692071919854</v>
      </c>
      <c r="X956" s="9">
        <v>23.660574028090565</v>
      </c>
      <c r="Y956" s="9">
        <v>23.660574028090565</v>
      </c>
      <c r="Z956" s="9">
        <v>25.663958288360334</v>
      </c>
      <c r="AA956" s="9">
        <v>25.663958288360334</v>
      </c>
      <c r="AB956" s="9">
        <v>27.177517246880505</v>
      </c>
      <c r="AC956" s="9">
        <v>27.177517246880505</v>
      </c>
      <c r="AD956" s="9">
        <v>31.506881792360829</v>
      </c>
      <c r="AE956" s="9">
        <v>34.32501712237967</v>
      </c>
      <c r="AF956" s="9">
        <v>37.236096134957549</v>
      </c>
      <c r="AG956" s="9">
        <v>37.236096134957549</v>
      </c>
      <c r="AH956" s="9">
        <v>40.854075194728338</v>
      </c>
      <c r="AI956" s="9">
        <v>43.816165523709728</v>
      </c>
      <c r="AJ956" s="9">
        <v>3.0428788910505911</v>
      </c>
    </row>
    <row r="957" spans="1:36" x14ac:dyDescent="0.25">
      <c r="A957" t="s">
        <v>5411</v>
      </c>
      <c r="B957" t="s">
        <v>16</v>
      </c>
      <c r="C957" t="s">
        <v>17</v>
      </c>
      <c r="D957">
        <v>29400000</v>
      </c>
      <c r="E957">
        <v>29449999</v>
      </c>
      <c r="F957" t="s">
        <v>799</v>
      </c>
      <c r="G957" t="str">
        <f t="shared" si="28"/>
        <v>ESI II</v>
      </c>
      <c r="H957" t="s">
        <v>772</v>
      </c>
      <c r="I957" t="s">
        <v>20</v>
      </c>
      <c r="J957" t="s">
        <v>64</v>
      </c>
      <c r="K957" s="6">
        <v>0.03</v>
      </c>
      <c r="L957" s="7">
        <f t="shared" si="29"/>
        <v>2E-3</v>
      </c>
      <c r="M957" s="7">
        <v>3.0000000000000001E-3</v>
      </c>
      <c r="N957">
        <v>10</v>
      </c>
      <c r="O957" s="8">
        <v>18.831619796940856</v>
      </c>
      <c r="P957" s="9">
        <v>18.831619796940856</v>
      </c>
      <c r="Q957" s="9">
        <v>18.831619796940856</v>
      </c>
      <c r="R957" s="9">
        <v>19.270228228143885</v>
      </c>
      <c r="S957" s="9">
        <v>19.533186067089943</v>
      </c>
      <c r="T957" s="9">
        <v>20.288326244442615</v>
      </c>
      <c r="U957" s="9">
        <v>21.727692071919854</v>
      </c>
      <c r="V957" s="9">
        <v>21.727692071919854</v>
      </c>
      <c r="W957" s="9">
        <v>21.727692071919854</v>
      </c>
      <c r="X957" s="9">
        <v>23.660574028090565</v>
      </c>
      <c r="Y957" s="9">
        <v>23.660574028090565</v>
      </c>
      <c r="Z957" s="9">
        <v>25.663958288360334</v>
      </c>
      <c r="AA957" s="9">
        <v>25.663958288360334</v>
      </c>
      <c r="AB957" s="9">
        <v>27.177517246880505</v>
      </c>
      <c r="AC957" s="9">
        <v>27.177517246880505</v>
      </c>
      <c r="AD957" s="9">
        <v>31.506881792360829</v>
      </c>
      <c r="AE957" s="9">
        <v>34.32501712237967</v>
      </c>
      <c r="AF957" s="9">
        <v>37.236096134957549</v>
      </c>
      <c r="AG957" s="9">
        <v>37.236096134957549</v>
      </c>
      <c r="AH957" s="9">
        <v>40.854075194728338</v>
      </c>
      <c r="AI957" s="9">
        <v>43.816165523709728</v>
      </c>
      <c r="AJ957" s="9">
        <v>3.0428788910505911</v>
      </c>
    </row>
    <row r="958" spans="1:36" x14ac:dyDescent="0.25">
      <c r="A958" t="s">
        <v>5411</v>
      </c>
      <c r="B958" t="s">
        <v>16</v>
      </c>
      <c r="C958" t="s">
        <v>17</v>
      </c>
      <c r="D958">
        <v>29450000</v>
      </c>
      <c r="E958">
        <v>29459999</v>
      </c>
      <c r="F958" t="s">
        <v>800</v>
      </c>
      <c r="G958" t="str">
        <f t="shared" si="28"/>
        <v>ESI II</v>
      </c>
      <c r="H958" t="s">
        <v>772</v>
      </c>
      <c r="I958" t="s">
        <v>20</v>
      </c>
      <c r="J958" t="s">
        <v>64</v>
      </c>
      <c r="K958" s="6">
        <v>0.03</v>
      </c>
      <c r="L958" s="7">
        <f t="shared" si="29"/>
        <v>2E-3</v>
      </c>
      <c r="M958" s="7">
        <v>3.0000000000000001E-3</v>
      </c>
      <c r="N958">
        <v>10</v>
      </c>
      <c r="O958" s="8">
        <v>18.831619796940856</v>
      </c>
      <c r="P958" s="9">
        <v>18.831619796940856</v>
      </c>
      <c r="Q958" s="9">
        <v>18.831619796940856</v>
      </c>
      <c r="R958" s="9">
        <v>19.270228228143885</v>
      </c>
      <c r="S958" s="9">
        <v>19.533186067089943</v>
      </c>
      <c r="T958" s="9">
        <v>20.288326244442615</v>
      </c>
      <c r="U958" s="9">
        <v>21.727692071919854</v>
      </c>
      <c r="V958" s="9">
        <v>21.727692071919854</v>
      </c>
      <c r="W958" s="9">
        <v>21.727692071919854</v>
      </c>
      <c r="X958" s="9">
        <v>23.660574028090565</v>
      </c>
      <c r="Y958" s="9">
        <v>23.660574028090565</v>
      </c>
      <c r="Z958" s="9">
        <v>25.663958288360334</v>
      </c>
      <c r="AA958" s="9">
        <v>25.663958288360334</v>
      </c>
      <c r="AB958" s="9">
        <v>27.177517246880505</v>
      </c>
      <c r="AC958" s="9">
        <v>27.177517246880505</v>
      </c>
      <c r="AD958" s="9">
        <v>31.506881792360829</v>
      </c>
      <c r="AE958" s="9">
        <v>34.32501712237967</v>
      </c>
      <c r="AF958" s="9">
        <v>37.236096134957549</v>
      </c>
      <c r="AG958" s="9">
        <v>37.236096134957549</v>
      </c>
      <c r="AH958" s="9">
        <v>40.854075194728338</v>
      </c>
      <c r="AI958" s="9">
        <v>43.816165523709728</v>
      </c>
      <c r="AJ958" s="9">
        <v>3.0428788910505911</v>
      </c>
    </row>
    <row r="959" spans="1:36" x14ac:dyDescent="0.25">
      <c r="A959" t="s">
        <v>5411</v>
      </c>
      <c r="B959" t="s">
        <v>16</v>
      </c>
      <c r="C959" t="s">
        <v>17</v>
      </c>
      <c r="D959">
        <v>29460000</v>
      </c>
      <c r="E959">
        <v>29469999</v>
      </c>
      <c r="F959" t="s">
        <v>801</v>
      </c>
      <c r="G959" t="str">
        <f t="shared" si="28"/>
        <v>ESI II</v>
      </c>
      <c r="H959" t="s">
        <v>772</v>
      </c>
      <c r="I959" t="s">
        <v>20</v>
      </c>
      <c r="J959" t="s">
        <v>64</v>
      </c>
      <c r="K959" s="6">
        <v>0.03</v>
      </c>
      <c r="L959" s="7">
        <f t="shared" si="29"/>
        <v>2E-3</v>
      </c>
      <c r="M959" s="7">
        <v>3.0000000000000001E-3</v>
      </c>
      <c r="N959">
        <v>10</v>
      </c>
      <c r="O959" s="8">
        <v>18.831619796940856</v>
      </c>
      <c r="P959" s="9">
        <v>18.831619796940856</v>
      </c>
      <c r="Q959" s="9">
        <v>18.831619796940856</v>
      </c>
      <c r="R959" s="9">
        <v>19.270228228143885</v>
      </c>
      <c r="S959" s="9">
        <v>19.533186067089943</v>
      </c>
      <c r="T959" s="9">
        <v>20.288326244442615</v>
      </c>
      <c r="U959" s="9">
        <v>21.727692071919854</v>
      </c>
      <c r="V959" s="9">
        <v>21.727692071919854</v>
      </c>
      <c r="W959" s="9">
        <v>21.727692071919854</v>
      </c>
      <c r="X959" s="9">
        <v>23.660574028090565</v>
      </c>
      <c r="Y959" s="9">
        <v>23.660574028090565</v>
      </c>
      <c r="Z959" s="9">
        <v>25.663958288360334</v>
      </c>
      <c r="AA959" s="9">
        <v>25.663958288360334</v>
      </c>
      <c r="AB959" s="9">
        <v>27.177517246880505</v>
      </c>
      <c r="AC959" s="9">
        <v>27.177517246880505</v>
      </c>
      <c r="AD959" s="9">
        <v>31.506881792360829</v>
      </c>
      <c r="AE959" s="9">
        <v>34.32501712237967</v>
      </c>
      <c r="AF959" s="9">
        <v>37.236096134957549</v>
      </c>
      <c r="AG959" s="9">
        <v>37.236096134957549</v>
      </c>
      <c r="AH959" s="9">
        <v>40.854075194728338</v>
      </c>
      <c r="AI959" s="9">
        <v>43.816165523709728</v>
      </c>
      <c r="AJ959" s="9">
        <v>3.0428788910505911</v>
      </c>
    </row>
    <row r="960" spans="1:36" x14ac:dyDescent="0.25">
      <c r="A960" t="s">
        <v>5411</v>
      </c>
      <c r="B960" t="s">
        <v>16</v>
      </c>
      <c r="C960" t="s">
        <v>17</v>
      </c>
      <c r="D960">
        <v>29470000</v>
      </c>
      <c r="E960">
        <v>29479999</v>
      </c>
      <c r="F960" t="s">
        <v>802</v>
      </c>
      <c r="G960" t="str">
        <f t="shared" si="28"/>
        <v>ESI II</v>
      </c>
      <c r="H960" t="s">
        <v>772</v>
      </c>
      <c r="I960" t="s">
        <v>20</v>
      </c>
      <c r="J960" t="s">
        <v>64</v>
      </c>
      <c r="K960" s="6">
        <v>0.03</v>
      </c>
      <c r="L960" s="7">
        <f t="shared" si="29"/>
        <v>2E-3</v>
      </c>
      <c r="M960" s="7">
        <v>3.0000000000000001E-3</v>
      </c>
      <c r="N960">
        <v>10</v>
      </c>
      <c r="O960" s="8">
        <v>18.831619796940856</v>
      </c>
      <c r="P960" s="9">
        <v>18.831619796940856</v>
      </c>
      <c r="Q960" s="9">
        <v>18.831619796940856</v>
      </c>
      <c r="R960" s="9">
        <v>19.270228228143885</v>
      </c>
      <c r="S960" s="9">
        <v>19.533186067089943</v>
      </c>
      <c r="T960" s="9">
        <v>20.288326244442615</v>
      </c>
      <c r="U960" s="9">
        <v>21.727692071919854</v>
      </c>
      <c r="V960" s="9">
        <v>21.727692071919854</v>
      </c>
      <c r="W960" s="9">
        <v>21.727692071919854</v>
      </c>
      <c r="X960" s="9">
        <v>23.660574028090565</v>
      </c>
      <c r="Y960" s="9">
        <v>23.660574028090565</v>
      </c>
      <c r="Z960" s="9">
        <v>25.663958288360334</v>
      </c>
      <c r="AA960" s="9">
        <v>25.663958288360334</v>
      </c>
      <c r="AB960" s="9">
        <v>27.177517246880505</v>
      </c>
      <c r="AC960" s="9">
        <v>27.177517246880505</v>
      </c>
      <c r="AD960" s="9">
        <v>31.506881792360829</v>
      </c>
      <c r="AE960" s="9">
        <v>34.32501712237967</v>
      </c>
      <c r="AF960" s="9">
        <v>37.236096134957549</v>
      </c>
      <c r="AG960" s="9">
        <v>37.236096134957549</v>
      </c>
      <c r="AH960" s="9">
        <v>40.854075194728338</v>
      </c>
      <c r="AI960" s="9">
        <v>43.816165523709728</v>
      </c>
      <c r="AJ960" s="9">
        <v>3.0428788910505911</v>
      </c>
    </row>
    <row r="961" spans="1:36" x14ac:dyDescent="0.25">
      <c r="A961" t="s">
        <v>5411</v>
      </c>
      <c r="B961" t="s">
        <v>16</v>
      </c>
      <c r="C961" t="s">
        <v>17</v>
      </c>
      <c r="D961">
        <v>29480000</v>
      </c>
      <c r="E961">
        <v>29489999</v>
      </c>
      <c r="F961" t="s">
        <v>803</v>
      </c>
      <c r="G961" t="str">
        <f t="shared" si="28"/>
        <v>ESI II</v>
      </c>
      <c r="H961" t="s">
        <v>772</v>
      </c>
      <c r="I961" t="s">
        <v>20</v>
      </c>
      <c r="J961" t="s">
        <v>64</v>
      </c>
      <c r="K961" s="6">
        <v>0.03</v>
      </c>
      <c r="L961" s="7">
        <f t="shared" si="29"/>
        <v>2E-3</v>
      </c>
      <c r="M961" s="7">
        <v>3.0000000000000001E-3</v>
      </c>
      <c r="N961">
        <v>10</v>
      </c>
      <c r="O961" s="8">
        <v>18.831619796940856</v>
      </c>
      <c r="P961" s="9">
        <v>18.831619796940856</v>
      </c>
      <c r="Q961" s="9">
        <v>18.831619796940856</v>
      </c>
      <c r="R961" s="9">
        <v>19.270228228143885</v>
      </c>
      <c r="S961" s="9">
        <v>19.533186067089943</v>
      </c>
      <c r="T961" s="9">
        <v>20.288326244442615</v>
      </c>
      <c r="U961" s="9">
        <v>21.727692071919854</v>
      </c>
      <c r="V961" s="9">
        <v>21.727692071919854</v>
      </c>
      <c r="W961" s="9">
        <v>21.727692071919854</v>
      </c>
      <c r="X961" s="9">
        <v>23.660574028090565</v>
      </c>
      <c r="Y961" s="9">
        <v>23.660574028090565</v>
      </c>
      <c r="Z961" s="9">
        <v>25.663958288360334</v>
      </c>
      <c r="AA961" s="9">
        <v>25.663958288360334</v>
      </c>
      <c r="AB961" s="9">
        <v>27.177517246880505</v>
      </c>
      <c r="AC961" s="9">
        <v>27.177517246880505</v>
      </c>
      <c r="AD961" s="9">
        <v>31.506881792360829</v>
      </c>
      <c r="AE961" s="9">
        <v>34.32501712237967</v>
      </c>
      <c r="AF961" s="9">
        <v>37.236096134957549</v>
      </c>
      <c r="AG961" s="9">
        <v>37.236096134957549</v>
      </c>
      <c r="AH961" s="9">
        <v>40.854075194728338</v>
      </c>
      <c r="AI961" s="9">
        <v>43.816165523709728</v>
      </c>
      <c r="AJ961" s="9">
        <v>3.0428788910505911</v>
      </c>
    </row>
    <row r="962" spans="1:36" x14ac:dyDescent="0.25">
      <c r="A962" t="s">
        <v>5411</v>
      </c>
      <c r="B962" t="s">
        <v>16</v>
      </c>
      <c r="C962" t="s">
        <v>17</v>
      </c>
      <c r="D962">
        <v>29490000</v>
      </c>
      <c r="E962">
        <v>29499999</v>
      </c>
      <c r="F962" t="s">
        <v>804</v>
      </c>
      <c r="G962" t="str">
        <f t="shared" si="28"/>
        <v>ESI II</v>
      </c>
      <c r="H962" t="s">
        <v>772</v>
      </c>
      <c r="I962" t="s">
        <v>20</v>
      </c>
      <c r="J962" t="s">
        <v>64</v>
      </c>
      <c r="K962" s="6">
        <v>0.03</v>
      </c>
      <c r="L962" s="7">
        <f t="shared" si="29"/>
        <v>2E-3</v>
      </c>
      <c r="M962" s="7">
        <v>3.0000000000000001E-3</v>
      </c>
      <c r="N962">
        <v>10</v>
      </c>
      <c r="O962" s="8">
        <v>18.831619796940856</v>
      </c>
      <c r="P962" s="9">
        <v>18.831619796940856</v>
      </c>
      <c r="Q962" s="9">
        <v>18.831619796940856</v>
      </c>
      <c r="R962" s="9">
        <v>19.270228228143885</v>
      </c>
      <c r="S962" s="9">
        <v>19.533186067089943</v>
      </c>
      <c r="T962" s="9">
        <v>20.288326244442615</v>
      </c>
      <c r="U962" s="9">
        <v>21.727692071919854</v>
      </c>
      <c r="V962" s="9">
        <v>21.727692071919854</v>
      </c>
      <c r="W962" s="9">
        <v>21.727692071919854</v>
      </c>
      <c r="X962" s="9">
        <v>23.660574028090565</v>
      </c>
      <c r="Y962" s="9">
        <v>23.660574028090565</v>
      </c>
      <c r="Z962" s="9">
        <v>25.663958288360334</v>
      </c>
      <c r="AA962" s="9">
        <v>25.663958288360334</v>
      </c>
      <c r="AB962" s="9">
        <v>27.177517246880505</v>
      </c>
      <c r="AC962" s="9">
        <v>27.177517246880505</v>
      </c>
      <c r="AD962" s="9">
        <v>31.506881792360829</v>
      </c>
      <c r="AE962" s="9">
        <v>34.32501712237967</v>
      </c>
      <c r="AF962" s="9">
        <v>37.236096134957549</v>
      </c>
      <c r="AG962" s="9">
        <v>37.236096134957549</v>
      </c>
      <c r="AH962" s="9">
        <v>40.854075194728338</v>
      </c>
      <c r="AI962" s="9">
        <v>43.816165523709728</v>
      </c>
      <c r="AJ962" s="9">
        <v>3.0428788910505911</v>
      </c>
    </row>
    <row r="963" spans="1:36" x14ac:dyDescent="0.25">
      <c r="A963" t="s">
        <v>5411</v>
      </c>
      <c r="B963" t="s">
        <v>16</v>
      </c>
      <c r="C963" t="s">
        <v>17</v>
      </c>
      <c r="D963">
        <v>29500000</v>
      </c>
      <c r="E963">
        <v>29539999</v>
      </c>
      <c r="F963" t="s">
        <v>805</v>
      </c>
      <c r="G963" t="str">
        <f t="shared" si="28"/>
        <v>ESI II</v>
      </c>
      <c r="H963" t="s">
        <v>772</v>
      </c>
      <c r="I963" t="s">
        <v>20</v>
      </c>
      <c r="J963" t="s">
        <v>64</v>
      </c>
      <c r="K963" s="6">
        <v>0.03</v>
      </c>
      <c r="L963" s="7">
        <f t="shared" si="29"/>
        <v>2E-3</v>
      </c>
      <c r="M963" s="7">
        <v>3.0000000000000001E-3</v>
      </c>
      <c r="N963">
        <v>10</v>
      </c>
      <c r="O963" s="8">
        <v>18.831619796940856</v>
      </c>
      <c r="P963" s="9">
        <v>18.831619796940856</v>
      </c>
      <c r="Q963" s="9">
        <v>18.831619796940856</v>
      </c>
      <c r="R963" s="9">
        <v>19.270228228143885</v>
      </c>
      <c r="S963" s="9">
        <v>19.533186067089943</v>
      </c>
      <c r="T963" s="9">
        <v>20.288326244442615</v>
      </c>
      <c r="U963" s="9">
        <v>21.727692071919854</v>
      </c>
      <c r="V963" s="9">
        <v>21.727692071919854</v>
      </c>
      <c r="W963" s="9">
        <v>21.727692071919854</v>
      </c>
      <c r="X963" s="9">
        <v>23.660574028090565</v>
      </c>
      <c r="Y963" s="9">
        <v>23.660574028090565</v>
      </c>
      <c r="Z963" s="9">
        <v>25.663958288360334</v>
      </c>
      <c r="AA963" s="9">
        <v>25.663958288360334</v>
      </c>
      <c r="AB963" s="9">
        <v>27.177517246880505</v>
      </c>
      <c r="AC963" s="9">
        <v>27.177517246880505</v>
      </c>
      <c r="AD963" s="9">
        <v>31.506881792360829</v>
      </c>
      <c r="AE963" s="9">
        <v>34.32501712237967</v>
      </c>
      <c r="AF963" s="9">
        <v>37.236096134957549</v>
      </c>
      <c r="AG963" s="9">
        <v>37.236096134957549</v>
      </c>
      <c r="AH963" s="9">
        <v>40.854075194728338</v>
      </c>
      <c r="AI963" s="9">
        <v>43.816165523709728</v>
      </c>
      <c r="AJ963" s="9">
        <v>3.0428788910505911</v>
      </c>
    </row>
    <row r="964" spans="1:36" x14ac:dyDescent="0.25">
      <c r="A964" t="s">
        <v>5411</v>
      </c>
      <c r="B964" t="s">
        <v>16</v>
      </c>
      <c r="C964" t="s">
        <v>17</v>
      </c>
      <c r="D964">
        <v>29540000</v>
      </c>
      <c r="E964">
        <v>29549999</v>
      </c>
      <c r="F964" t="s">
        <v>806</v>
      </c>
      <c r="G964" t="str">
        <f t="shared" ref="G964:G1027" si="30">H964&amp;IF(J964="CAPITAL","C",IF(J964="INTERIOR","I",IF(J964="INTERIOR II","I II","R")))</f>
        <v>ESI II</v>
      </c>
      <c r="H964" t="s">
        <v>772</v>
      </c>
      <c r="I964" t="s">
        <v>20</v>
      </c>
      <c r="J964" t="s">
        <v>64</v>
      </c>
      <c r="K964" s="6">
        <v>0.03</v>
      </c>
      <c r="L964" s="7">
        <f t="shared" ref="L964:L1027" si="31">IF(I964="(0) Não",0.2%,3%)</f>
        <v>2E-3</v>
      </c>
      <c r="M964" s="7">
        <v>3.0000000000000001E-3</v>
      </c>
      <c r="N964">
        <v>10</v>
      </c>
      <c r="O964" s="8">
        <v>18.831619796940856</v>
      </c>
      <c r="P964" s="9">
        <v>18.831619796940856</v>
      </c>
      <c r="Q964" s="9">
        <v>18.831619796940856</v>
      </c>
      <c r="R964" s="9">
        <v>19.270228228143885</v>
      </c>
      <c r="S964" s="9">
        <v>19.533186067089943</v>
      </c>
      <c r="T964" s="9">
        <v>20.288326244442615</v>
      </c>
      <c r="U964" s="9">
        <v>21.727692071919854</v>
      </c>
      <c r="V964" s="9">
        <v>21.727692071919854</v>
      </c>
      <c r="W964" s="9">
        <v>21.727692071919854</v>
      </c>
      <c r="X964" s="9">
        <v>23.660574028090565</v>
      </c>
      <c r="Y964" s="9">
        <v>23.660574028090565</v>
      </c>
      <c r="Z964" s="9">
        <v>25.663958288360334</v>
      </c>
      <c r="AA964" s="9">
        <v>25.663958288360334</v>
      </c>
      <c r="AB964" s="9">
        <v>27.177517246880505</v>
      </c>
      <c r="AC964" s="9">
        <v>27.177517246880505</v>
      </c>
      <c r="AD964" s="9">
        <v>31.506881792360829</v>
      </c>
      <c r="AE964" s="9">
        <v>34.32501712237967</v>
      </c>
      <c r="AF964" s="9">
        <v>37.236096134957549</v>
      </c>
      <c r="AG964" s="9">
        <v>37.236096134957549</v>
      </c>
      <c r="AH964" s="9">
        <v>40.854075194728338</v>
      </c>
      <c r="AI964" s="9">
        <v>43.816165523709728</v>
      </c>
      <c r="AJ964" s="9">
        <v>3.0428788910505911</v>
      </c>
    </row>
    <row r="965" spans="1:36" x14ac:dyDescent="0.25">
      <c r="A965" t="s">
        <v>5411</v>
      </c>
      <c r="B965" t="s">
        <v>16</v>
      </c>
      <c r="C965" t="s">
        <v>17</v>
      </c>
      <c r="D965">
        <v>29550000</v>
      </c>
      <c r="E965">
        <v>29559999</v>
      </c>
      <c r="F965" t="s">
        <v>807</v>
      </c>
      <c r="G965" t="str">
        <f t="shared" si="30"/>
        <v>ESI II</v>
      </c>
      <c r="H965" t="s">
        <v>772</v>
      </c>
      <c r="I965" t="s">
        <v>20</v>
      </c>
      <c r="J965" t="s">
        <v>64</v>
      </c>
      <c r="K965" s="6">
        <v>0.03</v>
      </c>
      <c r="L965" s="7">
        <f t="shared" si="31"/>
        <v>2E-3</v>
      </c>
      <c r="M965" s="7">
        <v>3.0000000000000001E-3</v>
      </c>
      <c r="N965">
        <v>10</v>
      </c>
      <c r="O965" s="8">
        <v>18.831619796940856</v>
      </c>
      <c r="P965" s="9">
        <v>18.831619796940856</v>
      </c>
      <c r="Q965" s="9">
        <v>18.831619796940856</v>
      </c>
      <c r="R965" s="9">
        <v>19.270228228143885</v>
      </c>
      <c r="S965" s="9">
        <v>19.533186067089943</v>
      </c>
      <c r="T965" s="9">
        <v>20.288326244442615</v>
      </c>
      <c r="U965" s="9">
        <v>21.727692071919854</v>
      </c>
      <c r="V965" s="9">
        <v>21.727692071919854</v>
      </c>
      <c r="W965" s="9">
        <v>21.727692071919854</v>
      </c>
      <c r="X965" s="9">
        <v>23.660574028090565</v>
      </c>
      <c r="Y965" s="9">
        <v>23.660574028090565</v>
      </c>
      <c r="Z965" s="9">
        <v>25.663958288360334</v>
      </c>
      <c r="AA965" s="9">
        <v>25.663958288360334</v>
      </c>
      <c r="AB965" s="9">
        <v>27.177517246880505</v>
      </c>
      <c r="AC965" s="9">
        <v>27.177517246880505</v>
      </c>
      <c r="AD965" s="9">
        <v>31.506881792360829</v>
      </c>
      <c r="AE965" s="9">
        <v>34.32501712237967</v>
      </c>
      <c r="AF965" s="9">
        <v>37.236096134957549</v>
      </c>
      <c r="AG965" s="9">
        <v>37.236096134957549</v>
      </c>
      <c r="AH965" s="9">
        <v>40.854075194728338</v>
      </c>
      <c r="AI965" s="9">
        <v>43.816165523709728</v>
      </c>
      <c r="AJ965" s="9">
        <v>3.0428788910505911</v>
      </c>
    </row>
    <row r="966" spans="1:36" x14ac:dyDescent="0.25">
      <c r="A966" t="s">
        <v>5411</v>
      </c>
      <c r="B966" t="s">
        <v>16</v>
      </c>
      <c r="C966" t="s">
        <v>17</v>
      </c>
      <c r="D966">
        <v>29560000</v>
      </c>
      <c r="E966">
        <v>29579999</v>
      </c>
      <c r="F966" t="s">
        <v>808</v>
      </c>
      <c r="G966" t="str">
        <f t="shared" si="30"/>
        <v>ESI II</v>
      </c>
      <c r="H966" t="s">
        <v>772</v>
      </c>
      <c r="I966" t="s">
        <v>20</v>
      </c>
      <c r="J966" t="s">
        <v>64</v>
      </c>
      <c r="K966" s="6">
        <v>0.03</v>
      </c>
      <c r="L966" s="7">
        <f t="shared" si="31"/>
        <v>2E-3</v>
      </c>
      <c r="M966" s="7">
        <v>3.0000000000000001E-3</v>
      </c>
      <c r="N966">
        <v>10</v>
      </c>
      <c r="O966" s="8">
        <v>18.831619796940856</v>
      </c>
      <c r="P966" s="9">
        <v>18.831619796940856</v>
      </c>
      <c r="Q966" s="9">
        <v>18.831619796940856</v>
      </c>
      <c r="R966" s="9">
        <v>19.270228228143885</v>
      </c>
      <c r="S966" s="9">
        <v>19.533186067089943</v>
      </c>
      <c r="T966" s="9">
        <v>20.288326244442615</v>
      </c>
      <c r="U966" s="9">
        <v>21.727692071919854</v>
      </c>
      <c r="V966" s="9">
        <v>21.727692071919854</v>
      </c>
      <c r="W966" s="9">
        <v>21.727692071919854</v>
      </c>
      <c r="X966" s="9">
        <v>23.660574028090565</v>
      </c>
      <c r="Y966" s="9">
        <v>23.660574028090565</v>
      </c>
      <c r="Z966" s="9">
        <v>25.663958288360334</v>
      </c>
      <c r="AA966" s="9">
        <v>25.663958288360334</v>
      </c>
      <c r="AB966" s="9">
        <v>27.177517246880505</v>
      </c>
      <c r="AC966" s="9">
        <v>27.177517246880505</v>
      </c>
      <c r="AD966" s="9">
        <v>31.506881792360829</v>
      </c>
      <c r="AE966" s="9">
        <v>34.32501712237967</v>
      </c>
      <c r="AF966" s="9">
        <v>37.236096134957549</v>
      </c>
      <c r="AG966" s="9">
        <v>37.236096134957549</v>
      </c>
      <c r="AH966" s="9">
        <v>40.854075194728338</v>
      </c>
      <c r="AI966" s="9">
        <v>43.816165523709728</v>
      </c>
      <c r="AJ966" s="9">
        <v>3.0428788910505911</v>
      </c>
    </row>
    <row r="967" spans="1:36" x14ac:dyDescent="0.25">
      <c r="A967" t="s">
        <v>5411</v>
      </c>
      <c r="B967" t="s">
        <v>16</v>
      </c>
      <c r="C967" t="s">
        <v>17</v>
      </c>
      <c r="D967">
        <v>29580000</v>
      </c>
      <c r="E967">
        <v>29589999</v>
      </c>
      <c r="F967" t="s">
        <v>809</v>
      </c>
      <c r="G967" t="str">
        <f t="shared" si="30"/>
        <v>ESI II</v>
      </c>
      <c r="H967" t="s">
        <v>772</v>
      </c>
      <c r="I967" t="s">
        <v>20</v>
      </c>
      <c r="J967" t="s">
        <v>64</v>
      </c>
      <c r="K967" s="6">
        <v>0.03</v>
      </c>
      <c r="L967" s="7">
        <f t="shared" si="31"/>
        <v>2E-3</v>
      </c>
      <c r="M967" s="7">
        <v>3.0000000000000001E-3</v>
      </c>
      <c r="N967">
        <v>10</v>
      </c>
      <c r="O967" s="8">
        <v>18.831619796940856</v>
      </c>
      <c r="P967" s="9">
        <v>18.831619796940856</v>
      </c>
      <c r="Q967" s="9">
        <v>18.831619796940856</v>
      </c>
      <c r="R967" s="9">
        <v>19.270228228143885</v>
      </c>
      <c r="S967" s="9">
        <v>19.533186067089943</v>
      </c>
      <c r="T967" s="9">
        <v>20.288326244442615</v>
      </c>
      <c r="U967" s="9">
        <v>21.727692071919854</v>
      </c>
      <c r="V967" s="9">
        <v>21.727692071919854</v>
      </c>
      <c r="W967" s="9">
        <v>21.727692071919854</v>
      </c>
      <c r="X967" s="9">
        <v>23.660574028090565</v>
      </c>
      <c r="Y967" s="9">
        <v>23.660574028090565</v>
      </c>
      <c r="Z967" s="9">
        <v>25.663958288360334</v>
      </c>
      <c r="AA967" s="9">
        <v>25.663958288360334</v>
      </c>
      <c r="AB967" s="9">
        <v>27.177517246880505</v>
      </c>
      <c r="AC967" s="9">
        <v>27.177517246880505</v>
      </c>
      <c r="AD967" s="9">
        <v>31.506881792360829</v>
      </c>
      <c r="AE967" s="9">
        <v>34.32501712237967</v>
      </c>
      <c r="AF967" s="9">
        <v>37.236096134957549</v>
      </c>
      <c r="AG967" s="9">
        <v>37.236096134957549</v>
      </c>
      <c r="AH967" s="9">
        <v>40.854075194728338</v>
      </c>
      <c r="AI967" s="9">
        <v>43.816165523709728</v>
      </c>
      <c r="AJ967" s="9">
        <v>3.0428788910505911</v>
      </c>
    </row>
    <row r="968" spans="1:36" x14ac:dyDescent="0.25">
      <c r="A968" t="s">
        <v>5411</v>
      </c>
      <c r="B968" t="s">
        <v>16</v>
      </c>
      <c r="C968" t="s">
        <v>17</v>
      </c>
      <c r="D968">
        <v>29590000</v>
      </c>
      <c r="E968">
        <v>29599999</v>
      </c>
      <c r="F968" t="s">
        <v>810</v>
      </c>
      <c r="G968" t="str">
        <f t="shared" si="30"/>
        <v>ESI II</v>
      </c>
      <c r="H968" t="s">
        <v>772</v>
      </c>
      <c r="I968" t="s">
        <v>20</v>
      </c>
      <c r="J968" t="s">
        <v>64</v>
      </c>
      <c r="K968" s="6">
        <v>0.03</v>
      </c>
      <c r="L968" s="7">
        <f t="shared" si="31"/>
        <v>2E-3</v>
      </c>
      <c r="M968" s="7">
        <v>3.0000000000000001E-3</v>
      </c>
      <c r="N968">
        <v>10</v>
      </c>
      <c r="O968" s="8">
        <v>18.831619796940856</v>
      </c>
      <c r="P968" s="9">
        <v>18.831619796940856</v>
      </c>
      <c r="Q968" s="9">
        <v>18.831619796940856</v>
      </c>
      <c r="R968" s="9">
        <v>19.270228228143885</v>
      </c>
      <c r="S968" s="9">
        <v>19.533186067089943</v>
      </c>
      <c r="T968" s="9">
        <v>20.288326244442615</v>
      </c>
      <c r="U968" s="9">
        <v>21.727692071919854</v>
      </c>
      <c r="V968" s="9">
        <v>21.727692071919854</v>
      </c>
      <c r="W968" s="9">
        <v>21.727692071919854</v>
      </c>
      <c r="X968" s="9">
        <v>23.660574028090565</v>
      </c>
      <c r="Y968" s="9">
        <v>23.660574028090565</v>
      </c>
      <c r="Z968" s="9">
        <v>25.663958288360334</v>
      </c>
      <c r="AA968" s="9">
        <v>25.663958288360334</v>
      </c>
      <c r="AB968" s="9">
        <v>27.177517246880505</v>
      </c>
      <c r="AC968" s="9">
        <v>27.177517246880505</v>
      </c>
      <c r="AD968" s="9">
        <v>31.506881792360829</v>
      </c>
      <c r="AE968" s="9">
        <v>34.32501712237967</v>
      </c>
      <c r="AF968" s="9">
        <v>37.236096134957549</v>
      </c>
      <c r="AG968" s="9">
        <v>37.236096134957549</v>
      </c>
      <c r="AH968" s="9">
        <v>40.854075194728338</v>
      </c>
      <c r="AI968" s="9">
        <v>43.816165523709728</v>
      </c>
      <c r="AJ968" s="9">
        <v>3.0428788910505911</v>
      </c>
    </row>
    <row r="969" spans="1:36" x14ac:dyDescent="0.25">
      <c r="A969" t="s">
        <v>5411</v>
      </c>
      <c r="B969" t="s">
        <v>16</v>
      </c>
      <c r="C969" t="s">
        <v>17</v>
      </c>
      <c r="D969">
        <v>29600000</v>
      </c>
      <c r="E969">
        <v>29614999</v>
      </c>
      <c r="F969" t="s">
        <v>811</v>
      </c>
      <c r="G969" t="str">
        <f t="shared" si="30"/>
        <v>ESI II</v>
      </c>
      <c r="H969" t="s">
        <v>772</v>
      </c>
      <c r="I969" t="s">
        <v>20</v>
      </c>
      <c r="J969" t="s">
        <v>64</v>
      </c>
      <c r="K969" s="6">
        <v>0.03</v>
      </c>
      <c r="L969" s="7">
        <f t="shared" si="31"/>
        <v>2E-3</v>
      </c>
      <c r="M969" s="7">
        <v>3.0000000000000001E-3</v>
      </c>
      <c r="N969">
        <v>10</v>
      </c>
      <c r="O969" s="8">
        <v>18.831619796940856</v>
      </c>
      <c r="P969" s="9">
        <v>18.831619796940856</v>
      </c>
      <c r="Q969" s="9">
        <v>18.831619796940856</v>
      </c>
      <c r="R969" s="9">
        <v>19.270228228143885</v>
      </c>
      <c r="S969" s="9">
        <v>19.533186067089943</v>
      </c>
      <c r="T969" s="9">
        <v>20.288326244442615</v>
      </c>
      <c r="U969" s="9">
        <v>21.727692071919854</v>
      </c>
      <c r="V969" s="9">
        <v>21.727692071919854</v>
      </c>
      <c r="W969" s="9">
        <v>21.727692071919854</v>
      </c>
      <c r="X969" s="9">
        <v>23.660574028090565</v>
      </c>
      <c r="Y969" s="9">
        <v>23.660574028090565</v>
      </c>
      <c r="Z969" s="9">
        <v>25.663958288360334</v>
      </c>
      <c r="AA969" s="9">
        <v>25.663958288360334</v>
      </c>
      <c r="AB969" s="9">
        <v>27.177517246880505</v>
      </c>
      <c r="AC969" s="9">
        <v>27.177517246880505</v>
      </c>
      <c r="AD969" s="9">
        <v>31.506881792360829</v>
      </c>
      <c r="AE969" s="9">
        <v>34.32501712237967</v>
      </c>
      <c r="AF969" s="9">
        <v>37.236096134957549</v>
      </c>
      <c r="AG969" s="9">
        <v>37.236096134957549</v>
      </c>
      <c r="AH969" s="9">
        <v>40.854075194728338</v>
      </c>
      <c r="AI969" s="9">
        <v>43.816165523709728</v>
      </c>
      <c r="AJ969" s="9">
        <v>3.0428788910505911</v>
      </c>
    </row>
    <row r="970" spans="1:36" x14ac:dyDescent="0.25">
      <c r="A970" t="s">
        <v>5411</v>
      </c>
      <c r="B970" t="s">
        <v>16</v>
      </c>
      <c r="C970" t="s">
        <v>17</v>
      </c>
      <c r="D970">
        <v>29615000</v>
      </c>
      <c r="E970">
        <v>29619999</v>
      </c>
      <c r="F970" t="s">
        <v>812</v>
      </c>
      <c r="G970" t="str">
        <f t="shared" si="30"/>
        <v>ESI II</v>
      </c>
      <c r="H970" t="s">
        <v>772</v>
      </c>
      <c r="I970" t="s">
        <v>20</v>
      </c>
      <c r="J970" t="s">
        <v>64</v>
      </c>
      <c r="K970" s="6">
        <v>0.03</v>
      </c>
      <c r="L970" s="7">
        <f t="shared" si="31"/>
        <v>2E-3</v>
      </c>
      <c r="M970" s="7">
        <v>3.0000000000000001E-3</v>
      </c>
      <c r="N970">
        <v>10</v>
      </c>
      <c r="O970" s="8">
        <v>18.831619796940856</v>
      </c>
      <c r="P970" s="9">
        <v>18.831619796940856</v>
      </c>
      <c r="Q970" s="9">
        <v>18.831619796940856</v>
      </c>
      <c r="R970" s="9">
        <v>19.270228228143885</v>
      </c>
      <c r="S970" s="9">
        <v>19.533186067089943</v>
      </c>
      <c r="T970" s="9">
        <v>20.288326244442615</v>
      </c>
      <c r="U970" s="9">
        <v>21.727692071919854</v>
      </c>
      <c r="V970" s="9">
        <v>21.727692071919854</v>
      </c>
      <c r="W970" s="9">
        <v>21.727692071919854</v>
      </c>
      <c r="X970" s="9">
        <v>23.660574028090565</v>
      </c>
      <c r="Y970" s="9">
        <v>23.660574028090565</v>
      </c>
      <c r="Z970" s="9">
        <v>25.663958288360334</v>
      </c>
      <c r="AA970" s="9">
        <v>25.663958288360334</v>
      </c>
      <c r="AB970" s="9">
        <v>27.177517246880505</v>
      </c>
      <c r="AC970" s="9">
        <v>27.177517246880505</v>
      </c>
      <c r="AD970" s="9">
        <v>31.506881792360829</v>
      </c>
      <c r="AE970" s="9">
        <v>34.32501712237967</v>
      </c>
      <c r="AF970" s="9">
        <v>37.236096134957549</v>
      </c>
      <c r="AG970" s="9">
        <v>37.236096134957549</v>
      </c>
      <c r="AH970" s="9">
        <v>40.854075194728338</v>
      </c>
      <c r="AI970" s="9">
        <v>43.816165523709728</v>
      </c>
      <c r="AJ970" s="9">
        <v>3.0428788910505911</v>
      </c>
    </row>
    <row r="971" spans="1:36" x14ac:dyDescent="0.25">
      <c r="A971" t="s">
        <v>5411</v>
      </c>
      <c r="B971" t="s">
        <v>16</v>
      </c>
      <c r="C971" t="s">
        <v>17</v>
      </c>
      <c r="D971">
        <v>29620000</v>
      </c>
      <c r="E971">
        <v>29629999</v>
      </c>
      <c r="F971" t="s">
        <v>813</v>
      </c>
      <c r="G971" t="str">
        <f t="shared" si="30"/>
        <v>ESI II</v>
      </c>
      <c r="H971" t="s">
        <v>772</v>
      </c>
      <c r="I971" t="s">
        <v>20</v>
      </c>
      <c r="J971" t="s">
        <v>64</v>
      </c>
      <c r="K971" s="6">
        <v>0.03</v>
      </c>
      <c r="L971" s="7">
        <f t="shared" si="31"/>
        <v>2E-3</v>
      </c>
      <c r="M971" s="7">
        <v>3.0000000000000001E-3</v>
      </c>
      <c r="N971">
        <v>10</v>
      </c>
      <c r="O971" s="8">
        <v>18.831619796940856</v>
      </c>
      <c r="P971" s="9">
        <v>18.831619796940856</v>
      </c>
      <c r="Q971" s="9">
        <v>18.831619796940856</v>
      </c>
      <c r="R971" s="9">
        <v>19.270228228143885</v>
      </c>
      <c r="S971" s="9">
        <v>19.533186067089943</v>
      </c>
      <c r="T971" s="9">
        <v>20.288326244442615</v>
      </c>
      <c r="U971" s="9">
        <v>21.727692071919854</v>
      </c>
      <c r="V971" s="9">
        <v>21.727692071919854</v>
      </c>
      <c r="W971" s="9">
        <v>21.727692071919854</v>
      </c>
      <c r="X971" s="9">
        <v>23.660574028090565</v>
      </c>
      <c r="Y971" s="9">
        <v>23.660574028090565</v>
      </c>
      <c r="Z971" s="9">
        <v>25.663958288360334</v>
      </c>
      <c r="AA971" s="9">
        <v>25.663958288360334</v>
      </c>
      <c r="AB971" s="9">
        <v>27.177517246880505</v>
      </c>
      <c r="AC971" s="9">
        <v>27.177517246880505</v>
      </c>
      <c r="AD971" s="9">
        <v>31.506881792360829</v>
      </c>
      <c r="AE971" s="9">
        <v>34.32501712237967</v>
      </c>
      <c r="AF971" s="9">
        <v>37.236096134957549</v>
      </c>
      <c r="AG971" s="9">
        <v>37.236096134957549</v>
      </c>
      <c r="AH971" s="9">
        <v>40.854075194728338</v>
      </c>
      <c r="AI971" s="9">
        <v>43.816165523709728</v>
      </c>
      <c r="AJ971" s="9">
        <v>3.0428788910505911</v>
      </c>
    </row>
    <row r="972" spans="1:36" x14ac:dyDescent="0.25">
      <c r="A972" t="s">
        <v>5411</v>
      </c>
      <c r="B972" t="s">
        <v>16</v>
      </c>
      <c r="C972" t="s">
        <v>17</v>
      </c>
      <c r="D972">
        <v>29630000</v>
      </c>
      <c r="E972">
        <v>29639999</v>
      </c>
      <c r="F972" t="s">
        <v>814</v>
      </c>
      <c r="G972" t="str">
        <f t="shared" si="30"/>
        <v>ESI II</v>
      </c>
      <c r="H972" t="s">
        <v>772</v>
      </c>
      <c r="I972" t="s">
        <v>20</v>
      </c>
      <c r="J972" t="s">
        <v>64</v>
      </c>
      <c r="K972" s="6">
        <v>0.03</v>
      </c>
      <c r="L972" s="7">
        <f t="shared" si="31"/>
        <v>2E-3</v>
      </c>
      <c r="M972" s="7">
        <v>3.0000000000000001E-3</v>
      </c>
      <c r="N972">
        <v>10</v>
      </c>
      <c r="O972" s="8">
        <v>18.831619796940856</v>
      </c>
      <c r="P972" s="9">
        <v>18.831619796940856</v>
      </c>
      <c r="Q972" s="9">
        <v>18.831619796940856</v>
      </c>
      <c r="R972" s="9">
        <v>19.270228228143885</v>
      </c>
      <c r="S972" s="9">
        <v>19.533186067089943</v>
      </c>
      <c r="T972" s="9">
        <v>20.288326244442615</v>
      </c>
      <c r="U972" s="9">
        <v>21.727692071919854</v>
      </c>
      <c r="V972" s="9">
        <v>21.727692071919854</v>
      </c>
      <c r="W972" s="9">
        <v>21.727692071919854</v>
      </c>
      <c r="X972" s="9">
        <v>23.660574028090565</v>
      </c>
      <c r="Y972" s="9">
        <v>23.660574028090565</v>
      </c>
      <c r="Z972" s="9">
        <v>25.663958288360334</v>
      </c>
      <c r="AA972" s="9">
        <v>25.663958288360334</v>
      </c>
      <c r="AB972" s="9">
        <v>27.177517246880505</v>
      </c>
      <c r="AC972" s="9">
        <v>27.177517246880505</v>
      </c>
      <c r="AD972" s="9">
        <v>31.506881792360829</v>
      </c>
      <c r="AE972" s="9">
        <v>34.32501712237967</v>
      </c>
      <c r="AF972" s="9">
        <v>37.236096134957549</v>
      </c>
      <c r="AG972" s="9">
        <v>37.236096134957549</v>
      </c>
      <c r="AH972" s="9">
        <v>40.854075194728338</v>
      </c>
      <c r="AI972" s="9">
        <v>43.816165523709728</v>
      </c>
      <c r="AJ972" s="9">
        <v>3.0428788910505911</v>
      </c>
    </row>
    <row r="973" spans="1:36" x14ac:dyDescent="0.25">
      <c r="A973" t="s">
        <v>5411</v>
      </c>
      <c r="B973" t="s">
        <v>16</v>
      </c>
      <c r="C973" t="s">
        <v>17</v>
      </c>
      <c r="D973">
        <v>29640000</v>
      </c>
      <c r="E973">
        <v>29644999</v>
      </c>
      <c r="F973" t="s">
        <v>815</v>
      </c>
      <c r="G973" t="str">
        <f t="shared" si="30"/>
        <v>ESI II</v>
      </c>
      <c r="H973" t="s">
        <v>772</v>
      </c>
      <c r="I973" t="s">
        <v>20</v>
      </c>
      <c r="J973" t="s">
        <v>64</v>
      </c>
      <c r="K973" s="6">
        <v>0.03</v>
      </c>
      <c r="L973" s="7">
        <f t="shared" si="31"/>
        <v>2E-3</v>
      </c>
      <c r="M973" s="7">
        <v>3.0000000000000001E-3</v>
      </c>
      <c r="N973">
        <v>10</v>
      </c>
      <c r="O973" s="8">
        <v>18.831619796940856</v>
      </c>
      <c r="P973" s="9">
        <v>18.831619796940856</v>
      </c>
      <c r="Q973" s="9">
        <v>18.831619796940856</v>
      </c>
      <c r="R973" s="9">
        <v>19.270228228143885</v>
      </c>
      <c r="S973" s="9">
        <v>19.533186067089943</v>
      </c>
      <c r="T973" s="9">
        <v>20.288326244442615</v>
      </c>
      <c r="U973" s="9">
        <v>21.727692071919854</v>
      </c>
      <c r="V973" s="9">
        <v>21.727692071919854</v>
      </c>
      <c r="W973" s="9">
        <v>21.727692071919854</v>
      </c>
      <c r="X973" s="9">
        <v>23.660574028090565</v>
      </c>
      <c r="Y973" s="9">
        <v>23.660574028090565</v>
      </c>
      <c r="Z973" s="9">
        <v>25.663958288360334</v>
      </c>
      <c r="AA973" s="9">
        <v>25.663958288360334</v>
      </c>
      <c r="AB973" s="9">
        <v>27.177517246880505</v>
      </c>
      <c r="AC973" s="9">
        <v>27.177517246880505</v>
      </c>
      <c r="AD973" s="9">
        <v>31.506881792360829</v>
      </c>
      <c r="AE973" s="9">
        <v>34.32501712237967</v>
      </c>
      <c r="AF973" s="9">
        <v>37.236096134957549</v>
      </c>
      <c r="AG973" s="9">
        <v>37.236096134957549</v>
      </c>
      <c r="AH973" s="9">
        <v>40.854075194728338</v>
      </c>
      <c r="AI973" s="9">
        <v>43.816165523709728</v>
      </c>
      <c r="AJ973" s="9">
        <v>3.0428788910505911</v>
      </c>
    </row>
    <row r="974" spans="1:36" x14ac:dyDescent="0.25">
      <c r="A974" t="s">
        <v>5411</v>
      </c>
      <c r="B974" t="s">
        <v>16</v>
      </c>
      <c r="C974" t="s">
        <v>17</v>
      </c>
      <c r="D974">
        <v>29645000</v>
      </c>
      <c r="E974">
        <v>29649999</v>
      </c>
      <c r="F974" t="s">
        <v>816</v>
      </c>
      <c r="G974" t="str">
        <f t="shared" si="30"/>
        <v>ESI II</v>
      </c>
      <c r="H974" t="s">
        <v>772</v>
      </c>
      <c r="I974" t="s">
        <v>20</v>
      </c>
      <c r="J974" t="s">
        <v>64</v>
      </c>
      <c r="K974" s="6">
        <v>0.03</v>
      </c>
      <c r="L974" s="7">
        <f t="shared" si="31"/>
        <v>2E-3</v>
      </c>
      <c r="M974" s="7">
        <v>3.0000000000000001E-3</v>
      </c>
      <c r="N974">
        <v>10</v>
      </c>
      <c r="O974" s="8">
        <v>18.831619796940856</v>
      </c>
      <c r="P974" s="9">
        <v>18.831619796940856</v>
      </c>
      <c r="Q974" s="9">
        <v>18.831619796940856</v>
      </c>
      <c r="R974" s="9">
        <v>19.270228228143885</v>
      </c>
      <c r="S974" s="9">
        <v>19.533186067089943</v>
      </c>
      <c r="T974" s="9">
        <v>20.288326244442615</v>
      </c>
      <c r="U974" s="9">
        <v>21.727692071919854</v>
      </c>
      <c r="V974" s="9">
        <v>21.727692071919854</v>
      </c>
      <c r="W974" s="9">
        <v>21.727692071919854</v>
      </c>
      <c r="X974" s="9">
        <v>23.660574028090565</v>
      </c>
      <c r="Y974" s="9">
        <v>23.660574028090565</v>
      </c>
      <c r="Z974" s="9">
        <v>25.663958288360334</v>
      </c>
      <c r="AA974" s="9">
        <v>25.663958288360334</v>
      </c>
      <c r="AB974" s="9">
        <v>27.177517246880505</v>
      </c>
      <c r="AC974" s="9">
        <v>27.177517246880505</v>
      </c>
      <c r="AD974" s="9">
        <v>31.506881792360829</v>
      </c>
      <c r="AE974" s="9">
        <v>34.32501712237967</v>
      </c>
      <c r="AF974" s="9">
        <v>37.236096134957549</v>
      </c>
      <c r="AG974" s="9">
        <v>37.236096134957549</v>
      </c>
      <c r="AH974" s="9">
        <v>40.854075194728338</v>
      </c>
      <c r="AI974" s="9">
        <v>43.816165523709728</v>
      </c>
      <c r="AJ974" s="9">
        <v>3.0428788910505911</v>
      </c>
    </row>
    <row r="975" spans="1:36" x14ac:dyDescent="0.25">
      <c r="A975" t="s">
        <v>5411</v>
      </c>
      <c r="B975" t="s">
        <v>16</v>
      </c>
      <c r="C975" t="s">
        <v>17</v>
      </c>
      <c r="D975">
        <v>29650000</v>
      </c>
      <c r="E975">
        <v>29664999</v>
      </c>
      <c r="F975" t="s">
        <v>817</v>
      </c>
      <c r="G975" t="str">
        <f t="shared" si="30"/>
        <v>ESI II</v>
      </c>
      <c r="H975" t="s">
        <v>772</v>
      </c>
      <c r="I975" t="s">
        <v>20</v>
      </c>
      <c r="J975" t="s">
        <v>64</v>
      </c>
      <c r="K975" s="6">
        <v>0.03</v>
      </c>
      <c r="L975" s="7">
        <f t="shared" si="31"/>
        <v>2E-3</v>
      </c>
      <c r="M975" s="7">
        <v>3.0000000000000001E-3</v>
      </c>
      <c r="N975">
        <v>10</v>
      </c>
      <c r="O975" s="8">
        <v>18.831619796940856</v>
      </c>
      <c r="P975" s="9">
        <v>18.831619796940856</v>
      </c>
      <c r="Q975" s="9">
        <v>18.831619796940856</v>
      </c>
      <c r="R975" s="9">
        <v>19.270228228143885</v>
      </c>
      <c r="S975" s="9">
        <v>19.533186067089943</v>
      </c>
      <c r="T975" s="9">
        <v>20.288326244442615</v>
      </c>
      <c r="U975" s="9">
        <v>21.727692071919854</v>
      </c>
      <c r="V975" s="9">
        <v>21.727692071919854</v>
      </c>
      <c r="W975" s="9">
        <v>21.727692071919854</v>
      </c>
      <c r="X975" s="9">
        <v>23.660574028090565</v>
      </c>
      <c r="Y975" s="9">
        <v>23.660574028090565</v>
      </c>
      <c r="Z975" s="9">
        <v>25.663958288360334</v>
      </c>
      <c r="AA975" s="9">
        <v>25.663958288360334</v>
      </c>
      <c r="AB975" s="9">
        <v>27.177517246880505</v>
      </c>
      <c r="AC975" s="9">
        <v>27.177517246880505</v>
      </c>
      <c r="AD975" s="9">
        <v>31.506881792360829</v>
      </c>
      <c r="AE975" s="9">
        <v>34.32501712237967</v>
      </c>
      <c r="AF975" s="9">
        <v>37.236096134957549</v>
      </c>
      <c r="AG975" s="9">
        <v>37.236096134957549</v>
      </c>
      <c r="AH975" s="9">
        <v>40.854075194728338</v>
      </c>
      <c r="AI975" s="9">
        <v>43.816165523709728</v>
      </c>
      <c r="AJ975" s="9">
        <v>3.0428788910505911</v>
      </c>
    </row>
    <row r="976" spans="1:36" x14ac:dyDescent="0.25">
      <c r="A976" t="s">
        <v>5411</v>
      </c>
      <c r="B976" t="s">
        <v>16</v>
      </c>
      <c r="C976" t="s">
        <v>17</v>
      </c>
      <c r="D976">
        <v>29665000</v>
      </c>
      <c r="E976">
        <v>29669999</v>
      </c>
      <c r="F976" t="s">
        <v>818</v>
      </c>
      <c r="G976" t="str">
        <f t="shared" si="30"/>
        <v>ESI II</v>
      </c>
      <c r="H976" t="s">
        <v>772</v>
      </c>
      <c r="I976" t="s">
        <v>20</v>
      </c>
      <c r="J976" t="s">
        <v>64</v>
      </c>
      <c r="K976" s="6">
        <v>0.03</v>
      </c>
      <c r="L976" s="7">
        <f t="shared" si="31"/>
        <v>2E-3</v>
      </c>
      <c r="M976" s="7">
        <v>3.0000000000000001E-3</v>
      </c>
      <c r="N976">
        <v>10</v>
      </c>
      <c r="O976" s="8">
        <v>18.831619796940856</v>
      </c>
      <c r="P976" s="9">
        <v>18.831619796940856</v>
      </c>
      <c r="Q976" s="9">
        <v>18.831619796940856</v>
      </c>
      <c r="R976" s="9">
        <v>19.270228228143885</v>
      </c>
      <c r="S976" s="9">
        <v>19.533186067089943</v>
      </c>
      <c r="T976" s="9">
        <v>20.288326244442615</v>
      </c>
      <c r="U976" s="9">
        <v>21.727692071919854</v>
      </c>
      <c r="V976" s="9">
        <v>21.727692071919854</v>
      </c>
      <c r="W976" s="9">
        <v>21.727692071919854</v>
      </c>
      <c r="X976" s="9">
        <v>23.660574028090565</v>
      </c>
      <c r="Y976" s="9">
        <v>23.660574028090565</v>
      </c>
      <c r="Z976" s="9">
        <v>25.663958288360334</v>
      </c>
      <c r="AA976" s="9">
        <v>25.663958288360334</v>
      </c>
      <c r="AB976" s="9">
        <v>27.177517246880505</v>
      </c>
      <c r="AC976" s="9">
        <v>27.177517246880505</v>
      </c>
      <c r="AD976" s="9">
        <v>31.506881792360829</v>
      </c>
      <c r="AE976" s="9">
        <v>34.32501712237967</v>
      </c>
      <c r="AF976" s="9">
        <v>37.236096134957549</v>
      </c>
      <c r="AG976" s="9">
        <v>37.236096134957549</v>
      </c>
      <c r="AH976" s="9">
        <v>40.854075194728338</v>
      </c>
      <c r="AI976" s="9">
        <v>43.816165523709728</v>
      </c>
      <c r="AJ976" s="9">
        <v>3.0428788910505911</v>
      </c>
    </row>
    <row r="977" spans="1:36" x14ac:dyDescent="0.25">
      <c r="A977" t="s">
        <v>5411</v>
      </c>
      <c r="B977" t="s">
        <v>16</v>
      </c>
      <c r="C977" t="s">
        <v>17</v>
      </c>
      <c r="D977">
        <v>29670000</v>
      </c>
      <c r="E977">
        <v>29679999</v>
      </c>
      <c r="F977" t="s">
        <v>819</v>
      </c>
      <c r="G977" t="str">
        <f t="shared" si="30"/>
        <v>ESI II</v>
      </c>
      <c r="H977" t="s">
        <v>772</v>
      </c>
      <c r="I977" t="s">
        <v>20</v>
      </c>
      <c r="J977" t="s">
        <v>64</v>
      </c>
      <c r="K977" s="6">
        <v>0.03</v>
      </c>
      <c r="L977" s="7">
        <f t="shared" si="31"/>
        <v>2E-3</v>
      </c>
      <c r="M977" s="7">
        <v>3.0000000000000001E-3</v>
      </c>
      <c r="N977">
        <v>10</v>
      </c>
      <c r="O977" s="8">
        <v>18.831619796940856</v>
      </c>
      <c r="P977" s="9">
        <v>18.831619796940856</v>
      </c>
      <c r="Q977" s="9">
        <v>18.831619796940856</v>
      </c>
      <c r="R977" s="9">
        <v>19.270228228143885</v>
      </c>
      <c r="S977" s="9">
        <v>19.533186067089943</v>
      </c>
      <c r="T977" s="9">
        <v>20.288326244442615</v>
      </c>
      <c r="U977" s="9">
        <v>21.727692071919854</v>
      </c>
      <c r="V977" s="9">
        <v>21.727692071919854</v>
      </c>
      <c r="W977" s="9">
        <v>21.727692071919854</v>
      </c>
      <c r="X977" s="9">
        <v>23.660574028090565</v>
      </c>
      <c r="Y977" s="9">
        <v>23.660574028090565</v>
      </c>
      <c r="Z977" s="9">
        <v>25.663958288360334</v>
      </c>
      <c r="AA977" s="9">
        <v>25.663958288360334</v>
      </c>
      <c r="AB977" s="9">
        <v>27.177517246880505</v>
      </c>
      <c r="AC977" s="9">
        <v>27.177517246880505</v>
      </c>
      <c r="AD977" s="9">
        <v>31.506881792360829</v>
      </c>
      <c r="AE977" s="9">
        <v>34.32501712237967</v>
      </c>
      <c r="AF977" s="9">
        <v>37.236096134957549</v>
      </c>
      <c r="AG977" s="9">
        <v>37.236096134957549</v>
      </c>
      <c r="AH977" s="9">
        <v>40.854075194728338</v>
      </c>
      <c r="AI977" s="9">
        <v>43.816165523709728</v>
      </c>
      <c r="AJ977" s="9">
        <v>3.0428788910505911</v>
      </c>
    </row>
    <row r="978" spans="1:36" x14ac:dyDescent="0.25">
      <c r="A978" t="s">
        <v>5411</v>
      </c>
      <c r="B978" t="s">
        <v>16</v>
      </c>
      <c r="C978" t="s">
        <v>17</v>
      </c>
      <c r="D978">
        <v>29680000</v>
      </c>
      <c r="E978">
        <v>29689999</v>
      </c>
      <c r="F978" t="s">
        <v>820</v>
      </c>
      <c r="G978" t="str">
        <f t="shared" si="30"/>
        <v>ESI II</v>
      </c>
      <c r="H978" t="s">
        <v>772</v>
      </c>
      <c r="I978" t="s">
        <v>20</v>
      </c>
      <c r="J978" t="s">
        <v>64</v>
      </c>
      <c r="K978" s="6">
        <v>0.03</v>
      </c>
      <c r="L978" s="7">
        <f t="shared" si="31"/>
        <v>2E-3</v>
      </c>
      <c r="M978" s="7">
        <v>3.0000000000000001E-3</v>
      </c>
      <c r="N978">
        <v>10</v>
      </c>
      <c r="O978" s="8">
        <v>18.831619796940856</v>
      </c>
      <c r="P978" s="9">
        <v>18.831619796940856</v>
      </c>
      <c r="Q978" s="9">
        <v>18.831619796940856</v>
      </c>
      <c r="R978" s="9">
        <v>19.270228228143885</v>
      </c>
      <c r="S978" s="9">
        <v>19.533186067089943</v>
      </c>
      <c r="T978" s="9">
        <v>20.288326244442615</v>
      </c>
      <c r="U978" s="9">
        <v>21.727692071919854</v>
      </c>
      <c r="V978" s="9">
        <v>21.727692071919854</v>
      </c>
      <c r="W978" s="9">
        <v>21.727692071919854</v>
      </c>
      <c r="X978" s="9">
        <v>23.660574028090565</v>
      </c>
      <c r="Y978" s="9">
        <v>23.660574028090565</v>
      </c>
      <c r="Z978" s="9">
        <v>25.663958288360334</v>
      </c>
      <c r="AA978" s="9">
        <v>25.663958288360334</v>
      </c>
      <c r="AB978" s="9">
        <v>27.177517246880505</v>
      </c>
      <c r="AC978" s="9">
        <v>27.177517246880505</v>
      </c>
      <c r="AD978" s="9">
        <v>31.506881792360829</v>
      </c>
      <c r="AE978" s="9">
        <v>34.32501712237967</v>
      </c>
      <c r="AF978" s="9">
        <v>37.236096134957549</v>
      </c>
      <c r="AG978" s="9">
        <v>37.236096134957549</v>
      </c>
      <c r="AH978" s="9">
        <v>40.854075194728338</v>
      </c>
      <c r="AI978" s="9">
        <v>43.816165523709728</v>
      </c>
      <c r="AJ978" s="9">
        <v>3.0428788910505911</v>
      </c>
    </row>
    <row r="979" spans="1:36" x14ac:dyDescent="0.25">
      <c r="A979" t="s">
        <v>5411</v>
      </c>
      <c r="B979" t="s">
        <v>16</v>
      </c>
      <c r="C979" t="s">
        <v>17</v>
      </c>
      <c r="D979">
        <v>29690000</v>
      </c>
      <c r="E979">
        <v>29699999</v>
      </c>
      <c r="F979" t="s">
        <v>821</v>
      </c>
      <c r="G979" t="str">
        <f t="shared" si="30"/>
        <v>ESI II</v>
      </c>
      <c r="H979" t="s">
        <v>772</v>
      </c>
      <c r="I979" t="s">
        <v>20</v>
      </c>
      <c r="J979" t="s">
        <v>64</v>
      </c>
      <c r="K979" s="6">
        <v>0.03</v>
      </c>
      <c r="L979" s="7">
        <f t="shared" si="31"/>
        <v>2E-3</v>
      </c>
      <c r="M979" s="7">
        <v>3.0000000000000001E-3</v>
      </c>
      <c r="N979">
        <v>10</v>
      </c>
      <c r="O979" s="8">
        <v>18.831619796940856</v>
      </c>
      <c r="P979" s="9">
        <v>18.831619796940856</v>
      </c>
      <c r="Q979" s="9">
        <v>18.831619796940856</v>
      </c>
      <c r="R979" s="9">
        <v>19.270228228143885</v>
      </c>
      <c r="S979" s="9">
        <v>19.533186067089943</v>
      </c>
      <c r="T979" s="9">
        <v>20.288326244442615</v>
      </c>
      <c r="U979" s="9">
        <v>21.727692071919854</v>
      </c>
      <c r="V979" s="9">
        <v>21.727692071919854</v>
      </c>
      <c r="W979" s="9">
        <v>21.727692071919854</v>
      </c>
      <c r="X979" s="9">
        <v>23.660574028090565</v>
      </c>
      <c r="Y979" s="9">
        <v>23.660574028090565</v>
      </c>
      <c r="Z979" s="9">
        <v>25.663958288360334</v>
      </c>
      <c r="AA979" s="9">
        <v>25.663958288360334</v>
      </c>
      <c r="AB979" s="9">
        <v>27.177517246880505</v>
      </c>
      <c r="AC979" s="9">
        <v>27.177517246880505</v>
      </c>
      <c r="AD979" s="9">
        <v>31.506881792360829</v>
      </c>
      <c r="AE979" s="9">
        <v>34.32501712237967</v>
      </c>
      <c r="AF979" s="9">
        <v>37.236096134957549</v>
      </c>
      <c r="AG979" s="9">
        <v>37.236096134957549</v>
      </c>
      <c r="AH979" s="9">
        <v>40.854075194728338</v>
      </c>
      <c r="AI979" s="9">
        <v>43.816165523709728</v>
      </c>
      <c r="AJ979" s="9">
        <v>3.0428788910505911</v>
      </c>
    </row>
    <row r="980" spans="1:36" x14ac:dyDescent="0.25">
      <c r="A980" t="s">
        <v>5411</v>
      </c>
      <c r="B980" t="s">
        <v>16</v>
      </c>
      <c r="C980" t="s">
        <v>17</v>
      </c>
      <c r="D980">
        <v>29700000</v>
      </c>
      <c r="E980">
        <v>29719999</v>
      </c>
      <c r="F980" t="s">
        <v>822</v>
      </c>
      <c r="G980" t="str">
        <f t="shared" si="30"/>
        <v>ESI II</v>
      </c>
      <c r="H980" t="s">
        <v>772</v>
      </c>
      <c r="I980" t="s">
        <v>20</v>
      </c>
      <c r="J980" t="s">
        <v>64</v>
      </c>
      <c r="K980" s="6">
        <v>0.03</v>
      </c>
      <c r="L980" s="7">
        <f t="shared" si="31"/>
        <v>2E-3</v>
      </c>
      <c r="M980" s="7">
        <v>3.0000000000000001E-3</v>
      </c>
      <c r="N980">
        <v>10</v>
      </c>
      <c r="O980" s="8">
        <v>18.831619796940856</v>
      </c>
      <c r="P980" s="9">
        <v>18.831619796940856</v>
      </c>
      <c r="Q980" s="9">
        <v>18.831619796940856</v>
      </c>
      <c r="R980" s="9">
        <v>19.270228228143885</v>
      </c>
      <c r="S980" s="9">
        <v>19.533186067089943</v>
      </c>
      <c r="T980" s="9">
        <v>20.288326244442615</v>
      </c>
      <c r="U980" s="9">
        <v>21.727692071919854</v>
      </c>
      <c r="V980" s="9">
        <v>21.727692071919854</v>
      </c>
      <c r="W980" s="9">
        <v>21.727692071919854</v>
      </c>
      <c r="X980" s="9">
        <v>23.660574028090565</v>
      </c>
      <c r="Y980" s="9">
        <v>23.660574028090565</v>
      </c>
      <c r="Z980" s="9">
        <v>25.663958288360334</v>
      </c>
      <c r="AA980" s="9">
        <v>25.663958288360334</v>
      </c>
      <c r="AB980" s="9">
        <v>27.177517246880505</v>
      </c>
      <c r="AC980" s="9">
        <v>27.177517246880505</v>
      </c>
      <c r="AD980" s="9">
        <v>31.506881792360829</v>
      </c>
      <c r="AE980" s="9">
        <v>34.32501712237967</v>
      </c>
      <c r="AF980" s="9">
        <v>37.236096134957549</v>
      </c>
      <c r="AG980" s="9">
        <v>37.236096134957549</v>
      </c>
      <c r="AH980" s="9">
        <v>40.854075194728338</v>
      </c>
      <c r="AI980" s="9">
        <v>43.816165523709728</v>
      </c>
      <c r="AJ980" s="9">
        <v>3.0428788910505911</v>
      </c>
    </row>
    <row r="981" spans="1:36" x14ac:dyDescent="0.25">
      <c r="A981" t="s">
        <v>5411</v>
      </c>
      <c r="B981" t="s">
        <v>16</v>
      </c>
      <c r="C981" t="s">
        <v>17</v>
      </c>
      <c r="D981">
        <v>29720000</v>
      </c>
      <c r="E981">
        <v>29724999</v>
      </c>
      <c r="F981" t="s">
        <v>823</v>
      </c>
      <c r="G981" t="str">
        <f t="shared" si="30"/>
        <v>ESI II</v>
      </c>
      <c r="H981" t="s">
        <v>772</v>
      </c>
      <c r="I981" t="s">
        <v>20</v>
      </c>
      <c r="J981" t="s">
        <v>64</v>
      </c>
      <c r="K981" s="6">
        <v>0.03</v>
      </c>
      <c r="L981" s="7">
        <f t="shared" si="31"/>
        <v>2E-3</v>
      </c>
      <c r="M981" s="7">
        <v>3.0000000000000001E-3</v>
      </c>
      <c r="N981">
        <v>10</v>
      </c>
      <c r="O981" s="8">
        <v>18.831619796940856</v>
      </c>
      <c r="P981" s="9">
        <v>18.831619796940856</v>
      </c>
      <c r="Q981" s="9">
        <v>18.831619796940856</v>
      </c>
      <c r="R981" s="9">
        <v>19.270228228143885</v>
      </c>
      <c r="S981" s="9">
        <v>19.533186067089943</v>
      </c>
      <c r="T981" s="9">
        <v>20.288326244442615</v>
      </c>
      <c r="U981" s="9">
        <v>21.727692071919854</v>
      </c>
      <c r="V981" s="9">
        <v>21.727692071919854</v>
      </c>
      <c r="W981" s="9">
        <v>21.727692071919854</v>
      </c>
      <c r="X981" s="9">
        <v>23.660574028090565</v>
      </c>
      <c r="Y981" s="9">
        <v>23.660574028090565</v>
      </c>
      <c r="Z981" s="9">
        <v>25.663958288360334</v>
      </c>
      <c r="AA981" s="9">
        <v>25.663958288360334</v>
      </c>
      <c r="AB981" s="9">
        <v>27.177517246880505</v>
      </c>
      <c r="AC981" s="9">
        <v>27.177517246880505</v>
      </c>
      <c r="AD981" s="9">
        <v>31.506881792360829</v>
      </c>
      <c r="AE981" s="9">
        <v>34.32501712237967</v>
      </c>
      <c r="AF981" s="9">
        <v>37.236096134957549</v>
      </c>
      <c r="AG981" s="9">
        <v>37.236096134957549</v>
      </c>
      <c r="AH981" s="9">
        <v>40.854075194728338</v>
      </c>
      <c r="AI981" s="9">
        <v>43.816165523709728</v>
      </c>
      <c r="AJ981" s="9">
        <v>3.0428788910505911</v>
      </c>
    </row>
    <row r="982" spans="1:36" x14ac:dyDescent="0.25">
      <c r="A982" t="s">
        <v>5411</v>
      </c>
      <c r="B982" t="s">
        <v>16</v>
      </c>
      <c r="C982" t="s">
        <v>17</v>
      </c>
      <c r="D982">
        <v>29725000</v>
      </c>
      <c r="E982">
        <v>29729999</v>
      </c>
      <c r="F982" t="s">
        <v>824</v>
      </c>
      <c r="G982" t="str">
        <f t="shared" si="30"/>
        <v>ESI II</v>
      </c>
      <c r="H982" t="s">
        <v>772</v>
      </c>
      <c r="I982" t="s">
        <v>20</v>
      </c>
      <c r="J982" t="s">
        <v>64</v>
      </c>
      <c r="K982" s="6">
        <v>0.03</v>
      </c>
      <c r="L982" s="7">
        <f t="shared" si="31"/>
        <v>2E-3</v>
      </c>
      <c r="M982" s="7">
        <v>3.0000000000000001E-3</v>
      </c>
      <c r="N982">
        <v>10</v>
      </c>
      <c r="O982" s="8">
        <v>18.831619796940856</v>
      </c>
      <c r="P982" s="9">
        <v>18.831619796940856</v>
      </c>
      <c r="Q982" s="9">
        <v>18.831619796940856</v>
      </c>
      <c r="R982" s="9">
        <v>19.270228228143885</v>
      </c>
      <c r="S982" s="9">
        <v>19.533186067089943</v>
      </c>
      <c r="T982" s="9">
        <v>20.288326244442615</v>
      </c>
      <c r="U982" s="9">
        <v>21.727692071919854</v>
      </c>
      <c r="V982" s="9">
        <v>21.727692071919854</v>
      </c>
      <c r="W982" s="9">
        <v>21.727692071919854</v>
      </c>
      <c r="X982" s="9">
        <v>23.660574028090565</v>
      </c>
      <c r="Y982" s="9">
        <v>23.660574028090565</v>
      </c>
      <c r="Z982" s="9">
        <v>25.663958288360334</v>
      </c>
      <c r="AA982" s="9">
        <v>25.663958288360334</v>
      </c>
      <c r="AB982" s="9">
        <v>27.177517246880505</v>
      </c>
      <c r="AC982" s="9">
        <v>27.177517246880505</v>
      </c>
      <c r="AD982" s="9">
        <v>31.506881792360829</v>
      </c>
      <c r="AE982" s="9">
        <v>34.32501712237967</v>
      </c>
      <c r="AF982" s="9">
        <v>37.236096134957549</v>
      </c>
      <c r="AG982" s="9">
        <v>37.236096134957549</v>
      </c>
      <c r="AH982" s="9">
        <v>40.854075194728338</v>
      </c>
      <c r="AI982" s="9">
        <v>43.816165523709728</v>
      </c>
      <c r="AJ982" s="9">
        <v>3.0428788910505911</v>
      </c>
    </row>
    <row r="983" spans="1:36" x14ac:dyDescent="0.25">
      <c r="A983" t="s">
        <v>5411</v>
      </c>
      <c r="B983" t="s">
        <v>16</v>
      </c>
      <c r="C983" t="s">
        <v>17</v>
      </c>
      <c r="D983">
        <v>29730000</v>
      </c>
      <c r="E983">
        <v>29744999</v>
      </c>
      <c r="F983" t="s">
        <v>825</v>
      </c>
      <c r="G983" t="str">
        <f t="shared" si="30"/>
        <v>ESI II</v>
      </c>
      <c r="H983" t="s">
        <v>772</v>
      </c>
      <c r="I983" t="s">
        <v>20</v>
      </c>
      <c r="J983" t="s">
        <v>64</v>
      </c>
      <c r="K983" s="6">
        <v>0.03</v>
      </c>
      <c r="L983" s="7">
        <f t="shared" si="31"/>
        <v>2E-3</v>
      </c>
      <c r="M983" s="7">
        <v>3.0000000000000001E-3</v>
      </c>
      <c r="N983">
        <v>10</v>
      </c>
      <c r="O983" s="8">
        <v>18.831619796940856</v>
      </c>
      <c r="P983" s="9">
        <v>18.831619796940856</v>
      </c>
      <c r="Q983" s="9">
        <v>18.831619796940856</v>
      </c>
      <c r="R983" s="9">
        <v>19.270228228143885</v>
      </c>
      <c r="S983" s="9">
        <v>19.533186067089943</v>
      </c>
      <c r="T983" s="9">
        <v>20.288326244442615</v>
      </c>
      <c r="U983" s="9">
        <v>21.727692071919854</v>
      </c>
      <c r="V983" s="9">
        <v>21.727692071919854</v>
      </c>
      <c r="W983" s="9">
        <v>21.727692071919854</v>
      </c>
      <c r="X983" s="9">
        <v>23.660574028090565</v>
      </c>
      <c r="Y983" s="9">
        <v>23.660574028090565</v>
      </c>
      <c r="Z983" s="9">
        <v>25.663958288360334</v>
      </c>
      <c r="AA983" s="9">
        <v>25.663958288360334</v>
      </c>
      <c r="AB983" s="9">
        <v>27.177517246880505</v>
      </c>
      <c r="AC983" s="9">
        <v>27.177517246880505</v>
      </c>
      <c r="AD983" s="9">
        <v>31.506881792360829</v>
      </c>
      <c r="AE983" s="9">
        <v>34.32501712237967</v>
      </c>
      <c r="AF983" s="9">
        <v>37.236096134957549</v>
      </c>
      <c r="AG983" s="9">
        <v>37.236096134957549</v>
      </c>
      <c r="AH983" s="9">
        <v>40.854075194728338</v>
      </c>
      <c r="AI983" s="9">
        <v>43.816165523709728</v>
      </c>
      <c r="AJ983" s="9">
        <v>3.0428788910505911</v>
      </c>
    </row>
    <row r="984" spans="1:36" x14ac:dyDescent="0.25">
      <c r="A984" t="s">
        <v>5411</v>
      </c>
      <c r="B984" t="s">
        <v>16</v>
      </c>
      <c r="C984" t="s">
        <v>17</v>
      </c>
      <c r="D984">
        <v>29745000</v>
      </c>
      <c r="E984">
        <v>29749999</v>
      </c>
      <c r="F984" t="s">
        <v>826</v>
      </c>
      <c r="G984" t="str">
        <f t="shared" si="30"/>
        <v>ESI II</v>
      </c>
      <c r="H984" t="s">
        <v>772</v>
      </c>
      <c r="I984" t="s">
        <v>20</v>
      </c>
      <c r="J984" t="s">
        <v>64</v>
      </c>
      <c r="K984" s="6">
        <v>0.03</v>
      </c>
      <c r="L984" s="7">
        <f t="shared" si="31"/>
        <v>2E-3</v>
      </c>
      <c r="M984" s="7">
        <v>3.0000000000000001E-3</v>
      </c>
      <c r="N984">
        <v>10</v>
      </c>
      <c r="O984" s="8">
        <v>18.831619796940856</v>
      </c>
      <c r="P984" s="9">
        <v>18.831619796940856</v>
      </c>
      <c r="Q984" s="9">
        <v>18.831619796940856</v>
      </c>
      <c r="R984" s="9">
        <v>19.270228228143885</v>
      </c>
      <c r="S984" s="9">
        <v>19.533186067089943</v>
      </c>
      <c r="T984" s="9">
        <v>20.288326244442615</v>
      </c>
      <c r="U984" s="9">
        <v>21.727692071919854</v>
      </c>
      <c r="V984" s="9">
        <v>21.727692071919854</v>
      </c>
      <c r="W984" s="9">
        <v>21.727692071919854</v>
      </c>
      <c r="X984" s="9">
        <v>23.660574028090565</v>
      </c>
      <c r="Y984" s="9">
        <v>23.660574028090565</v>
      </c>
      <c r="Z984" s="9">
        <v>25.663958288360334</v>
      </c>
      <c r="AA984" s="9">
        <v>25.663958288360334</v>
      </c>
      <c r="AB984" s="9">
        <v>27.177517246880505</v>
      </c>
      <c r="AC984" s="9">
        <v>27.177517246880505</v>
      </c>
      <c r="AD984" s="9">
        <v>31.506881792360829</v>
      </c>
      <c r="AE984" s="9">
        <v>34.32501712237967</v>
      </c>
      <c r="AF984" s="9">
        <v>37.236096134957549</v>
      </c>
      <c r="AG984" s="9">
        <v>37.236096134957549</v>
      </c>
      <c r="AH984" s="9">
        <v>40.854075194728338</v>
      </c>
      <c r="AI984" s="9">
        <v>43.816165523709728</v>
      </c>
      <c r="AJ984" s="9">
        <v>3.0428788910505911</v>
      </c>
    </row>
    <row r="985" spans="1:36" x14ac:dyDescent="0.25">
      <c r="A985" t="s">
        <v>5411</v>
      </c>
      <c r="B985" t="s">
        <v>16</v>
      </c>
      <c r="C985" t="s">
        <v>17</v>
      </c>
      <c r="D985">
        <v>29750000</v>
      </c>
      <c r="E985">
        <v>29759999</v>
      </c>
      <c r="F985" t="s">
        <v>827</v>
      </c>
      <c r="G985" t="str">
        <f t="shared" si="30"/>
        <v>ESI II</v>
      </c>
      <c r="H985" t="s">
        <v>772</v>
      </c>
      <c r="I985" t="s">
        <v>20</v>
      </c>
      <c r="J985" t="s">
        <v>64</v>
      </c>
      <c r="K985" s="6">
        <v>0.03</v>
      </c>
      <c r="L985" s="7">
        <f t="shared" si="31"/>
        <v>2E-3</v>
      </c>
      <c r="M985" s="7">
        <v>3.0000000000000001E-3</v>
      </c>
      <c r="N985">
        <v>10</v>
      </c>
      <c r="O985" s="8">
        <v>18.831619796940856</v>
      </c>
      <c r="P985" s="9">
        <v>18.831619796940856</v>
      </c>
      <c r="Q985" s="9">
        <v>18.831619796940856</v>
      </c>
      <c r="R985" s="9">
        <v>19.270228228143885</v>
      </c>
      <c r="S985" s="9">
        <v>19.533186067089943</v>
      </c>
      <c r="T985" s="9">
        <v>20.288326244442615</v>
      </c>
      <c r="U985" s="9">
        <v>21.727692071919854</v>
      </c>
      <c r="V985" s="9">
        <v>21.727692071919854</v>
      </c>
      <c r="W985" s="9">
        <v>21.727692071919854</v>
      </c>
      <c r="X985" s="9">
        <v>23.660574028090565</v>
      </c>
      <c r="Y985" s="9">
        <v>23.660574028090565</v>
      </c>
      <c r="Z985" s="9">
        <v>25.663958288360334</v>
      </c>
      <c r="AA985" s="9">
        <v>25.663958288360334</v>
      </c>
      <c r="AB985" s="9">
        <v>27.177517246880505</v>
      </c>
      <c r="AC985" s="9">
        <v>27.177517246880505</v>
      </c>
      <c r="AD985" s="9">
        <v>31.506881792360829</v>
      </c>
      <c r="AE985" s="9">
        <v>34.32501712237967</v>
      </c>
      <c r="AF985" s="9">
        <v>37.236096134957549</v>
      </c>
      <c r="AG985" s="9">
        <v>37.236096134957549</v>
      </c>
      <c r="AH985" s="9">
        <v>40.854075194728338</v>
      </c>
      <c r="AI985" s="9">
        <v>43.816165523709728</v>
      </c>
      <c r="AJ985" s="9">
        <v>3.0428788910505911</v>
      </c>
    </row>
    <row r="986" spans="1:36" x14ac:dyDescent="0.25">
      <c r="A986" t="s">
        <v>5411</v>
      </c>
      <c r="B986" t="s">
        <v>16</v>
      </c>
      <c r="C986" t="s">
        <v>17</v>
      </c>
      <c r="D986">
        <v>29760000</v>
      </c>
      <c r="E986">
        <v>29769999</v>
      </c>
      <c r="F986" t="s">
        <v>828</v>
      </c>
      <c r="G986" t="str">
        <f t="shared" si="30"/>
        <v>ESI II</v>
      </c>
      <c r="H986" t="s">
        <v>772</v>
      </c>
      <c r="I986" t="s">
        <v>20</v>
      </c>
      <c r="J986" t="s">
        <v>64</v>
      </c>
      <c r="K986" s="6">
        <v>0.03</v>
      </c>
      <c r="L986" s="7">
        <f t="shared" si="31"/>
        <v>2E-3</v>
      </c>
      <c r="M986" s="7">
        <v>3.0000000000000001E-3</v>
      </c>
      <c r="N986">
        <v>10</v>
      </c>
      <c r="O986" s="8">
        <v>18.831619796940856</v>
      </c>
      <c r="P986" s="9">
        <v>18.831619796940856</v>
      </c>
      <c r="Q986" s="9">
        <v>18.831619796940856</v>
      </c>
      <c r="R986" s="9">
        <v>19.270228228143885</v>
      </c>
      <c r="S986" s="9">
        <v>19.533186067089943</v>
      </c>
      <c r="T986" s="9">
        <v>20.288326244442615</v>
      </c>
      <c r="U986" s="9">
        <v>21.727692071919854</v>
      </c>
      <c r="V986" s="9">
        <v>21.727692071919854</v>
      </c>
      <c r="W986" s="9">
        <v>21.727692071919854</v>
      </c>
      <c r="X986" s="9">
        <v>23.660574028090565</v>
      </c>
      <c r="Y986" s="9">
        <v>23.660574028090565</v>
      </c>
      <c r="Z986" s="9">
        <v>25.663958288360334</v>
      </c>
      <c r="AA986" s="9">
        <v>25.663958288360334</v>
      </c>
      <c r="AB986" s="9">
        <v>27.177517246880505</v>
      </c>
      <c r="AC986" s="9">
        <v>27.177517246880505</v>
      </c>
      <c r="AD986" s="9">
        <v>31.506881792360829</v>
      </c>
      <c r="AE986" s="9">
        <v>34.32501712237967</v>
      </c>
      <c r="AF986" s="9">
        <v>37.236096134957549</v>
      </c>
      <c r="AG986" s="9">
        <v>37.236096134957549</v>
      </c>
      <c r="AH986" s="9">
        <v>40.854075194728338</v>
      </c>
      <c r="AI986" s="9">
        <v>43.816165523709728</v>
      </c>
      <c r="AJ986" s="9">
        <v>3.0428788910505911</v>
      </c>
    </row>
    <row r="987" spans="1:36" x14ac:dyDescent="0.25">
      <c r="A987" t="s">
        <v>5411</v>
      </c>
      <c r="B987" t="s">
        <v>16</v>
      </c>
      <c r="C987" t="s">
        <v>17</v>
      </c>
      <c r="D987">
        <v>29770000</v>
      </c>
      <c r="E987">
        <v>29779999</v>
      </c>
      <c r="F987" t="s">
        <v>829</v>
      </c>
      <c r="G987" t="str">
        <f t="shared" si="30"/>
        <v>ESI II</v>
      </c>
      <c r="H987" t="s">
        <v>772</v>
      </c>
      <c r="I987" t="s">
        <v>20</v>
      </c>
      <c r="J987" t="s">
        <v>64</v>
      </c>
      <c r="K987" s="6">
        <v>0.03</v>
      </c>
      <c r="L987" s="7">
        <f t="shared" si="31"/>
        <v>2E-3</v>
      </c>
      <c r="M987" s="7">
        <v>3.0000000000000001E-3</v>
      </c>
      <c r="N987">
        <v>10</v>
      </c>
      <c r="O987" s="8">
        <v>18.831619796940856</v>
      </c>
      <c r="P987" s="9">
        <v>18.831619796940856</v>
      </c>
      <c r="Q987" s="9">
        <v>18.831619796940856</v>
      </c>
      <c r="R987" s="9">
        <v>19.270228228143885</v>
      </c>
      <c r="S987" s="9">
        <v>19.533186067089943</v>
      </c>
      <c r="T987" s="9">
        <v>20.288326244442615</v>
      </c>
      <c r="U987" s="9">
        <v>21.727692071919854</v>
      </c>
      <c r="V987" s="9">
        <v>21.727692071919854</v>
      </c>
      <c r="W987" s="9">
        <v>21.727692071919854</v>
      </c>
      <c r="X987" s="9">
        <v>23.660574028090565</v>
      </c>
      <c r="Y987" s="9">
        <v>23.660574028090565</v>
      </c>
      <c r="Z987" s="9">
        <v>25.663958288360334</v>
      </c>
      <c r="AA987" s="9">
        <v>25.663958288360334</v>
      </c>
      <c r="AB987" s="9">
        <v>27.177517246880505</v>
      </c>
      <c r="AC987" s="9">
        <v>27.177517246880505</v>
      </c>
      <c r="AD987" s="9">
        <v>31.506881792360829</v>
      </c>
      <c r="AE987" s="9">
        <v>34.32501712237967</v>
      </c>
      <c r="AF987" s="9">
        <v>37.236096134957549</v>
      </c>
      <c r="AG987" s="9">
        <v>37.236096134957549</v>
      </c>
      <c r="AH987" s="9">
        <v>40.854075194728338</v>
      </c>
      <c r="AI987" s="9">
        <v>43.816165523709728</v>
      </c>
      <c r="AJ987" s="9">
        <v>3.0428788910505911</v>
      </c>
    </row>
    <row r="988" spans="1:36" x14ac:dyDescent="0.25">
      <c r="A988" t="s">
        <v>5411</v>
      </c>
      <c r="B988" t="s">
        <v>16</v>
      </c>
      <c r="C988" t="s">
        <v>17</v>
      </c>
      <c r="D988">
        <v>29780000</v>
      </c>
      <c r="E988">
        <v>29784999</v>
      </c>
      <c r="F988" t="s">
        <v>830</v>
      </c>
      <c r="G988" t="str">
        <f t="shared" si="30"/>
        <v>ESI II</v>
      </c>
      <c r="H988" t="s">
        <v>772</v>
      </c>
      <c r="I988" t="s">
        <v>20</v>
      </c>
      <c r="J988" t="s">
        <v>64</v>
      </c>
      <c r="K988" s="6">
        <v>0.03</v>
      </c>
      <c r="L988" s="7">
        <f t="shared" si="31"/>
        <v>2E-3</v>
      </c>
      <c r="M988" s="7">
        <v>3.0000000000000001E-3</v>
      </c>
      <c r="N988">
        <v>10</v>
      </c>
      <c r="O988" s="8">
        <v>18.831619796940856</v>
      </c>
      <c r="P988" s="9">
        <v>18.831619796940856</v>
      </c>
      <c r="Q988" s="9">
        <v>18.831619796940856</v>
      </c>
      <c r="R988" s="9">
        <v>19.270228228143885</v>
      </c>
      <c r="S988" s="9">
        <v>19.533186067089943</v>
      </c>
      <c r="T988" s="9">
        <v>20.288326244442615</v>
      </c>
      <c r="U988" s="9">
        <v>21.727692071919854</v>
      </c>
      <c r="V988" s="9">
        <v>21.727692071919854</v>
      </c>
      <c r="W988" s="9">
        <v>21.727692071919854</v>
      </c>
      <c r="X988" s="9">
        <v>23.660574028090565</v>
      </c>
      <c r="Y988" s="9">
        <v>23.660574028090565</v>
      </c>
      <c r="Z988" s="9">
        <v>25.663958288360334</v>
      </c>
      <c r="AA988" s="9">
        <v>25.663958288360334</v>
      </c>
      <c r="AB988" s="9">
        <v>27.177517246880505</v>
      </c>
      <c r="AC988" s="9">
        <v>27.177517246880505</v>
      </c>
      <c r="AD988" s="9">
        <v>31.506881792360829</v>
      </c>
      <c r="AE988" s="9">
        <v>34.32501712237967</v>
      </c>
      <c r="AF988" s="9">
        <v>37.236096134957549</v>
      </c>
      <c r="AG988" s="9">
        <v>37.236096134957549</v>
      </c>
      <c r="AH988" s="9">
        <v>40.854075194728338</v>
      </c>
      <c r="AI988" s="9">
        <v>43.816165523709728</v>
      </c>
      <c r="AJ988" s="9">
        <v>3.0428788910505911</v>
      </c>
    </row>
    <row r="989" spans="1:36" x14ac:dyDescent="0.25">
      <c r="A989" t="s">
        <v>5411</v>
      </c>
      <c r="B989" t="s">
        <v>16</v>
      </c>
      <c r="C989" t="s">
        <v>17</v>
      </c>
      <c r="D989">
        <v>29785000</v>
      </c>
      <c r="E989">
        <v>29794999</v>
      </c>
      <c r="F989" t="s">
        <v>831</v>
      </c>
      <c r="G989" t="str">
        <f t="shared" si="30"/>
        <v>ESI II</v>
      </c>
      <c r="H989" t="s">
        <v>772</v>
      </c>
      <c r="I989" t="s">
        <v>20</v>
      </c>
      <c r="J989" t="s">
        <v>64</v>
      </c>
      <c r="K989" s="6">
        <v>0.03</v>
      </c>
      <c r="L989" s="7">
        <f t="shared" si="31"/>
        <v>2E-3</v>
      </c>
      <c r="M989" s="7">
        <v>3.0000000000000001E-3</v>
      </c>
      <c r="N989">
        <v>10</v>
      </c>
      <c r="O989" s="8">
        <v>18.831619796940856</v>
      </c>
      <c r="P989" s="9">
        <v>18.831619796940856</v>
      </c>
      <c r="Q989" s="9">
        <v>18.831619796940856</v>
      </c>
      <c r="R989" s="9">
        <v>19.270228228143885</v>
      </c>
      <c r="S989" s="9">
        <v>19.533186067089943</v>
      </c>
      <c r="T989" s="9">
        <v>20.288326244442615</v>
      </c>
      <c r="U989" s="9">
        <v>21.727692071919854</v>
      </c>
      <c r="V989" s="9">
        <v>21.727692071919854</v>
      </c>
      <c r="W989" s="9">
        <v>21.727692071919854</v>
      </c>
      <c r="X989" s="9">
        <v>23.660574028090565</v>
      </c>
      <c r="Y989" s="9">
        <v>23.660574028090565</v>
      </c>
      <c r="Z989" s="9">
        <v>25.663958288360334</v>
      </c>
      <c r="AA989" s="9">
        <v>25.663958288360334</v>
      </c>
      <c r="AB989" s="9">
        <v>27.177517246880505</v>
      </c>
      <c r="AC989" s="9">
        <v>27.177517246880505</v>
      </c>
      <c r="AD989" s="9">
        <v>31.506881792360829</v>
      </c>
      <c r="AE989" s="9">
        <v>34.32501712237967</v>
      </c>
      <c r="AF989" s="9">
        <v>37.236096134957549</v>
      </c>
      <c r="AG989" s="9">
        <v>37.236096134957549</v>
      </c>
      <c r="AH989" s="9">
        <v>40.854075194728338</v>
      </c>
      <c r="AI989" s="9">
        <v>43.816165523709728</v>
      </c>
      <c r="AJ989" s="9">
        <v>3.0428788910505911</v>
      </c>
    </row>
    <row r="990" spans="1:36" x14ac:dyDescent="0.25">
      <c r="A990" t="s">
        <v>5411</v>
      </c>
      <c r="B990" t="s">
        <v>16</v>
      </c>
      <c r="C990" t="s">
        <v>17</v>
      </c>
      <c r="D990">
        <v>29795000</v>
      </c>
      <c r="E990">
        <v>29799999</v>
      </c>
      <c r="F990" t="s">
        <v>832</v>
      </c>
      <c r="G990" t="str">
        <f t="shared" si="30"/>
        <v>ESI II</v>
      </c>
      <c r="H990" t="s">
        <v>772</v>
      </c>
      <c r="I990" t="s">
        <v>20</v>
      </c>
      <c r="J990" t="s">
        <v>64</v>
      </c>
      <c r="K990" s="6">
        <v>0.03</v>
      </c>
      <c r="L990" s="7">
        <f t="shared" si="31"/>
        <v>2E-3</v>
      </c>
      <c r="M990" s="7">
        <v>3.0000000000000001E-3</v>
      </c>
      <c r="N990">
        <v>10</v>
      </c>
      <c r="O990" s="8">
        <v>18.831619796940856</v>
      </c>
      <c r="P990" s="9">
        <v>18.831619796940856</v>
      </c>
      <c r="Q990" s="9">
        <v>18.831619796940856</v>
      </c>
      <c r="R990" s="9">
        <v>19.270228228143885</v>
      </c>
      <c r="S990" s="9">
        <v>19.533186067089943</v>
      </c>
      <c r="T990" s="9">
        <v>20.288326244442615</v>
      </c>
      <c r="U990" s="9">
        <v>21.727692071919854</v>
      </c>
      <c r="V990" s="9">
        <v>21.727692071919854</v>
      </c>
      <c r="W990" s="9">
        <v>21.727692071919854</v>
      </c>
      <c r="X990" s="9">
        <v>23.660574028090565</v>
      </c>
      <c r="Y990" s="9">
        <v>23.660574028090565</v>
      </c>
      <c r="Z990" s="9">
        <v>25.663958288360334</v>
      </c>
      <c r="AA990" s="9">
        <v>25.663958288360334</v>
      </c>
      <c r="AB990" s="9">
        <v>27.177517246880505</v>
      </c>
      <c r="AC990" s="9">
        <v>27.177517246880505</v>
      </c>
      <c r="AD990" s="9">
        <v>31.506881792360829</v>
      </c>
      <c r="AE990" s="9">
        <v>34.32501712237967</v>
      </c>
      <c r="AF990" s="9">
        <v>37.236096134957549</v>
      </c>
      <c r="AG990" s="9">
        <v>37.236096134957549</v>
      </c>
      <c r="AH990" s="9">
        <v>40.854075194728338</v>
      </c>
      <c r="AI990" s="9">
        <v>43.816165523709728</v>
      </c>
      <c r="AJ990" s="9">
        <v>3.0428788910505911</v>
      </c>
    </row>
    <row r="991" spans="1:36" x14ac:dyDescent="0.25">
      <c r="A991" t="s">
        <v>5411</v>
      </c>
      <c r="B991" t="s">
        <v>16</v>
      </c>
      <c r="C991" t="s">
        <v>17</v>
      </c>
      <c r="D991">
        <v>29800000</v>
      </c>
      <c r="E991">
        <v>29819999</v>
      </c>
      <c r="F991" t="s">
        <v>833</v>
      </c>
      <c r="G991" t="str">
        <f t="shared" si="30"/>
        <v>ESI II</v>
      </c>
      <c r="H991" t="s">
        <v>772</v>
      </c>
      <c r="I991" t="s">
        <v>20</v>
      </c>
      <c r="J991" t="s">
        <v>64</v>
      </c>
      <c r="K991" s="6">
        <v>0.03</v>
      </c>
      <c r="L991" s="7">
        <f t="shared" si="31"/>
        <v>2E-3</v>
      </c>
      <c r="M991" s="7">
        <v>3.0000000000000001E-3</v>
      </c>
      <c r="N991">
        <v>10</v>
      </c>
      <c r="O991" s="8">
        <v>18.831619796940856</v>
      </c>
      <c r="P991" s="9">
        <v>18.831619796940856</v>
      </c>
      <c r="Q991" s="9">
        <v>18.831619796940856</v>
      </c>
      <c r="R991" s="9">
        <v>19.270228228143885</v>
      </c>
      <c r="S991" s="9">
        <v>19.533186067089943</v>
      </c>
      <c r="T991" s="9">
        <v>20.288326244442615</v>
      </c>
      <c r="U991" s="9">
        <v>21.727692071919854</v>
      </c>
      <c r="V991" s="9">
        <v>21.727692071919854</v>
      </c>
      <c r="W991" s="9">
        <v>21.727692071919854</v>
      </c>
      <c r="X991" s="9">
        <v>23.660574028090565</v>
      </c>
      <c r="Y991" s="9">
        <v>23.660574028090565</v>
      </c>
      <c r="Z991" s="9">
        <v>25.663958288360334</v>
      </c>
      <c r="AA991" s="9">
        <v>25.663958288360334</v>
      </c>
      <c r="AB991" s="9">
        <v>27.177517246880505</v>
      </c>
      <c r="AC991" s="9">
        <v>27.177517246880505</v>
      </c>
      <c r="AD991" s="9">
        <v>31.506881792360829</v>
      </c>
      <c r="AE991" s="9">
        <v>34.32501712237967</v>
      </c>
      <c r="AF991" s="9">
        <v>37.236096134957549</v>
      </c>
      <c r="AG991" s="9">
        <v>37.236096134957549</v>
      </c>
      <c r="AH991" s="9">
        <v>40.854075194728338</v>
      </c>
      <c r="AI991" s="9">
        <v>43.816165523709728</v>
      </c>
      <c r="AJ991" s="9">
        <v>3.0428788910505911</v>
      </c>
    </row>
    <row r="992" spans="1:36" x14ac:dyDescent="0.25">
      <c r="A992" t="s">
        <v>5411</v>
      </c>
      <c r="B992" t="s">
        <v>16</v>
      </c>
      <c r="C992" t="s">
        <v>17</v>
      </c>
      <c r="D992">
        <v>29820000</v>
      </c>
      <c r="E992">
        <v>29829999</v>
      </c>
      <c r="F992" t="s">
        <v>834</v>
      </c>
      <c r="G992" t="str">
        <f t="shared" si="30"/>
        <v>ESI II</v>
      </c>
      <c r="H992" t="s">
        <v>772</v>
      </c>
      <c r="I992" t="s">
        <v>20</v>
      </c>
      <c r="J992" t="s">
        <v>64</v>
      </c>
      <c r="K992" s="6">
        <v>0.03</v>
      </c>
      <c r="L992" s="7">
        <f t="shared" si="31"/>
        <v>2E-3</v>
      </c>
      <c r="M992" s="7">
        <v>3.0000000000000001E-3</v>
      </c>
      <c r="N992">
        <v>10</v>
      </c>
      <c r="O992" s="8">
        <v>18.831619796940856</v>
      </c>
      <c r="P992" s="9">
        <v>18.831619796940856</v>
      </c>
      <c r="Q992" s="9">
        <v>18.831619796940856</v>
      </c>
      <c r="R992" s="9">
        <v>19.270228228143885</v>
      </c>
      <c r="S992" s="9">
        <v>19.533186067089943</v>
      </c>
      <c r="T992" s="9">
        <v>20.288326244442615</v>
      </c>
      <c r="U992" s="9">
        <v>21.727692071919854</v>
      </c>
      <c r="V992" s="9">
        <v>21.727692071919854</v>
      </c>
      <c r="W992" s="9">
        <v>21.727692071919854</v>
      </c>
      <c r="X992" s="9">
        <v>23.660574028090565</v>
      </c>
      <c r="Y992" s="9">
        <v>23.660574028090565</v>
      </c>
      <c r="Z992" s="9">
        <v>25.663958288360334</v>
      </c>
      <c r="AA992" s="9">
        <v>25.663958288360334</v>
      </c>
      <c r="AB992" s="9">
        <v>27.177517246880505</v>
      </c>
      <c r="AC992" s="9">
        <v>27.177517246880505</v>
      </c>
      <c r="AD992" s="9">
        <v>31.506881792360829</v>
      </c>
      <c r="AE992" s="9">
        <v>34.32501712237967</v>
      </c>
      <c r="AF992" s="9">
        <v>37.236096134957549</v>
      </c>
      <c r="AG992" s="9">
        <v>37.236096134957549</v>
      </c>
      <c r="AH992" s="9">
        <v>40.854075194728338</v>
      </c>
      <c r="AI992" s="9">
        <v>43.816165523709728</v>
      </c>
      <c r="AJ992" s="9">
        <v>3.0428788910505911</v>
      </c>
    </row>
    <row r="993" spans="1:36" x14ac:dyDescent="0.25">
      <c r="A993" t="s">
        <v>5411</v>
      </c>
      <c r="B993" t="s">
        <v>16</v>
      </c>
      <c r="C993" t="s">
        <v>17</v>
      </c>
      <c r="D993">
        <v>29830000</v>
      </c>
      <c r="E993">
        <v>29842999</v>
      </c>
      <c r="F993" t="s">
        <v>835</v>
      </c>
      <c r="G993" t="str">
        <f t="shared" si="30"/>
        <v>ESI II</v>
      </c>
      <c r="H993" t="s">
        <v>772</v>
      </c>
      <c r="I993" t="s">
        <v>20</v>
      </c>
      <c r="J993" t="s">
        <v>64</v>
      </c>
      <c r="K993" s="6">
        <v>0.03</v>
      </c>
      <c r="L993" s="7">
        <f t="shared" si="31"/>
        <v>2E-3</v>
      </c>
      <c r="M993" s="7">
        <v>3.0000000000000001E-3</v>
      </c>
      <c r="N993">
        <v>10</v>
      </c>
      <c r="O993" s="8">
        <v>18.831619796940856</v>
      </c>
      <c r="P993" s="9">
        <v>18.831619796940856</v>
      </c>
      <c r="Q993" s="9">
        <v>18.831619796940856</v>
      </c>
      <c r="R993" s="9">
        <v>19.270228228143885</v>
      </c>
      <c r="S993" s="9">
        <v>19.533186067089943</v>
      </c>
      <c r="T993" s="9">
        <v>20.288326244442615</v>
      </c>
      <c r="U993" s="9">
        <v>21.727692071919854</v>
      </c>
      <c r="V993" s="9">
        <v>21.727692071919854</v>
      </c>
      <c r="W993" s="9">
        <v>21.727692071919854</v>
      </c>
      <c r="X993" s="9">
        <v>23.660574028090565</v>
      </c>
      <c r="Y993" s="9">
        <v>23.660574028090565</v>
      </c>
      <c r="Z993" s="9">
        <v>25.663958288360334</v>
      </c>
      <c r="AA993" s="9">
        <v>25.663958288360334</v>
      </c>
      <c r="AB993" s="9">
        <v>27.177517246880505</v>
      </c>
      <c r="AC993" s="9">
        <v>27.177517246880505</v>
      </c>
      <c r="AD993" s="9">
        <v>31.506881792360829</v>
      </c>
      <c r="AE993" s="9">
        <v>34.32501712237967</v>
      </c>
      <c r="AF993" s="9">
        <v>37.236096134957549</v>
      </c>
      <c r="AG993" s="9">
        <v>37.236096134957549</v>
      </c>
      <c r="AH993" s="9">
        <v>40.854075194728338</v>
      </c>
      <c r="AI993" s="9">
        <v>43.816165523709728</v>
      </c>
      <c r="AJ993" s="9">
        <v>3.0428788910505911</v>
      </c>
    </row>
    <row r="994" spans="1:36" x14ac:dyDescent="0.25">
      <c r="A994" t="s">
        <v>5411</v>
      </c>
      <c r="B994" t="s">
        <v>16</v>
      </c>
      <c r="C994" t="s">
        <v>17</v>
      </c>
      <c r="D994">
        <v>29843000</v>
      </c>
      <c r="E994">
        <v>29844999</v>
      </c>
      <c r="F994" t="s">
        <v>836</v>
      </c>
      <c r="G994" t="str">
        <f t="shared" si="30"/>
        <v>ESI II</v>
      </c>
      <c r="H994" t="s">
        <v>772</v>
      </c>
      <c r="I994" t="s">
        <v>20</v>
      </c>
      <c r="J994" t="s">
        <v>64</v>
      </c>
      <c r="K994" s="6">
        <v>0.03</v>
      </c>
      <c r="L994" s="7">
        <f t="shared" si="31"/>
        <v>2E-3</v>
      </c>
      <c r="M994" s="7">
        <v>3.0000000000000001E-3</v>
      </c>
      <c r="N994">
        <v>10</v>
      </c>
      <c r="O994" s="8">
        <v>18.831619796940856</v>
      </c>
      <c r="P994" s="9">
        <v>18.831619796940856</v>
      </c>
      <c r="Q994" s="9">
        <v>18.831619796940856</v>
      </c>
      <c r="R994" s="9">
        <v>19.270228228143885</v>
      </c>
      <c r="S994" s="9">
        <v>19.533186067089943</v>
      </c>
      <c r="T994" s="9">
        <v>20.288326244442615</v>
      </c>
      <c r="U994" s="9">
        <v>21.727692071919854</v>
      </c>
      <c r="V994" s="9">
        <v>21.727692071919854</v>
      </c>
      <c r="W994" s="9">
        <v>21.727692071919854</v>
      </c>
      <c r="X994" s="9">
        <v>23.660574028090565</v>
      </c>
      <c r="Y994" s="9">
        <v>23.660574028090565</v>
      </c>
      <c r="Z994" s="9">
        <v>25.663958288360334</v>
      </c>
      <c r="AA994" s="9">
        <v>25.663958288360334</v>
      </c>
      <c r="AB994" s="9">
        <v>27.177517246880505</v>
      </c>
      <c r="AC994" s="9">
        <v>27.177517246880505</v>
      </c>
      <c r="AD994" s="9">
        <v>31.506881792360829</v>
      </c>
      <c r="AE994" s="9">
        <v>34.32501712237967</v>
      </c>
      <c r="AF994" s="9">
        <v>37.236096134957549</v>
      </c>
      <c r="AG994" s="9">
        <v>37.236096134957549</v>
      </c>
      <c r="AH994" s="9">
        <v>40.854075194728338</v>
      </c>
      <c r="AI994" s="9">
        <v>43.816165523709728</v>
      </c>
      <c r="AJ994" s="9">
        <v>3.0428788910505911</v>
      </c>
    </row>
    <row r="995" spans="1:36" x14ac:dyDescent="0.25">
      <c r="A995" t="s">
        <v>5411</v>
      </c>
      <c r="B995" t="s">
        <v>16</v>
      </c>
      <c r="C995" t="s">
        <v>17</v>
      </c>
      <c r="D995">
        <v>29845000</v>
      </c>
      <c r="E995">
        <v>29849999</v>
      </c>
      <c r="F995" t="s">
        <v>837</v>
      </c>
      <c r="G995" t="str">
        <f t="shared" si="30"/>
        <v>ESI II</v>
      </c>
      <c r="H995" t="s">
        <v>772</v>
      </c>
      <c r="I995" t="s">
        <v>20</v>
      </c>
      <c r="J995" t="s">
        <v>64</v>
      </c>
      <c r="K995" s="6">
        <v>0.03</v>
      </c>
      <c r="L995" s="7">
        <f t="shared" si="31"/>
        <v>2E-3</v>
      </c>
      <c r="M995" s="7">
        <v>3.0000000000000001E-3</v>
      </c>
      <c r="N995">
        <v>10</v>
      </c>
      <c r="O995" s="8">
        <v>18.831619796940856</v>
      </c>
      <c r="P995" s="9">
        <v>18.831619796940856</v>
      </c>
      <c r="Q995" s="9">
        <v>18.831619796940856</v>
      </c>
      <c r="R995" s="9">
        <v>19.270228228143885</v>
      </c>
      <c r="S995" s="9">
        <v>19.533186067089943</v>
      </c>
      <c r="T995" s="9">
        <v>20.288326244442615</v>
      </c>
      <c r="U995" s="9">
        <v>21.727692071919854</v>
      </c>
      <c r="V995" s="9">
        <v>21.727692071919854</v>
      </c>
      <c r="W995" s="9">
        <v>21.727692071919854</v>
      </c>
      <c r="X995" s="9">
        <v>23.660574028090565</v>
      </c>
      <c r="Y995" s="9">
        <v>23.660574028090565</v>
      </c>
      <c r="Z995" s="9">
        <v>25.663958288360334</v>
      </c>
      <c r="AA995" s="9">
        <v>25.663958288360334</v>
      </c>
      <c r="AB995" s="9">
        <v>27.177517246880505</v>
      </c>
      <c r="AC995" s="9">
        <v>27.177517246880505</v>
      </c>
      <c r="AD995" s="9">
        <v>31.506881792360829</v>
      </c>
      <c r="AE995" s="9">
        <v>34.32501712237967</v>
      </c>
      <c r="AF995" s="9">
        <v>37.236096134957549</v>
      </c>
      <c r="AG995" s="9">
        <v>37.236096134957549</v>
      </c>
      <c r="AH995" s="9">
        <v>40.854075194728338</v>
      </c>
      <c r="AI995" s="9">
        <v>43.816165523709728</v>
      </c>
      <c r="AJ995" s="9">
        <v>3.0428788910505911</v>
      </c>
    </row>
    <row r="996" spans="1:36" x14ac:dyDescent="0.25">
      <c r="A996" t="s">
        <v>5411</v>
      </c>
      <c r="B996" t="s">
        <v>16</v>
      </c>
      <c r="C996" t="s">
        <v>17</v>
      </c>
      <c r="D996">
        <v>29850000</v>
      </c>
      <c r="E996">
        <v>29879999</v>
      </c>
      <c r="F996" t="s">
        <v>838</v>
      </c>
      <c r="G996" t="str">
        <f t="shared" si="30"/>
        <v>ESI II</v>
      </c>
      <c r="H996" t="s">
        <v>772</v>
      </c>
      <c r="I996" t="s">
        <v>20</v>
      </c>
      <c r="J996" t="s">
        <v>64</v>
      </c>
      <c r="K996" s="6">
        <v>0.03</v>
      </c>
      <c r="L996" s="7">
        <f t="shared" si="31"/>
        <v>2E-3</v>
      </c>
      <c r="M996" s="7">
        <v>3.0000000000000001E-3</v>
      </c>
      <c r="N996">
        <v>10</v>
      </c>
      <c r="O996" s="8">
        <v>18.831619796940856</v>
      </c>
      <c r="P996" s="9">
        <v>18.831619796940856</v>
      </c>
      <c r="Q996" s="9">
        <v>18.831619796940856</v>
      </c>
      <c r="R996" s="9">
        <v>19.270228228143885</v>
      </c>
      <c r="S996" s="9">
        <v>19.533186067089943</v>
      </c>
      <c r="T996" s="9">
        <v>20.288326244442615</v>
      </c>
      <c r="U996" s="9">
        <v>21.727692071919854</v>
      </c>
      <c r="V996" s="9">
        <v>21.727692071919854</v>
      </c>
      <c r="W996" s="9">
        <v>21.727692071919854</v>
      </c>
      <c r="X996" s="9">
        <v>23.660574028090565</v>
      </c>
      <c r="Y996" s="9">
        <v>23.660574028090565</v>
      </c>
      <c r="Z996" s="9">
        <v>25.663958288360334</v>
      </c>
      <c r="AA996" s="9">
        <v>25.663958288360334</v>
      </c>
      <c r="AB996" s="9">
        <v>27.177517246880505</v>
      </c>
      <c r="AC996" s="9">
        <v>27.177517246880505</v>
      </c>
      <c r="AD996" s="9">
        <v>31.506881792360829</v>
      </c>
      <c r="AE996" s="9">
        <v>34.32501712237967</v>
      </c>
      <c r="AF996" s="9">
        <v>37.236096134957549</v>
      </c>
      <c r="AG996" s="9">
        <v>37.236096134957549</v>
      </c>
      <c r="AH996" s="9">
        <v>40.854075194728338</v>
      </c>
      <c r="AI996" s="9">
        <v>43.816165523709728</v>
      </c>
      <c r="AJ996" s="9">
        <v>3.0428788910505911</v>
      </c>
    </row>
    <row r="997" spans="1:36" x14ac:dyDescent="0.25">
      <c r="A997" t="s">
        <v>5411</v>
      </c>
      <c r="B997" t="s">
        <v>16</v>
      </c>
      <c r="C997" t="s">
        <v>17</v>
      </c>
      <c r="D997">
        <v>29880000</v>
      </c>
      <c r="E997">
        <v>29884999</v>
      </c>
      <c r="F997" t="s">
        <v>839</v>
      </c>
      <c r="G997" t="str">
        <f t="shared" si="30"/>
        <v>ESI II</v>
      </c>
      <c r="H997" t="s">
        <v>772</v>
      </c>
      <c r="I997" t="s">
        <v>20</v>
      </c>
      <c r="J997" t="s">
        <v>64</v>
      </c>
      <c r="K997" s="6">
        <v>0.03</v>
      </c>
      <c r="L997" s="7">
        <f t="shared" si="31"/>
        <v>2E-3</v>
      </c>
      <c r="M997" s="7">
        <v>3.0000000000000001E-3</v>
      </c>
      <c r="N997">
        <v>10</v>
      </c>
      <c r="O997" s="8">
        <v>18.831619796940856</v>
      </c>
      <c r="P997" s="9">
        <v>18.831619796940856</v>
      </c>
      <c r="Q997" s="9">
        <v>18.831619796940856</v>
      </c>
      <c r="R997" s="9">
        <v>19.270228228143885</v>
      </c>
      <c r="S997" s="9">
        <v>19.533186067089943</v>
      </c>
      <c r="T997" s="9">
        <v>20.288326244442615</v>
      </c>
      <c r="U997" s="9">
        <v>21.727692071919854</v>
      </c>
      <c r="V997" s="9">
        <v>21.727692071919854</v>
      </c>
      <c r="W997" s="9">
        <v>21.727692071919854</v>
      </c>
      <c r="X997" s="9">
        <v>23.660574028090565</v>
      </c>
      <c r="Y997" s="9">
        <v>23.660574028090565</v>
      </c>
      <c r="Z997" s="9">
        <v>25.663958288360334</v>
      </c>
      <c r="AA997" s="9">
        <v>25.663958288360334</v>
      </c>
      <c r="AB997" s="9">
        <v>27.177517246880505</v>
      </c>
      <c r="AC997" s="9">
        <v>27.177517246880505</v>
      </c>
      <c r="AD997" s="9">
        <v>31.506881792360829</v>
      </c>
      <c r="AE997" s="9">
        <v>34.32501712237967</v>
      </c>
      <c r="AF997" s="9">
        <v>37.236096134957549</v>
      </c>
      <c r="AG997" s="9">
        <v>37.236096134957549</v>
      </c>
      <c r="AH997" s="9">
        <v>40.854075194728338</v>
      </c>
      <c r="AI997" s="9">
        <v>43.816165523709728</v>
      </c>
      <c r="AJ997" s="9">
        <v>3.0428788910505911</v>
      </c>
    </row>
    <row r="998" spans="1:36" x14ac:dyDescent="0.25">
      <c r="A998" t="s">
        <v>5411</v>
      </c>
      <c r="B998" t="s">
        <v>16</v>
      </c>
      <c r="C998" t="s">
        <v>17</v>
      </c>
      <c r="D998">
        <v>29885000</v>
      </c>
      <c r="E998">
        <v>29889999</v>
      </c>
      <c r="F998" t="s">
        <v>840</v>
      </c>
      <c r="G998" t="str">
        <f t="shared" si="30"/>
        <v>ESI II</v>
      </c>
      <c r="H998" t="s">
        <v>772</v>
      </c>
      <c r="I998" t="s">
        <v>20</v>
      </c>
      <c r="J998" t="s">
        <v>64</v>
      </c>
      <c r="K998" s="6">
        <v>0.03</v>
      </c>
      <c r="L998" s="7">
        <f t="shared" si="31"/>
        <v>2E-3</v>
      </c>
      <c r="M998" s="7">
        <v>3.0000000000000001E-3</v>
      </c>
      <c r="N998">
        <v>10</v>
      </c>
      <c r="O998" s="8">
        <v>18.831619796940856</v>
      </c>
      <c r="P998" s="9">
        <v>18.831619796940856</v>
      </c>
      <c r="Q998" s="9">
        <v>18.831619796940856</v>
      </c>
      <c r="R998" s="9">
        <v>19.270228228143885</v>
      </c>
      <c r="S998" s="9">
        <v>19.533186067089943</v>
      </c>
      <c r="T998" s="9">
        <v>20.288326244442615</v>
      </c>
      <c r="U998" s="9">
        <v>21.727692071919854</v>
      </c>
      <c r="V998" s="9">
        <v>21.727692071919854</v>
      </c>
      <c r="W998" s="9">
        <v>21.727692071919854</v>
      </c>
      <c r="X998" s="9">
        <v>23.660574028090565</v>
      </c>
      <c r="Y998" s="9">
        <v>23.660574028090565</v>
      </c>
      <c r="Z998" s="9">
        <v>25.663958288360334</v>
      </c>
      <c r="AA998" s="9">
        <v>25.663958288360334</v>
      </c>
      <c r="AB998" s="9">
        <v>27.177517246880505</v>
      </c>
      <c r="AC998" s="9">
        <v>27.177517246880505</v>
      </c>
      <c r="AD998" s="9">
        <v>31.506881792360829</v>
      </c>
      <c r="AE998" s="9">
        <v>34.32501712237967</v>
      </c>
      <c r="AF998" s="9">
        <v>37.236096134957549</v>
      </c>
      <c r="AG998" s="9">
        <v>37.236096134957549</v>
      </c>
      <c r="AH998" s="9">
        <v>40.854075194728338</v>
      </c>
      <c r="AI998" s="9">
        <v>43.816165523709728</v>
      </c>
      <c r="AJ998" s="9">
        <v>3.0428788910505911</v>
      </c>
    </row>
    <row r="999" spans="1:36" x14ac:dyDescent="0.25">
      <c r="A999" t="s">
        <v>5411</v>
      </c>
      <c r="B999" t="s">
        <v>16</v>
      </c>
      <c r="C999" t="s">
        <v>17</v>
      </c>
      <c r="D999">
        <v>29890000</v>
      </c>
      <c r="E999">
        <v>29899999</v>
      </c>
      <c r="F999" t="s">
        <v>841</v>
      </c>
      <c r="G999" t="str">
        <f t="shared" si="30"/>
        <v>ESI II</v>
      </c>
      <c r="H999" t="s">
        <v>772</v>
      </c>
      <c r="I999" t="s">
        <v>20</v>
      </c>
      <c r="J999" t="s">
        <v>64</v>
      </c>
      <c r="K999" s="6">
        <v>0.03</v>
      </c>
      <c r="L999" s="7">
        <f t="shared" si="31"/>
        <v>2E-3</v>
      </c>
      <c r="M999" s="7">
        <v>3.0000000000000001E-3</v>
      </c>
      <c r="N999">
        <v>10</v>
      </c>
      <c r="O999" s="8">
        <v>18.831619796940856</v>
      </c>
      <c r="P999" s="9">
        <v>18.831619796940856</v>
      </c>
      <c r="Q999" s="9">
        <v>18.831619796940856</v>
      </c>
      <c r="R999" s="9">
        <v>19.270228228143885</v>
      </c>
      <c r="S999" s="9">
        <v>19.533186067089943</v>
      </c>
      <c r="T999" s="9">
        <v>20.288326244442615</v>
      </c>
      <c r="U999" s="9">
        <v>21.727692071919854</v>
      </c>
      <c r="V999" s="9">
        <v>21.727692071919854</v>
      </c>
      <c r="W999" s="9">
        <v>21.727692071919854</v>
      </c>
      <c r="X999" s="9">
        <v>23.660574028090565</v>
      </c>
      <c r="Y999" s="9">
        <v>23.660574028090565</v>
      </c>
      <c r="Z999" s="9">
        <v>25.663958288360334</v>
      </c>
      <c r="AA999" s="9">
        <v>25.663958288360334</v>
      </c>
      <c r="AB999" s="9">
        <v>27.177517246880505</v>
      </c>
      <c r="AC999" s="9">
        <v>27.177517246880505</v>
      </c>
      <c r="AD999" s="9">
        <v>31.506881792360829</v>
      </c>
      <c r="AE999" s="9">
        <v>34.32501712237967</v>
      </c>
      <c r="AF999" s="9">
        <v>37.236096134957549</v>
      </c>
      <c r="AG999" s="9">
        <v>37.236096134957549</v>
      </c>
      <c r="AH999" s="9">
        <v>40.854075194728338</v>
      </c>
      <c r="AI999" s="9">
        <v>43.816165523709728</v>
      </c>
      <c r="AJ999" s="9">
        <v>3.0428788910505911</v>
      </c>
    </row>
    <row r="1000" spans="1:36" x14ac:dyDescent="0.25">
      <c r="A1000" t="s">
        <v>5411</v>
      </c>
      <c r="B1000" t="s">
        <v>16</v>
      </c>
      <c r="C1000" t="s">
        <v>17</v>
      </c>
      <c r="D1000">
        <v>29900000</v>
      </c>
      <c r="E1000">
        <v>29919999</v>
      </c>
      <c r="F1000" t="s">
        <v>842</v>
      </c>
      <c r="G1000" t="str">
        <f t="shared" si="30"/>
        <v>ESI II</v>
      </c>
      <c r="H1000" t="s">
        <v>772</v>
      </c>
      <c r="I1000" t="s">
        <v>20</v>
      </c>
      <c r="J1000" t="s">
        <v>64</v>
      </c>
      <c r="K1000" s="6">
        <v>0.03</v>
      </c>
      <c r="L1000" s="7">
        <f t="shared" si="31"/>
        <v>2E-3</v>
      </c>
      <c r="M1000" s="7">
        <v>3.0000000000000001E-3</v>
      </c>
      <c r="N1000">
        <v>10</v>
      </c>
      <c r="O1000" s="8">
        <v>18.831619796940856</v>
      </c>
      <c r="P1000" s="9">
        <v>18.831619796940856</v>
      </c>
      <c r="Q1000" s="9">
        <v>18.831619796940856</v>
      </c>
      <c r="R1000" s="9">
        <v>19.270228228143885</v>
      </c>
      <c r="S1000" s="9">
        <v>19.533186067089943</v>
      </c>
      <c r="T1000" s="9">
        <v>20.288326244442615</v>
      </c>
      <c r="U1000" s="9">
        <v>21.727692071919854</v>
      </c>
      <c r="V1000" s="9">
        <v>21.727692071919854</v>
      </c>
      <c r="W1000" s="9">
        <v>21.727692071919854</v>
      </c>
      <c r="X1000" s="9">
        <v>23.660574028090565</v>
      </c>
      <c r="Y1000" s="9">
        <v>23.660574028090565</v>
      </c>
      <c r="Z1000" s="9">
        <v>25.663958288360334</v>
      </c>
      <c r="AA1000" s="9">
        <v>25.663958288360334</v>
      </c>
      <c r="AB1000" s="9">
        <v>27.177517246880505</v>
      </c>
      <c r="AC1000" s="9">
        <v>27.177517246880505</v>
      </c>
      <c r="AD1000" s="9">
        <v>31.506881792360829</v>
      </c>
      <c r="AE1000" s="9">
        <v>34.32501712237967</v>
      </c>
      <c r="AF1000" s="9">
        <v>37.236096134957549</v>
      </c>
      <c r="AG1000" s="9">
        <v>37.236096134957549</v>
      </c>
      <c r="AH1000" s="9">
        <v>40.854075194728338</v>
      </c>
      <c r="AI1000" s="9">
        <v>43.816165523709728</v>
      </c>
      <c r="AJ1000" s="9">
        <v>3.0428788910505911</v>
      </c>
    </row>
    <row r="1001" spans="1:36" x14ac:dyDescent="0.25">
      <c r="A1001" t="s">
        <v>5411</v>
      </c>
      <c r="B1001" t="s">
        <v>16</v>
      </c>
      <c r="C1001" t="s">
        <v>17</v>
      </c>
      <c r="D1001">
        <v>29920000</v>
      </c>
      <c r="E1001">
        <v>29926999</v>
      </c>
      <c r="F1001" t="s">
        <v>843</v>
      </c>
      <c r="G1001" t="str">
        <f t="shared" si="30"/>
        <v>ESI II</v>
      </c>
      <c r="H1001" t="s">
        <v>772</v>
      </c>
      <c r="I1001" t="s">
        <v>20</v>
      </c>
      <c r="J1001" t="s">
        <v>64</v>
      </c>
      <c r="K1001" s="6">
        <v>0.03</v>
      </c>
      <c r="L1001" s="7">
        <f t="shared" si="31"/>
        <v>2E-3</v>
      </c>
      <c r="M1001" s="7">
        <v>3.0000000000000001E-3</v>
      </c>
      <c r="N1001">
        <v>10</v>
      </c>
      <c r="O1001" s="8">
        <v>18.831619796940856</v>
      </c>
      <c r="P1001" s="9">
        <v>18.831619796940856</v>
      </c>
      <c r="Q1001" s="9">
        <v>18.831619796940856</v>
      </c>
      <c r="R1001" s="9">
        <v>19.270228228143885</v>
      </c>
      <c r="S1001" s="9">
        <v>19.533186067089943</v>
      </c>
      <c r="T1001" s="9">
        <v>20.288326244442615</v>
      </c>
      <c r="U1001" s="9">
        <v>21.727692071919854</v>
      </c>
      <c r="V1001" s="9">
        <v>21.727692071919854</v>
      </c>
      <c r="W1001" s="9">
        <v>21.727692071919854</v>
      </c>
      <c r="X1001" s="9">
        <v>23.660574028090565</v>
      </c>
      <c r="Y1001" s="9">
        <v>23.660574028090565</v>
      </c>
      <c r="Z1001" s="9">
        <v>25.663958288360334</v>
      </c>
      <c r="AA1001" s="9">
        <v>25.663958288360334</v>
      </c>
      <c r="AB1001" s="9">
        <v>27.177517246880505</v>
      </c>
      <c r="AC1001" s="9">
        <v>27.177517246880505</v>
      </c>
      <c r="AD1001" s="9">
        <v>31.506881792360829</v>
      </c>
      <c r="AE1001" s="9">
        <v>34.32501712237967</v>
      </c>
      <c r="AF1001" s="9">
        <v>37.236096134957549</v>
      </c>
      <c r="AG1001" s="9">
        <v>37.236096134957549</v>
      </c>
      <c r="AH1001" s="9">
        <v>40.854075194728338</v>
      </c>
      <c r="AI1001" s="9">
        <v>43.816165523709728</v>
      </c>
      <c r="AJ1001" s="9">
        <v>3.0428788910505911</v>
      </c>
    </row>
    <row r="1002" spans="1:36" x14ac:dyDescent="0.25">
      <c r="A1002" t="s">
        <v>5411</v>
      </c>
      <c r="B1002" t="s">
        <v>16</v>
      </c>
      <c r="C1002" t="s">
        <v>17</v>
      </c>
      <c r="D1002">
        <v>29927000</v>
      </c>
      <c r="E1002">
        <v>29929999</v>
      </c>
      <c r="F1002" t="s">
        <v>844</v>
      </c>
      <c r="G1002" t="str">
        <f t="shared" si="30"/>
        <v>ESI II</v>
      </c>
      <c r="H1002" t="s">
        <v>772</v>
      </c>
      <c r="I1002" t="s">
        <v>20</v>
      </c>
      <c r="J1002" t="s">
        <v>64</v>
      </c>
      <c r="K1002" s="6">
        <v>0.03</v>
      </c>
      <c r="L1002" s="7">
        <f t="shared" si="31"/>
        <v>2E-3</v>
      </c>
      <c r="M1002" s="7">
        <v>3.0000000000000001E-3</v>
      </c>
      <c r="N1002">
        <v>10</v>
      </c>
      <c r="O1002" s="8">
        <v>18.831619796940856</v>
      </c>
      <c r="P1002" s="9">
        <v>18.831619796940856</v>
      </c>
      <c r="Q1002" s="9">
        <v>18.831619796940856</v>
      </c>
      <c r="R1002" s="9">
        <v>19.270228228143885</v>
      </c>
      <c r="S1002" s="9">
        <v>19.533186067089943</v>
      </c>
      <c r="T1002" s="9">
        <v>20.288326244442615</v>
      </c>
      <c r="U1002" s="9">
        <v>21.727692071919854</v>
      </c>
      <c r="V1002" s="9">
        <v>21.727692071919854</v>
      </c>
      <c r="W1002" s="9">
        <v>21.727692071919854</v>
      </c>
      <c r="X1002" s="9">
        <v>23.660574028090565</v>
      </c>
      <c r="Y1002" s="9">
        <v>23.660574028090565</v>
      </c>
      <c r="Z1002" s="9">
        <v>25.663958288360334</v>
      </c>
      <c r="AA1002" s="9">
        <v>25.663958288360334</v>
      </c>
      <c r="AB1002" s="9">
        <v>27.177517246880505</v>
      </c>
      <c r="AC1002" s="9">
        <v>27.177517246880505</v>
      </c>
      <c r="AD1002" s="9">
        <v>31.506881792360829</v>
      </c>
      <c r="AE1002" s="9">
        <v>34.32501712237967</v>
      </c>
      <c r="AF1002" s="9">
        <v>37.236096134957549</v>
      </c>
      <c r="AG1002" s="9">
        <v>37.236096134957549</v>
      </c>
      <c r="AH1002" s="9">
        <v>40.854075194728338</v>
      </c>
      <c r="AI1002" s="9">
        <v>43.816165523709728</v>
      </c>
      <c r="AJ1002" s="9">
        <v>3.0428788910505911</v>
      </c>
    </row>
    <row r="1003" spans="1:36" x14ac:dyDescent="0.25">
      <c r="A1003" t="s">
        <v>5411</v>
      </c>
      <c r="B1003" t="s">
        <v>16</v>
      </c>
      <c r="C1003" t="s">
        <v>17</v>
      </c>
      <c r="D1003">
        <v>29930000</v>
      </c>
      <c r="E1003">
        <v>29949999</v>
      </c>
      <c r="F1003" t="s">
        <v>845</v>
      </c>
      <c r="G1003" t="str">
        <f t="shared" si="30"/>
        <v>ESI II</v>
      </c>
      <c r="H1003" t="s">
        <v>772</v>
      </c>
      <c r="I1003" t="s">
        <v>20</v>
      </c>
      <c r="J1003" t="s">
        <v>64</v>
      </c>
      <c r="K1003" s="6">
        <v>0.03</v>
      </c>
      <c r="L1003" s="7">
        <f t="shared" si="31"/>
        <v>2E-3</v>
      </c>
      <c r="M1003" s="7">
        <v>3.0000000000000001E-3</v>
      </c>
      <c r="N1003">
        <v>10</v>
      </c>
      <c r="O1003" s="8">
        <v>18.831619796940856</v>
      </c>
      <c r="P1003" s="9">
        <v>18.831619796940856</v>
      </c>
      <c r="Q1003" s="9">
        <v>18.831619796940856</v>
      </c>
      <c r="R1003" s="9">
        <v>19.270228228143885</v>
      </c>
      <c r="S1003" s="9">
        <v>19.533186067089943</v>
      </c>
      <c r="T1003" s="9">
        <v>20.288326244442615</v>
      </c>
      <c r="U1003" s="9">
        <v>21.727692071919854</v>
      </c>
      <c r="V1003" s="9">
        <v>21.727692071919854</v>
      </c>
      <c r="W1003" s="9">
        <v>21.727692071919854</v>
      </c>
      <c r="X1003" s="9">
        <v>23.660574028090565</v>
      </c>
      <c r="Y1003" s="9">
        <v>23.660574028090565</v>
      </c>
      <c r="Z1003" s="9">
        <v>25.663958288360334</v>
      </c>
      <c r="AA1003" s="9">
        <v>25.663958288360334</v>
      </c>
      <c r="AB1003" s="9">
        <v>27.177517246880505</v>
      </c>
      <c r="AC1003" s="9">
        <v>27.177517246880505</v>
      </c>
      <c r="AD1003" s="9">
        <v>31.506881792360829</v>
      </c>
      <c r="AE1003" s="9">
        <v>34.32501712237967</v>
      </c>
      <c r="AF1003" s="9">
        <v>37.236096134957549</v>
      </c>
      <c r="AG1003" s="9">
        <v>37.236096134957549</v>
      </c>
      <c r="AH1003" s="9">
        <v>40.854075194728338</v>
      </c>
      <c r="AI1003" s="9">
        <v>43.816165523709728</v>
      </c>
      <c r="AJ1003" s="9">
        <v>3.0428788910505911</v>
      </c>
    </row>
    <row r="1004" spans="1:36" x14ac:dyDescent="0.25">
      <c r="A1004" t="s">
        <v>5411</v>
      </c>
      <c r="B1004" t="s">
        <v>16</v>
      </c>
      <c r="C1004" t="s">
        <v>17</v>
      </c>
      <c r="D1004">
        <v>29950000</v>
      </c>
      <c r="E1004">
        <v>29959999</v>
      </c>
      <c r="F1004" t="s">
        <v>846</v>
      </c>
      <c r="G1004" t="str">
        <f t="shared" si="30"/>
        <v>ESI II</v>
      </c>
      <c r="H1004" t="s">
        <v>772</v>
      </c>
      <c r="I1004" t="s">
        <v>20</v>
      </c>
      <c r="J1004" t="s">
        <v>64</v>
      </c>
      <c r="K1004" s="6">
        <v>0.03</v>
      </c>
      <c r="L1004" s="7">
        <f t="shared" si="31"/>
        <v>2E-3</v>
      </c>
      <c r="M1004" s="7">
        <v>3.0000000000000001E-3</v>
      </c>
      <c r="N1004">
        <v>10</v>
      </c>
      <c r="O1004" s="8">
        <v>18.831619796940856</v>
      </c>
      <c r="P1004" s="9">
        <v>18.831619796940856</v>
      </c>
      <c r="Q1004" s="9">
        <v>18.831619796940856</v>
      </c>
      <c r="R1004" s="9">
        <v>19.270228228143885</v>
      </c>
      <c r="S1004" s="9">
        <v>19.533186067089943</v>
      </c>
      <c r="T1004" s="9">
        <v>20.288326244442615</v>
      </c>
      <c r="U1004" s="9">
        <v>21.727692071919854</v>
      </c>
      <c r="V1004" s="9">
        <v>21.727692071919854</v>
      </c>
      <c r="W1004" s="9">
        <v>21.727692071919854</v>
      </c>
      <c r="X1004" s="9">
        <v>23.660574028090565</v>
      </c>
      <c r="Y1004" s="9">
        <v>23.660574028090565</v>
      </c>
      <c r="Z1004" s="9">
        <v>25.663958288360334</v>
      </c>
      <c r="AA1004" s="9">
        <v>25.663958288360334</v>
      </c>
      <c r="AB1004" s="9">
        <v>27.177517246880505</v>
      </c>
      <c r="AC1004" s="9">
        <v>27.177517246880505</v>
      </c>
      <c r="AD1004" s="9">
        <v>31.506881792360829</v>
      </c>
      <c r="AE1004" s="9">
        <v>34.32501712237967</v>
      </c>
      <c r="AF1004" s="9">
        <v>37.236096134957549</v>
      </c>
      <c r="AG1004" s="9">
        <v>37.236096134957549</v>
      </c>
      <c r="AH1004" s="9">
        <v>40.854075194728338</v>
      </c>
      <c r="AI1004" s="9">
        <v>43.816165523709728</v>
      </c>
      <c r="AJ1004" s="9">
        <v>3.0428788910505911</v>
      </c>
    </row>
    <row r="1005" spans="1:36" x14ac:dyDescent="0.25">
      <c r="A1005" t="s">
        <v>5411</v>
      </c>
      <c r="B1005" t="s">
        <v>16</v>
      </c>
      <c r="C1005" t="s">
        <v>17</v>
      </c>
      <c r="D1005">
        <v>29960000</v>
      </c>
      <c r="E1005">
        <v>29969999</v>
      </c>
      <c r="F1005" t="s">
        <v>847</v>
      </c>
      <c r="G1005" t="str">
        <f t="shared" si="30"/>
        <v>ESI II</v>
      </c>
      <c r="H1005" t="s">
        <v>772</v>
      </c>
      <c r="I1005" t="s">
        <v>20</v>
      </c>
      <c r="J1005" t="s">
        <v>64</v>
      </c>
      <c r="K1005" s="6">
        <v>0.03</v>
      </c>
      <c r="L1005" s="7">
        <f t="shared" si="31"/>
        <v>2E-3</v>
      </c>
      <c r="M1005" s="7">
        <v>3.0000000000000001E-3</v>
      </c>
      <c r="N1005">
        <v>10</v>
      </c>
      <c r="O1005" s="8">
        <v>18.831619796940856</v>
      </c>
      <c r="P1005" s="9">
        <v>18.831619796940856</v>
      </c>
      <c r="Q1005" s="9">
        <v>18.831619796940856</v>
      </c>
      <c r="R1005" s="9">
        <v>19.270228228143885</v>
      </c>
      <c r="S1005" s="9">
        <v>19.533186067089943</v>
      </c>
      <c r="T1005" s="9">
        <v>20.288326244442615</v>
      </c>
      <c r="U1005" s="9">
        <v>21.727692071919854</v>
      </c>
      <c r="V1005" s="9">
        <v>21.727692071919854</v>
      </c>
      <c r="W1005" s="9">
        <v>21.727692071919854</v>
      </c>
      <c r="X1005" s="9">
        <v>23.660574028090565</v>
      </c>
      <c r="Y1005" s="9">
        <v>23.660574028090565</v>
      </c>
      <c r="Z1005" s="9">
        <v>25.663958288360334</v>
      </c>
      <c r="AA1005" s="9">
        <v>25.663958288360334</v>
      </c>
      <c r="AB1005" s="9">
        <v>27.177517246880505</v>
      </c>
      <c r="AC1005" s="9">
        <v>27.177517246880505</v>
      </c>
      <c r="AD1005" s="9">
        <v>31.506881792360829</v>
      </c>
      <c r="AE1005" s="9">
        <v>34.32501712237967</v>
      </c>
      <c r="AF1005" s="9">
        <v>37.236096134957549</v>
      </c>
      <c r="AG1005" s="9">
        <v>37.236096134957549</v>
      </c>
      <c r="AH1005" s="9">
        <v>40.854075194728338</v>
      </c>
      <c r="AI1005" s="9">
        <v>43.816165523709728</v>
      </c>
      <c r="AJ1005" s="9">
        <v>3.0428788910505911</v>
      </c>
    </row>
    <row r="1006" spans="1:36" x14ac:dyDescent="0.25">
      <c r="A1006" t="s">
        <v>5411</v>
      </c>
      <c r="B1006" t="s">
        <v>16</v>
      </c>
      <c r="C1006" t="s">
        <v>17</v>
      </c>
      <c r="D1006">
        <v>29970000</v>
      </c>
      <c r="E1006">
        <v>29979999</v>
      </c>
      <c r="F1006" t="s">
        <v>848</v>
      </c>
      <c r="G1006" t="str">
        <f t="shared" si="30"/>
        <v>ESI II</v>
      </c>
      <c r="H1006" t="s">
        <v>772</v>
      </c>
      <c r="I1006" t="s">
        <v>20</v>
      </c>
      <c r="J1006" t="s">
        <v>64</v>
      </c>
      <c r="K1006" s="6">
        <v>0.03</v>
      </c>
      <c r="L1006" s="7">
        <f t="shared" si="31"/>
        <v>2E-3</v>
      </c>
      <c r="M1006" s="7">
        <v>3.0000000000000001E-3</v>
      </c>
      <c r="N1006">
        <v>10</v>
      </c>
      <c r="O1006" s="8">
        <v>18.831619796940856</v>
      </c>
      <c r="P1006" s="9">
        <v>18.831619796940856</v>
      </c>
      <c r="Q1006" s="9">
        <v>18.831619796940856</v>
      </c>
      <c r="R1006" s="9">
        <v>19.270228228143885</v>
      </c>
      <c r="S1006" s="9">
        <v>19.533186067089943</v>
      </c>
      <c r="T1006" s="9">
        <v>20.288326244442615</v>
      </c>
      <c r="U1006" s="9">
        <v>21.727692071919854</v>
      </c>
      <c r="V1006" s="9">
        <v>21.727692071919854</v>
      </c>
      <c r="W1006" s="9">
        <v>21.727692071919854</v>
      </c>
      <c r="X1006" s="9">
        <v>23.660574028090565</v>
      </c>
      <c r="Y1006" s="9">
        <v>23.660574028090565</v>
      </c>
      <c r="Z1006" s="9">
        <v>25.663958288360334</v>
      </c>
      <c r="AA1006" s="9">
        <v>25.663958288360334</v>
      </c>
      <c r="AB1006" s="9">
        <v>27.177517246880505</v>
      </c>
      <c r="AC1006" s="9">
        <v>27.177517246880505</v>
      </c>
      <c r="AD1006" s="9">
        <v>31.506881792360829</v>
      </c>
      <c r="AE1006" s="9">
        <v>34.32501712237967</v>
      </c>
      <c r="AF1006" s="9">
        <v>37.236096134957549</v>
      </c>
      <c r="AG1006" s="9">
        <v>37.236096134957549</v>
      </c>
      <c r="AH1006" s="9">
        <v>40.854075194728338</v>
      </c>
      <c r="AI1006" s="9">
        <v>43.816165523709728</v>
      </c>
      <c r="AJ1006" s="9">
        <v>3.0428788910505911</v>
      </c>
    </row>
    <row r="1007" spans="1:36" x14ac:dyDescent="0.25">
      <c r="A1007" t="s">
        <v>5411</v>
      </c>
      <c r="B1007" t="s">
        <v>16</v>
      </c>
      <c r="C1007" t="s">
        <v>17</v>
      </c>
      <c r="D1007">
        <v>29980000</v>
      </c>
      <c r="E1007">
        <v>29999999</v>
      </c>
      <c r="F1007" t="s">
        <v>849</v>
      </c>
      <c r="G1007" t="str">
        <f t="shared" si="30"/>
        <v>ESI II</v>
      </c>
      <c r="H1007" t="s">
        <v>772</v>
      </c>
      <c r="I1007" t="s">
        <v>20</v>
      </c>
      <c r="J1007" t="s">
        <v>64</v>
      </c>
      <c r="K1007" s="6">
        <v>0.03</v>
      </c>
      <c r="L1007" s="7">
        <f t="shared" si="31"/>
        <v>2E-3</v>
      </c>
      <c r="M1007" s="7">
        <v>3.0000000000000001E-3</v>
      </c>
      <c r="N1007">
        <v>10</v>
      </c>
      <c r="O1007" s="8">
        <v>18.831619796940856</v>
      </c>
      <c r="P1007" s="9">
        <v>18.831619796940856</v>
      </c>
      <c r="Q1007" s="9">
        <v>18.831619796940856</v>
      </c>
      <c r="R1007" s="9">
        <v>19.270228228143885</v>
      </c>
      <c r="S1007" s="9">
        <v>19.533186067089943</v>
      </c>
      <c r="T1007" s="9">
        <v>20.288326244442615</v>
      </c>
      <c r="U1007" s="9">
        <v>21.727692071919854</v>
      </c>
      <c r="V1007" s="9">
        <v>21.727692071919854</v>
      </c>
      <c r="W1007" s="9">
        <v>21.727692071919854</v>
      </c>
      <c r="X1007" s="9">
        <v>23.660574028090565</v>
      </c>
      <c r="Y1007" s="9">
        <v>23.660574028090565</v>
      </c>
      <c r="Z1007" s="9">
        <v>25.663958288360334</v>
      </c>
      <c r="AA1007" s="9">
        <v>25.663958288360334</v>
      </c>
      <c r="AB1007" s="9">
        <v>27.177517246880505</v>
      </c>
      <c r="AC1007" s="9">
        <v>27.177517246880505</v>
      </c>
      <c r="AD1007" s="9">
        <v>31.506881792360829</v>
      </c>
      <c r="AE1007" s="9">
        <v>34.32501712237967</v>
      </c>
      <c r="AF1007" s="9">
        <v>37.236096134957549</v>
      </c>
      <c r="AG1007" s="9">
        <v>37.236096134957549</v>
      </c>
      <c r="AH1007" s="9">
        <v>40.854075194728338</v>
      </c>
      <c r="AI1007" s="9">
        <v>43.816165523709728</v>
      </c>
      <c r="AJ1007" s="9">
        <v>3.0428788910505911</v>
      </c>
    </row>
    <row r="1008" spans="1:36" x14ac:dyDescent="0.25">
      <c r="A1008" t="s">
        <v>5411</v>
      </c>
      <c r="B1008" t="s">
        <v>16</v>
      </c>
      <c r="C1008" t="s">
        <v>17</v>
      </c>
      <c r="D1008">
        <v>30000000</v>
      </c>
      <c r="E1008">
        <v>30099999</v>
      </c>
      <c r="F1008" t="s">
        <v>850</v>
      </c>
      <c r="G1008" t="str">
        <f t="shared" si="30"/>
        <v>MGC</v>
      </c>
      <c r="H1008" t="s">
        <v>851</v>
      </c>
      <c r="I1008" t="s">
        <v>20</v>
      </c>
      <c r="J1008" t="s">
        <v>21</v>
      </c>
      <c r="K1008" s="6">
        <v>0.03</v>
      </c>
      <c r="L1008" s="7">
        <f t="shared" si="31"/>
        <v>2E-3</v>
      </c>
      <c r="M1008" s="7">
        <v>3.0000000000000001E-3</v>
      </c>
      <c r="N1008">
        <v>3</v>
      </c>
      <c r="O1008" s="8">
        <v>9.0302197684294985</v>
      </c>
      <c r="P1008" s="9">
        <v>9.0302197684294985</v>
      </c>
      <c r="Q1008" s="9">
        <v>9.0302197684294985</v>
      </c>
      <c r="R1008" s="9">
        <v>9.0947258437001413</v>
      </c>
      <c r="S1008" s="9">
        <v>9.1596277982174144</v>
      </c>
      <c r="T1008" s="9">
        <v>9.2312581382252521</v>
      </c>
      <c r="U1008" s="9">
        <v>9.56017994708996</v>
      </c>
      <c r="V1008" s="9">
        <v>9.56017994708996</v>
      </c>
      <c r="W1008" s="9">
        <v>9.56017994708996</v>
      </c>
      <c r="X1008" s="9">
        <v>10.193064341962325</v>
      </c>
      <c r="Y1008" s="9">
        <v>10.193064341962325</v>
      </c>
      <c r="Z1008" s="9">
        <v>10.944981390541031</v>
      </c>
      <c r="AA1008" s="9">
        <v>10.944981390541031</v>
      </c>
      <c r="AB1008" s="9">
        <v>11.875047231329289</v>
      </c>
      <c r="AC1008" s="9">
        <v>11.875047231329289</v>
      </c>
      <c r="AD1008" s="9">
        <v>12.620309063069197</v>
      </c>
      <c r="AE1008" s="9">
        <v>13.427440063055712</v>
      </c>
      <c r="AF1008" s="9">
        <v>14.302627148113524</v>
      </c>
      <c r="AG1008" s="9">
        <v>14.302627148113524</v>
      </c>
      <c r="AH1008" s="9">
        <v>15.252675926749765</v>
      </c>
      <c r="AI1008" s="9">
        <v>15.858040079095648</v>
      </c>
      <c r="AJ1008" s="9">
        <v>3.0428788910505911</v>
      </c>
    </row>
    <row r="1009" spans="1:36" x14ac:dyDescent="0.25">
      <c r="A1009" t="s">
        <v>5411</v>
      </c>
      <c r="B1009" t="s">
        <v>16</v>
      </c>
      <c r="C1009" t="s">
        <v>17</v>
      </c>
      <c r="D1009">
        <v>30100000</v>
      </c>
      <c r="E1009">
        <v>30199999</v>
      </c>
      <c r="F1009" t="s">
        <v>850</v>
      </c>
      <c r="G1009" t="str">
        <f t="shared" si="30"/>
        <v>MGC</v>
      </c>
      <c r="H1009" t="s">
        <v>851</v>
      </c>
      <c r="I1009" t="s">
        <v>20</v>
      </c>
      <c r="J1009" t="s">
        <v>21</v>
      </c>
      <c r="K1009" s="6">
        <v>0.03</v>
      </c>
      <c r="L1009" s="7">
        <f t="shared" si="31"/>
        <v>2E-3</v>
      </c>
      <c r="M1009" s="7">
        <v>3.0000000000000001E-3</v>
      </c>
      <c r="N1009">
        <v>3</v>
      </c>
      <c r="O1009" s="8">
        <v>9.0302197684294985</v>
      </c>
      <c r="P1009" s="9">
        <v>9.0302197684294985</v>
      </c>
      <c r="Q1009" s="9">
        <v>9.0302197684294985</v>
      </c>
      <c r="R1009" s="9">
        <v>9.0947258437001413</v>
      </c>
      <c r="S1009" s="9">
        <v>9.1596277982174144</v>
      </c>
      <c r="T1009" s="9">
        <v>9.2312581382252521</v>
      </c>
      <c r="U1009" s="9">
        <v>9.56017994708996</v>
      </c>
      <c r="V1009" s="9">
        <v>9.56017994708996</v>
      </c>
      <c r="W1009" s="9">
        <v>9.56017994708996</v>
      </c>
      <c r="X1009" s="9">
        <v>10.193064341962325</v>
      </c>
      <c r="Y1009" s="9">
        <v>10.193064341962325</v>
      </c>
      <c r="Z1009" s="9">
        <v>10.944981390541031</v>
      </c>
      <c r="AA1009" s="9">
        <v>10.944981390541031</v>
      </c>
      <c r="AB1009" s="9">
        <v>11.875047231329289</v>
      </c>
      <c r="AC1009" s="9">
        <v>11.875047231329289</v>
      </c>
      <c r="AD1009" s="9">
        <v>12.620309063069197</v>
      </c>
      <c r="AE1009" s="9">
        <v>13.427440063055712</v>
      </c>
      <c r="AF1009" s="9">
        <v>14.302627148113524</v>
      </c>
      <c r="AG1009" s="9">
        <v>14.302627148113524</v>
      </c>
      <c r="AH1009" s="9">
        <v>15.252675926749765</v>
      </c>
      <c r="AI1009" s="9">
        <v>15.858040079095648</v>
      </c>
      <c r="AJ1009" s="9">
        <v>3.0428788910505911</v>
      </c>
    </row>
    <row r="1010" spans="1:36" x14ac:dyDescent="0.25">
      <c r="A1010" t="s">
        <v>5411</v>
      </c>
      <c r="B1010" t="s">
        <v>16</v>
      </c>
      <c r="C1010" t="s">
        <v>17</v>
      </c>
      <c r="D1010">
        <v>30200000</v>
      </c>
      <c r="E1010">
        <v>30299999</v>
      </c>
      <c r="F1010" t="s">
        <v>850</v>
      </c>
      <c r="G1010" t="str">
        <f t="shared" si="30"/>
        <v>MGC</v>
      </c>
      <c r="H1010" t="s">
        <v>851</v>
      </c>
      <c r="I1010" t="s">
        <v>20</v>
      </c>
      <c r="J1010" t="s">
        <v>21</v>
      </c>
      <c r="K1010" s="6">
        <v>0.03</v>
      </c>
      <c r="L1010" s="7">
        <f t="shared" si="31"/>
        <v>2E-3</v>
      </c>
      <c r="M1010" s="7">
        <v>3.0000000000000001E-3</v>
      </c>
      <c r="N1010">
        <v>3</v>
      </c>
      <c r="O1010" s="8">
        <v>9.0302197684294985</v>
      </c>
      <c r="P1010" s="9">
        <v>9.0302197684294985</v>
      </c>
      <c r="Q1010" s="9">
        <v>9.0302197684294985</v>
      </c>
      <c r="R1010" s="9">
        <v>9.0947258437001413</v>
      </c>
      <c r="S1010" s="9">
        <v>9.1596277982174144</v>
      </c>
      <c r="T1010" s="9">
        <v>9.2312581382252521</v>
      </c>
      <c r="U1010" s="9">
        <v>9.56017994708996</v>
      </c>
      <c r="V1010" s="9">
        <v>9.56017994708996</v>
      </c>
      <c r="W1010" s="9">
        <v>9.56017994708996</v>
      </c>
      <c r="X1010" s="9">
        <v>10.193064341962325</v>
      </c>
      <c r="Y1010" s="9">
        <v>10.193064341962325</v>
      </c>
      <c r="Z1010" s="9">
        <v>10.944981390541031</v>
      </c>
      <c r="AA1010" s="9">
        <v>10.944981390541031</v>
      </c>
      <c r="AB1010" s="9">
        <v>11.875047231329289</v>
      </c>
      <c r="AC1010" s="9">
        <v>11.875047231329289</v>
      </c>
      <c r="AD1010" s="9">
        <v>12.620309063069197</v>
      </c>
      <c r="AE1010" s="9">
        <v>13.427440063055712</v>
      </c>
      <c r="AF1010" s="9">
        <v>14.302627148113524</v>
      </c>
      <c r="AG1010" s="9">
        <v>14.302627148113524</v>
      </c>
      <c r="AH1010" s="9">
        <v>15.252675926749765</v>
      </c>
      <c r="AI1010" s="9">
        <v>15.858040079095648</v>
      </c>
      <c r="AJ1010" s="9">
        <v>3.0428788910505911</v>
      </c>
    </row>
    <row r="1011" spans="1:36" x14ac:dyDescent="0.25">
      <c r="A1011" t="s">
        <v>5411</v>
      </c>
      <c r="B1011" t="s">
        <v>16</v>
      </c>
      <c r="C1011" t="s">
        <v>17</v>
      </c>
      <c r="D1011">
        <v>30300000</v>
      </c>
      <c r="E1011">
        <v>30399999</v>
      </c>
      <c r="F1011" t="s">
        <v>850</v>
      </c>
      <c r="G1011" t="str">
        <f t="shared" si="30"/>
        <v>MGC</v>
      </c>
      <c r="H1011" t="s">
        <v>851</v>
      </c>
      <c r="I1011" t="s">
        <v>20</v>
      </c>
      <c r="J1011" t="s">
        <v>21</v>
      </c>
      <c r="K1011" s="6">
        <v>0.03</v>
      </c>
      <c r="L1011" s="7">
        <f t="shared" si="31"/>
        <v>2E-3</v>
      </c>
      <c r="M1011" s="7">
        <v>3.0000000000000001E-3</v>
      </c>
      <c r="N1011">
        <v>3</v>
      </c>
      <c r="O1011" s="8">
        <v>9.0302197684294985</v>
      </c>
      <c r="P1011" s="9">
        <v>9.0302197684294985</v>
      </c>
      <c r="Q1011" s="9">
        <v>9.0302197684294985</v>
      </c>
      <c r="R1011" s="9">
        <v>9.0947258437001413</v>
      </c>
      <c r="S1011" s="9">
        <v>9.1596277982174144</v>
      </c>
      <c r="T1011" s="9">
        <v>9.2312581382252521</v>
      </c>
      <c r="U1011" s="9">
        <v>9.56017994708996</v>
      </c>
      <c r="V1011" s="9">
        <v>9.56017994708996</v>
      </c>
      <c r="W1011" s="9">
        <v>9.56017994708996</v>
      </c>
      <c r="X1011" s="9">
        <v>10.193064341962325</v>
      </c>
      <c r="Y1011" s="9">
        <v>10.193064341962325</v>
      </c>
      <c r="Z1011" s="9">
        <v>10.944981390541031</v>
      </c>
      <c r="AA1011" s="9">
        <v>10.944981390541031</v>
      </c>
      <c r="AB1011" s="9">
        <v>11.875047231329289</v>
      </c>
      <c r="AC1011" s="9">
        <v>11.875047231329289</v>
      </c>
      <c r="AD1011" s="9">
        <v>12.620309063069197</v>
      </c>
      <c r="AE1011" s="9">
        <v>13.427440063055712</v>
      </c>
      <c r="AF1011" s="9">
        <v>14.302627148113524</v>
      </c>
      <c r="AG1011" s="9">
        <v>14.302627148113524</v>
      </c>
      <c r="AH1011" s="9">
        <v>15.252675926749765</v>
      </c>
      <c r="AI1011" s="9">
        <v>15.858040079095648</v>
      </c>
      <c r="AJ1011" s="9">
        <v>3.0428788910505911</v>
      </c>
    </row>
    <row r="1012" spans="1:36" x14ac:dyDescent="0.25">
      <c r="A1012" t="s">
        <v>5411</v>
      </c>
      <c r="B1012" t="s">
        <v>16</v>
      </c>
      <c r="C1012" t="s">
        <v>17</v>
      </c>
      <c r="D1012">
        <v>30400000</v>
      </c>
      <c r="E1012">
        <v>30499999</v>
      </c>
      <c r="F1012" t="s">
        <v>850</v>
      </c>
      <c r="G1012" t="str">
        <f t="shared" si="30"/>
        <v>MGC</v>
      </c>
      <c r="H1012" t="s">
        <v>851</v>
      </c>
      <c r="I1012" t="s">
        <v>20</v>
      </c>
      <c r="J1012" t="s">
        <v>21</v>
      </c>
      <c r="K1012" s="6">
        <v>0.03</v>
      </c>
      <c r="L1012" s="7">
        <f t="shared" si="31"/>
        <v>2E-3</v>
      </c>
      <c r="M1012" s="7">
        <v>3.0000000000000001E-3</v>
      </c>
      <c r="N1012">
        <v>3</v>
      </c>
      <c r="O1012" s="8">
        <v>9.0302197684294985</v>
      </c>
      <c r="P1012" s="9">
        <v>9.0302197684294985</v>
      </c>
      <c r="Q1012" s="9">
        <v>9.0302197684294985</v>
      </c>
      <c r="R1012" s="9">
        <v>9.0947258437001413</v>
      </c>
      <c r="S1012" s="9">
        <v>9.1596277982174144</v>
      </c>
      <c r="T1012" s="9">
        <v>9.2312581382252521</v>
      </c>
      <c r="U1012" s="9">
        <v>9.56017994708996</v>
      </c>
      <c r="V1012" s="9">
        <v>9.56017994708996</v>
      </c>
      <c r="W1012" s="9">
        <v>9.56017994708996</v>
      </c>
      <c r="X1012" s="9">
        <v>10.193064341962325</v>
      </c>
      <c r="Y1012" s="9">
        <v>10.193064341962325</v>
      </c>
      <c r="Z1012" s="9">
        <v>10.944981390541031</v>
      </c>
      <c r="AA1012" s="9">
        <v>10.944981390541031</v>
      </c>
      <c r="AB1012" s="9">
        <v>11.875047231329289</v>
      </c>
      <c r="AC1012" s="9">
        <v>11.875047231329289</v>
      </c>
      <c r="AD1012" s="9">
        <v>12.620309063069197</v>
      </c>
      <c r="AE1012" s="9">
        <v>13.427440063055712</v>
      </c>
      <c r="AF1012" s="9">
        <v>14.302627148113524</v>
      </c>
      <c r="AG1012" s="9">
        <v>14.302627148113524</v>
      </c>
      <c r="AH1012" s="9">
        <v>15.252675926749765</v>
      </c>
      <c r="AI1012" s="9">
        <v>15.858040079095648</v>
      </c>
      <c r="AJ1012" s="9">
        <v>3.0428788910505911</v>
      </c>
    </row>
    <row r="1013" spans="1:36" x14ac:dyDescent="0.25">
      <c r="A1013" t="s">
        <v>5411</v>
      </c>
      <c r="B1013" t="s">
        <v>16</v>
      </c>
      <c r="C1013" t="s">
        <v>17</v>
      </c>
      <c r="D1013">
        <v>30500000</v>
      </c>
      <c r="E1013">
        <v>30599999</v>
      </c>
      <c r="F1013" t="s">
        <v>850</v>
      </c>
      <c r="G1013" t="str">
        <f t="shared" si="30"/>
        <v>MGC</v>
      </c>
      <c r="H1013" t="s">
        <v>851</v>
      </c>
      <c r="I1013" t="s">
        <v>20</v>
      </c>
      <c r="J1013" t="s">
        <v>21</v>
      </c>
      <c r="K1013" s="6">
        <v>0.03</v>
      </c>
      <c r="L1013" s="7">
        <f t="shared" si="31"/>
        <v>2E-3</v>
      </c>
      <c r="M1013" s="7">
        <v>3.0000000000000001E-3</v>
      </c>
      <c r="N1013">
        <v>3</v>
      </c>
      <c r="O1013" s="8">
        <v>9.0302197684294985</v>
      </c>
      <c r="P1013" s="9">
        <v>9.0302197684294985</v>
      </c>
      <c r="Q1013" s="9">
        <v>9.0302197684294985</v>
      </c>
      <c r="R1013" s="9">
        <v>9.0947258437001413</v>
      </c>
      <c r="S1013" s="9">
        <v>9.1596277982174144</v>
      </c>
      <c r="T1013" s="9">
        <v>9.2312581382252521</v>
      </c>
      <c r="U1013" s="9">
        <v>9.56017994708996</v>
      </c>
      <c r="V1013" s="9">
        <v>9.56017994708996</v>
      </c>
      <c r="W1013" s="9">
        <v>9.56017994708996</v>
      </c>
      <c r="X1013" s="9">
        <v>10.193064341962325</v>
      </c>
      <c r="Y1013" s="9">
        <v>10.193064341962325</v>
      </c>
      <c r="Z1013" s="9">
        <v>10.944981390541031</v>
      </c>
      <c r="AA1013" s="9">
        <v>10.944981390541031</v>
      </c>
      <c r="AB1013" s="9">
        <v>11.875047231329289</v>
      </c>
      <c r="AC1013" s="9">
        <v>11.875047231329289</v>
      </c>
      <c r="AD1013" s="9">
        <v>12.620309063069197</v>
      </c>
      <c r="AE1013" s="9">
        <v>13.427440063055712</v>
      </c>
      <c r="AF1013" s="9">
        <v>14.302627148113524</v>
      </c>
      <c r="AG1013" s="9">
        <v>14.302627148113524</v>
      </c>
      <c r="AH1013" s="9">
        <v>15.252675926749765</v>
      </c>
      <c r="AI1013" s="9">
        <v>15.858040079095648</v>
      </c>
      <c r="AJ1013" s="9">
        <v>3.0428788910505911</v>
      </c>
    </row>
    <row r="1014" spans="1:36" x14ac:dyDescent="0.25">
      <c r="A1014" t="s">
        <v>5411</v>
      </c>
      <c r="B1014" t="s">
        <v>16</v>
      </c>
      <c r="C1014" t="s">
        <v>17</v>
      </c>
      <c r="D1014">
        <v>30600000</v>
      </c>
      <c r="E1014">
        <v>30699999</v>
      </c>
      <c r="F1014" t="s">
        <v>850</v>
      </c>
      <c r="G1014" t="str">
        <f t="shared" si="30"/>
        <v>MGC</v>
      </c>
      <c r="H1014" t="s">
        <v>851</v>
      </c>
      <c r="I1014" t="s">
        <v>20</v>
      </c>
      <c r="J1014" t="s">
        <v>21</v>
      </c>
      <c r="K1014" s="6">
        <v>0.03</v>
      </c>
      <c r="L1014" s="7">
        <f t="shared" si="31"/>
        <v>2E-3</v>
      </c>
      <c r="M1014" s="7">
        <v>3.0000000000000001E-3</v>
      </c>
      <c r="N1014">
        <v>3</v>
      </c>
      <c r="O1014" s="8">
        <v>9.0302197684294985</v>
      </c>
      <c r="P1014" s="9">
        <v>9.0302197684294985</v>
      </c>
      <c r="Q1014" s="9">
        <v>9.0302197684294985</v>
      </c>
      <c r="R1014" s="9">
        <v>9.0947258437001413</v>
      </c>
      <c r="S1014" s="9">
        <v>9.1596277982174144</v>
      </c>
      <c r="T1014" s="9">
        <v>9.2312581382252521</v>
      </c>
      <c r="U1014" s="9">
        <v>9.56017994708996</v>
      </c>
      <c r="V1014" s="9">
        <v>9.56017994708996</v>
      </c>
      <c r="W1014" s="9">
        <v>9.56017994708996</v>
      </c>
      <c r="X1014" s="9">
        <v>10.193064341962325</v>
      </c>
      <c r="Y1014" s="9">
        <v>10.193064341962325</v>
      </c>
      <c r="Z1014" s="9">
        <v>10.944981390541031</v>
      </c>
      <c r="AA1014" s="9">
        <v>10.944981390541031</v>
      </c>
      <c r="AB1014" s="9">
        <v>11.875047231329289</v>
      </c>
      <c r="AC1014" s="9">
        <v>11.875047231329289</v>
      </c>
      <c r="AD1014" s="9">
        <v>12.620309063069197</v>
      </c>
      <c r="AE1014" s="9">
        <v>13.427440063055712</v>
      </c>
      <c r="AF1014" s="9">
        <v>14.302627148113524</v>
      </c>
      <c r="AG1014" s="9">
        <v>14.302627148113524</v>
      </c>
      <c r="AH1014" s="9">
        <v>15.252675926749765</v>
      </c>
      <c r="AI1014" s="9">
        <v>15.858040079095648</v>
      </c>
      <c r="AJ1014" s="9">
        <v>3.0428788910505911</v>
      </c>
    </row>
    <row r="1015" spans="1:36" x14ac:dyDescent="0.25">
      <c r="A1015" t="s">
        <v>5411</v>
      </c>
      <c r="B1015" t="s">
        <v>16</v>
      </c>
      <c r="C1015" t="s">
        <v>17</v>
      </c>
      <c r="D1015">
        <v>30700000</v>
      </c>
      <c r="E1015">
        <v>30799999</v>
      </c>
      <c r="F1015" t="s">
        <v>850</v>
      </c>
      <c r="G1015" t="str">
        <f t="shared" si="30"/>
        <v>MGC</v>
      </c>
      <c r="H1015" t="s">
        <v>851</v>
      </c>
      <c r="I1015" t="s">
        <v>20</v>
      </c>
      <c r="J1015" t="s">
        <v>21</v>
      </c>
      <c r="K1015" s="6">
        <v>0.03</v>
      </c>
      <c r="L1015" s="7">
        <f t="shared" si="31"/>
        <v>2E-3</v>
      </c>
      <c r="M1015" s="7">
        <v>3.0000000000000001E-3</v>
      </c>
      <c r="N1015">
        <v>3</v>
      </c>
      <c r="O1015" s="8">
        <v>9.0302197684294985</v>
      </c>
      <c r="P1015" s="9">
        <v>9.0302197684294985</v>
      </c>
      <c r="Q1015" s="9">
        <v>9.0302197684294985</v>
      </c>
      <c r="R1015" s="9">
        <v>9.0947258437001413</v>
      </c>
      <c r="S1015" s="9">
        <v>9.1596277982174144</v>
      </c>
      <c r="T1015" s="9">
        <v>9.2312581382252521</v>
      </c>
      <c r="U1015" s="9">
        <v>9.56017994708996</v>
      </c>
      <c r="V1015" s="9">
        <v>9.56017994708996</v>
      </c>
      <c r="W1015" s="9">
        <v>9.56017994708996</v>
      </c>
      <c r="X1015" s="9">
        <v>10.193064341962325</v>
      </c>
      <c r="Y1015" s="9">
        <v>10.193064341962325</v>
      </c>
      <c r="Z1015" s="9">
        <v>10.944981390541031</v>
      </c>
      <c r="AA1015" s="9">
        <v>10.944981390541031</v>
      </c>
      <c r="AB1015" s="9">
        <v>11.875047231329289</v>
      </c>
      <c r="AC1015" s="9">
        <v>11.875047231329289</v>
      </c>
      <c r="AD1015" s="9">
        <v>12.620309063069197</v>
      </c>
      <c r="AE1015" s="9">
        <v>13.427440063055712</v>
      </c>
      <c r="AF1015" s="9">
        <v>14.302627148113524</v>
      </c>
      <c r="AG1015" s="9">
        <v>14.302627148113524</v>
      </c>
      <c r="AH1015" s="9">
        <v>15.252675926749765</v>
      </c>
      <c r="AI1015" s="9">
        <v>15.858040079095648</v>
      </c>
      <c r="AJ1015" s="9">
        <v>3.0428788910505911</v>
      </c>
    </row>
    <row r="1016" spans="1:36" x14ac:dyDescent="0.25">
      <c r="A1016" t="s">
        <v>5411</v>
      </c>
      <c r="B1016" t="s">
        <v>16</v>
      </c>
      <c r="C1016" t="s">
        <v>17</v>
      </c>
      <c r="D1016">
        <v>30800000</v>
      </c>
      <c r="E1016">
        <v>30999999</v>
      </c>
      <c r="F1016" t="s">
        <v>850</v>
      </c>
      <c r="G1016" t="str">
        <f t="shared" si="30"/>
        <v>MGC</v>
      </c>
      <c r="H1016" t="s">
        <v>851</v>
      </c>
      <c r="I1016" t="s">
        <v>20</v>
      </c>
      <c r="J1016" t="s">
        <v>21</v>
      </c>
      <c r="K1016" s="6">
        <v>0.03</v>
      </c>
      <c r="L1016" s="7">
        <f t="shared" si="31"/>
        <v>2E-3</v>
      </c>
      <c r="M1016" s="7">
        <v>3.0000000000000001E-3</v>
      </c>
      <c r="N1016">
        <v>3</v>
      </c>
      <c r="O1016" s="8">
        <v>9.0302197684294985</v>
      </c>
      <c r="P1016" s="9">
        <v>9.0302197684294985</v>
      </c>
      <c r="Q1016" s="9">
        <v>9.0302197684294985</v>
      </c>
      <c r="R1016" s="9">
        <v>9.0947258437001413</v>
      </c>
      <c r="S1016" s="9">
        <v>9.1596277982174144</v>
      </c>
      <c r="T1016" s="9">
        <v>9.2312581382252521</v>
      </c>
      <c r="U1016" s="9">
        <v>9.56017994708996</v>
      </c>
      <c r="V1016" s="9">
        <v>9.56017994708996</v>
      </c>
      <c r="W1016" s="9">
        <v>9.56017994708996</v>
      </c>
      <c r="X1016" s="9">
        <v>10.193064341962325</v>
      </c>
      <c r="Y1016" s="9">
        <v>10.193064341962325</v>
      </c>
      <c r="Z1016" s="9">
        <v>10.944981390541031</v>
      </c>
      <c r="AA1016" s="9">
        <v>10.944981390541031</v>
      </c>
      <c r="AB1016" s="9">
        <v>11.875047231329289</v>
      </c>
      <c r="AC1016" s="9">
        <v>11.875047231329289</v>
      </c>
      <c r="AD1016" s="9">
        <v>12.620309063069197</v>
      </c>
      <c r="AE1016" s="9">
        <v>13.427440063055712</v>
      </c>
      <c r="AF1016" s="9">
        <v>14.302627148113524</v>
      </c>
      <c r="AG1016" s="9">
        <v>14.302627148113524</v>
      </c>
      <c r="AH1016" s="9">
        <v>15.252675926749765</v>
      </c>
      <c r="AI1016" s="9">
        <v>15.858040079095648</v>
      </c>
      <c r="AJ1016" s="9">
        <v>3.0428788910505911</v>
      </c>
    </row>
    <row r="1017" spans="1:36" x14ac:dyDescent="0.25">
      <c r="A1017" t="s">
        <v>5411</v>
      </c>
      <c r="B1017" t="s">
        <v>16</v>
      </c>
      <c r="C1017" t="s">
        <v>17</v>
      </c>
      <c r="D1017">
        <v>31000000</v>
      </c>
      <c r="E1017">
        <v>31099999</v>
      </c>
      <c r="F1017" t="s">
        <v>850</v>
      </c>
      <c r="G1017" t="str">
        <f t="shared" si="30"/>
        <v>MGC</v>
      </c>
      <c r="H1017" t="s">
        <v>851</v>
      </c>
      <c r="I1017" t="s">
        <v>20</v>
      </c>
      <c r="J1017" t="s">
        <v>21</v>
      </c>
      <c r="K1017" s="6">
        <v>0.03</v>
      </c>
      <c r="L1017" s="7">
        <f t="shared" si="31"/>
        <v>2E-3</v>
      </c>
      <c r="M1017" s="7">
        <v>3.0000000000000001E-3</v>
      </c>
      <c r="N1017">
        <v>3</v>
      </c>
      <c r="O1017" s="8">
        <v>9.0302197684294985</v>
      </c>
      <c r="P1017" s="9">
        <v>9.0302197684294985</v>
      </c>
      <c r="Q1017" s="9">
        <v>9.0302197684294985</v>
      </c>
      <c r="R1017" s="9">
        <v>9.0947258437001413</v>
      </c>
      <c r="S1017" s="9">
        <v>9.1596277982174144</v>
      </c>
      <c r="T1017" s="9">
        <v>9.2312581382252521</v>
      </c>
      <c r="U1017" s="9">
        <v>9.56017994708996</v>
      </c>
      <c r="V1017" s="9">
        <v>9.56017994708996</v>
      </c>
      <c r="W1017" s="9">
        <v>9.56017994708996</v>
      </c>
      <c r="X1017" s="9">
        <v>10.193064341962325</v>
      </c>
      <c r="Y1017" s="9">
        <v>10.193064341962325</v>
      </c>
      <c r="Z1017" s="9">
        <v>10.944981390541031</v>
      </c>
      <c r="AA1017" s="9">
        <v>10.944981390541031</v>
      </c>
      <c r="AB1017" s="9">
        <v>11.875047231329289</v>
      </c>
      <c r="AC1017" s="9">
        <v>11.875047231329289</v>
      </c>
      <c r="AD1017" s="9">
        <v>12.620309063069197</v>
      </c>
      <c r="AE1017" s="9">
        <v>13.427440063055712</v>
      </c>
      <c r="AF1017" s="9">
        <v>14.302627148113524</v>
      </c>
      <c r="AG1017" s="9">
        <v>14.302627148113524</v>
      </c>
      <c r="AH1017" s="9">
        <v>15.252675926749765</v>
      </c>
      <c r="AI1017" s="9">
        <v>15.858040079095648</v>
      </c>
      <c r="AJ1017" s="9">
        <v>3.0428788910505911</v>
      </c>
    </row>
    <row r="1018" spans="1:36" x14ac:dyDescent="0.25">
      <c r="A1018" t="s">
        <v>5411</v>
      </c>
      <c r="B1018" t="s">
        <v>16</v>
      </c>
      <c r="C1018" t="s">
        <v>17</v>
      </c>
      <c r="D1018">
        <v>31100000</v>
      </c>
      <c r="E1018">
        <v>31199999</v>
      </c>
      <c r="F1018" t="s">
        <v>850</v>
      </c>
      <c r="G1018" t="str">
        <f t="shared" si="30"/>
        <v>MGC</v>
      </c>
      <c r="H1018" t="s">
        <v>851</v>
      </c>
      <c r="I1018" t="s">
        <v>20</v>
      </c>
      <c r="J1018" t="s">
        <v>21</v>
      </c>
      <c r="K1018" s="6">
        <v>0.03</v>
      </c>
      <c r="L1018" s="7">
        <f t="shared" si="31"/>
        <v>2E-3</v>
      </c>
      <c r="M1018" s="7">
        <v>3.0000000000000001E-3</v>
      </c>
      <c r="N1018">
        <v>3</v>
      </c>
      <c r="O1018" s="8">
        <v>9.0302197684294985</v>
      </c>
      <c r="P1018" s="9">
        <v>9.0302197684294985</v>
      </c>
      <c r="Q1018" s="9">
        <v>9.0302197684294985</v>
      </c>
      <c r="R1018" s="9">
        <v>9.0947258437001413</v>
      </c>
      <c r="S1018" s="9">
        <v>9.1596277982174144</v>
      </c>
      <c r="T1018" s="9">
        <v>9.2312581382252521</v>
      </c>
      <c r="U1018" s="9">
        <v>9.56017994708996</v>
      </c>
      <c r="V1018" s="9">
        <v>9.56017994708996</v>
      </c>
      <c r="W1018" s="9">
        <v>9.56017994708996</v>
      </c>
      <c r="X1018" s="9">
        <v>10.193064341962325</v>
      </c>
      <c r="Y1018" s="9">
        <v>10.193064341962325</v>
      </c>
      <c r="Z1018" s="9">
        <v>10.944981390541031</v>
      </c>
      <c r="AA1018" s="9">
        <v>10.944981390541031</v>
      </c>
      <c r="AB1018" s="9">
        <v>11.875047231329289</v>
      </c>
      <c r="AC1018" s="9">
        <v>11.875047231329289</v>
      </c>
      <c r="AD1018" s="9">
        <v>12.620309063069197</v>
      </c>
      <c r="AE1018" s="9">
        <v>13.427440063055712</v>
      </c>
      <c r="AF1018" s="9">
        <v>14.302627148113524</v>
      </c>
      <c r="AG1018" s="9">
        <v>14.302627148113524</v>
      </c>
      <c r="AH1018" s="9">
        <v>15.252675926749765</v>
      </c>
      <c r="AI1018" s="9">
        <v>15.858040079095648</v>
      </c>
      <c r="AJ1018" s="9">
        <v>3.0428788910505911</v>
      </c>
    </row>
    <row r="1019" spans="1:36" x14ac:dyDescent="0.25">
      <c r="A1019" t="s">
        <v>5411</v>
      </c>
      <c r="B1019" t="s">
        <v>16</v>
      </c>
      <c r="C1019" t="s">
        <v>17</v>
      </c>
      <c r="D1019">
        <v>31200000</v>
      </c>
      <c r="E1019">
        <v>31299999</v>
      </c>
      <c r="F1019" t="s">
        <v>850</v>
      </c>
      <c r="G1019" t="str">
        <f t="shared" si="30"/>
        <v>MGC</v>
      </c>
      <c r="H1019" t="s">
        <v>851</v>
      </c>
      <c r="I1019" t="s">
        <v>20</v>
      </c>
      <c r="J1019" t="s">
        <v>21</v>
      </c>
      <c r="K1019" s="6">
        <v>0.03</v>
      </c>
      <c r="L1019" s="7">
        <f t="shared" si="31"/>
        <v>2E-3</v>
      </c>
      <c r="M1019" s="7">
        <v>3.0000000000000001E-3</v>
      </c>
      <c r="N1019">
        <v>3</v>
      </c>
      <c r="O1019" s="8">
        <v>9.0302197684294985</v>
      </c>
      <c r="P1019" s="9">
        <v>9.0302197684294985</v>
      </c>
      <c r="Q1019" s="9">
        <v>9.0302197684294985</v>
      </c>
      <c r="R1019" s="9">
        <v>9.0947258437001413</v>
      </c>
      <c r="S1019" s="9">
        <v>9.1596277982174144</v>
      </c>
      <c r="T1019" s="9">
        <v>9.2312581382252521</v>
      </c>
      <c r="U1019" s="9">
        <v>9.56017994708996</v>
      </c>
      <c r="V1019" s="9">
        <v>9.56017994708996</v>
      </c>
      <c r="W1019" s="9">
        <v>9.56017994708996</v>
      </c>
      <c r="X1019" s="9">
        <v>10.193064341962325</v>
      </c>
      <c r="Y1019" s="9">
        <v>10.193064341962325</v>
      </c>
      <c r="Z1019" s="9">
        <v>10.944981390541031</v>
      </c>
      <c r="AA1019" s="9">
        <v>10.944981390541031</v>
      </c>
      <c r="AB1019" s="9">
        <v>11.875047231329289</v>
      </c>
      <c r="AC1019" s="9">
        <v>11.875047231329289</v>
      </c>
      <c r="AD1019" s="9">
        <v>12.620309063069197</v>
      </c>
      <c r="AE1019" s="9">
        <v>13.427440063055712</v>
      </c>
      <c r="AF1019" s="9">
        <v>14.302627148113524</v>
      </c>
      <c r="AG1019" s="9">
        <v>14.302627148113524</v>
      </c>
      <c r="AH1019" s="9">
        <v>15.252675926749765</v>
      </c>
      <c r="AI1019" s="9">
        <v>15.858040079095648</v>
      </c>
      <c r="AJ1019" s="9">
        <v>3.0428788910505911</v>
      </c>
    </row>
    <row r="1020" spans="1:36" x14ac:dyDescent="0.25">
      <c r="A1020" t="s">
        <v>5411</v>
      </c>
      <c r="B1020" t="s">
        <v>16</v>
      </c>
      <c r="C1020" t="s">
        <v>17</v>
      </c>
      <c r="D1020">
        <v>31300000</v>
      </c>
      <c r="E1020">
        <v>31499999</v>
      </c>
      <c r="F1020" t="s">
        <v>850</v>
      </c>
      <c r="G1020" t="str">
        <f t="shared" si="30"/>
        <v>MGC</v>
      </c>
      <c r="H1020" t="s">
        <v>851</v>
      </c>
      <c r="I1020" t="s">
        <v>20</v>
      </c>
      <c r="J1020" t="s">
        <v>21</v>
      </c>
      <c r="K1020" s="6">
        <v>0.03</v>
      </c>
      <c r="L1020" s="7">
        <f t="shared" si="31"/>
        <v>2E-3</v>
      </c>
      <c r="M1020" s="7">
        <v>3.0000000000000001E-3</v>
      </c>
      <c r="N1020">
        <v>3</v>
      </c>
      <c r="O1020" s="8">
        <v>9.0302197684294985</v>
      </c>
      <c r="P1020" s="9">
        <v>9.0302197684294985</v>
      </c>
      <c r="Q1020" s="9">
        <v>9.0302197684294985</v>
      </c>
      <c r="R1020" s="9">
        <v>9.0947258437001413</v>
      </c>
      <c r="S1020" s="9">
        <v>9.1596277982174144</v>
      </c>
      <c r="T1020" s="9">
        <v>9.2312581382252521</v>
      </c>
      <c r="U1020" s="9">
        <v>9.56017994708996</v>
      </c>
      <c r="V1020" s="9">
        <v>9.56017994708996</v>
      </c>
      <c r="W1020" s="9">
        <v>9.56017994708996</v>
      </c>
      <c r="X1020" s="9">
        <v>10.193064341962325</v>
      </c>
      <c r="Y1020" s="9">
        <v>10.193064341962325</v>
      </c>
      <c r="Z1020" s="9">
        <v>10.944981390541031</v>
      </c>
      <c r="AA1020" s="9">
        <v>10.944981390541031</v>
      </c>
      <c r="AB1020" s="9">
        <v>11.875047231329289</v>
      </c>
      <c r="AC1020" s="9">
        <v>11.875047231329289</v>
      </c>
      <c r="AD1020" s="9">
        <v>12.620309063069197</v>
      </c>
      <c r="AE1020" s="9">
        <v>13.427440063055712</v>
      </c>
      <c r="AF1020" s="9">
        <v>14.302627148113524</v>
      </c>
      <c r="AG1020" s="9">
        <v>14.302627148113524</v>
      </c>
      <c r="AH1020" s="9">
        <v>15.252675926749765</v>
      </c>
      <c r="AI1020" s="9">
        <v>15.858040079095648</v>
      </c>
      <c r="AJ1020" s="9">
        <v>3.0428788910505911</v>
      </c>
    </row>
    <row r="1021" spans="1:36" x14ac:dyDescent="0.25">
      <c r="A1021" t="s">
        <v>5411</v>
      </c>
      <c r="B1021" t="s">
        <v>16</v>
      </c>
      <c r="C1021" t="s">
        <v>17</v>
      </c>
      <c r="D1021">
        <v>31500000</v>
      </c>
      <c r="E1021">
        <v>31599999</v>
      </c>
      <c r="F1021" t="s">
        <v>850</v>
      </c>
      <c r="G1021" t="str">
        <f t="shared" si="30"/>
        <v>MGC</v>
      </c>
      <c r="H1021" t="s">
        <v>851</v>
      </c>
      <c r="I1021" t="s">
        <v>20</v>
      </c>
      <c r="J1021" t="s">
        <v>21</v>
      </c>
      <c r="K1021" s="6">
        <v>0.03</v>
      </c>
      <c r="L1021" s="7">
        <f t="shared" si="31"/>
        <v>2E-3</v>
      </c>
      <c r="M1021" s="7">
        <v>3.0000000000000001E-3</v>
      </c>
      <c r="N1021">
        <v>3</v>
      </c>
      <c r="O1021" s="8">
        <v>9.0302197684294985</v>
      </c>
      <c r="P1021" s="9">
        <v>9.0302197684294985</v>
      </c>
      <c r="Q1021" s="9">
        <v>9.0302197684294985</v>
      </c>
      <c r="R1021" s="9">
        <v>9.0947258437001413</v>
      </c>
      <c r="S1021" s="9">
        <v>9.1596277982174144</v>
      </c>
      <c r="T1021" s="9">
        <v>9.2312581382252521</v>
      </c>
      <c r="U1021" s="9">
        <v>9.56017994708996</v>
      </c>
      <c r="V1021" s="9">
        <v>9.56017994708996</v>
      </c>
      <c r="W1021" s="9">
        <v>9.56017994708996</v>
      </c>
      <c r="X1021" s="9">
        <v>10.193064341962325</v>
      </c>
      <c r="Y1021" s="9">
        <v>10.193064341962325</v>
      </c>
      <c r="Z1021" s="9">
        <v>10.944981390541031</v>
      </c>
      <c r="AA1021" s="9">
        <v>10.944981390541031</v>
      </c>
      <c r="AB1021" s="9">
        <v>11.875047231329289</v>
      </c>
      <c r="AC1021" s="9">
        <v>11.875047231329289</v>
      </c>
      <c r="AD1021" s="9">
        <v>12.620309063069197</v>
      </c>
      <c r="AE1021" s="9">
        <v>13.427440063055712</v>
      </c>
      <c r="AF1021" s="9">
        <v>14.302627148113524</v>
      </c>
      <c r="AG1021" s="9">
        <v>14.302627148113524</v>
      </c>
      <c r="AH1021" s="9">
        <v>15.252675926749765</v>
      </c>
      <c r="AI1021" s="9">
        <v>15.858040079095648</v>
      </c>
      <c r="AJ1021" s="9">
        <v>3.0428788910505911</v>
      </c>
    </row>
    <row r="1022" spans="1:36" x14ac:dyDescent="0.25">
      <c r="A1022" t="s">
        <v>5411</v>
      </c>
      <c r="B1022" t="s">
        <v>16</v>
      </c>
      <c r="C1022" t="s">
        <v>17</v>
      </c>
      <c r="D1022">
        <v>31600000</v>
      </c>
      <c r="E1022">
        <v>31699999</v>
      </c>
      <c r="F1022" t="s">
        <v>850</v>
      </c>
      <c r="G1022" t="str">
        <f t="shared" si="30"/>
        <v>MGC</v>
      </c>
      <c r="H1022" t="s">
        <v>851</v>
      </c>
      <c r="I1022" t="s">
        <v>20</v>
      </c>
      <c r="J1022" t="s">
        <v>21</v>
      </c>
      <c r="K1022" s="6">
        <v>0.03</v>
      </c>
      <c r="L1022" s="7">
        <f t="shared" si="31"/>
        <v>2E-3</v>
      </c>
      <c r="M1022" s="7">
        <v>3.0000000000000001E-3</v>
      </c>
      <c r="N1022">
        <v>3</v>
      </c>
      <c r="O1022" s="8">
        <v>9.0302197684294985</v>
      </c>
      <c r="P1022" s="9">
        <v>9.0302197684294985</v>
      </c>
      <c r="Q1022" s="9">
        <v>9.0302197684294985</v>
      </c>
      <c r="R1022" s="9">
        <v>9.0947258437001413</v>
      </c>
      <c r="S1022" s="9">
        <v>9.1596277982174144</v>
      </c>
      <c r="T1022" s="9">
        <v>9.2312581382252521</v>
      </c>
      <c r="U1022" s="9">
        <v>9.56017994708996</v>
      </c>
      <c r="V1022" s="9">
        <v>9.56017994708996</v>
      </c>
      <c r="W1022" s="9">
        <v>9.56017994708996</v>
      </c>
      <c r="X1022" s="9">
        <v>10.193064341962325</v>
      </c>
      <c r="Y1022" s="9">
        <v>10.193064341962325</v>
      </c>
      <c r="Z1022" s="9">
        <v>10.944981390541031</v>
      </c>
      <c r="AA1022" s="9">
        <v>10.944981390541031</v>
      </c>
      <c r="AB1022" s="9">
        <v>11.875047231329289</v>
      </c>
      <c r="AC1022" s="9">
        <v>11.875047231329289</v>
      </c>
      <c r="AD1022" s="9">
        <v>12.620309063069197</v>
      </c>
      <c r="AE1022" s="9">
        <v>13.427440063055712</v>
      </c>
      <c r="AF1022" s="9">
        <v>14.302627148113524</v>
      </c>
      <c r="AG1022" s="9">
        <v>14.302627148113524</v>
      </c>
      <c r="AH1022" s="9">
        <v>15.252675926749765</v>
      </c>
      <c r="AI1022" s="9">
        <v>15.858040079095648</v>
      </c>
      <c r="AJ1022" s="9">
        <v>3.0428788910505911</v>
      </c>
    </row>
    <row r="1023" spans="1:36" x14ac:dyDescent="0.25">
      <c r="A1023" t="s">
        <v>5411</v>
      </c>
      <c r="B1023" t="s">
        <v>16</v>
      </c>
      <c r="C1023" t="s">
        <v>17</v>
      </c>
      <c r="D1023">
        <v>31700000</v>
      </c>
      <c r="E1023">
        <v>31799999</v>
      </c>
      <c r="F1023" t="s">
        <v>850</v>
      </c>
      <c r="G1023" t="str">
        <f t="shared" si="30"/>
        <v>MGC</v>
      </c>
      <c r="H1023" t="s">
        <v>851</v>
      </c>
      <c r="I1023" t="s">
        <v>20</v>
      </c>
      <c r="J1023" t="s">
        <v>21</v>
      </c>
      <c r="K1023" s="6">
        <v>0.03</v>
      </c>
      <c r="L1023" s="7">
        <f t="shared" si="31"/>
        <v>2E-3</v>
      </c>
      <c r="M1023" s="7">
        <v>3.0000000000000001E-3</v>
      </c>
      <c r="N1023">
        <v>3</v>
      </c>
      <c r="O1023" s="8">
        <v>9.0302197684294985</v>
      </c>
      <c r="P1023" s="9">
        <v>9.0302197684294985</v>
      </c>
      <c r="Q1023" s="9">
        <v>9.0302197684294985</v>
      </c>
      <c r="R1023" s="9">
        <v>9.0947258437001413</v>
      </c>
      <c r="S1023" s="9">
        <v>9.1596277982174144</v>
      </c>
      <c r="T1023" s="9">
        <v>9.2312581382252521</v>
      </c>
      <c r="U1023" s="9">
        <v>9.56017994708996</v>
      </c>
      <c r="V1023" s="9">
        <v>9.56017994708996</v>
      </c>
      <c r="W1023" s="9">
        <v>9.56017994708996</v>
      </c>
      <c r="X1023" s="9">
        <v>10.193064341962325</v>
      </c>
      <c r="Y1023" s="9">
        <v>10.193064341962325</v>
      </c>
      <c r="Z1023" s="9">
        <v>10.944981390541031</v>
      </c>
      <c r="AA1023" s="9">
        <v>10.944981390541031</v>
      </c>
      <c r="AB1023" s="9">
        <v>11.875047231329289</v>
      </c>
      <c r="AC1023" s="9">
        <v>11.875047231329289</v>
      </c>
      <c r="AD1023" s="9">
        <v>12.620309063069197</v>
      </c>
      <c r="AE1023" s="9">
        <v>13.427440063055712</v>
      </c>
      <c r="AF1023" s="9">
        <v>14.302627148113524</v>
      </c>
      <c r="AG1023" s="9">
        <v>14.302627148113524</v>
      </c>
      <c r="AH1023" s="9">
        <v>15.252675926749765</v>
      </c>
      <c r="AI1023" s="9">
        <v>15.858040079095648</v>
      </c>
      <c r="AJ1023" s="9">
        <v>3.0428788910505911</v>
      </c>
    </row>
    <row r="1024" spans="1:36" x14ac:dyDescent="0.25">
      <c r="A1024" t="s">
        <v>5411</v>
      </c>
      <c r="B1024" t="s">
        <v>16</v>
      </c>
      <c r="C1024" t="s">
        <v>17</v>
      </c>
      <c r="D1024">
        <v>31800000</v>
      </c>
      <c r="E1024">
        <v>31899999</v>
      </c>
      <c r="F1024" t="s">
        <v>850</v>
      </c>
      <c r="G1024" t="str">
        <f t="shared" si="30"/>
        <v>MGC</v>
      </c>
      <c r="H1024" t="s">
        <v>851</v>
      </c>
      <c r="I1024" t="s">
        <v>20</v>
      </c>
      <c r="J1024" t="s">
        <v>21</v>
      </c>
      <c r="K1024" s="6">
        <v>0.03</v>
      </c>
      <c r="L1024" s="7">
        <f t="shared" si="31"/>
        <v>2E-3</v>
      </c>
      <c r="M1024" s="7">
        <v>3.0000000000000001E-3</v>
      </c>
      <c r="N1024">
        <v>3</v>
      </c>
      <c r="O1024" s="8">
        <v>9.0302197684294985</v>
      </c>
      <c r="P1024" s="9">
        <v>9.0302197684294985</v>
      </c>
      <c r="Q1024" s="9">
        <v>9.0302197684294985</v>
      </c>
      <c r="R1024" s="9">
        <v>9.0947258437001413</v>
      </c>
      <c r="S1024" s="9">
        <v>9.1596277982174144</v>
      </c>
      <c r="T1024" s="9">
        <v>9.2312581382252521</v>
      </c>
      <c r="U1024" s="9">
        <v>9.56017994708996</v>
      </c>
      <c r="V1024" s="9">
        <v>9.56017994708996</v>
      </c>
      <c r="W1024" s="9">
        <v>9.56017994708996</v>
      </c>
      <c r="X1024" s="9">
        <v>10.193064341962325</v>
      </c>
      <c r="Y1024" s="9">
        <v>10.193064341962325</v>
      </c>
      <c r="Z1024" s="9">
        <v>10.944981390541031</v>
      </c>
      <c r="AA1024" s="9">
        <v>10.944981390541031</v>
      </c>
      <c r="AB1024" s="9">
        <v>11.875047231329289</v>
      </c>
      <c r="AC1024" s="9">
        <v>11.875047231329289</v>
      </c>
      <c r="AD1024" s="9">
        <v>12.620309063069197</v>
      </c>
      <c r="AE1024" s="9">
        <v>13.427440063055712</v>
      </c>
      <c r="AF1024" s="9">
        <v>14.302627148113524</v>
      </c>
      <c r="AG1024" s="9">
        <v>14.302627148113524</v>
      </c>
      <c r="AH1024" s="9">
        <v>15.252675926749765</v>
      </c>
      <c r="AI1024" s="9">
        <v>15.858040079095648</v>
      </c>
      <c r="AJ1024" s="9">
        <v>3.0428788910505911</v>
      </c>
    </row>
    <row r="1025" spans="1:36" x14ac:dyDescent="0.25">
      <c r="A1025" t="s">
        <v>5411</v>
      </c>
      <c r="B1025" t="s">
        <v>16</v>
      </c>
      <c r="C1025" t="s">
        <v>17</v>
      </c>
      <c r="D1025">
        <v>31900000</v>
      </c>
      <c r="E1025">
        <v>31999999</v>
      </c>
      <c r="F1025" t="s">
        <v>850</v>
      </c>
      <c r="G1025" t="str">
        <f t="shared" si="30"/>
        <v>MGC</v>
      </c>
      <c r="H1025" t="s">
        <v>851</v>
      </c>
      <c r="I1025" t="s">
        <v>20</v>
      </c>
      <c r="J1025" t="s">
        <v>21</v>
      </c>
      <c r="K1025" s="6">
        <v>0.03</v>
      </c>
      <c r="L1025" s="7">
        <f t="shared" si="31"/>
        <v>2E-3</v>
      </c>
      <c r="M1025" s="7">
        <v>3.0000000000000001E-3</v>
      </c>
      <c r="N1025">
        <v>3</v>
      </c>
      <c r="O1025" s="8">
        <v>9.0302197684294985</v>
      </c>
      <c r="P1025" s="9">
        <v>9.0302197684294985</v>
      </c>
      <c r="Q1025" s="9">
        <v>9.0302197684294985</v>
      </c>
      <c r="R1025" s="9">
        <v>9.0947258437001413</v>
      </c>
      <c r="S1025" s="9">
        <v>9.1596277982174144</v>
      </c>
      <c r="T1025" s="9">
        <v>9.2312581382252521</v>
      </c>
      <c r="U1025" s="9">
        <v>9.56017994708996</v>
      </c>
      <c r="V1025" s="9">
        <v>9.56017994708996</v>
      </c>
      <c r="W1025" s="9">
        <v>9.56017994708996</v>
      </c>
      <c r="X1025" s="9">
        <v>10.193064341962325</v>
      </c>
      <c r="Y1025" s="9">
        <v>10.193064341962325</v>
      </c>
      <c r="Z1025" s="9">
        <v>10.944981390541031</v>
      </c>
      <c r="AA1025" s="9">
        <v>10.944981390541031</v>
      </c>
      <c r="AB1025" s="9">
        <v>11.875047231329289</v>
      </c>
      <c r="AC1025" s="9">
        <v>11.875047231329289</v>
      </c>
      <c r="AD1025" s="9">
        <v>12.620309063069197</v>
      </c>
      <c r="AE1025" s="9">
        <v>13.427440063055712</v>
      </c>
      <c r="AF1025" s="9">
        <v>14.302627148113524</v>
      </c>
      <c r="AG1025" s="9">
        <v>14.302627148113524</v>
      </c>
      <c r="AH1025" s="9">
        <v>15.252675926749765</v>
      </c>
      <c r="AI1025" s="9">
        <v>15.858040079095648</v>
      </c>
      <c r="AJ1025" s="9">
        <v>3.0428788910505911</v>
      </c>
    </row>
    <row r="1026" spans="1:36" x14ac:dyDescent="0.25">
      <c r="A1026" t="s">
        <v>5411</v>
      </c>
      <c r="B1026" t="s">
        <v>16</v>
      </c>
      <c r="C1026" t="s">
        <v>17</v>
      </c>
      <c r="D1026">
        <v>32000000</v>
      </c>
      <c r="E1026">
        <v>32099999</v>
      </c>
      <c r="F1026" t="s">
        <v>852</v>
      </c>
      <c r="G1026" t="str">
        <f t="shared" si="30"/>
        <v>MGC</v>
      </c>
      <c r="H1026" t="s">
        <v>851</v>
      </c>
      <c r="I1026" t="s">
        <v>20</v>
      </c>
      <c r="J1026" t="s">
        <v>21</v>
      </c>
      <c r="K1026" s="6">
        <v>0.03</v>
      </c>
      <c r="L1026" s="7">
        <f t="shared" si="31"/>
        <v>2E-3</v>
      </c>
      <c r="M1026" s="7">
        <v>3.0000000000000001E-3</v>
      </c>
      <c r="N1026">
        <v>4</v>
      </c>
      <c r="O1026" s="8">
        <v>9.0302197684294985</v>
      </c>
      <c r="P1026" s="9">
        <v>9.0302197684294985</v>
      </c>
      <c r="Q1026" s="9">
        <v>9.0302197684294985</v>
      </c>
      <c r="R1026" s="9">
        <v>9.0947258437001413</v>
      </c>
      <c r="S1026" s="9">
        <v>9.1596277982174144</v>
      </c>
      <c r="T1026" s="9">
        <v>9.2312581382252521</v>
      </c>
      <c r="U1026" s="9">
        <v>9.56017994708996</v>
      </c>
      <c r="V1026" s="9">
        <v>9.56017994708996</v>
      </c>
      <c r="W1026" s="9">
        <v>9.56017994708996</v>
      </c>
      <c r="X1026" s="9">
        <v>10.193064341962325</v>
      </c>
      <c r="Y1026" s="9">
        <v>10.193064341962325</v>
      </c>
      <c r="Z1026" s="9">
        <v>10.944981390541031</v>
      </c>
      <c r="AA1026" s="9">
        <v>10.944981390541031</v>
      </c>
      <c r="AB1026" s="9">
        <v>11.875047231329289</v>
      </c>
      <c r="AC1026" s="9">
        <v>11.875047231329289</v>
      </c>
      <c r="AD1026" s="9">
        <v>12.620309063069197</v>
      </c>
      <c r="AE1026" s="9">
        <v>13.427440063055712</v>
      </c>
      <c r="AF1026" s="9">
        <v>14.302627148113524</v>
      </c>
      <c r="AG1026" s="9">
        <v>14.302627148113524</v>
      </c>
      <c r="AH1026" s="9">
        <v>15.252675926749765</v>
      </c>
      <c r="AI1026" s="9">
        <v>15.858040079095648</v>
      </c>
      <c r="AJ1026" s="9">
        <v>3.0428788910505911</v>
      </c>
    </row>
    <row r="1027" spans="1:36" x14ac:dyDescent="0.25">
      <c r="A1027" t="s">
        <v>5411</v>
      </c>
      <c r="B1027" t="s">
        <v>16</v>
      </c>
      <c r="C1027" t="s">
        <v>17</v>
      </c>
      <c r="D1027">
        <v>32100000</v>
      </c>
      <c r="E1027">
        <v>32199999</v>
      </c>
      <c r="F1027" t="s">
        <v>852</v>
      </c>
      <c r="G1027" t="str">
        <f t="shared" si="30"/>
        <v>MGC</v>
      </c>
      <c r="H1027" t="s">
        <v>851</v>
      </c>
      <c r="I1027" t="s">
        <v>20</v>
      </c>
      <c r="J1027" t="s">
        <v>21</v>
      </c>
      <c r="K1027" s="6">
        <v>0.03</v>
      </c>
      <c r="L1027" s="7">
        <f t="shared" si="31"/>
        <v>2E-3</v>
      </c>
      <c r="M1027" s="7">
        <v>3.0000000000000001E-3</v>
      </c>
      <c r="N1027">
        <v>4</v>
      </c>
      <c r="O1027" s="8">
        <v>9.0302197684294985</v>
      </c>
      <c r="P1027" s="9">
        <v>9.0302197684294985</v>
      </c>
      <c r="Q1027" s="9">
        <v>9.0302197684294985</v>
      </c>
      <c r="R1027" s="9">
        <v>9.0947258437001413</v>
      </c>
      <c r="S1027" s="9">
        <v>9.1596277982174144</v>
      </c>
      <c r="T1027" s="9">
        <v>9.2312581382252521</v>
      </c>
      <c r="U1027" s="9">
        <v>9.56017994708996</v>
      </c>
      <c r="V1027" s="9">
        <v>9.56017994708996</v>
      </c>
      <c r="W1027" s="9">
        <v>9.56017994708996</v>
      </c>
      <c r="X1027" s="9">
        <v>10.193064341962325</v>
      </c>
      <c r="Y1027" s="9">
        <v>10.193064341962325</v>
      </c>
      <c r="Z1027" s="9">
        <v>10.944981390541031</v>
      </c>
      <c r="AA1027" s="9">
        <v>10.944981390541031</v>
      </c>
      <c r="AB1027" s="9">
        <v>11.875047231329289</v>
      </c>
      <c r="AC1027" s="9">
        <v>11.875047231329289</v>
      </c>
      <c r="AD1027" s="9">
        <v>12.620309063069197</v>
      </c>
      <c r="AE1027" s="9">
        <v>13.427440063055712</v>
      </c>
      <c r="AF1027" s="9">
        <v>14.302627148113524</v>
      </c>
      <c r="AG1027" s="9">
        <v>14.302627148113524</v>
      </c>
      <c r="AH1027" s="9">
        <v>15.252675926749765</v>
      </c>
      <c r="AI1027" s="9">
        <v>15.858040079095648</v>
      </c>
      <c r="AJ1027" s="9">
        <v>3.0428788910505911</v>
      </c>
    </row>
    <row r="1028" spans="1:36" x14ac:dyDescent="0.25">
      <c r="A1028" t="s">
        <v>5411</v>
      </c>
      <c r="B1028" t="s">
        <v>16</v>
      </c>
      <c r="C1028" t="s">
        <v>17</v>
      </c>
      <c r="D1028">
        <v>32200000</v>
      </c>
      <c r="E1028">
        <v>32299999</v>
      </c>
      <c r="F1028" t="s">
        <v>852</v>
      </c>
      <c r="G1028" t="str">
        <f t="shared" ref="G1028:G1091" si="32">H1028&amp;IF(J1028="CAPITAL","C",IF(J1028="INTERIOR","I",IF(J1028="INTERIOR II","I II","R")))</f>
        <v>MGC</v>
      </c>
      <c r="H1028" t="s">
        <v>851</v>
      </c>
      <c r="I1028" t="s">
        <v>20</v>
      </c>
      <c r="J1028" t="s">
        <v>21</v>
      </c>
      <c r="K1028" s="6">
        <v>0.03</v>
      </c>
      <c r="L1028" s="7">
        <f t="shared" ref="L1028:L1091" si="33">IF(I1028="(0) Não",0.2%,3%)</f>
        <v>2E-3</v>
      </c>
      <c r="M1028" s="7">
        <v>3.0000000000000001E-3</v>
      </c>
      <c r="N1028">
        <v>4</v>
      </c>
      <c r="O1028" s="8">
        <v>9.0302197684294985</v>
      </c>
      <c r="P1028" s="9">
        <v>9.0302197684294985</v>
      </c>
      <c r="Q1028" s="9">
        <v>9.0302197684294985</v>
      </c>
      <c r="R1028" s="9">
        <v>9.0947258437001413</v>
      </c>
      <c r="S1028" s="9">
        <v>9.1596277982174144</v>
      </c>
      <c r="T1028" s="9">
        <v>9.2312581382252521</v>
      </c>
      <c r="U1028" s="9">
        <v>9.56017994708996</v>
      </c>
      <c r="V1028" s="9">
        <v>9.56017994708996</v>
      </c>
      <c r="W1028" s="9">
        <v>9.56017994708996</v>
      </c>
      <c r="X1028" s="9">
        <v>10.193064341962325</v>
      </c>
      <c r="Y1028" s="9">
        <v>10.193064341962325</v>
      </c>
      <c r="Z1028" s="9">
        <v>10.944981390541031</v>
      </c>
      <c r="AA1028" s="9">
        <v>10.944981390541031</v>
      </c>
      <c r="AB1028" s="9">
        <v>11.875047231329289</v>
      </c>
      <c r="AC1028" s="9">
        <v>11.875047231329289</v>
      </c>
      <c r="AD1028" s="9">
        <v>12.620309063069197</v>
      </c>
      <c r="AE1028" s="9">
        <v>13.427440063055712</v>
      </c>
      <c r="AF1028" s="9">
        <v>14.302627148113524</v>
      </c>
      <c r="AG1028" s="9">
        <v>14.302627148113524</v>
      </c>
      <c r="AH1028" s="9">
        <v>15.252675926749765</v>
      </c>
      <c r="AI1028" s="9">
        <v>15.858040079095648</v>
      </c>
      <c r="AJ1028" s="9">
        <v>3.0428788910505911</v>
      </c>
    </row>
    <row r="1029" spans="1:36" x14ac:dyDescent="0.25">
      <c r="A1029" t="s">
        <v>5411</v>
      </c>
      <c r="B1029" t="s">
        <v>16</v>
      </c>
      <c r="C1029" t="s">
        <v>17</v>
      </c>
      <c r="D1029">
        <v>32300000</v>
      </c>
      <c r="E1029">
        <v>32399999</v>
      </c>
      <c r="F1029" t="s">
        <v>852</v>
      </c>
      <c r="G1029" t="str">
        <f t="shared" si="32"/>
        <v>MGC</v>
      </c>
      <c r="H1029" t="s">
        <v>851</v>
      </c>
      <c r="I1029" t="s">
        <v>20</v>
      </c>
      <c r="J1029" t="s">
        <v>21</v>
      </c>
      <c r="K1029" s="6">
        <v>0.03</v>
      </c>
      <c r="L1029" s="7">
        <f t="shared" si="33"/>
        <v>2E-3</v>
      </c>
      <c r="M1029" s="7">
        <v>3.0000000000000001E-3</v>
      </c>
      <c r="N1029">
        <v>4</v>
      </c>
      <c r="O1029" s="8">
        <v>9.0302197684294985</v>
      </c>
      <c r="P1029" s="9">
        <v>9.0302197684294985</v>
      </c>
      <c r="Q1029" s="9">
        <v>9.0302197684294985</v>
      </c>
      <c r="R1029" s="9">
        <v>9.0947258437001413</v>
      </c>
      <c r="S1029" s="9">
        <v>9.1596277982174144</v>
      </c>
      <c r="T1029" s="9">
        <v>9.2312581382252521</v>
      </c>
      <c r="U1029" s="9">
        <v>9.56017994708996</v>
      </c>
      <c r="V1029" s="9">
        <v>9.56017994708996</v>
      </c>
      <c r="W1029" s="9">
        <v>9.56017994708996</v>
      </c>
      <c r="X1029" s="9">
        <v>10.193064341962325</v>
      </c>
      <c r="Y1029" s="9">
        <v>10.193064341962325</v>
      </c>
      <c r="Z1029" s="9">
        <v>10.944981390541031</v>
      </c>
      <c r="AA1029" s="9">
        <v>10.944981390541031</v>
      </c>
      <c r="AB1029" s="9">
        <v>11.875047231329289</v>
      </c>
      <c r="AC1029" s="9">
        <v>11.875047231329289</v>
      </c>
      <c r="AD1029" s="9">
        <v>12.620309063069197</v>
      </c>
      <c r="AE1029" s="9">
        <v>13.427440063055712</v>
      </c>
      <c r="AF1029" s="9">
        <v>14.302627148113524</v>
      </c>
      <c r="AG1029" s="9">
        <v>14.302627148113524</v>
      </c>
      <c r="AH1029" s="9">
        <v>15.252675926749765</v>
      </c>
      <c r="AI1029" s="9">
        <v>15.858040079095648</v>
      </c>
      <c r="AJ1029" s="9">
        <v>3.0428788910505911</v>
      </c>
    </row>
    <row r="1030" spans="1:36" x14ac:dyDescent="0.25">
      <c r="A1030" t="s">
        <v>5411</v>
      </c>
      <c r="B1030" t="s">
        <v>16</v>
      </c>
      <c r="C1030" t="s">
        <v>17</v>
      </c>
      <c r="D1030">
        <v>32400000</v>
      </c>
      <c r="E1030">
        <v>32449999</v>
      </c>
      <c r="F1030" t="s">
        <v>853</v>
      </c>
      <c r="G1030" t="str">
        <f t="shared" si="32"/>
        <v>MGI</v>
      </c>
      <c r="H1030" t="s">
        <v>851</v>
      </c>
      <c r="I1030" t="s">
        <v>20</v>
      </c>
      <c r="J1030" t="s">
        <v>62</v>
      </c>
      <c r="K1030" s="6">
        <v>0.03</v>
      </c>
      <c r="L1030" s="7">
        <f t="shared" si="33"/>
        <v>2E-3</v>
      </c>
      <c r="M1030" s="7">
        <v>3.0000000000000001E-3</v>
      </c>
      <c r="N1030">
        <v>6</v>
      </c>
      <c r="O1030" s="8">
        <v>13.880385281502075</v>
      </c>
      <c r="P1030" s="9">
        <v>13.880385281502075</v>
      </c>
      <c r="Q1030" s="9">
        <v>13.880385281502075</v>
      </c>
      <c r="R1030" s="9">
        <v>14.045989937445718</v>
      </c>
      <c r="S1030" s="9">
        <v>14.060876315369912</v>
      </c>
      <c r="T1030" s="9">
        <v>15.090338571208333</v>
      </c>
      <c r="U1030" s="9">
        <v>16.025407313902726</v>
      </c>
      <c r="V1030" s="9">
        <v>16.025407313902726</v>
      </c>
      <c r="W1030" s="9">
        <v>16.025407313902726</v>
      </c>
      <c r="X1030" s="9">
        <v>18.013895748167766</v>
      </c>
      <c r="Y1030" s="9">
        <v>18.013895748167766</v>
      </c>
      <c r="Z1030" s="9">
        <v>20.142868501532355</v>
      </c>
      <c r="AA1030" s="9">
        <v>20.142868501532355</v>
      </c>
      <c r="AB1030" s="9">
        <v>22.456349831314476</v>
      </c>
      <c r="AC1030" s="9">
        <v>22.456349831314476</v>
      </c>
      <c r="AD1030" s="9">
        <v>24.87984091164185</v>
      </c>
      <c r="AE1030" s="9">
        <v>27.427492221952345</v>
      </c>
      <c r="AF1030" s="9">
        <v>33.194804868730657</v>
      </c>
      <c r="AG1030" s="9">
        <v>33.194804868730657</v>
      </c>
      <c r="AH1030" s="9">
        <v>35.957808835828068</v>
      </c>
      <c r="AI1030" s="9">
        <v>38.646304092692077</v>
      </c>
      <c r="AJ1030" s="9">
        <v>3.0428788910505911</v>
      </c>
    </row>
    <row r="1031" spans="1:36" x14ac:dyDescent="0.25">
      <c r="A1031" t="s">
        <v>5411</v>
      </c>
      <c r="B1031" t="s">
        <v>16</v>
      </c>
      <c r="C1031" t="s">
        <v>17</v>
      </c>
      <c r="D1031">
        <v>32450000</v>
      </c>
      <c r="E1031">
        <v>32469999</v>
      </c>
      <c r="F1031" t="s">
        <v>854</v>
      </c>
      <c r="G1031" t="str">
        <f t="shared" si="32"/>
        <v>MGI II</v>
      </c>
      <c r="H1031" t="s">
        <v>851</v>
      </c>
      <c r="I1031" t="s">
        <v>20</v>
      </c>
      <c r="J1031" t="s">
        <v>64</v>
      </c>
      <c r="K1031" s="6">
        <v>0.03</v>
      </c>
      <c r="L1031" s="7">
        <f t="shared" si="33"/>
        <v>2E-3</v>
      </c>
      <c r="M1031" s="7">
        <v>3.0000000000000001E-3</v>
      </c>
      <c r="N1031">
        <v>6</v>
      </c>
      <c r="O1031" s="8">
        <v>17.822306426995311</v>
      </c>
      <c r="P1031" s="9">
        <v>17.822306426995311</v>
      </c>
      <c r="Q1031" s="9">
        <v>17.822306426995311</v>
      </c>
      <c r="R1031" s="9">
        <v>18.237663306594719</v>
      </c>
      <c r="S1031" s="9">
        <v>18.48712920931133</v>
      </c>
      <c r="T1031" s="9">
        <v>19.201553596969877</v>
      </c>
      <c r="U1031" s="9">
        <v>20.562345482855957</v>
      </c>
      <c r="V1031" s="9">
        <v>20.562345482855957</v>
      </c>
      <c r="W1031" s="9">
        <v>20.562345482855957</v>
      </c>
      <c r="X1031" s="9">
        <v>22.391977691000818</v>
      </c>
      <c r="Y1031" s="9">
        <v>22.391977691000818</v>
      </c>
      <c r="Z1031" s="9">
        <v>24.28858708803979</v>
      </c>
      <c r="AA1031" s="9">
        <v>24.28858708803979</v>
      </c>
      <c r="AB1031" s="9">
        <v>25.117335532005217</v>
      </c>
      <c r="AC1031" s="9">
        <v>25.117335532005217</v>
      </c>
      <c r="AD1031" s="9">
        <v>29.039116491286865</v>
      </c>
      <c r="AE1031" s="9">
        <v>31.219251037281825</v>
      </c>
      <c r="AF1031" s="9">
        <v>33.487682081707895</v>
      </c>
      <c r="AG1031" s="9">
        <v>33.487682081707895</v>
      </c>
      <c r="AH1031" s="9">
        <v>36.427668170967245</v>
      </c>
      <c r="AI1031" s="9">
        <v>38.74455996597662</v>
      </c>
      <c r="AJ1031" s="9">
        <v>3.0428788910505911</v>
      </c>
    </row>
    <row r="1032" spans="1:36" x14ac:dyDescent="0.25">
      <c r="A1032" t="s">
        <v>5411</v>
      </c>
      <c r="B1032" t="s">
        <v>16</v>
      </c>
      <c r="C1032" t="s">
        <v>17</v>
      </c>
      <c r="D1032">
        <v>32470000</v>
      </c>
      <c r="E1032">
        <v>32599999</v>
      </c>
      <c r="F1032" t="s">
        <v>855</v>
      </c>
      <c r="G1032" t="str">
        <f t="shared" si="32"/>
        <v>MGI II</v>
      </c>
      <c r="H1032" t="s">
        <v>851</v>
      </c>
      <c r="I1032" t="s">
        <v>20</v>
      </c>
      <c r="J1032" t="s">
        <v>64</v>
      </c>
      <c r="K1032" s="6">
        <v>0.03</v>
      </c>
      <c r="L1032" s="7">
        <f t="shared" si="33"/>
        <v>2E-3</v>
      </c>
      <c r="M1032" s="7">
        <v>3.0000000000000001E-3</v>
      </c>
      <c r="N1032">
        <v>8</v>
      </c>
      <c r="O1032" s="8">
        <v>17.822306426995311</v>
      </c>
      <c r="P1032" s="9">
        <v>17.822306426995311</v>
      </c>
      <c r="Q1032" s="9">
        <v>17.822306426995311</v>
      </c>
      <c r="R1032" s="9">
        <v>18.237663306594719</v>
      </c>
      <c r="S1032" s="9">
        <v>18.48712920931133</v>
      </c>
      <c r="T1032" s="9">
        <v>19.201553596969877</v>
      </c>
      <c r="U1032" s="9">
        <v>20.562345482855957</v>
      </c>
      <c r="V1032" s="9">
        <v>20.562345482855957</v>
      </c>
      <c r="W1032" s="9">
        <v>20.562345482855957</v>
      </c>
      <c r="X1032" s="9">
        <v>22.391977691000818</v>
      </c>
      <c r="Y1032" s="9">
        <v>22.391977691000818</v>
      </c>
      <c r="Z1032" s="9">
        <v>24.28858708803979</v>
      </c>
      <c r="AA1032" s="9">
        <v>24.28858708803979</v>
      </c>
      <c r="AB1032" s="9">
        <v>25.117335532005217</v>
      </c>
      <c r="AC1032" s="9">
        <v>25.117335532005217</v>
      </c>
      <c r="AD1032" s="9">
        <v>29.039116491286865</v>
      </c>
      <c r="AE1032" s="9">
        <v>31.219251037281825</v>
      </c>
      <c r="AF1032" s="9">
        <v>33.487682081707895</v>
      </c>
      <c r="AG1032" s="9">
        <v>33.487682081707895</v>
      </c>
      <c r="AH1032" s="9">
        <v>36.427668170967245</v>
      </c>
      <c r="AI1032" s="9">
        <v>38.74455996597662</v>
      </c>
      <c r="AJ1032" s="9">
        <v>3.0428788910505911</v>
      </c>
    </row>
    <row r="1033" spans="1:36" x14ac:dyDescent="0.25">
      <c r="A1033" t="s">
        <v>5411</v>
      </c>
      <c r="B1033" t="s">
        <v>16</v>
      </c>
      <c r="C1033" t="s">
        <v>17</v>
      </c>
      <c r="D1033">
        <v>32600000</v>
      </c>
      <c r="E1033">
        <v>32899999</v>
      </c>
      <c r="F1033" t="s">
        <v>856</v>
      </c>
      <c r="G1033" t="str">
        <f t="shared" si="32"/>
        <v>MGI</v>
      </c>
      <c r="H1033" t="s">
        <v>851</v>
      </c>
      <c r="I1033" t="s">
        <v>20</v>
      </c>
      <c r="J1033" t="s">
        <v>62</v>
      </c>
      <c r="K1033" s="6">
        <v>0.03</v>
      </c>
      <c r="L1033" s="7">
        <f t="shared" si="33"/>
        <v>2E-3</v>
      </c>
      <c r="M1033" s="7">
        <v>3.0000000000000001E-3</v>
      </c>
      <c r="N1033">
        <v>4</v>
      </c>
      <c r="O1033" s="8">
        <v>13.880385281502075</v>
      </c>
      <c r="P1033" s="9">
        <v>13.880385281502075</v>
      </c>
      <c r="Q1033" s="9">
        <v>13.880385281502075</v>
      </c>
      <c r="R1033" s="9">
        <v>14.045989937445718</v>
      </c>
      <c r="S1033" s="9">
        <v>14.060876315369912</v>
      </c>
      <c r="T1033" s="9">
        <v>15.090338571208333</v>
      </c>
      <c r="U1033" s="9">
        <v>16.025407313902726</v>
      </c>
      <c r="V1033" s="9">
        <v>16.025407313902726</v>
      </c>
      <c r="W1033" s="9">
        <v>16.025407313902726</v>
      </c>
      <c r="X1033" s="9">
        <v>18.013895748167766</v>
      </c>
      <c r="Y1033" s="9">
        <v>18.013895748167766</v>
      </c>
      <c r="Z1033" s="9">
        <v>20.142868501532355</v>
      </c>
      <c r="AA1033" s="9">
        <v>20.142868501532355</v>
      </c>
      <c r="AB1033" s="9">
        <v>22.456349831314476</v>
      </c>
      <c r="AC1033" s="9">
        <v>22.456349831314476</v>
      </c>
      <c r="AD1033" s="9">
        <v>24.87984091164185</v>
      </c>
      <c r="AE1033" s="9">
        <v>27.427492221952345</v>
      </c>
      <c r="AF1033" s="9">
        <v>33.194804868730657</v>
      </c>
      <c r="AG1033" s="9">
        <v>33.194804868730657</v>
      </c>
      <c r="AH1033" s="9">
        <v>35.957808835828068</v>
      </c>
      <c r="AI1033" s="9">
        <v>38.646304092692077</v>
      </c>
      <c r="AJ1033" s="9">
        <v>3.0428788910505911</v>
      </c>
    </row>
    <row r="1034" spans="1:36" x14ac:dyDescent="0.25">
      <c r="A1034" t="s">
        <v>5411</v>
      </c>
      <c r="B1034" t="s">
        <v>16</v>
      </c>
      <c r="C1034" t="s">
        <v>17</v>
      </c>
      <c r="D1034">
        <v>32900000</v>
      </c>
      <c r="E1034">
        <v>32919999</v>
      </c>
      <c r="F1034" t="s">
        <v>857</v>
      </c>
      <c r="G1034" t="str">
        <f t="shared" si="32"/>
        <v>MGI</v>
      </c>
      <c r="H1034" t="s">
        <v>851</v>
      </c>
      <c r="I1034" t="s">
        <v>20</v>
      </c>
      <c r="J1034" t="s">
        <v>62</v>
      </c>
      <c r="K1034" s="6">
        <v>0.03</v>
      </c>
      <c r="L1034" s="7">
        <f t="shared" si="33"/>
        <v>2E-3</v>
      </c>
      <c r="M1034" s="7">
        <v>3.0000000000000001E-3</v>
      </c>
      <c r="N1034">
        <v>7</v>
      </c>
      <c r="O1034" s="8">
        <v>13.880385281502075</v>
      </c>
      <c r="P1034" s="9">
        <v>13.880385281502075</v>
      </c>
      <c r="Q1034" s="9">
        <v>13.880385281502075</v>
      </c>
      <c r="R1034" s="9">
        <v>14.045989937445718</v>
      </c>
      <c r="S1034" s="9">
        <v>14.060876315369912</v>
      </c>
      <c r="T1034" s="9">
        <v>15.090338571208333</v>
      </c>
      <c r="U1034" s="9">
        <v>16.025407313902726</v>
      </c>
      <c r="V1034" s="9">
        <v>16.025407313902726</v>
      </c>
      <c r="W1034" s="9">
        <v>16.025407313902726</v>
      </c>
      <c r="X1034" s="9">
        <v>18.013895748167766</v>
      </c>
      <c r="Y1034" s="9">
        <v>18.013895748167766</v>
      </c>
      <c r="Z1034" s="9">
        <v>20.142868501532355</v>
      </c>
      <c r="AA1034" s="9">
        <v>20.142868501532355</v>
      </c>
      <c r="AB1034" s="9">
        <v>22.456349831314476</v>
      </c>
      <c r="AC1034" s="9">
        <v>22.456349831314476</v>
      </c>
      <c r="AD1034" s="9">
        <v>24.87984091164185</v>
      </c>
      <c r="AE1034" s="9">
        <v>27.427492221952345</v>
      </c>
      <c r="AF1034" s="9">
        <v>33.194804868730657</v>
      </c>
      <c r="AG1034" s="9">
        <v>33.194804868730657</v>
      </c>
      <c r="AH1034" s="9">
        <v>35.957808835828068</v>
      </c>
      <c r="AI1034" s="9">
        <v>38.646304092692077</v>
      </c>
      <c r="AJ1034" s="9">
        <v>3.0428788910505911</v>
      </c>
    </row>
    <row r="1035" spans="1:36" x14ac:dyDescent="0.25">
      <c r="A1035" t="s">
        <v>5411</v>
      </c>
      <c r="B1035" t="s">
        <v>16</v>
      </c>
      <c r="C1035" t="s">
        <v>17</v>
      </c>
      <c r="D1035">
        <v>32920000</v>
      </c>
      <c r="E1035">
        <v>32999999</v>
      </c>
      <c r="F1035" t="s">
        <v>858</v>
      </c>
      <c r="G1035" t="str">
        <f t="shared" si="32"/>
        <v>MGI</v>
      </c>
      <c r="H1035" t="s">
        <v>851</v>
      </c>
      <c r="I1035" t="s">
        <v>20</v>
      </c>
      <c r="J1035" t="s">
        <v>62</v>
      </c>
      <c r="K1035" s="6">
        <v>0.03</v>
      </c>
      <c r="L1035" s="7">
        <f t="shared" si="33"/>
        <v>2E-3</v>
      </c>
      <c r="M1035" s="7">
        <v>3.0000000000000001E-3</v>
      </c>
      <c r="N1035">
        <v>7</v>
      </c>
      <c r="O1035" s="8">
        <v>13.880385281502075</v>
      </c>
      <c r="P1035" s="9">
        <v>13.880385281502075</v>
      </c>
      <c r="Q1035" s="9">
        <v>13.880385281502075</v>
      </c>
      <c r="R1035" s="9">
        <v>14.045989937445718</v>
      </c>
      <c r="S1035" s="9">
        <v>14.060876315369912</v>
      </c>
      <c r="T1035" s="9">
        <v>15.090338571208333</v>
      </c>
      <c r="U1035" s="9">
        <v>16.025407313902726</v>
      </c>
      <c r="V1035" s="9">
        <v>16.025407313902726</v>
      </c>
      <c r="W1035" s="9">
        <v>16.025407313902726</v>
      </c>
      <c r="X1035" s="9">
        <v>18.013895748167766</v>
      </c>
      <c r="Y1035" s="9">
        <v>18.013895748167766</v>
      </c>
      <c r="Z1035" s="9">
        <v>20.142868501532355</v>
      </c>
      <c r="AA1035" s="9">
        <v>20.142868501532355</v>
      </c>
      <c r="AB1035" s="9">
        <v>22.456349831314476</v>
      </c>
      <c r="AC1035" s="9">
        <v>22.456349831314476</v>
      </c>
      <c r="AD1035" s="9">
        <v>24.87984091164185</v>
      </c>
      <c r="AE1035" s="9">
        <v>27.427492221952345</v>
      </c>
      <c r="AF1035" s="9">
        <v>33.194804868730657</v>
      </c>
      <c r="AG1035" s="9">
        <v>33.194804868730657</v>
      </c>
      <c r="AH1035" s="9">
        <v>35.957808835828068</v>
      </c>
      <c r="AI1035" s="9">
        <v>38.646304092692077</v>
      </c>
      <c r="AJ1035" s="9">
        <v>3.0428788910505911</v>
      </c>
    </row>
    <row r="1036" spans="1:36" x14ac:dyDescent="0.25">
      <c r="A1036" t="s">
        <v>5411</v>
      </c>
      <c r="B1036" t="s">
        <v>16</v>
      </c>
      <c r="C1036" t="s">
        <v>17</v>
      </c>
      <c r="D1036">
        <v>33000000</v>
      </c>
      <c r="E1036">
        <v>33199999</v>
      </c>
      <c r="F1036" t="s">
        <v>859</v>
      </c>
      <c r="G1036" t="str">
        <f t="shared" si="32"/>
        <v>MGI</v>
      </c>
      <c r="H1036" t="s">
        <v>851</v>
      </c>
      <c r="I1036" t="s">
        <v>20</v>
      </c>
      <c r="J1036" t="s">
        <v>62</v>
      </c>
      <c r="K1036" s="6">
        <v>0.03</v>
      </c>
      <c r="L1036" s="7">
        <f t="shared" si="33"/>
        <v>2E-3</v>
      </c>
      <c r="M1036" s="7">
        <v>3.0000000000000001E-3</v>
      </c>
      <c r="N1036">
        <v>7</v>
      </c>
      <c r="O1036" s="8">
        <v>13.880385281502075</v>
      </c>
      <c r="P1036" s="9">
        <v>13.880385281502075</v>
      </c>
      <c r="Q1036" s="9">
        <v>13.880385281502075</v>
      </c>
      <c r="R1036" s="9">
        <v>14.045989937445718</v>
      </c>
      <c r="S1036" s="9">
        <v>14.060876315369912</v>
      </c>
      <c r="T1036" s="9">
        <v>15.090338571208333</v>
      </c>
      <c r="U1036" s="9">
        <v>16.025407313902726</v>
      </c>
      <c r="V1036" s="9">
        <v>16.025407313902726</v>
      </c>
      <c r="W1036" s="9">
        <v>16.025407313902726</v>
      </c>
      <c r="X1036" s="9">
        <v>18.013895748167766</v>
      </c>
      <c r="Y1036" s="9">
        <v>18.013895748167766</v>
      </c>
      <c r="Z1036" s="9">
        <v>20.142868501532355</v>
      </c>
      <c r="AA1036" s="9">
        <v>20.142868501532355</v>
      </c>
      <c r="AB1036" s="9">
        <v>22.456349831314476</v>
      </c>
      <c r="AC1036" s="9">
        <v>22.456349831314476</v>
      </c>
      <c r="AD1036" s="9">
        <v>24.87984091164185</v>
      </c>
      <c r="AE1036" s="9">
        <v>27.427492221952345</v>
      </c>
      <c r="AF1036" s="9">
        <v>33.194804868730657</v>
      </c>
      <c r="AG1036" s="9">
        <v>33.194804868730657</v>
      </c>
      <c r="AH1036" s="9">
        <v>35.957808835828068</v>
      </c>
      <c r="AI1036" s="9">
        <v>38.646304092692077</v>
      </c>
      <c r="AJ1036" s="9">
        <v>3.0428788910505911</v>
      </c>
    </row>
    <row r="1037" spans="1:36" x14ac:dyDescent="0.25">
      <c r="A1037" t="s">
        <v>5411</v>
      </c>
      <c r="B1037" t="s">
        <v>16</v>
      </c>
      <c r="C1037" t="s">
        <v>17</v>
      </c>
      <c r="D1037">
        <v>33200000</v>
      </c>
      <c r="E1037">
        <v>33349999</v>
      </c>
      <c r="F1037" t="s">
        <v>860</v>
      </c>
      <c r="G1037" t="str">
        <f t="shared" si="32"/>
        <v>MGI</v>
      </c>
      <c r="H1037" t="s">
        <v>851</v>
      </c>
      <c r="I1037" t="s">
        <v>20</v>
      </c>
      <c r="J1037" t="s">
        <v>62</v>
      </c>
      <c r="K1037" s="6">
        <v>0.03</v>
      </c>
      <c r="L1037" s="7">
        <f t="shared" si="33"/>
        <v>2E-3</v>
      </c>
      <c r="M1037" s="7">
        <v>3.0000000000000001E-3</v>
      </c>
      <c r="N1037">
        <v>7</v>
      </c>
      <c r="O1037" s="8">
        <v>13.880385281502075</v>
      </c>
      <c r="P1037" s="9">
        <v>13.880385281502075</v>
      </c>
      <c r="Q1037" s="9">
        <v>13.880385281502075</v>
      </c>
      <c r="R1037" s="9">
        <v>14.045989937445718</v>
      </c>
      <c r="S1037" s="9">
        <v>14.060876315369912</v>
      </c>
      <c r="T1037" s="9">
        <v>15.090338571208333</v>
      </c>
      <c r="U1037" s="9">
        <v>16.025407313902726</v>
      </c>
      <c r="V1037" s="9">
        <v>16.025407313902726</v>
      </c>
      <c r="W1037" s="9">
        <v>16.025407313902726</v>
      </c>
      <c r="X1037" s="9">
        <v>18.013895748167766</v>
      </c>
      <c r="Y1037" s="9">
        <v>18.013895748167766</v>
      </c>
      <c r="Z1037" s="9">
        <v>20.142868501532355</v>
      </c>
      <c r="AA1037" s="9">
        <v>20.142868501532355</v>
      </c>
      <c r="AB1037" s="9">
        <v>22.456349831314476</v>
      </c>
      <c r="AC1037" s="9">
        <v>22.456349831314476</v>
      </c>
      <c r="AD1037" s="9">
        <v>24.87984091164185</v>
      </c>
      <c r="AE1037" s="9">
        <v>27.427492221952345</v>
      </c>
      <c r="AF1037" s="9">
        <v>33.194804868730657</v>
      </c>
      <c r="AG1037" s="9">
        <v>33.194804868730657</v>
      </c>
      <c r="AH1037" s="9">
        <v>35.957808835828068</v>
      </c>
      <c r="AI1037" s="9">
        <v>38.646304092692077</v>
      </c>
      <c r="AJ1037" s="9">
        <v>3.0428788910505911</v>
      </c>
    </row>
    <row r="1038" spans="1:36" x14ac:dyDescent="0.25">
      <c r="A1038" t="s">
        <v>5411</v>
      </c>
      <c r="B1038" t="s">
        <v>16</v>
      </c>
      <c r="C1038" t="s">
        <v>17</v>
      </c>
      <c r="D1038">
        <v>33350000</v>
      </c>
      <c r="E1038">
        <v>33399999</v>
      </c>
      <c r="F1038" t="s">
        <v>861</v>
      </c>
      <c r="G1038" t="str">
        <f t="shared" si="32"/>
        <v>MGI II</v>
      </c>
      <c r="H1038" t="s">
        <v>851</v>
      </c>
      <c r="I1038" t="s">
        <v>20</v>
      </c>
      <c r="J1038" t="s">
        <v>64</v>
      </c>
      <c r="K1038" s="6">
        <v>0.03</v>
      </c>
      <c r="L1038" s="7">
        <f t="shared" si="33"/>
        <v>2E-3</v>
      </c>
      <c r="M1038" s="7">
        <v>3.0000000000000001E-3</v>
      </c>
      <c r="N1038">
        <v>7</v>
      </c>
      <c r="O1038" s="8">
        <v>17.822306426995311</v>
      </c>
      <c r="P1038" s="9">
        <v>17.822306426995311</v>
      </c>
      <c r="Q1038" s="9">
        <v>17.822306426995311</v>
      </c>
      <c r="R1038" s="9">
        <v>18.237663306594719</v>
      </c>
      <c r="S1038" s="9">
        <v>18.48712920931133</v>
      </c>
      <c r="T1038" s="9">
        <v>19.201553596969877</v>
      </c>
      <c r="U1038" s="9">
        <v>20.562345482855957</v>
      </c>
      <c r="V1038" s="9">
        <v>20.562345482855957</v>
      </c>
      <c r="W1038" s="9">
        <v>20.562345482855957</v>
      </c>
      <c r="X1038" s="9">
        <v>22.391977691000818</v>
      </c>
      <c r="Y1038" s="9">
        <v>22.391977691000818</v>
      </c>
      <c r="Z1038" s="9">
        <v>24.28858708803979</v>
      </c>
      <c r="AA1038" s="9">
        <v>24.28858708803979</v>
      </c>
      <c r="AB1038" s="9">
        <v>25.117335532005217</v>
      </c>
      <c r="AC1038" s="9">
        <v>25.117335532005217</v>
      </c>
      <c r="AD1038" s="9">
        <v>29.039116491286865</v>
      </c>
      <c r="AE1038" s="9">
        <v>31.219251037281825</v>
      </c>
      <c r="AF1038" s="9">
        <v>33.487682081707895</v>
      </c>
      <c r="AG1038" s="9">
        <v>33.487682081707895</v>
      </c>
      <c r="AH1038" s="9">
        <v>36.427668170967245</v>
      </c>
      <c r="AI1038" s="9">
        <v>38.74455996597662</v>
      </c>
      <c r="AJ1038" s="9">
        <v>3.0428788910505911</v>
      </c>
    </row>
    <row r="1039" spans="1:36" x14ac:dyDescent="0.25">
      <c r="A1039" t="s">
        <v>5411</v>
      </c>
      <c r="B1039" t="s">
        <v>16</v>
      </c>
      <c r="C1039" t="s">
        <v>17</v>
      </c>
      <c r="D1039">
        <v>33400000</v>
      </c>
      <c r="E1039">
        <v>33499999</v>
      </c>
      <c r="F1039" t="s">
        <v>862</v>
      </c>
      <c r="G1039" t="str">
        <f t="shared" si="32"/>
        <v>MGI</v>
      </c>
      <c r="H1039" t="s">
        <v>851</v>
      </c>
      <c r="I1039" t="s">
        <v>20</v>
      </c>
      <c r="J1039" t="s">
        <v>62</v>
      </c>
      <c r="K1039" s="6">
        <v>0.03</v>
      </c>
      <c r="L1039" s="7">
        <f t="shared" si="33"/>
        <v>2E-3</v>
      </c>
      <c r="M1039" s="7">
        <v>3.0000000000000001E-3</v>
      </c>
      <c r="N1039">
        <v>7</v>
      </c>
      <c r="O1039" s="8">
        <v>13.880385281502075</v>
      </c>
      <c r="P1039" s="9">
        <v>13.880385281502075</v>
      </c>
      <c r="Q1039" s="9">
        <v>13.880385281502075</v>
      </c>
      <c r="R1039" s="9">
        <v>14.045989937445718</v>
      </c>
      <c r="S1039" s="9">
        <v>14.060876315369912</v>
      </c>
      <c r="T1039" s="9">
        <v>15.090338571208333</v>
      </c>
      <c r="U1039" s="9">
        <v>16.025407313902726</v>
      </c>
      <c r="V1039" s="9">
        <v>16.025407313902726</v>
      </c>
      <c r="W1039" s="9">
        <v>16.025407313902726</v>
      </c>
      <c r="X1039" s="9">
        <v>18.013895748167766</v>
      </c>
      <c r="Y1039" s="9">
        <v>18.013895748167766</v>
      </c>
      <c r="Z1039" s="9">
        <v>20.142868501532355</v>
      </c>
      <c r="AA1039" s="9">
        <v>20.142868501532355</v>
      </c>
      <c r="AB1039" s="9">
        <v>22.456349831314476</v>
      </c>
      <c r="AC1039" s="9">
        <v>22.456349831314476</v>
      </c>
      <c r="AD1039" s="9">
        <v>24.87984091164185</v>
      </c>
      <c r="AE1039" s="9">
        <v>27.427492221952345</v>
      </c>
      <c r="AF1039" s="9">
        <v>33.194804868730657</v>
      </c>
      <c r="AG1039" s="9">
        <v>33.194804868730657</v>
      </c>
      <c r="AH1039" s="9">
        <v>35.957808835828068</v>
      </c>
      <c r="AI1039" s="9">
        <v>38.646304092692077</v>
      </c>
      <c r="AJ1039" s="9">
        <v>3.0428788910505911</v>
      </c>
    </row>
    <row r="1040" spans="1:36" x14ac:dyDescent="0.25">
      <c r="A1040" t="s">
        <v>5411</v>
      </c>
      <c r="B1040" t="s">
        <v>16</v>
      </c>
      <c r="C1040" t="s">
        <v>17</v>
      </c>
      <c r="D1040">
        <v>33500000</v>
      </c>
      <c r="E1040">
        <v>33599999</v>
      </c>
      <c r="F1040" t="s">
        <v>863</v>
      </c>
      <c r="G1040" t="str">
        <f t="shared" si="32"/>
        <v>MGI II</v>
      </c>
      <c r="H1040" t="s">
        <v>851</v>
      </c>
      <c r="I1040" t="s">
        <v>20</v>
      </c>
      <c r="J1040" t="s">
        <v>64</v>
      </c>
      <c r="K1040" s="6">
        <v>0.03</v>
      </c>
      <c r="L1040" s="7">
        <f t="shared" si="33"/>
        <v>2E-3</v>
      </c>
      <c r="M1040" s="7">
        <v>3.0000000000000001E-3</v>
      </c>
      <c r="N1040">
        <v>7</v>
      </c>
      <c r="O1040" s="8">
        <v>17.822306426995311</v>
      </c>
      <c r="P1040" s="9">
        <v>17.822306426995311</v>
      </c>
      <c r="Q1040" s="9">
        <v>17.822306426995311</v>
      </c>
      <c r="R1040" s="9">
        <v>18.237663306594719</v>
      </c>
      <c r="S1040" s="9">
        <v>18.48712920931133</v>
      </c>
      <c r="T1040" s="9">
        <v>19.201553596969877</v>
      </c>
      <c r="U1040" s="9">
        <v>20.562345482855957</v>
      </c>
      <c r="V1040" s="9">
        <v>20.562345482855957</v>
      </c>
      <c r="W1040" s="9">
        <v>20.562345482855957</v>
      </c>
      <c r="X1040" s="9">
        <v>22.391977691000818</v>
      </c>
      <c r="Y1040" s="9">
        <v>22.391977691000818</v>
      </c>
      <c r="Z1040" s="9">
        <v>24.28858708803979</v>
      </c>
      <c r="AA1040" s="9">
        <v>24.28858708803979</v>
      </c>
      <c r="AB1040" s="9">
        <v>25.117335532005217</v>
      </c>
      <c r="AC1040" s="9">
        <v>25.117335532005217</v>
      </c>
      <c r="AD1040" s="9">
        <v>29.039116491286865</v>
      </c>
      <c r="AE1040" s="9">
        <v>31.219251037281825</v>
      </c>
      <c r="AF1040" s="9">
        <v>33.487682081707895</v>
      </c>
      <c r="AG1040" s="9">
        <v>33.487682081707895</v>
      </c>
      <c r="AH1040" s="9">
        <v>36.427668170967245</v>
      </c>
      <c r="AI1040" s="9">
        <v>38.74455996597662</v>
      </c>
      <c r="AJ1040" s="9">
        <v>3.0428788910505911</v>
      </c>
    </row>
    <row r="1041" spans="1:36" x14ac:dyDescent="0.25">
      <c r="A1041" t="s">
        <v>5411</v>
      </c>
      <c r="B1041" t="s">
        <v>16</v>
      </c>
      <c r="C1041" t="s">
        <v>17</v>
      </c>
      <c r="D1041">
        <v>33600000</v>
      </c>
      <c r="E1041">
        <v>33799999</v>
      </c>
      <c r="F1041" t="s">
        <v>864</v>
      </c>
      <c r="G1041" t="str">
        <f t="shared" si="32"/>
        <v>MGI</v>
      </c>
      <c r="H1041" t="s">
        <v>851</v>
      </c>
      <c r="I1041" t="s">
        <v>20</v>
      </c>
      <c r="J1041" t="s">
        <v>62</v>
      </c>
      <c r="K1041" s="6">
        <v>0.03</v>
      </c>
      <c r="L1041" s="7">
        <f t="shared" si="33"/>
        <v>2E-3</v>
      </c>
      <c r="M1041" s="7">
        <v>3.0000000000000001E-3</v>
      </c>
      <c r="N1041">
        <v>7</v>
      </c>
      <c r="O1041" s="8">
        <v>13.880385281502075</v>
      </c>
      <c r="P1041" s="9">
        <v>13.880385281502075</v>
      </c>
      <c r="Q1041" s="9">
        <v>13.880385281502075</v>
      </c>
      <c r="R1041" s="9">
        <v>14.045989937445718</v>
      </c>
      <c r="S1041" s="9">
        <v>14.060876315369912</v>
      </c>
      <c r="T1041" s="9">
        <v>15.090338571208333</v>
      </c>
      <c r="U1041" s="9">
        <v>16.025407313902726</v>
      </c>
      <c r="V1041" s="9">
        <v>16.025407313902726</v>
      </c>
      <c r="W1041" s="9">
        <v>16.025407313902726</v>
      </c>
      <c r="X1041" s="9">
        <v>18.013895748167766</v>
      </c>
      <c r="Y1041" s="9">
        <v>18.013895748167766</v>
      </c>
      <c r="Z1041" s="9">
        <v>20.142868501532355</v>
      </c>
      <c r="AA1041" s="9">
        <v>20.142868501532355</v>
      </c>
      <c r="AB1041" s="9">
        <v>22.456349831314476</v>
      </c>
      <c r="AC1041" s="9">
        <v>22.456349831314476</v>
      </c>
      <c r="AD1041" s="9">
        <v>24.87984091164185</v>
      </c>
      <c r="AE1041" s="9">
        <v>27.427492221952345</v>
      </c>
      <c r="AF1041" s="9">
        <v>33.194804868730657</v>
      </c>
      <c r="AG1041" s="9">
        <v>33.194804868730657</v>
      </c>
      <c r="AH1041" s="9">
        <v>35.957808835828068</v>
      </c>
      <c r="AI1041" s="9">
        <v>38.646304092692077</v>
      </c>
      <c r="AJ1041" s="9">
        <v>3.0428788910505911</v>
      </c>
    </row>
    <row r="1042" spans="1:36" x14ac:dyDescent="0.25">
      <c r="A1042" t="s">
        <v>5411</v>
      </c>
      <c r="B1042" t="s">
        <v>16</v>
      </c>
      <c r="C1042" t="s">
        <v>17</v>
      </c>
      <c r="D1042">
        <v>33800000</v>
      </c>
      <c r="E1042">
        <v>33979999</v>
      </c>
      <c r="F1042" t="s">
        <v>865</v>
      </c>
      <c r="G1042" t="str">
        <f t="shared" si="32"/>
        <v>MGI</v>
      </c>
      <c r="H1042" t="s">
        <v>851</v>
      </c>
      <c r="I1042" t="s">
        <v>20</v>
      </c>
      <c r="J1042" t="s">
        <v>62</v>
      </c>
      <c r="K1042" s="6">
        <v>0.03</v>
      </c>
      <c r="L1042" s="7">
        <f t="shared" si="33"/>
        <v>2E-3</v>
      </c>
      <c r="M1042" s="7">
        <v>3.0000000000000001E-3</v>
      </c>
      <c r="N1042">
        <v>6</v>
      </c>
      <c r="O1042" s="8">
        <v>13.880385281502075</v>
      </c>
      <c r="P1042" s="9">
        <v>13.880385281502075</v>
      </c>
      <c r="Q1042" s="9">
        <v>13.880385281502075</v>
      </c>
      <c r="R1042" s="9">
        <v>14.045989937445718</v>
      </c>
      <c r="S1042" s="9">
        <v>14.060876315369912</v>
      </c>
      <c r="T1042" s="9">
        <v>15.090338571208333</v>
      </c>
      <c r="U1042" s="9">
        <v>16.025407313902726</v>
      </c>
      <c r="V1042" s="9">
        <v>16.025407313902726</v>
      </c>
      <c r="W1042" s="9">
        <v>16.025407313902726</v>
      </c>
      <c r="X1042" s="9">
        <v>18.013895748167766</v>
      </c>
      <c r="Y1042" s="9">
        <v>18.013895748167766</v>
      </c>
      <c r="Z1042" s="9">
        <v>20.142868501532355</v>
      </c>
      <c r="AA1042" s="9">
        <v>20.142868501532355</v>
      </c>
      <c r="AB1042" s="9">
        <v>22.456349831314476</v>
      </c>
      <c r="AC1042" s="9">
        <v>22.456349831314476</v>
      </c>
      <c r="AD1042" s="9">
        <v>24.87984091164185</v>
      </c>
      <c r="AE1042" s="9">
        <v>27.427492221952345</v>
      </c>
      <c r="AF1042" s="9">
        <v>33.194804868730657</v>
      </c>
      <c r="AG1042" s="9">
        <v>33.194804868730657</v>
      </c>
      <c r="AH1042" s="9">
        <v>35.957808835828068</v>
      </c>
      <c r="AI1042" s="9">
        <v>38.646304092692077</v>
      </c>
      <c r="AJ1042" s="9">
        <v>3.0428788910505911</v>
      </c>
    </row>
    <row r="1043" spans="1:36" x14ac:dyDescent="0.25">
      <c r="A1043" t="s">
        <v>5411</v>
      </c>
      <c r="B1043" t="s">
        <v>16</v>
      </c>
      <c r="C1043" t="s">
        <v>17</v>
      </c>
      <c r="D1043">
        <v>33980000</v>
      </c>
      <c r="E1043">
        <v>33999999</v>
      </c>
      <c r="F1043" t="s">
        <v>866</v>
      </c>
      <c r="G1043" t="str">
        <f t="shared" si="32"/>
        <v>MGI II</v>
      </c>
      <c r="H1043" t="s">
        <v>851</v>
      </c>
      <c r="I1043" t="s">
        <v>20</v>
      </c>
      <c r="J1043" t="s">
        <v>64</v>
      </c>
      <c r="K1043" s="6">
        <v>0.03</v>
      </c>
      <c r="L1043" s="7">
        <f t="shared" si="33"/>
        <v>2E-3</v>
      </c>
      <c r="M1043" s="7">
        <v>3.0000000000000001E-3</v>
      </c>
      <c r="N1043">
        <v>8</v>
      </c>
      <c r="O1043" s="8">
        <v>17.822306426995311</v>
      </c>
      <c r="P1043" s="9">
        <v>17.822306426995311</v>
      </c>
      <c r="Q1043" s="9">
        <v>17.822306426995311</v>
      </c>
      <c r="R1043" s="9">
        <v>18.237663306594719</v>
      </c>
      <c r="S1043" s="9">
        <v>18.48712920931133</v>
      </c>
      <c r="T1043" s="9">
        <v>19.201553596969877</v>
      </c>
      <c r="U1043" s="9">
        <v>20.562345482855957</v>
      </c>
      <c r="V1043" s="9">
        <v>20.562345482855957</v>
      </c>
      <c r="W1043" s="9">
        <v>20.562345482855957</v>
      </c>
      <c r="X1043" s="9">
        <v>22.391977691000818</v>
      </c>
      <c r="Y1043" s="9">
        <v>22.391977691000818</v>
      </c>
      <c r="Z1043" s="9">
        <v>24.28858708803979</v>
      </c>
      <c r="AA1043" s="9">
        <v>24.28858708803979</v>
      </c>
      <c r="AB1043" s="9">
        <v>25.117335532005217</v>
      </c>
      <c r="AC1043" s="9">
        <v>25.117335532005217</v>
      </c>
      <c r="AD1043" s="9">
        <v>29.039116491286865</v>
      </c>
      <c r="AE1043" s="9">
        <v>31.219251037281825</v>
      </c>
      <c r="AF1043" s="9">
        <v>33.487682081707895</v>
      </c>
      <c r="AG1043" s="9">
        <v>33.487682081707895</v>
      </c>
      <c r="AH1043" s="9">
        <v>36.427668170967245</v>
      </c>
      <c r="AI1043" s="9">
        <v>38.74455996597662</v>
      </c>
      <c r="AJ1043" s="9">
        <v>3.0428788910505911</v>
      </c>
    </row>
    <row r="1044" spans="1:36" x14ac:dyDescent="0.25">
      <c r="A1044" t="s">
        <v>5411</v>
      </c>
      <c r="B1044" t="s">
        <v>16</v>
      </c>
      <c r="C1044" t="s">
        <v>17</v>
      </c>
      <c r="D1044">
        <v>34000000</v>
      </c>
      <c r="E1044">
        <v>34299999</v>
      </c>
      <c r="F1044" t="s">
        <v>867</v>
      </c>
      <c r="G1044" t="str">
        <f t="shared" si="32"/>
        <v>MGI</v>
      </c>
      <c r="H1044" t="s">
        <v>851</v>
      </c>
      <c r="I1044" t="s">
        <v>20</v>
      </c>
      <c r="J1044" t="s">
        <v>62</v>
      </c>
      <c r="K1044" s="6">
        <v>0.03</v>
      </c>
      <c r="L1044" s="7">
        <f t="shared" si="33"/>
        <v>2E-3</v>
      </c>
      <c r="M1044" s="7">
        <v>3.0000000000000001E-3</v>
      </c>
      <c r="N1044">
        <v>7</v>
      </c>
      <c r="O1044" s="8">
        <v>13.880385281502075</v>
      </c>
      <c r="P1044" s="9">
        <v>13.880385281502075</v>
      </c>
      <c r="Q1044" s="9">
        <v>13.880385281502075</v>
      </c>
      <c r="R1044" s="9">
        <v>14.045989937445718</v>
      </c>
      <c r="S1044" s="9">
        <v>14.060876315369912</v>
      </c>
      <c r="T1044" s="9">
        <v>15.090338571208333</v>
      </c>
      <c r="U1044" s="9">
        <v>16.025407313902726</v>
      </c>
      <c r="V1044" s="9">
        <v>16.025407313902726</v>
      </c>
      <c r="W1044" s="9">
        <v>16.025407313902726</v>
      </c>
      <c r="X1044" s="9">
        <v>18.013895748167766</v>
      </c>
      <c r="Y1044" s="9">
        <v>18.013895748167766</v>
      </c>
      <c r="Z1044" s="9">
        <v>20.142868501532355</v>
      </c>
      <c r="AA1044" s="9">
        <v>20.142868501532355</v>
      </c>
      <c r="AB1044" s="9">
        <v>22.456349831314476</v>
      </c>
      <c r="AC1044" s="9">
        <v>22.456349831314476</v>
      </c>
      <c r="AD1044" s="9">
        <v>24.87984091164185</v>
      </c>
      <c r="AE1044" s="9">
        <v>27.427492221952345</v>
      </c>
      <c r="AF1044" s="9">
        <v>33.194804868730657</v>
      </c>
      <c r="AG1044" s="9">
        <v>33.194804868730657</v>
      </c>
      <c r="AH1044" s="9">
        <v>35.957808835828068</v>
      </c>
      <c r="AI1044" s="9">
        <v>38.646304092692077</v>
      </c>
      <c r="AJ1044" s="9">
        <v>3.0428788910505911</v>
      </c>
    </row>
    <row r="1045" spans="1:36" x14ac:dyDescent="0.25">
      <c r="A1045" t="s">
        <v>5411</v>
      </c>
      <c r="B1045" t="s">
        <v>16</v>
      </c>
      <c r="C1045" t="s">
        <v>17</v>
      </c>
      <c r="D1045">
        <v>34300000</v>
      </c>
      <c r="E1045">
        <v>34399999</v>
      </c>
      <c r="F1045" t="s">
        <v>868</v>
      </c>
      <c r="G1045" t="str">
        <f t="shared" si="32"/>
        <v>MGI II</v>
      </c>
      <c r="H1045" t="s">
        <v>851</v>
      </c>
      <c r="I1045" t="s">
        <v>20</v>
      </c>
      <c r="J1045" t="s">
        <v>64</v>
      </c>
      <c r="K1045" s="6">
        <v>0.03</v>
      </c>
      <c r="L1045" s="7">
        <f t="shared" si="33"/>
        <v>2E-3</v>
      </c>
      <c r="M1045" s="7">
        <v>3.0000000000000001E-3</v>
      </c>
      <c r="N1045">
        <v>7</v>
      </c>
      <c r="O1045" s="8">
        <v>17.822306426995311</v>
      </c>
      <c r="P1045" s="9">
        <v>17.822306426995311</v>
      </c>
      <c r="Q1045" s="9">
        <v>17.822306426995311</v>
      </c>
      <c r="R1045" s="9">
        <v>18.237663306594719</v>
      </c>
      <c r="S1045" s="9">
        <v>18.48712920931133</v>
      </c>
      <c r="T1045" s="9">
        <v>19.201553596969877</v>
      </c>
      <c r="U1045" s="9">
        <v>20.562345482855957</v>
      </c>
      <c r="V1045" s="9">
        <v>20.562345482855957</v>
      </c>
      <c r="W1045" s="9">
        <v>20.562345482855957</v>
      </c>
      <c r="X1045" s="9">
        <v>22.391977691000818</v>
      </c>
      <c r="Y1045" s="9">
        <v>22.391977691000818</v>
      </c>
      <c r="Z1045" s="9">
        <v>24.28858708803979</v>
      </c>
      <c r="AA1045" s="9">
        <v>24.28858708803979</v>
      </c>
      <c r="AB1045" s="9">
        <v>25.117335532005217</v>
      </c>
      <c r="AC1045" s="9">
        <v>25.117335532005217</v>
      </c>
      <c r="AD1045" s="9">
        <v>29.039116491286865</v>
      </c>
      <c r="AE1045" s="9">
        <v>31.219251037281825</v>
      </c>
      <c r="AF1045" s="9">
        <v>33.487682081707895</v>
      </c>
      <c r="AG1045" s="9">
        <v>33.487682081707895</v>
      </c>
      <c r="AH1045" s="9">
        <v>36.427668170967245</v>
      </c>
      <c r="AI1045" s="9">
        <v>38.74455996597662</v>
      </c>
      <c r="AJ1045" s="9">
        <v>3.0428788910505911</v>
      </c>
    </row>
    <row r="1046" spans="1:36" x14ac:dyDescent="0.25">
      <c r="A1046" t="s">
        <v>5411</v>
      </c>
      <c r="B1046" t="s">
        <v>16</v>
      </c>
      <c r="C1046" t="s">
        <v>17</v>
      </c>
      <c r="D1046">
        <v>34400000</v>
      </c>
      <c r="E1046">
        <v>34499999</v>
      </c>
      <c r="F1046" t="s">
        <v>869</v>
      </c>
      <c r="G1046" t="str">
        <f t="shared" si="32"/>
        <v>MGI II</v>
      </c>
      <c r="H1046" t="s">
        <v>851</v>
      </c>
      <c r="I1046" t="s">
        <v>20</v>
      </c>
      <c r="J1046" t="s">
        <v>64</v>
      </c>
      <c r="K1046" s="6">
        <v>0.03</v>
      </c>
      <c r="L1046" s="7">
        <f t="shared" si="33"/>
        <v>2E-3</v>
      </c>
      <c r="M1046" s="7">
        <v>3.0000000000000001E-3</v>
      </c>
      <c r="N1046">
        <v>7</v>
      </c>
      <c r="O1046" s="8">
        <v>17.822306426995311</v>
      </c>
      <c r="P1046" s="9">
        <v>17.822306426995311</v>
      </c>
      <c r="Q1046" s="9">
        <v>17.822306426995311</v>
      </c>
      <c r="R1046" s="9">
        <v>18.237663306594719</v>
      </c>
      <c r="S1046" s="9">
        <v>18.48712920931133</v>
      </c>
      <c r="T1046" s="9">
        <v>19.201553596969877</v>
      </c>
      <c r="U1046" s="9">
        <v>20.562345482855957</v>
      </c>
      <c r="V1046" s="9">
        <v>20.562345482855957</v>
      </c>
      <c r="W1046" s="9">
        <v>20.562345482855957</v>
      </c>
      <c r="X1046" s="9">
        <v>22.391977691000818</v>
      </c>
      <c r="Y1046" s="9">
        <v>22.391977691000818</v>
      </c>
      <c r="Z1046" s="9">
        <v>24.28858708803979</v>
      </c>
      <c r="AA1046" s="9">
        <v>24.28858708803979</v>
      </c>
      <c r="AB1046" s="9">
        <v>25.117335532005217</v>
      </c>
      <c r="AC1046" s="9">
        <v>25.117335532005217</v>
      </c>
      <c r="AD1046" s="9">
        <v>29.039116491286865</v>
      </c>
      <c r="AE1046" s="9">
        <v>31.219251037281825</v>
      </c>
      <c r="AF1046" s="9">
        <v>33.487682081707895</v>
      </c>
      <c r="AG1046" s="9">
        <v>33.487682081707895</v>
      </c>
      <c r="AH1046" s="9">
        <v>36.427668170967245</v>
      </c>
      <c r="AI1046" s="9">
        <v>38.74455996597662</v>
      </c>
      <c r="AJ1046" s="9">
        <v>3.0428788910505911</v>
      </c>
    </row>
    <row r="1047" spans="1:36" x14ac:dyDescent="0.25">
      <c r="A1047" t="s">
        <v>5411</v>
      </c>
      <c r="B1047" t="s">
        <v>16</v>
      </c>
      <c r="C1047" t="s">
        <v>17</v>
      </c>
      <c r="D1047">
        <v>34500000</v>
      </c>
      <c r="E1047">
        <v>34799999</v>
      </c>
      <c r="F1047" t="s">
        <v>870</v>
      </c>
      <c r="G1047" t="str">
        <f t="shared" si="32"/>
        <v>MGI</v>
      </c>
      <c r="H1047" t="s">
        <v>851</v>
      </c>
      <c r="I1047" t="s">
        <v>20</v>
      </c>
      <c r="J1047" t="s">
        <v>62</v>
      </c>
      <c r="K1047" s="6">
        <v>0.03</v>
      </c>
      <c r="L1047" s="7">
        <f t="shared" si="33"/>
        <v>2E-3</v>
      </c>
      <c r="M1047" s="7">
        <v>3.0000000000000001E-3</v>
      </c>
      <c r="N1047">
        <v>7</v>
      </c>
      <c r="O1047" s="8">
        <v>13.880385281502075</v>
      </c>
      <c r="P1047" s="9">
        <v>13.880385281502075</v>
      </c>
      <c r="Q1047" s="9">
        <v>13.880385281502075</v>
      </c>
      <c r="R1047" s="9">
        <v>14.045989937445718</v>
      </c>
      <c r="S1047" s="9">
        <v>14.060876315369912</v>
      </c>
      <c r="T1047" s="9">
        <v>15.090338571208333</v>
      </c>
      <c r="U1047" s="9">
        <v>16.025407313902726</v>
      </c>
      <c r="V1047" s="9">
        <v>16.025407313902726</v>
      </c>
      <c r="W1047" s="9">
        <v>16.025407313902726</v>
      </c>
      <c r="X1047" s="9">
        <v>18.013895748167766</v>
      </c>
      <c r="Y1047" s="9">
        <v>18.013895748167766</v>
      </c>
      <c r="Z1047" s="9">
        <v>20.142868501532355</v>
      </c>
      <c r="AA1047" s="9">
        <v>20.142868501532355</v>
      </c>
      <c r="AB1047" s="9">
        <v>22.456349831314476</v>
      </c>
      <c r="AC1047" s="9">
        <v>22.456349831314476</v>
      </c>
      <c r="AD1047" s="9">
        <v>24.87984091164185</v>
      </c>
      <c r="AE1047" s="9">
        <v>27.427492221952345</v>
      </c>
      <c r="AF1047" s="9">
        <v>33.194804868730657</v>
      </c>
      <c r="AG1047" s="9">
        <v>33.194804868730657</v>
      </c>
      <c r="AH1047" s="9">
        <v>35.957808835828068</v>
      </c>
      <c r="AI1047" s="9">
        <v>38.646304092692077</v>
      </c>
      <c r="AJ1047" s="9">
        <v>3.0428788910505911</v>
      </c>
    </row>
    <row r="1048" spans="1:36" x14ac:dyDescent="0.25">
      <c r="A1048" t="s">
        <v>5411</v>
      </c>
      <c r="B1048" t="s">
        <v>16</v>
      </c>
      <c r="C1048" t="s">
        <v>17</v>
      </c>
      <c r="D1048">
        <v>34800000</v>
      </c>
      <c r="E1048">
        <v>34989999</v>
      </c>
      <c r="F1048" t="s">
        <v>871</v>
      </c>
      <c r="G1048" t="str">
        <f t="shared" si="32"/>
        <v>MGI</v>
      </c>
      <c r="H1048" t="s">
        <v>851</v>
      </c>
      <c r="I1048" t="s">
        <v>20</v>
      </c>
      <c r="J1048" t="s">
        <v>62</v>
      </c>
      <c r="K1048" s="6">
        <v>0.03</v>
      </c>
      <c r="L1048" s="7">
        <f t="shared" si="33"/>
        <v>2E-3</v>
      </c>
      <c r="M1048" s="7">
        <v>3.0000000000000001E-3</v>
      </c>
      <c r="N1048">
        <v>6</v>
      </c>
      <c r="O1048" s="8">
        <v>13.880385281502075</v>
      </c>
      <c r="P1048" s="9">
        <v>13.880385281502075</v>
      </c>
      <c r="Q1048" s="9">
        <v>13.880385281502075</v>
      </c>
      <c r="R1048" s="9">
        <v>14.045989937445718</v>
      </c>
      <c r="S1048" s="9">
        <v>14.060876315369912</v>
      </c>
      <c r="T1048" s="9">
        <v>15.090338571208333</v>
      </c>
      <c r="U1048" s="9">
        <v>16.025407313902726</v>
      </c>
      <c r="V1048" s="9">
        <v>16.025407313902726</v>
      </c>
      <c r="W1048" s="9">
        <v>16.025407313902726</v>
      </c>
      <c r="X1048" s="9">
        <v>18.013895748167766</v>
      </c>
      <c r="Y1048" s="9">
        <v>18.013895748167766</v>
      </c>
      <c r="Z1048" s="9">
        <v>20.142868501532355</v>
      </c>
      <c r="AA1048" s="9">
        <v>20.142868501532355</v>
      </c>
      <c r="AB1048" s="9">
        <v>22.456349831314476</v>
      </c>
      <c r="AC1048" s="9">
        <v>22.456349831314476</v>
      </c>
      <c r="AD1048" s="9">
        <v>24.87984091164185</v>
      </c>
      <c r="AE1048" s="9">
        <v>27.427492221952345</v>
      </c>
      <c r="AF1048" s="9">
        <v>33.194804868730657</v>
      </c>
      <c r="AG1048" s="9">
        <v>33.194804868730657</v>
      </c>
      <c r="AH1048" s="9">
        <v>35.957808835828068</v>
      </c>
      <c r="AI1048" s="9">
        <v>38.646304092692077</v>
      </c>
      <c r="AJ1048" s="9">
        <v>3.0428788910505911</v>
      </c>
    </row>
    <row r="1049" spans="1:36" x14ac:dyDescent="0.25">
      <c r="A1049" t="s">
        <v>5411</v>
      </c>
      <c r="B1049" t="s">
        <v>16</v>
      </c>
      <c r="C1049" t="s">
        <v>17</v>
      </c>
      <c r="D1049">
        <v>34990000</v>
      </c>
      <c r="E1049">
        <v>34999999</v>
      </c>
      <c r="F1049" t="s">
        <v>872</v>
      </c>
      <c r="G1049" t="str">
        <f t="shared" si="32"/>
        <v>MGI II</v>
      </c>
      <c r="H1049" t="s">
        <v>851</v>
      </c>
      <c r="I1049" t="s">
        <v>20</v>
      </c>
      <c r="J1049" t="s">
        <v>64</v>
      </c>
      <c r="K1049" s="6">
        <v>0.03</v>
      </c>
      <c r="L1049" s="7">
        <f t="shared" si="33"/>
        <v>2E-3</v>
      </c>
      <c r="M1049" s="7">
        <v>3.0000000000000001E-3</v>
      </c>
      <c r="N1049">
        <v>4</v>
      </c>
      <c r="O1049" s="8">
        <v>17.822306426995311</v>
      </c>
      <c r="P1049" s="9">
        <v>17.822306426995311</v>
      </c>
      <c r="Q1049" s="9">
        <v>17.822306426995311</v>
      </c>
      <c r="R1049" s="9">
        <v>18.237663306594719</v>
      </c>
      <c r="S1049" s="9">
        <v>18.48712920931133</v>
      </c>
      <c r="T1049" s="9">
        <v>19.201553596969877</v>
      </c>
      <c r="U1049" s="9">
        <v>20.562345482855957</v>
      </c>
      <c r="V1049" s="9">
        <v>20.562345482855957</v>
      </c>
      <c r="W1049" s="9">
        <v>20.562345482855957</v>
      </c>
      <c r="X1049" s="9">
        <v>22.391977691000818</v>
      </c>
      <c r="Y1049" s="9">
        <v>22.391977691000818</v>
      </c>
      <c r="Z1049" s="9">
        <v>24.28858708803979</v>
      </c>
      <c r="AA1049" s="9">
        <v>24.28858708803979</v>
      </c>
      <c r="AB1049" s="9">
        <v>25.117335532005217</v>
      </c>
      <c r="AC1049" s="9">
        <v>25.117335532005217</v>
      </c>
      <c r="AD1049" s="9">
        <v>29.039116491286865</v>
      </c>
      <c r="AE1049" s="9">
        <v>31.219251037281825</v>
      </c>
      <c r="AF1049" s="9">
        <v>33.487682081707895</v>
      </c>
      <c r="AG1049" s="9">
        <v>33.487682081707895</v>
      </c>
      <c r="AH1049" s="9">
        <v>36.427668170967245</v>
      </c>
      <c r="AI1049" s="9">
        <v>38.74455996597662</v>
      </c>
      <c r="AJ1049" s="9">
        <v>3.0428788910505911</v>
      </c>
    </row>
    <row r="1050" spans="1:36" x14ac:dyDescent="0.25">
      <c r="A1050" t="s">
        <v>5411</v>
      </c>
      <c r="B1050" t="s">
        <v>16</v>
      </c>
      <c r="C1050" t="s">
        <v>17</v>
      </c>
      <c r="D1050">
        <v>35000000</v>
      </c>
      <c r="E1050">
        <v>35109999</v>
      </c>
      <c r="F1050" t="s">
        <v>873</v>
      </c>
      <c r="G1050" t="str">
        <f t="shared" si="32"/>
        <v>MGI</v>
      </c>
      <c r="H1050" t="s">
        <v>851</v>
      </c>
      <c r="I1050" t="s">
        <v>20</v>
      </c>
      <c r="J1050" t="s">
        <v>62</v>
      </c>
      <c r="K1050" s="6">
        <v>0.03</v>
      </c>
      <c r="L1050" s="7">
        <f t="shared" si="33"/>
        <v>2E-3</v>
      </c>
      <c r="M1050" s="7">
        <v>3.0000000000000001E-3</v>
      </c>
      <c r="N1050">
        <v>6</v>
      </c>
      <c r="O1050" s="8">
        <v>13.880385281502075</v>
      </c>
      <c r="P1050" s="9">
        <v>13.880385281502075</v>
      </c>
      <c r="Q1050" s="9">
        <v>13.880385281502075</v>
      </c>
      <c r="R1050" s="9">
        <v>14.045989937445718</v>
      </c>
      <c r="S1050" s="9">
        <v>14.060876315369912</v>
      </c>
      <c r="T1050" s="9">
        <v>15.090338571208333</v>
      </c>
      <c r="U1050" s="9">
        <v>16.025407313902726</v>
      </c>
      <c r="V1050" s="9">
        <v>16.025407313902726</v>
      </c>
      <c r="W1050" s="9">
        <v>16.025407313902726</v>
      </c>
      <c r="X1050" s="9">
        <v>18.013895748167766</v>
      </c>
      <c r="Y1050" s="9">
        <v>18.013895748167766</v>
      </c>
      <c r="Z1050" s="9">
        <v>20.142868501532355</v>
      </c>
      <c r="AA1050" s="9">
        <v>20.142868501532355</v>
      </c>
      <c r="AB1050" s="9">
        <v>22.456349831314476</v>
      </c>
      <c r="AC1050" s="9">
        <v>22.456349831314476</v>
      </c>
      <c r="AD1050" s="9">
        <v>24.87984091164185</v>
      </c>
      <c r="AE1050" s="9">
        <v>27.427492221952345</v>
      </c>
      <c r="AF1050" s="9">
        <v>33.194804868730657</v>
      </c>
      <c r="AG1050" s="9">
        <v>33.194804868730657</v>
      </c>
      <c r="AH1050" s="9">
        <v>35.957808835828068</v>
      </c>
      <c r="AI1050" s="9">
        <v>38.646304092692077</v>
      </c>
      <c r="AJ1050" s="9">
        <v>3.0428788910505911</v>
      </c>
    </row>
    <row r="1051" spans="1:36" x14ac:dyDescent="0.25">
      <c r="A1051" t="s">
        <v>5411</v>
      </c>
      <c r="B1051" t="s">
        <v>16</v>
      </c>
      <c r="C1051" t="s">
        <v>17</v>
      </c>
      <c r="D1051">
        <v>35110000</v>
      </c>
      <c r="E1051">
        <v>35111999</v>
      </c>
      <c r="F1051" t="s">
        <v>874</v>
      </c>
      <c r="G1051" t="str">
        <f t="shared" si="32"/>
        <v>MGI II</v>
      </c>
      <c r="H1051" t="s">
        <v>851</v>
      </c>
      <c r="I1051" t="s">
        <v>20</v>
      </c>
      <c r="J1051" t="s">
        <v>64</v>
      </c>
      <c r="K1051" s="6">
        <v>0.03</v>
      </c>
      <c r="L1051" s="7">
        <f t="shared" si="33"/>
        <v>2E-3</v>
      </c>
      <c r="M1051" s="7">
        <v>3.0000000000000001E-3</v>
      </c>
      <c r="N1051">
        <v>8</v>
      </c>
      <c r="O1051" s="8">
        <v>17.822306426995311</v>
      </c>
      <c r="P1051" s="9">
        <v>17.822306426995311</v>
      </c>
      <c r="Q1051" s="9">
        <v>17.822306426995311</v>
      </c>
      <c r="R1051" s="9">
        <v>18.237663306594719</v>
      </c>
      <c r="S1051" s="9">
        <v>18.48712920931133</v>
      </c>
      <c r="T1051" s="9">
        <v>19.201553596969877</v>
      </c>
      <c r="U1051" s="9">
        <v>20.562345482855957</v>
      </c>
      <c r="V1051" s="9">
        <v>20.562345482855957</v>
      </c>
      <c r="W1051" s="9">
        <v>20.562345482855957</v>
      </c>
      <c r="X1051" s="9">
        <v>22.391977691000818</v>
      </c>
      <c r="Y1051" s="9">
        <v>22.391977691000818</v>
      </c>
      <c r="Z1051" s="9">
        <v>24.28858708803979</v>
      </c>
      <c r="AA1051" s="9">
        <v>24.28858708803979</v>
      </c>
      <c r="AB1051" s="9">
        <v>25.117335532005217</v>
      </c>
      <c r="AC1051" s="9">
        <v>25.117335532005217</v>
      </c>
      <c r="AD1051" s="9">
        <v>29.039116491286865</v>
      </c>
      <c r="AE1051" s="9">
        <v>31.219251037281825</v>
      </c>
      <c r="AF1051" s="9">
        <v>33.487682081707895</v>
      </c>
      <c r="AG1051" s="9">
        <v>33.487682081707895</v>
      </c>
      <c r="AH1051" s="9">
        <v>36.427668170967245</v>
      </c>
      <c r="AI1051" s="9">
        <v>38.74455996597662</v>
      </c>
      <c r="AJ1051" s="9">
        <v>3.0428788910505911</v>
      </c>
    </row>
    <row r="1052" spans="1:36" x14ac:dyDescent="0.25">
      <c r="A1052" t="s">
        <v>5411</v>
      </c>
      <c r="B1052" t="s">
        <v>16</v>
      </c>
      <c r="C1052" t="s">
        <v>17</v>
      </c>
      <c r="D1052">
        <v>35112000</v>
      </c>
      <c r="E1052">
        <v>35112999</v>
      </c>
      <c r="F1052" t="s">
        <v>875</v>
      </c>
      <c r="G1052" t="str">
        <f t="shared" si="32"/>
        <v>MGI II</v>
      </c>
      <c r="H1052" t="s">
        <v>851</v>
      </c>
      <c r="I1052" t="s">
        <v>20</v>
      </c>
      <c r="J1052" t="s">
        <v>64</v>
      </c>
      <c r="K1052" s="6">
        <v>0.03</v>
      </c>
      <c r="L1052" s="7">
        <f t="shared" si="33"/>
        <v>2E-3</v>
      </c>
      <c r="M1052" s="7">
        <v>3.0000000000000001E-3</v>
      </c>
      <c r="N1052">
        <v>8</v>
      </c>
      <c r="O1052" s="8">
        <v>17.822306426995311</v>
      </c>
      <c r="P1052" s="9">
        <v>17.822306426995311</v>
      </c>
      <c r="Q1052" s="9">
        <v>17.822306426995311</v>
      </c>
      <c r="R1052" s="9">
        <v>18.237663306594719</v>
      </c>
      <c r="S1052" s="9">
        <v>18.48712920931133</v>
      </c>
      <c r="T1052" s="9">
        <v>19.201553596969877</v>
      </c>
      <c r="U1052" s="9">
        <v>20.562345482855957</v>
      </c>
      <c r="V1052" s="9">
        <v>20.562345482855957</v>
      </c>
      <c r="W1052" s="9">
        <v>20.562345482855957</v>
      </c>
      <c r="X1052" s="9">
        <v>22.391977691000818</v>
      </c>
      <c r="Y1052" s="9">
        <v>22.391977691000818</v>
      </c>
      <c r="Z1052" s="9">
        <v>24.28858708803979</v>
      </c>
      <c r="AA1052" s="9">
        <v>24.28858708803979</v>
      </c>
      <c r="AB1052" s="9">
        <v>25.117335532005217</v>
      </c>
      <c r="AC1052" s="9">
        <v>25.117335532005217</v>
      </c>
      <c r="AD1052" s="9">
        <v>29.039116491286865</v>
      </c>
      <c r="AE1052" s="9">
        <v>31.219251037281825</v>
      </c>
      <c r="AF1052" s="9">
        <v>33.487682081707895</v>
      </c>
      <c r="AG1052" s="9">
        <v>33.487682081707895</v>
      </c>
      <c r="AH1052" s="9">
        <v>36.427668170967245</v>
      </c>
      <c r="AI1052" s="9">
        <v>38.74455996597662</v>
      </c>
      <c r="AJ1052" s="9">
        <v>3.0428788910505911</v>
      </c>
    </row>
    <row r="1053" spans="1:36" x14ac:dyDescent="0.25">
      <c r="A1053" t="s">
        <v>5411</v>
      </c>
      <c r="B1053" t="s">
        <v>16</v>
      </c>
      <c r="C1053" t="s">
        <v>17</v>
      </c>
      <c r="D1053">
        <v>35113000</v>
      </c>
      <c r="E1053">
        <v>35113999</v>
      </c>
      <c r="F1053" t="s">
        <v>876</v>
      </c>
      <c r="G1053" t="str">
        <f t="shared" si="32"/>
        <v>MGI II</v>
      </c>
      <c r="H1053" t="s">
        <v>851</v>
      </c>
      <c r="I1053" t="s">
        <v>20</v>
      </c>
      <c r="J1053" t="s">
        <v>64</v>
      </c>
      <c r="K1053" s="6">
        <v>0.03</v>
      </c>
      <c r="L1053" s="7">
        <f t="shared" si="33"/>
        <v>2E-3</v>
      </c>
      <c r="M1053" s="7">
        <v>3.0000000000000001E-3</v>
      </c>
      <c r="N1053">
        <v>8</v>
      </c>
      <c r="O1053" s="8">
        <v>17.822306426995311</v>
      </c>
      <c r="P1053" s="9">
        <v>17.822306426995311</v>
      </c>
      <c r="Q1053" s="9">
        <v>17.822306426995311</v>
      </c>
      <c r="R1053" s="9">
        <v>18.237663306594719</v>
      </c>
      <c r="S1053" s="9">
        <v>18.48712920931133</v>
      </c>
      <c r="T1053" s="9">
        <v>19.201553596969877</v>
      </c>
      <c r="U1053" s="9">
        <v>20.562345482855957</v>
      </c>
      <c r="V1053" s="9">
        <v>20.562345482855957</v>
      </c>
      <c r="W1053" s="9">
        <v>20.562345482855957</v>
      </c>
      <c r="X1053" s="9">
        <v>22.391977691000818</v>
      </c>
      <c r="Y1053" s="9">
        <v>22.391977691000818</v>
      </c>
      <c r="Z1053" s="9">
        <v>24.28858708803979</v>
      </c>
      <c r="AA1053" s="9">
        <v>24.28858708803979</v>
      </c>
      <c r="AB1053" s="9">
        <v>25.117335532005217</v>
      </c>
      <c r="AC1053" s="9">
        <v>25.117335532005217</v>
      </c>
      <c r="AD1053" s="9">
        <v>29.039116491286865</v>
      </c>
      <c r="AE1053" s="9">
        <v>31.219251037281825</v>
      </c>
      <c r="AF1053" s="9">
        <v>33.487682081707895</v>
      </c>
      <c r="AG1053" s="9">
        <v>33.487682081707895</v>
      </c>
      <c r="AH1053" s="9">
        <v>36.427668170967245</v>
      </c>
      <c r="AI1053" s="9">
        <v>38.74455996597662</v>
      </c>
      <c r="AJ1053" s="9">
        <v>3.0428788910505911</v>
      </c>
    </row>
    <row r="1054" spans="1:36" x14ac:dyDescent="0.25">
      <c r="A1054" t="s">
        <v>5411</v>
      </c>
      <c r="B1054" t="s">
        <v>16</v>
      </c>
      <c r="C1054" t="s">
        <v>17</v>
      </c>
      <c r="D1054">
        <v>35114000</v>
      </c>
      <c r="E1054">
        <v>35114999</v>
      </c>
      <c r="F1054" t="s">
        <v>877</v>
      </c>
      <c r="G1054" t="str">
        <f t="shared" si="32"/>
        <v>MGI II</v>
      </c>
      <c r="H1054" t="s">
        <v>851</v>
      </c>
      <c r="I1054" t="s">
        <v>20</v>
      </c>
      <c r="J1054" t="s">
        <v>64</v>
      </c>
      <c r="K1054" s="6">
        <v>0.03</v>
      </c>
      <c r="L1054" s="7">
        <f t="shared" si="33"/>
        <v>2E-3</v>
      </c>
      <c r="M1054" s="7">
        <v>3.0000000000000001E-3</v>
      </c>
      <c r="N1054">
        <v>8</v>
      </c>
      <c r="O1054" s="8">
        <v>17.822306426995311</v>
      </c>
      <c r="P1054" s="9">
        <v>17.822306426995311</v>
      </c>
      <c r="Q1054" s="9">
        <v>17.822306426995311</v>
      </c>
      <c r="R1054" s="9">
        <v>18.237663306594719</v>
      </c>
      <c r="S1054" s="9">
        <v>18.48712920931133</v>
      </c>
      <c r="T1054" s="9">
        <v>19.201553596969877</v>
      </c>
      <c r="U1054" s="9">
        <v>20.562345482855957</v>
      </c>
      <c r="V1054" s="9">
        <v>20.562345482855957</v>
      </c>
      <c r="W1054" s="9">
        <v>20.562345482855957</v>
      </c>
      <c r="X1054" s="9">
        <v>22.391977691000818</v>
      </c>
      <c r="Y1054" s="9">
        <v>22.391977691000818</v>
      </c>
      <c r="Z1054" s="9">
        <v>24.28858708803979</v>
      </c>
      <c r="AA1054" s="9">
        <v>24.28858708803979</v>
      </c>
      <c r="AB1054" s="9">
        <v>25.117335532005217</v>
      </c>
      <c r="AC1054" s="9">
        <v>25.117335532005217</v>
      </c>
      <c r="AD1054" s="9">
        <v>29.039116491286865</v>
      </c>
      <c r="AE1054" s="9">
        <v>31.219251037281825</v>
      </c>
      <c r="AF1054" s="9">
        <v>33.487682081707895</v>
      </c>
      <c r="AG1054" s="9">
        <v>33.487682081707895</v>
      </c>
      <c r="AH1054" s="9">
        <v>36.427668170967245</v>
      </c>
      <c r="AI1054" s="9">
        <v>38.74455996597662</v>
      </c>
      <c r="AJ1054" s="9">
        <v>3.0428788910505911</v>
      </c>
    </row>
    <row r="1055" spans="1:36" x14ac:dyDescent="0.25">
      <c r="A1055" t="s">
        <v>5411</v>
      </c>
      <c r="B1055" t="s">
        <v>16</v>
      </c>
      <c r="C1055" t="s">
        <v>17</v>
      </c>
      <c r="D1055">
        <v>35115000</v>
      </c>
      <c r="E1055">
        <v>35115999</v>
      </c>
      <c r="F1055" t="s">
        <v>878</v>
      </c>
      <c r="G1055" t="str">
        <f t="shared" si="32"/>
        <v>MGI II</v>
      </c>
      <c r="H1055" t="s">
        <v>851</v>
      </c>
      <c r="I1055" t="s">
        <v>20</v>
      </c>
      <c r="J1055" t="s">
        <v>64</v>
      </c>
      <c r="K1055" s="6">
        <v>0.03</v>
      </c>
      <c r="L1055" s="7">
        <f t="shared" si="33"/>
        <v>2E-3</v>
      </c>
      <c r="M1055" s="7">
        <v>3.0000000000000001E-3</v>
      </c>
      <c r="N1055">
        <v>8</v>
      </c>
      <c r="O1055" s="8">
        <v>17.822306426995311</v>
      </c>
      <c r="P1055" s="9">
        <v>17.822306426995311</v>
      </c>
      <c r="Q1055" s="9">
        <v>17.822306426995311</v>
      </c>
      <c r="R1055" s="9">
        <v>18.237663306594719</v>
      </c>
      <c r="S1055" s="9">
        <v>18.48712920931133</v>
      </c>
      <c r="T1055" s="9">
        <v>19.201553596969877</v>
      </c>
      <c r="U1055" s="9">
        <v>20.562345482855957</v>
      </c>
      <c r="V1055" s="9">
        <v>20.562345482855957</v>
      </c>
      <c r="W1055" s="9">
        <v>20.562345482855957</v>
      </c>
      <c r="X1055" s="9">
        <v>22.391977691000818</v>
      </c>
      <c r="Y1055" s="9">
        <v>22.391977691000818</v>
      </c>
      <c r="Z1055" s="9">
        <v>24.28858708803979</v>
      </c>
      <c r="AA1055" s="9">
        <v>24.28858708803979</v>
      </c>
      <c r="AB1055" s="9">
        <v>25.117335532005217</v>
      </c>
      <c r="AC1055" s="9">
        <v>25.117335532005217</v>
      </c>
      <c r="AD1055" s="9">
        <v>29.039116491286865</v>
      </c>
      <c r="AE1055" s="9">
        <v>31.219251037281825</v>
      </c>
      <c r="AF1055" s="9">
        <v>33.487682081707895</v>
      </c>
      <c r="AG1055" s="9">
        <v>33.487682081707895</v>
      </c>
      <c r="AH1055" s="9">
        <v>36.427668170967245</v>
      </c>
      <c r="AI1055" s="9">
        <v>38.74455996597662</v>
      </c>
      <c r="AJ1055" s="9">
        <v>3.0428788910505911</v>
      </c>
    </row>
    <row r="1056" spans="1:36" x14ac:dyDescent="0.25">
      <c r="A1056" t="s">
        <v>5411</v>
      </c>
      <c r="B1056" t="s">
        <v>16</v>
      </c>
      <c r="C1056" t="s">
        <v>17</v>
      </c>
      <c r="D1056">
        <v>35116000</v>
      </c>
      <c r="E1056">
        <v>35116999</v>
      </c>
      <c r="F1056" t="s">
        <v>692</v>
      </c>
      <c r="G1056" t="str">
        <f t="shared" si="32"/>
        <v>MGI II</v>
      </c>
      <c r="H1056" t="s">
        <v>851</v>
      </c>
      <c r="I1056" t="s">
        <v>20</v>
      </c>
      <c r="J1056" t="s">
        <v>64</v>
      </c>
      <c r="K1056" s="6">
        <v>0.03</v>
      </c>
      <c r="L1056" s="7">
        <f t="shared" si="33"/>
        <v>2E-3</v>
      </c>
      <c r="M1056" s="7">
        <v>3.0000000000000001E-3</v>
      </c>
      <c r="N1056">
        <v>8</v>
      </c>
      <c r="O1056" s="8">
        <v>17.822306426995311</v>
      </c>
      <c r="P1056" s="9">
        <v>17.822306426995311</v>
      </c>
      <c r="Q1056" s="9">
        <v>17.822306426995311</v>
      </c>
      <c r="R1056" s="9">
        <v>18.237663306594719</v>
      </c>
      <c r="S1056" s="9">
        <v>18.48712920931133</v>
      </c>
      <c r="T1056" s="9">
        <v>19.201553596969877</v>
      </c>
      <c r="U1056" s="9">
        <v>20.562345482855957</v>
      </c>
      <c r="V1056" s="9">
        <v>20.562345482855957</v>
      </c>
      <c r="W1056" s="9">
        <v>20.562345482855957</v>
      </c>
      <c r="X1056" s="9">
        <v>22.391977691000818</v>
      </c>
      <c r="Y1056" s="9">
        <v>22.391977691000818</v>
      </c>
      <c r="Z1056" s="9">
        <v>24.28858708803979</v>
      </c>
      <c r="AA1056" s="9">
        <v>24.28858708803979</v>
      </c>
      <c r="AB1056" s="9">
        <v>25.117335532005217</v>
      </c>
      <c r="AC1056" s="9">
        <v>25.117335532005217</v>
      </c>
      <c r="AD1056" s="9">
        <v>29.039116491286865</v>
      </c>
      <c r="AE1056" s="9">
        <v>31.219251037281825</v>
      </c>
      <c r="AF1056" s="9">
        <v>33.487682081707895</v>
      </c>
      <c r="AG1056" s="9">
        <v>33.487682081707895</v>
      </c>
      <c r="AH1056" s="9">
        <v>36.427668170967245</v>
      </c>
      <c r="AI1056" s="9">
        <v>38.74455996597662</v>
      </c>
      <c r="AJ1056" s="9">
        <v>3.0428788910505911</v>
      </c>
    </row>
    <row r="1057" spans="1:36" x14ac:dyDescent="0.25">
      <c r="A1057" t="s">
        <v>5411</v>
      </c>
      <c r="B1057" t="s">
        <v>16</v>
      </c>
      <c r="C1057" t="s">
        <v>17</v>
      </c>
      <c r="D1057">
        <v>35117000</v>
      </c>
      <c r="E1057">
        <v>35117999</v>
      </c>
      <c r="F1057" t="s">
        <v>879</v>
      </c>
      <c r="G1057" t="str">
        <f t="shared" si="32"/>
        <v>MGI II</v>
      </c>
      <c r="H1057" t="s">
        <v>851</v>
      </c>
      <c r="I1057" t="s">
        <v>20</v>
      </c>
      <c r="J1057" t="s">
        <v>64</v>
      </c>
      <c r="K1057" s="6">
        <v>0.03</v>
      </c>
      <c r="L1057" s="7">
        <f t="shared" si="33"/>
        <v>2E-3</v>
      </c>
      <c r="M1057" s="7">
        <v>3.0000000000000001E-3</v>
      </c>
      <c r="N1057">
        <v>8</v>
      </c>
      <c r="O1057" s="8">
        <v>17.822306426995311</v>
      </c>
      <c r="P1057" s="9">
        <v>17.822306426995311</v>
      </c>
      <c r="Q1057" s="9">
        <v>17.822306426995311</v>
      </c>
      <c r="R1057" s="9">
        <v>18.237663306594719</v>
      </c>
      <c r="S1057" s="9">
        <v>18.48712920931133</v>
      </c>
      <c r="T1057" s="9">
        <v>19.201553596969877</v>
      </c>
      <c r="U1057" s="9">
        <v>20.562345482855957</v>
      </c>
      <c r="V1057" s="9">
        <v>20.562345482855957</v>
      </c>
      <c r="W1057" s="9">
        <v>20.562345482855957</v>
      </c>
      <c r="X1057" s="9">
        <v>22.391977691000818</v>
      </c>
      <c r="Y1057" s="9">
        <v>22.391977691000818</v>
      </c>
      <c r="Z1057" s="9">
        <v>24.28858708803979</v>
      </c>
      <c r="AA1057" s="9">
        <v>24.28858708803979</v>
      </c>
      <c r="AB1057" s="9">
        <v>25.117335532005217</v>
      </c>
      <c r="AC1057" s="9">
        <v>25.117335532005217</v>
      </c>
      <c r="AD1057" s="9">
        <v>29.039116491286865</v>
      </c>
      <c r="AE1057" s="9">
        <v>31.219251037281825</v>
      </c>
      <c r="AF1057" s="9">
        <v>33.487682081707895</v>
      </c>
      <c r="AG1057" s="9">
        <v>33.487682081707895</v>
      </c>
      <c r="AH1057" s="9">
        <v>36.427668170967245</v>
      </c>
      <c r="AI1057" s="9">
        <v>38.74455996597662</v>
      </c>
      <c r="AJ1057" s="9">
        <v>3.0428788910505911</v>
      </c>
    </row>
    <row r="1058" spans="1:36" x14ac:dyDescent="0.25">
      <c r="A1058" t="s">
        <v>5411</v>
      </c>
      <c r="B1058" t="s">
        <v>16</v>
      </c>
      <c r="C1058" t="s">
        <v>17</v>
      </c>
      <c r="D1058">
        <v>35118000</v>
      </c>
      <c r="E1058">
        <v>35119999</v>
      </c>
      <c r="F1058" t="s">
        <v>880</v>
      </c>
      <c r="G1058" t="str">
        <f t="shared" si="32"/>
        <v>MGI II</v>
      </c>
      <c r="H1058" t="s">
        <v>851</v>
      </c>
      <c r="I1058" t="s">
        <v>20</v>
      </c>
      <c r="J1058" t="s">
        <v>64</v>
      </c>
      <c r="K1058" s="6">
        <v>0.03</v>
      </c>
      <c r="L1058" s="7">
        <f t="shared" si="33"/>
        <v>2E-3</v>
      </c>
      <c r="M1058" s="7">
        <v>3.0000000000000001E-3</v>
      </c>
      <c r="N1058">
        <v>8</v>
      </c>
      <c r="O1058" s="8">
        <v>17.822306426995311</v>
      </c>
      <c r="P1058" s="9">
        <v>17.822306426995311</v>
      </c>
      <c r="Q1058" s="9">
        <v>17.822306426995311</v>
      </c>
      <c r="R1058" s="9">
        <v>18.237663306594719</v>
      </c>
      <c r="S1058" s="9">
        <v>18.48712920931133</v>
      </c>
      <c r="T1058" s="9">
        <v>19.201553596969877</v>
      </c>
      <c r="U1058" s="9">
        <v>20.562345482855957</v>
      </c>
      <c r="V1058" s="9">
        <v>20.562345482855957</v>
      </c>
      <c r="W1058" s="9">
        <v>20.562345482855957</v>
      </c>
      <c r="X1058" s="9">
        <v>22.391977691000818</v>
      </c>
      <c r="Y1058" s="9">
        <v>22.391977691000818</v>
      </c>
      <c r="Z1058" s="9">
        <v>24.28858708803979</v>
      </c>
      <c r="AA1058" s="9">
        <v>24.28858708803979</v>
      </c>
      <c r="AB1058" s="9">
        <v>25.117335532005217</v>
      </c>
      <c r="AC1058" s="9">
        <v>25.117335532005217</v>
      </c>
      <c r="AD1058" s="9">
        <v>29.039116491286865</v>
      </c>
      <c r="AE1058" s="9">
        <v>31.219251037281825</v>
      </c>
      <c r="AF1058" s="9">
        <v>33.487682081707895</v>
      </c>
      <c r="AG1058" s="9">
        <v>33.487682081707895</v>
      </c>
      <c r="AH1058" s="9">
        <v>36.427668170967245</v>
      </c>
      <c r="AI1058" s="9">
        <v>38.74455996597662</v>
      </c>
      <c r="AJ1058" s="9">
        <v>3.0428788910505911</v>
      </c>
    </row>
    <row r="1059" spans="1:36" x14ac:dyDescent="0.25">
      <c r="A1059" t="s">
        <v>5411</v>
      </c>
      <c r="B1059" t="s">
        <v>16</v>
      </c>
      <c r="C1059" t="s">
        <v>17</v>
      </c>
      <c r="D1059">
        <v>35120000</v>
      </c>
      <c r="E1059">
        <v>35122999</v>
      </c>
      <c r="F1059" t="s">
        <v>881</v>
      </c>
      <c r="G1059" t="str">
        <f t="shared" si="32"/>
        <v>MGI II</v>
      </c>
      <c r="H1059" t="s">
        <v>851</v>
      </c>
      <c r="I1059" t="s">
        <v>20</v>
      </c>
      <c r="J1059" t="s">
        <v>64</v>
      </c>
      <c r="K1059" s="6">
        <v>0.03</v>
      </c>
      <c r="L1059" s="7">
        <f t="shared" si="33"/>
        <v>2E-3</v>
      </c>
      <c r="M1059" s="7">
        <v>3.0000000000000001E-3</v>
      </c>
      <c r="N1059">
        <v>8</v>
      </c>
      <c r="O1059" s="8">
        <v>17.822306426995311</v>
      </c>
      <c r="P1059" s="9">
        <v>17.822306426995311</v>
      </c>
      <c r="Q1059" s="9">
        <v>17.822306426995311</v>
      </c>
      <c r="R1059" s="9">
        <v>18.237663306594719</v>
      </c>
      <c r="S1059" s="9">
        <v>18.48712920931133</v>
      </c>
      <c r="T1059" s="9">
        <v>19.201553596969877</v>
      </c>
      <c r="U1059" s="9">
        <v>20.562345482855957</v>
      </c>
      <c r="V1059" s="9">
        <v>20.562345482855957</v>
      </c>
      <c r="W1059" s="9">
        <v>20.562345482855957</v>
      </c>
      <c r="X1059" s="9">
        <v>22.391977691000818</v>
      </c>
      <c r="Y1059" s="9">
        <v>22.391977691000818</v>
      </c>
      <c r="Z1059" s="9">
        <v>24.28858708803979</v>
      </c>
      <c r="AA1059" s="9">
        <v>24.28858708803979</v>
      </c>
      <c r="AB1059" s="9">
        <v>25.117335532005217</v>
      </c>
      <c r="AC1059" s="9">
        <v>25.117335532005217</v>
      </c>
      <c r="AD1059" s="9">
        <v>29.039116491286865</v>
      </c>
      <c r="AE1059" s="9">
        <v>31.219251037281825</v>
      </c>
      <c r="AF1059" s="9">
        <v>33.487682081707895</v>
      </c>
      <c r="AG1059" s="9">
        <v>33.487682081707895</v>
      </c>
      <c r="AH1059" s="9">
        <v>36.427668170967245</v>
      </c>
      <c r="AI1059" s="9">
        <v>38.74455996597662</v>
      </c>
      <c r="AJ1059" s="9">
        <v>3.0428788910505911</v>
      </c>
    </row>
    <row r="1060" spans="1:36" x14ac:dyDescent="0.25">
      <c r="A1060" t="s">
        <v>5411</v>
      </c>
      <c r="B1060" t="s">
        <v>16</v>
      </c>
      <c r="C1060" t="s">
        <v>17</v>
      </c>
      <c r="D1060">
        <v>35123000</v>
      </c>
      <c r="E1060">
        <v>35124999</v>
      </c>
      <c r="F1060" t="s">
        <v>882</v>
      </c>
      <c r="G1060" t="str">
        <f t="shared" si="32"/>
        <v>MGI II</v>
      </c>
      <c r="H1060" t="s">
        <v>851</v>
      </c>
      <c r="I1060" t="s">
        <v>20</v>
      </c>
      <c r="J1060" t="s">
        <v>64</v>
      </c>
      <c r="K1060" s="6">
        <v>0.03</v>
      </c>
      <c r="L1060" s="7">
        <f t="shared" si="33"/>
        <v>2E-3</v>
      </c>
      <c r="M1060" s="7">
        <v>3.0000000000000001E-3</v>
      </c>
      <c r="N1060">
        <v>8</v>
      </c>
      <c r="O1060" s="8">
        <v>17.822306426995311</v>
      </c>
      <c r="P1060" s="9">
        <v>17.822306426995311</v>
      </c>
      <c r="Q1060" s="9">
        <v>17.822306426995311</v>
      </c>
      <c r="R1060" s="9">
        <v>18.237663306594719</v>
      </c>
      <c r="S1060" s="9">
        <v>18.48712920931133</v>
      </c>
      <c r="T1060" s="9">
        <v>19.201553596969877</v>
      </c>
      <c r="U1060" s="9">
        <v>20.562345482855957</v>
      </c>
      <c r="V1060" s="9">
        <v>20.562345482855957</v>
      </c>
      <c r="W1060" s="9">
        <v>20.562345482855957</v>
      </c>
      <c r="X1060" s="9">
        <v>22.391977691000818</v>
      </c>
      <c r="Y1060" s="9">
        <v>22.391977691000818</v>
      </c>
      <c r="Z1060" s="9">
        <v>24.28858708803979</v>
      </c>
      <c r="AA1060" s="9">
        <v>24.28858708803979</v>
      </c>
      <c r="AB1060" s="9">
        <v>25.117335532005217</v>
      </c>
      <c r="AC1060" s="9">
        <v>25.117335532005217</v>
      </c>
      <c r="AD1060" s="9">
        <v>29.039116491286865</v>
      </c>
      <c r="AE1060" s="9">
        <v>31.219251037281825</v>
      </c>
      <c r="AF1060" s="9">
        <v>33.487682081707895</v>
      </c>
      <c r="AG1060" s="9">
        <v>33.487682081707895</v>
      </c>
      <c r="AH1060" s="9">
        <v>36.427668170967245</v>
      </c>
      <c r="AI1060" s="9">
        <v>38.74455996597662</v>
      </c>
      <c r="AJ1060" s="9">
        <v>3.0428788910505911</v>
      </c>
    </row>
    <row r="1061" spans="1:36" x14ac:dyDescent="0.25">
      <c r="A1061" t="s">
        <v>5411</v>
      </c>
      <c r="B1061" t="s">
        <v>16</v>
      </c>
      <c r="C1061" t="s">
        <v>17</v>
      </c>
      <c r="D1061">
        <v>35125000</v>
      </c>
      <c r="E1061">
        <v>35129999</v>
      </c>
      <c r="F1061" t="s">
        <v>883</v>
      </c>
      <c r="G1061" t="str">
        <f t="shared" si="32"/>
        <v>MGI II</v>
      </c>
      <c r="H1061" t="s">
        <v>851</v>
      </c>
      <c r="I1061" t="s">
        <v>20</v>
      </c>
      <c r="J1061" t="s">
        <v>64</v>
      </c>
      <c r="K1061" s="6">
        <v>0.03</v>
      </c>
      <c r="L1061" s="7">
        <f t="shared" si="33"/>
        <v>2E-3</v>
      </c>
      <c r="M1061" s="7">
        <v>3.0000000000000001E-3</v>
      </c>
      <c r="N1061">
        <v>8</v>
      </c>
      <c r="O1061" s="8">
        <v>17.822306426995311</v>
      </c>
      <c r="P1061" s="9">
        <v>17.822306426995311</v>
      </c>
      <c r="Q1061" s="9">
        <v>17.822306426995311</v>
      </c>
      <c r="R1061" s="9">
        <v>18.237663306594719</v>
      </c>
      <c r="S1061" s="9">
        <v>18.48712920931133</v>
      </c>
      <c r="T1061" s="9">
        <v>19.201553596969877</v>
      </c>
      <c r="U1061" s="9">
        <v>20.562345482855957</v>
      </c>
      <c r="V1061" s="9">
        <v>20.562345482855957</v>
      </c>
      <c r="W1061" s="9">
        <v>20.562345482855957</v>
      </c>
      <c r="X1061" s="9">
        <v>22.391977691000818</v>
      </c>
      <c r="Y1061" s="9">
        <v>22.391977691000818</v>
      </c>
      <c r="Z1061" s="9">
        <v>24.28858708803979</v>
      </c>
      <c r="AA1061" s="9">
        <v>24.28858708803979</v>
      </c>
      <c r="AB1061" s="9">
        <v>25.117335532005217</v>
      </c>
      <c r="AC1061" s="9">
        <v>25.117335532005217</v>
      </c>
      <c r="AD1061" s="9">
        <v>29.039116491286865</v>
      </c>
      <c r="AE1061" s="9">
        <v>31.219251037281825</v>
      </c>
      <c r="AF1061" s="9">
        <v>33.487682081707895</v>
      </c>
      <c r="AG1061" s="9">
        <v>33.487682081707895</v>
      </c>
      <c r="AH1061" s="9">
        <v>36.427668170967245</v>
      </c>
      <c r="AI1061" s="9">
        <v>38.74455996597662</v>
      </c>
      <c r="AJ1061" s="9">
        <v>3.0428788910505911</v>
      </c>
    </row>
    <row r="1062" spans="1:36" x14ac:dyDescent="0.25">
      <c r="A1062" t="s">
        <v>5411</v>
      </c>
      <c r="B1062" t="s">
        <v>16</v>
      </c>
      <c r="C1062" t="s">
        <v>17</v>
      </c>
      <c r="D1062">
        <v>35130000</v>
      </c>
      <c r="E1062">
        <v>35134999</v>
      </c>
      <c r="F1062" t="s">
        <v>884</v>
      </c>
      <c r="G1062" t="str">
        <f t="shared" si="32"/>
        <v>MGI II</v>
      </c>
      <c r="H1062" t="s">
        <v>851</v>
      </c>
      <c r="I1062" t="s">
        <v>20</v>
      </c>
      <c r="J1062" t="s">
        <v>64</v>
      </c>
      <c r="K1062" s="6">
        <v>0.03</v>
      </c>
      <c r="L1062" s="7">
        <f t="shared" si="33"/>
        <v>2E-3</v>
      </c>
      <c r="M1062" s="7">
        <v>3.0000000000000001E-3</v>
      </c>
      <c r="N1062">
        <v>8</v>
      </c>
      <c r="O1062" s="8">
        <v>17.822306426995311</v>
      </c>
      <c r="P1062" s="9">
        <v>17.822306426995311</v>
      </c>
      <c r="Q1062" s="9">
        <v>17.822306426995311</v>
      </c>
      <c r="R1062" s="9">
        <v>18.237663306594719</v>
      </c>
      <c r="S1062" s="9">
        <v>18.48712920931133</v>
      </c>
      <c r="T1062" s="9">
        <v>19.201553596969877</v>
      </c>
      <c r="U1062" s="9">
        <v>20.562345482855957</v>
      </c>
      <c r="V1062" s="9">
        <v>20.562345482855957</v>
      </c>
      <c r="W1062" s="9">
        <v>20.562345482855957</v>
      </c>
      <c r="X1062" s="9">
        <v>22.391977691000818</v>
      </c>
      <c r="Y1062" s="9">
        <v>22.391977691000818</v>
      </c>
      <c r="Z1062" s="9">
        <v>24.28858708803979</v>
      </c>
      <c r="AA1062" s="9">
        <v>24.28858708803979</v>
      </c>
      <c r="AB1062" s="9">
        <v>25.117335532005217</v>
      </c>
      <c r="AC1062" s="9">
        <v>25.117335532005217</v>
      </c>
      <c r="AD1062" s="9">
        <v>29.039116491286865</v>
      </c>
      <c r="AE1062" s="9">
        <v>31.219251037281825</v>
      </c>
      <c r="AF1062" s="9">
        <v>33.487682081707895</v>
      </c>
      <c r="AG1062" s="9">
        <v>33.487682081707895</v>
      </c>
      <c r="AH1062" s="9">
        <v>36.427668170967245</v>
      </c>
      <c r="AI1062" s="9">
        <v>38.74455996597662</v>
      </c>
      <c r="AJ1062" s="9">
        <v>3.0428788910505911</v>
      </c>
    </row>
    <row r="1063" spans="1:36" x14ac:dyDescent="0.25">
      <c r="A1063" t="s">
        <v>5411</v>
      </c>
      <c r="B1063" t="s">
        <v>16</v>
      </c>
      <c r="C1063" t="s">
        <v>17</v>
      </c>
      <c r="D1063">
        <v>35135000</v>
      </c>
      <c r="E1063">
        <v>35137999</v>
      </c>
      <c r="F1063" t="s">
        <v>885</v>
      </c>
      <c r="G1063" t="str">
        <f t="shared" si="32"/>
        <v>MGI II</v>
      </c>
      <c r="H1063" t="s">
        <v>851</v>
      </c>
      <c r="I1063" t="s">
        <v>20</v>
      </c>
      <c r="J1063" t="s">
        <v>64</v>
      </c>
      <c r="K1063" s="6">
        <v>0.03</v>
      </c>
      <c r="L1063" s="7">
        <f t="shared" si="33"/>
        <v>2E-3</v>
      </c>
      <c r="M1063" s="7">
        <v>3.0000000000000001E-3</v>
      </c>
      <c r="N1063">
        <v>8</v>
      </c>
      <c r="O1063" s="8">
        <v>17.822306426995311</v>
      </c>
      <c r="P1063" s="9">
        <v>17.822306426995311</v>
      </c>
      <c r="Q1063" s="9">
        <v>17.822306426995311</v>
      </c>
      <c r="R1063" s="9">
        <v>18.237663306594719</v>
      </c>
      <c r="S1063" s="9">
        <v>18.48712920931133</v>
      </c>
      <c r="T1063" s="9">
        <v>19.201553596969877</v>
      </c>
      <c r="U1063" s="9">
        <v>20.562345482855957</v>
      </c>
      <c r="V1063" s="9">
        <v>20.562345482855957</v>
      </c>
      <c r="W1063" s="9">
        <v>20.562345482855957</v>
      </c>
      <c r="X1063" s="9">
        <v>22.391977691000818</v>
      </c>
      <c r="Y1063" s="9">
        <v>22.391977691000818</v>
      </c>
      <c r="Z1063" s="9">
        <v>24.28858708803979</v>
      </c>
      <c r="AA1063" s="9">
        <v>24.28858708803979</v>
      </c>
      <c r="AB1063" s="9">
        <v>25.117335532005217</v>
      </c>
      <c r="AC1063" s="9">
        <v>25.117335532005217</v>
      </c>
      <c r="AD1063" s="9">
        <v>29.039116491286865</v>
      </c>
      <c r="AE1063" s="9">
        <v>31.219251037281825</v>
      </c>
      <c r="AF1063" s="9">
        <v>33.487682081707895</v>
      </c>
      <c r="AG1063" s="9">
        <v>33.487682081707895</v>
      </c>
      <c r="AH1063" s="9">
        <v>36.427668170967245</v>
      </c>
      <c r="AI1063" s="9">
        <v>38.74455996597662</v>
      </c>
      <c r="AJ1063" s="9">
        <v>3.0428788910505911</v>
      </c>
    </row>
    <row r="1064" spans="1:36" x14ac:dyDescent="0.25">
      <c r="A1064" t="s">
        <v>5411</v>
      </c>
      <c r="B1064" t="s">
        <v>16</v>
      </c>
      <c r="C1064" t="s">
        <v>17</v>
      </c>
      <c r="D1064">
        <v>35138000</v>
      </c>
      <c r="E1064">
        <v>35139999</v>
      </c>
      <c r="F1064" t="s">
        <v>886</v>
      </c>
      <c r="G1064" t="str">
        <f t="shared" si="32"/>
        <v>MGI II</v>
      </c>
      <c r="H1064" t="s">
        <v>851</v>
      </c>
      <c r="I1064" t="s">
        <v>20</v>
      </c>
      <c r="J1064" t="s">
        <v>64</v>
      </c>
      <c r="K1064" s="6">
        <v>0.03</v>
      </c>
      <c r="L1064" s="7">
        <f t="shared" si="33"/>
        <v>2E-3</v>
      </c>
      <c r="M1064" s="7">
        <v>3.0000000000000001E-3</v>
      </c>
      <c r="N1064">
        <v>8</v>
      </c>
      <c r="O1064" s="8">
        <v>17.822306426995311</v>
      </c>
      <c r="P1064" s="9">
        <v>17.822306426995311</v>
      </c>
      <c r="Q1064" s="9">
        <v>17.822306426995311</v>
      </c>
      <c r="R1064" s="9">
        <v>18.237663306594719</v>
      </c>
      <c r="S1064" s="9">
        <v>18.48712920931133</v>
      </c>
      <c r="T1064" s="9">
        <v>19.201553596969877</v>
      </c>
      <c r="U1064" s="9">
        <v>20.562345482855957</v>
      </c>
      <c r="V1064" s="9">
        <v>20.562345482855957</v>
      </c>
      <c r="W1064" s="9">
        <v>20.562345482855957</v>
      </c>
      <c r="X1064" s="9">
        <v>22.391977691000818</v>
      </c>
      <c r="Y1064" s="9">
        <v>22.391977691000818</v>
      </c>
      <c r="Z1064" s="9">
        <v>24.28858708803979</v>
      </c>
      <c r="AA1064" s="9">
        <v>24.28858708803979</v>
      </c>
      <c r="AB1064" s="9">
        <v>25.117335532005217</v>
      </c>
      <c r="AC1064" s="9">
        <v>25.117335532005217</v>
      </c>
      <c r="AD1064" s="9">
        <v>29.039116491286865</v>
      </c>
      <c r="AE1064" s="9">
        <v>31.219251037281825</v>
      </c>
      <c r="AF1064" s="9">
        <v>33.487682081707895</v>
      </c>
      <c r="AG1064" s="9">
        <v>33.487682081707895</v>
      </c>
      <c r="AH1064" s="9">
        <v>36.427668170967245</v>
      </c>
      <c r="AI1064" s="9">
        <v>38.74455996597662</v>
      </c>
      <c r="AJ1064" s="9">
        <v>3.0428788910505911</v>
      </c>
    </row>
    <row r="1065" spans="1:36" x14ac:dyDescent="0.25">
      <c r="A1065" t="s">
        <v>5411</v>
      </c>
      <c r="B1065" t="s">
        <v>16</v>
      </c>
      <c r="C1065" t="s">
        <v>17</v>
      </c>
      <c r="D1065">
        <v>35140000</v>
      </c>
      <c r="E1065">
        <v>35143999</v>
      </c>
      <c r="F1065" t="s">
        <v>887</v>
      </c>
      <c r="G1065" t="str">
        <f t="shared" si="32"/>
        <v>MGI II</v>
      </c>
      <c r="H1065" t="s">
        <v>851</v>
      </c>
      <c r="I1065" t="s">
        <v>20</v>
      </c>
      <c r="J1065" t="s">
        <v>64</v>
      </c>
      <c r="K1065" s="6">
        <v>0.03</v>
      </c>
      <c r="L1065" s="7">
        <f t="shared" si="33"/>
        <v>2E-3</v>
      </c>
      <c r="M1065" s="7">
        <v>3.0000000000000001E-3</v>
      </c>
      <c r="N1065">
        <v>8</v>
      </c>
      <c r="O1065" s="8">
        <v>17.822306426995311</v>
      </c>
      <c r="P1065" s="9">
        <v>17.822306426995311</v>
      </c>
      <c r="Q1065" s="9">
        <v>17.822306426995311</v>
      </c>
      <c r="R1065" s="9">
        <v>18.237663306594719</v>
      </c>
      <c r="S1065" s="9">
        <v>18.48712920931133</v>
      </c>
      <c r="T1065" s="9">
        <v>19.201553596969877</v>
      </c>
      <c r="U1065" s="9">
        <v>20.562345482855957</v>
      </c>
      <c r="V1065" s="9">
        <v>20.562345482855957</v>
      </c>
      <c r="W1065" s="9">
        <v>20.562345482855957</v>
      </c>
      <c r="X1065" s="9">
        <v>22.391977691000818</v>
      </c>
      <c r="Y1065" s="9">
        <v>22.391977691000818</v>
      </c>
      <c r="Z1065" s="9">
        <v>24.28858708803979</v>
      </c>
      <c r="AA1065" s="9">
        <v>24.28858708803979</v>
      </c>
      <c r="AB1065" s="9">
        <v>25.117335532005217</v>
      </c>
      <c r="AC1065" s="9">
        <v>25.117335532005217</v>
      </c>
      <c r="AD1065" s="9">
        <v>29.039116491286865</v>
      </c>
      <c r="AE1065" s="9">
        <v>31.219251037281825</v>
      </c>
      <c r="AF1065" s="9">
        <v>33.487682081707895</v>
      </c>
      <c r="AG1065" s="9">
        <v>33.487682081707895</v>
      </c>
      <c r="AH1065" s="9">
        <v>36.427668170967245</v>
      </c>
      <c r="AI1065" s="9">
        <v>38.74455996597662</v>
      </c>
      <c r="AJ1065" s="9">
        <v>3.0428788910505911</v>
      </c>
    </row>
    <row r="1066" spans="1:36" x14ac:dyDescent="0.25">
      <c r="A1066" t="s">
        <v>5411</v>
      </c>
      <c r="B1066" t="s">
        <v>16</v>
      </c>
      <c r="C1066" t="s">
        <v>17</v>
      </c>
      <c r="D1066">
        <v>35144000</v>
      </c>
      <c r="E1066">
        <v>35145999</v>
      </c>
      <c r="F1066" t="s">
        <v>888</v>
      </c>
      <c r="G1066" t="str">
        <f t="shared" si="32"/>
        <v>MGI II</v>
      </c>
      <c r="H1066" t="s">
        <v>851</v>
      </c>
      <c r="I1066" t="s">
        <v>20</v>
      </c>
      <c r="J1066" t="s">
        <v>64</v>
      </c>
      <c r="K1066" s="6">
        <v>0.03</v>
      </c>
      <c r="L1066" s="7">
        <f t="shared" si="33"/>
        <v>2E-3</v>
      </c>
      <c r="M1066" s="7">
        <v>3.0000000000000001E-3</v>
      </c>
      <c r="N1066">
        <v>8</v>
      </c>
      <c r="O1066" s="8">
        <v>17.822306426995311</v>
      </c>
      <c r="P1066" s="9">
        <v>17.822306426995311</v>
      </c>
      <c r="Q1066" s="9">
        <v>17.822306426995311</v>
      </c>
      <c r="R1066" s="9">
        <v>18.237663306594719</v>
      </c>
      <c r="S1066" s="9">
        <v>18.48712920931133</v>
      </c>
      <c r="T1066" s="9">
        <v>19.201553596969877</v>
      </c>
      <c r="U1066" s="9">
        <v>20.562345482855957</v>
      </c>
      <c r="V1066" s="9">
        <v>20.562345482855957</v>
      </c>
      <c r="W1066" s="9">
        <v>20.562345482855957</v>
      </c>
      <c r="X1066" s="9">
        <v>22.391977691000818</v>
      </c>
      <c r="Y1066" s="9">
        <v>22.391977691000818</v>
      </c>
      <c r="Z1066" s="9">
        <v>24.28858708803979</v>
      </c>
      <c r="AA1066" s="9">
        <v>24.28858708803979</v>
      </c>
      <c r="AB1066" s="9">
        <v>25.117335532005217</v>
      </c>
      <c r="AC1066" s="9">
        <v>25.117335532005217</v>
      </c>
      <c r="AD1066" s="9">
        <v>29.039116491286865</v>
      </c>
      <c r="AE1066" s="9">
        <v>31.219251037281825</v>
      </c>
      <c r="AF1066" s="9">
        <v>33.487682081707895</v>
      </c>
      <c r="AG1066" s="9">
        <v>33.487682081707895</v>
      </c>
      <c r="AH1066" s="9">
        <v>36.427668170967245</v>
      </c>
      <c r="AI1066" s="9">
        <v>38.74455996597662</v>
      </c>
      <c r="AJ1066" s="9">
        <v>3.0428788910505911</v>
      </c>
    </row>
    <row r="1067" spans="1:36" x14ac:dyDescent="0.25">
      <c r="A1067" t="s">
        <v>5411</v>
      </c>
      <c r="B1067" t="s">
        <v>16</v>
      </c>
      <c r="C1067" t="s">
        <v>17</v>
      </c>
      <c r="D1067">
        <v>35146000</v>
      </c>
      <c r="E1067">
        <v>35146999</v>
      </c>
      <c r="F1067" t="s">
        <v>889</v>
      </c>
      <c r="G1067" t="str">
        <f t="shared" si="32"/>
        <v>MGI II</v>
      </c>
      <c r="H1067" t="s">
        <v>851</v>
      </c>
      <c r="I1067" t="s">
        <v>20</v>
      </c>
      <c r="J1067" t="s">
        <v>64</v>
      </c>
      <c r="K1067" s="6">
        <v>0.03</v>
      </c>
      <c r="L1067" s="7">
        <f t="shared" si="33"/>
        <v>2E-3</v>
      </c>
      <c r="M1067" s="7">
        <v>3.0000000000000001E-3</v>
      </c>
      <c r="N1067">
        <v>8</v>
      </c>
      <c r="O1067" s="8">
        <v>17.822306426995311</v>
      </c>
      <c r="P1067" s="9">
        <v>17.822306426995311</v>
      </c>
      <c r="Q1067" s="9">
        <v>17.822306426995311</v>
      </c>
      <c r="R1067" s="9">
        <v>18.237663306594719</v>
      </c>
      <c r="S1067" s="9">
        <v>18.48712920931133</v>
      </c>
      <c r="T1067" s="9">
        <v>19.201553596969877</v>
      </c>
      <c r="U1067" s="9">
        <v>20.562345482855957</v>
      </c>
      <c r="V1067" s="9">
        <v>20.562345482855957</v>
      </c>
      <c r="W1067" s="9">
        <v>20.562345482855957</v>
      </c>
      <c r="X1067" s="9">
        <v>22.391977691000818</v>
      </c>
      <c r="Y1067" s="9">
        <v>22.391977691000818</v>
      </c>
      <c r="Z1067" s="9">
        <v>24.28858708803979</v>
      </c>
      <c r="AA1067" s="9">
        <v>24.28858708803979</v>
      </c>
      <c r="AB1067" s="9">
        <v>25.117335532005217</v>
      </c>
      <c r="AC1067" s="9">
        <v>25.117335532005217</v>
      </c>
      <c r="AD1067" s="9">
        <v>29.039116491286865</v>
      </c>
      <c r="AE1067" s="9">
        <v>31.219251037281825</v>
      </c>
      <c r="AF1067" s="9">
        <v>33.487682081707895</v>
      </c>
      <c r="AG1067" s="9">
        <v>33.487682081707895</v>
      </c>
      <c r="AH1067" s="9">
        <v>36.427668170967245</v>
      </c>
      <c r="AI1067" s="9">
        <v>38.74455996597662</v>
      </c>
      <c r="AJ1067" s="9">
        <v>3.0428788910505911</v>
      </c>
    </row>
    <row r="1068" spans="1:36" x14ac:dyDescent="0.25">
      <c r="A1068" t="s">
        <v>5411</v>
      </c>
      <c r="B1068" t="s">
        <v>16</v>
      </c>
      <c r="C1068" t="s">
        <v>17</v>
      </c>
      <c r="D1068">
        <v>35147000</v>
      </c>
      <c r="E1068">
        <v>35147999</v>
      </c>
      <c r="F1068" t="s">
        <v>890</v>
      </c>
      <c r="G1068" t="str">
        <f t="shared" si="32"/>
        <v>MGI II</v>
      </c>
      <c r="H1068" t="s">
        <v>851</v>
      </c>
      <c r="I1068" t="s">
        <v>20</v>
      </c>
      <c r="J1068" t="s">
        <v>64</v>
      </c>
      <c r="K1068" s="6">
        <v>0.03</v>
      </c>
      <c r="L1068" s="7">
        <f t="shared" si="33"/>
        <v>2E-3</v>
      </c>
      <c r="M1068" s="7">
        <v>3.0000000000000001E-3</v>
      </c>
      <c r="N1068">
        <v>8</v>
      </c>
      <c r="O1068" s="8">
        <v>17.822306426995311</v>
      </c>
      <c r="P1068" s="9">
        <v>17.822306426995311</v>
      </c>
      <c r="Q1068" s="9">
        <v>17.822306426995311</v>
      </c>
      <c r="R1068" s="9">
        <v>18.237663306594719</v>
      </c>
      <c r="S1068" s="9">
        <v>18.48712920931133</v>
      </c>
      <c r="T1068" s="9">
        <v>19.201553596969877</v>
      </c>
      <c r="U1068" s="9">
        <v>20.562345482855957</v>
      </c>
      <c r="V1068" s="9">
        <v>20.562345482855957</v>
      </c>
      <c r="W1068" s="9">
        <v>20.562345482855957</v>
      </c>
      <c r="X1068" s="9">
        <v>22.391977691000818</v>
      </c>
      <c r="Y1068" s="9">
        <v>22.391977691000818</v>
      </c>
      <c r="Z1068" s="9">
        <v>24.28858708803979</v>
      </c>
      <c r="AA1068" s="9">
        <v>24.28858708803979</v>
      </c>
      <c r="AB1068" s="9">
        <v>25.117335532005217</v>
      </c>
      <c r="AC1068" s="9">
        <v>25.117335532005217</v>
      </c>
      <c r="AD1068" s="9">
        <v>29.039116491286865</v>
      </c>
      <c r="AE1068" s="9">
        <v>31.219251037281825</v>
      </c>
      <c r="AF1068" s="9">
        <v>33.487682081707895</v>
      </c>
      <c r="AG1068" s="9">
        <v>33.487682081707895</v>
      </c>
      <c r="AH1068" s="9">
        <v>36.427668170967245</v>
      </c>
      <c r="AI1068" s="9">
        <v>38.74455996597662</v>
      </c>
      <c r="AJ1068" s="9">
        <v>3.0428788910505911</v>
      </c>
    </row>
    <row r="1069" spans="1:36" x14ac:dyDescent="0.25">
      <c r="A1069" t="s">
        <v>5411</v>
      </c>
      <c r="B1069" t="s">
        <v>16</v>
      </c>
      <c r="C1069" t="s">
        <v>17</v>
      </c>
      <c r="D1069">
        <v>35148000</v>
      </c>
      <c r="E1069">
        <v>35159999</v>
      </c>
      <c r="F1069" t="s">
        <v>891</v>
      </c>
      <c r="G1069" t="str">
        <f t="shared" si="32"/>
        <v>MGI II</v>
      </c>
      <c r="H1069" t="s">
        <v>851</v>
      </c>
      <c r="I1069" t="s">
        <v>20</v>
      </c>
      <c r="J1069" t="s">
        <v>64</v>
      </c>
      <c r="K1069" s="6">
        <v>0.03</v>
      </c>
      <c r="L1069" s="7">
        <f t="shared" si="33"/>
        <v>2E-3</v>
      </c>
      <c r="M1069" s="7">
        <v>3.0000000000000001E-3</v>
      </c>
      <c r="N1069">
        <v>8</v>
      </c>
      <c r="O1069" s="8">
        <v>17.822306426995311</v>
      </c>
      <c r="P1069" s="9">
        <v>17.822306426995311</v>
      </c>
      <c r="Q1069" s="9">
        <v>17.822306426995311</v>
      </c>
      <c r="R1069" s="9">
        <v>18.237663306594719</v>
      </c>
      <c r="S1069" s="9">
        <v>18.48712920931133</v>
      </c>
      <c r="T1069" s="9">
        <v>19.201553596969877</v>
      </c>
      <c r="U1069" s="9">
        <v>20.562345482855957</v>
      </c>
      <c r="V1069" s="9">
        <v>20.562345482855957</v>
      </c>
      <c r="W1069" s="9">
        <v>20.562345482855957</v>
      </c>
      <c r="X1069" s="9">
        <v>22.391977691000818</v>
      </c>
      <c r="Y1069" s="9">
        <v>22.391977691000818</v>
      </c>
      <c r="Z1069" s="9">
        <v>24.28858708803979</v>
      </c>
      <c r="AA1069" s="9">
        <v>24.28858708803979</v>
      </c>
      <c r="AB1069" s="9">
        <v>25.117335532005217</v>
      </c>
      <c r="AC1069" s="9">
        <v>25.117335532005217</v>
      </c>
      <c r="AD1069" s="9">
        <v>29.039116491286865</v>
      </c>
      <c r="AE1069" s="9">
        <v>31.219251037281825</v>
      </c>
      <c r="AF1069" s="9">
        <v>33.487682081707895</v>
      </c>
      <c r="AG1069" s="9">
        <v>33.487682081707895</v>
      </c>
      <c r="AH1069" s="9">
        <v>36.427668170967245</v>
      </c>
      <c r="AI1069" s="9">
        <v>38.74455996597662</v>
      </c>
      <c r="AJ1069" s="9">
        <v>3.0428788910505911</v>
      </c>
    </row>
    <row r="1070" spans="1:36" x14ac:dyDescent="0.25">
      <c r="A1070" t="s">
        <v>5411</v>
      </c>
      <c r="B1070" t="s">
        <v>16</v>
      </c>
      <c r="C1070" t="s">
        <v>17</v>
      </c>
      <c r="D1070">
        <v>35160000</v>
      </c>
      <c r="E1070">
        <v>35169999</v>
      </c>
      <c r="F1070" t="s">
        <v>892</v>
      </c>
      <c r="G1070" t="str">
        <f t="shared" si="32"/>
        <v>MGI</v>
      </c>
      <c r="H1070" t="s">
        <v>851</v>
      </c>
      <c r="I1070" t="s">
        <v>20</v>
      </c>
      <c r="J1070" t="s">
        <v>62</v>
      </c>
      <c r="K1070" s="6">
        <v>0.03</v>
      </c>
      <c r="L1070" s="7">
        <f t="shared" si="33"/>
        <v>2E-3</v>
      </c>
      <c r="M1070" s="7">
        <v>3.0000000000000001E-3</v>
      </c>
      <c r="N1070">
        <v>6</v>
      </c>
      <c r="O1070" s="8">
        <v>13.880385281502075</v>
      </c>
      <c r="P1070" s="9">
        <v>13.880385281502075</v>
      </c>
      <c r="Q1070" s="9">
        <v>13.880385281502075</v>
      </c>
      <c r="R1070" s="9">
        <v>14.045989937445718</v>
      </c>
      <c r="S1070" s="9">
        <v>14.060876315369912</v>
      </c>
      <c r="T1070" s="9">
        <v>15.090338571208333</v>
      </c>
      <c r="U1070" s="9">
        <v>16.025407313902726</v>
      </c>
      <c r="V1070" s="9">
        <v>16.025407313902726</v>
      </c>
      <c r="W1070" s="9">
        <v>16.025407313902726</v>
      </c>
      <c r="X1070" s="9">
        <v>18.013895748167766</v>
      </c>
      <c r="Y1070" s="9">
        <v>18.013895748167766</v>
      </c>
      <c r="Z1070" s="9">
        <v>20.142868501532355</v>
      </c>
      <c r="AA1070" s="9">
        <v>20.142868501532355</v>
      </c>
      <c r="AB1070" s="9">
        <v>22.456349831314476</v>
      </c>
      <c r="AC1070" s="9">
        <v>22.456349831314476</v>
      </c>
      <c r="AD1070" s="9">
        <v>24.87984091164185</v>
      </c>
      <c r="AE1070" s="9">
        <v>27.427492221952345</v>
      </c>
      <c r="AF1070" s="9">
        <v>33.194804868730657</v>
      </c>
      <c r="AG1070" s="9">
        <v>33.194804868730657</v>
      </c>
      <c r="AH1070" s="9">
        <v>35.957808835828068</v>
      </c>
      <c r="AI1070" s="9">
        <v>38.646304092692077</v>
      </c>
      <c r="AJ1070" s="9">
        <v>3.0428788910505911</v>
      </c>
    </row>
    <row r="1071" spans="1:36" x14ac:dyDescent="0.25">
      <c r="A1071" t="s">
        <v>5411</v>
      </c>
      <c r="B1071" t="s">
        <v>16</v>
      </c>
      <c r="C1071" t="s">
        <v>17</v>
      </c>
      <c r="D1071">
        <v>35170000</v>
      </c>
      <c r="E1071">
        <v>35176999</v>
      </c>
      <c r="F1071" t="s">
        <v>893</v>
      </c>
      <c r="G1071" t="str">
        <f t="shared" si="32"/>
        <v>MGI</v>
      </c>
      <c r="H1071" t="s">
        <v>851</v>
      </c>
      <c r="I1071" t="s">
        <v>20</v>
      </c>
      <c r="J1071" t="s">
        <v>62</v>
      </c>
      <c r="K1071" s="6">
        <v>0.03</v>
      </c>
      <c r="L1071" s="7">
        <f t="shared" si="33"/>
        <v>2E-3</v>
      </c>
      <c r="M1071" s="7">
        <v>3.0000000000000001E-3</v>
      </c>
      <c r="N1071">
        <v>7</v>
      </c>
      <c r="O1071" s="8">
        <v>13.880385281502075</v>
      </c>
      <c r="P1071" s="9">
        <v>13.880385281502075</v>
      </c>
      <c r="Q1071" s="9">
        <v>13.880385281502075</v>
      </c>
      <c r="R1071" s="9">
        <v>14.045989937445718</v>
      </c>
      <c r="S1071" s="9">
        <v>14.060876315369912</v>
      </c>
      <c r="T1071" s="9">
        <v>15.090338571208333</v>
      </c>
      <c r="U1071" s="9">
        <v>16.025407313902726</v>
      </c>
      <c r="V1071" s="9">
        <v>16.025407313902726</v>
      </c>
      <c r="W1071" s="9">
        <v>16.025407313902726</v>
      </c>
      <c r="X1071" s="9">
        <v>18.013895748167766</v>
      </c>
      <c r="Y1071" s="9">
        <v>18.013895748167766</v>
      </c>
      <c r="Z1071" s="9">
        <v>20.142868501532355</v>
      </c>
      <c r="AA1071" s="9">
        <v>20.142868501532355</v>
      </c>
      <c r="AB1071" s="9">
        <v>22.456349831314476</v>
      </c>
      <c r="AC1071" s="9">
        <v>22.456349831314476</v>
      </c>
      <c r="AD1071" s="9">
        <v>24.87984091164185</v>
      </c>
      <c r="AE1071" s="9">
        <v>27.427492221952345</v>
      </c>
      <c r="AF1071" s="9">
        <v>33.194804868730657</v>
      </c>
      <c r="AG1071" s="9">
        <v>33.194804868730657</v>
      </c>
      <c r="AH1071" s="9">
        <v>35.957808835828068</v>
      </c>
      <c r="AI1071" s="9">
        <v>38.646304092692077</v>
      </c>
      <c r="AJ1071" s="9">
        <v>3.0428788910505911</v>
      </c>
    </row>
    <row r="1072" spans="1:36" x14ac:dyDescent="0.25">
      <c r="A1072" t="s">
        <v>5411</v>
      </c>
      <c r="B1072" t="s">
        <v>16</v>
      </c>
      <c r="C1072" t="s">
        <v>17</v>
      </c>
      <c r="D1072">
        <v>35177000</v>
      </c>
      <c r="E1072">
        <v>35178999</v>
      </c>
      <c r="F1072" t="s">
        <v>894</v>
      </c>
      <c r="G1072" t="str">
        <f t="shared" si="32"/>
        <v>MGI II</v>
      </c>
      <c r="H1072" t="s">
        <v>851</v>
      </c>
      <c r="I1072" t="s">
        <v>20</v>
      </c>
      <c r="J1072" t="s">
        <v>64</v>
      </c>
      <c r="K1072" s="6">
        <v>0.03</v>
      </c>
      <c r="L1072" s="7">
        <f t="shared" si="33"/>
        <v>2E-3</v>
      </c>
      <c r="M1072" s="7">
        <v>3.0000000000000001E-3</v>
      </c>
      <c r="N1072">
        <v>8</v>
      </c>
      <c r="O1072" s="8">
        <v>17.822306426995311</v>
      </c>
      <c r="P1072" s="9">
        <v>17.822306426995311</v>
      </c>
      <c r="Q1072" s="9">
        <v>17.822306426995311</v>
      </c>
      <c r="R1072" s="9">
        <v>18.237663306594719</v>
      </c>
      <c r="S1072" s="9">
        <v>18.48712920931133</v>
      </c>
      <c r="T1072" s="9">
        <v>19.201553596969877</v>
      </c>
      <c r="U1072" s="9">
        <v>20.562345482855957</v>
      </c>
      <c r="V1072" s="9">
        <v>20.562345482855957</v>
      </c>
      <c r="W1072" s="9">
        <v>20.562345482855957</v>
      </c>
      <c r="X1072" s="9">
        <v>22.391977691000818</v>
      </c>
      <c r="Y1072" s="9">
        <v>22.391977691000818</v>
      </c>
      <c r="Z1072" s="9">
        <v>24.28858708803979</v>
      </c>
      <c r="AA1072" s="9">
        <v>24.28858708803979</v>
      </c>
      <c r="AB1072" s="9">
        <v>25.117335532005217</v>
      </c>
      <c r="AC1072" s="9">
        <v>25.117335532005217</v>
      </c>
      <c r="AD1072" s="9">
        <v>29.039116491286865</v>
      </c>
      <c r="AE1072" s="9">
        <v>31.219251037281825</v>
      </c>
      <c r="AF1072" s="9">
        <v>33.487682081707895</v>
      </c>
      <c r="AG1072" s="9">
        <v>33.487682081707895</v>
      </c>
      <c r="AH1072" s="9">
        <v>36.427668170967245</v>
      </c>
      <c r="AI1072" s="9">
        <v>38.74455996597662</v>
      </c>
      <c r="AJ1072" s="9">
        <v>3.0428788910505911</v>
      </c>
    </row>
    <row r="1073" spans="1:36" x14ac:dyDescent="0.25">
      <c r="A1073" t="s">
        <v>5411</v>
      </c>
      <c r="B1073" t="s">
        <v>16</v>
      </c>
      <c r="C1073" t="s">
        <v>17</v>
      </c>
      <c r="D1073">
        <v>35179000</v>
      </c>
      <c r="E1073">
        <v>35179999</v>
      </c>
      <c r="F1073" t="s">
        <v>895</v>
      </c>
      <c r="G1073" t="str">
        <f t="shared" si="32"/>
        <v>MGI</v>
      </c>
      <c r="H1073" t="s">
        <v>851</v>
      </c>
      <c r="I1073" t="s">
        <v>20</v>
      </c>
      <c r="J1073" t="s">
        <v>62</v>
      </c>
      <c r="K1073" s="6">
        <v>0.03</v>
      </c>
      <c r="L1073" s="7">
        <f t="shared" si="33"/>
        <v>2E-3</v>
      </c>
      <c r="M1073" s="7">
        <v>3.0000000000000001E-3</v>
      </c>
      <c r="N1073">
        <v>7</v>
      </c>
      <c r="O1073" s="8">
        <v>13.880385281502075</v>
      </c>
      <c r="P1073" s="9">
        <v>13.880385281502075</v>
      </c>
      <c r="Q1073" s="9">
        <v>13.880385281502075</v>
      </c>
      <c r="R1073" s="9">
        <v>14.045989937445718</v>
      </c>
      <c r="S1073" s="9">
        <v>14.060876315369912</v>
      </c>
      <c r="T1073" s="9">
        <v>15.090338571208333</v>
      </c>
      <c r="U1073" s="9">
        <v>16.025407313902726</v>
      </c>
      <c r="V1073" s="9">
        <v>16.025407313902726</v>
      </c>
      <c r="W1073" s="9">
        <v>16.025407313902726</v>
      </c>
      <c r="X1073" s="9">
        <v>18.013895748167766</v>
      </c>
      <c r="Y1073" s="9">
        <v>18.013895748167766</v>
      </c>
      <c r="Z1073" s="9">
        <v>20.142868501532355</v>
      </c>
      <c r="AA1073" s="9">
        <v>20.142868501532355</v>
      </c>
      <c r="AB1073" s="9">
        <v>22.456349831314476</v>
      </c>
      <c r="AC1073" s="9">
        <v>22.456349831314476</v>
      </c>
      <c r="AD1073" s="9">
        <v>24.87984091164185</v>
      </c>
      <c r="AE1073" s="9">
        <v>27.427492221952345</v>
      </c>
      <c r="AF1073" s="9">
        <v>33.194804868730657</v>
      </c>
      <c r="AG1073" s="9">
        <v>33.194804868730657</v>
      </c>
      <c r="AH1073" s="9">
        <v>35.957808835828068</v>
      </c>
      <c r="AI1073" s="9">
        <v>38.646304092692077</v>
      </c>
      <c r="AJ1073" s="9">
        <v>3.0428788910505911</v>
      </c>
    </row>
    <row r="1074" spans="1:36" x14ac:dyDescent="0.25">
      <c r="A1074" t="s">
        <v>5411</v>
      </c>
      <c r="B1074" t="s">
        <v>16</v>
      </c>
      <c r="C1074" t="s">
        <v>17</v>
      </c>
      <c r="D1074">
        <v>35180000</v>
      </c>
      <c r="E1074">
        <v>35184999</v>
      </c>
      <c r="F1074" t="s">
        <v>896</v>
      </c>
      <c r="G1074" t="str">
        <f t="shared" si="32"/>
        <v>MGI</v>
      </c>
      <c r="H1074" t="s">
        <v>851</v>
      </c>
      <c r="I1074" t="s">
        <v>20</v>
      </c>
      <c r="J1074" t="s">
        <v>62</v>
      </c>
      <c r="K1074" s="6">
        <v>0.03</v>
      </c>
      <c r="L1074" s="7">
        <f t="shared" si="33"/>
        <v>2E-3</v>
      </c>
      <c r="M1074" s="7">
        <v>3.0000000000000001E-3</v>
      </c>
      <c r="N1074">
        <v>7</v>
      </c>
      <c r="O1074" s="8">
        <v>13.880385281502075</v>
      </c>
      <c r="P1074" s="9">
        <v>13.880385281502075</v>
      </c>
      <c r="Q1074" s="9">
        <v>13.880385281502075</v>
      </c>
      <c r="R1074" s="9">
        <v>14.045989937445718</v>
      </c>
      <c r="S1074" s="9">
        <v>14.060876315369912</v>
      </c>
      <c r="T1074" s="9">
        <v>15.090338571208333</v>
      </c>
      <c r="U1074" s="9">
        <v>16.025407313902726</v>
      </c>
      <c r="V1074" s="9">
        <v>16.025407313902726</v>
      </c>
      <c r="W1074" s="9">
        <v>16.025407313902726</v>
      </c>
      <c r="X1074" s="9">
        <v>18.013895748167766</v>
      </c>
      <c r="Y1074" s="9">
        <v>18.013895748167766</v>
      </c>
      <c r="Z1074" s="9">
        <v>20.142868501532355</v>
      </c>
      <c r="AA1074" s="9">
        <v>20.142868501532355</v>
      </c>
      <c r="AB1074" s="9">
        <v>22.456349831314476</v>
      </c>
      <c r="AC1074" s="9">
        <v>22.456349831314476</v>
      </c>
      <c r="AD1074" s="9">
        <v>24.87984091164185</v>
      </c>
      <c r="AE1074" s="9">
        <v>27.427492221952345</v>
      </c>
      <c r="AF1074" s="9">
        <v>33.194804868730657</v>
      </c>
      <c r="AG1074" s="9">
        <v>33.194804868730657</v>
      </c>
      <c r="AH1074" s="9">
        <v>35.957808835828068</v>
      </c>
      <c r="AI1074" s="9">
        <v>38.646304092692077</v>
      </c>
      <c r="AJ1074" s="9">
        <v>3.0428788910505911</v>
      </c>
    </row>
    <row r="1075" spans="1:36" x14ac:dyDescent="0.25">
      <c r="A1075" t="s">
        <v>5411</v>
      </c>
      <c r="B1075" t="s">
        <v>16</v>
      </c>
      <c r="C1075" t="s">
        <v>17</v>
      </c>
      <c r="D1075">
        <v>35185000</v>
      </c>
      <c r="E1075">
        <v>35187999</v>
      </c>
      <c r="F1075" t="s">
        <v>897</v>
      </c>
      <c r="G1075" t="str">
        <f t="shared" si="32"/>
        <v>MGI II</v>
      </c>
      <c r="H1075" t="s">
        <v>851</v>
      </c>
      <c r="I1075" t="s">
        <v>20</v>
      </c>
      <c r="J1075" t="s">
        <v>64</v>
      </c>
      <c r="K1075" s="6">
        <v>0.03</v>
      </c>
      <c r="L1075" s="7">
        <f t="shared" si="33"/>
        <v>2E-3</v>
      </c>
      <c r="M1075" s="7">
        <v>3.0000000000000001E-3</v>
      </c>
      <c r="N1075">
        <v>8</v>
      </c>
      <c r="O1075" s="8">
        <v>17.822306426995311</v>
      </c>
      <c r="P1075" s="9">
        <v>17.822306426995311</v>
      </c>
      <c r="Q1075" s="9">
        <v>17.822306426995311</v>
      </c>
      <c r="R1075" s="9">
        <v>18.237663306594719</v>
      </c>
      <c r="S1075" s="9">
        <v>18.48712920931133</v>
      </c>
      <c r="T1075" s="9">
        <v>19.201553596969877</v>
      </c>
      <c r="U1075" s="9">
        <v>20.562345482855957</v>
      </c>
      <c r="V1075" s="9">
        <v>20.562345482855957</v>
      </c>
      <c r="W1075" s="9">
        <v>20.562345482855957</v>
      </c>
      <c r="X1075" s="9">
        <v>22.391977691000818</v>
      </c>
      <c r="Y1075" s="9">
        <v>22.391977691000818</v>
      </c>
      <c r="Z1075" s="9">
        <v>24.28858708803979</v>
      </c>
      <c r="AA1075" s="9">
        <v>24.28858708803979</v>
      </c>
      <c r="AB1075" s="9">
        <v>25.117335532005217</v>
      </c>
      <c r="AC1075" s="9">
        <v>25.117335532005217</v>
      </c>
      <c r="AD1075" s="9">
        <v>29.039116491286865</v>
      </c>
      <c r="AE1075" s="9">
        <v>31.219251037281825</v>
      </c>
      <c r="AF1075" s="9">
        <v>33.487682081707895</v>
      </c>
      <c r="AG1075" s="9">
        <v>33.487682081707895</v>
      </c>
      <c r="AH1075" s="9">
        <v>36.427668170967245</v>
      </c>
      <c r="AI1075" s="9">
        <v>38.74455996597662</v>
      </c>
      <c r="AJ1075" s="9">
        <v>3.0428788910505911</v>
      </c>
    </row>
    <row r="1076" spans="1:36" x14ac:dyDescent="0.25">
      <c r="A1076" t="s">
        <v>5411</v>
      </c>
      <c r="B1076" t="s">
        <v>16</v>
      </c>
      <c r="C1076" t="s">
        <v>17</v>
      </c>
      <c r="D1076">
        <v>35188000</v>
      </c>
      <c r="E1076">
        <v>35188999</v>
      </c>
      <c r="F1076" t="s">
        <v>898</v>
      </c>
      <c r="G1076" t="str">
        <f t="shared" si="32"/>
        <v>MGI II</v>
      </c>
      <c r="H1076" t="s">
        <v>851</v>
      </c>
      <c r="I1076" t="s">
        <v>20</v>
      </c>
      <c r="J1076" t="s">
        <v>64</v>
      </c>
      <c r="K1076" s="6">
        <v>0.03</v>
      </c>
      <c r="L1076" s="7">
        <f t="shared" si="33"/>
        <v>2E-3</v>
      </c>
      <c r="M1076" s="7">
        <v>3.0000000000000001E-3</v>
      </c>
      <c r="N1076">
        <v>8</v>
      </c>
      <c r="O1076" s="8">
        <v>17.822306426995311</v>
      </c>
      <c r="P1076" s="9">
        <v>17.822306426995311</v>
      </c>
      <c r="Q1076" s="9">
        <v>17.822306426995311</v>
      </c>
      <c r="R1076" s="9">
        <v>18.237663306594719</v>
      </c>
      <c r="S1076" s="9">
        <v>18.48712920931133</v>
      </c>
      <c r="T1076" s="9">
        <v>19.201553596969877</v>
      </c>
      <c r="U1076" s="9">
        <v>20.562345482855957</v>
      </c>
      <c r="V1076" s="9">
        <v>20.562345482855957</v>
      </c>
      <c r="W1076" s="9">
        <v>20.562345482855957</v>
      </c>
      <c r="X1076" s="9">
        <v>22.391977691000818</v>
      </c>
      <c r="Y1076" s="9">
        <v>22.391977691000818</v>
      </c>
      <c r="Z1076" s="9">
        <v>24.28858708803979</v>
      </c>
      <c r="AA1076" s="9">
        <v>24.28858708803979</v>
      </c>
      <c r="AB1076" s="9">
        <v>25.117335532005217</v>
      </c>
      <c r="AC1076" s="9">
        <v>25.117335532005217</v>
      </c>
      <c r="AD1076" s="9">
        <v>29.039116491286865</v>
      </c>
      <c r="AE1076" s="9">
        <v>31.219251037281825</v>
      </c>
      <c r="AF1076" s="9">
        <v>33.487682081707895</v>
      </c>
      <c r="AG1076" s="9">
        <v>33.487682081707895</v>
      </c>
      <c r="AH1076" s="9">
        <v>36.427668170967245</v>
      </c>
      <c r="AI1076" s="9">
        <v>38.74455996597662</v>
      </c>
      <c r="AJ1076" s="9">
        <v>3.0428788910505911</v>
      </c>
    </row>
    <row r="1077" spans="1:36" x14ac:dyDescent="0.25">
      <c r="A1077" t="s">
        <v>5411</v>
      </c>
      <c r="B1077" t="s">
        <v>16</v>
      </c>
      <c r="C1077" t="s">
        <v>17</v>
      </c>
      <c r="D1077">
        <v>35189000</v>
      </c>
      <c r="E1077">
        <v>35189999</v>
      </c>
      <c r="F1077" t="s">
        <v>899</v>
      </c>
      <c r="G1077" t="str">
        <f t="shared" si="32"/>
        <v>MGI II</v>
      </c>
      <c r="H1077" t="s">
        <v>851</v>
      </c>
      <c r="I1077" t="s">
        <v>20</v>
      </c>
      <c r="J1077" t="s">
        <v>64</v>
      </c>
      <c r="K1077" s="6">
        <v>0.03</v>
      </c>
      <c r="L1077" s="7">
        <f t="shared" si="33"/>
        <v>2E-3</v>
      </c>
      <c r="M1077" s="7">
        <v>3.0000000000000001E-3</v>
      </c>
      <c r="N1077">
        <v>8</v>
      </c>
      <c r="O1077" s="8">
        <v>17.822306426995311</v>
      </c>
      <c r="P1077" s="9">
        <v>17.822306426995311</v>
      </c>
      <c r="Q1077" s="9">
        <v>17.822306426995311</v>
      </c>
      <c r="R1077" s="9">
        <v>18.237663306594719</v>
      </c>
      <c r="S1077" s="9">
        <v>18.48712920931133</v>
      </c>
      <c r="T1077" s="9">
        <v>19.201553596969877</v>
      </c>
      <c r="U1077" s="9">
        <v>20.562345482855957</v>
      </c>
      <c r="V1077" s="9">
        <v>20.562345482855957</v>
      </c>
      <c r="W1077" s="9">
        <v>20.562345482855957</v>
      </c>
      <c r="X1077" s="9">
        <v>22.391977691000818</v>
      </c>
      <c r="Y1077" s="9">
        <v>22.391977691000818</v>
      </c>
      <c r="Z1077" s="9">
        <v>24.28858708803979</v>
      </c>
      <c r="AA1077" s="9">
        <v>24.28858708803979</v>
      </c>
      <c r="AB1077" s="9">
        <v>25.117335532005217</v>
      </c>
      <c r="AC1077" s="9">
        <v>25.117335532005217</v>
      </c>
      <c r="AD1077" s="9">
        <v>29.039116491286865</v>
      </c>
      <c r="AE1077" s="9">
        <v>31.219251037281825</v>
      </c>
      <c r="AF1077" s="9">
        <v>33.487682081707895</v>
      </c>
      <c r="AG1077" s="9">
        <v>33.487682081707895</v>
      </c>
      <c r="AH1077" s="9">
        <v>36.427668170967245</v>
      </c>
      <c r="AI1077" s="9">
        <v>38.74455996597662</v>
      </c>
      <c r="AJ1077" s="9">
        <v>3.0428788910505911</v>
      </c>
    </row>
    <row r="1078" spans="1:36" x14ac:dyDescent="0.25">
      <c r="A1078" t="s">
        <v>5411</v>
      </c>
      <c r="B1078" t="s">
        <v>16</v>
      </c>
      <c r="C1078" t="s">
        <v>17</v>
      </c>
      <c r="D1078">
        <v>35190000</v>
      </c>
      <c r="E1078">
        <v>35192999</v>
      </c>
      <c r="F1078" t="s">
        <v>900</v>
      </c>
      <c r="G1078" t="str">
        <f t="shared" si="32"/>
        <v>MGI II</v>
      </c>
      <c r="H1078" t="s">
        <v>851</v>
      </c>
      <c r="I1078" t="s">
        <v>20</v>
      </c>
      <c r="J1078" t="s">
        <v>64</v>
      </c>
      <c r="K1078" s="6">
        <v>0.03</v>
      </c>
      <c r="L1078" s="7">
        <f t="shared" si="33"/>
        <v>2E-3</v>
      </c>
      <c r="M1078" s="7">
        <v>3.0000000000000001E-3</v>
      </c>
      <c r="N1078">
        <v>8</v>
      </c>
      <c r="O1078" s="8">
        <v>17.822306426995311</v>
      </c>
      <c r="P1078" s="9">
        <v>17.822306426995311</v>
      </c>
      <c r="Q1078" s="9">
        <v>17.822306426995311</v>
      </c>
      <c r="R1078" s="9">
        <v>18.237663306594719</v>
      </c>
      <c r="S1078" s="9">
        <v>18.48712920931133</v>
      </c>
      <c r="T1078" s="9">
        <v>19.201553596969877</v>
      </c>
      <c r="U1078" s="9">
        <v>20.562345482855957</v>
      </c>
      <c r="V1078" s="9">
        <v>20.562345482855957</v>
      </c>
      <c r="W1078" s="9">
        <v>20.562345482855957</v>
      </c>
      <c r="X1078" s="9">
        <v>22.391977691000818</v>
      </c>
      <c r="Y1078" s="9">
        <v>22.391977691000818</v>
      </c>
      <c r="Z1078" s="9">
        <v>24.28858708803979</v>
      </c>
      <c r="AA1078" s="9">
        <v>24.28858708803979</v>
      </c>
      <c r="AB1078" s="9">
        <v>25.117335532005217</v>
      </c>
      <c r="AC1078" s="9">
        <v>25.117335532005217</v>
      </c>
      <c r="AD1078" s="9">
        <v>29.039116491286865</v>
      </c>
      <c r="AE1078" s="9">
        <v>31.219251037281825</v>
      </c>
      <c r="AF1078" s="9">
        <v>33.487682081707895</v>
      </c>
      <c r="AG1078" s="9">
        <v>33.487682081707895</v>
      </c>
      <c r="AH1078" s="9">
        <v>36.427668170967245</v>
      </c>
      <c r="AI1078" s="9">
        <v>38.74455996597662</v>
      </c>
      <c r="AJ1078" s="9">
        <v>3.0428788910505911</v>
      </c>
    </row>
    <row r="1079" spans="1:36" x14ac:dyDescent="0.25">
      <c r="A1079" t="s">
        <v>5411</v>
      </c>
      <c r="B1079" t="s">
        <v>16</v>
      </c>
      <c r="C1079" t="s">
        <v>17</v>
      </c>
      <c r="D1079">
        <v>35193000</v>
      </c>
      <c r="E1079">
        <v>35193999</v>
      </c>
      <c r="F1079" t="s">
        <v>901</v>
      </c>
      <c r="G1079" t="str">
        <f t="shared" si="32"/>
        <v>MGI II</v>
      </c>
      <c r="H1079" t="s">
        <v>851</v>
      </c>
      <c r="I1079" t="s">
        <v>20</v>
      </c>
      <c r="J1079" t="s">
        <v>64</v>
      </c>
      <c r="K1079" s="6">
        <v>0.03</v>
      </c>
      <c r="L1079" s="7">
        <f t="shared" si="33"/>
        <v>2E-3</v>
      </c>
      <c r="M1079" s="7">
        <v>3.0000000000000001E-3</v>
      </c>
      <c r="N1079">
        <v>8</v>
      </c>
      <c r="O1079" s="8">
        <v>17.822306426995311</v>
      </c>
      <c r="P1079" s="9">
        <v>17.822306426995311</v>
      </c>
      <c r="Q1079" s="9">
        <v>17.822306426995311</v>
      </c>
      <c r="R1079" s="9">
        <v>18.237663306594719</v>
      </c>
      <c r="S1079" s="9">
        <v>18.48712920931133</v>
      </c>
      <c r="T1079" s="9">
        <v>19.201553596969877</v>
      </c>
      <c r="U1079" s="9">
        <v>20.562345482855957</v>
      </c>
      <c r="V1079" s="9">
        <v>20.562345482855957</v>
      </c>
      <c r="W1079" s="9">
        <v>20.562345482855957</v>
      </c>
      <c r="X1079" s="9">
        <v>22.391977691000818</v>
      </c>
      <c r="Y1079" s="9">
        <v>22.391977691000818</v>
      </c>
      <c r="Z1079" s="9">
        <v>24.28858708803979</v>
      </c>
      <c r="AA1079" s="9">
        <v>24.28858708803979</v>
      </c>
      <c r="AB1079" s="9">
        <v>25.117335532005217</v>
      </c>
      <c r="AC1079" s="9">
        <v>25.117335532005217</v>
      </c>
      <c r="AD1079" s="9">
        <v>29.039116491286865</v>
      </c>
      <c r="AE1079" s="9">
        <v>31.219251037281825</v>
      </c>
      <c r="AF1079" s="9">
        <v>33.487682081707895</v>
      </c>
      <c r="AG1079" s="9">
        <v>33.487682081707895</v>
      </c>
      <c r="AH1079" s="9">
        <v>36.427668170967245</v>
      </c>
      <c r="AI1079" s="9">
        <v>38.74455996597662</v>
      </c>
      <c r="AJ1079" s="9">
        <v>3.0428788910505911</v>
      </c>
    </row>
    <row r="1080" spans="1:36" x14ac:dyDescent="0.25">
      <c r="A1080" t="s">
        <v>5411</v>
      </c>
      <c r="B1080" t="s">
        <v>16</v>
      </c>
      <c r="C1080" t="s">
        <v>17</v>
      </c>
      <c r="D1080">
        <v>35194000</v>
      </c>
      <c r="E1080">
        <v>35194999</v>
      </c>
      <c r="F1080" t="s">
        <v>902</v>
      </c>
      <c r="G1080" t="str">
        <f t="shared" si="32"/>
        <v>MGI II</v>
      </c>
      <c r="H1080" t="s">
        <v>851</v>
      </c>
      <c r="I1080" t="s">
        <v>20</v>
      </c>
      <c r="J1080" t="s">
        <v>64</v>
      </c>
      <c r="K1080" s="6">
        <v>0.03</v>
      </c>
      <c r="L1080" s="7">
        <f t="shared" si="33"/>
        <v>2E-3</v>
      </c>
      <c r="M1080" s="7">
        <v>3.0000000000000001E-3</v>
      </c>
      <c r="N1080">
        <v>8</v>
      </c>
      <c r="O1080" s="8">
        <v>17.822306426995311</v>
      </c>
      <c r="P1080" s="9">
        <v>17.822306426995311</v>
      </c>
      <c r="Q1080" s="9">
        <v>17.822306426995311</v>
      </c>
      <c r="R1080" s="9">
        <v>18.237663306594719</v>
      </c>
      <c r="S1080" s="9">
        <v>18.48712920931133</v>
      </c>
      <c r="T1080" s="9">
        <v>19.201553596969877</v>
      </c>
      <c r="U1080" s="9">
        <v>20.562345482855957</v>
      </c>
      <c r="V1080" s="9">
        <v>20.562345482855957</v>
      </c>
      <c r="W1080" s="9">
        <v>20.562345482855957</v>
      </c>
      <c r="X1080" s="9">
        <v>22.391977691000818</v>
      </c>
      <c r="Y1080" s="9">
        <v>22.391977691000818</v>
      </c>
      <c r="Z1080" s="9">
        <v>24.28858708803979</v>
      </c>
      <c r="AA1080" s="9">
        <v>24.28858708803979</v>
      </c>
      <c r="AB1080" s="9">
        <v>25.117335532005217</v>
      </c>
      <c r="AC1080" s="9">
        <v>25.117335532005217</v>
      </c>
      <c r="AD1080" s="9">
        <v>29.039116491286865</v>
      </c>
      <c r="AE1080" s="9">
        <v>31.219251037281825</v>
      </c>
      <c r="AF1080" s="9">
        <v>33.487682081707895</v>
      </c>
      <c r="AG1080" s="9">
        <v>33.487682081707895</v>
      </c>
      <c r="AH1080" s="9">
        <v>36.427668170967245</v>
      </c>
      <c r="AI1080" s="9">
        <v>38.74455996597662</v>
      </c>
      <c r="AJ1080" s="9">
        <v>3.0428788910505911</v>
      </c>
    </row>
    <row r="1081" spans="1:36" x14ac:dyDescent="0.25">
      <c r="A1081" t="s">
        <v>5411</v>
      </c>
      <c r="B1081" t="s">
        <v>16</v>
      </c>
      <c r="C1081" t="s">
        <v>17</v>
      </c>
      <c r="D1081">
        <v>35195000</v>
      </c>
      <c r="E1081">
        <v>35197999</v>
      </c>
      <c r="F1081" t="s">
        <v>903</v>
      </c>
      <c r="G1081" t="str">
        <f t="shared" si="32"/>
        <v>MGI II</v>
      </c>
      <c r="H1081" t="s">
        <v>851</v>
      </c>
      <c r="I1081" t="s">
        <v>20</v>
      </c>
      <c r="J1081" t="s">
        <v>64</v>
      </c>
      <c r="K1081" s="6">
        <v>0.03</v>
      </c>
      <c r="L1081" s="7">
        <f t="shared" si="33"/>
        <v>2E-3</v>
      </c>
      <c r="M1081" s="7">
        <v>3.0000000000000001E-3</v>
      </c>
      <c r="N1081">
        <v>8</v>
      </c>
      <c r="O1081" s="8">
        <v>17.822306426995311</v>
      </c>
      <c r="P1081" s="9">
        <v>17.822306426995311</v>
      </c>
      <c r="Q1081" s="9">
        <v>17.822306426995311</v>
      </c>
      <c r="R1081" s="9">
        <v>18.237663306594719</v>
      </c>
      <c r="S1081" s="9">
        <v>18.48712920931133</v>
      </c>
      <c r="T1081" s="9">
        <v>19.201553596969877</v>
      </c>
      <c r="U1081" s="9">
        <v>20.562345482855957</v>
      </c>
      <c r="V1081" s="9">
        <v>20.562345482855957</v>
      </c>
      <c r="W1081" s="9">
        <v>20.562345482855957</v>
      </c>
      <c r="X1081" s="9">
        <v>22.391977691000818</v>
      </c>
      <c r="Y1081" s="9">
        <v>22.391977691000818</v>
      </c>
      <c r="Z1081" s="9">
        <v>24.28858708803979</v>
      </c>
      <c r="AA1081" s="9">
        <v>24.28858708803979</v>
      </c>
      <c r="AB1081" s="9">
        <v>25.117335532005217</v>
      </c>
      <c r="AC1081" s="9">
        <v>25.117335532005217</v>
      </c>
      <c r="AD1081" s="9">
        <v>29.039116491286865</v>
      </c>
      <c r="AE1081" s="9">
        <v>31.219251037281825</v>
      </c>
      <c r="AF1081" s="9">
        <v>33.487682081707895</v>
      </c>
      <c r="AG1081" s="9">
        <v>33.487682081707895</v>
      </c>
      <c r="AH1081" s="9">
        <v>36.427668170967245</v>
      </c>
      <c r="AI1081" s="9">
        <v>38.74455996597662</v>
      </c>
      <c r="AJ1081" s="9">
        <v>3.0428788910505911</v>
      </c>
    </row>
    <row r="1082" spans="1:36" x14ac:dyDescent="0.25">
      <c r="A1082" t="s">
        <v>5411</v>
      </c>
      <c r="B1082" t="s">
        <v>16</v>
      </c>
      <c r="C1082" t="s">
        <v>17</v>
      </c>
      <c r="D1082">
        <v>35198000</v>
      </c>
      <c r="E1082">
        <v>35198999</v>
      </c>
      <c r="F1082" t="s">
        <v>904</v>
      </c>
      <c r="G1082" t="str">
        <f t="shared" si="32"/>
        <v>MGI II</v>
      </c>
      <c r="H1082" t="s">
        <v>851</v>
      </c>
      <c r="I1082" t="s">
        <v>20</v>
      </c>
      <c r="J1082" t="s">
        <v>64</v>
      </c>
      <c r="K1082" s="6">
        <v>0.03</v>
      </c>
      <c r="L1082" s="7">
        <f t="shared" si="33"/>
        <v>2E-3</v>
      </c>
      <c r="M1082" s="7">
        <v>3.0000000000000001E-3</v>
      </c>
      <c r="N1082">
        <v>8</v>
      </c>
      <c r="O1082" s="8">
        <v>17.822306426995311</v>
      </c>
      <c r="P1082" s="9">
        <v>17.822306426995311</v>
      </c>
      <c r="Q1082" s="9">
        <v>17.822306426995311</v>
      </c>
      <c r="R1082" s="9">
        <v>18.237663306594719</v>
      </c>
      <c r="S1082" s="9">
        <v>18.48712920931133</v>
      </c>
      <c r="T1082" s="9">
        <v>19.201553596969877</v>
      </c>
      <c r="U1082" s="9">
        <v>20.562345482855957</v>
      </c>
      <c r="V1082" s="9">
        <v>20.562345482855957</v>
      </c>
      <c r="W1082" s="9">
        <v>20.562345482855957</v>
      </c>
      <c r="X1082" s="9">
        <v>22.391977691000818</v>
      </c>
      <c r="Y1082" s="9">
        <v>22.391977691000818</v>
      </c>
      <c r="Z1082" s="9">
        <v>24.28858708803979</v>
      </c>
      <c r="AA1082" s="9">
        <v>24.28858708803979</v>
      </c>
      <c r="AB1082" s="9">
        <v>25.117335532005217</v>
      </c>
      <c r="AC1082" s="9">
        <v>25.117335532005217</v>
      </c>
      <c r="AD1082" s="9">
        <v>29.039116491286865</v>
      </c>
      <c r="AE1082" s="9">
        <v>31.219251037281825</v>
      </c>
      <c r="AF1082" s="9">
        <v>33.487682081707895</v>
      </c>
      <c r="AG1082" s="9">
        <v>33.487682081707895</v>
      </c>
      <c r="AH1082" s="9">
        <v>36.427668170967245</v>
      </c>
      <c r="AI1082" s="9">
        <v>38.74455996597662</v>
      </c>
      <c r="AJ1082" s="9">
        <v>3.0428788910505911</v>
      </c>
    </row>
    <row r="1083" spans="1:36" x14ac:dyDescent="0.25">
      <c r="A1083" t="s">
        <v>5411</v>
      </c>
      <c r="B1083" t="s">
        <v>16</v>
      </c>
      <c r="C1083" t="s">
        <v>17</v>
      </c>
      <c r="D1083">
        <v>35199000</v>
      </c>
      <c r="E1083">
        <v>35199999</v>
      </c>
      <c r="F1083" t="s">
        <v>905</v>
      </c>
      <c r="G1083" t="str">
        <f t="shared" si="32"/>
        <v>MGI II</v>
      </c>
      <c r="H1083" t="s">
        <v>851</v>
      </c>
      <c r="I1083" t="s">
        <v>20</v>
      </c>
      <c r="J1083" t="s">
        <v>64</v>
      </c>
      <c r="K1083" s="6">
        <v>0.03</v>
      </c>
      <c r="L1083" s="7">
        <f t="shared" si="33"/>
        <v>2E-3</v>
      </c>
      <c r="M1083" s="7">
        <v>3.0000000000000001E-3</v>
      </c>
      <c r="N1083">
        <v>8</v>
      </c>
      <c r="O1083" s="8">
        <v>17.822306426995311</v>
      </c>
      <c r="P1083" s="9">
        <v>17.822306426995311</v>
      </c>
      <c r="Q1083" s="9">
        <v>17.822306426995311</v>
      </c>
      <c r="R1083" s="9">
        <v>18.237663306594719</v>
      </c>
      <c r="S1083" s="9">
        <v>18.48712920931133</v>
      </c>
      <c r="T1083" s="9">
        <v>19.201553596969877</v>
      </c>
      <c r="U1083" s="9">
        <v>20.562345482855957</v>
      </c>
      <c r="V1083" s="9">
        <v>20.562345482855957</v>
      </c>
      <c r="W1083" s="9">
        <v>20.562345482855957</v>
      </c>
      <c r="X1083" s="9">
        <v>22.391977691000818</v>
      </c>
      <c r="Y1083" s="9">
        <v>22.391977691000818</v>
      </c>
      <c r="Z1083" s="9">
        <v>24.28858708803979</v>
      </c>
      <c r="AA1083" s="9">
        <v>24.28858708803979</v>
      </c>
      <c r="AB1083" s="9">
        <v>25.117335532005217</v>
      </c>
      <c r="AC1083" s="9">
        <v>25.117335532005217</v>
      </c>
      <c r="AD1083" s="9">
        <v>29.039116491286865</v>
      </c>
      <c r="AE1083" s="9">
        <v>31.219251037281825</v>
      </c>
      <c r="AF1083" s="9">
        <v>33.487682081707895</v>
      </c>
      <c r="AG1083" s="9">
        <v>33.487682081707895</v>
      </c>
      <c r="AH1083" s="9">
        <v>36.427668170967245</v>
      </c>
      <c r="AI1083" s="9">
        <v>38.74455996597662</v>
      </c>
      <c r="AJ1083" s="9">
        <v>3.0428788910505911</v>
      </c>
    </row>
    <row r="1084" spans="1:36" x14ac:dyDescent="0.25">
      <c r="A1084" t="s">
        <v>5411</v>
      </c>
      <c r="B1084" t="s">
        <v>16</v>
      </c>
      <c r="C1084" t="s">
        <v>17</v>
      </c>
      <c r="D1084">
        <v>35200000</v>
      </c>
      <c r="E1084">
        <v>35219999</v>
      </c>
      <c r="F1084" t="s">
        <v>906</v>
      </c>
      <c r="G1084" t="str">
        <f t="shared" si="32"/>
        <v>MGI II</v>
      </c>
      <c r="H1084" t="s">
        <v>851</v>
      </c>
      <c r="I1084" t="s">
        <v>20</v>
      </c>
      <c r="J1084" t="s">
        <v>64</v>
      </c>
      <c r="K1084" s="6">
        <v>0.03</v>
      </c>
      <c r="L1084" s="7">
        <f t="shared" si="33"/>
        <v>2E-3</v>
      </c>
      <c r="M1084" s="7">
        <v>3.0000000000000001E-3</v>
      </c>
      <c r="N1084">
        <v>8</v>
      </c>
      <c r="O1084" s="8">
        <v>17.822306426995311</v>
      </c>
      <c r="P1084" s="9">
        <v>17.822306426995311</v>
      </c>
      <c r="Q1084" s="9">
        <v>17.822306426995311</v>
      </c>
      <c r="R1084" s="9">
        <v>18.237663306594719</v>
      </c>
      <c r="S1084" s="9">
        <v>18.48712920931133</v>
      </c>
      <c r="T1084" s="9">
        <v>19.201553596969877</v>
      </c>
      <c r="U1084" s="9">
        <v>20.562345482855957</v>
      </c>
      <c r="V1084" s="9">
        <v>20.562345482855957</v>
      </c>
      <c r="W1084" s="9">
        <v>20.562345482855957</v>
      </c>
      <c r="X1084" s="9">
        <v>22.391977691000818</v>
      </c>
      <c r="Y1084" s="9">
        <v>22.391977691000818</v>
      </c>
      <c r="Z1084" s="9">
        <v>24.28858708803979</v>
      </c>
      <c r="AA1084" s="9">
        <v>24.28858708803979</v>
      </c>
      <c r="AB1084" s="9">
        <v>25.117335532005217</v>
      </c>
      <c r="AC1084" s="9">
        <v>25.117335532005217</v>
      </c>
      <c r="AD1084" s="9">
        <v>29.039116491286865</v>
      </c>
      <c r="AE1084" s="9">
        <v>31.219251037281825</v>
      </c>
      <c r="AF1084" s="9">
        <v>33.487682081707895</v>
      </c>
      <c r="AG1084" s="9">
        <v>33.487682081707895</v>
      </c>
      <c r="AH1084" s="9">
        <v>36.427668170967245</v>
      </c>
      <c r="AI1084" s="9">
        <v>38.74455996597662</v>
      </c>
      <c r="AJ1084" s="9">
        <v>3.0428788910505911</v>
      </c>
    </row>
    <row r="1085" spans="1:36" x14ac:dyDescent="0.25">
      <c r="A1085" t="s">
        <v>5411</v>
      </c>
      <c r="B1085" t="s">
        <v>16</v>
      </c>
      <c r="C1085" t="s">
        <v>17</v>
      </c>
      <c r="D1085">
        <v>35220000</v>
      </c>
      <c r="E1085">
        <v>35224999</v>
      </c>
      <c r="F1085" t="s">
        <v>907</v>
      </c>
      <c r="G1085" t="str">
        <f t="shared" si="32"/>
        <v>MGI II</v>
      </c>
      <c r="H1085" t="s">
        <v>851</v>
      </c>
      <c r="I1085" t="s">
        <v>20</v>
      </c>
      <c r="J1085" t="s">
        <v>64</v>
      </c>
      <c r="K1085" s="6">
        <v>0.03</v>
      </c>
      <c r="L1085" s="7">
        <f t="shared" si="33"/>
        <v>2E-3</v>
      </c>
      <c r="M1085" s="7">
        <v>3.0000000000000001E-3</v>
      </c>
      <c r="N1085">
        <v>8</v>
      </c>
      <c r="O1085" s="8">
        <v>17.822306426995311</v>
      </c>
      <c r="P1085" s="9">
        <v>17.822306426995311</v>
      </c>
      <c r="Q1085" s="9">
        <v>17.822306426995311</v>
      </c>
      <c r="R1085" s="9">
        <v>18.237663306594719</v>
      </c>
      <c r="S1085" s="9">
        <v>18.48712920931133</v>
      </c>
      <c r="T1085" s="9">
        <v>19.201553596969877</v>
      </c>
      <c r="U1085" s="9">
        <v>20.562345482855957</v>
      </c>
      <c r="V1085" s="9">
        <v>20.562345482855957</v>
      </c>
      <c r="W1085" s="9">
        <v>20.562345482855957</v>
      </c>
      <c r="X1085" s="9">
        <v>22.391977691000818</v>
      </c>
      <c r="Y1085" s="9">
        <v>22.391977691000818</v>
      </c>
      <c r="Z1085" s="9">
        <v>24.28858708803979</v>
      </c>
      <c r="AA1085" s="9">
        <v>24.28858708803979</v>
      </c>
      <c r="AB1085" s="9">
        <v>25.117335532005217</v>
      </c>
      <c r="AC1085" s="9">
        <v>25.117335532005217</v>
      </c>
      <c r="AD1085" s="9">
        <v>29.039116491286865</v>
      </c>
      <c r="AE1085" s="9">
        <v>31.219251037281825</v>
      </c>
      <c r="AF1085" s="9">
        <v>33.487682081707895</v>
      </c>
      <c r="AG1085" s="9">
        <v>33.487682081707895</v>
      </c>
      <c r="AH1085" s="9">
        <v>36.427668170967245</v>
      </c>
      <c r="AI1085" s="9">
        <v>38.74455996597662</v>
      </c>
      <c r="AJ1085" s="9">
        <v>3.0428788910505911</v>
      </c>
    </row>
    <row r="1086" spans="1:36" x14ac:dyDescent="0.25">
      <c r="A1086" t="s">
        <v>5411</v>
      </c>
      <c r="B1086" t="s">
        <v>16</v>
      </c>
      <c r="C1086" t="s">
        <v>17</v>
      </c>
      <c r="D1086">
        <v>35225000</v>
      </c>
      <c r="E1086">
        <v>35229999</v>
      </c>
      <c r="F1086" t="s">
        <v>908</v>
      </c>
      <c r="G1086" t="str">
        <f t="shared" si="32"/>
        <v>MGI II</v>
      </c>
      <c r="H1086" t="s">
        <v>851</v>
      </c>
      <c r="I1086" t="s">
        <v>20</v>
      </c>
      <c r="J1086" t="s">
        <v>64</v>
      </c>
      <c r="K1086" s="6">
        <v>0.03</v>
      </c>
      <c r="L1086" s="7">
        <f t="shared" si="33"/>
        <v>2E-3</v>
      </c>
      <c r="M1086" s="7">
        <v>3.0000000000000001E-3</v>
      </c>
      <c r="N1086">
        <v>8</v>
      </c>
      <c r="O1086" s="8">
        <v>17.822306426995311</v>
      </c>
      <c r="P1086" s="9">
        <v>17.822306426995311</v>
      </c>
      <c r="Q1086" s="9">
        <v>17.822306426995311</v>
      </c>
      <c r="R1086" s="9">
        <v>18.237663306594719</v>
      </c>
      <c r="S1086" s="9">
        <v>18.48712920931133</v>
      </c>
      <c r="T1086" s="9">
        <v>19.201553596969877</v>
      </c>
      <c r="U1086" s="9">
        <v>20.562345482855957</v>
      </c>
      <c r="V1086" s="9">
        <v>20.562345482855957</v>
      </c>
      <c r="W1086" s="9">
        <v>20.562345482855957</v>
      </c>
      <c r="X1086" s="9">
        <v>22.391977691000818</v>
      </c>
      <c r="Y1086" s="9">
        <v>22.391977691000818</v>
      </c>
      <c r="Z1086" s="9">
        <v>24.28858708803979</v>
      </c>
      <c r="AA1086" s="9">
        <v>24.28858708803979</v>
      </c>
      <c r="AB1086" s="9">
        <v>25.117335532005217</v>
      </c>
      <c r="AC1086" s="9">
        <v>25.117335532005217</v>
      </c>
      <c r="AD1086" s="9">
        <v>29.039116491286865</v>
      </c>
      <c r="AE1086" s="9">
        <v>31.219251037281825</v>
      </c>
      <c r="AF1086" s="9">
        <v>33.487682081707895</v>
      </c>
      <c r="AG1086" s="9">
        <v>33.487682081707895</v>
      </c>
      <c r="AH1086" s="9">
        <v>36.427668170967245</v>
      </c>
      <c r="AI1086" s="9">
        <v>38.74455996597662</v>
      </c>
      <c r="AJ1086" s="9">
        <v>3.0428788910505911</v>
      </c>
    </row>
    <row r="1087" spans="1:36" x14ac:dyDescent="0.25">
      <c r="A1087" t="s">
        <v>5411</v>
      </c>
      <c r="B1087" t="s">
        <v>16</v>
      </c>
      <c r="C1087" t="s">
        <v>17</v>
      </c>
      <c r="D1087">
        <v>35230000</v>
      </c>
      <c r="E1087">
        <v>35239999</v>
      </c>
      <c r="F1087" t="s">
        <v>909</v>
      </c>
      <c r="G1087" t="str">
        <f t="shared" si="32"/>
        <v>MGI II</v>
      </c>
      <c r="H1087" t="s">
        <v>851</v>
      </c>
      <c r="I1087" t="s">
        <v>20</v>
      </c>
      <c r="J1087" t="s">
        <v>64</v>
      </c>
      <c r="K1087" s="6">
        <v>0.03</v>
      </c>
      <c r="L1087" s="7">
        <f t="shared" si="33"/>
        <v>2E-3</v>
      </c>
      <c r="M1087" s="7">
        <v>3.0000000000000001E-3</v>
      </c>
      <c r="N1087">
        <v>8</v>
      </c>
      <c r="O1087" s="8">
        <v>17.822306426995311</v>
      </c>
      <c r="P1087" s="9">
        <v>17.822306426995311</v>
      </c>
      <c r="Q1087" s="9">
        <v>17.822306426995311</v>
      </c>
      <c r="R1087" s="9">
        <v>18.237663306594719</v>
      </c>
      <c r="S1087" s="9">
        <v>18.48712920931133</v>
      </c>
      <c r="T1087" s="9">
        <v>19.201553596969877</v>
      </c>
      <c r="U1087" s="9">
        <v>20.562345482855957</v>
      </c>
      <c r="V1087" s="9">
        <v>20.562345482855957</v>
      </c>
      <c r="W1087" s="9">
        <v>20.562345482855957</v>
      </c>
      <c r="X1087" s="9">
        <v>22.391977691000818</v>
      </c>
      <c r="Y1087" s="9">
        <v>22.391977691000818</v>
      </c>
      <c r="Z1087" s="9">
        <v>24.28858708803979</v>
      </c>
      <c r="AA1087" s="9">
        <v>24.28858708803979</v>
      </c>
      <c r="AB1087" s="9">
        <v>25.117335532005217</v>
      </c>
      <c r="AC1087" s="9">
        <v>25.117335532005217</v>
      </c>
      <c r="AD1087" s="9">
        <v>29.039116491286865</v>
      </c>
      <c r="AE1087" s="9">
        <v>31.219251037281825</v>
      </c>
      <c r="AF1087" s="9">
        <v>33.487682081707895</v>
      </c>
      <c r="AG1087" s="9">
        <v>33.487682081707895</v>
      </c>
      <c r="AH1087" s="9">
        <v>36.427668170967245</v>
      </c>
      <c r="AI1087" s="9">
        <v>38.74455996597662</v>
      </c>
      <c r="AJ1087" s="9">
        <v>3.0428788910505911</v>
      </c>
    </row>
    <row r="1088" spans="1:36" x14ac:dyDescent="0.25">
      <c r="A1088" t="s">
        <v>5411</v>
      </c>
      <c r="B1088" t="s">
        <v>16</v>
      </c>
      <c r="C1088" t="s">
        <v>17</v>
      </c>
      <c r="D1088">
        <v>35240000</v>
      </c>
      <c r="E1088">
        <v>35245999</v>
      </c>
      <c r="F1088" t="s">
        <v>910</v>
      </c>
      <c r="G1088" t="str">
        <f t="shared" si="32"/>
        <v>MGI II</v>
      </c>
      <c r="H1088" t="s">
        <v>851</v>
      </c>
      <c r="I1088" t="s">
        <v>20</v>
      </c>
      <c r="J1088" t="s">
        <v>64</v>
      </c>
      <c r="K1088" s="6">
        <v>0.03</v>
      </c>
      <c r="L1088" s="7">
        <f t="shared" si="33"/>
        <v>2E-3</v>
      </c>
      <c r="M1088" s="7">
        <v>3.0000000000000001E-3</v>
      </c>
      <c r="N1088">
        <v>8</v>
      </c>
      <c r="O1088" s="8">
        <v>17.822306426995311</v>
      </c>
      <c r="P1088" s="9">
        <v>17.822306426995311</v>
      </c>
      <c r="Q1088" s="9">
        <v>17.822306426995311</v>
      </c>
      <c r="R1088" s="9">
        <v>18.237663306594719</v>
      </c>
      <c r="S1088" s="9">
        <v>18.48712920931133</v>
      </c>
      <c r="T1088" s="9">
        <v>19.201553596969877</v>
      </c>
      <c r="U1088" s="9">
        <v>20.562345482855957</v>
      </c>
      <c r="V1088" s="9">
        <v>20.562345482855957</v>
      </c>
      <c r="W1088" s="9">
        <v>20.562345482855957</v>
      </c>
      <c r="X1088" s="9">
        <v>22.391977691000818</v>
      </c>
      <c r="Y1088" s="9">
        <v>22.391977691000818</v>
      </c>
      <c r="Z1088" s="9">
        <v>24.28858708803979</v>
      </c>
      <c r="AA1088" s="9">
        <v>24.28858708803979</v>
      </c>
      <c r="AB1088" s="9">
        <v>25.117335532005217</v>
      </c>
      <c r="AC1088" s="9">
        <v>25.117335532005217</v>
      </c>
      <c r="AD1088" s="9">
        <v>29.039116491286865</v>
      </c>
      <c r="AE1088" s="9">
        <v>31.219251037281825</v>
      </c>
      <c r="AF1088" s="9">
        <v>33.487682081707895</v>
      </c>
      <c r="AG1088" s="9">
        <v>33.487682081707895</v>
      </c>
      <c r="AH1088" s="9">
        <v>36.427668170967245</v>
      </c>
      <c r="AI1088" s="9">
        <v>38.74455996597662</v>
      </c>
      <c r="AJ1088" s="9">
        <v>3.0428788910505911</v>
      </c>
    </row>
    <row r="1089" spans="1:36" x14ac:dyDescent="0.25">
      <c r="A1089" t="s">
        <v>5411</v>
      </c>
      <c r="B1089" t="s">
        <v>16</v>
      </c>
      <c r="C1089" t="s">
        <v>17</v>
      </c>
      <c r="D1089">
        <v>35246000</v>
      </c>
      <c r="E1089">
        <v>35247999</v>
      </c>
      <c r="F1089" t="s">
        <v>911</v>
      </c>
      <c r="G1089" t="str">
        <f t="shared" si="32"/>
        <v>MGI II</v>
      </c>
      <c r="H1089" t="s">
        <v>851</v>
      </c>
      <c r="I1089" t="s">
        <v>20</v>
      </c>
      <c r="J1089" t="s">
        <v>64</v>
      </c>
      <c r="K1089" s="6">
        <v>0.03</v>
      </c>
      <c r="L1089" s="7">
        <f t="shared" si="33"/>
        <v>2E-3</v>
      </c>
      <c r="M1089" s="7">
        <v>3.0000000000000001E-3</v>
      </c>
      <c r="N1089">
        <v>8</v>
      </c>
      <c r="O1089" s="8">
        <v>17.822306426995311</v>
      </c>
      <c r="P1089" s="9">
        <v>17.822306426995311</v>
      </c>
      <c r="Q1089" s="9">
        <v>17.822306426995311</v>
      </c>
      <c r="R1089" s="9">
        <v>18.237663306594719</v>
      </c>
      <c r="S1089" s="9">
        <v>18.48712920931133</v>
      </c>
      <c r="T1089" s="9">
        <v>19.201553596969877</v>
      </c>
      <c r="U1089" s="9">
        <v>20.562345482855957</v>
      </c>
      <c r="V1089" s="9">
        <v>20.562345482855957</v>
      </c>
      <c r="W1089" s="9">
        <v>20.562345482855957</v>
      </c>
      <c r="X1089" s="9">
        <v>22.391977691000818</v>
      </c>
      <c r="Y1089" s="9">
        <v>22.391977691000818</v>
      </c>
      <c r="Z1089" s="9">
        <v>24.28858708803979</v>
      </c>
      <c r="AA1089" s="9">
        <v>24.28858708803979</v>
      </c>
      <c r="AB1089" s="9">
        <v>25.117335532005217</v>
      </c>
      <c r="AC1089" s="9">
        <v>25.117335532005217</v>
      </c>
      <c r="AD1089" s="9">
        <v>29.039116491286865</v>
      </c>
      <c r="AE1089" s="9">
        <v>31.219251037281825</v>
      </c>
      <c r="AF1089" s="9">
        <v>33.487682081707895</v>
      </c>
      <c r="AG1089" s="9">
        <v>33.487682081707895</v>
      </c>
      <c r="AH1089" s="9">
        <v>36.427668170967245</v>
      </c>
      <c r="AI1089" s="9">
        <v>38.74455996597662</v>
      </c>
      <c r="AJ1089" s="9">
        <v>3.0428788910505911</v>
      </c>
    </row>
    <row r="1090" spans="1:36" x14ac:dyDescent="0.25">
      <c r="A1090" t="s">
        <v>5411</v>
      </c>
      <c r="B1090" t="s">
        <v>16</v>
      </c>
      <c r="C1090" t="s">
        <v>17</v>
      </c>
      <c r="D1090">
        <v>35248000</v>
      </c>
      <c r="E1090">
        <v>35248999</v>
      </c>
      <c r="F1090" t="s">
        <v>912</v>
      </c>
      <c r="G1090" t="str">
        <f t="shared" si="32"/>
        <v>MGI II</v>
      </c>
      <c r="H1090" t="s">
        <v>851</v>
      </c>
      <c r="I1090" t="s">
        <v>20</v>
      </c>
      <c r="J1090" t="s">
        <v>64</v>
      </c>
      <c r="K1090" s="6">
        <v>0.03</v>
      </c>
      <c r="L1090" s="7">
        <f t="shared" si="33"/>
        <v>2E-3</v>
      </c>
      <c r="M1090" s="7">
        <v>3.0000000000000001E-3</v>
      </c>
      <c r="N1090">
        <v>8</v>
      </c>
      <c r="O1090" s="8">
        <v>17.822306426995311</v>
      </c>
      <c r="P1090" s="9">
        <v>17.822306426995311</v>
      </c>
      <c r="Q1090" s="9">
        <v>17.822306426995311</v>
      </c>
      <c r="R1090" s="9">
        <v>18.237663306594719</v>
      </c>
      <c r="S1090" s="9">
        <v>18.48712920931133</v>
      </c>
      <c r="T1090" s="9">
        <v>19.201553596969877</v>
      </c>
      <c r="U1090" s="9">
        <v>20.562345482855957</v>
      </c>
      <c r="V1090" s="9">
        <v>20.562345482855957</v>
      </c>
      <c r="W1090" s="9">
        <v>20.562345482855957</v>
      </c>
      <c r="X1090" s="9">
        <v>22.391977691000818</v>
      </c>
      <c r="Y1090" s="9">
        <v>22.391977691000818</v>
      </c>
      <c r="Z1090" s="9">
        <v>24.28858708803979</v>
      </c>
      <c r="AA1090" s="9">
        <v>24.28858708803979</v>
      </c>
      <c r="AB1090" s="9">
        <v>25.117335532005217</v>
      </c>
      <c r="AC1090" s="9">
        <v>25.117335532005217</v>
      </c>
      <c r="AD1090" s="9">
        <v>29.039116491286865</v>
      </c>
      <c r="AE1090" s="9">
        <v>31.219251037281825</v>
      </c>
      <c r="AF1090" s="9">
        <v>33.487682081707895</v>
      </c>
      <c r="AG1090" s="9">
        <v>33.487682081707895</v>
      </c>
      <c r="AH1090" s="9">
        <v>36.427668170967245</v>
      </c>
      <c r="AI1090" s="9">
        <v>38.74455996597662</v>
      </c>
      <c r="AJ1090" s="9">
        <v>3.0428788910505911</v>
      </c>
    </row>
    <row r="1091" spans="1:36" x14ac:dyDescent="0.25">
      <c r="A1091" t="s">
        <v>5411</v>
      </c>
      <c r="B1091" t="s">
        <v>16</v>
      </c>
      <c r="C1091" t="s">
        <v>17</v>
      </c>
      <c r="D1091">
        <v>35249000</v>
      </c>
      <c r="E1091">
        <v>35249999</v>
      </c>
      <c r="F1091" t="s">
        <v>913</v>
      </c>
      <c r="G1091" t="str">
        <f t="shared" si="32"/>
        <v>MGI II</v>
      </c>
      <c r="H1091" t="s">
        <v>851</v>
      </c>
      <c r="I1091" t="s">
        <v>20</v>
      </c>
      <c r="J1091" t="s">
        <v>64</v>
      </c>
      <c r="K1091" s="6">
        <v>0.03</v>
      </c>
      <c r="L1091" s="7">
        <f t="shared" si="33"/>
        <v>2E-3</v>
      </c>
      <c r="M1091" s="7">
        <v>3.0000000000000001E-3</v>
      </c>
      <c r="N1091">
        <v>8</v>
      </c>
      <c r="O1091" s="8">
        <v>17.822306426995311</v>
      </c>
      <c r="P1091" s="9">
        <v>17.822306426995311</v>
      </c>
      <c r="Q1091" s="9">
        <v>17.822306426995311</v>
      </c>
      <c r="R1091" s="9">
        <v>18.237663306594719</v>
      </c>
      <c r="S1091" s="9">
        <v>18.48712920931133</v>
      </c>
      <c r="T1091" s="9">
        <v>19.201553596969877</v>
      </c>
      <c r="U1091" s="9">
        <v>20.562345482855957</v>
      </c>
      <c r="V1091" s="9">
        <v>20.562345482855957</v>
      </c>
      <c r="W1091" s="9">
        <v>20.562345482855957</v>
      </c>
      <c r="X1091" s="9">
        <v>22.391977691000818</v>
      </c>
      <c r="Y1091" s="9">
        <v>22.391977691000818</v>
      </c>
      <c r="Z1091" s="9">
        <v>24.28858708803979</v>
      </c>
      <c r="AA1091" s="9">
        <v>24.28858708803979</v>
      </c>
      <c r="AB1091" s="9">
        <v>25.117335532005217</v>
      </c>
      <c r="AC1091" s="9">
        <v>25.117335532005217</v>
      </c>
      <c r="AD1091" s="9">
        <v>29.039116491286865</v>
      </c>
      <c r="AE1091" s="9">
        <v>31.219251037281825</v>
      </c>
      <c r="AF1091" s="9">
        <v>33.487682081707895</v>
      </c>
      <c r="AG1091" s="9">
        <v>33.487682081707895</v>
      </c>
      <c r="AH1091" s="9">
        <v>36.427668170967245</v>
      </c>
      <c r="AI1091" s="9">
        <v>38.74455996597662</v>
      </c>
      <c r="AJ1091" s="9">
        <v>3.0428788910505911</v>
      </c>
    </row>
    <row r="1092" spans="1:36" x14ac:dyDescent="0.25">
      <c r="A1092" t="s">
        <v>5411</v>
      </c>
      <c r="B1092" t="s">
        <v>16</v>
      </c>
      <c r="C1092" t="s">
        <v>17</v>
      </c>
      <c r="D1092">
        <v>35250000</v>
      </c>
      <c r="E1092">
        <v>35257999</v>
      </c>
      <c r="F1092" t="s">
        <v>914</v>
      </c>
      <c r="G1092" t="str">
        <f t="shared" ref="G1092:G1155" si="34">H1092&amp;IF(J1092="CAPITAL","C",IF(J1092="INTERIOR","I",IF(J1092="INTERIOR II","I II","R")))</f>
        <v>MGI II</v>
      </c>
      <c r="H1092" t="s">
        <v>851</v>
      </c>
      <c r="I1092" t="s">
        <v>20</v>
      </c>
      <c r="J1092" t="s">
        <v>64</v>
      </c>
      <c r="K1092" s="6">
        <v>0.03</v>
      </c>
      <c r="L1092" s="7">
        <f t="shared" ref="L1092:L1155" si="35">IF(I1092="(0) Não",0.2%,3%)</f>
        <v>2E-3</v>
      </c>
      <c r="M1092" s="7">
        <v>3.0000000000000001E-3</v>
      </c>
      <c r="N1092">
        <v>8</v>
      </c>
      <c r="O1092" s="8">
        <v>17.822306426995311</v>
      </c>
      <c r="P1092" s="9">
        <v>17.822306426995311</v>
      </c>
      <c r="Q1092" s="9">
        <v>17.822306426995311</v>
      </c>
      <c r="R1092" s="9">
        <v>18.237663306594719</v>
      </c>
      <c r="S1092" s="9">
        <v>18.48712920931133</v>
      </c>
      <c r="T1092" s="9">
        <v>19.201553596969877</v>
      </c>
      <c r="U1092" s="9">
        <v>20.562345482855957</v>
      </c>
      <c r="V1092" s="9">
        <v>20.562345482855957</v>
      </c>
      <c r="W1092" s="9">
        <v>20.562345482855957</v>
      </c>
      <c r="X1092" s="9">
        <v>22.391977691000818</v>
      </c>
      <c r="Y1092" s="9">
        <v>22.391977691000818</v>
      </c>
      <c r="Z1092" s="9">
        <v>24.28858708803979</v>
      </c>
      <c r="AA1092" s="9">
        <v>24.28858708803979</v>
      </c>
      <c r="AB1092" s="9">
        <v>25.117335532005217</v>
      </c>
      <c r="AC1092" s="9">
        <v>25.117335532005217</v>
      </c>
      <c r="AD1092" s="9">
        <v>29.039116491286865</v>
      </c>
      <c r="AE1092" s="9">
        <v>31.219251037281825</v>
      </c>
      <c r="AF1092" s="9">
        <v>33.487682081707895</v>
      </c>
      <c r="AG1092" s="9">
        <v>33.487682081707895</v>
      </c>
      <c r="AH1092" s="9">
        <v>36.427668170967245</v>
      </c>
      <c r="AI1092" s="9">
        <v>38.74455996597662</v>
      </c>
      <c r="AJ1092" s="9">
        <v>3.0428788910505911</v>
      </c>
    </row>
    <row r="1093" spans="1:36" x14ac:dyDescent="0.25">
      <c r="A1093" t="s">
        <v>5411</v>
      </c>
      <c r="B1093" t="s">
        <v>16</v>
      </c>
      <c r="C1093" t="s">
        <v>17</v>
      </c>
      <c r="D1093">
        <v>35258000</v>
      </c>
      <c r="E1093">
        <v>35259999</v>
      </c>
      <c r="F1093" t="s">
        <v>915</v>
      </c>
      <c r="G1093" t="str">
        <f t="shared" si="34"/>
        <v>MGI II</v>
      </c>
      <c r="H1093" t="s">
        <v>851</v>
      </c>
      <c r="I1093" t="s">
        <v>20</v>
      </c>
      <c r="J1093" t="s">
        <v>64</v>
      </c>
      <c r="K1093" s="6">
        <v>0.03</v>
      </c>
      <c r="L1093" s="7">
        <f t="shared" si="35"/>
        <v>2E-3</v>
      </c>
      <c r="M1093" s="7">
        <v>3.0000000000000001E-3</v>
      </c>
      <c r="N1093">
        <v>8</v>
      </c>
      <c r="O1093" s="8">
        <v>17.822306426995311</v>
      </c>
      <c r="P1093" s="9">
        <v>17.822306426995311</v>
      </c>
      <c r="Q1093" s="9">
        <v>17.822306426995311</v>
      </c>
      <c r="R1093" s="9">
        <v>18.237663306594719</v>
      </c>
      <c r="S1093" s="9">
        <v>18.48712920931133</v>
      </c>
      <c r="T1093" s="9">
        <v>19.201553596969877</v>
      </c>
      <c r="U1093" s="9">
        <v>20.562345482855957</v>
      </c>
      <c r="V1093" s="9">
        <v>20.562345482855957</v>
      </c>
      <c r="W1093" s="9">
        <v>20.562345482855957</v>
      </c>
      <c r="X1093" s="9">
        <v>22.391977691000818</v>
      </c>
      <c r="Y1093" s="9">
        <v>22.391977691000818</v>
      </c>
      <c r="Z1093" s="9">
        <v>24.28858708803979</v>
      </c>
      <c r="AA1093" s="9">
        <v>24.28858708803979</v>
      </c>
      <c r="AB1093" s="9">
        <v>25.117335532005217</v>
      </c>
      <c r="AC1093" s="9">
        <v>25.117335532005217</v>
      </c>
      <c r="AD1093" s="9">
        <v>29.039116491286865</v>
      </c>
      <c r="AE1093" s="9">
        <v>31.219251037281825</v>
      </c>
      <c r="AF1093" s="9">
        <v>33.487682081707895</v>
      </c>
      <c r="AG1093" s="9">
        <v>33.487682081707895</v>
      </c>
      <c r="AH1093" s="9">
        <v>36.427668170967245</v>
      </c>
      <c r="AI1093" s="9">
        <v>38.74455996597662</v>
      </c>
      <c r="AJ1093" s="9">
        <v>3.0428788910505911</v>
      </c>
    </row>
    <row r="1094" spans="1:36" x14ac:dyDescent="0.25">
      <c r="A1094" t="s">
        <v>5411</v>
      </c>
      <c r="B1094" t="s">
        <v>16</v>
      </c>
      <c r="C1094" t="s">
        <v>17</v>
      </c>
      <c r="D1094">
        <v>35260000</v>
      </c>
      <c r="E1094">
        <v>35264999</v>
      </c>
      <c r="F1094" t="s">
        <v>916</v>
      </c>
      <c r="G1094" t="str">
        <f t="shared" si="34"/>
        <v>MGI II</v>
      </c>
      <c r="H1094" t="s">
        <v>851</v>
      </c>
      <c r="I1094" t="s">
        <v>20</v>
      </c>
      <c r="J1094" t="s">
        <v>64</v>
      </c>
      <c r="K1094" s="6">
        <v>0.03</v>
      </c>
      <c r="L1094" s="7">
        <f t="shared" si="35"/>
        <v>2E-3</v>
      </c>
      <c r="M1094" s="7">
        <v>3.0000000000000001E-3</v>
      </c>
      <c r="N1094">
        <v>8</v>
      </c>
      <c r="O1094" s="8">
        <v>17.822306426995311</v>
      </c>
      <c r="P1094" s="9">
        <v>17.822306426995311</v>
      </c>
      <c r="Q1094" s="9">
        <v>17.822306426995311</v>
      </c>
      <c r="R1094" s="9">
        <v>18.237663306594719</v>
      </c>
      <c r="S1094" s="9">
        <v>18.48712920931133</v>
      </c>
      <c r="T1094" s="9">
        <v>19.201553596969877</v>
      </c>
      <c r="U1094" s="9">
        <v>20.562345482855957</v>
      </c>
      <c r="V1094" s="9">
        <v>20.562345482855957</v>
      </c>
      <c r="W1094" s="9">
        <v>20.562345482855957</v>
      </c>
      <c r="X1094" s="9">
        <v>22.391977691000818</v>
      </c>
      <c r="Y1094" s="9">
        <v>22.391977691000818</v>
      </c>
      <c r="Z1094" s="9">
        <v>24.28858708803979</v>
      </c>
      <c r="AA1094" s="9">
        <v>24.28858708803979</v>
      </c>
      <c r="AB1094" s="9">
        <v>25.117335532005217</v>
      </c>
      <c r="AC1094" s="9">
        <v>25.117335532005217</v>
      </c>
      <c r="AD1094" s="9">
        <v>29.039116491286865</v>
      </c>
      <c r="AE1094" s="9">
        <v>31.219251037281825</v>
      </c>
      <c r="AF1094" s="9">
        <v>33.487682081707895</v>
      </c>
      <c r="AG1094" s="9">
        <v>33.487682081707895</v>
      </c>
      <c r="AH1094" s="9">
        <v>36.427668170967245</v>
      </c>
      <c r="AI1094" s="9">
        <v>38.74455996597662</v>
      </c>
      <c r="AJ1094" s="9">
        <v>3.0428788910505911</v>
      </c>
    </row>
    <row r="1095" spans="1:36" x14ac:dyDescent="0.25">
      <c r="A1095" t="s">
        <v>5411</v>
      </c>
      <c r="B1095" t="s">
        <v>16</v>
      </c>
      <c r="C1095" t="s">
        <v>17</v>
      </c>
      <c r="D1095">
        <v>35265000</v>
      </c>
      <c r="E1095">
        <v>35269999</v>
      </c>
      <c r="F1095" t="s">
        <v>917</v>
      </c>
      <c r="G1095" t="str">
        <f t="shared" si="34"/>
        <v>MGI II</v>
      </c>
      <c r="H1095" t="s">
        <v>851</v>
      </c>
      <c r="I1095" t="s">
        <v>20</v>
      </c>
      <c r="J1095" t="s">
        <v>64</v>
      </c>
      <c r="K1095" s="6">
        <v>0.03</v>
      </c>
      <c r="L1095" s="7">
        <f t="shared" si="35"/>
        <v>2E-3</v>
      </c>
      <c r="M1095" s="7">
        <v>3.0000000000000001E-3</v>
      </c>
      <c r="N1095">
        <v>8</v>
      </c>
      <c r="O1095" s="8">
        <v>17.822306426995311</v>
      </c>
      <c r="P1095" s="9">
        <v>17.822306426995311</v>
      </c>
      <c r="Q1095" s="9">
        <v>17.822306426995311</v>
      </c>
      <c r="R1095" s="9">
        <v>18.237663306594719</v>
      </c>
      <c r="S1095" s="9">
        <v>18.48712920931133</v>
      </c>
      <c r="T1095" s="9">
        <v>19.201553596969877</v>
      </c>
      <c r="U1095" s="9">
        <v>20.562345482855957</v>
      </c>
      <c r="V1095" s="9">
        <v>20.562345482855957</v>
      </c>
      <c r="W1095" s="9">
        <v>20.562345482855957</v>
      </c>
      <c r="X1095" s="9">
        <v>22.391977691000818</v>
      </c>
      <c r="Y1095" s="9">
        <v>22.391977691000818</v>
      </c>
      <c r="Z1095" s="9">
        <v>24.28858708803979</v>
      </c>
      <c r="AA1095" s="9">
        <v>24.28858708803979</v>
      </c>
      <c r="AB1095" s="9">
        <v>25.117335532005217</v>
      </c>
      <c r="AC1095" s="9">
        <v>25.117335532005217</v>
      </c>
      <c r="AD1095" s="9">
        <v>29.039116491286865</v>
      </c>
      <c r="AE1095" s="9">
        <v>31.219251037281825</v>
      </c>
      <c r="AF1095" s="9">
        <v>33.487682081707895</v>
      </c>
      <c r="AG1095" s="9">
        <v>33.487682081707895</v>
      </c>
      <c r="AH1095" s="9">
        <v>36.427668170967245</v>
      </c>
      <c r="AI1095" s="9">
        <v>38.74455996597662</v>
      </c>
      <c r="AJ1095" s="9">
        <v>3.0428788910505911</v>
      </c>
    </row>
    <row r="1096" spans="1:36" x14ac:dyDescent="0.25">
      <c r="A1096" t="s">
        <v>5411</v>
      </c>
      <c r="B1096" t="s">
        <v>16</v>
      </c>
      <c r="C1096" t="s">
        <v>17</v>
      </c>
      <c r="D1096">
        <v>35270000</v>
      </c>
      <c r="E1096">
        <v>35274999</v>
      </c>
      <c r="F1096" t="s">
        <v>918</v>
      </c>
      <c r="G1096" t="str">
        <f t="shared" si="34"/>
        <v>MGI II</v>
      </c>
      <c r="H1096" t="s">
        <v>851</v>
      </c>
      <c r="I1096" t="s">
        <v>20</v>
      </c>
      <c r="J1096" t="s">
        <v>64</v>
      </c>
      <c r="K1096" s="6">
        <v>0.03</v>
      </c>
      <c r="L1096" s="7">
        <f t="shared" si="35"/>
        <v>2E-3</v>
      </c>
      <c r="M1096" s="7">
        <v>3.0000000000000001E-3</v>
      </c>
      <c r="N1096">
        <v>8</v>
      </c>
      <c r="O1096" s="8">
        <v>17.822306426995311</v>
      </c>
      <c r="P1096" s="9">
        <v>17.822306426995311</v>
      </c>
      <c r="Q1096" s="9">
        <v>17.822306426995311</v>
      </c>
      <c r="R1096" s="9">
        <v>18.237663306594719</v>
      </c>
      <c r="S1096" s="9">
        <v>18.48712920931133</v>
      </c>
      <c r="T1096" s="9">
        <v>19.201553596969877</v>
      </c>
      <c r="U1096" s="9">
        <v>20.562345482855957</v>
      </c>
      <c r="V1096" s="9">
        <v>20.562345482855957</v>
      </c>
      <c r="W1096" s="9">
        <v>20.562345482855957</v>
      </c>
      <c r="X1096" s="9">
        <v>22.391977691000818</v>
      </c>
      <c r="Y1096" s="9">
        <v>22.391977691000818</v>
      </c>
      <c r="Z1096" s="9">
        <v>24.28858708803979</v>
      </c>
      <c r="AA1096" s="9">
        <v>24.28858708803979</v>
      </c>
      <c r="AB1096" s="9">
        <v>25.117335532005217</v>
      </c>
      <c r="AC1096" s="9">
        <v>25.117335532005217</v>
      </c>
      <c r="AD1096" s="9">
        <v>29.039116491286865</v>
      </c>
      <c r="AE1096" s="9">
        <v>31.219251037281825</v>
      </c>
      <c r="AF1096" s="9">
        <v>33.487682081707895</v>
      </c>
      <c r="AG1096" s="9">
        <v>33.487682081707895</v>
      </c>
      <c r="AH1096" s="9">
        <v>36.427668170967245</v>
      </c>
      <c r="AI1096" s="9">
        <v>38.74455996597662</v>
      </c>
      <c r="AJ1096" s="9">
        <v>3.0428788910505911</v>
      </c>
    </row>
    <row r="1097" spans="1:36" x14ac:dyDescent="0.25">
      <c r="A1097" t="s">
        <v>5411</v>
      </c>
      <c r="B1097" t="s">
        <v>16</v>
      </c>
      <c r="C1097" t="s">
        <v>17</v>
      </c>
      <c r="D1097">
        <v>35275000</v>
      </c>
      <c r="E1097">
        <v>35276999</v>
      </c>
      <c r="F1097" t="s">
        <v>919</v>
      </c>
      <c r="G1097" t="str">
        <f t="shared" si="34"/>
        <v>MGI II</v>
      </c>
      <c r="H1097" t="s">
        <v>851</v>
      </c>
      <c r="I1097" t="s">
        <v>20</v>
      </c>
      <c r="J1097" t="s">
        <v>64</v>
      </c>
      <c r="K1097" s="6">
        <v>0.03</v>
      </c>
      <c r="L1097" s="7">
        <f t="shared" si="35"/>
        <v>2E-3</v>
      </c>
      <c r="M1097" s="7">
        <v>3.0000000000000001E-3</v>
      </c>
      <c r="N1097">
        <v>8</v>
      </c>
      <c r="O1097" s="8">
        <v>17.822306426995311</v>
      </c>
      <c r="P1097" s="9">
        <v>17.822306426995311</v>
      </c>
      <c r="Q1097" s="9">
        <v>17.822306426995311</v>
      </c>
      <c r="R1097" s="9">
        <v>18.237663306594719</v>
      </c>
      <c r="S1097" s="9">
        <v>18.48712920931133</v>
      </c>
      <c r="T1097" s="9">
        <v>19.201553596969877</v>
      </c>
      <c r="U1097" s="9">
        <v>20.562345482855957</v>
      </c>
      <c r="V1097" s="9">
        <v>20.562345482855957</v>
      </c>
      <c r="W1097" s="9">
        <v>20.562345482855957</v>
      </c>
      <c r="X1097" s="9">
        <v>22.391977691000818</v>
      </c>
      <c r="Y1097" s="9">
        <v>22.391977691000818</v>
      </c>
      <c r="Z1097" s="9">
        <v>24.28858708803979</v>
      </c>
      <c r="AA1097" s="9">
        <v>24.28858708803979</v>
      </c>
      <c r="AB1097" s="9">
        <v>25.117335532005217</v>
      </c>
      <c r="AC1097" s="9">
        <v>25.117335532005217</v>
      </c>
      <c r="AD1097" s="9">
        <v>29.039116491286865</v>
      </c>
      <c r="AE1097" s="9">
        <v>31.219251037281825</v>
      </c>
      <c r="AF1097" s="9">
        <v>33.487682081707895</v>
      </c>
      <c r="AG1097" s="9">
        <v>33.487682081707895</v>
      </c>
      <c r="AH1097" s="9">
        <v>36.427668170967245</v>
      </c>
      <c r="AI1097" s="9">
        <v>38.74455996597662</v>
      </c>
      <c r="AJ1097" s="9">
        <v>3.0428788910505911</v>
      </c>
    </row>
    <row r="1098" spans="1:36" x14ac:dyDescent="0.25">
      <c r="A1098" t="s">
        <v>5411</v>
      </c>
      <c r="B1098" t="s">
        <v>16</v>
      </c>
      <c r="C1098" t="s">
        <v>17</v>
      </c>
      <c r="D1098">
        <v>35277000</v>
      </c>
      <c r="E1098">
        <v>35279999</v>
      </c>
      <c r="F1098" t="s">
        <v>920</v>
      </c>
      <c r="G1098" t="str">
        <f t="shared" si="34"/>
        <v>MGI II</v>
      </c>
      <c r="H1098" t="s">
        <v>851</v>
      </c>
      <c r="I1098" t="s">
        <v>20</v>
      </c>
      <c r="J1098" t="s">
        <v>64</v>
      </c>
      <c r="K1098" s="6">
        <v>0.03</v>
      </c>
      <c r="L1098" s="7">
        <f t="shared" si="35"/>
        <v>2E-3</v>
      </c>
      <c r="M1098" s="7">
        <v>3.0000000000000001E-3</v>
      </c>
      <c r="N1098">
        <v>8</v>
      </c>
      <c r="O1098" s="8">
        <v>17.822306426995311</v>
      </c>
      <c r="P1098" s="9">
        <v>17.822306426995311</v>
      </c>
      <c r="Q1098" s="9">
        <v>17.822306426995311</v>
      </c>
      <c r="R1098" s="9">
        <v>18.237663306594719</v>
      </c>
      <c r="S1098" s="9">
        <v>18.48712920931133</v>
      </c>
      <c r="T1098" s="9">
        <v>19.201553596969877</v>
      </c>
      <c r="U1098" s="9">
        <v>20.562345482855957</v>
      </c>
      <c r="V1098" s="9">
        <v>20.562345482855957</v>
      </c>
      <c r="W1098" s="9">
        <v>20.562345482855957</v>
      </c>
      <c r="X1098" s="9">
        <v>22.391977691000818</v>
      </c>
      <c r="Y1098" s="9">
        <v>22.391977691000818</v>
      </c>
      <c r="Z1098" s="9">
        <v>24.28858708803979</v>
      </c>
      <c r="AA1098" s="9">
        <v>24.28858708803979</v>
      </c>
      <c r="AB1098" s="9">
        <v>25.117335532005217</v>
      </c>
      <c r="AC1098" s="9">
        <v>25.117335532005217</v>
      </c>
      <c r="AD1098" s="9">
        <v>29.039116491286865</v>
      </c>
      <c r="AE1098" s="9">
        <v>31.219251037281825</v>
      </c>
      <c r="AF1098" s="9">
        <v>33.487682081707895</v>
      </c>
      <c r="AG1098" s="9">
        <v>33.487682081707895</v>
      </c>
      <c r="AH1098" s="9">
        <v>36.427668170967245</v>
      </c>
      <c r="AI1098" s="9">
        <v>38.74455996597662</v>
      </c>
      <c r="AJ1098" s="9">
        <v>3.0428788910505911</v>
      </c>
    </row>
    <row r="1099" spans="1:36" x14ac:dyDescent="0.25">
      <c r="A1099" t="s">
        <v>5411</v>
      </c>
      <c r="B1099" t="s">
        <v>16</v>
      </c>
      <c r="C1099" t="s">
        <v>17</v>
      </c>
      <c r="D1099">
        <v>35280000</v>
      </c>
      <c r="E1099">
        <v>35289999</v>
      </c>
      <c r="F1099" t="s">
        <v>921</v>
      </c>
      <c r="G1099" t="str">
        <f t="shared" si="34"/>
        <v>MGI II</v>
      </c>
      <c r="H1099" t="s">
        <v>851</v>
      </c>
      <c r="I1099" t="s">
        <v>20</v>
      </c>
      <c r="J1099" t="s">
        <v>64</v>
      </c>
      <c r="K1099" s="6">
        <v>0.03</v>
      </c>
      <c r="L1099" s="7">
        <f t="shared" si="35"/>
        <v>2E-3</v>
      </c>
      <c r="M1099" s="7">
        <v>3.0000000000000001E-3</v>
      </c>
      <c r="N1099">
        <v>8</v>
      </c>
      <c r="O1099" s="8">
        <v>17.822306426995311</v>
      </c>
      <c r="P1099" s="9">
        <v>17.822306426995311</v>
      </c>
      <c r="Q1099" s="9">
        <v>17.822306426995311</v>
      </c>
      <c r="R1099" s="9">
        <v>18.237663306594719</v>
      </c>
      <c r="S1099" s="9">
        <v>18.48712920931133</v>
      </c>
      <c r="T1099" s="9">
        <v>19.201553596969877</v>
      </c>
      <c r="U1099" s="9">
        <v>20.562345482855957</v>
      </c>
      <c r="V1099" s="9">
        <v>20.562345482855957</v>
      </c>
      <c r="W1099" s="9">
        <v>20.562345482855957</v>
      </c>
      <c r="X1099" s="9">
        <v>22.391977691000818</v>
      </c>
      <c r="Y1099" s="9">
        <v>22.391977691000818</v>
      </c>
      <c r="Z1099" s="9">
        <v>24.28858708803979</v>
      </c>
      <c r="AA1099" s="9">
        <v>24.28858708803979</v>
      </c>
      <c r="AB1099" s="9">
        <v>25.117335532005217</v>
      </c>
      <c r="AC1099" s="9">
        <v>25.117335532005217</v>
      </c>
      <c r="AD1099" s="9">
        <v>29.039116491286865</v>
      </c>
      <c r="AE1099" s="9">
        <v>31.219251037281825</v>
      </c>
      <c r="AF1099" s="9">
        <v>33.487682081707895</v>
      </c>
      <c r="AG1099" s="9">
        <v>33.487682081707895</v>
      </c>
      <c r="AH1099" s="9">
        <v>36.427668170967245</v>
      </c>
      <c r="AI1099" s="9">
        <v>38.74455996597662</v>
      </c>
      <c r="AJ1099" s="9">
        <v>3.0428788910505911</v>
      </c>
    </row>
    <row r="1100" spans="1:36" x14ac:dyDescent="0.25">
      <c r="A1100" t="s">
        <v>5411</v>
      </c>
      <c r="B1100" t="s">
        <v>16</v>
      </c>
      <c r="C1100" t="s">
        <v>17</v>
      </c>
      <c r="D1100">
        <v>35290000</v>
      </c>
      <c r="E1100">
        <v>35297999</v>
      </c>
      <c r="F1100" t="s">
        <v>922</v>
      </c>
      <c r="G1100" t="str">
        <f t="shared" si="34"/>
        <v>MGI II</v>
      </c>
      <c r="H1100" t="s">
        <v>851</v>
      </c>
      <c r="I1100" t="s">
        <v>20</v>
      </c>
      <c r="J1100" t="s">
        <v>64</v>
      </c>
      <c r="K1100" s="6">
        <v>0.03</v>
      </c>
      <c r="L1100" s="7">
        <f t="shared" si="35"/>
        <v>2E-3</v>
      </c>
      <c r="M1100" s="7">
        <v>3.0000000000000001E-3</v>
      </c>
      <c r="N1100">
        <v>8</v>
      </c>
      <c r="O1100" s="8">
        <v>17.822306426995311</v>
      </c>
      <c r="P1100" s="9">
        <v>17.822306426995311</v>
      </c>
      <c r="Q1100" s="9">
        <v>17.822306426995311</v>
      </c>
      <c r="R1100" s="9">
        <v>18.237663306594719</v>
      </c>
      <c r="S1100" s="9">
        <v>18.48712920931133</v>
      </c>
      <c r="T1100" s="9">
        <v>19.201553596969877</v>
      </c>
      <c r="U1100" s="9">
        <v>20.562345482855957</v>
      </c>
      <c r="V1100" s="9">
        <v>20.562345482855957</v>
      </c>
      <c r="W1100" s="9">
        <v>20.562345482855957</v>
      </c>
      <c r="X1100" s="9">
        <v>22.391977691000818</v>
      </c>
      <c r="Y1100" s="9">
        <v>22.391977691000818</v>
      </c>
      <c r="Z1100" s="9">
        <v>24.28858708803979</v>
      </c>
      <c r="AA1100" s="9">
        <v>24.28858708803979</v>
      </c>
      <c r="AB1100" s="9">
        <v>25.117335532005217</v>
      </c>
      <c r="AC1100" s="9">
        <v>25.117335532005217</v>
      </c>
      <c r="AD1100" s="9">
        <v>29.039116491286865</v>
      </c>
      <c r="AE1100" s="9">
        <v>31.219251037281825</v>
      </c>
      <c r="AF1100" s="9">
        <v>33.487682081707895</v>
      </c>
      <c r="AG1100" s="9">
        <v>33.487682081707895</v>
      </c>
      <c r="AH1100" s="9">
        <v>36.427668170967245</v>
      </c>
      <c r="AI1100" s="9">
        <v>38.74455996597662</v>
      </c>
      <c r="AJ1100" s="9">
        <v>3.0428788910505911</v>
      </c>
    </row>
    <row r="1101" spans="1:36" x14ac:dyDescent="0.25">
      <c r="A1101" t="s">
        <v>5411</v>
      </c>
      <c r="B1101" t="s">
        <v>16</v>
      </c>
      <c r="C1101" t="s">
        <v>17</v>
      </c>
      <c r="D1101">
        <v>35298000</v>
      </c>
      <c r="E1101">
        <v>35299999</v>
      </c>
      <c r="F1101" t="s">
        <v>923</v>
      </c>
      <c r="G1101" t="str">
        <f t="shared" si="34"/>
        <v>MGI II</v>
      </c>
      <c r="H1101" t="s">
        <v>851</v>
      </c>
      <c r="I1101" t="s">
        <v>20</v>
      </c>
      <c r="J1101" t="s">
        <v>64</v>
      </c>
      <c r="K1101" s="6">
        <v>0.03</v>
      </c>
      <c r="L1101" s="7">
        <f t="shared" si="35"/>
        <v>2E-3</v>
      </c>
      <c r="M1101" s="7">
        <v>3.0000000000000001E-3</v>
      </c>
      <c r="N1101">
        <v>8</v>
      </c>
      <c r="O1101" s="8">
        <v>17.822306426995311</v>
      </c>
      <c r="P1101" s="9">
        <v>17.822306426995311</v>
      </c>
      <c r="Q1101" s="9">
        <v>17.822306426995311</v>
      </c>
      <c r="R1101" s="9">
        <v>18.237663306594719</v>
      </c>
      <c r="S1101" s="9">
        <v>18.48712920931133</v>
      </c>
      <c r="T1101" s="9">
        <v>19.201553596969877</v>
      </c>
      <c r="U1101" s="9">
        <v>20.562345482855957</v>
      </c>
      <c r="V1101" s="9">
        <v>20.562345482855957</v>
      </c>
      <c r="W1101" s="9">
        <v>20.562345482855957</v>
      </c>
      <c r="X1101" s="9">
        <v>22.391977691000818</v>
      </c>
      <c r="Y1101" s="9">
        <v>22.391977691000818</v>
      </c>
      <c r="Z1101" s="9">
        <v>24.28858708803979</v>
      </c>
      <c r="AA1101" s="9">
        <v>24.28858708803979</v>
      </c>
      <c r="AB1101" s="9">
        <v>25.117335532005217</v>
      </c>
      <c r="AC1101" s="9">
        <v>25.117335532005217</v>
      </c>
      <c r="AD1101" s="9">
        <v>29.039116491286865</v>
      </c>
      <c r="AE1101" s="9">
        <v>31.219251037281825</v>
      </c>
      <c r="AF1101" s="9">
        <v>33.487682081707895</v>
      </c>
      <c r="AG1101" s="9">
        <v>33.487682081707895</v>
      </c>
      <c r="AH1101" s="9">
        <v>36.427668170967245</v>
      </c>
      <c r="AI1101" s="9">
        <v>38.74455996597662</v>
      </c>
      <c r="AJ1101" s="9">
        <v>3.0428788910505911</v>
      </c>
    </row>
    <row r="1102" spans="1:36" x14ac:dyDescent="0.25">
      <c r="A1102" t="s">
        <v>5411</v>
      </c>
      <c r="B1102" t="s">
        <v>16</v>
      </c>
      <c r="C1102" t="s">
        <v>17</v>
      </c>
      <c r="D1102">
        <v>35300000</v>
      </c>
      <c r="E1102">
        <v>35322999</v>
      </c>
      <c r="F1102" t="s">
        <v>924</v>
      </c>
      <c r="G1102" t="str">
        <f t="shared" si="34"/>
        <v>MGI</v>
      </c>
      <c r="H1102" t="s">
        <v>851</v>
      </c>
      <c r="I1102" t="s">
        <v>20</v>
      </c>
      <c r="J1102" t="s">
        <v>62</v>
      </c>
      <c r="K1102" s="6">
        <v>0.03</v>
      </c>
      <c r="L1102" s="7">
        <f t="shared" si="35"/>
        <v>2E-3</v>
      </c>
      <c r="M1102" s="7">
        <v>3.0000000000000001E-3</v>
      </c>
      <c r="N1102">
        <v>8</v>
      </c>
      <c r="O1102" s="8">
        <v>13.880385281502075</v>
      </c>
      <c r="P1102" s="9">
        <v>13.880385281502075</v>
      </c>
      <c r="Q1102" s="9">
        <v>13.880385281502075</v>
      </c>
      <c r="R1102" s="9">
        <v>14.045989937445718</v>
      </c>
      <c r="S1102" s="9">
        <v>14.060876315369912</v>
      </c>
      <c r="T1102" s="9">
        <v>15.090338571208333</v>
      </c>
      <c r="U1102" s="9">
        <v>16.025407313902726</v>
      </c>
      <c r="V1102" s="9">
        <v>16.025407313902726</v>
      </c>
      <c r="W1102" s="9">
        <v>16.025407313902726</v>
      </c>
      <c r="X1102" s="9">
        <v>18.013895748167766</v>
      </c>
      <c r="Y1102" s="9">
        <v>18.013895748167766</v>
      </c>
      <c r="Z1102" s="9">
        <v>20.142868501532355</v>
      </c>
      <c r="AA1102" s="9">
        <v>20.142868501532355</v>
      </c>
      <c r="AB1102" s="9">
        <v>22.456349831314476</v>
      </c>
      <c r="AC1102" s="9">
        <v>22.456349831314476</v>
      </c>
      <c r="AD1102" s="9">
        <v>24.87984091164185</v>
      </c>
      <c r="AE1102" s="9">
        <v>27.427492221952345</v>
      </c>
      <c r="AF1102" s="9">
        <v>33.194804868730657</v>
      </c>
      <c r="AG1102" s="9">
        <v>33.194804868730657</v>
      </c>
      <c r="AH1102" s="9">
        <v>35.957808835828068</v>
      </c>
      <c r="AI1102" s="9">
        <v>38.646304092692077</v>
      </c>
      <c r="AJ1102" s="9">
        <v>3.0428788910505911</v>
      </c>
    </row>
    <row r="1103" spans="1:36" x14ac:dyDescent="0.25">
      <c r="A1103" t="s">
        <v>5411</v>
      </c>
      <c r="B1103" t="s">
        <v>16</v>
      </c>
      <c r="C1103" t="s">
        <v>17</v>
      </c>
      <c r="D1103">
        <v>35323000</v>
      </c>
      <c r="E1103">
        <v>35323999</v>
      </c>
      <c r="F1103" t="s">
        <v>925</v>
      </c>
      <c r="G1103" t="str">
        <f t="shared" si="34"/>
        <v>MGI II</v>
      </c>
      <c r="H1103" t="s">
        <v>851</v>
      </c>
      <c r="I1103" t="s">
        <v>20</v>
      </c>
      <c r="J1103" t="s">
        <v>64</v>
      </c>
      <c r="K1103" s="6">
        <v>0.03</v>
      </c>
      <c r="L1103" s="7">
        <f t="shared" si="35"/>
        <v>2E-3</v>
      </c>
      <c r="M1103" s="7">
        <v>3.0000000000000001E-3</v>
      </c>
      <c r="N1103">
        <v>8</v>
      </c>
      <c r="O1103" s="8">
        <v>17.822306426995311</v>
      </c>
      <c r="P1103" s="9">
        <v>17.822306426995311</v>
      </c>
      <c r="Q1103" s="9">
        <v>17.822306426995311</v>
      </c>
      <c r="R1103" s="9">
        <v>18.237663306594719</v>
      </c>
      <c r="S1103" s="9">
        <v>18.48712920931133</v>
      </c>
      <c r="T1103" s="9">
        <v>19.201553596969877</v>
      </c>
      <c r="U1103" s="9">
        <v>20.562345482855957</v>
      </c>
      <c r="V1103" s="9">
        <v>20.562345482855957</v>
      </c>
      <c r="W1103" s="9">
        <v>20.562345482855957</v>
      </c>
      <c r="X1103" s="9">
        <v>22.391977691000818</v>
      </c>
      <c r="Y1103" s="9">
        <v>22.391977691000818</v>
      </c>
      <c r="Z1103" s="9">
        <v>24.28858708803979</v>
      </c>
      <c r="AA1103" s="9">
        <v>24.28858708803979</v>
      </c>
      <c r="AB1103" s="9">
        <v>25.117335532005217</v>
      </c>
      <c r="AC1103" s="9">
        <v>25.117335532005217</v>
      </c>
      <c r="AD1103" s="9">
        <v>29.039116491286865</v>
      </c>
      <c r="AE1103" s="9">
        <v>31.219251037281825</v>
      </c>
      <c r="AF1103" s="9">
        <v>33.487682081707895</v>
      </c>
      <c r="AG1103" s="9">
        <v>33.487682081707895</v>
      </c>
      <c r="AH1103" s="9">
        <v>36.427668170967245</v>
      </c>
      <c r="AI1103" s="9">
        <v>38.74455996597662</v>
      </c>
      <c r="AJ1103" s="9">
        <v>3.0428788910505911</v>
      </c>
    </row>
    <row r="1104" spans="1:36" x14ac:dyDescent="0.25">
      <c r="A1104" t="s">
        <v>5411</v>
      </c>
      <c r="B1104" t="s">
        <v>16</v>
      </c>
      <c r="C1104" t="s">
        <v>17</v>
      </c>
      <c r="D1104">
        <v>35324000</v>
      </c>
      <c r="E1104">
        <v>35324999</v>
      </c>
      <c r="F1104" t="s">
        <v>926</v>
      </c>
      <c r="G1104" t="str">
        <f t="shared" si="34"/>
        <v>MGI II</v>
      </c>
      <c r="H1104" t="s">
        <v>851</v>
      </c>
      <c r="I1104" t="s">
        <v>20</v>
      </c>
      <c r="J1104" t="s">
        <v>64</v>
      </c>
      <c r="K1104" s="6">
        <v>0.03</v>
      </c>
      <c r="L1104" s="7">
        <f t="shared" si="35"/>
        <v>2E-3</v>
      </c>
      <c r="M1104" s="7">
        <v>3.0000000000000001E-3</v>
      </c>
      <c r="N1104">
        <v>8</v>
      </c>
      <c r="O1104" s="8">
        <v>17.822306426995311</v>
      </c>
      <c r="P1104" s="9">
        <v>17.822306426995311</v>
      </c>
      <c r="Q1104" s="9">
        <v>17.822306426995311</v>
      </c>
      <c r="R1104" s="9">
        <v>18.237663306594719</v>
      </c>
      <c r="S1104" s="9">
        <v>18.48712920931133</v>
      </c>
      <c r="T1104" s="9">
        <v>19.201553596969877</v>
      </c>
      <c r="U1104" s="9">
        <v>20.562345482855957</v>
      </c>
      <c r="V1104" s="9">
        <v>20.562345482855957</v>
      </c>
      <c r="W1104" s="9">
        <v>20.562345482855957</v>
      </c>
      <c r="X1104" s="9">
        <v>22.391977691000818</v>
      </c>
      <c r="Y1104" s="9">
        <v>22.391977691000818</v>
      </c>
      <c r="Z1104" s="9">
        <v>24.28858708803979</v>
      </c>
      <c r="AA1104" s="9">
        <v>24.28858708803979</v>
      </c>
      <c r="AB1104" s="9">
        <v>25.117335532005217</v>
      </c>
      <c r="AC1104" s="9">
        <v>25.117335532005217</v>
      </c>
      <c r="AD1104" s="9">
        <v>29.039116491286865</v>
      </c>
      <c r="AE1104" s="9">
        <v>31.219251037281825</v>
      </c>
      <c r="AF1104" s="9">
        <v>33.487682081707895</v>
      </c>
      <c r="AG1104" s="9">
        <v>33.487682081707895</v>
      </c>
      <c r="AH1104" s="9">
        <v>36.427668170967245</v>
      </c>
      <c r="AI1104" s="9">
        <v>38.74455996597662</v>
      </c>
      <c r="AJ1104" s="9">
        <v>3.0428788910505911</v>
      </c>
    </row>
    <row r="1105" spans="1:36" x14ac:dyDescent="0.25">
      <c r="A1105" t="s">
        <v>5411</v>
      </c>
      <c r="B1105" t="s">
        <v>16</v>
      </c>
      <c r="C1105" t="s">
        <v>17</v>
      </c>
      <c r="D1105">
        <v>35325000</v>
      </c>
      <c r="E1105">
        <v>35325999</v>
      </c>
      <c r="F1105" t="s">
        <v>927</v>
      </c>
      <c r="G1105" t="str">
        <f t="shared" si="34"/>
        <v>MGI II</v>
      </c>
      <c r="H1105" t="s">
        <v>851</v>
      </c>
      <c r="I1105" t="s">
        <v>20</v>
      </c>
      <c r="J1105" t="s">
        <v>64</v>
      </c>
      <c r="K1105" s="6">
        <v>0.03</v>
      </c>
      <c r="L1105" s="7">
        <f t="shared" si="35"/>
        <v>2E-3</v>
      </c>
      <c r="M1105" s="7">
        <v>3.0000000000000001E-3</v>
      </c>
      <c r="N1105">
        <v>8</v>
      </c>
      <c r="O1105" s="8">
        <v>17.822306426995311</v>
      </c>
      <c r="P1105" s="9">
        <v>17.822306426995311</v>
      </c>
      <c r="Q1105" s="9">
        <v>17.822306426995311</v>
      </c>
      <c r="R1105" s="9">
        <v>18.237663306594719</v>
      </c>
      <c r="S1105" s="9">
        <v>18.48712920931133</v>
      </c>
      <c r="T1105" s="9">
        <v>19.201553596969877</v>
      </c>
      <c r="U1105" s="9">
        <v>20.562345482855957</v>
      </c>
      <c r="V1105" s="9">
        <v>20.562345482855957</v>
      </c>
      <c r="W1105" s="9">
        <v>20.562345482855957</v>
      </c>
      <c r="X1105" s="9">
        <v>22.391977691000818</v>
      </c>
      <c r="Y1105" s="9">
        <v>22.391977691000818</v>
      </c>
      <c r="Z1105" s="9">
        <v>24.28858708803979</v>
      </c>
      <c r="AA1105" s="9">
        <v>24.28858708803979</v>
      </c>
      <c r="AB1105" s="9">
        <v>25.117335532005217</v>
      </c>
      <c r="AC1105" s="9">
        <v>25.117335532005217</v>
      </c>
      <c r="AD1105" s="9">
        <v>29.039116491286865</v>
      </c>
      <c r="AE1105" s="9">
        <v>31.219251037281825</v>
      </c>
      <c r="AF1105" s="9">
        <v>33.487682081707895</v>
      </c>
      <c r="AG1105" s="9">
        <v>33.487682081707895</v>
      </c>
      <c r="AH1105" s="9">
        <v>36.427668170967245</v>
      </c>
      <c r="AI1105" s="9">
        <v>38.74455996597662</v>
      </c>
      <c r="AJ1105" s="9">
        <v>3.0428788910505911</v>
      </c>
    </row>
    <row r="1106" spans="1:36" x14ac:dyDescent="0.25">
      <c r="A1106" t="s">
        <v>5411</v>
      </c>
      <c r="B1106" t="s">
        <v>16</v>
      </c>
      <c r="C1106" t="s">
        <v>17</v>
      </c>
      <c r="D1106">
        <v>35326000</v>
      </c>
      <c r="E1106">
        <v>35327999</v>
      </c>
      <c r="F1106" t="s">
        <v>928</v>
      </c>
      <c r="G1106" t="str">
        <f t="shared" si="34"/>
        <v>MGI II</v>
      </c>
      <c r="H1106" t="s">
        <v>851</v>
      </c>
      <c r="I1106" t="s">
        <v>20</v>
      </c>
      <c r="J1106" t="s">
        <v>64</v>
      </c>
      <c r="K1106" s="6">
        <v>0.03</v>
      </c>
      <c r="L1106" s="7">
        <f t="shared" si="35"/>
        <v>2E-3</v>
      </c>
      <c r="M1106" s="7">
        <v>3.0000000000000001E-3</v>
      </c>
      <c r="N1106">
        <v>8</v>
      </c>
      <c r="O1106" s="8">
        <v>17.822306426995311</v>
      </c>
      <c r="P1106" s="9">
        <v>17.822306426995311</v>
      </c>
      <c r="Q1106" s="9">
        <v>17.822306426995311</v>
      </c>
      <c r="R1106" s="9">
        <v>18.237663306594719</v>
      </c>
      <c r="S1106" s="9">
        <v>18.48712920931133</v>
      </c>
      <c r="T1106" s="9">
        <v>19.201553596969877</v>
      </c>
      <c r="U1106" s="9">
        <v>20.562345482855957</v>
      </c>
      <c r="V1106" s="9">
        <v>20.562345482855957</v>
      </c>
      <c r="W1106" s="9">
        <v>20.562345482855957</v>
      </c>
      <c r="X1106" s="9">
        <v>22.391977691000818</v>
      </c>
      <c r="Y1106" s="9">
        <v>22.391977691000818</v>
      </c>
      <c r="Z1106" s="9">
        <v>24.28858708803979</v>
      </c>
      <c r="AA1106" s="9">
        <v>24.28858708803979</v>
      </c>
      <c r="AB1106" s="9">
        <v>25.117335532005217</v>
      </c>
      <c r="AC1106" s="9">
        <v>25.117335532005217</v>
      </c>
      <c r="AD1106" s="9">
        <v>29.039116491286865</v>
      </c>
      <c r="AE1106" s="9">
        <v>31.219251037281825</v>
      </c>
      <c r="AF1106" s="9">
        <v>33.487682081707895</v>
      </c>
      <c r="AG1106" s="9">
        <v>33.487682081707895</v>
      </c>
      <c r="AH1106" s="9">
        <v>36.427668170967245</v>
      </c>
      <c r="AI1106" s="9">
        <v>38.74455996597662</v>
      </c>
      <c r="AJ1106" s="9">
        <v>3.0428788910505911</v>
      </c>
    </row>
    <row r="1107" spans="1:36" x14ac:dyDescent="0.25">
      <c r="A1107" t="s">
        <v>5411</v>
      </c>
      <c r="B1107" t="s">
        <v>16</v>
      </c>
      <c r="C1107" t="s">
        <v>17</v>
      </c>
      <c r="D1107">
        <v>35328000</v>
      </c>
      <c r="E1107">
        <v>35329999</v>
      </c>
      <c r="F1107" t="s">
        <v>929</v>
      </c>
      <c r="G1107" t="str">
        <f t="shared" si="34"/>
        <v>MGI II</v>
      </c>
      <c r="H1107" t="s">
        <v>851</v>
      </c>
      <c r="I1107" t="s">
        <v>20</v>
      </c>
      <c r="J1107" t="s">
        <v>64</v>
      </c>
      <c r="K1107" s="6">
        <v>0.03</v>
      </c>
      <c r="L1107" s="7">
        <f t="shared" si="35"/>
        <v>2E-3</v>
      </c>
      <c r="M1107" s="7">
        <v>3.0000000000000001E-3</v>
      </c>
      <c r="N1107">
        <v>8</v>
      </c>
      <c r="O1107" s="8">
        <v>17.822306426995311</v>
      </c>
      <c r="P1107" s="9">
        <v>17.822306426995311</v>
      </c>
      <c r="Q1107" s="9">
        <v>17.822306426995311</v>
      </c>
      <c r="R1107" s="9">
        <v>18.237663306594719</v>
      </c>
      <c r="S1107" s="9">
        <v>18.48712920931133</v>
      </c>
      <c r="T1107" s="9">
        <v>19.201553596969877</v>
      </c>
      <c r="U1107" s="9">
        <v>20.562345482855957</v>
      </c>
      <c r="V1107" s="9">
        <v>20.562345482855957</v>
      </c>
      <c r="W1107" s="9">
        <v>20.562345482855957</v>
      </c>
      <c r="X1107" s="9">
        <v>22.391977691000818</v>
      </c>
      <c r="Y1107" s="9">
        <v>22.391977691000818</v>
      </c>
      <c r="Z1107" s="9">
        <v>24.28858708803979</v>
      </c>
      <c r="AA1107" s="9">
        <v>24.28858708803979</v>
      </c>
      <c r="AB1107" s="9">
        <v>25.117335532005217</v>
      </c>
      <c r="AC1107" s="9">
        <v>25.117335532005217</v>
      </c>
      <c r="AD1107" s="9">
        <v>29.039116491286865</v>
      </c>
      <c r="AE1107" s="9">
        <v>31.219251037281825</v>
      </c>
      <c r="AF1107" s="9">
        <v>33.487682081707895</v>
      </c>
      <c r="AG1107" s="9">
        <v>33.487682081707895</v>
      </c>
      <c r="AH1107" s="9">
        <v>36.427668170967245</v>
      </c>
      <c r="AI1107" s="9">
        <v>38.74455996597662</v>
      </c>
      <c r="AJ1107" s="9">
        <v>3.0428788910505911</v>
      </c>
    </row>
    <row r="1108" spans="1:36" x14ac:dyDescent="0.25">
      <c r="A1108" t="s">
        <v>5411</v>
      </c>
      <c r="B1108" t="s">
        <v>16</v>
      </c>
      <c r="C1108" t="s">
        <v>17</v>
      </c>
      <c r="D1108">
        <v>35330000</v>
      </c>
      <c r="E1108">
        <v>35333999</v>
      </c>
      <c r="F1108" t="s">
        <v>930</v>
      </c>
      <c r="G1108" t="str">
        <f t="shared" si="34"/>
        <v>MGI II</v>
      </c>
      <c r="H1108" t="s">
        <v>851</v>
      </c>
      <c r="I1108" t="s">
        <v>20</v>
      </c>
      <c r="J1108" t="s">
        <v>64</v>
      </c>
      <c r="K1108" s="6">
        <v>0.03</v>
      </c>
      <c r="L1108" s="7">
        <f t="shared" si="35"/>
        <v>2E-3</v>
      </c>
      <c r="M1108" s="7">
        <v>3.0000000000000001E-3</v>
      </c>
      <c r="N1108">
        <v>8</v>
      </c>
      <c r="O1108" s="8">
        <v>17.822306426995311</v>
      </c>
      <c r="P1108" s="9">
        <v>17.822306426995311</v>
      </c>
      <c r="Q1108" s="9">
        <v>17.822306426995311</v>
      </c>
      <c r="R1108" s="9">
        <v>18.237663306594719</v>
      </c>
      <c r="S1108" s="9">
        <v>18.48712920931133</v>
      </c>
      <c r="T1108" s="9">
        <v>19.201553596969877</v>
      </c>
      <c r="U1108" s="9">
        <v>20.562345482855957</v>
      </c>
      <c r="V1108" s="9">
        <v>20.562345482855957</v>
      </c>
      <c r="W1108" s="9">
        <v>20.562345482855957</v>
      </c>
      <c r="X1108" s="9">
        <v>22.391977691000818</v>
      </c>
      <c r="Y1108" s="9">
        <v>22.391977691000818</v>
      </c>
      <c r="Z1108" s="9">
        <v>24.28858708803979</v>
      </c>
      <c r="AA1108" s="9">
        <v>24.28858708803979</v>
      </c>
      <c r="AB1108" s="9">
        <v>25.117335532005217</v>
      </c>
      <c r="AC1108" s="9">
        <v>25.117335532005217</v>
      </c>
      <c r="AD1108" s="9">
        <v>29.039116491286865</v>
      </c>
      <c r="AE1108" s="9">
        <v>31.219251037281825</v>
      </c>
      <c r="AF1108" s="9">
        <v>33.487682081707895</v>
      </c>
      <c r="AG1108" s="9">
        <v>33.487682081707895</v>
      </c>
      <c r="AH1108" s="9">
        <v>36.427668170967245</v>
      </c>
      <c r="AI1108" s="9">
        <v>38.74455996597662</v>
      </c>
      <c r="AJ1108" s="9">
        <v>3.0428788910505911</v>
      </c>
    </row>
    <row r="1109" spans="1:36" x14ac:dyDescent="0.25">
      <c r="A1109" t="s">
        <v>5411</v>
      </c>
      <c r="B1109" t="s">
        <v>16</v>
      </c>
      <c r="C1109" t="s">
        <v>17</v>
      </c>
      <c r="D1109">
        <v>35334000</v>
      </c>
      <c r="E1109">
        <v>35334999</v>
      </c>
      <c r="F1109" t="s">
        <v>931</v>
      </c>
      <c r="G1109" t="str">
        <f t="shared" si="34"/>
        <v>MGI II</v>
      </c>
      <c r="H1109" t="s">
        <v>851</v>
      </c>
      <c r="I1109" t="s">
        <v>20</v>
      </c>
      <c r="J1109" t="s">
        <v>64</v>
      </c>
      <c r="K1109" s="6">
        <v>0.03</v>
      </c>
      <c r="L1109" s="7">
        <f t="shared" si="35"/>
        <v>2E-3</v>
      </c>
      <c r="M1109" s="7">
        <v>3.0000000000000001E-3</v>
      </c>
      <c r="N1109">
        <v>8</v>
      </c>
      <c r="O1109" s="8">
        <v>17.822306426995311</v>
      </c>
      <c r="P1109" s="9">
        <v>17.822306426995311</v>
      </c>
      <c r="Q1109" s="9">
        <v>17.822306426995311</v>
      </c>
      <c r="R1109" s="9">
        <v>18.237663306594719</v>
      </c>
      <c r="S1109" s="9">
        <v>18.48712920931133</v>
      </c>
      <c r="T1109" s="9">
        <v>19.201553596969877</v>
      </c>
      <c r="U1109" s="9">
        <v>20.562345482855957</v>
      </c>
      <c r="V1109" s="9">
        <v>20.562345482855957</v>
      </c>
      <c r="W1109" s="9">
        <v>20.562345482855957</v>
      </c>
      <c r="X1109" s="9">
        <v>22.391977691000818</v>
      </c>
      <c r="Y1109" s="9">
        <v>22.391977691000818</v>
      </c>
      <c r="Z1109" s="9">
        <v>24.28858708803979</v>
      </c>
      <c r="AA1109" s="9">
        <v>24.28858708803979</v>
      </c>
      <c r="AB1109" s="9">
        <v>25.117335532005217</v>
      </c>
      <c r="AC1109" s="9">
        <v>25.117335532005217</v>
      </c>
      <c r="AD1109" s="9">
        <v>29.039116491286865</v>
      </c>
      <c r="AE1109" s="9">
        <v>31.219251037281825</v>
      </c>
      <c r="AF1109" s="9">
        <v>33.487682081707895</v>
      </c>
      <c r="AG1109" s="9">
        <v>33.487682081707895</v>
      </c>
      <c r="AH1109" s="9">
        <v>36.427668170967245</v>
      </c>
      <c r="AI1109" s="9">
        <v>38.74455996597662</v>
      </c>
      <c r="AJ1109" s="9">
        <v>3.0428788910505911</v>
      </c>
    </row>
    <row r="1110" spans="1:36" x14ac:dyDescent="0.25">
      <c r="A1110" t="s">
        <v>5411</v>
      </c>
      <c r="B1110" t="s">
        <v>16</v>
      </c>
      <c r="C1110" t="s">
        <v>17</v>
      </c>
      <c r="D1110">
        <v>35335000</v>
      </c>
      <c r="E1110">
        <v>35337999</v>
      </c>
      <c r="F1110" t="s">
        <v>932</v>
      </c>
      <c r="G1110" t="str">
        <f t="shared" si="34"/>
        <v>MGI II</v>
      </c>
      <c r="H1110" t="s">
        <v>851</v>
      </c>
      <c r="I1110" t="s">
        <v>20</v>
      </c>
      <c r="J1110" t="s">
        <v>64</v>
      </c>
      <c r="K1110" s="6">
        <v>0.03</v>
      </c>
      <c r="L1110" s="7">
        <f t="shared" si="35"/>
        <v>2E-3</v>
      </c>
      <c r="M1110" s="7">
        <v>3.0000000000000001E-3</v>
      </c>
      <c r="N1110">
        <v>8</v>
      </c>
      <c r="O1110" s="8">
        <v>17.822306426995311</v>
      </c>
      <c r="P1110" s="9">
        <v>17.822306426995311</v>
      </c>
      <c r="Q1110" s="9">
        <v>17.822306426995311</v>
      </c>
      <c r="R1110" s="9">
        <v>18.237663306594719</v>
      </c>
      <c r="S1110" s="9">
        <v>18.48712920931133</v>
      </c>
      <c r="T1110" s="9">
        <v>19.201553596969877</v>
      </c>
      <c r="U1110" s="9">
        <v>20.562345482855957</v>
      </c>
      <c r="V1110" s="9">
        <v>20.562345482855957</v>
      </c>
      <c r="W1110" s="9">
        <v>20.562345482855957</v>
      </c>
      <c r="X1110" s="9">
        <v>22.391977691000818</v>
      </c>
      <c r="Y1110" s="9">
        <v>22.391977691000818</v>
      </c>
      <c r="Z1110" s="9">
        <v>24.28858708803979</v>
      </c>
      <c r="AA1110" s="9">
        <v>24.28858708803979</v>
      </c>
      <c r="AB1110" s="9">
        <v>25.117335532005217</v>
      </c>
      <c r="AC1110" s="9">
        <v>25.117335532005217</v>
      </c>
      <c r="AD1110" s="9">
        <v>29.039116491286865</v>
      </c>
      <c r="AE1110" s="9">
        <v>31.219251037281825</v>
      </c>
      <c r="AF1110" s="9">
        <v>33.487682081707895</v>
      </c>
      <c r="AG1110" s="9">
        <v>33.487682081707895</v>
      </c>
      <c r="AH1110" s="9">
        <v>36.427668170967245</v>
      </c>
      <c r="AI1110" s="9">
        <v>38.74455996597662</v>
      </c>
      <c r="AJ1110" s="9">
        <v>3.0428788910505911</v>
      </c>
    </row>
    <row r="1111" spans="1:36" x14ac:dyDescent="0.25">
      <c r="A1111" t="s">
        <v>5411</v>
      </c>
      <c r="B1111" t="s">
        <v>16</v>
      </c>
      <c r="C1111" t="s">
        <v>17</v>
      </c>
      <c r="D1111">
        <v>35338000</v>
      </c>
      <c r="E1111">
        <v>35339999</v>
      </c>
      <c r="F1111" t="s">
        <v>933</v>
      </c>
      <c r="G1111" t="str">
        <f t="shared" si="34"/>
        <v>MGI II</v>
      </c>
      <c r="H1111" t="s">
        <v>851</v>
      </c>
      <c r="I1111" t="s">
        <v>20</v>
      </c>
      <c r="J1111" t="s">
        <v>64</v>
      </c>
      <c r="K1111" s="6">
        <v>0.03</v>
      </c>
      <c r="L1111" s="7">
        <f t="shared" si="35"/>
        <v>2E-3</v>
      </c>
      <c r="M1111" s="7">
        <v>3.0000000000000001E-3</v>
      </c>
      <c r="N1111">
        <v>8</v>
      </c>
      <c r="O1111" s="8">
        <v>17.822306426995311</v>
      </c>
      <c r="P1111" s="9">
        <v>17.822306426995311</v>
      </c>
      <c r="Q1111" s="9">
        <v>17.822306426995311</v>
      </c>
      <c r="R1111" s="9">
        <v>18.237663306594719</v>
      </c>
      <c r="S1111" s="9">
        <v>18.48712920931133</v>
      </c>
      <c r="T1111" s="9">
        <v>19.201553596969877</v>
      </c>
      <c r="U1111" s="9">
        <v>20.562345482855957</v>
      </c>
      <c r="V1111" s="9">
        <v>20.562345482855957</v>
      </c>
      <c r="W1111" s="9">
        <v>20.562345482855957</v>
      </c>
      <c r="X1111" s="9">
        <v>22.391977691000818</v>
      </c>
      <c r="Y1111" s="9">
        <v>22.391977691000818</v>
      </c>
      <c r="Z1111" s="9">
        <v>24.28858708803979</v>
      </c>
      <c r="AA1111" s="9">
        <v>24.28858708803979</v>
      </c>
      <c r="AB1111" s="9">
        <v>25.117335532005217</v>
      </c>
      <c r="AC1111" s="9">
        <v>25.117335532005217</v>
      </c>
      <c r="AD1111" s="9">
        <v>29.039116491286865</v>
      </c>
      <c r="AE1111" s="9">
        <v>31.219251037281825</v>
      </c>
      <c r="AF1111" s="9">
        <v>33.487682081707895</v>
      </c>
      <c r="AG1111" s="9">
        <v>33.487682081707895</v>
      </c>
      <c r="AH1111" s="9">
        <v>36.427668170967245</v>
      </c>
      <c r="AI1111" s="9">
        <v>38.74455996597662</v>
      </c>
      <c r="AJ1111" s="9">
        <v>3.0428788910505911</v>
      </c>
    </row>
    <row r="1112" spans="1:36" x14ac:dyDescent="0.25">
      <c r="A1112" t="s">
        <v>5411</v>
      </c>
      <c r="B1112" t="s">
        <v>16</v>
      </c>
      <c r="C1112" t="s">
        <v>17</v>
      </c>
      <c r="D1112">
        <v>35340000</v>
      </c>
      <c r="E1112">
        <v>35344999</v>
      </c>
      <c r="F1112" t="s">
        <v>934</v>
      </c>
      <c r="G1112" t="str">
        <f t="shared" si="34"/>
        <v>MGI II</v>
      </c>
      <c r="H1112" t="s">
        <v>851</v>
      </c>
      <c r="I1112" t="s">
        <v>20</v>
      </c>
      <c r="J1112" t="s">
        <v>64</v>
      </c>
      <c r="K1112" s="6">
        <v>0.03</v>
      </c>
      <c r="L1112" s="7">
        <f t="shared" si="35"/>
        <v>2E-3</v>
      </c>
      <c r="M1112" s="7">
        <v>3.0000000000000001E-3</v>
      </c>
      <c r="N1112">
        <v>8</v>
      </c>
      <c r="O1112" s="8">
        <v>17.822306426995311</v>
      </c>
      <c r="P1112" s="9">
        <v>17.822306426995311</v>
      </c>
      <c r="Q1112" s="9">
        <v>17.822306426995311</v>
      </c>
      <c r="R1112" s="9">
        <v>18.237663306594719</v>
      </c>
      <c r="S1112" s="9">
        <v>18.48712920931133</v>
      </c>
      <c r="T1112" s="9">
        <v>19.201553596969877</v>
      </c>
      <c r="U1112" s="9">
        <v>20.562345482855957</v>
      </c>
      <c r="V1112" s="9">
        <v>20.562345482855957</v>
      </c>
      <c r="W1112" s="9">
        <v>20.562345482855957</v>
      </c>
      <c r="X1112" s="9">
        <v>22.391977691000818</v>
      </c>
      <c r="Y1112" s="9">
        <v>22.391977691000818</v>
      </c>
      <c r="Z1112" s="9">
        <v>24.28858708803979</v>
      </c>
      <c r="AA1112" s="9">
        <v>24.28858708803979</v>
      </c>
      <c r="AB1112" s="9">
        <v>25.117335532005217</v>
      </c>
      <c r="AC1112" s="9">
        <v>25.117335532005217</v>
      </c>
      <c r="AD1112" s="9">
        <v>29.039116491286865</v>
      </c>
      <c r="AE1112" s="9">
        <v>31.219251037281825</v>
      </c>
      <c r="AF1112" s="9">
        <v>33.487682081707895</v>
      </c>
      <c r="AG1112" s="9">
        <v>33.487682081707895</v>
      </c>
      <c r="AH1112" s="9">
        <v>36.427668170967245</v>
      </c>
      <c r="AI1112" s="9">
        <v>38.74455996597662</v>
      </c>
      <c r="AJ1112" s="9">
        <v>3.0428788910505911</v>
      </c>
    </row>
    <row r="1113" spans="1:36" x14ac:dyDescent="0.25">
      <c r="A1113" t="s">
        <v>5411</v>
      </c>
      <c r="B1113" t="s">
        <v>16</v>
      </c>
      <c r="C1113" t="s">
        <v>17</v>
      </c>
      <c r="D1113">
        <v>35345000</v>
      </c>
      <c r="E1113">
        <v>35347999</v>
      </c>
      <c r="F1113" t="s">
        <v>935</v>
      </c>
      <c r="G1113" t="str">
        <f t="shared" si="34"/>
        <v>MGI II</v>
      </c>
      <c r="H1113" t="s">
        <v>851</v>
      </c>
      <c r="I1113" t="s">
        <v>20</v>
      </c>
      <c r="J1113" t="s">
        <v>64</v>
      </c>
      <c r="K1113" s="6">
        <v>0.03</v>
      </c>
      <c r="L1113" s="7">
        <f t="shared" si="35"/>
        <v>2E-3</v>
      </c>
      <c r="M1113" s="7">
        <v>3.0000000000000001E-3</v>
      </c>
      <c r="N1113">
        <v>8</v>
      </c>
      <c r="O1113" s="8">
        <v>17.822306426995311</v>
      </c>
      <c r="P1113" s="9">
        <v>17.822306426995311</v>
      </c>
      <c r="Q1113" s="9">
        <v>17.822306426995311</v>
      </c>
      <c r="R1113" s="9">
        <v>18.237663306594719</v>
      </c>
      <c r="S1113" s="9">
        <v>18.48712920931133</v>
      </c>
      <c r="T1113" s="9">
        <v>19.201553596969877</v>
      </c>
      <c r="U1113" s="9">
        <v>20.562345482855957</v>
      </c>
      <c r="V1113" s="9">
        <v>20.562345482855957</v>
      </c>
      <c r="W1113" s="9">
        <v>20.562345482855957</v>
      </c>
      <c r="X1113" s="9">
        <v>22.391977691000818</v>
      </c>
      <c r="Y1113" s="9">
        <v>22.391977691000818</v>
      </c>
      <c r="Z1113" s="9">
        <v>24.28858708803979</v>
      </c>
      <c r="AA1113" s="9">
        <v>24.28858708803979</v>
      </c>
      <c r="AB1113" s="9">
        <v>25.117335532005217</v>
      </c>
      <c r="AC1113" s="9">
        <v>25.117335532005217</v>
      </c>
      <c r="AD1113" s="9">
        <v>29.039116491286865</v>
      </c>
      <c r="AE1113" s="9">
        <v>31.219251037281825</v>
      </c>
      <c r="AF1113" s="9">
        <v>33.487682081707895</v>
      </c>
      <c r="AG1113" s="9">
        <v>33.487682081707895</v>
      </c>
      <c r="AH1113" s="9">
        <v>36.427668170967245</v>
      </c>
      <c r="AI1113" s="9">
        <v>38.74455996597662</v>
      </c>
      <c r="AJ1113" s="9">
        <v>3.0428788910505911</v>
      </c>
    </row>
    <row r="1114" spans="1:36" x14ac:dyDescent="0.25">
      <c r="A1114" t="s">
        <v>5411</v>
      </c>
      <c r="B1114" t="s">
        <v>16</v>
      </c>
      <c r="C1114" t="s">
        <v>17</v>
      </c>
      <c r="D1114">
        <v>35348000</v>
      </c>
      <c r="E1114">
        <v>35349999</v>
      </c>
      <c r="F1114" t="s">
        <v>936</v>
      </c>
      <c r="G1114" t="str">
        <f t="shared" si="34"/>
        <v>MGI II</v>
      </c>
      <c r="H1114" t="s">
        <v>851</v>
      </c>
      <c r="I1114" t="s">
        <v>20</v>
      </c>
      <c r="J1114" t="s">
        <v>64</v>
      </c>
      <c r="K1114" s="6">
        <v>0.03</v>
      </c>
      <c r="L1114" s="7">
        <f t="shared" si="35"/>
        <v>2E-3</v>
      </c>
      <c r="M1114" s="7">
        <v>3.0000000000000001E-3</v>
      </c>
      <c r="N1114">
        <v>8</v>
      </c>
      <c r="O1114" s="8">
        <v>17.822306426995311</v>
      </c>
      <c r="P1114" s="9">
        <v>17.822306426995311</v>
      </c>
      <c r="Q1114" s="9">
        <v>17.822306426995311</v>
      </c>
      <c r="R1114" s="9">
        <v>18.237663306594719</v>
      </c>
      <c r="S1114" s="9">
        <v>18.48712920931133</v>
      </c>
      <c r="T1114" s="9">
        <v>19.201553596969877</v>
      </c>
      <c r="U1114" s="9">
        <v>20.562345482855957</v>
      </c>
      <c r="V1114" s="9">
        <v>20.562345482855957</v>
      </c>
      <c r="W1114" s="9">
        <v>20.562345482855957</v>
      </c>
      <c r="X1114" s="9">
        <v>22.391977691000818</v>
      </c>
      <c r="Y1114" s="9">
        <v>22.391977691000818</v>
      </c>
      <c r="Z1114" s="9">
        <v>24.28858708803979</v>
      </c>
      <c r="AA1114" s="9">
        <v>24.28858708803979</v>
      </c>
      <c r="AB1114" s="9">
        <v>25.117335532005217</v>
      </c>
      <c r="AC1114" s="9">
        <v>25.117335532005217</v>
      </c>
      <c r="AD1114" s="9">
        <v>29.039116491286865</v>
      </c>
      <c r="AE1114" s="9">
        <v>31.219251037281825</v>
      </c>
      <c r="AF1114" s="9">
        <v>33.487682081707895</v>
      </c>
      <c r="AG1114" s="9">
        <v>33.487682081707895</v>
      </c>
      <c r="AH1114" s="9">
        <v>36.427668170967245</v>
      </c>
      <c r="AI1114" s="9">
        <v>38.74455996597662</v>
      </c>
      <c r="AJ1114" s="9">
        <v>3.0428788910505911</v>
      </c>
    </row>
    <row r="1115" spans="1:36" x14ac:dyDescent="0.25">
      <c r="A1115" t="s">
        <v>5411</v>
      </c>
      <c r="B1115" t="s">
        <v>16</v>
      </c>
      <c r="C1115" t="s">
        <v>17</v>
      </c>
      <c r="D1115">
        <v>35350000</v>
      </c>
      <c r="E1115">
        <v>35358999</v>
      </c>
      <c r="F1115" t="s">
        <v>937</v>
      </c>
      <c r="G1115" t="str">
        <f t="shared" si="34"/>
        <v>MGI II</v>
      </c>
      <c r="H1115" t="s">
        <v>851</v>
      </c>
      <c r="I1115" t="s">
        <v>20</v>
      </c>
      <c r="J1115" t="s">
        <v>64</v>
      </c>
      <c r="K1115" s="6">
        <v>0.03</v>
      </c>
      <c r="L1115" s="7">
        <f t="shared" si="35"/>
        <v>2E-3</v>
      </c>
      <c r="M1115" s="7">
        <v>3.0000000000000001E-3</v>
      </c>
      <c r="N1115">
        <v>8</v>
      </c>
      <c r="O1115" s="8">
        <v>17.822306426995311</v>
      </c>
      <c r="P1115" s="9">
        <v>17.822306426995311</v>
      </c>
      <c r="Q1115" s="9">
        <v>17.822306426995311</v>
      </c>
      <c r="R1115" s="9">
        <v>18.237663306594719</v>
      </c>
      <c r="S1115" s="9">
        <v>18.48712920931133</v>
      </c>
      <c r="T1115" s="9">
        <v>19.201553596969877</v>
      </c>
      <c r="U1115" s="9">
        <v>20.562345482855957</v>
      </c>
      <c r="V1115" s="9">
        <v>20.562345482855957</v>
      </c>
      <c r="W1115" s="9">
        <v>20.562345482855957</v>
      </c>
      <c r="X1115" s="9">
        <v>22.391977691000818</v>
      </c>
      <c r="Y1115" s="9">
        <v>22.391977691000818</v>
      </c>
      <c r="Z1115" s="9">
        <v>24.28858708803979</v>
      </c>
      <c r="AA1115" s="9">
        <v>24.28858708803979</v>
      </c>
      <c r="AB1115" s="9">
        <v>25.117335532005217</v>
      </c>
      <c r="AC1115" s="9">
        <v>25.117335532005217</v>
      </c>
      <c r="AD1115" s="9">
        <v>29.039116491286865</v>
      </c>
      <c r="AE1115" s="9">
        <v>31.219251037281825</v>
      </c>
      <c r="AF1115" s="9">
        <v>33.487682081707895</v>
      </c>
      <c r="AG1115" s="9">
        <v>33.487682081707895</v>
      </c>
      <c r="AH1115" s="9">
        <v>36.427668170967245</v>
      </c>
      <c r="AI1115" s="9">
        <v>38.74455996597662</v>
      </c>
      <c r="AJ1115" s="9">
        <v>3.0428788910505911</v>
      </c>
    </row>
    <row r="1116" spans="1:36" x14ac:dyDescent="0.25">
      <c r="A1116" t="s">
        <v>5411</v>
      </c>
      <c r="B1116" t="s">
        <v>16</v>
      </c>
      <c r="C1116" t="s">
        <v>17</v>
      </c>
      <c r="D1116">
        <v>35359000</v>
      </c>
      <c r="E1116">
        <v>35359999</v>
      </c>
      <c r="F1116" t="s">
        <v>938</v>
      </c>
      <c r="G1116" t="str">
        <f t="shared" si="34"/>
        <v>MGI II</v>
      </c>
      <c r="H1116" t="s">
        <v>851</v>
      </c>
      <c r="I1116" t="s">
        <v>20</v>
      </c>
      <c r="J1116" t="s">
        <v>64</v>
      </c>
      <c r="K1116" s="6">
        <v>0.03</v>
      </c>
      <c r="L1116" s="7">
        <f t="shared" si="35"/>
        <v>2E-3</v>
      </c>
      <c r="M1116" s="7">
        <v>3.0000000000000001E-3</v>
      </c>
      <c r="N1116">
        <v>8</v>
      </c>
      <c r="O1116" s="8">
        <v>17.822306426995311</v>
      </c>
      <c r="P1116" s="9">
        <v>17.822306426995311</v>
      </c>
      <c r="Q1116" s="9">
        <v>17.822306426995311</v>
      </c>
      <c r="R1116" s="9">
        <v>18.237663306594719</v>
      </c>
      <c r="S1116" s="9">
        <v>18.48712920931133</v>
      </c>
      <c r="T1116" s="9">
        <v>19.201553596969877</v>
      </c>
      <c r="U1116" s="9">
        <v>20.562345482855957</v>
      </c>
      <c r="V1116" s="9">
        <v>20.562345482855957</v>
      </c>
      <c r="W1116" s="9">
        <v>20.562345482855957</v>
      </c>
      <c r="X1116" s="9">
        <v>22.391977691000818</v>
      </c>
      <c r="Y1116" s="9">
        <v>22.391977691000818</v>
      </c>
      <c r="Z1116" s="9">
        <v>24.28858708803979</v>
      </c>
      <c r="AA1116" s="9">
        <v>24.28858708803979</v>
      </c>
      <c r="AB1116" s="9">
        <v>25.117335532005217</v>
      </c>
      <c r="AC1116" s="9">
        <v>25.117335532005217</v>
      </c>
      <c r="AD1116" s="9">
        <v>29.039116491286865</v>
      </c>
      <c r="AE1116" s="9">
        <v>31.219251037281825</v>
      </c>
      <c r="AF1116" s="9">
        <v>33.487682081707895</v>
      </c>
      <c r="AG1116" s="9">
        <v>33.487682081707895</v>
      </c>
      <c r="AH1116" s="9">
        <v>36.427668170967245</v>
      </c>
      <c r="AI1116" s="9">
        <v>38.74455996597662</v>
      </c>
      <c r="AJ1116" s="9">
        <v>3.0428788910505911</v>
      </c>
    </row>
    <row r="1117" spans="1:36" x14ac:dyDescent="0.25">
      <c r="A1117" t="s">
        <v>5411</v>
      </c>
      <c r="B1117" t="s">
        <v>16</v>
      </c>
      <c r="C1117" t="s">
        <v>17</v>
      </c>
      <c r="D1117">
        <v>35360000</v>
      </c>
      <c r="E1117">
        <v>35363999</v>
      </c>
      <c r="F1117" t="s">
        <v>939</v>
      </c>
      <c r="G1117" t="str">
        <f t="shared" si="34"/>
        <v>MGI II</v>
      </c>
      <c r="H1117" t="s">
        <v>851</v>
      </c>
      <c r="I1117" t="s">
        <v>20</v>
      </c>
      <c r="J1117" t="s">
        <v>64</v>
      </c>
      <c r="K1117" s="6">
        <v>0.03</v>
      </c>
      <c r="L1117" s="7">
        <f t="shared" si="35"/>
        <v>2E-3</v>
      </c>
      <c r="M1117" s="7">
        <v>3.0000000000000001E-3</v>
      </c>
      <c r="N1117">
        <v>8</v>
      </c>
      <c r="O1117" s="8">
        <v>17.822306426995311</v>
      </c>
      <c r="P1117" s="9">
        <v>17.822306426995311</v>
      </c>
      <c r="Q1117" s="9">
        <v>17.822306426995311</v>
      </c>
      <c r="R1117" s="9">
        <v>18.237663306594719</v>
      </c>
      <c r="S1117" s="9">
        <v>18.48712920931133</v>
      </c>
      <c r="T1117" s="9">
        <v>19.201553596969877</v>
      </c>
      <c r="U1117" s="9">
        <v>20.562345482855957</v>
      </c>
      <c r="V1117" s="9">
        <v>20.562345482855957</v>
      </c>
      <c r="W1117" s="9">
        <v>20.562345482855957</v>
      </c>
      <c r="X1117" s="9">
        <v>22.391977691000818</v>
      </c>
      <c r="Y1117" s="9">
        <v>22.391977691000818</v>
      </c>
      <c r="Z1117" s="9">
        <v>24.28858708803979</v>
      </c>
      <c r="AA1117" s="9">
        <v>24.28858708803979</v>
      </c>
      <c r="AB1117" s="9">
        <v>25.117335532005217</v>
      </c>
      <c r="AC1117" s="9">
        <v>25.117335532005217</v>
      </c>
      <c r="AD1117" s="9">
        <v>29.039116491286865</v>
      </c>
      <c r="AE1117" s="9">
        <v>31.219251037281825</v>
      </c>
      <c r="AF1117" s="9">
        <v>33.487682081707895</v>
      </c>
      <c r="AG1117" s="9">
        <v>33.487682081707895</v>
      </c>
      <c r="AH1117" s="9">
        <v>36.427668170967245</v>
      </c>
      <c r="AI1117" s="9">
        <v>38.74455996597662</v>
      </c>
      <c r="AJ1117" s="9">
        <v>3.0428788910505911</v>
      </c>
    </row>
    <row r="1118" spans="1:36" x14ac:dyDescent="0.25">
      <c r="A1118" t="s">
        <v>5411</v>
      </c>
      <c r="B1118" t="s">
        <v>16</v>
      </c>
      <c r="C1118" t="s">
        <v>17</v>
      </c>
      <c r="D1118">
        <v>35364000</v>
      </c>
      <c r="E1118">
        <v>35364999</v>
      </c>
      <c r="F1118" t="s">
        <v>940</v>
      </c>
      <c r="G1118" t="str">
        <f t="shared" si="34"/>
        <v>MGI II</v>
      </c>
      <c r="H1118" t="s">
        <v>851</v>
      </c>
      <c r="I1118" t="s">
        <v>20</v>
      </c>
      <c r="J1118" t="s">
        <v>64</v>
      </c>
      <c r="K1118" s="6">
        <v>0.03</v>
      </c>
      <c r="L1118" s="7">
        <f t="shared" si="35"/>
        <v>2E-3</v>
      </c>
      <c r="M1118" s="7">
        <v>3.0000000000000001E-3</v>
      </c>
      <c r="N1118">
        <v>8</v>
      </c>
      <c r="O1118" s="8">
        <v>17.822306426995311</v>
      </c>
      <c r="P1118" s="9">
        <v>17.822306426995311</v>
      </c>
      <c r="Q1118" s="9">
        <v>17.822306426995311</v>
      </c>
      <c r="R1118" s="9">
        <v>18.237663306594719</v>
      </c>
      <c r="S1118" s="9">
        <v>18.48712920931133</v>
      </c>
      <c r="T1118" s="9">
        <v>19.201553596969877</v>
      </c>
      <c r="U1118" s="9">
        <v>20.562345482855957</v>
      </c>
      <c r="V1118" s="9">
        <v>20.562345482855957</v>
      </c>
      <c r="W1118" s="9">
        <v>20.562345482855957</v>
      </c>
      <c r="X1118" s="9">
        <v>22.391977691000818</v>
      </c>
      <c r="Y1118" s="9">
        <v>22.391977691000818</v>
      </c>
      <c r="Z1118" s="9">
        <v>24.28858708803979</v>
      </c>
      <c r="AA1118" s="9">
        <v>24.28858708803979</v>
      </c>
      <c r="AB1118" s="9">
        <v>25.117335532005217</v>
      </c>
      <c r="AC1118" s="9">
        <v>25.117335532005217</v>
      </c>
      <c r="AD1118" s="9">
        <v>29.039116491286865</v>
      </c>
      <c r="AE1118" s="9">
        <v>31.219251037281825</v>
      </c>
      <c r="AF1118" s="9">
        <v>33.487682081707895</v>
      </c>
      <c r="AG1118" s="9">
        <v>33.487682081707895</v>
      </c>
      <c r="AH1118" s="9">
        <v>36.427668170967245</v>
      </c>
      <c r="AI1118" s="9">
        <v>38.74455996597662</v>
      </c>
      <c r="AJ1118" s="9">
        <v>3.0428788910505911</v>
      </c>
    </row>
    <row r="1119" spans="1:36" x14ac:dyDescent="0.25">
      <c r="A1119" t="s">
        <v>5411</v>
      </c>
      <c r="B1119" t="s">
        <v>16</v>
      </c>
      <c r="C1119" t="s">
        <v>17</v>
      </c>
      <c r="D1119">
        <v>35365000</v>
      </c>
      <c r="E1119">
        <v>35366999</v>
      </c>
      <c r="F1119" t="s">
        <v>941</v>
      </c>
      <c r="G1119" t="str">
        <f t="shared" si="34"/>
        <v>MGI II</v>
      </c>
      <c r="H1119" t="s">
        <v>851</v>
      </c>
      <c r="I1119" t="s">
        <v>20</v>
      </c>
      <c r="J1119" t="s">
        <v>64</v>
      </c>
      <c r="K1119" s="6">
        <v>0.03</v>
      </c>
      <c r="L1119" s="7">
        <f t="shared" si="35"/>
        <v>2E-3</v>
      </c>
      <c r="M1119" s="7">
        <v>3.0000000000000001E-3</v>
      </c>
      <c r="N1119">
        <v>8</v>
      </c>
      <c r="O1119" s="8">
        <v>17.822306426995311</v>
      </c>
      <c r="P1119" s="9">
        <v>17.822306426995311</v>
      </c>
      <c r="Q1119" s="9">
        <v>17.822306426995311</v>
      </c>
      <c r="R1119" s="9">
        <v>18.237663306594719</v>
      </c>
      <c r="S1119" s="9">
        <v>18.48712920931133</v>
      </c>
      <c r="T1119" s="9">
        <v>19.201553596969877</v>
      </c>
      <c r="U1119" s="9">
        <v>20.562345482855957</v>
      </c>
      <c r="V1119" s="9">
        <v>20.562345482855957</v>
      </c>
      <c r="W1119" s="9">
        <v>20.562345482855957</v>
      </c>
      <c r="X1119" s="9">
        <v>22.391977691000818</v>
      </c>
      <c r="Y1119" s="9">
        <v>22.391977691000818</v>
      </c>
      <c r="Z1119" s="9">
        <v>24.28858708803979</v>
      </c>
      <c r="AA1119" s="9">
        <v>24.28858708803979</v>
      </c>
      <c r="AB1119" s="9">
        <v>25.117335532005217</v>
      </c>
      <c r="AC1119" s="9">
        <v>25.117335532005217</v>
      </c>
      <c r="AD1119" s="9">
        <v>29.039116491286865</v>
      </c>
      <c r="AE1119" s="9">
        <v>31.219251037281825</v>
      </c>
      <c r="AF1119" s="9">
        <v>33.487682081707895</v>
      </c>
      <c r="AG1119" s="9">
        <v>33.487682081707895</v>
      </c>
      <c r="AH1119" s="9">
        <v>36.427668170967245</v>
      </c>
      <c r="AI1119" s="9">
        <v>38.74455996597662</v>
      </c>
      <c r="AJ1119" s="9">
        <v>3.0428788910505911</v>
      </c>
    </row>
    <row r="1120" spans="1:36" x14ac:dyDescent="0.25">
      <c r="A1120" t="s">
        <v>5411</v>
      </c>
      <c r="B1120" t="s">
        <v>16</v>
      </c>
      <c r="C1120" t="s">
        <v>17</v>
      </c>
      <c r="D1120">
        <v>35367000</v>
      </c>
      <c r="E1120">
        <v>35367999</v>
      </c>
      <c r="F1120" t="s">
        <v>942</v>
      </c>
      <c r="G1120" t="str">
        <f t="shared" si="34"/>
        <v>MGI II</v>
      </c>
      <c r="H1120" t="s">
        <v>851</v>
      </c>
      <c r="I1120" t="s">
        <v>20</v>
      </c>
      <c r="J1120" t="s">
        <v>64</v>
      </c>
      <c r="K1120" s="6">
        <v>0.03</v>
      </c>
      <c r="L1120" s="7">
        <f t="shared" si="35"/>
        <v>2E-3</v>
      </c>
      <c r="M1120" s="7">
        <v>3.0000000000000001E-3</v>
      </c>
      <c r="N1120">
        <v>8</v>
      </c>
      <c r="O1120" s="8">
        <v>17.822306426995311</v>
      </c>
      <c r="P1120" s="9">
        <v>17.822306426995311</v>
      </c>
      <c r="Q1120" s="9">
        <v>17.822306426995311</v>
      </c>
      <c r="R1120" s="9">
        <v>18.237663306594719</v>
      </c>
      <c r="S1120" s="9">
        <v>18.48712920931133</v>
      </c>
      <c r="T1120" s="9">
        <v>19.201553596969877</v>
      </c>
      <c r="U1120" s="9">
        <v>20.562345482855957</v>
      </c>
      <c r="V1120" s="9">
        <v>20.562345482855957</v>
      </c>
      <c r="W1120" s="9">
        <v>20.562345482855957</v>
      </c>
      <c r="X1120" s="9">
        <v>22.391977691000818</v>
      </c>
      <c r="Y1120" s="9">
        <v>22.391977691000818</v>
      </c>
      <c r="Z1120" s="9">
        <v>24.28858708803979</v>
      </c>
      <c r="AA1120" s="9">
        <v>24.28858708803979</v>
      </c>
      <c r="AB1120" s="9">
        <v>25.117335532005217</v>
      </c>
      <c r="AC1120" s="9">
        <v>25.117335532005217</v>
      </c>
      <c r="AD1120" s="9">
        <v>29.039116491286865</v>
      </c>
      <c r="AE1120" s="9">
        <v>31.219251037281825</v>
      </c>
      <c r="AF1120" s="9">
        <v>33.487682081707895</v>
      </c>
      <c r="AG1120" s="9">
        <v>33.487682081707895</v>
      </c>
      <c r="AH1120" s="9">
        <v>36.427668170967245</v>
      </c>
      <c r="AI1120" s="9">
        <v>38.74455996597662</v>
      </c>
      <c r="AJ1120" s="9">
        <v>3.0428788910505911</v>
      </c>
    </row>
    <row r="1121" spans="1:36" x14ac:dyDescent="0.25">
      <c r="A1121" t="s">
        <v>5411</v>
      </c>
      <c r="B1121" t="s">
        <v>16</v>
      </c>
      <c r="C1121" t="s">
        <v>17</v>
      </c>
      <c r="D1121">
        <v>35368000</v>
      </c>
      <c r="E1121">
        <v>35369999</v>
      </c>
      <c r="F1121" t="s">
        <v>943</v>
      </c>
      <c r="G1121" t="str">
        <f t="shared" si="34"/>
        <v>MGI II</v>
      </c>
      <c r="H1121" t="s">
        <v>851</v>
      </c>
      <c r="I1121" t="s">
        <v>20</v>
      </c>
      <c r="J1121" t="s">
        <v>64</v>
      </c>
      <c r="K1121" s="6">
        <v>0.03</v>
      </c>
      <c r="L1121" s="7">
        <f t="shared" si="35"/>
        <v>2E-3</v>
      </c>
      <c r="M1121" s="7">
        <v>3.0000000000000001E-3</v>
      </c>
      <c r="N1121">
        <v>8</v>
      </c>
      <c r="O1121" s="8">
        <v>17.822306426995311</v>
      </c>
      <c r="P1121" s="9">
        <v>17.822306426995311</v>
      </c>
      <c r="Q1121" s="9">
        <v>17.822306426995311</v>
      </c>
      <c r="R1121" s="9">
        <v>18.237663306594719</v>
      </c>
      <c r="S1121" s="9">
        <v>18.48712920931133</v>
      </c>
      <c r="T1121" s="9">
        <v>19.201553596969877</v>
      </c>
      <c r="U1121" s="9">
        <v>20.562345482855957</v>
      </c>
      <c r="V1121" s="9">
        <v>20.562345482855957</v>
      </c>
      <c r="W1121" s="9">
        <v>20.562345482855957</v>
      </c>
      <c r="X1121" s="9">
        <v>22.391977691000818</v>
      </c>
      <c r="Y1121" s="9">
        <v>22.391977691000818</v>
      </c>
      <c r="Z1121" s="9">
        <v>24.28858708803979</v>
      </c>
      <c r="AA1121" s="9">
        <v>24.28858708803979</v>
      </c>
      <c r="AB1121" s="9">
        <v>25.117335532005217</v>
      </c>
      <c r="AC1121" s="9">
        <v>25.117335532005217</v>
      </c>
      <c r="AD1121" s="9">
        <v>29.039116491286865</v>
      </c>
      <c r="AE1121" s="9">
        <v>31.219251037281825</v>
      </c>
      <c r="AF1121" s="9">
        <v>33.487682081707895</v>
      </c>
      <c r="AG1121" s="9">
        <v>33.487682081707895</v>
      </c>
      <c r="AH1121" s="9">
        <v>36.427668170967245</v>
      </c>
      <c r="AI1121" s="9">
        <v>38.74455996597662</v>
      </c>
      <c r="AJ1121" s="9">
        <v>3.0428788910505911</v>
      </c>
    </row>
    <row r="1122" spans="1:36" x14ac:dyDescent="0.25">
      <c r="A1122" t="s">
        <v>5411</v>
      </c>
      <c r="B1122" t="s">
        <v>16</v>
      </c>
      <c r="C1122" t="s">
        <v>17</v>
      </c>
      <c r="D1122">
        <v>35370000</v>
      </c>
      <c r="E1122">
        <v>35379999</v>
      </c>
      <c r="F1122" t="s">
        <v>944</v>
      </c>
      <c r="G1122" t="str">
        <f t="shared" si="34"/>
        <v>MGI</v>
      </c>
      <c r="H1122" t="s">
        <v>851</v>
      </c>
      <c r="I1122" t="s">
        <v>20</v>
      </c>
      <c r="J1122" t="s">
        <v>62</v>
      </c>
      <c r="K1122" s="6">
        <v>0.03</v>
      </c>
      <c r="L1122" s="7">
        <f t="shared" si="35"/>
        <v>2E-3</v>
      </c>
      <c r="M1122" s="7">
        <v>3.0000000000000001E-3</v>
      </c>
      <c r="N1122">
        <v>7</v>
      </c>
      <c r="O1122" s="8">
        <v>13.880385281502075</v>
      </c>
      <c r="P1122" s="9">
        <v>13.880385281502075</v>
      </c>
      <c r="Q1122" s="9">
        <v>13.880385281502075</v>
      </c>
      <c r="R1122" s="9">
        <v>14.045989937445718</v>
      </c>
      <c r="S1122" s="9">
        <v>14.060876315369912</v>
      </c>
      <c r="T1122" s="9">
        <v>15.090338571208333</v>
      </c>
      <c r="U1122" s="9">
        <v>16.025407313902726</v>
      </c>
      <c r="V1122" s="9">
        <v>16.025407313902726</v>
      </c>
      <c r="W1122" s="9">
        <v>16.025407313902726</v>
      </c>
      <c r="X1122" s="9">
        <v>18.013895748167766</v>
      </c>
      <c r="Y1122" s="9">
        <v>18.013895748167766</v>
      </c>
      <c r="Z1122" s="9">
        <v>20.142868501532355</v>
      </c>
      <c r="AA1122" s="9">
        <v>20.142868501532355</v>
      </c>
      <c r="AB1122" s="9">
        <v>22.456349831314476</v>
      </c>
      <c r="AC1122" s="9">
        <v>22.456349831314476</v>
      </c>
      <c r="AD1122" s="9">
        <v>24.87984091164185</v>
      </c>
      <c r="AE1122" s="9">
        <v>27.427492221952345</v>
      </c>
      <c r="AF1122" s="9">
        <v>33.194804868730657</v>
      </c>
      <c r="AG1122" s="9">
        <v>33.194804868730657</v>
      </c>
      <c r="AH1122" s="9">
        <v>35.957808835828068</v>
      </c>
      <c r="AI1122" s="9">
        <v>38.646304092692077</v>
      </c>
      <c r="AJ1122" s="9">
        <v>3.0428788910505911</v>
      </c>
    </row>
    <row r="1123" spans="1:36" x14ac:dyDescent="0.25">
      <c r="A1123" t="s">
        <v>5411</v>
      </c>
      <c r="B1123" t="s">
        <v>16</v>
      </c>
      <c r="C1123" t="s">
        <v>17</v>
      </c>
      <c r="D1123">
        <v>35380000</v>
      </c>
      <c r="E1123">
        <v>35381999</v>
      </c>
      <c r="F1123" t="s">
        <v>945</v>
      </c>
      <c r="G1123" t="str">
        <f t="shared" si="34"/>
        <v>MGI II</v>
      </c>
      <c r="H1123" t="s">
        <v>851</v>
      </c>
      <c r="I1123" t="s">
        <v>20</v>
      </c>
      <c r="J1123" t="s">
        <v>64</v>
      </c>
      <c r="K1123" s="6">
        <v>0.03</v>
      </c>
      <c r="L1123" s="7">
        <f t="shared" si="35"/>
        <v>2E-3</v>
      </c>
      <c r="M1123" s="7">
        <v>3.0000000000000001E-3</v>
      </c>
      <c r="N1123">
        <v>8</v>
      </c>
      <c r="O1123" s="8">
        <v>17.822306426995311</v>
      </c>
      <c r="P1123" s="9">
        <v>17.822306426995311</v>
      </c>
      <c r="Q1123" s="9">
        <v>17.822306426995311</v>
      </c>
      <c r="R1123" s="9">
        <v>18.237663306594719</v>
      </c>
      <c r="S1123" s="9">
        <v>18.48712920931133</v>
      </c>
      <c r="T1123" s="9">
        <v>19.201553596969877</v>
      </c>
      <c r="U1123" s="9">
        <v>20.562345482855957</v>
      </c>
      <c r="V1123" s="9">
        <v>20.562345482855957</v>
      </c>
      <c r="W1123" s="9">
        <v>20.562345482855957</v>
      </c>
      <c r="X1123" s="9">
        <v>22.391977691000818</v>
      </c>
      <c r="Y1123" s="9">
        <v>22.391977691000818</v>
      </c>
      <c r="Z1123" s="9">
        <v>24.28858708803979</v>
      </c>
      <c r="AA1123" s="9">
        <v>24.28858708803979</v>
      </c>
      <c r="AB1123" s="9">
        <v>25.117335532005217</v>
      </c>
      <c r="AC1123" s="9">
        <v>25.117335532005217</v>
      </c>
      <c r="AD1123" s="9">
        <v>29.039116491286865</v>
      </c>
      <c r="AE1123" s="9">
        <v>31.219251037281825</v>
      </c>
      <c r="AF1123" s="9">
        <v>33.487682081707895</v>
      </c>
      <c r="AG1123" s="9">
        <v>33.487682081707895</v>
      </c>
      <c r="AH1123" s="9">
        <v>36.427668170967245</v>
      </c>
      <c r="AI1123" s="9">
        <v>38.74455996597662</v>
      </c>
      <c r="AJ1123" s="9">
        <v>3.0428788910505911</v>
      </c>
    </row>
    <row r="1124" spans="1:36" x14ac:dyDescent="0.25">
      <c r="A1124" t="s">
        <v>5411</v>
      </c>
      <c r="B1124" t="s">
        <v>16</v>
      </c>
      <c r="C1124" t="s">
        <v>17</v>
      </c>
      <c r="D1124">
        <v>35382000</v>
      </c>
      <c r="E1124">
        <v>35382999</v>
      </c>
      <c r="F1124" t="s">
        <v>946</v>
      </c>
      <c r="G1124" t="str">
        <f t="shared" si="34"/>
        <v>MGI II</v>
      </c>
      <c r="H1124" t="s">
        <v>851</v>
      </c>
      <c r="I1124" t="s">
        <v>20</v>
      </c>
      <c r="J1124" t="s">
        <v>64</v>
      </c>
      <c r="K1124" s="6">
        <v>0.03</v>
      </c>
      <c r="L1124" s="7">
        <f t="shared" si="35"/>
        <v>2E-3</v>
      </c>
      <c r="M1124" s="7">
        <v>3.0000000000000001E-3</v>
      </c>
      <c r="N1124">
        <v>8</v>
      </c>
      <c r="O1124" s="8">
        <v>17.822306426995311</v>
      </c>
      <c r="P1124" s="9">
        <v>17.822306426995311</v>
      </c>
      <c r="Q1124" s="9">
        <v>17.822306426995311</v>
      </c>
      <c r="R1124" s="9">
        <v>18.237663306594719</v>
      </c>
      <c r="S1124" s="9">
        <v>18.48712920931133</v>
      </c>
      <c r="T1124" s="9">
        <v>19.201553596969877</v>
      </c>
      <c r="U1124" s="9">
        <v>20.562345482855957</v>
      </c>
      <c r="V1124" s="9">
        <v>20.562345482855957</v>
      </c>
      <c r="W1124" s="9">
        <v>20.562345482855957</v>
      </c>
      <c r="X1124" s="9">
        <v>22.391977691000818</v>
      </c>
      <c r="Y1124" s="9">
        <v>22.391977691000818</v>
      </c>
      <c r="Z1124" s="9">
        <v>24.28858708803979</v>
      </c>
      <c r="AA1124" s="9">
        <v>24.28858708803979</v>
      </c>
      <c r="AB1124" s="9">
        <v>25.117335532005217</v>
      </c>
      <c r="AC1124" s="9">
        <v>25.117335532005217</v>
      </c>
      <c r="AD1124" s="9">
        <v>29.039116491286865</v>
      </c>
      <c r="AE1124" s="9">
        <v>31.219251037281825</v>
      </c>
      <c r="AF1124" s="9">
        <v>33.487682081707895</v>
      </c>
      <c r="AG1124" s="9">
        <v>33.487682081707895</v>
      </c>
      <c r="AH1124" s="9">
        <v>36.427668170967245</v>
      </c>
      <c r="AI1124" s="9">
        <v>38.74455996597662</v>
      </c>
      <c r="AJ1124" s="9">
        <v>3.0428788910505911</v>
      </c>
    </row>
    <row r="1125" spans="1:36" x14ac:dyDescent="0.25">
      <c r="A1125" t="s">
        <v>5411</v>
      </c>
      <c r="B1125" t="s">
        <v>16</v>
      </c>
      <c r="C1125" t="s">
        <v>17</v>
      </c>
      <c r="D1125">
        <v>35383000</v>
      </c>
      <c r="E1125">
        <v>35387999</v>
      </c>
      <c r="F1125" t="s">
        <v>947</v>
      </c>
      <c r="G1125" t="str">
        <f t="shared" si="34"/>
        <v>MGI II</v>
      </c>
      <c r="H1125" t="s">
        <v>851</v>
      </c>
      <c r="I1125" t="s">
        <v>20</v>
      </c>
      <c r="J1125" t="s">
        <v>64</v>
      </c>
      <c r="K1125" s="6">
        <v>0.03</v>
      </c>
      <c r="L1125" s="7">
        <f t="shared" si="35"/>
        <v>2E-3</v>
      </c>
      <c r="M1125" s="7">
        <v>3.0000000000000001E-3</v>
      </c>
      <c r="N1125">
        <v>8</v>
      </c>
      <c r="O1125" s="8">
        <v>17.822306426995311</v>
      </c>
      <c r="P1125" s="9">
        <v>17.822306426995311</v>
      </c>
      <c r="Q1125" s="9">
        <v>17.822306426995311</v>
      </c>
      <c r="R1125" s="9">
        <v>18.237663306594719</v>
      </c>
      <c r="S1125" s="9">
        <v>18.48712920931133</v>
      </c>
      <c r="T1125" s="9">
        <v>19.201553596969877</v>
      </c>
      <c r="U1125" s="9">
        <v>20.562345482855957</v>
      </c>
      <c r="V1125" s="9">
        <v>20.562345482855957</v>
      </c>
      <c r="W1125" s="9">
        <v>20.562345482855957</v>
      </c>
      <c r="X1125" s="9">
        <v>22.391977691000818</v>
      </c>
      <c r="Y1125" s="9">
        <v>22.391977691000818</v>
      </c>
      <c r="Z1125" s="9">
        <v>24.28858708803979</v>
      </c>
      <c r="AA1125" s="9">
        <v>24.28858708803979</v>
      </c>
      <c r="AB1125" s="9">
        <v>25.117335532005217</v>
      </c>
      <c r="AC1125" s="9">
        <v>25.117335532005217</v>
      </c>
      <c r="AD1125" s="9">
        <v>29.039116491286865</v>
      </c>
      <c r="AE1125" s="9">
        <v>31.219251037281825</v>
      </c>
      <c r="AF1125" s="9">
        <v>33.487682081707895</v>
      </c>
      <c r="AG1125" s="9">
        <v>33.487682081707895</v>
      </c>
      <c r="AH1125" s="9">
        <v>36.427668170967245</v>
      </c>
      <c r="AI1125" s="9">
        <v>38.74455996597662</v>
      </c>
      <c r="AJ1125" s="9">
        <v>3.0428788910505911</v>
      </c>
    </row>
    <row r="1126" spans="1:36" x14ac:dyDescent="0.25">
      <c r="A1126" t="s">
        <v>5411</v>
      </c>
      <c r="B1126" t="s">
        <v>16</v>
      </c>
      <c r="C1126" t="s">
        <v>17</v>
      </c>
      <c r="D1126">
        <v>35388000</v>
      </c>
      <c r="E1126">
        <v>35389999</v>
      </c>
      <c r="F1126" t="s">
        <v>948</v>
      </c>
      <c r="G1126" t="str">
        <f t="shared" si="34"/>
        <v>MGI II</v>
      </c>
      <c r="H1126" t="s">
        <v>851</v>
      </c>
      <c r="I1126" t="s">
        <v>20</v>
      </c>
      <c r="J1126" t="s">
        <v>64</v>
      </c>
      <c r="K1126" s="6">
        <v>0.03</v>
      </c>
      <c r="L1126" s="7">
        <f t="shared" si="35"/>
        <v>2E-3</v>
      </c>
      <c r="M1126" s="7">
        <v>3.0000000000000001E-3</v>
      </c>
      <c r="N1126">
        <v>8</v>
      </c>
      <c r="O1126" s="8">
        <v>17.822306426995311</v>
      </c>
      <c r="P1126" s="9">
        <v>17.822306426995311</v>
      </c>
      <c r="Q1126" s="9">
        <v>17.822306426995311</v>
      </c>
      <c r="R1126" s="9">
        <v>18.237663306594719</v>
      </c>
      <c r="S1126" s="9">
        <v>18.48712920931133</v>
      </c>
      <c r="T1126" s="9">
        <v>19.201553596969877</v>
      </c>
      <c r="U1126" s="9">
        <v>20.562345482855957</v>
      </c>
      <c r="V1126" s="9">
        <v>20.562345482855957</v>
      </c>
      <c r="W1126" s="9">
        <v>20.562345482855957</v>
      </c>
      <c r="X1126" s="9">
        <v>22.391977691000818</v>
      </c>
      <c r="Y1126" s="9">
        <v>22.391977691000818</v>
      </c>
      <c r="Z1126" s="9">
        <v>24.28858708803979</v>
      </c>
      <c r="AA1126" s="9">
        <v>24.28858708803979</v>
      </c>
      <c r="AB1126" s="9">
        <v>25.117335532005217</v>
      </c>
      <c r="AC1126" s="9">
        <v>25.117335532005217</v>
      </c>
      <c r="AD1126" s="9">
        <v>29.039116491286865</v>
      </c>
      <c r="AE1126" s="9">
        <v>31.219251037281825</v>
      </c>
      <c r="AF1126" s="9">
        <v>33.487682081707895</v>
      </c>
      <c r="AG1126" s="9">
        <v>33.487682081707895</v>
      </c>
      <c r="AH1126" s="9">
        <v>36.427668170967245</v>
      </c>
      <c r="AI1126" s="9">
        <v>38.74455996597662</v>
      </c>
      <c r="AJ1126" s="9">
        <v>3.0428788910505911</v>
      </c>
    </row>
    <row r="1127" spans="1:36" x14ac:dyDescent="0.25">
      <c r="A1127" t="s">
        <v>5411</v>
      </c>
      <c r="B1127" t="s">
        <v>16</v>
      </c>
      <c r="C1127" t="s">
        <v>17</v>
      </c>
      <c r="D1127">
        <v>35390000</v>
      </c>
      <c r="E1127">
        <v>35399999</v>
      </c>
      <c r="F1127" t="s">
        <v>949</v>
      </c>
      <c r="G1127" t="str">
        <f t="shared" si="34"/>
        <v>MGI II</v>
      </c>
      <c r="H1127" t="s">
        <v>851</v>
      </c>
      <c r="I1127" t="s">
        <v>20</v>
      </c>
      <c r="J1127" t="s">
        <v>64</v>
      </c>
      <c r="K1127" s="6">
        <v>0.03</v>
      </c>
      <c r="L1127" s="7">
        <f t="shared" si="35"/>
        <v>2E-3</v>
      </c>
      <c r="M1127" s="7">
        <v>3.0000000000000001E-3</v>
      </c>
      <c r="N1127">
        <v>8</v>
      </c>
      <c r="O1127" s="8">
        <v>17.822306426995311</v>
      </c>
      <c r="P1127" s="9">
        <v>17.822306426995311</v>
      </c>
      <c r="Q1127" s="9">
        <v>17.822306426995311</v>
      </c>
      <c r="R1127" s="9">
        <v>18.237663306594719</v>
      </c>
      <c r="S1127" s="9">
        <v>18.48712920931133</v>
      </c>
      <c r="T1127" s="9">
        <v>19.201553596969877</v>
      </c>
      <c r="U1127" s="9">
        <v>20.562345482855957</v>
      </c>
      <c r="V1127" s="9">
        <v>20.562345482855957</v>
      </c>
      <c r="W1127" s="9">
        <v>20.562345482855957</v>
      </c>
      <c r="X1127" s="9">
        <v>22.391977691000818</v>
      </c>
      <c r="Y1127" s="9">
        <v>22.391977691000818</v>
      </c>
      <c r="Z1127" s="9">
        <v>24.28858708803979</v>
      </c>
      <c r="AA1127" s="9">
        <v>24.28858708803979</v>
      </c>
      <c r="AB1127" s="9">
        <v>25.117335532005217</v>
      </c>
      <c r="AC1127" s="9">
        <v>25.117335532005217</v>
      </c>
      <c r="AD1127" s="9">
        <v>29.039116491286865</v>
      </c>
      <c r="AE1127" s="9">
        <v>31.219251037281825</v>
      </c>
      <c r="AF1127" s="9">
        <v>33.487682081707895</v>
      </c>
      <c r="AG1127" s="9">
        <v>33.487682081707895</v>
      </c>
      <c r="AH1127" s="9">
        <v>36.427668170967245</v>
      </c>
      <c r="AI1127" s="9">
        <v>38.74455996597662</v>
      </c>
      <c r="AJ1127" s="9">
        <v>3.0428788910505911</v>
      </c>
    </row>
    <row r="1128" spans="1:36" x14ac:dyDescent="0.25">
      <c r="A1128" t="s">
        <v>5411</v>
      </c>
      <c r="B1128" t="s">
        <v>16</v>
      </c>
      <c r="C1128" t="s">
        <v>17</v>
      </c>
      <c r="D1128">
        <v>35400000</v>
      </c>
      <c r="E1128">
        <v>35419999</v>
      </c>
      <c r="F1128" t="s">
        <v>950</v>
      </c>
      <c r="G1128" t="str">
        <f t="shared" si="34"/>
        <v>MGI</v>
      </c>
      <c r="H1128" t="s">
        <v>851</v>
      </c>
      <c r="I1128" t="s">
        <v>20</v>
      </c>
      <c r="J1128" t="s">
        <v>62</v>
      </c>
      <c r="K1128" s="6">
        <v>0.03</v>
      </c>
      <c r="L1128" s="7">
        <f t="shared" si="35"/>
        <v>2E-3</v>
      </c>
      <c r="M1128" s="7">
        <v>3.0000000000000001E-3</v>
      </c>
      <c r="N1128">
        <v>7</v>
      </c>
      <c r="O1128" s="8">
        <v>13.880385281502075</v>
      </c>
      <c r="P1128" s="9">
        <v>13.880385281502075</v>
      </c>
      <c r="Q1128" s="9">
        <v>13.880385281502075</v>
      </c>
      <c r="R1128" s="9">
        <v>14.045989937445718</v>
      </c>
      <c r="S1128" s="9">
        <v>14.060876315369912</v>
      </c>
      <c r="T1128" s="9">
        <v>15.090338571208333</v>
      </c>
      <c r="U1128" s="9">
        <v>16.025407313902726</v>
      </c>
      <c r="V1128" s="9">
        <v>16.025407313902726</v>
      </c>
      <c r="W1128" s="9">
        <v>16.025407313902726</v>
      </c>
      <c r="X1128" s="9">
        <v>18.013895748167766</v>
      </c>
      <c r="Y1128" s="9">
        <v>18.013895748167766</v>
      </c>
      <c r="Z1128" s="9">
        <v>20.142868501532355</v>
      </c>
      <c r="AA1128" s="9">
        <v>20.142868501532355</v>
      </c>
      <c r="AB1128" s="9">
        <v>22.456349831314476</v>
      </c>
      <c r="AC1128" s="9">
        <v>22.456349831314476</v>
      </c>
      <c r="AD1128" s="9">
        <v>24.87984091164185</v>
      </c>
      <c r="AE1128" s="9">
        <v>27.427492221952345</v>
      </c>
      <c r="AF1128" s="9">
        <v>33.194804868730657</v>
      </c>
      <c r="AG1128" s="9">
        <v>33.194804868730657</v>
      </c>
      <c r="AH1128" s="9">
        <v>35.957808835828068</v>
      </c>
      <c r="AI1128" s="9">
        <v>38.646304092692077</v>
      </c>
      <c r="AJ1128" s="9">
        <v>3.0428788910505911</v>
      </c>
    </row>
    <row r="1129" spans="1:36" x14ac:dyDescent="0.25">
      <c r="A1129" t="s">
        <v>5411</v>
      </c>
      <c r="B1129" t="s">
        <v>16</v>
      </c>
      <c r="C1129" t="s">
        <v>17</v>
      </c>
      <c r="D1129">
        <v>35420000</v>
      </c>
      <c r="E1129">
        <v>35429999</v>
      </c>
      <c r="F1129" t="s">
        <v>951</v>
      </c>
      <c r="G1129" t="str">
        <f t="shared" si="34"/>
        <v>MGI</v>
      </c>
      <c r="H1129" t="s">
        <v>851</v>
      </c>
      <c r="I1129" t="s">
        <v>20</v>
      </c>
      <c r="J1129" t="s">
        <v>62</v>
      </c>
      <c r="K1129" s="6">
        <v>0.03</v>
      </c>
      <c r="L1129" s="7">
        <f t="shared" si="35"/>
        <v>2E-3</v>
      </c>
      <c r="M1129" s="7">
        <v>3.0000000000000001E-3</v>
      </c>
      <c r="N1129">
        <v>8</v>
      </c>
      <c r="O1129" s="8">
        <v>13.880385281502075</v>
      </c>
      <c r="P1129" s="9">
        <v>13.880385281502075</v>
      </c>
      <c r="Q1129" s="9">
        <v>13.880385281502075</v>
      </c>
      <c r="R1129" s="9">
        <v>14.045989937445718</v>
      </c>
      <c r="S1129" s="9">
        <v>14.060876315369912</v>
      </c>
      <c r="T1129" s="9">
        <v>15.090338571208333</v>
      </c>
      <c r="U1129" s="9">
        <v>16.025407313902726</v>
      </c>
      <c r="V1129" s="9">
        <v>16.025407313902726</v>
      </c>
      <c r="W1129" s="9">
        <v>16.025407313902726</v>
      </c>
      <c r="X1129" s="9">
        <v>18.013895748167766</v>
      </c>
      <c r="Y1129" s="9">
        <v>18.013895748167766</v>
      </c>
      <c r="Z1129" s="9">
        <v>20.142868501532355</v>
      </c>
      <c r="AA1129" s="9">
        <v>20.142868501532355</v>
      </c>
      <c r="AB1129" s="9">
        <v>22.456349831314476</v>
      </c>
      <c r="AC1129" s="9">
        <v>22.456349831314476</v>
      </c>
      <c r="AD1129" s="9">
        <v>24.87984091164185</v>
      </c>
      <c r="AE1129" s="9">
        <v>27.427492221952345</v>
      </c>
      <c r="AF1129" s="9">
        <v>33.194804868730657</v>
      </c>
      <c r="AG1129" s="9">
        <v>33.194804868730657</v>
      </c>
      <c r="AH1129" s="9">
        <v>35.957808835828068</v>
      </c>
      <c r="AI1129" s="9">
        <v>38.646304092692077</v>
      </c>
      <c r="AJ1129" s="9">
        <v>3.0428788910505911</v>
      </c>
    </row>
    <row r="1130" spans="1:36" x14ac:dyDescent="0.25">
      <c r="A1130" t="s">
        <v>5411</v>
      </c>
      <c r="B1130" t="s">
        <v>16</v>
      </c>
      <c r="C1130" t="s">
        <v>17</v>
      </c>
      <c r="D1130">
        <v>35430000</v>
      </c>
      <c r="E1130">
        <v>35435999</v>
      </c>
      <c r="F1130" t="s">
        <v>952</v>
      </c>
      <c r="G1130" t="str">
        <f t="shared" si="34"/>
        <v>MGI</v>
      </c>
      <c r="H1130" t="s">
        <v>851</v>
      </c>
      <c r="I1130" t="s">
        <v>20</v>
      </c>
      <c r="J1130" t="s">
        <v>62</v>
      </c>
      <c r="K1130" s="6">
        <v>0.03</v>
      </c>
      <c r="L1130" s="7">
        <f t="shared" si="35"/>
        <v>2E-3</v>
      </c>
      <c r="M1130" s="7">
        <v>3.0000000000000001E-3</v>
      </c>
      <c r="N1130">
        <v>8</v>
      </c>
      <c r="O1130" s="8">
        <v>13.880385281502075</v>
      </c>
      <c r="P1130" s="9">
        <v>13.880385281502075</v>
      </c>
      <c r="Q1130" s="9">
        <v>13.880385281502075</v>
      </c>
      <c r="R1130" s="9">
        <v>14.045989937445718</v>
      </c>
      <c r="S1130" s="9">
        <v>14.060876315369912</v>
      </c>
      <c r="T1130" s="9">
        <v>15.090338571208333</v>
      </c>
      <c r="U1130" s="9">
        <v>16.025407313902726</v>
      </c>
      <c r="V1130" s="9">
        <v>16.025407313902726</v>
      </c>
      <c r="W1130" s="9">
        <v>16.025407313902726</v>
      </c>
      <c r="X1130" s="9">
        <v>18.013895748167766</v>
      </c>
      <c r="Y1130" s="9">
        <v>18.013895748167766</v>
      </c>
      <c r="Z1130" s="9">
        <v>20.142868501532355</v>
      </c>
      <c r="AA1130" s="9">
        <v>20.142868501532355</v>
      </c>
      <c r="AB1130" s="9">
        <v>22.456349831314476</v>
      </c>
      <c r="AC1130" s="9">
        <v>22.456349831314476</v>
      </c>
      <c r="AD1130" s="9">
        <v>24.87984091164185</v>
      </c>
      <c r="AE1130" s="9">
        <v>27.427492221952345</v>
      </c>
      <c r="AF1130" s="9">
        <v>33.194804868730657</v>
      </c>
      <c r="AG1130" s="9">
        <v>33.194804868730657</v>
      </c>
      <c r="AH1130" s="9">
        <v>35.957808835828068</v>
      </c>
      <c r="AI1130" s="9">
        <v>38.646304092692077</v>
      </c>
      <c r="AJ1130" s="9">
        <v>3.0428788910505911</v>
      </c>
    </row>
    <row r="1131" spans="1:36" x14ac:dyDescent="0.25">
      <c r="A1131" t="s">
        <v>5411</v>
      </c>
      <c r="B1131" t="s">
        <v>16</v>
      </c>
      <c r="C1131" t="s">
        <v>17</v>
      </c>
      <c r="D1131">
        <v>35436000</v>
      </c>
      <c r="E1131">
        <v>35436999</v>
      </c>
      <c r="F1131" t="s">
        <v>953</v>
      </c>
      <c r="G1131" t="str">
        <f t="shared" si="34"/>
        <v>MGI II</v>
      </c>
      <c r="H1131" t="s">
        <v>851</v>
      </c>
      <c r="I1131" t="s">
        <v>20</v>
      </c>
      <c r="J1131" t="s">
        <v>64</v>
      </c>
      <c r="K1131" s="6">
        <v>0.03</v>
      </c>
      <c r="L1131" s="7">
        <f t="shared" si="35"/>
        <v>2E-3</v>
      </c>
      <c r="M1131" s="7">
        <v>3.0000000000000001E-3</v>
      </c>
      <c r="N1131">
        <v>8</v>
      </c>
      <c r="O1131" s="8">
        <v>17.822306426995311</v>
      </c>
      <c r="P1131" s="9">
        <v>17.822306426995311</v>
      </c>
      <c r="Q1131" s="9">
        <v>17.822306426995311</v>
      </c>
      <c r="R1131" s="9">
        <v>18.237663306594719</v>
      </c>
      <c r="S1131" s="9">
        <v>18.48712920931133</v>
      </c>
      <c r="T1131" s="9">
        <v>19.201553596969877</v>
      </c>
      <c r="U1131" s="9">
        <v>20.562345482855957</v>
      </c>
      <c r="V1131" s="9">
        <v>20.562345482855957</v>
      </c>
      <c r="W1131" s="9">
        <v>20.562345482855957</v>
      </c>
      <c r="X1131" s="9">
        <v>22.391977691000818</v>
      </c>
      <c r="Y1131" s="9">
        <v>22.391977691000818</v>
      </c>
      <c r="Z1131" s="9">
        <v>24.28858708803979</v>
      </c>
      <c r="AA1131" s="9">
        <v>24.28858708803979</v>
      </c>
      <c r="AB1131" s="9">
        <v>25.117335532005217</v>
      </c>
      <c r="AC1131" s="9">
        <v>25.117335532005217</v>
      </c>
      <c r="AD1131" s="9">
        <v>29.039116491286865</v>
      </c>
      <c r="AE1131" s="9">
        <v>31.219251037281825</v>
      </c>
      <c r="AF1131" s="9">
        <v>33.487682081707895</v>
      </c>
      <c r="AG1131" s="9">
        <v>33.487682081707895</v>
      </c>
      <c r="AH1131" s="9">
        <v>36.427668170967245</v>
      </c>
      <c r="AI1131" s="9">
        <v>38.74455996597662</v>
      </c>
      <c r="AJ1131" s="9">
        <v>3.0428788910505911</v>
      </c>
    </row>
    <row r="1132" spans="1:36" x14ac:dyDescent="0.25">
      <c r="A1132" t="s">
        <v>5411</v>
      </c>
      <c r="B1132" t="s">
        <v>16</v>
      </c>
      <c r="C1132" t="s">
        <v>17</v>
      </c>
      <c r="D1132">
        <v>35437000</v>
      </c>
      <c r="E1132">
        <v>35437999</v>
      </c>
      <c r="F1132" t="s">
        <v>954</v>
      </c>
      <c r="G1132" t="str">
        <f t="shared" si="34"/>
        <v>MGI II</v>
      </c>
      <c r="H1132" t="s">
        <v>851</v>
      </c>
      <c r="I1132" t="s">
        <v>20</v>
      </c>
      <c r="J1132" t="s">
        <v>64</v>
      </c>
      <c r="K1132" s="6">
        <v>0.03</v>
      </c>
      <c r="L1132" s="7">
        <f t="shared" si="35"/>
        <v>2E-3</v>
      </c>
      <c r="M1132" s="7">
        <v>3.0000000000000001E-3</v>
      </c>
      <c r="N1132">
        <v>8</v>
      </c>
      <c r="O1132" s="8">
        <v>17.822306426995311</v>
      </c>
      <c r="P1132" s="9">
        <v>17.822306426995311</v>
      </c>
      <c r="Q1132" s="9">
        <v>17.822306426995311</v>
      </c>
      <c r="R1132" s="9">
        <v>18.237663306594719</v>
      </c>
      <c r="S1132" s="9">
        <v>18.48712920931133</v>
      </c>
      <c r="T1132" s="9">
        <v>19.201553596969877</v>
      </c>
      <c r="U1132" s="9">
        <v>20.562345482855957</v>
      </c>
      <c r="V1132" s="9">
        <v>20.562345482855957</v>
      </c>
      <c r="W1132" s="9">
        <v>20.562345482855957</v>
      </c>
      <c r="X1132" s="9">
        <v>22.391977691000818</v>
      </c>
      <c r="Y1132" s="9">
        <v>22.391977691000818</v>
      </c>
      <c r="Z1132" s="9">
        <v>24.28858708803979</v>
      </c>
      <c r="AA1132" s="9">
        <v>24.28858708803979</v>
      </c>
      <c r="AB1132" s="9">
        <v>25.117335532005217</v>
      </c>
      <c r="AC1132" s="9">
        <v>25.117335532005217</v>
      </c>
      <c r="AD1132" s="9">
        <v>29.039116491286865</v>
      </c>
      <c r="AE1132" s="9">
        <v>31.219251037281825</v>
      </c>
      <c r="AF1132" s="9">
        <v>33.487682081707895</v>
      </c>
      <c r="AG1132" s="9">
        <v>33.487682081707895</v>
      </c>
      <c r="AH1132" s="9">
        <v>36.427668170967245</v>
      </c>
      <c r="AI1132" s="9">
        <v>38.74455996597662</v>
      </c>
      <c r="AJ1132" s="9">
        <v>3.0428788910505911</v>
      </c>
    </row>
    <row r="1133" spans="1:36" x14ac:dyDescent="0.25">
      <c r="A1133" t="s">
        <v>5411</v>
      </c>
      <c r="B1133" t="s">
        <v>16</v>
      </c>
      <c r="C1133" t="s">
        <v>17</v>
      </c>
      <c r="D1133">
        <v>35438000</v>
      </c>
      <c r="E1133">
        <v>35438999</v>
      </c>
      <c r="F1133" t="s">
        <v>955</v>
      </c>
      <c r="G1133" t="str">
        <f t="shared" si="34"/>
        <v>MGI II</v>
      </c>
      <c r="H1133" t="s">
        <v>851</v>
      </c>
      <c r="I1133" t="s">
        <v>20</v>
      </c>
      <c r="J1133" t="s">
        <v>64</v>
      </c>
      <c r="K1133" s="6">
        <v>0.03</v>
      </c>
      <c r="L1133" s="7">
        <f t="shared" si="35"/>
        <v>2E-3</v>
      </c>
      <c r="M1133" s="7">
        <v>3.0000000000000001E-3</v>
      </c>
      <c r="N1133">
        <v>8</v>
      </c>
      <c r="O1133" s="8">
        <v>17.822306426995311</v>
      </c>
      <c r="P1133" s="9">
        <v>17.822306426995311</v>
      </c>
      <c r="Q1133" s="9">
        <v>17.822306426995311</v>
      </c>
      <c r="R1133" s="9">
        <v>18.237663306594719</v>
      </c>
      <c r="S1133" s="9">
        <v>18.48712920931133</v>
      </c>
      <c r="T1133" s="9">
        <v>19.201553596969877</v>
      </c>
      <c r="U1133" s="9">
        <v>20.562345482855957</v>
      </c>
      <c r="V1133" s="9">
        <v>20.562345482855957</v>
      </c>
      <c r="W1133" s="9">
        <v>20.562345482855957</v>
      </c>
      <c r="X1133" s="9">
        <v>22.391977691000818</v>
      </c>
      <c r="Y1133" s="9">
        <v>22.391977691000818</v>
      </c>
      <c r="Z1133" s="9">
        <v>24.28858708803979</v>
      </c>
      <c r="AA1133" s="9">
        <v>24.28858708803979</v>
      </c>
      <c r="AB1133" s="9">
        <v>25.117335532005217</v>
      </c>
      <c r="AC1133" s="9">
        <v>25.117335532005217</v>
      </c>
      <c r="AD1133" s="9">
        <v>29.039116491286865</v>
      </c>
      <c r="AE1133" s="9">
        <v>31.219251037281825</v>
      </c>
      <c r="AF1133" s="9">
        <v>33.487682081707895</v>
      </c>
      <c r="AG1133" s="9">
        <v>33.487682081707895</v>
      </c>
      <c r="AH1133" s="9">
        <v>36.427668170967245</v>
      </c>
      <c r="AI1133" s="9">
        <v>38.74455996597662</v>
      </c>
      <c r="AJ1133" s="9">
        <v>3.0428788910505911</v>
      </c>
    </row>
    <row r="1134" spans="1:36" x14ac:dyDescent="0.25">
      <c r="A1134" t="s">
        <v>5411</v>
      </c>
      <c r="B1134" t="s">
        <v>16</v>
      </c>
      <c r="C1134" t="s">
        <v>17</v>
      </c>
      <c r="D1134">
        <v>35439000</v>
      </c>
      <c r="E1134">
        <v>35439999</v>
      </c>
      <c r="F1134" t="s">
        <v>956</v>
      </c>
      <c r="G1134" t="str">
        <f t="shared" si="34"/>
        <v>MGI II</v>
      </c>
      <c r="H1134" t="s">
        <v>851</v>
      </c>
      <c r="I1134" t="s">
        <v>20</v>
      </c>
      <c r="J1134" t="s">
        <v>64</v>
      </c>
      <c r="K1134" s="6">
        <v>0.03</v>
      </c>
      <c r="L1134" s="7">
        <f t="shared" si="35"/>
        <v>2E-3</v>
      </c>
      <c r="M1134" s="7">
        <v>3.0000000000000001E-3</v>
      </c>
      <c r="N1134">
        <v>8</v>
      </c>
      <c r="O1134" s="8">
        <v>17.822306426995311</v>
      </c>
      <c r="P1134" s="9">
        <v>17.822306426995311</v>
      </c>
      <c r="Q1134" s="9">
        <v>17.822306426995311</v>
      </c>
      <c r="R1134" s="9">
        <v>18.237663306594719</v>
      </c>
      <c r="S1134" s="9">
        <v>18.48712920931133</v>
      </c>
      <c r="T1134" s="9">
        <v>19.201553596969877</v>
      </c>
      <c r="U1134" s="9">
        <v>20.562345482855957</v>
      </c>
      <c r="V1134" s="9">
        <v>20.562345482855957</v>
      </c>
      <c r="W1134" s="9">
        <v>20.562345482855957</v>
      </c>
      <c r="X1134" s="9">
        <v>22.391977691000818</v>
      </c>
      <c r="Y1134" s="9">
        <v>22.391977691000818</v>
      </c>
      <c r="Z1134" s="9">
        <v>24.28858708803979</v>
      </c>
      <c r="AA1134" s="9">
        <v>24.28858708803979</v>
      </c>
      <c r="AB1134" s="9">
        <v>25.117335532005217</v>
      </c>
      <c r="AC1134" s="9">
        <v>25.117335532005217</v>
      </c>
      <c r="AD1134" s="9">
        <v>29.039116491286865</v>
      </c>
      <c r="AE1134" s="9">
        <v>31.219251037281825</v>
      </c>
      <c r="AF1134" s="9">
        <v>33.487682081707895</v>
      </c>
      <c r="AG1134" s="9">
        <v>33.487682081707895</v>
      </c>
      <c r="AH1134" s="9">
        <v>36.427668170967245</v>
      </c>
      <c r="AI1134" s="9">
        <v>38.74455996597662</v>
      </c>
      <c r="AJ1134" s="9">
        <v>3.0428788910505911</v>
      </c>
    </row>
    <row r="1135" spans="1:36" x14ac:dyDescent="0.25">
      <c r="A1135" t="s">
        <v>5411</v>
      </c>
      <c r="B1135" t="s">
        <v>16</v>
      </c>
      <c r="C1135" t="s">
        <v>17</v>
      </c>
      <c r="D1135">
        <v>35440000</v>
      </c>
      <c r="E1135">
        <v>35440999</v>
      </c>
      <c r="F1135" t="s">
        <v>957</v>
      </c>
      <c r="G1135" t="str">
        <f t="shared" si="34"/>
        <v>MGI II</v>
      </c>
      <c r="H1135" t="s">
        <v>851</v>
      </c>
      <c r="I1135" t="s">
        <v>20</v>
      </c>
      <c r="J1135" t="s">
        <v>64</v>
      </c>
      <c r="K1135" s="6">
        <v>0.03</v>
      </c>
      <c r="L1135" s="7">
        <f t="shared" si="35"/>
        <v>2E-3</v>
      </c>
      <c r="M1135" s="7">
        <v>3.0000000000000001E-3</v>
      </c>
      <c r="N1135">
        <v>4</v>
      </c>
      <c r="O1135" s="8">
        <v>17.822306426995311</v>
      </c>
      <c r="P1135" s="9">
        <v>17.822306426995311</v>
      </c>
      <c r="Q1135" s="9">
        <v>17.822306426995311</v>
      </c>
      <c r="R1135" s="9">
        <v>18.237663306594719</v>
      </c>
      <c r="S1135" s="9">
        <v>18.48712920931133</v>
      </c>
      <c r="T1135" s="9">
        <v>19.201553596969877</v>
      </c>
      <c r="U1135" s="9">
        <v>20.562345482855957</v>
      </c>
      <c r="V1135" s="9">
        <v>20.562345482855957</v>
      </c>
      <c r="W1135" s="9">
        <v>20.562345482855957</v>
      </c>
      <c r="X1135" s="9">
        <v>22.391977691000818</v>
      </c>
      <c r="Y1135" s="9">
        <v>22.391977691000818</v>
      </c>
      <c r="Z1135" s="9">
        <v>24.28858708803979</v>
      </c>
      <c r="AA1135" s="9">
        <v>24.28858708803979</v>
      </c>
      <c r="AB1135" s="9">
        <v>25.117335532005217</v>
      </c>
      <c r="AC1135" s="9">
        <v>25.117335532005217</v>
      </c>
      <c r="AD1135" s="9">
        <v>29.039116491286865</v>
      </c>
      <c r="AE1135" s="9">
        <v>31.219251037281825</v>
      </c>
      <c r="AF1135" s="9">
        <v>33.487682081707895</v>
      </c>
      <c r="AG1135" s="9">
        <v>33.487682081707895</v>
      </c>
      <c r="AH1135" s="9">
        <v>36.427668170967245</v>
      </c>
      <c r="AI1135" s="9">
        <v>38.74455996597662</v>
      </c>
      <c r="AJ1135" s="9">
        <v>3.0428788910505911</v>
      </c>
    </row>
    <row r="1136" spans="1:36" x14ac:dyDescent="0.25">
      <c r="A1136" t="s">
        <v>5411</v>
      </c>
      <c r="B1136" t="s">
        <v>16</v>
      </c>
      <c r="C1136" t="s">
        <v>17</v>
      </c>
      <c r="D1136">
        <v>35441000</v>
      </c>
      <c r="E1136">
        <v>35441999</v>
      </c>
      <c r="F1136" t="s">
        <v>958</v>
      </c>
      <c r="G1136" t="str">
        <f t="shared" si="34"/>
        <v>MGI II</v>
      </c>
      <c r="H1136" t="s">
        <v>851</v>
      </c>
      <c r="I1136" t="s">
        <v>20</v>
      </c>
      <c r="J1136" t="s">
        <v>64</v>
      </c>
      <c r="K1136" s="6">
        <v>0.03</v>
      </c>
      <c r="L1136" s="7">
        <f t="shared" si="35"/>
        <v>2E-3</v>
      </c>
      <c r="M1136" s="7">
        <v>3.0000000000000001E-3</v>
      </c>
      <c r="N1136">
        <v>3</v>
      </c>
      <c r="O1136" s="8">
        <v>17.822306426995311</v>
      </c>
      <c r="P1136" s="9">
        <v>17.822306426995311</v>
      </c>
      <c r="Q1136" s="9">
        <v>17.822306426995311</v>
      </c>
      <c r="R1136" s="9">
        <v>18.237663306594719</v>
      </c>
      <c r="S1136" s="9">
        <v>18.48712920931133</v>
      </c>
      <c r="T1136" s="9">
        <v>19.201553596969877</v>
      </c>
      <c r="U1136" s="9">
        <v>20.562345482855957</v>
      </c>
      <c r="V1136" s="9">
        <v>20.562345482855957</v>
      </c>
      <c r="W1136" s="9">
        <v>20.562345482855957</v>
      </c>
      <c r="X1136" s="9">
        <v>22.391977691000818</v>
      </c>
      <c r="Y1136" s="9">
        <v>22.391977691000818</v>
      </c>
      <c r="Z1136" s="9">
        <v>24.28858708803979</v>
      </c>
      <c r="AA1136" s="9">
        <v>24.28858708803979</v>
      </c>
      <c r="AB1136" s="9">
        <v>25.117335532005217</v>
      </c>
      <c r="AC1136" s="9">
        <v>25.117335532005217</v>
      </c>
      <c r="AD1136" s="9">
        <v>29.039116491286865</v>
      </c>
      <c r="AE1136" s="9">
        <v>31.219251037281825</v>
      </c>
      <c r="AF1136" s="9">
        <v>33.487682081707895</v>
      </c>
      <c r="AG1136" s="9">
        <v>33.487682081707895</v>
      </c>
      <c r="AH1136" s="9">
        <v>36.427668170967245</v>
      </c>
      <c r="AI1136" s="9">
        <v>38.74455996597662</v>
      </c>
      <c r="AJ1136" s="9">
        <v>3.0428788910505911</v>
      </c>
    </row>
    <row r="1137" spans="1:36" x14ac:dyDescent="0.25">
      <c r="A1137" t="s">
        <v>5411</v>
      </c>
      <c r="B1137" t="s">
        <v>16</v>
      </c>
      <c r="C1137" t="s">
        <v>17</v>
      </c>
      <c r="D1137">
        <v>35442000</v>
      </c>
      <c r="E1137">
        <v>35443999</v>
      </c>
      <c r="F1137" t="s">
        <v>959</v>
      </c>
      <c r="G1137" t="str">
        <f t="shared" si="34"/>
        <v>MGI II</v>
      </c>
      <c r="H1137" t="s">
        <v>851</v>
      </c>
      <c r="I1137" t="s">
        <v>20</v>
      </c>
      <c r="J1137" t="s">
        <v>64</v>
      </c>
      <c r="K1137" s="6">
        <v>0.03</v>
      </c>
      <c r="L1137" s="7">
        <f t="shared" si="35"/>
        <v>2E-3</v>
      </c>
      <c r="M1137" s="7">
        <v>3.0000000000000001E-3</v>
      </c>
      <c r="N1137">
        <v>8</v>
      </c>
      <c r="O1137" s="8">
        <v>17.822306426995311</v>
      </c>
      <c r="P1137" s="9">
        <v>17.822306426995311</v>
      </c>
      <c r="Q1137" s="9">
        <v>17.822306426995311</v>
      </c>
      <c r="R1137" s="9">
        <v>18.237663306594719</v>
      </c>
      <c r="S1137" s="9">
        <v>18.48712920931133</v>
      </c>
      <c r="T1137" s="9">
        <v>19.201553596969877</v>
      </c>
      <c r="U1137" s="9">
        <v>20.562345482855957</v>
      </c>
      <c r="V1137" s="9">
        <v>20.562345482855957</v>
      </c>
      <c r="W1137" s="9">
        <v>20.562345482855957</v>
      </c>
      <c r="X1137" s="9">
        <v>22.391977691000818</v>
      </c>
      <c r="Y1137" s="9">
        <v>22.391977691000818</v>
      </c>
      <c r="Z1137" s="9">
        <v>24.28858708803979</v>
      </c>
      <c r="AA1137" s="9">
        <v>24.28858708803979</v>
      </c>
      <c r="AB1137" s="9">
        <v>25.117335532005217</v>
      </c>
      <c r="AC1137" s="9">
        <v>25.117335532005217</v>
      </c>
      <c r="AD1137" s="9">
        <v>29.039116491286865</v>
      </c>
      <c r="AE1137" s="9">
        <v>31.219251037281825</v>
      </c>
      <c r="AF1137" s="9">
        <v>33.487682081707895</v>
      </c>
      <c r="AG1137" s="9">
        <v>33.487682081707895</v>
      </c>
      <c r="AH1137" s="9">
        <v>36.427668170967245</v>
      </c>
      <c r="AI1137" s="9">
        <v>38.74455996597662</v>
      </c>
      <c r="AJ1137" s="9">
        <v>3.0428788910505911</v>
      </c>
    </row>
    <row r="1138" spans="1:36" x14ac:dyDescent="0.25">
      <c r="A1138" t="s">
        <v>5411</v>
      </c>
      <c r="B1138" t="s">
        <v>16</v>
      </c>
      <c r="C1138" t="s">
        <v>17</v>
      </c>
      <c r="D1138">
        <v>35444000</v>
      </c>
      <c r="E1138">
        <v>35446999</v>
      </c>
      <c r="F1138" t="s">
        <v>960</v>
      </c>
      <c r="G1138" t="str">
        <f t="shared" si="34"/>
        <v>MGI II</v>
      </c>
      <c r="H1138" t="s">
        <v>851</v>
      </c>
      <c r="I1138" t="s">
        <v>20</v>
      </c>
      <c r="J1138" t="s">
        <v>64</v>
      </c>
      <c r="K1138" s="6">
        <v>0.03</v>
      </c>
      <c r="L1138" s="7">
        <f t="shared" si="35"/>
        <v>2E-3</v>
      </c>
      <c r="M1138" s="7">
        <v>3.0000000000000001E-3</v>
      </c>
      <c r="N1138">
        <v>8</v>
      </c>
      <c r="O1138" s="8">
        <v>17.822306426995311</v>
      </c>
      <c r="P1138" s="9">
        <v>17.822306426995311</v>
      </c>
      <c r="Q1138" s="9">
        <v>17.822306426995311</v>
      </c>
      <c r="R1138" s="9">
        <v>18.237663306594719</v>
      </c>
      <c r="S1138" s="9">
        <v>18.48712920931133</v>
      </c>
      <c r="T1138" s="9">
        <v>19.201553596969877</v>
      </c>
      <c r="U1138" s="9">
        <v>20.562345482855957</v>
      </c>
      <c r="V1138" s="9">
        <v>20.562345482855957</v>
      </c>
      <c r="W1138" s="9">
        <v>20.562345482855957</v>
      </c>
      <c r="X1138" s="9">
        <v>22.391977691000818</v>
      </c>
      <c r="Y1138" s="9">
        <v>22.391977691000818</v>
      </c>
      <c r="Z1138" s="9">
        <v>24.28858708803979</v>
      </c>
      <c r="AA1138" s="9">
        <v>24.28858708803979</v>
      </c>
      <c r="AB1138" s="9">
        <v>25.117335532005217</v>
      </c>
      <c r="AC1138" s="9">
        <v>25.117335532005217</v>
      </c>
      <c r="AD1138" s="9">
        <v>29.039116491286865</v>
      </c>
      <c r="AE1138" s="9">
        <v>31.219251037281825</v>
      </c>
      <c r="AF1138" s="9">
        <v>33.487682081707895</v>
      </c>
      <c r="AG1138" s="9">
        <v>33.487682081707895</v>
      </c>
      <c r="AH1138" s="9">
        <v>36.427668170967245</v>
      </c>
      <c r="AI1138" s="9">
        <v>38.74455996597662</v>
      </c>
      <c r="AJ1138" s="9">
        <v>3.0428788910505911</v>
      </c>
    </row>
    <row r="1139" spans="1:36" x14ac:dyDescent="0.25">
      <c r="A1139" t="s">
        <v>5411</v>
      </c>
      <c r="B1139" t="s">
        <v>16</v>
      </c>
      <c r="C1139" t="s">
        <v>17</v>
      </c>
      <c r="D1139">
        <v>35447000</v>
      </c>
      <c r="E1139">
        <v>35449999</v>
      </c>
      <c r="F1139" t="s">
        <v>961</v>
      </c>
      <c r="G1139" t="str">
        <f t="shared" si="34"/>
        <v>MGI II</v>
      </c>
      <c r="H1139" t="s">
        <v>851</v>
      </c>
      <c r="I1139" t="s">
        <v>20</v>
      </c>
      <c r="J1139" t="s">
        <v>64</v>
      </c>
      <c r="K1139" s="6">
        <v>0.03</v>
      </c>
      <c r="L1139" s="7">
        <f t="shared" si="35"/>
        <v>2E-3</v>
      </c>
      <c r="M1139" s="7">
        <v>3.0000000000000001E-3</v>
      </c>
      <c r="N1139">
        <v>8</v>
      </c>
      <c r="O1139" s="8">
        <v>17.822306426995311</v>
      </c>
      <c r="P1139" s="9">
        <v>17.822306426995311</v>
      </c>
      <c r="Q1139" s="9">
        <v>17.822306426995311</v>
      </c>
      <c r="R1139" s="9">
        <v>18.237663306594719</v>
      </c>
      <c r="S1139" s="9">
        <v>18.48712920931133</v>
      </c>
      <c r="T1139" s="9">
        <v>19.201553596969877</v>
      </c>
      <c r="U1139" s="9">
        <v>20.562345482855957</v>
      </c>
      <c r="V1139" s="9">
        <v>20.562345482855957</v>
      </c>
      <c r="W1139" s="9">
        <v>20.562345482855957</v>
      </c>
      <c r="X1139" s="9">
        <v>22.391977691000818</v>
      </c>
      <c r="Y1139" s="9">
        <v>22.391977691000818</v>
      </c>
      <c r="Z1139" s="9">
        <v>24.28858708803979</v>
      </c>
      <c r="AA1139" s="9">
        <v>24.28858708803979</v>
      </c>
      <c r="AB1139" s="9">
        <v>25.117335532005217</v>
      </c>
      <c r="AC1139" s="9">
        <v>25.117335532005217</v>
      </c>
      <c r="AD1139" s="9">
        <v>29.039116491286865</v>
      </c>
      <c r="AE1139" s="9">
        <v>31.219251037281825</v>
      </c>
      <c r="AF1139" s="9">
        <v>33.487682081707895</v>
      </c>
      <c r="AG1139" s="9">
        <v>33.487682081707895</v>
      </c>
      <c r="AH1139" s="9">
        <v>36.427668170967245</v>
      </c>
      <c r="AI1139" s="9">
        <v>38.74455996597662</v>
      </c>
      <c r="AJ1139" s="9">
        <v>3.0428788910505911</v>
      </c>
    </row>
    <row r="1140" spans="1:36" x14ac:dyDescent="0.25">
      <c r="A1140" t="s">
        <v>5411</v>
      </c>
      <c r="B1140" t="s">
        <v>16</v>
      </c>
      <c r="C1140" t="s">
        <v>17</v>
      </c>
      <c r="D1140">
        <v>35450000</v>
      </c>
      <c r="E1140">
        <v>35459999</v>
      </c>
      <c r="F1140" t="s">
        <v>962</v>
      </c>
      <c r="G1140" t="str">
        <f t="shared" si="34"/>
        <v>MGI</v>
      </c>
      <c r="H1140" t="s">
        <v>851</v>
      </c>
      <c r="I1140" t="s">
        <v>20</v>
      </c>
      <c r="J1140" t="s">
        <v>62</v>
      </c>
      <c r="K1140" s="6">
        <v>0.03</v>
      </c>
      <c r="L1140" s="7">
        <f t="shared" si="35"/>
        <v>2E-3</v>
      </c>
      <c r="M1140" s="7">
        <v>3.0000000000000001E-3</v>
      </c>
      <c r="N1140">
        <v>7</v>
      </c>
      <c r="O1140" s="8">
        <v>13.880385281502075</v>
      </c>
      <c r="P1140" s="9">
        <v>13.880385281502075</v>
      </c>
      <c r="Q1140" s="9">
        <v>13.880385281502075</v>
      </c>
      <c r="R1140" s="9">
        <v>14.045989937445718</v>
      </c>
      <c r="S1140" s="9">
        <v>14.060876315369912</v>
      </c>
      <c r="T1140" s="9">
        <v>15.090338571208333</v>
      </c>
      <c r="U1140" s="9">
        <v>16.025407313902726</v>
      </c>
      <c r="V1140" s="9">
        <v>16.025407313902726</v>
      </c>
      <c r="W1140" s="9">
        <v>16.025407313902726</v>
      </c>
      <c r="X1140" s="9">
        <v>18.013895748167766</v>
      </c>
      <c r="Y1140" s="9">
        <v>18.013895748167766</v>
      </c>
      <c r="Z1140" s="9">
        <v>20.142868501532355</v>
      </c>
      <c r="AA1140" s="9">
        <v>20.142868501532355</v>
      </c>
      <c r="AB1140" s="9">
        <v>22.456349831314476</v>
      </c>
      <c r="AC1140" s="9">
        <v>22.456349831314476</v>
      </c>
      <c r="AD1140" s="9">
        <v>24.87984091164185</v>
      </c>
      <c r="AE1140" s="9">
        <v>27.427492221952345</v>
      </c>
      <c r="AF1140" s="9">
        <v>33.194804868730657</v>
      </c>
      <c r="AG1140" s="9">
        <v>33.194804868730657</v>
      </c>
      <c r="AH1140" s="9">
        <v>35.957808835828068</v>
      </c>
      <c r="AI1140" s="9">
        <v>38.646304092692077</v>
      </c>
      <c r="AJ1140" s="9">
        <v>3.0428788910505911</v>
      </c>
    </row>
    <row r="1141" spans="1:36" x14ac:dyDescent="0.25">
      <c r="A1141" t="s">
        <v>5411</v>
      </c>
      <c r="B1141" t="s">
        <v>16</v>
      </c>
      <c r="C1141" t="s">
        <v>17</v>
      </c>
      <c r="D1141">
        <v>35460000</v>
      </c>
      <c r="E1141">
        <v>35469999</v>
      </c>
      <c r="F1141" t="s">
        <v>963</v>
      </c>
      <c r="G1141" t="str">
        <f t="shared" si="34"/>
        <v>MGI</v>
      </c>
      <c r="H1141" t="s">
        <v>851</v>
      </c>
      <c r="I1141" t="s">
        <v>20</v>
      </c>
      <c r="J1141" t="s">
        <v>62</v>
      </c>
      <c r="K1141" s="6">
        <v>0.03</v>
      </c>
      <c r="L1141" s="7">
        <f t="shared" si="35"/>
        <v>2E-3</v>
      </c>
      <c r="M1141" s="7">
        <v>3.0000000000000001E-3</v>
      </c>
      <c r="N1141">
        <v>7</v>
      </c>
      <c r="O1141" s="8">
        <v>13.880385281502075</v>
      </c>
      <c r="P1141" s="9">
        <v>13.880385281502075</v>
      </c>
      <c r="Q1141" s="9">
        <v>13.880385281502075</v>
      </c>
      <c r="R1141" s="9">
        <v>14.045989937445718</v>
      </c>
      <c r="S1141" s="9">
        <v>14.060876315369912</v>
      </c>
      <c r="T1141" s="9">
        <v>15.090338571208333</v>
      </c>
      <c r="U1141" s="9">
        <v>16.025407313902726</v>
      </c>
      <c r="V1141" s="9">
        <v>16.025407313902726</v>
      </c>
      <c r="W1141" s="9">
        <v>16.025407313902726</v>
      </c>
      <c r="X1141" s="9">
        <v>18.013895748167766</v>
      </c>
      <c r="Y1141" s="9">
        <v>18.013895748167766</v>
      </c>
      <c r="Z1141" s="9">
        <v>20.142868501532355</v>
      </c>
      <c r="AA1141" s="9">
        <v>20.142868501532355</v>
      </c>
      <c r="AB1141" s="9">
        <v>22.456349831314476</v>
      </c>
      <c r="AC1141" s="9">
        <v>22.456349831314476</v>
      </c>
      <c r="AD1141" s="9">
        <v>24.87984091164185</v>
      </c>
      <c r="AE1141" s="9">
        <v>27.427492221952345</v>
      </c>
      <c r="AF1141" s="9">
        <v>33.194804868730657</v>
      </c>
      <c r="AG1141" s="9">
        <v>33.194804868730657</v>
      </c>
      <c r="AH1141" s="9">
        <v>35.957808835828068</v>
      </c>
      <c r="AI1141" s="9">
        <v>38.646304092692077</v>
      </c>
      <c r="AJ1141" s="9">
        <v>3.0428788910505911</v>
      </c>
    </row>
    <row r="1142" spans="1:36" x14ac:dyDescent="0.25">
      <c r="A1142" t="s">
        <v>5411</v>
      </c>
      <c r="B1142" t="s">
        <v>16</v>
      </c>
      <c r="C1142" t="s">
        <v>17</v>
      </c>
      <c r="D1142">
        <v>35470000</v>
      </c>
      <c r="E1142">
        <v>35472999</v>
      </c>
      <c r="F1142" t="s">
        <v>964</v>
      </c>
      <c r="G1142" t="str">
        <f t="shared" si="34"/>
        <v>MGI II</v>
      </c>
      <c r="H1142" t="s">
        <v>851</v>
      </c>
      <c r="I1142" t="s">
        <v>20</v>
      </c>
      <c r="J1142" t="s">
        <v>64</v>
      </c>
      <c r="K1142" s="6">
        <v>0.03</v>
      </c>
      <c r="L1142" s="7">
        <f t="shared" si="35"/>
        <v>2E-3</v>
      </c>
      <c r="M1142" s="7">
        <v>3.0000000000000001E-3</v>
      </c>
      <c r="N1142">
        <v>7</v>
      </c>
      <c r="O1142" s="8">
        <v>17.822306426995311</v>
      </c>
      <c r="P1142" s="9">
        <v>17.822306426995311</v>
      </c>
      <c r="Q1142" s="9">
        <v>17.822306426995311</v>
      </c>
      <c r="R1142" s="9">
        <v>18.237663306594719</v>
      </c>
      <c r="S1142" s="9">
        <v>18.48712920931133</v>
      </c>
      <c r="T1142" s="9">
        <v>19.201553596969877</v>
      </c>
      <c r="U1142" s="9">
        <v>20.562345482855957</v>
      </c>
      <c r="V1142" s="9">
        <v>20.562345482855957</v>
      </c>
      <c r="W1142" s="9">
        <v>20.562345482855957</v>
      </c>
      <c r="X1142" s="9">
        <v>22.391977691000818</v>
      </c>
      <c r="Y1142" s="9">
        <v>22.391977691000818</v>
      </c>
      <c r="Z1142" s="9">
        <v>24.28858708803979</v>
      </c>
      <c r="AA1142" s="9">
        <v>24.28858708803979</v>
      </c>
      <c r="AB1142" s="9">
        <v>25.117335532005217</v>
      </c>
      <c r="AC1142" s="9">
        <v>25.117335532005217</v>
      </c>
      <c r="AD1142" s="9">
        <v>29.039116491286865</v>
      </c>
      <c r="AE1142" s="9">
        <v>31.219251037281825</v>
      </c>
      <c r="AF1142" s="9">
        <v>33.487682081707895</v>
      </c>
      <c r="AG1142" s="9">
        <v>33.487682081707895</v>
      </c>
      <c r="AH1142" s="9">
        <v>36.427668170967245</v>
      </c>
      <c r="AI1142" s="9">
        <v>38.74455996597662</v>
      </c>
      <c r="AJ1142" s="9">
        <v>3.0428788910505911</v>
      </c>
    </row>
    <row r="1143" spans="1:36" x14ac:dyDescent="0.25">
      <c r="A1143" t="s">
        <v>5411</v>
      </c>
      <c r="B1143" t="s">
        <v>16</v>
      </c>
      <c r="C1143" t="s">
        <v>17</v>
      </c>
      <c r="D1143">
        <v>35473000</v>
      </c>
      <c r="E1143">
        <v>35475999</v>
      </c>
      <c r="F1143" t="s">
        <v>965</v>
      </c>
      <c r="G1143" t="str">
        <f t="shared" si="34"/>
        <v>MGI II</v>
      </c>
      <c r="H1143" t="s">
        <v>851</v>
      </c>
      <c r="I1143" t="s">
        <v>20</v>
      </c>
      <c r="J1143" t="s">
        <v>64</v>
      </c>
      <c r="K1143" s="6">
        <v>0.03</v>
      </c>
      <c r="L1143" s="7">
        <f t="shared" si="35"/>
        <v>2E-3</v>
      </c>
      <c r="M1143" s="7">
        <v>3.0000000000000001E-3</v>
      </c>
      <c r="N1143">
        <v>8</v>
      </c>
      <c r="O1143" s="8">
        <v>17.822306426995311</v>
      </c>
      <c r="P1143" s="9">
        <v>17.822306426995311</v>
      </c>
      <c r="Q1143" s="9">
        <v>17.822306426995311</v>
      </c>
      <c r="R1143" s="9">
        <v>18.237663306594719</v>
      </c>
      <c r="S1143" s="9">
        <v>18.48712920931133</v>
      </c>
      <c r="T1143" s="9">
        <v>19.201553596969877</v>
      </c>
      <c r="U1143" s="9">
        <v>20.562345482855957</v>
      </c>
      <c r="V1143" s="9">
        <v>20.562345482855957</v>
      </c>
      <c r="W1143" s="9">
        <v>20.562345482855957</v>
      </c>
      <c r="X1143" s="9">
        <v>22.391977691000818</v>
      </c>
      <c r="Y1143" s="9">
        <v>22.391977691000818</v>
      </c>
      <c r="Z1143" s="9">
        <v>24.28858708803979</v>
      </c>
      <c r="AA1143" s="9">
        <v>24.28858708803979</v>
      </c>
      <c r="AB1143" s="9">
        <v>25.117335532005217</v>
      </c>
      <c r="AC1143" s="9">
        <v>25.117335532005217</v>
      </c>
      <c r="AD1143" s="9">
        <v>29.039116491286865</v>
      </c>
      <c r="AE1143" s="9">
        <v>31.219251037281825</v>
      </c>
      <c r="AF1143" s="9">
        <v>33.487682081707895</v>
      </c>
      <c r="AG1143" s="9">
        <v>33.487682081707895</v>
      </c>
      <c r="AH1143" s="9">
        <v>36.427668170967245</v>
      </c>
      <c r="AI1143" s="9">
        <v>38.74455996597662</v>
      </c>
      <c r="AJ1143" s="9">
        <v>3.0428788910505911</v>
      </c>
    </row>
    <row r="1144" spans="1:36" x14ac:dyDescent="0.25">
      <c r="A1144" t="s">
        <v>5411</v>
      </c>
      <c r="B1144" t="s">
        <v>16</v>
      </c>
      <c r="C1144" t="s">
        <v>17</v>
      </c>
      <c r="D1144">
        <v>35476000</v>
      </c>
      <c r="E1144">
        <v>35477999</v>
      </c>
      <c r="F1144" t="s">
        <v>966</v>
      </c>
      <c r="G1144" t="str">
        <f t="shared" si="34"/>
        <v>MGI II</v>
      </c>
      <c r="H1144" t="s">
        <v>851</v>
      </c>
      <c r="I1144" t="s">
        <v>20</v>
      </c>
      <c r="J1144" t="s">
        <v>64</v>
      </c>
      <c r="K1144" s="6">
        <v>0.03</v>
      </c>
      <c r="L1144" s="7">
        <f t="shared" si="35"/>
        <v>2E-3</v>
      </c>
      <c r="M1144" s="7">
        <v>3.0000000000000001E-3</v>
      </c>
      <c r="N1144">
        <v>7</v>
      </c>
      <c r="O1144" s="8">
        <v>17.822306426995311</v>
      </c>
      <c r="P1144" s="9">
        <v>17.822306426995311</v>
      </c>
      <c r="Q1144" s="9">
        <v>17.822306426995311</v>
      </c>
      <c r="R1144" s="9">
        <v>18.237663306594719</v>
      </c>
      <c r="S1144" s="9">
        <v>18.48712920931133</v>
      </c>
      <c r="T1144" s="9">
        <v>19.201553596969877</v>
      </c>
      <c r="U1144" s="9">
        <v>20.562345482855957</v>
      </c>
      <c r="V1144" s="9">
        <v>20.562345482855957</v>
      </c>
      <c r="W1144" s="9">
        <v>20.562345482855957</v>
      </c>
      <c r="X1144" s="9">
        <v>22.391977691000818</v>
      </c>
      <c r="Y1144" s="9">
        <v>22.391977691000818</v>
      </c>
      <c r="Z1144" s="9">
        <v>24.28858708803979</v>
      </c>
      <c r="AA1144" s="9">
        <v>24.28858708803979</v>
      </c>
      <c r="AB1144" s="9">
        <v>25.117335532005217</v>
      </c>
      <c r="AC1144" s="9">
        <v>25.117335532005217</v>
      </c>
      <c r="AD1144" s="9">
        <v>29.039116491286865</v>
      </c>
      <c r="AE1144" s="9">
        <v>31.219251037281825</v>
      </c>
      <c r="AF1144" s="9">
        <v>33.487682081707895</v>
      </c>
      <c r="AG1144" s="9">
        <v>33.487682081707895</v>
      </c>
      <c r="AH1144" s="9">
        <v>36.427668170967245</v>
      </c>
      <c r="AI1144" s="9">
        <v>38.74455996597662</v>
      </c>
      <c r="AJ1144" s="9">
        <v>3.0428788910505911</v>
      </c>
    </row>
    <row r="1145" spans="1:36" x14ac:dyDescent="0.25">
      <c r="A1145" t="s">
        <v>5411</v>
      </c>
      <c r="B1145" t="s">
        <v>16</v>
      </c>
      <c r="C1145" t="s">
        <v>17</v>
      </c>
      <c r="D1145">
        <v>35478000</v>
      </c>
      <c r="E1145">
        <v>35479999</v>
      </c>
      <c r="F1145" t="s">
        <v>967</v>
      </c>
      <c r="G1145" t="str">
        <f t="shared" si="34"/>
        <v>MGI II</v>
      </c>
      <c r="H1145" t="s">
        <v>851</v>
      </c>
      <c r="I1145" t="s">
        <v>20</v>
      </c>
      <c r="J1145" t="s">
        <v>64</v>
      </c>
      <c r="K1145" s="6">
        <v>0.03</v>
      </c>
      <c r="L1145" s="7">
        <f t="shared" si="35"/>
        <v>2E-3</v>
      </c>
      <c r="M1145" s="7">
        <v>3.0000000000000001E-3</v>
      </c>
      <c r="N1145">
        <v>7</v>
      </c>
      <c r="O1145" s="8">
        <v>17.822306426995311</v>
      </c>
      <c r="P1145" s="9">
        <v>17.822306426995311</v>
      </c>
      <c r="Q1145" s="9">
        <v>17.822306426995311</v>
      </c>
      <c r="R1145" s="9">
        <v>18.237663306594719</v>
      </c>
      <c r="S1145" s="9">
        <v>18.48712920931133</v>
      </c>
      <c r="T1145" s="9">
        <v>19.201553596969877</v>
      </c>
      <c r="U1145" s="9">
        <v>20.562345482855957</v>
      </c>
      <c r="V1145" s="9">
        <v>20.562345482855957</v>
      </c>
      <c r="W1145" s="9">
        <v>20.562345482855957</v>
      </c>
      <c r="X1145" s="9">
        <v>22.391977691000818</v>
      </c>
      <c r="Y1145" s="9">
        <v>22.391977691000818</v>
      </c>
      <c r="Z1145" s="9">
        <v>24.28858708803979</v>
      </c>
      <c r="AA1145" s="9">
        <v>24.28858708803979</v>
      </c>
      <c r="AB1145" s="9">
        <v>25.117335532005217</v>
      </c>
      <c r="AC1145" s="9">
        <v>25.117335532005217</v>
      </c>
      <c r="AD1145" s="9">
        <v>29.039116491286865</v>
      </c>
      <c r="AE1145" s="9">
        <v>31.219251037281825</v>
      </c>
      <c r="AF1145" s="9">
        <v>33.487682081707895</v>
      </c>
      <c r="AG1145" s="9">
        <v>33.487682081707895</v>
      </c>
      <c r="AH1145" s="9">
        <v>36.427668170967245</v>
      </c>
      <c r="AI1145" s="9">
        <v>38.74455996597662</v>
      </c>
      <c r="AJ1145" s="9">
        <v>3.0428788910505911</v>
      </c>
    </row>
    <row r="1146" spans="1:36" x14ac:dyDescent="0.25">
      <c r="A1146" t="s">
        <v>5411</v>
      </c>
      <c r="B1146" t="s">
        <v>16</v>
      </c>
      <c r="C1146" t="s">
        <v>17</v>
      </c>
      <c r="D1146">
        <v>35480000</v>
      </c>
      <c r="E1146">
        <v>35484999</v>
      </c>
      <c r="F1146" t="s">
        <v>968</v>
      </c>
      <c r="G1146" t="str">
        <f t="shared" si="34"/>
        <v>MGI II</v>
      </c>
      <c r="H1146" t="s">
        <v>851</v>
      </c>
      <c r="I1146" t="s">
        <v>20</v>
      </c>
      <c r="J1146" t="s">
        <v>64</v>
      </c>
      <c r="K1146" s="6">
        <v>0.03</v>
      </c>
      <c r="L1146" s="7">
        <f t="shared" si="35"/>
        <v>2E-3</v>
      </c>
      <c r="M1146" s="7">
        <v>3.0000000000000001E-3</v>
      </c>
      <c r="N1146">
        <v>7</v>
      </c>
      <c r="O1146" s="8">
        <v>17.822306426995311</v>
      </c>
      <c r="P1146" s="9">
        <v>17.822306426995311</v>
      </c>
      <c r="Q1146" s="9">
        <v>17.822306426995311</v>
      </c>
      <c r="R1146" s="9">
        <v>18.237663306594719</v>
      </c>
      <c r="S1146" s="9">
        <v>18.48712920931133</v>
      </c>
      <c r="T1146" s="9">
        <v>19.201553596969877</v>
      </c>
      <c r="U1146" s="9">
        <v>20.562345482855957</v>
      </c>
      <c r="V1146" s="9">
        <v>20.562345482855957</v>
      </c>
      <c r="W1146" s="9">
        <v>20.562345482855957</v>
      </c>
      <c r="X1146" s="9">
        <v>22.391977691000818</v>
      </c>
      <c r="Y1146" s="9">
        <v>22.391977691000818</v>
      </c>
      <c r="Z1146" s="9">
        <v>24.28858708803979</v>
      </c>
      <c r="AA1146" s="9">
        <v>24.28858708803979</v>
      </c>
      <c r="AB1146" s="9">
        <v>25.117335532005217</v>
      </c>
      <c r="AC1146" s="9">
        <v>25.117335532005217</v>
      </c>
      <c r="AD1146" s="9">
        <v>29.039116491286865</v>
      </c>
      <c r="AE1146" s="9">
        <v>31.219251037281825</v>
      </c>
      <c r="AF1146" s="9">
        <v>33.487682081707895</v>
      </c>
      <c r="AG1146" s="9">
        <v>33.487682081707895</v>
      </c>
      <c r="AH1146" s="9">
        <v>36.427668170967245</v>
      </c>
      <c r="AI1146" s="9">
        <v>38.74455996597662</v>
      </c>
      <c r="AJ1146" s="9">
        <v>3.0428788910505911</v>
      </c>
    </row>
    <row r="1147" spans="1:36" x14ac:dyDescent="0.25">
      <c r="A1147" t="s">
        <v>5411</v>
      </c>
      <c r="B1147" t="s">
        <v>16</v>
      </c>
      <c r="C1147" t="s">
        <v>17</v>
      </c>
      <c r="D1147">
        <v>35485000</v>
      </c>
      <c r="E1147">
        <v>35487999</v>
      </c>
      <c r="F1147" t="s">
        <v>969</v>
      </c>
      <c r="G1147" t="str">
        <f t="shared" si="34"/>
        <v>MGI II</v>
      </c>
      <c r="H1147" t="s">
        <v>851</v>
      </c>
      <c r="I1147" t="s">
        <v>20</v>
      </c>
      <c r="J1147" t="s">
        <v>64</v>
      </c>
      <c r="K1147" s="6">
        <v>0.03</v>
      </c>
      <c r="L1147" s="7">
        <f t="shared" si="35"/>
        <v>2E-3</v>
      </c>
      <c r="M1147" s="7">
        <v>3.0000000000000001E-3</v>
      </c>
      <c r="N1147">
        <v>6</v>
      </c>
      <c r="O1147" s="8">
        <v>17.822306426995311</v>
      </c>
      <c r="P1147" s="9">
        <v>17.822306426995311</v>
      </c>
      <c r="Q1147" s="9">
        <v>17.822306426995311</v>
      </c>
      <c r="R1147" s="9">
        <v>18.237663306594719</v>
      </c>
      <c r="S1147" s="9">
        <v>18.48712920931133</v>
      </c>
      <c r="T1147" s="9">
        <v>19.201553596969877</v>
      </c>
      <c r="U1147" s="9">
        <v>20.562345482855957</v>
      </c>
      <c r="V1147" s="9">
        <v>20.562345482855957</v>
      </c>
      <c r="W1147" s="9">
        <v>20.562345482855957</v>
      </c>
      <c r="X1147" s="9">
        <v>22.391977691000818</v>
      </c>
      <c r="Y1147" s="9">
        <v>22.391977691000818</v>
      </c>
      <c r="Z1147" s="9">
        <v>24.28858708803979</v>
      </c>
      <c r="AA1147" s="9">
        <v>24.28858708803979</v>
      </c>
      <c r="AB1147" s="9">
        <v>25.117335532005217</v>
      </c>
      <c r="AC1147" s="9">
        <v>25.117335532005217</v>
      </c>
      <c r="AD1147" s="9">
        <v>29.039116491286865</v>
      </c>
      <c r="AE1147" s="9">
        <v>31.219251037281825</v>
      </c>
      <c r="AF1147" s="9">
        <v>33.487682081707895</v>
      </c>
      <c r="AG1147" s="9">
        <v>33.487682081707895</v>
      </c>
      <c r="AH1147" s="9">
        <v>36.427668170967245</v>
      </c>
      <c r="AI1147" s="9">
        <v>38.74455996597662</v>
      </c>
      <c r="AJ1147" s="9">
        <v>3.0428788910505911</v>
      </c>
    </row>
    <row r="1148" spans="1:36" x14ac:dyDescent="0.25">
      <c r="A1148" t="s">
        <v>5411</v>
      </c>
      <c r="B1148" t="s">
        <v>16</v>
      </c>
      <c r="C1148" t="s">
        <v>17</v>
      </c>
      <c r="D1148">
        <v>35488000</v>
      </c>
      <c r="E1148">
        <v>35489999</v>
      </c>
      <c r="F1148" t="s">
        <v>970</v>
      </c>
      <c r="G1148" t="str">
        <f t="shared" si="34"/>
        <v>MGI</v>
      </c>
      <c r="H1148" t="s">
        <v>851</v>
      </c>
      <c r="I1148" t="s">
        <v>20</v>
      </c>
      <c r="J1148" t="s">
        <v>62</v>
      </c>
      <c r="K1148" s="6">
        <v>0.03</v>
      </c>
      <c r="L1148" s="7">
        <f t="shared" si="35"/>
        <v>2E-3</v>
      </c>
      <c r="M1148" s="7">
        <v>3.0000000000000001E-3</v>
      </c>
      <c r="N1148">
        <v>7</v>
      </c>
      <c r="O1148" s="8">
        <v>13.880385281502075</v>
      </c>
      <c r="P1148" s="9">
        <v>13.880385281502075</v>
      </c>
      <c r="Q1148" s="9">
        <v>13.880385281502075</v>
      </c>
      <c r="R1148" s="9">
        <v>14.045989937445718</v>
      </c>
      <c r="S1148" s="9">
        <v>14.060876315369912</v>
      </c>
      <c r="T1148" s="9">
        <v>15.090338571208333</v>
      </c>
      <c r="U1148" s="9">
        <v>16.025407313902726</v>
      </c>
      <c r="V1148" s="9">
        <v>16.025407313902726</v>
      </c>
      <c r="W1148" s="9">
        <v>16.025407313902726</v>
      </c>
      <c r="X1148" s="9">
        <v>18.013895748167766</v>
      </c>
      <c r="Y1148" s="9">
        <v>18.013895748167766</v>
      </c>
      <c r="Z1148" s="9">
        <v>20.142868501532355</v>
      </c>
      <c r="AA1148" s="9">
        <v>20.142868501532355</v>
      </c>
      <c r="AB1148" s="9">
        <v>22.456349831314476</v>
      </c>
      <c r="AC1148" s="9">
        <v>22.456349831314476</v>
      </c>
      <c r="AD1148" s="9">
        <v>24.87984091164185</v>
      </c>
      <c r="AE1148" s="9">
        <v>27.427492221952345</v>
      </c>
      <c r="AF1148" s="9">
        <v>33.194804868730657</v>
      </c>
      <c r="AG1148" s="9">
        <v>33.194804868730657</v>
      </c>
      <c r="AH1148" s="9">
        <v>35.957808835828068</v>
      </c>
      <c r="AI1148" s="9">
        <v>38.646304092692077</v>
      </c>
      <c r="AJ1148" s="9">
        <v>3.0428788910505911</v>
      </c>
    </row>
    <row r="1149" spans="1:36" x14ac:dyDescent="0.25">
      <c r="A1149" t="s">
        <v>5411</v>
      </c>
      <c r="B1149" t="s">
        <v>16</v>
      </c>
      <c r="C1149" t="s">
        <v>17</v>
      </c>
      <c r="D1149">
        <v>35490000</v>
      </c>
      <c r="E1149">
        <v>35491999</v>
      </c>
      <c r="F1149" t="s">
        <v>971</v>
      </c>
      <c r="G1149" t="str">
        <f t="shared" si="34"/>
        <v>MGI II</v>
      </c>
      <c r="H1149" t="s">
        <v>851</v>
      </c>
      <c r="I1149" t="s">
        <v>20</v>
      </c>
      <c r="J1149" t="s">
        <v>64</v>
      </c>
      <c r="K1149" s="6">
        <v>0.03</v>
      </c>
      <c r="L1149" s="7">
        <f t="shared" si="35"/>
        <v>2E-3</v>
      </c>
      <c r="M1149" s="7">
        <v>3.0000000000000001E-3</v>
      </c>
      <c r="N1149">
        <v>8</v>
      </c>
      <c r="O1149" s="8">
        <v>17.822306426995311</v>
      </c>
      <c r="P1149" s="9">
        <v>17.822306426995311</v>
      </c>
      <c r="Q1149" s="9">
        <v>17.822306426995311</v>
      </c>
      <c r="R1149" s="9">
        <v>18.237663306594719</v>
      </c>
      <c r="S1149" s="9">
        <v>18.48712920931133</v>
      </c>
      <c r="T1149" s="9">
        <v>19.201553596969877</v>
      </c>
      <c r="U1149" s="9">
        <v>20.562345482855957</v>
      </c>
      <c r="V1149" s="9">
        <v>20.562345482855957</v>
      </c>
      <c r="W1149" s="9">
        <v>20.562345482855957</v>
      </c>
      <c r="X1149" s="9">
        <v>22.391977691000818</v>
      </c>
      <c r="Y1149" s="9">
        <v>22.391977691000818</v>
      </c>
      <c r="Z1149" s="9">
        <v>24.28858708803979</v>
      </c>
      <c r="AA1149" s="9">
        <v>24.28858708803979</v>
      </c>
      <c r="AB1149" s="9">
        <v>25.117335532005217</v>
      </c>
      <c r="AC1149" s="9">
        <v>25.117335532005217</v>
      </c>
      <c r="AD1149" s="9">
        <v>29.039116491286865</v>
      </c>
      <c r="AE1149" s="9">
        <v>31.219251037281825</v>
      </c>
      <c r="AF1149" s="9">
        <v>33.487682081707895</v>
      </c>
      <c r="AG1149" s="9">
        <v>33.487682081707895</v>
      </c>
      <c r="AH1149" s="9">
        <v>36.427668170967245</v>
      </c>
      <c r="AI1149" s="9">
        <v>38.74455996597662</v>
      </c>
      <c r="AJ1149" s="9">
        <v>3.0428788910505911</v>
      </c>
    </row>
    <row r="1150" spans="1:36" x14ac:dyDescent="0.25">
      <c r="A1150" t="s">
        <v>5411</v>
      </c>
      <c r="B1150" t="s">
        <v>16</v>
      </c>
      <c r="C1150" t="s">
        <v>17</v>
      </c>
      <c r="D1150">
        <v>35492000</v>
      </c>
      <c r="E1150">
        <v>35494999</v>
      </c>
      <c r="F1150" t="s">
        <v>972</v>
      </c>
      <c r="G1150" t="str">
        <f t="shared" si="34"/>
        <v>MGI II</v>
      </c>
      <c r="H1150" t="s">
        <v>851</v>
      </c>
      <c r="I1150" t="s">
        <v>20</v>
      </c>
      <c r="J1150" t="s">
        <v>64</v>
      </c>
      <c r="K1150" s="6">
        <v>0.03</v>
      </c>
      <c r="L1150" s="7">
        <f t="shared" si="35"/>
        <v>2E-3</v>
      </c>
      <c r="M1150" s="7">
        <v>3.0000000000000001E-3</v>
      </c>
      <c r="N1150">
        <v>8</v>
      </c>
      <c r="O1150" s="8">
        <v>17.822306426995311</v>
      </c>
      <c r="P1150" s="9">
        <v>17.822306426995311</v>
      </c>
      <c r="Q1150" s="9">
        <v>17.822306426995311</v>
      </c>
      <c r="R1150" s="9">
        <v>18.237663306594719</v>
      </c>
      <c r="S1150" s="9">
        <v>18.48712920931133</v>
      </c>
      <c r="T1150" s="9">
        <v>19.201553596969877</v>
      </c>
      <c r="U1150" s="9">
        <v>20.562345482855957</v>
      </c>
      <c r="V1150" s="9">
        <v>20.562345482855957</v>
      </c>
      <c r="W1150" s="9">
        <v>20.562345482855957</v>
      </c>
      <c r="X1150" s="9">
        <v>22.391977691000818</v>
      </c>
      <c r="Y1150" s="9">
        <v>22.391977691000818</v>
      </c>
      <c r="Z1150" s="9">
        <v>24.28858708803979</v>
      </c>
      <c r="AA1150" s="9">
        <v>24.28858708803979</v>
      </c>
      <c r="AB1150" s="9">
        <v>25.117335532005217</v>
      </c>
      <c r="AC1150" s="9">
        <v>25.117335532005217</v>
      </c>
      <c r="AD1150" s="9">
        <v>29.039116491286865</v>
      </c>
      <c r="AE1150" s="9">
        <v>31.219251037281825</v>
      </c>
      <c r="AF1150" s="9">
        <v>33.487682081707895</v>
      </c>
      <c r="AG1150" s="9">
        <v>33.487682081707895</v>
      </c>
      <c r="AH1150" s="9">
        <v>36.427668170967245</v>
      </c>
      <c r="AI1150" s="9">
        <v>38.74455996597662</v>
      </c>
      <c r="AJ1150" s="9">
        <v>3.0428788910505911</v>
      </c>
    </row>
    <row r="1151" spans="1:36" x14ac:dyDescent="0.25">
      <c r="A1151" t="s">
        <v>5411</v>
      </c>
      <c r="B1151" t="s">
        <v>16</v>
      </c>
      <c r="C1151" t="s">
        <v>17</v>
      </c>
      <c r="D1151">
        <v>35495000</v>
      </c>
      <c r="E1151">
        <v>35496999</v>
      </c>
      <c r="F1151" t="s">
        <v>973</v>
      </c>
      <c r="G1151" t="str">
        <f t="shared" si="34"/>
        <v>MGI II</v>
      </c>
      <c r="H1151" t="s">
        <v>851</v>
      </c>
      <c r="I1151" t="s">
        <v>20</v>
      </c>
      <c r="J1151" t="s">
        <v>64</v>
      </c>
      <c r="K1151" s="6">
        <v>0.03</v>
      </c>
      <c r="L1151" s="7">
        <f t="shared" si="35"/>
        <v>2E-3</v>
      </c>
      <c r="M1151" s="7">
        <v>3.0000000000000001E-3</v>
      </c>
      <c r="N1151">
        <v>8</v>
      </c>
      <c r="O1151" s="8">
        <v>17.822306426995311</v>
      </c>
      <c r="P1151" s="9">
        <v>17.822306426995311</v>
      </c>
      <c r="Q1151" s="9">
        <v>17.822306426995311</v>
      </c>
      <c r="R1151" s="9">
        <v>18.237663306594719</v>
      </c>
      <c r="S1151" s="9">
        <v>18.48712920931133</v>
      </c>
      <c r="T1151" s="9">
        <v>19.201553596969877</v>
      </c>
      <c r="U1151" s="9">
        <v>20.562345482855957</v>
      </c>
      <c r="V1151" s="9">
        <v>20.562345482855957</v>
      </c>
      <c r="W1151" s="9">
        <v>20.562345482855957</v>
      </c>
      <c r="X1151" s="9">
        <v>22.391977691000818</v>
      </c>
      <c r="Y1151" s="9">
        <v>22.391977691000818</v>
      </c>
      <c r="Z1151" s="9">
        <v>24.28858708803979</v>
      </c>
      <c r="AA1151" s="9">
        <v>24.28858708803979</v>
      </c>
      <c r="AB1151" s="9">
        <v>25.117335532005217</v>
      </c>
      <c r="AC1151" s="9">
        <v>25.117335532005217</v>
      </c>
      <c r="AD1151" s="9">
        <v>29.039116491286865</v>
      </c>
      <c r="AE1151" s="9">
        <v>31.219251037281825</v>
      </c>
      <c r="AF1151" s="9">
        <v>33.487682081707895</v>
      </c>
      <c r="AG1151" s="9">
        <v>33.487682081707895</v>
      </c>
      <c r="AH1151" s="9">
        <v>36.427668170967245</v>
      </c>
      <c r="AI1151" s="9">
        <v>38.74455996597662</v>
      </c>
      <c r="AJ1151" s="9">
        <v>3.0428788910505911</v>
      </c>
    </row>
    <row r="1152" spans="1:36" x14ac:dyDescent="0.25">
      <c r="A1152" t="s">
        <v>5411</v>
      </c>
      <c r="B1152" t="s">
        <v>16</v>
      </c>
      <c r="C1152" t="s">
        <v>17</v>
      </c>
      <c r="D1152">
        <v>35497000</v>
      </c>
      <c r="E1152">
        <v>35499999</v>
      </c>
      <c r="F1152" t="s">
        <v>974</v>
      </c>
      <c r="G1152" t="str">
        <f t="shared" si="34"/>
        <v>MGI II</v>
      </c>
      <c r="H1152" t="s">
        <v>851</v>
      </c>
      <c r="I1152" t="s">
        <v>20</v>
      </c>
      <c r="J1152" t="s">
        <v>64</v>
      </c>
      <c r="K1152" s="6">
        <v>0.03</v>
      </c>
      <c r="L1152" s="7">
        <f t="shared" si="35"/>
        <v>2E-3</v>
      </c>
      <c r="M1152" s="7">
        <v>3.0000000000000001E-3</v>
      </c>
      <c r="N1152">
        <v>8</v>
      </c>
      <c r="O1152" s="8">
        <v>17.822306426995311</v>
      </c>
      <c r="P1152" s="9">
        <v>17.822306426995311</v>
      </c>
      <c r="Q1152" s="9">
        <v>17.822306426995311</v>
      </c>
      <c r="R1152" s="9">
        <v>18.237663306594719</v>
      </c>
      <c r="S1152" s="9">
        <v>18.48712920931133</v>
      </c>
      <c r="T1152" s="9">
        <v>19.201553596969877</v>
      </c>
      <c r="U1152" s="9">
        <v>20.562345482855957</v>
      </c>
      <c r="V1152" s="9">
        <v>20.562345482855957</v>
      </c>
      <c r="W1152" s="9">
        <v>20.562345482855957</v>
      </c>
      <c r="X1152" s="9">
        <v>22.391977691000818</v>
      </c>
      <c r="Y1152" s="9">
        <v>22.391977691000818</v>
      </c>
      <c r="Z1152" s="9">
        <v>24.28858708803979</v>
      </c>
      <c r="AA1152" s="9">
        <v>24.28858708803979</v>
      </c>
      <c r="AB1152" s="9">
        <v>25.117335532005217</v>
      </c>
      <c r="AC1152" s="9">
        <v>25.117335532005217</v>
      </c>
      <c r="AD1152" s="9">
        <v>29.039116491286865</v>
      </c>
      <c r="AE1152" s="9">
        <v>31.219251037281825</v>
      </c>
      <c r="AF1152" s="9">
        <v>33.487682081707895</v>
      </c>
      <c r="AG1152" s="9">
        <v>33.487682081707895</v>
      </c>
      <c r="AH1152" s="9">
        <v>36.427668170967245</v>
      </c>
      <c r="AI1152" s="9">
        <v>38.74455996597662</v>
      </c>
      <c r="AJ1152" s="9">
        <v>3.0428788910505911</v>
      </c>
    </row>
    <row r="1153" spans="1:36" x14ac:dyDescent="0.25">
      <c r="A1153" t="s">
        <v>5411</v>
      </c>
      <c r="B1153" t="s">
        <v>16</v>
      </c>
      <c r="C1153" t="s">
        <v>17</v>
      </c>
      <c r="D1153">
        <v>35500000</v>
      </c>
      <c r="E1153">
        <v>35516999</v>
      </c>
      <c r="F1153" t="s">
        <v>975</v>
      </c>
      <c r="G1153" t="str">
        <f t="shared" si="34"/>
        <v>MGI</v>
      </c>
      <c r="H1153" t="s">
        <v>851</v>
      </c>
      <c r="I1153" t="s">
        <v>20</v>
      </c>
      <c r="J1153" t="s">
        <v>62</v>
      </c>
      <c r="K1153" s="6">
        <v>0.03</v>
      </c>
      <c r="L1153" s="7">
        <f t="shared" si="35"/>
        <v>2E-3</v>
      </c>
      <c r="M1153" s="7">
        <v>3.0000000000000001E-3</v>
      </c>
      <c r="N1153">
        <v>6</v>
      </c>
      <c r="O1153" s="8">
        <v>13.880385281502075</v>
      </c>
      <c r="P1153" s="9">
        <v>13.880385281502075</v>
      </c>
      <c r="Q1153" s="9">
        <v>13.880385281502075</v>
      </c>
      <c r="R1153" s="9">
        <v>14.045989937445718</v>
      </c>
      <c r="S1153" s="9">
        <v>14.060876315369912</v>
      </c>
      <c r="T1153" s="9">
        <v>15.090338571208333</v>
      </c>
      <c r="U1153" s="9">
        <v>16.025407313902726</v>
      </c>
      <c r="V1153" s="9">
        <v>16.025407313902726</v>
      </c>
      <c r="W1153" s="9">
        <v>16.025407313902726</v>
      </c>
      <c r="X1153" s="9">
        <v>18.013895748167766</v>
      </c>
      <c r="Y1153" s="9">
        <v>18.013895748167766</v>
      </c>
      <c r="Z1153" s="9">
        <v>20.142868501532355</v>
      </c>
      <c r="AA1153" s="9">
        <v>20.142868501532355</v>
      </c>
      <c r="AB1153" s="9">
        <v>22.456349831314476</v>
      </c>
      <c r="AC1153" s="9">
        <v>22.456349831314476</v>
      </c>
      <c r="AD1153" s="9">
        <v>24.87984091164185</v>
      </c>
      <c r="AE1153" s="9">
        <v>27.427492221952345</v>
      </c>
      <c r="AF1153" s="9">
        <v>33.194804868730657</v>
      </c>
      <c r="AG1153" s="9">
        <v>33.194804868730657</v>
      </c>
      <c r="AH1153" s="9">
        <v>35.957808835828068</v>
      </c>
      <c r="AI1153" s="9">
        <v>38.646304092692077</v>
      </c>
      <c r="AJ1153" s="9">
        <v>3.0428788910505911</v>
      </c>
    </row>
    <row r="1154" spans="1:36" x14ac:dyDescent="0.25">
      <c r="A1154" t="s">
        <v>5411</v>
      </c>
      <c r="B1154" t="s">
        <v>16</v>
      </c>
      <c r="C1154" t="s">
        <v>17</v>
      </c>
      <c r="D1154">
        <v>35517000</v>
      </c>
      <c r="E1154">
        <v>35529999</v>
      </c>
      <c r="F1154" t="s">
        <v>976</v>
      </c>
      <c r="G1154" t="str">
        <f t="shared" si="34"/>
        <v>MGI</v>
      </c>
      <c r="H1154" t="s">
        <v>851</v>
      </c>
      <c r="I1154" t="s">
        <v>20</v>
      </c>
      <c r="J1154" t="s">
        <v>62</v>
      </c>
      <c r="K1154" s="6">
        <v>0.03</v>
      </c>
      <c r="L1154" s="7">
        <f t="shared" si="35"/>
        <v>2E-3</v>
      </c>
      <c r="M1154" s="7">
        <v>3.0000000000000001E-3</v>
      </c>
      <c r="N1154">
        <v>7</v>
      </c>
      <c r="O1154" s="8">
        <v>13.880385281502075</v>
      </c>
      <c r="P1154" s="9">
        <v>13.880385281502075</v>
      </c>
      <c r="Q1154" s="9">
        <v>13.880385281502075</v>
      </c>
      <c r="R1154" s="9">
        <v>14.045989937445718</v>
      </c>
      <c r="S1154" s="9">
        <v>14.060876315369912</v>
      </c>
      <c r="T1154" s="9">
        <v>15.090338571208333</v>
      </c>
      <c r="U1154" s="9">
        <v>16.025407313902726</v>
      </c>
      <c r="V1154" s="9">
        <v>16.025407313902726</v>
      </c>
      <c r="W1154" s="9">
        <v>16.025407313902726</v>
      </c>
      <c r="X1154" s="9">
        <v>18.013895748167766</v>
      </c>
      <c r="Y1154" s="9">
        <v>18.013895748167766</v>
      </c>
      <c r="Z1154" s="9">
        <v>20.142868501532355</v>
      </c>
      <c r="AA1154" s="9">
        <v>20.142868501532355</v>
      </c>
      <c r="AB1154" s="9">
        <v>22.456349831314476</v>
      </c>
      <c r="AC1154" s="9">
        <v>22.456349831314476</v>
      </c>
      <c r="AD1154" s="9">
        <v>24.87984091164185</v>
      </c>
      <c r="AE1154" s="9">
        <v>27.427492221952345</v>
      </c>
      <c r="AF1154" s="9">
        <v>33.194804868730657</v>
      </c>
      <c r="AG1154" s="9">
        <v>33.194804868730657</v>
      </c>
      <c r="AH1154" s="9">
        <v>35.957808835828068</v>
      </c>
      <c r="AI1154" s="9">
        <v>38.646304092692077</v>
      </c>
      <c r="AJ1154" s="9">
        <v>3.0428788910505911</v>
      </c>
    </row>
    <row r="1155" spans="1:36" x14ac:dyDescent="0.25">
      <c r="A1155" t="s">
        <v>5411</v>
      </c>
      <c r="B1155" t="s">
        <v>16</v>
      </c>
      <c r="C1155" t="s">
        <v>17</v>
      </c>
      <c r="D1155">
        <v>35530000</v>
      </c>
      <c r="E1155">
        <v>35533999</v>
      </c>
      <c r="F1155" t="s">
        <v>977</v>
      </c>
      <c r="G1155" t="str">
        <f t="shared" si="34"/>
        <v>MGI</v>
      </c>
      <c r="H1155" t="s">
        <v>851</v>
      </c>
      <c r="I1155" t="s">
        <v>20</v>
      </c>
      <c r="J1155" t="s">
        <v>62</v>
      </c>
      <c r="K1155" s="6">
        <v>0.03</v>
      </c>
      <c r="L1155" s="7">
        <f t="shared" si="35"/>
        <v>2E-3</v>
      </c>
      <c r="M1155" s="7">
        <v>3.0000000000000001E-3</v>
      </c>
      <c r="N1155">
        <v>8</v>
      </c>
      <c r="O1155" s="8">
        <v>13.880385281502075</v>
      </c>
      <c r="P1155" s="9">
        <v>13.880385281502075</v>
      </c>
      <c r="Q1155" s="9">
        <v>13.880385281502075</v>
      </c>
      <c r="R1155" s="9">
        <v>14.045989937445718</v>
      </c>
      <c r="S1155" s="9">
        <v>14.060876315369912</v>
      </c>
      <c r="T1155" s="9">
        <v>15.090338571208333</v>
      </c>
      <c r="U1155" s="9">
        <v>16.025407313902726</v>
      </c>
      <c r="V1155" s="9">
        <v>16.025407313902726</v>
      </c>
      <c r="W1155" s="9">
        <v>16.025407313902726</v>
      </c>
      <c r="X1155" s="9">
        <v>18.013895748167766</v>
      </c>
      <c r="Y1155" s="9">
        <v>18.013895748167766</v>
      </c>
      <c r="Z1155" s="9">
        <v>20.142868501532355</v>
      </c>
      <c r="AA1155" s="9">
        <v>20.142868501532355</v>
      </c>
      <c r="AB1155" s="9">
        <v>22.456349831314476</v>
      </c>
      <c r="AC1155" s="9">
        <v>22.456349831314476</v>
      </c>
      <c r="AD1155" s="9">
        <v>24.87984091164185</v>
      </c>
      <c r="AE1155" s="9">
        <v>27.427492221952345</v>
      </c>
      <c r="AF1155" s="9">
        <v>33.194804868730657</v>
      </c>
      <c r="AG1155" s="9">
        <v>33.194804868730657</v>
      </c>
      <c r="AH1155" s="9">
        <v>35.957808835828068</v>
      </c>
      <c r="AI1155" s="9">
        <v>38.646304092692077</v>
      </c>
      <c r="AJ1155" s="9">
        <v>3.0428788910505911</v>
      </c>
    </row>
    <row r="1156" spans="1:36" x14ac:dyDescent="0.25">
      <c r="A1156" t="s">
        <v>5411</v>
      </c>
      <c r="B1156" t="s">
        <v>16</v>
      </c>
      <c r="C1156" t="s">
        <v>17</v>
      </c>
      <c r="D1156">
        <v>35534000</v>
      </c>
      <c r="E1156">
        <v>35535999</v>
      </c>
      <c r="F1156" t="s">
        <v>978</v>
      </c>
      <c r="G1156" t="str">
        <f t="shared" ref="G1156:G1219" si="36">H1156&amp;IF(J1156="CAPITAL","C",IF(J1156="INTERIOR","I",IF(J1156="INTERIOR II","I II","R")))</f>
        <v>MGI</v>
      </c>
      <c r="H1156" t="s">
        <v>851</v>
      </c>
      <c r="I1156" t="s">
        <v>20</v>
      </c>
      <c r="J1156" t="s">
        <v>62</v>
      </c>
      <c r="K1156" s="6">
        <v>0.03</v>
      </c>
      <c r="L1156" s="7">
        <f t="shared" ref="L1156:L1219" si="37">IF(I1156="(0) Não",0.2%,3%)</f>
        <v>2E-3</v>
      </c>
      <c r="M1156" s="7">
        <v>3.0000000000000001E-3</v>
      </c>
      <c r="N1156">
        <v>8</v>
      </c>
      <c r="O1156" s="8">
        <v>13.880385281502075</v>
      </c>
      <c r="P1156" s="9">
        <v>13.880385281502075</v>
      </c>
      <c r="Q1156" s="9">
        <v>13.880385281502075</v>
      </c>
      <c r="R1156" s="9">
        <v>14.045989937445718</v>
      </c>
      <c r="S1156" s="9">
        <v>14.060876315369912</v>
      </c>
      <c r="T1156" s="9">
        <v>15.090338571208333</v>
      </c>
      <c r="U1156" s="9">
        <v>16.025407313902726</v>
      </c>
      <c r="V1156" s="9">
        <v>16.025407313902726</v>
      </c>
      <c r="W1156" s="9">
        <v>16.025407313902726</v>
      </c>
      <c r="X1156" s="9">
        <v>18.013895748167766</v>
      </c>
      <c r="Y1156" s="9">
        <v>18.013895748167766</v>
      </c>
      <c r="Z1156" s="9">
        <v>20.142868501532355</v>
      </c>
      <c r="AA1156" s="9">
        <v>20.142868501532355</v>
      </c>
      <c r="AB1156" s="9">
        <v>22.456349831314476</v>
      </c>
      <c r="AC1156" s="9">
        <v>22.456349831314476</v>
      </c>
      <c r="AD1156" s="9">
        <v>24.87984091164185</v>
      </c>
      <c r="AE1156" s="9">
        <v>27.427492221952345</v>
      </c>
      <c r="AF1156" s="9">
        <v>33.194804868730657</v>
      </c>
      <c r="AG1156" s="9">
        <v>33.194804868730657</v>
      </c>
      <c r="AH1156" s="9">
        <v>35.957808835828068</v>
      </c>
      <c r="AI1156" s="9">
        <v>38.646304092692077</v>
      </c>
      <c r="AJ1156" s="9">
        <v>3.0428788910505911</v>
      </c>
    </row>
    <row r="1157" spans="1:36" x14ac:dyDescent="0.25">
      <c r="A1157" t="s">
        <v>5411</v>
      </c>
      <c r="B1157" t="s">
        <v>16</v>
      </c>
      <c r="C1157" t="s">
        <v>17</v>
      </c>
      <c r="D1157">
        <v>35536000</v>
      </c>
      <c r="E1157">
        <v>35536999</v>
      </c>
      <c r="F1157" t="s">
        <v>979</v>
      </c>
      <c r="G1157" t="str">
        <f t="shared" si="36"/>
        <v>MGI II</v>
      </c>
      <c r="H1157" t="s">
        <v>851</v>
      </c>
      <c r="I1157" t="s">
        <v>20</v>
      </c>
      <c r="J1157" t="s">
        <v>64</v>
      </c>
      <c r="K1157" s="6">
        <v>0.03</v>
      </c>
      <c r="L1157" s="7">
        <f t="shared" si="37"/>
        <v>2E-3</v>
      </c>
      <c r="M1157" s="7">
        <v>3.0000000000000001E-3</v>
      </c>
      <c r="N1157">
        <v>8</v>
      </c>
      <c r="O1157" s="8">
        <v>17.822306426995311</v>
      </c>
      <c r="P1157" s="9">
        <v>17.822306426995311</v>
      </c>
      <c r="Q1157" s="9">
        <v>17.822306426995311</v>
      </c>
      <c r="R1157" s="9">
        <v>18.237663306594719</v>
      </c>
      <c r="S1157" s="9">
        <v>18.48712920931133</v>
      </c>
      <c r="T1157" s="9">
        <v>19.201553596969877</v>
      </c>
      <c r="U1157" s="9">
        <v>20.562345482855957</v>
      </c>
      <c r="V1157" s="9">
        <v>20.562345482855957</v>
      </c>
      <c r="W1157" s="9">
        <v>20.562345482855957</v>
      </c>
      <c r="X1157" s="9">
        <v>22.391977691000818</v>
      </c>
      <c r="Y1157" s="9">
        <v>22.391977691000818</v>
      </c>
      <c r="Z1157" s="9">
        <v>24.28858708803979</v>
      </c>
      <c r="AA1157" s="9">
        <v>24.28858708803979</v>
      </c>
      <c r="AB1157" s="9">
        <v>25.117335532005217</v>
      </c>
      <c r="AC1157" s="9">
        <v>25.117335532005217</v>
      </c>
      <c r="AD1157" s="9">
        <v>29.039116491286865</v>
      </c>
      <c r="AE1157" s="9">
        <v>31.219251037281825</v>
      </c>
      <c r="AF1157" s="9">
        <v>33.487682081707895</v>
      </c>
      <c r="AG1157" s="9">
        <v>33.487682081707895</v>
      </c>
      <c r="AH1157" s="9">
        <v>36.427668170967245</v>
      </c>
      <c r="AI1157" s="9">
        <v>38.74455996597662</v>
      </c>
      <c r="AJ1157" s="9">
        <v>3.0428788910505911</v>
      </c>
    </row>
    <row r="1158" spans="1:36" x14ac:dyDescent="0.25">
      <c r="A1158" t="s">
        <v>5411</v>
      </c>
      <c r="B1158" t="s">
        <v>16</v>
      </c>
      <c r="C1158" t="s">
        <v>17</v>
      </c>
      <c r="D1158">
        <v>35537000</v>
      </c>
      <c r="E1158">
        <v>35539999</v>
      </c>
      <c r="F1158" t="s">
        <v>980</v>
      </c>
      <c r="G1158" t="str">
        <f t="shared" si="36"/>
        <v>MGI II</v>
      </c>
      <c r="H1158" t="s">
        <v>851</v>
      </c>
      <c r="I1158" t="s">
        <v>20</v>
      </c>
      <c r="J1158" t="s">
        <v>64</v>
      </c>
      <c r="K1158" s="6">
        <v>0.03</v>
      </c>
      <c r="L1158" s="7">
        <f t="shared" si="37"/>
        <v>2E-3</v>
      </c>
      <c r="M1158" s="7">
        <v>3.0000000000000001E-3</v>
      </c>
      <c r="N1158">
        <v>8</v>
      </c>
      <c r="O1158" s="8">
        <v>17.822306426995311</v>
      </c>
      <c r="P1158" s="9">
        <v>17.822306426995311</v>
      </c>
      <c r="Q1158" s="9">
        <v>17.822306426995311</v>
      </c>
      <c r="R1158" s="9">
        <v>18.237663306594719</v>
      </c>
      <c r="S1158" s="9">
        <v>18.48712920931133</v>
      </c>
      <c r="T1158" s="9">
        <v>19.201553596969877</v>
      </c>
      <c r="U1158" s="9">
        <v>20.562345482855957</v>
      </c>
      <c r="V1158" s="9">
        <v>20.562345482855957</v>
      </c>
      <c r="W1158" s="9">
        <v>20.562345482855957</v>
      </c>
      <c r="X1158" s="9">
        <v>22.391977691000818</v>
      </c>
      <c r="Y1158" s="9">
        <v>22.391977691000818</v>
      </c>
      <c r="Z1158" s="9">
        <v>24.28858708803979</v>
      </c>
      <c r="AA1158" s="9">
        <v>24.28858708803979</v>
      </c>
      <c r="AB1158" s="9">
        <v>25.117335532005217</v>
      </c>
      <c r="AC1158" s="9">
        <v>25.117335532005217</v>
      </c>
      <c r="AD1158" s="9">
        <v>29.039116491286865</v>
      </c>
      <c r="AE1158" s="9">
        <v>31.219251037281825</v>
      </c>
      <c r="AF1158" s="9">
        <v>33.487682081707895</v>
      </c>
      <c r="AG1158" s="9">
        <v>33.487682081707895</v>
      </c>
      <c r="AH1158" s="9">
        <v>36.427668170967245</v>
      </c>
      <c r="AI1158" s="9">
        <v>38.74455996597662</v>
      </c>
      <c r="AJ1158" s="9">
        <v>3.0428788910505911</v>
      </c>
    </row>
    <row r="1159" spans="1:36" x14ac:dyDescent="0.25">
      <c r="A1159" t="s">
        <v>5411</v>
      </c>
      <c r="B1159" t="s">
        <v>16</v>
      </c>
      <c r="C1159" t="s">
        <v>17</v>
      </c>
      <c r="D1159">
        <v>35540000</v>
      </c>
      <c r="E1159">
        <v>35542999</v>
      </c>
      <c r="F1159" t="s">
        <v>981</v>
      </c>
      <c r="G1159" t="str">
        <f t="shared" si="36"/>
        <v>MGI</v>
      </c>
      <c r="H1159" t="s">
        <v>851</v>
      </c>
      <c r="I1159" t="s">
        <v>20</v>
      </c>
      <c r="J1159" t="s">
        <v>62</v>
      </c>
      <c r="K1159" s="6">
        <v>0.03</v>
      </c>
      <c r="L1159" s="7">
        <f t="shared" si="37"/>
        <v>2E-3</v>
      </c>
      <c r="M1159" s="7">
        <v>3.0000000000000001E-3</v>
      </c>
      <c r="N1159">
        <v>7</v>
      </c>
      <c r="O1159" s="8">
        <v>13.880385281502075</v>
      </c>
      <c r="P1159" s="9">
        <v>13.880385281502075</v>
      </c>
      <c r="Q1159" s="9">
        <v>13.880385281502075</v>
      </c>
      <c r="R1159" s="9">
        <v>14.045989937445718</v>
      </c>
      <c r="S1159" s="9">
        <v>14.060876315369912</v>
      </c>
      <c r="T1159" s="9">
        <v>15.090338571208333</v>
      </c>
      <c r="U1159" s="9">
        <v>16.025407313902726</v>
      </c>
      <c r="V1159" s="9">
        <v>16.025407313902726</v>
      </c>
      <c r="W1159" s="9">
        <v>16.025407313902726</v>
      </c>
      <c r="X1159" s="9">
        <v>18.013895748167766</v>
      </c>
      <c r="Y1159" s="9">
        <v>18.013895748167766</v>
      </c>
      <c r="Z1159" s="9">
        <v>20.142868501532355</v>
      </c>
      <c r="AA1159" s="9">
        <v>20.142868501532355</v>
      </c>
      <c r="AB1159" s="9">
        <v>22.456349831314476</v>
      </c>
      <c r="AC1159" s="9">
        <v>22.456349831314476</v>
      </c>
      <c r="AD1159" s="9">
        <v>24.87984091164185</v>
      </c>
      <c r="AE1159" s="9">
        <v>27.427492221952345</v>
      </c>
      <c r="AF1159" s="9">
        <v>33.194804868730657</v>
      </c>
      <c r="AG1159" s="9">
        <v>33.194804868730657</v>
      </c>
      <c r="AH1159" s="9">
        <v>35.957808835828068</v>
      </c>
      <c r="AI1159" s="9">
        <v>38.646304092692077</v>
      </c>
      <c r="AJ1159" s="9">
        <v>3.0428788910505911</v>
      </c>
    </row>
    <row r="1160" spans="1:36" x14ac:dyDescent="0.25">
      <c r="A1160" t="s">
        <v>5411</v>
      </c>
      <c r="B1160" t="s">
        <v>16</v>
      </c>
      <c r="C1160" t="s">
        <v>17</v>
      </c>
      <c r="D1160">
        <v>35543000</v>
      </c>
      <c r="E1160">
        <v>35543999</v>
      </c>
      <c r="F1160" t="s">
        <v>982</v>
      </c>
      <c r="G1160" t="str">
        <f t="shared" si="36"/>
        <v>MGI II</v>
      </c>
      <c r="H1160" t="s">
        <v>851</v>
      </c>
      <c r="I1160" t="s">
        <v>20</v>
      </c>
      <c r="J1160" t="s">
        <v>64</v>
      </c>
      <c r="K1160" s="6">
        <v>0.03</v>
      </c>
      <c r="L1160" s="7">
        <f t="shared" si="37"/>
        <v>2E-3</v>
      </c>
      <c r="M1160" s="7">
        <v>3.0000000000000001E-3</v>
      </c>
      <c r="N1160">
        <v>8</v>
      </c>
      <c r="O1160" s="8">
        <v>17.822306426995311</v>
      </c>
      <c r="P1160" s="9">
        <v>17.822306426995311</v>
      </c>
      <c r="Q1160" s="9">
        <v>17.822306426995311</v>
      </c>
      <c r="R1160" s="9">
        <v>18.237663306594719</v>
      </c>
      <c r="S1160" s="9">
        <v>18.48712920931133</v>
      </c>
      <c r="T1160" s="9">
        <v>19.201553596969877</v>
      </c>
      <c r="U1160" s="9">
        <v>20.562345482855957</v>
      </c>
      <c r="V1160" s="9">
        <v>20.562345482855957</v>
      </c>
      <c r="W1160" s="9">
        <v>20.562345482855957</v>
      </c>
      <c r="X1160" s="9">
        <v>22.391977691000818</v>
      </c>
      <c r="Y1160" s="9">
        <v>22.391977691000818</v>
      </c>
      <c r="Z1160" s="9">
        <v>24.28858708803979</v>
      </c>
      <c r="AA1160" s="9">
        <v>24.28858708803979</v>
      </c>
      <c r="AB1160" s="9">
        <v>25.117335532005217</v>
      </c>
      <c r="AC1160" s="9">
        <v>25.117335532005217</v>
      </c>
      <c r="AD1160" s="9">
        <v>29.039116491286865</v>
      </c>
      <c r="AE1160" s="9">
        <v>31.219251037281825</v>
      </c>
      <c r="AF1160" s="9">
        <v>33.487682081707895</v>
      </c>
      <c r="AG1160" s="9">
        <v>33.487682081707895</v>
      </c>
      <c r="AH1160" s="9">
        <v>36.427668170967245</v>
      </c>
      <c r="AI1160" s="9">
        <v>38.74455996597662</v>
      </c>
      <c r="AJ1160" s="9">
        <v>3.0428788910505911</v>
      </c>
    </row>
    <row r="1161" spans="1:36" x14ac:dyDescent="0.25">
      <c r="A1161" t="s">
        <v>5411</v>
      </c>
      <c r="B1161" t="s">
        <v>16</v>
      </c>
      <c r="C1161" t="s">
        <v>17</v>
      </c>
      <c r="D1161">
        <v>35544000</v>
      </c>
      <c r="E1161">
        <v>35544999</v>
      </c>
      <c r="F1161" t="s">
        <v>983</v>
      </c>
      <c r="G1161" t="str">
        <f t="shared" si="36"/>
        <v>MGI II</v>
      </c>
      <c r="H1161" t="s">
        <v>851</v>
      </c>
      <c r="I1161" t="s">
        <v>20</v>
      </c>
      <c r="J1161" t="s">
        <v>64</v>
      </c>
      <c r="K1161" s="6">
        <v>0.03</v>
      </c>
      <c r="L1161" s="7">
        <f t="shared" si="37"/>
        <v>2E-3</v>
      </c>
      <c r="M1161" s="7">
        <v>3.0000000000000001E-3</v>
      </c>
      <c r="N1161">
        <v>8</v>
      </c>
      <c r="O1161" s="8">
        <v>17.822306426995311</v>
      </c>
      <c r="P1161" s="9">
        <v>17.822306426995311</v>
      </c>
      <c r="Q1161" s="9">
        <v>17.822306426995311</v>
      </c>
      <c r="R1161" s="9">
        <v>18.237663306594719</v>
      </c>
      <c r="S1161" s="9">
        <v>18.48712920931133</v>
      </c>
      <c r="T1161" s="9">
        <v>19.201553596969877</v>
      </c>
      <c r="U1161" s="9">
        <v>20.562345482855957</v>
      </c>
      <c r="V1161" s="9">
        <v>20.562345482855957</v>
      </c>
      <c r="W1161" s="9">
        <v>20.562345482855957</v>
      </c>
      <c r="X1161" s="9">
        <v>22.391977691000818</v>
      </c>
      <c r="Y1161" s="9">
        <v>22.391977691000818</v>
      </c>
      <c r="Z1161" s="9">
        <v>24.28858708803979</v>
      </c>
      <c r="AA1161" s="9">
        <v>24.28858708803979</v>
      </c>
      <c r="AB1161" s="9">
        <v>25.117335532005217</v>
      </c>
      <c r="AC1161" s="9">
        <v>25.117335532005217</v>
      </c>
      <c r="AD1161" s="9">
        <v>29.039116491286865</v>
      </c>
      <c r="AE1161" s="9">
        <v>31.219251037281825</v>
      </c>
      <c r="AF1161" s="9">
        <v>33.487682081707895</v>
      </c>
      <c r="AG1161" s="9">
        <v>33.487682081707895</v>
      </c>
      <c r="AH1161" s="9">
        <v>36.427668170967245</v>
      </c>
      <c r="AI1161" s="9">
        <v>38.74455996597662</v>
      </c>
      <c r="AJ1161" s="9">
        <v>3.0428788910505911</v>
      </c>
    </row>
    <row r="1162" spans="1:36" x14ac:dyDescent="0.25">
      <c r="A1162" t="s">
        <v>5411</v>
      </c>
      <c r="B1162" t="s">
        <v>16</v>
      </c>
      <c r="C1162" t="s">
        <v>17</v>
      </c>
      <c r="D1162">
        <v>35545000</v>
      </c>
      <c r="E1162">
        <v>35546999</v>
      </c>
      <c r="F1162" t="s">
        <v>984</v>
      </c>
      <c r="G1162" t="str">
        <f t="shared" si="36"/>
        <v>MGI II</v>
      </c>
      <c r="H1162" t="s">
        <v>851</v>
      </c>
      <c r="I1162" t="s">
        <v>20</v>
      </c>
      <c r="J1162" t="s">
        <v>64</v>
      </c>
      <c r="K1162" s="6">
        <v>0.03</v>
      </c>
      <c r="L1162" s="7">
        <f t="shared" si="37"/>
        <v>2E-3</v>
      </c>
      <c r="M1162" s="7">
        <v>3.0000000000000001E-3</v>
      </c>
      <c r="N1162">
        <v>7</v>
      </c>
      <c r="O1162" s="8">
        <v>17.822306426995311</v>
      </c>
      <c r="P1162" s="9">
        <v>17.822306426995311</v>
      </c>
      <c r="Q1162" s="9">
        <v>17.822306426995311</v>
      </c>
      <c r="R1162" s="9">
        <v>18.237663306594719</v>
      </c>
      <c r="S1162" s="9">
        <v>18.48712920931133</v>
      </c>
      <c r="T1162" s="9">
        <v>19.201553596969877</v>
      </c>
      <c r="U1162" s="9">
        <v>20.562345482855957</v>
      </c>
      <c r="V1162" s="9">
        <v>20.562345482855957</v>
      </c>
      <c r="W1162" s="9">
        <v>20.562345482855957</v>
      </c>
      <c r="X1162" s="9">
        <v>22.391977691000818</v>
      </c>
      <c r="Y1162" s="9">
        <v>22.391977691000818</v>
      </c>
      <c r="Z1162" s="9">
        <v>24.28858708803979</v>
      </c>
      <c r="AA1162" s="9">
        <v>24.28858708803979</v>
      </c>
      <c r="AB1162" s="9">
        <v>25.117335532005217</v>
      </c>
      <c r="AC1162" s="9">
        <v>25.117335532005217</v>
      </c>
      <c r="AD1162" s="9">
        <v>29.039116491286865</v>
      </c>
      <c r="AE1162" s="9">
        <v>31.219251037281825</v>
      </c>
      <c r="AF1162" s="9">
        <v>33.487682081707895</v>
      </c>
      <c r="AG1162" s="9">
        <v>33.487682081707895</v>
      </c>
      <c r="AH1162" s="9">
        <v>36.427668170967245</v>
      </c>
      <c r="AI1162" s="9">
        <v>38.74455996597662</v>
      </c>
      <c r="AJ1162" s="9">
        <v>3.0428788910505911</v>
      </c>
    </row>
    <row r="1163" spans="1:36" x14ac:dyDescent="0.25">
      <c r="A1163" t="s">
        <v>5411</v>
      </c>
      <c r="B1163" t="s">
        <v>16</v>
      </c>
      <c r="C1163" t="s">
        <v>17</v>
      </c>
      <c r="D1163">
        <v>35547000</v>
      </c>
      <c r="E1163">
        <v>35549999</v>
      </c>
      <c r="F1163" t="s">
        <v>985</v>
      </c>
      <c r="G1163" t="str">
        <f t="shared" si="36"/>
        <v>MGI</v>
      </c>
      <c r="H1163" t="s">
        <v>851</v>
      </c>
      <c r="I1163" t="s">
        <v>20</v>
      </c>
      <c r="J1163" t="s">
        <v>62</v>
      </c>
      <c r="K1163" s="6">
        <v>0.03</v>
      </c>
      <c r="L1163" s="7">
        <f t="shared" si="37"/>
        <v>2E-3</v>
      </c>
      <c r="M1163" s="7">
        <v>3.0000000000000001E-3</v>
      </c>
      <c r="N1163">
        <v>7</v>
      </c>
      <c r="O1163" s="8">
        <v>13.880385281502075</v>
      </c>
      <c r="P1163" s="9">
        <v>13.880385281502075</v>
      </c>
      <c r="Q1163" s="9">
        <v>13.880385281502075</v>
      </c>
      <c r="R1163" s="9">
        <v>14.045989937445718</v>
      </c>
      <c r="S1163" s="9">
        <v>14.060876315369912</v>
      </c>
      <c r="T1163" s="9">
        <v>15.090338571208333</v>
      </c>
      <c r="U1163" s="9">
        <v>16.025407313902726</v>
      </c>
      <c r="V1163" s="9">
        <v>16.025407313902726</v>
      </c>
      <c r="W1163" s="9">
        <v>16.025407313902726</v>
      </c>
      <c r="X1163" s="9">
        <v>18.013895748167766</v>
      </c>
      <c r="Y1163" s="9">
        <v>18.013895748167766</v>
      </c>
      <c r="Z1163" s="9">
        <v>20.142868501532355</v>
      </c>
      <c r="AA1163" s="9">
        <v>20.142868501532355</v>
      </c>
      <c r="AB1163" s="9">
        <v>22.456349831314476</v>
      </c>
      <c r="AC1163" s="9">
        <v>22.456349831314476</v>
      </c>
      <c r="AD1163" s="9">
        <v>24.87984091164185</v>
      </c>
      <c r="AE1163" s="9">
        <v>27.427492221952345</v>
      </c>
      <c r="AF1163" s="9">
        <v>33.194804868730657</v>
      </c>
      <c r="AG1163" s="9">
        <v>33.194804868730657</v>
      </c>
      <c r="AH1163" s="9">
        <v>35.957808835828068</v>
      </c>
      <c r="AI1163" s="9">
        <v>38.646304092692077</v>
      </c>
      <c r="AJ1163" s="9">
        <v>3.0428788910505911</v>
      </c>
    </row>
    <row r="1164" spans="1:36" x14ac:dyDescent="0.25">
      <c r="A1164" t="s">
        <v>5411</v>
      </c>
      <c r="B1164" t="s">
        <v>16</v>
      </c>
      <c r="C1164" t="s">
        <v>17</v>
      </c>
      <c r="D1164">
        <v>35550000</v>
      </c>
      <c r="E1164">
        <v>35554999</v>
      </c>
      <c r="F1164" t="s">
        <v>986</v>
      </c>
      <c r="G1164" t="str">
        <f t="shared" si="36"/>
        <v>MGI</v>
      </c>
      <c r="H1164" t="s">
        <v>851</v>
      </c>
      <c r="I1164" t="s">
        <v>20</v>
      </c>
      <c r="J1164" t="s">
        <v>62</v>
      </c>
      <c r="K1164" s="6">
        <v>0.03</v>
      </c>
      <c r="L1164" s="7">
        <f t="shared" si="37"/>
        <v>2E-3</v>
      </c>
      <c r="M1164" s="7">
        <v>3.0000000000000001E-3</v>
      </c>
      <c r="N1164">
        <v>7</v>
      </c>
      <c r="O1164" s="8">
        <v>13.880385281502075</v>
      </c>
      <c r="P1164" s="9">
        <v>13.880385281502075</v>
      </c>
      <c r="Q1164" s="9">
        <v>13.880385281502075</v>
      </c>
      <c r="R1164" s="9">
        <v>14.045989937445718</v>
      </c>
      <c r="S1164" s="9">
        <v>14.060876315369912</v>
      </c>
      <c r="T1164" s="9">
        <v>15.090338571208333</v>
      </c>
      <c r="U1164" s="9">
        <v>16.025407313902726</v>
      </c>
      <c r="V1164" s="9">
        <v>16.025407313902726</v>
      </c>
      <c r="W1164" s="9">
        <v>16.025407313902726</v>
      </c>
      <c r="X1164" s="9">
        <v>18.013895748167766</v>
      </c>
      <c r="Y1164" s="9">
        <v>18.013895748167766</v>
      </c>
      <c r="Z1164" s="9">
        <v>20.142868501532355</v>
      </c>
      <c r="AA1164" s="9">
        <v>20.142868501532355</v>
      </c>
      <c r="AB1164" s="9">
        <v>22.456349831314476</v>
      </c>
      <c r="AC1164" s="9">
        <v>22.456349831314476</v>
      </c>
      <c r="AD1164" s="9">
        <v>24.87984091164185</v>
      </c>
      <c r="AE1164" s="9">
        <v>27.427492221952345</v>
      </c>
      <c r="AF1164" s="9">
        <v>33.194804868730657</v>
      </c>
      <c r="AG1164" s="9">
        <v>33.194804868730657</v>
      </c>
      <c r="AH1164" s="9">
        <v>35.957808835828068</v>
      </c>
      <c r="AI1164" s="9">
        <v>38.646304092692077</v>
      </c>
      <c r="AJ1164" s="9">
        <v>3.0428788910505911</v>
      </c>
    </row>
    <row r="1165" spans="1:36" x14ac:dyDescent="0.25">
      <c r="A1165" t="s">
        <v>5411</v>
      </c>
      <c r="B1165" t="s">
        <v>16</v>
      </c>
      <c r="C1165" t="s">
        <v>17</v>
      </c>
      <c r="D1165">
        <v>35555000</v>
      </c>
      <c r="E1165">
        <v>35556999</v>
      </c>
      <c r="F1165" t="s">
        <v>987</v>
      </c>
      <c r="G1165" t="str">
        <f t="shared" si="36"/>
        <v>MGI II</v>
      </c>
      <c r="H1165" t="s">
        <v>851</v>
      </c>
      <c r="I1165" t="s">
        <v>20</v>
      </c>
      <c r="J1165" t="s">
        <v>64</v>
      </c>
      <c r="K1165" s="6">
        <v>0.03</v>
      </c>
      <c r="L1165" s="7">
        <f t="shared" si="37"/>
        <v>2E-3</v>
      </c>
      <c r="M1165" s="7">
        <v>3.0000000000000001E-3</v>
      </c>
      <c r="N1165">
        <v>8</v>
      </c>
      <c r="O1165" s="8">
        <v>17.822306426995311</v>
      </c>
      <c r="P1165" s="9">
        <v>17.822306426995311</v>
      </c>
      <c r="Q1165" s="9">
        <v>17.822306426995311</v>
      </c>
      <c r="R1165" s="9">
        <v>18.237663306594719</v>
      </c>
      <c r="S1165" s="9">
        <v>18.48712920931133</v>
      </c>
      <c r="T1165" s="9">
        <v>19.201553596969877</v>
      </c>
      <c r="U1165" s="9">
        <v>20.562345482855957</v>
      </c>
      <c r="V1165" s="9">
        <v>20.562345482855957</v>
      </c>
      <c r="W1165" s="9">
        <v>20.562345482855957</v>
      </c>
      <c r="X1165" s="9">
        <v>22.391977691000818</v>
      </c>
      <c r="Y1165" s="9">
        <v>22.391977691000818</v>
      </c>
      <c r="Z1165" s="9">
        <v>24.28858708803979</v>
      </c>
      <c r="AA1165" s="9">
        <v>24.28858708803979</v>
      </c>
      <c r="AB1165" s="9">
        <v>25.117335532005217</v>
      </c>
      <c r="AC1165" s="9">
        <v>25.117335532005217</v>
      </c>
      <c r="AD1165" s="9">
        <v>29.039116491286865</v>
      </c>
      <c r="AE1165" s="9">
        <v>31.219251037281825</v>
      </c>
      <c r="AF1165" s="9">
        <v>33.487682081707895</v>
      </c>
      <c r="AG1165" s="9">
        <v>33.487682081707895</v>
      </c>
      <c r="AH1165" s="9">
        <v>36.427668170967245</v>
      </c>
      <c r="AI1165" s="9">
        <v>38.74455996597662</v>
      </c>
      <c r="AJ1165" s="9">
        <v>3.0428788910505911</v>
      </c>
    </row>
    <row r="1166" spans="1:36" x14ac:dyDescent="0.25">
      <c r="A1166" t="s">
        <v>5411</v>
      </c>
      <c r="B1166" t="s">
        <v>16</v>
      </c>
      <c r="C1166" t="s">
        <v>17</v>
      </c>
      <c r="D1166">
        <v>35557000</v>
      </c>
      <c r="E1166">
        <v>35559999</v>
      </c>
      <c r="F1166" t="s">
        <v>988</v>
      </c>
      <c r="G1166" t="str">
        <f t="shared" si="36"/>
        <v>MGI</v>
      </c>
      <c r="H1166" t="s">
        <v>851</v>
      </c>
      <c r="I1166" t="s">
        <v>20</v>
      </c>
      <c r="J1166" t="s">
        <v>62</v>
      </c>
      <c r="K1166" s="6">
        <v>0.03</v>
      </c>
      <c r="L1166" s="7">
        <f t="shared" si="37"/>
        <v>2E-3</v>
      </c>
      <c r="M1166" s="7">
        <v>3.0000000000000001E-3</v>
      </c>
      <c r="N1166">
        <v>8</v>
      </c>
      <c r="O1166" s="8">
        <v>13.880385281502075</v>
      </c>
      <c r="P1166" s="9">
        <v>13.880385281502075</v>
      </c>
      <c r="Q1166" s="9">
        <v>13.880385281502075</v>
      </c>
      <c r="R1166" s="9">
        <v>14.045989937445718</v>
      </c>
      <c r="S1166" s="9">
        <v>14.060876315369912</v>
      </c>
      <c r="T1166" s="9">
        <v>15.090338571208333</v>
      </c>
      <c r="U1166" s="9">
        <v>16.025407313902726</v>
      </c>
      <c r="V1166" s="9">
        <v>16.025407313902726</v>
      </c>
      <c r="W1166" s="9">
        <v>16.025407313902726</v>
      </c>
      <c r="X1166" s="9">
        <v>18.013895748167766</v>
      </c>
      <c r="Y1166" s="9">
        <v>18.013895748167766</v>
      </c>
      <c r="Z1166" s="9">
        <v>20.142868501532355</v>
      </c>
      <c r="AA1166" s="9">
        <v>20.142868501532355</v>
      </c>
      <c r="AB1166" s="9">
        <v>22.456349831314476</v>
      </c>
      <c r="AC1166" s="9">
        <v>22.456349831314476</v>
      </c>
      <c r="AD1166" s="9">
        <v>24.87984091164185</v>
      </c>
      <c r="AE1166" s="9">
        <v>27.427492221952345</v>
      </c>
      <c r="AF1166" s="9">
        <v>33.194804868730657</v>
      </c>
      <c r="AG1166" s="9">
        <v>33.194804868730657</v>
      </c>
      <c r="AH1166" s="9">
        <v>35.957808835828068</v>
      </c>
      <c r="AI1166" s="9">
        <v>38.646304092692077</v>
      </c>
      <c r="AJ1166" s="9">
        <v>3.0428788910505911</v>
      </c>
    </row>
    <row r="1167" spans="1:36" x14ac:dyDescent="0.25">
      <c r="A1167" t="s">
        <v>5411</v>
      </c>
      <c r="B1167" t="s">
        <v>16</v>
      </c>
      <c r="C1167" t="s">
        <v>17</v>
      </c>
      <c r="D1167">
        <v>35560000</v>
      </c>
      <c r="E1167">
        <v>35564999</v>
      </c>
      <c r="F1167" t="s">
        <v>989</v>
      </c>
      <c r="G1167" t="str">
        <f t="shared" si="36"/>
        <v>MGI</v>
      </c>
      <c r="H1167" t="s">
        <v>851</v>
      </c>
      <c r="I1167" t="s">
        <v>20</v>
      </c>
      <c r="J1167" t="s">
        <v>62</v>
      </c>
      <c r="K1167" s="6">
        <v>0.03</v>
      </c>
      <c r="L1167" s="7">
        <f t="shared" si="37"/>
        <v>2E-3</v>
      </c>
      <c r="M1167" s="7">
        <v>3.0000000000000001E-3</v>
      </c>
      <c r="N1167">
        <v>8</v>
      </c>
      <c r="O1167" s="8">
        <v>13.880385281502075</v>
      </c>
      <c r="P1167" s="9">
        <v>13.880385281502075</v>
      </c>
      <c r="Q1167" s="9">
        <v>13.880385281502075</v>
      </c>
      <c r="R1167" s="9">
        <v>14.045989937445718</v>
      </c>
      <c r="S1167" s="9">
        <v>14.060876315369912</v>
      </c>
      <c r="T1167" s="9">
        <v>15.090338571208333</v>
      </c>
      <c r="U1167" s="9">
        <v>16.025407313902726</v>
      </c>
      <c r="V1167" s="9">
        <v>16.025407313902726</v>
      </c>
      <c r="W1167" s="9">
        <v>16.025407313902726</v>
      </c>
      <c r="X1167" s="9">
        <v>18.013895748167766</v>
      </c>
      <c r="Y1167" s="9">
        <v>18.013895748167766</v>
      </c>
      <c r="Z1167" s="9">
        <v>20.142868501532355</v>
      </c>
      <c r="AA1167" s="9">
        <v>20.142868501532355</v>
      </c>
      <c r="AB1167" s="9">
        <v>22.456349831314476</v>
      </c>
      <c r="AC1167" s="9">
        <v>22.456349831314476</v>
      </c>
      <c r="AD1167" s="9">
        <v>24.87984091164185</v>
      </c>
      <c r="AE1167" s="9">
        <v>27.427492221952345</v>
      </c>
      <c r="AF1167" s="9">
        <v>33.194804868730657</v>
      </c>
      <c r="AG1167" s="9">
        <v>33.194804868730657</v>
      </c>
      <c r="AH1167" s="9">
        <v>35.957808835828068</v>
      </c>
      <c r="AI1167" s="9">
        <v>38.646304092692077</v>
      </c>
      <c r="AJ1167" s="9">
        <v>3.0428788910505911</v>
      </c>
    </row>
    <row r="1168" spans="1:36" x14ac:dyDescent="0.25">
      <c r="A1168" t="s">
        <v>5411</v>
      </c>
      <c r="B1168" t="s">
        <v>16</v>
      </c>
      <c r="C1168" t="s">
        <v>17</v>
      </c>
      <c r="D1168">
        <v>35565000</v>
      </c>
      <c r="E1168">
        <v>35566999</v>
      </c>
      <c r="F1168" t="s">
        <v>990</v>
      </c>
      <c r="G1168" t="str">
        <f t="shared" si="36"/>
        <v>MGI II</v>
      </c>
      <c r="H1168" t="s">
        <v>851</v>
      </c>
      <c r="I1168" t="s">
        <v>20</v>
      </c>
      <c r="J1168" t="s">
        <v>64</v>
      </c>
      <c r="K1168" s="6">
        <v>0.03</v>
      </c>
      <c r="L1168" s="7">
        <f t="shared" si="37"/>
        <v>2E-3</v>
      </c>
      <c r="M1168" s="7">
        <v>3.0000000000000001E-3</v>
      </c>
      <c r="N1168">
        <v>8</v>
      </c>
      <c r="O1168" s="8">
        <v>17.822306426995311</v>
      </c>
      <c r="P1168" s="9">
        <v>17.822306426995311</v>
      </c>
      <c r="Q1168" s="9">
        <v>17.822306426995311</v>
      </c>
      <c r="R1168" s="9">
        <v>18.237663306594719</v>
      </c>
      <c r="S1168" s="9">
        <v>18.48712920931133</v>
      </c>
      <c r="T1168" s="9">
        <v>19.201553596969877</v>
      </c>
      <c r="U1168" s="9">
        <v>20.562345482855957</v>
      </c>
      <c r="V1168" s="9">
        <v>20.562345482855957</v>
      </c>
      <c r="W1168" s="9">
        <v>20.562345482855957</v>
      </c>
      <c r="X1168" s="9">
        <v>22.391977691000818</v>
      </c>
      <c r="Y1168" s="9">
        <v>22.391977691000818</v>
      </c>
      <c r="Z1168" s="9">
        <v>24.28858708803979</v>
      </c>
      <c r="AA1168" s="9">
        <v>24.28858708803979</v>
      </c>
      <c r="AB1168" s="9">
        <v>25.117335532005217</v>
      </c>
      <c r="AC1168" s="9">
        <v>25.117335532005217</v>
      </c>
      <c r="AD1168" s="9">
        <v>29.039116491286865</v>
      </c>
      <c r="AE1168" s="9">
        <v>31.219251037281825</v>
      </c>
      <c r="AF1168" s="9">
        <v>33.487682081707895</v>
      </c>
      <c r="AG1168" s="9">
        <v>33.487682081707895</v>
      </c>
      <c r="AH1168" s="9">
        <v>36.427668170967245</v>
      </c>
      <c r="AI1168" s="9">
        <v>38.74455996597662</v>
      </c>
      <c r="AJ1168" s="9">
        <v>3.0428788910505911</v>
      </c>
    </row>
    <row r="1169" spans="1:36" x14ac:dyDescent="0.25">
      <c r="A1169" t="s">
        <v>5411</v>
      </c>
      <c r="B1169" t="s">
        <v>16</v>
      </c>
      <c r="C1169" t="s">
        <v>17</v>
      </c>
      <c r="D1169">
        <v>35567000</v>
      </c>
      <c r="E1169">
        <v>35567999</v>
      </c>
      <c r="F1169" t="s">
        <v>991</v>
      </c>
      <c r="G1169" t="str">
        <f t="shared" si="36"/>
        <v>MGI II</v>
      </c>
      <c r="H1169" t="s">
        <v>851</v>
      </c>
      <c r="I1169" t="s">
        <v>20</v>
      </c>
      <c r="J1169" t="s">
        <v>64</v>
      </c>
      <c r="K1169" s="6">
        <v>0.03</v>
      </c>
      <c r="L1169" s="7">
        <f t="shared" si="37"/>
        <v>2E-3</v>
      </c>
      <c r="M1169" s="7">
        <v>3.0000000000000001E-3</v>
      </c>
      <c r="N1169">
        <v>7</v>
      </c>
      <c r="O1169" s="8">
        <v>17.822306426995311</v>
      </c>
      <c r="P1169" s="9">
        <v>17.822306426995311</v>
      </c>
      <c r="Q1169" s="9">
        <v>17.822306426995311</v>
      </c>
      <c r="R1169" s="9">
        <v>18.237663306594719</v>
      </c>
      <c r="S1169" s="9">
        <v>18.48712920931133</v>
      </c>
      <c r="T1169" s="9">
        <v>19.201553596969877</v>
      </c>
      <c r="U1169" s="9">
        <v>20.562345482855957</v>
      </c>
      <c r="V1169" s="9">
        <v>20.562345482855957</v>
      </c>
      <c r="W1169" s="9">
        <v>20.562345482855957</v>
      </c>
      <c r="X1169" s="9">
        <v>22.391977691000818</v>
      </c>
      <c r="Y1169" s="9">
        <v>22.391977691000818</v>
      </c>
      <c r="Z1169" s="9">
        <v>24.28858708803979</v>
      </c>
      <c r="AA1169" s="9">
        <v>24.28858708803979</v>
      </c>
      <c r="AB1169" s="9">
        <v>25.117335532005217</v>
      </c>
      <c r="AC1169" s="9">
        <v>25.117335532005217</v>
      </c>
      <c r="AD1169" s="9">
        <v>29.039116491286865</v>
      </c>
      <c r="AE1169" s="9">
        <v>31.219251037281825</v>
      </c>
      <c r="AF1169" s="9">
        <v>33.487682081707895</v>
      </c>
      <c r="AG1169" s="9">
        <v>33.487682081707895</v>
      </c>
      <c r="AH1169" s="9">
        <v>36.427668170967245</v>
      </c>
      <c r="AI1169" s="9">
        <v>38.74455996597662</v>
      </c>
      <c r="AJ1169" s="9">
        <v>3.0428788910505911</v>
      </c>
    </row>
    <row r="1170" spans="1:36" x14ac:dyDescent="0.25">
      <c r="A1170" t="s">
        <v>5411</v>
      </c>
      <c r="B1170" t="s">
        <v>16</v>
      </c>
      <c r="C1170" t="s">
        <v>17</v>
      </c>
      <c r="D1170">
        <v>35568000</v>
      </c>
      <c r="E1170">
        <v>35569999</v>
      </c>
      <c r="F1170" t="s">
        <v>992</v>
      </c>
      <c r="G1170" t="str">
        <f t="shared" si="36"/>
        <v>MGI II</v>
      </c>
      <c r="H1170" t="s">
        <v>851</v>
      </c>
      <c r="I1170" t="s">
        <v>20</v>
      </c>
      <c r="J1170" t="s">
        <v>64</v>
      </c>
      <c r="K1170" s="6">
        <v>0.03</v>
      </c>
      <c r="L1170" s="7">
        <f t="shared" si="37"/>
        <v>2E-3</v>
      </c>
      <c r="M1170" s="7">
        <v>3.0000000000000001E-3</v>
      </c>
      <c r="N1170">
        <v>8</v>
      </c>
      <c r="O1170" s="8">
        <v>17.822306426995311</v>
      </c>
      <c r="P1170" s="9">
        <v>17.822306426995311</v>
      </c>
      <c r="Q1170" s="9">
        <v>17.822306426995311</v>
      </c>
      <c r="R1170" s="9">
        <v>18.237663306594719</v>
      </c>
      <c r="S1170" s="9">
        <v>18.48712920931133</v>
      </c>
      <c r="T1170" s="9">
        <v>19.201553596969877</v>
      </c>
      <c r="U1170" s="9">
        <v>20.562345482855957</v>
      </c>
      <c r="V1170" s="9">
        <v>20.562345482855957</v>
      </c>
      <c r="W1170" s="9">
        <v>20.562345482855957</v>
      </c>
      <c r="X1170" s="9">
        <v>22.391977691000818</v>
      </c>
      <c r="Y1170" s="9">
        <v>22.391977691000818</v>
      </c>
      <c r="Z1170" s="9">
        <v>24.28858708803979</v>
      </c>
      <c r="AA1170" s="9">
        <v>24.28858708803979</v>
      </c>
      <c r="AB1170" s="9">
        <v>25.117335532005217</v>
      </c>
      <c r="AC1170" s="9">
        <v>25.117335532005217</v>
      </c>
      <c r="AD1170" s="9">
        <v>29.039116491286865</v>
      </c>
      <c r="AE1170" s="9">
        <v>31.219251037281825</v>
      </c>
      <c r="AF1170" s="9">
        <v>33.487682081707895</v>
      </c>
      <c r="AG1170" s="9">
        <v>33.487682081707895</v>
      </c>
      <c r="AH1170" s="9">
        <v>36.427668170967245</v>
      </c>
      <c r="AI1170" s="9">
        <v>38.74455996597662</v>
      </c>
      <c r="AJ1170" s="9">
        <v>3.0428788910505911</v>
      </c>
    </row>
    <row r="1171" spans="1:36" x14ac:dyDescent="0.25">
      <c r="A1171" t="s">
        <v>5411</v>
      </c>
      <c r="B1171" t="s">
        <v>16</v>
      </c>
      <c r="C1171" t="s">
        <v>17</v>
      </c>
      <c r="D1171">
        <v>35570000</v>
      </c>
      <c r="E1171">
        <v>35579999</v>
      </c>
      <c r="F1171" t="s">
        <v>993</v>
      </c>
      <c r="G1171" t="str">
        <f t="shared" si="36"/>
        <v>MGI</v>
      </c>
      <c r="H1171" t="s">
        <v>851</v>
      </c>
      <c r="I1171" t="s">
        <v>20</v>
      </c>
      <c r="J1171" t="s">
        <v>62</v>
      </c>
      <c r="K1171" s="6">
        <v>0.03</v>
      </c>
      <c r="L1171" s="7">
        <f t="shared" si="37"/>
        <v>2E-3</v>
      </c>
      <c r="M1171" s="7">
        <v>3.0000000000000001E-3</v>
      </c>
      <c r="N1171">
        <v>7</v>
      </c>
      <c r="O1171" s="8">
        <v>13.880385281502075</v>
      </c>
      <c r="P1171" s="9">
        <v>13.880385281502075</v>
      </c>
      <c r="Q1171" s="9">
        <v>13.880385281502075</v>
      </c>
      <c r="R1171" s="9">
        <v>14.045989937445718</v>
      </c>
      <c r="S1171" s="9">
        <v>14.060876315369912</v>
      </c>
      <c r="T1171" s="9">
        <v>15.090338571208333</v>
      </c>
      <c r="U1171" s="9">
        <v>16.025407313902726</v>
      </c>
      <c r="V1171" s="9">
        <v>16.025407313902726</v>
      </c>
      <c r="W1171" s="9">
        <v>16.025407313902726</v>
      </c>
      <c r="X1171" s="9">
        <v>18.013895748167766</v>
      </c>
      <c r="Y1171" s="9">
        <v>18.013895748167766</v>
      </c>
      <c r="Z1171" s="9">
        <v>20.142868501532355</v>
      </c>
      <c r="AA1171" s="9">
        <v>20.142868501532355</v>
      </c>
      <c r="AB1171" s="9">
        <v>22.456349831314476</v>
      </c>
      <c r="AC1171" s="9">
        <v>22.456349831314476</v>
      </c>
      <c r="AD1171" s="9">
        <v>24.87984091164185</v>
      </c>
      <c r="AE1171" s="9">
        <v>27.427492221952345</v>
      </c>
      <c r="AF1171" s="9">
        <v>33.194804868730657</v>
      </c>
      <c r="AG1171" s="9">
        <v>33.194804868730657</v>
      </c>
      <c r="AH1171" s="9">
        <v>35.957808835828068</v>
      </c>
      <c r="AI1171" s="9">
        <v>38.646304092692077</v>
      </c>
      <c r="AJ1171" s="9">
        <v>3.0428788910505911</v>
      </c>
    </row>
    <row r="1172" spans="1:36" x14ac:dyDescent="0.25">
      <c r="A1172" t="s">
        <v>5411</v>
      </c>
      <c r="B1172" t="s">
        <v>16</v>
      </c>
      <c r="C1172" t="s">
        <v>17</v>
      </c>
      <c r="D1172">
        <v>35580000</v>
      </c>
      <c r="E1172">
        <v>35581999</v>
      </c>
      <c r="F1172" t="s">
        <v>994</v>
      </c>
      <c r="G1172" t="str">
        <f t="shared" si="36"/>
        <v>MGI II</v>
      </c>
      <c r="H1172" t="s">
        <v>851</v>
      </c>
      <c r="I1172" t="s">
        <v>20</v>
      </c>
      <c r="J1172" t="s">
        <v>64</v>
      </c>
      <c r="K1172" s="6">
        <v>0.03</v>
      </c>
      <c r="L1172" s="7">
        <f t="shared" si="37"/>
        <v>2E-3</v>
      </c>
      <c r="M1172" s="7">
        <v>3.0000000000000001E-3</v>
      </c>
      <c r="N1172">
        <v>8</v>
      </c>
      <c r="O1172" s="8">
        <v>17.822306426995311</v>
      </c>
      <c r="P1172" s="9">
        <v>17.822306426995311</v>
      </c>
      <c r="Q1172" s="9">
        <v>17.822306426995311</v>
      </c>
      <c r="R1172" s="9">
        <v>18.237663306594719</v>
      </c>
      <c r="S1172" s="9">
        <v>18.48712920931133</v>
      </c>
      <c r="T1172" s="9">
        <v>19.201553596969877</v>
      </c>
      <c r="U1172" s="9">
        <v>20.562345482855957</v>
      </c>
      <c r="V1172" s="9">
        <v>20.562345482855957</v>
      </c>
      <c r="W1172" s="9">
        <v>20.562345482855957</v>
      </c>
      <c r="X1172" s="9">
        <v>22.391977691000818</v>
      </c>
      <c r="Y1172" s="9">
        <v>22.391977691000818</v>
      </c>
      <c r="Z1172" s="9">
        <v>24.28858708803979</v>
      </c>
      <c r="AA1172" s="9">
        <v>24.28858708803979</v>
      </c>
      <c r="AB1172" s="9">
        <v>25.117335532005217</v>
      </c>
      <c r="AC1172" s="9">
        <v>25.117335532005217</v>
      </c>
      <c r="AD1172" s="9">
        <v>29.039116491286865</v>
      </c>
      <c r="AE1172" s="9">
        <v>31.219251037281825</v>
      </c>
      <c r="AF1172" s="9">
        <v>33.487682081707895</v>
      </c>
      <c r="AG1172" s="9">
        <v>33.487682081707895</v>
      </c>
      <c r="AH1172" s="9">
        <v>36.427668170967245</v>
      </c>
      <c r="AI1172" s="9">
        <v>38.74455996597662</v>
      </c>
      <c r="AJ1172" s="9">
        <v>3.0428788910505911</v>
      </c>
    </row>
    <row r="1173" spans="1:36" x14ac:dyDescent="0.25">
      <c r="A1173" t="s">
        <v>5411</v>
      </c>
      <c r="B1173" t="s">
        <v>16</v>
      </c>
      <c r="C1173" t="s">
        <v>17</v>
      </c>
      <c r="D1173">
        <v>35582000</v>
      </c>
      <c r="E1173">
        <v>35584999</v>
      </c>
      <c r="F1173" t="s">
        <v>995</v>
      </c>
      <c r="G1173" t="str">
        <f t="shared" si="36"/>
        <v>MGI II</v>
      </c>
      <c r="H1173" t="s">
        <v>851</v>
      </c>
      <c r="I1173" t="s">
        <v>20</v>
      </c>
      <c r="J1173" t="s">
        <v>64</v>
      </c>
      <c r="K1173" s="6">
        <v>0.03</v>
      </c>
      <c r="L1173" s="7">
        <f t="shared" si="37"/>
        <v>2E-3</v>
      </c>
      <c r="M1173" s="7">
        <v>3.0000000000000001E-3</v>
      </c>
      <c r="N1173">
        <v>7</v>
      </c>
      <c r="O1173" s="8">
        <v>17.822306426995311</v>
      </c>
      <c r="P1173" s="9">
        <v>17.822306426995311</v>
      </c>
      <c r="Q1173" s="9">
        <v>17.822306426995311</v>
      </c>
      <c r="R1173" s="9">
        <v>18.237663306594719</v>
      </c>
      <c r="S1173" s="9">
        <v>18.48712920931133</v>
      </c>
      <c r="T1173" s="9">
        <v>19.201553596969877</v>
      </c>
      <c r="U1173" s="9">
        <v>20.562345482855957</v>
      </c>
      <c r="V1173" s="9">
        <v>20.562345482855957</v>
      </c>
      <c r="W1173" s="9">
        <v>20.562345482855957</v>
      </c>
      <c r="X1173" s="9">
        <v>22.391977691000818</v>
      </c>
      <c r="Y1173" s="9">
        <v>22.391977691000818</v>
      </c>
      <c r="Z1173" s="9">
        <v>24.28858708803979</v>
      </c>
      <c r="AA1173" s="9">
        <v>24.28858708803979</v>
      </c>
      <c r="AB1173" s="9">
        <v>25.117335532005217</v>
      </c>
      <c r="AC1173" s="9">
        <v>25.117335532005217</v>
      </c>
      <c r="AD1173" s="9">
        <v>29.039116491286865</v>
      </c>
      <c r="AE1173" s="9">
        <v>31.219251037281825</v>
      </c>
      <c r="AF1173" s="9">
        <v>33.487682081707895</v>
      </c>
      <c r="AG1173" s="9">
        <v>33.487682081707895</v>
      </c>
      <c r="AH1173" s="9">
        <v>36.427668170967245</v>
      </c>
      <c r="AI1173" s="9">
        <v>38.74455996597662</v>
      </c>
      <c r="AJ1173" s="9">
        <v>3.0428788910505911</v>
      </c>
    </row>
    <row r="1174" spans="1:36" x14ac:dyDescent="0.25">
      <c r="A1174" t="s">
        <v>5411</v>
      </c>
      <c r="B1174" t="s">
        <v>16</v>
      </c>
      <c r="C1174" t="s">
        <v>17</v>
      </c>
      <c r="D1174">
        <v>35585000</v>
      </c>
      <c r="E1174">
        <v>35587999</v>
      </c>
      <c r="F1174" t="s">
        <v>996</v>
      </c>
      <c r="G1174" t="str">
        <f t="shared" si="36"/>
        <v>MGI II</v>
      </c>
      <c r="H1174" t="s">
        <v>851</v>
      </c>
      <c r="I1174" t="s">
        <v>20</v>
      </c>
      <c r="J1174" t="s">
        <v>64</v>
      </c>
      <c r="K1174" s="6">
        <v>0.03</v>
      </c>
      <c r="L1174" s="7">
        <f t="shared" si="37"/>
        <v>2E-3</v>
      </c>
      <c r="M1174" s="7">
        <v>3.0000000000000001E-3</v>
      </c>
      <c r="N1174">
        <v>7</v>
      </c>
      <c r="O1174" s="8">
        <v>17.822306426995311</v>
      </c>
      <c r="P1174" s="9">
        <v>17.822306426995311</v>
      </c>
      <c r="Q1174" s="9">
        <v>17.822306426995311</v>
      </c>
      <c r="R1174" s="9">
        <v>18.237663306594719</v>
      </c>
      <c r="S1174" s="9">
        <v>18.48712920931133</v>
      </c>
      <c r="T1174" s="9">
        <v>19.201553596969877</v>
      </c>
      <c r="U1174" s="9">
        <v>20.562345482855957</v>
      </c>
      <c r="V1174" s="9">
        <v>20.562345482855957</v>
      </c>
      <c r="W1174" s="9">
        <v>20.562345482855957</v>
      </c>
      <c r="X1174" s="9">
        <v>22.391977691000818</v>
      </c>
      <c r="Y1174" s="9">
        <v>22.391977691000818</v>
      </c>
      <c r="Z1174" s="9">
        <v>24.28858708803979</v>
      </c>
      <c r="AA1174" s="9">
        <v>24.28858708803979</v>
      </c>
      <c r="AB1174" s="9">
        <v>25.117335532005217</v>
      </c>
      <c r="AC1174" s="9">
        <v>25.117335532005217</v>
      </c>
      <c r="AD1174" s="9">
        <v>29.039116491286865</v>
      </c>
      <c r="AE1174" s="9">
        <v>31.219251037281825</v>
      </c>
      <c r="AF1174" s="9">
        <v>33.487682081707895</v>
      </c>
      <c r="AG1174" s="9">
        <v>33.487682081707895</v>
      </c>
      <c r="AH1174" s="9">
        <v>36.427668170967245</v>
      </c>
      <c r="AI1174" s="9">
        <v>38.74455996597662</v>
      </c>
      <c r="AJ1174" s="9">
        <v>3.0428788910505911</v>
      </c>
    </row>
    <row r="1175" spans="1:36" x14ac:dyDescent="0.25">
      <c r="A1175" t="s">
        <v>5411</v>
      </c>
      <c r="B1175" t="s">
        <v>16</v>
      </c>
      <c r="C1175" t="s">
        <v>17</v>
      </c>
      <c r="D1175">
        <v>35588000</v>
      </c>
      <c r="E1175">
        <v>35589999</v>
      </c>
      <c r="F1175" t="s">
        <v>997</v>
      </c>
      <c r="G1175" t="str">
        <f t="shared" si="36"/>
        <v>MGI</v>
      </c>
      <c r="H1175" t="s">
        <v>851</v>
      </c>
      <c r="I1175" t="s">
        <v>20</v>
      </c>
      <c r="J1175" t="s">
        <v>62</v>
      </c>
      <c r="K1175" s="6">
        <v>0.03</v>
      </c>
      <c r="L1175" s="7">
        <f t="shared" si="37"/>
        <v>2E-3</v>
      </c>
      <c r="M1175" s="7">
        <v>3.0000000000000001E-3</v>
      </c>
      <c r="N1175">
        <v>7</v>
      </c>
      <c r="O1175" s="8">
        <v>13.880385281502075</v>
      </c>
      <c r="P1175" s="9">
        <v>13.880385281502075</v>
      </c>
      <c r="Q1175" s="9">
        <v>13.880385281502075</v>
      </c>
      <c r="R1175" s="9">
        <v>14.045989937445718</v>
      </c>
      <c r="S1175" s="9">
        <v>14.060876315369912</v>
      </c>
      <c r="T1175" s="9">
        <v>15.090338571208333</v>
      </c>
      <c r="U1175" s="9">
        <v>16.025407313902726</v>
      </c>
      <c r="V1175" s="9">
        <v>16.025407313902726</v>
      </c>
      <c r="W1175" s="9">
        <v>16.025407313902726</v>
      </c>
      <c r="X1175" s="9">
        <v>18.013895748167766</v>
      </c>
      <c r="Y1175" s="9">
        <v>18.013895748167766</v>
      </c>
      <c r="Z1175" s="9">
        <v>20.142868501532355</v>
      </c>
      <c r="AA1175" s="9">
        <v>20.142868501532355</v>
      </c>
      <c r="AB1175" s="9">
        <v>22.456349831314476</v>
      </c>
      <c r="AC1175" s="9">
        <v>22.456349831314476</v>
      </c>
      <c r="AD1175" s="9">
        <v>24.87984091164185</v>
      </c>
      <c r="AE1175" s="9">
        <v>27.427492221952345</v>
      </c>
      <c r="AF1175" s="9">
        <v>33.194804868730657</v>
      </c>
      <c r="AG1175" s="9">
        <v>33.194804868730657</v>
      </c>
      <c r="AH1175" s="9">
        <v>35.957808835828068</v>
      </c>
      <c r="AI1175" s="9">
        <v>38.646304092692077</v>
      </c>
      <c r="AJ1175" s="9">
        <v>3.0428788910505911</v>
      </c>
    </row>
    <row r="1176" spans="1:36" x14ac:dyDescent="0.25">
      <c r="A1176" t="s">
        <v>5411</v>
      </c>
      <c r="B1176" t="s">
        <v>16</v>
      </c>
      <c r="C1176" t="s">
        <v>17</v>
      </c>
      <c r="D1176">
        <v>35590000</v>
      </c>
      <c r="E1176">
        <v>35594999</v>
      </c>
      <c r="F1176" t="s">
        <v>998</v>
      </c>
      <c r="G1176" t="str">
        <f t="shared" si="36"/>
        <v>MGI</v>
      </c>
      <c r="H1176" t="s">
        <v>851</v>
      </c>
      <c r="I1176" t="s">
        <v>20</v>
      </c>
      <c r="J1176" t="s">
        <v>62</v>
      </c>
      <c r="K1176" s="6">
        <v>0.03</v>
      </c>
      <c r="L1176" s="7">
        <f t="shared" si="37"/>
        <v>2E-3</v>
      </c>
      <c r="M1176" s="7">
        <v>3.0000000000000001E-3</v>
      </c>
      <c r="N1176">
        <v>7</v>
      </c>
      <c r="O1176" s="8">
        <v>13.880385281502075</v>
      </c>
      <c r="P1176" s="9">
        <v>13.880385281502075</v>
      </c>
      <c r="Q1176" s="9">
        <v>13.880385281502075</v>
      </c>
      <c r="R1176" s="9">
        <v>14.045989937445718</v>
      </c>
      <c r="S1176" s="9">
        <v>14.060876315369912</v>
      </c>
      <c r="T1176" s="9">
        <v>15.090338571208333</v>
      </c>
      <c r="U1176" s="9">
        <v>16.025407313902726</v>
      </c>
      <c r="V1176" s="9">
        <v>16.025407313902726</v>
      </c>
      <c r="W1176" s="9">
        <v>16.025407313902726</v>
      </c>
      <c r="X1176" s="9">
        <v>18.013895748167766</v>
      </c>
      <c r="Y1176" s="9">
        <v>18.013895748167766</v>
      </c>
      <c r="Z1176" s="9">
        <v>20.142868501532355</v>
      </c>
      <c r="AA1176" s="9">
        <v>20.142868501532355</v>
      </c>
      <c r="AB1176" s="9">
        <v>22.456349831314476</v>
      </c>
      <c r="AC1176" s="9">
        <v>22.456349831314476</v>
      </c>
      <c r="AD1176" s="9">
        <v>24.87984091164185</v>
      </c>
      <c r="AE1176" s="9">
        <v>27.427492221952345</v>
      </c>
      <c r="AF1176" s="9">
        <v>33.194804868730657</v>
      </c>
      <c r="AG1176" s="9">
        <v>33.194804868730657</v>
      </c>
      <c r="AH1176" s="9">
        <v>35.957808835828068</v>
      </c>
      <c r="AI1176" s="9">
        <v>38.646304092692077</v>
      </c>
      <c r="AJ1176" s="9">
        <v>3.0428788910505911</v>
      </c>
    </row>
    <row r="1177" spans="1:36" x14ac:dyDescent="0.25">
      <c r="A1177" t="s">
        <v>5411</v>
      </c>
      <c r="B1177" t="s">
        <v>16</v>
      </c>
      <c r="C1177" t="s">
        <v>17</v>
      </c>
      <c r="D1177">
        <v>35595000</v>
      </c>
      <c r="E1177">
        <v>35599999</v>
      </c>
      <c r="F1177" t="s">
        <v>999</v>
      </c>
      <c r="G1177" t="str">
        <f t="shared" si="36"/>
        <v>MGI</v>
      </c>
      <c r="H1177" t="s">
        <v>851</v>
      </c>
      <c r="I1177" t="s">
        <v>20</v>
      </c>
      <c r="J1177" t="s">
        <v>62</v>
      </c>
      <c r="K1177" s="6">
        <v>0.03</v>
      </c>
      <c r="L1177" s="7">
        <f t="shared" si="37"/>
        <v>2E-3</v>
      </c>
      <c r="M1177" s="7">
        <v>3.0000000000000001E-3</v>
      </c>
      <c r="N1177">
        <v>8</v>
      </c>
      <c r="O1177" s="8">
        <v>13.880385281502075</v>
      </c>
      <c r="P1177" s="9">
        <v>13.880385281502075</v>
      </c>
      <c r="Q1177" s="9">
        <v>13.880385281502075</v>
      </c>
      <c r="R1177" s="9">
        <v>14.045989937445718</v>
      </c>
      <c r="S1177" s="9">
        <v>14.060876315369912</v>
      </c>
      <c r="T1177" s="9">
        <v>15.090338571208333</v>
      </c>
      <c r="U1177" s="9">
        <v>16.025407313902726</v>
      </c>
      <c r="V1177" s="9">
        <v>16.025407313902726</v>
      </c>
      <c r="W1177" s="9">
        <v>16.025407313902726</v>
      </c>
      <c r="X1177" s="9">
        <v>18.013895748167766</v>
      </c>
      <c r="Y1177" s="9">
        <v>18.013895748167766</v>
      </c>
      <c r="Z1177" s="9">
        <v>20.142868501532355</v>
      </c>
      <c r="AA1177" s="9">
        <v>20.142868501532355</v>
      </c>
      <c r="AB1177" s="9">
        <v>22.456349831314476</v>
      </c>
      <c r="AC1177" s="9">
        <v>22.456349831314476</v>
      </c>
      <c r="AD1177" s="9">
        <v>24.87984091164185</v>
      </c>
      <c r="AE1177" s="9">
        <v>27.427492221952345</v>
      </c>
      <c r="AF1177" s="9">
        <v>33.194804868730657</v>
      </c>
      <c r="AG1177" s="9">
        <v>33.194804868730657</v>
      </c>
      <c r="AH1177" s="9">
        <v>35.957808835828068</v>
      </c>
      <c r="AI1177" s="9">
        <v>38.646304092692077</v>
      </c>
      <c r="AJ1177" s="9">
        <v>3.0428788910505911</v>
      </c>
    </row>
    <row r="1178" spans="1:36" x14ac:dyDescent="0.25">
      <c r="A1178" t="s">
        <v>5411</v>
      </c>
      <c r="B1178" t="s">
        <v>16</v>
      </c>
      <c r="C1178" t="s">
        <v>17</v>
      </c>
      <c r="D1178">
        <v>35600000</v>
      </c>
      <c r="E1178">
        <v>35602999</v>
      </c>
      <c r="F1178" t="s">
        <v>1000</v>
      </c>
      <c r="G1178" t="str">
        <f t="shared" si="36"/>
        <v>MGI</v>
      </c>
      <c r="H1178" t="s">
        <v>851</v>
      </c>
      <c r="I1178" t="s">
        <v>20</v>
      </c>
      <c r="J1178" t="s">
        <v>62</v>
      </c>
      <c r="K1178" s="6">
        <v>0.03</v>
      </c>
      <c r="L1178" s="7">
        <f t="shared" si="37"/>
        <v>2E-3</v>
      </c>
      <c r="M1178" s="7">
        <v>3.0000000000000001E-3</v>
      </c>
      <c r="N1178">
        <v>7</v>
      </c>
      <c r="O1178" s="8">
        <v>13.880385281502075</v>
      </c>
      <c r="P1178" s="9">
        <v>13.880385281502075</v>
      </c>
      <c r="Q1178" s="9">
        <v>13.880385281502075</v>
      </c>
      <c r="R1178" s="9">
        <v>14.045989937445718</v>
      </c>
      <c r="S1178" s="9">
        <v>14.060876315369912</v>
      </c>
      <c r="T1178" s="9">
        <v>15.090338571208333</v>
      </c>
      <c r="U1178" s="9">
        <v>16.025407313902726</v>
      </c>
      <c r="V1178" s="9">
        <v>16.025407313902726</v>
      </c>
      <c r="W1178" s="9">
        <v>16.025407313902726</v>
      </c>
      <c r="X1178" s="9">
        <v>18.013895748167766</v>
      </c>
      <c r="Y1178" s="9">
        <v>18.013895748167766</v>
      </c>
      <c r="Z1178" s="9">
        <v>20.142868501532355</v>
      </c>
      <c r="AA1178" s="9">
        <v>20.142868501532355</v>
      </c>
      <c r="AB1178" s="9">
        <v>22.456349831314476</v>
      </c>
      <c r="AC1178" s="9">
        <v>22.456349831314476</v>
      </c>
      <c r="AD1178" s="9">
        <v>24.87984091164185</v>
      </c>
      <c r="AE1178" s="9">
        <v>27.427492221952345</v>
      </c>
      <c r="AF1178" s="9">
        <v>33.194804868730657</v>
      </c>
      <c r="AG1178" s="9">
        <v>33.194804868730657</v>
      </c>
      <c r="AH1178" s="9">
        <v>35.957808835828068</v>
      </c>
      <c r="AI1178" s="9">
        <v>38.646304092692077</v>
      </c>
      <c r="AJ1178" s="9">
        <v>3.0428788910505911</v>
      </c>
    </row>
    <row r="1179" spans="1:36" x14ac:dyDescent="0.25">
      <c r="A1179" t="s">
        <v>5411</v>
      </c>
      <c r="B1179" t="s">
        <v>16</v>
      </c>
      <c r="C1179" t="s">
        <v>17</v>
      </c>
      <c r="D1179">
        <v>35603000</v>
      </c>
      <c r="E1179">
        <v>35603999</v>
      </c>
      <c r="F1179" t="s">
        <v>1001</v>
      </c>
      <c r="G1179" t="str">
        <f t="shared" si="36"/>
        <v>MGI II</v>
      </c>
      <c r="H1179" t="s">
        <v>851</v>
      </c>
      <c r="I1179" t="s">
        <v>20</v>
      </c>
      <c r="J1179" t="s">
        <v>64</v>
      </c>
      <c r="K1179" s="6">
        <v>0.03</v>
      </c>
      <c r="L1179" s="7">
        <f t="shared" si="37"/>
        <v>2E-3</v>
      </c>
      <c r="M1179" s="7">
        <v>3.0000000000000001E-3</v>
      </c>
      <c r="N1179">
        <v>7</v>
      </c>
      <c r="O1179" s="8">
        <v>17.822306426995311</v>
      </c>
      <c r="P1179" s="9">
        <v>17.822306426995311</v>
      </c>
      <c r="Q1179" s="9">
        <v>17.822306426995311</v>
      </c>
      <c r="R1179" s="9">
        <v>18.237663306594719</v>
      </c>
      <c r="S1179" s="9">
        <v>18.48712920931133</v>
      </c>
      <c r="T1179" s="9">
        <v>19.201553596969877</v>
      </c>
      <c r="U1179" s="9">
        <v>20.562345482855957</v>
      </c>
      <c r="V1179" s="9">
        <v>20.562345482855957</v>
      </c>
      <c r="W1179" s="9">
        <v>20.562345482855957</v>
      </c>
      <c r="X1179" s="9">
        <v>22.391977691000818</v>
      </c>
      <c r="Y1179" s="9">
        <v>22.391977691000818</v>
      </c>
      <c r="Z1179" s="9">
        <v>24.28858708803979</v>
      </c>
      <c r="AA1179" s="9">
        <v>24.28858708803979</v>
      </c>
      <c r="AB1179" s="9">
        <v>25.117335532005217</v>
      </c>
      <c r="AC1179" s="9">
        <v>25.117335532005217</v>
      </c>
      <c r="AD1179" s="9">
        <v>29.039116491286865</v>
      </c>
      <c r="AE1179" s="9">
        <v>31.219251037281825</v>
      </c>
      <c r="AF1179" s="9">
        <v>33.487682081707895</v>
      </c>
      <c r="AG1179" s="9">
        <v>33.487682081707895</v>
      </c>
      <c r="AH1179" s="9">
        <v>36.427668170967245</v>
      </c>
      <c r="AI1179" s="9">
        <v>38.74455996597662</v>
      </c>
      <c r="AJ1179" s="9">
        <v>3.0428788910505911</v>
      </c>
    </row>
    <row r="1180" spans="1:36" x14ac:dyDescent="0.25">
      <c r="A1180" t="s">
        <v>5411</v>
      </c>
      <c r="B1180" t="s">
        <v>16</v>
      </c>
      <c r="C1180" t="s">
        <v>17</v>
      </c>
      <c r="D1180">
        <v>35604000</v>
      </c>
      <c r="E1180">
        <v>35605999</v>
      </c>
      <c r="F1180" t="s">
        <v>1002</v>
      </c>
      <c r="G1180" t="str">
        <f t="shared" si="36"/>
        <v>MGI II</v>
      </c>
      <c r="H1180" t="s">
        <v>851</v>
      </c>
      <c r="I1180" t="s">
        <v>20</v>
      </c>
      <c r="J1180" t="s">
        <v>64</v>
      </c>
      <c r="K1180" s="6">
        <v>0.03</v>
      </c>
      <c r="L1180" s="7">
        <f t="shared" si="37"/>
        <v>2E-3</v>
      </c>
      <c r="M1180" s="7">
        <v>3.0000000000000001E-3</v>
      </c>
      <c r="N1180">
        <v>8</v>
      </c>
      <c r="O1180" s="8">
        <v>17.822306426995311</v>
      </c>
      <c r="P1180" s="9">
        <v>17.822306426995311</v>
      </c>
      <c r="Q1180" s="9">
        <v>17.822306426995311</v>
      </c>
      <c r="R1180" s="9">
        <v>18.237663306594719</v>
      </c>
      <c r="S1180" s="9">
        <v>18.48712920931133</v>
      </c>
      <c r="T1180" s="9">
        <v>19.201553596969877</v>
      </c>
      <c r="U1180" s="9">
        <v>20.562345482855957</v>
      </c>
      <c r="V1180" s="9">
        <v>20.562345482855957</v>
      </c>
      <c r="W1180" s="9">
        <v>20.562345482855957</v>
      </c>
      <c r="X1180" s="9">
        <v>22.391977691000818</v>
      </c>
      <c r="Y1180" s="9">
        <v>22.391977691000818</v>
      </c>
      <c r="Z1180" s="9">
        <v>24.28858708803979</v>
      </c>
      <c r="AA1180" s="9">
        <v>24.28858708803979</v>
      </c>
      <c r="AB1180" s="9">
        <v>25.117335532005217</v>
      </c>
      <c r="AC1180" s="9">
        <v>25.117335532005217</v>
      </c>
      <c r="AD1180" s="9">
        <v>29.039116491286865</v>
      </c>
      <c r="AE1180" s="9">
        <v>31.219251037281825</v>
      </c>
      <c r="AF1180" s="9">
        <v>33.487682081707895</v>
      </c>
      <c r="AG1180" s="9">
        <v>33.487682081707895</v>
      </c>
      <c r="AH1180" s="9">
        <v>36.427668170967245</v>
      </c>
      <c r="AI1180" s="9">
        <v>38.74455996597662</v>
      </c>
      <c r="AJ1180" s="9">
        <v>3.0428788910505911</v>
      </c>
    </row>
    <row r="1181" spans="1:36" x14ac:dyDescent="0.25">
      <c r="A1181" t="s">
        <v>5411</v>
      </c>
      <c r="B1181" t="s">
        <v>16</v>
      </c>
      <c r="C1181" t="s">
        <v>17</v>
      </c>
      <c r="D1181">
        <v>35606000</v>
      </c>
      <c r="E1181">
        <v>35609999</v>
      </c>
      <c r="F1181" t="s">
        <v>1003</v>
      </c>
      <c r="G1181" t="str">
        <f t="shared" si="36"/>
        <v>MGI II</v>
      </c>
      <c r="H1181" t="s">
        <v>851</v>
      </c>
      <c r="I1181" t="s">
        <v>20</v>
      </c>
      <c r="J1181" t="s">
        <v>64</v>
      </c>
      <c r="K1181" s="6">
        <v>0.03</v>
      </c>
      <c r="L1181" s="7">
        <f t="shared" si="37"/>
        <v>2E-3</v>
      </c>
      <c r="M1181" s="7">
        <v>3.0000000000000001E-3</v>
      </c>
      <c r="N1181">
        <v>7</v>
      </c>
      <c r="O1181" s="8">
        <v>17.822306426995311</v>
      </c>
      <c r="P1181" s="9">
        <v>17.822306426995311</v>
      </c>
      <c r="Q1181" s="9">
        <v>17.822306426995311</v>
      </c>
      <c r="R1181" s="9">
        <v>18.237663306594719</v>
      </c>
      <c r="S1181" s="9">
        <v>18.48712920931133</v>
      </c>
      <c r="T1181" s="9">
        <v>19.201553596969877</v>
      </c>
      <c r="U1181" s="9">
        <v>20.562345482855957</v>
      </c>
      <c r="V1181" s="9">
        <v>20.562345482855957</v>
      </c>
      <c r="W1181" s="9">
        <v>20.562345482855957</v>
      </c>
      <c r="X1181" s="9">
        <v>22.391977691000818</v>
      </c>
      <c r="Y1181" s="9">
        <v>22.391977691000818</v>
      </c>
      <c r="Z1181" s="9">
        <v>24.28858708803979</v>
      </c>
      <c r="AA1181" s="9">
        <v>24.28858708803979</v>
      </c>
      <c r="AB1181" s="9">
        <v>25.117335532005217</v>
      </c>
      <c r="AC1181" s="9">
        <v>25.117335532005217</v>
      </c>
      <c r="AD1181" s="9">
        <v>29.039116491286865</v>
      </c>
      <c r="AE1181" s="9">
        <v>31.219251037281825</v>
      </c>
      <c r="AF1181" s="9">
        <v>33.487682081707895</v>
      </c>
      <c r="AG1181" s="9">
        <v>33.487682081707895</v>
      </c>
      <c r="AH1181" s="9">
        <v>36.427668170967245</v>
      </c>
      <c r="AI1181" s="9">
        <v>38.74455996597662</v>
      </c>
      <c r="AJ1181" s="9">
        <v>3.0428788910505911</v>
      </c>
    </row>
    <row r="1182" spans="1:36" x14ac:dyDescent="0.25">
      <c r="A1182" t="s">
        <v>5411</v>
      </c>
      <c r="B1182" t="s">
        <v>16</v>
      </c>
      <c r="C1182" t="s">
        <v>17</v>
      </c>
      <c r="D1182">
        <v>35610000</v>
      </c>
      <c r="E1182">
        <v>35612999</v>
      </c>
      <c r="F1182" t="s">
        <v>1004</v>
      </c>
      <c r="G1182" t="str">
        <f t="shared" si="36"/>
        <v>MGI</v>
      </c>
      <c r="H1182" t="s">
        <v>851</v>
      </c>
      <c r="I1182" t="s">
        <v>20</v>
      </c>
      <c r="J1182" t="s">
        <v>62</v>
      </c>
      <c r="K1182" s="6">
        <v>0.03</v>
      </c>
      <c r="L1182" s="7">
        <f t="shared" si="37"/>
        <v>2E-3</v>
      </c>
      <c r="M1182" s="7">
        <v>3.0000000000000001E-3</v>
      </c>
      <c r="N1182">
        <v>7</v>
      </c>
      <c r="O1182" s="8">
        <v>13.880385281502075</v>
      </c>
      <c r="P1182" s="9">
        <v>13.880385281502075</v>
      </c>
      <c r="Q1182" s="9">
        <v>13.880385281502075</v>
      </c>
      <c r="R1182" s="9">
        <v>14.045989937445718</v>
      </c>
      <c r="S1182" s="9">
        <v>14.060876315369912</v>
      </c>
      <c r="T1182" s="9">
        <v>15.090338571208333</v>
      </c>
      <c r="U1182" s="9">
        <v>16.025407313902726</v>
      </c>
      <c r="V1182" s="9">
        <v>16.025407313902726</v>
      </c>
      <c r="W1182" s="9">
        <v>16.025407313902726</v>
      </c>
      <c r="X1182" s="9">
        <v>18.013895748167766</v>
      </c>
      <c r="Y1182" s="9">
        <v>18.013895748167766</v>
      </c>
      <c r="Z1182" s="9">
        <v>20.142868501532355</v>
      </c>
      <c r="AA1182" s="9">
        <v>20.142868501532355</v>
      </c>
      <c r="AB1182" s="9">
        <v>22.456349831314476</v>
      </c>
      <c r="AC1182" s="9">
        <v>22.456349831314476</v>
      </c>
      <c r="AD1182" s="9">
        <v>24.87984091164185</v>
      </c>
      <c r="AE1182" s="9">
        <v>27.427492221952345</v>
      </c>
      <c r="AF1182" s="9">
        <v>33.194804868730657</v>
      </c>
      <c r="AG1182" s="9">
        <v>33.194804868730657</v>
      </c>
      <c r="AH1182" s="9">
        <v>35.957808835828068</v>
      </c>
      <c r="AI1182" s="9">
        <v>38.646304092692077</v>
      </c>
      <c r="AJ1182" s="9">
        <v>3.0428788910505911</v>
      </c>
    </row>
    <row r="1183" spans="1:36" x14ac:dyDescent="0.25">
      <c r="A1183" t="s">
        <v>5411</v>
      </c>
      <c r="B1183" t="s">
        <v>16</v>
      </c>
      <c r="C1183" t="s">
        <v>17</v>
      </c>
      <c r="D1183">
        <v>35613000</v>
      </c>
      <c r="E1183">
        <v>35616999</v>
      </c>
      <c r="F1183" t="s">
        <v>1005</v>
      </c>
      <c r="G1183" t="str">
        <f t="shared" si="36"/>
        <v>MGI II</v>
      </c>
      <c r="H1183" t="s">
        <v>851</v>
      </c>
      <c r="I1183" t="s">
        <v>20</v>
      </c>
      <c r="J1183" t="s">
        <v>64</v>
      </c>
      <c r="K1183" s="6">
        <v>0.03</v>
      </c>
      <c r="L1183" s="7">
        <f t="shared" si="37"/>
        <v>2E-3</v>
      </c>
      <c r="M1183" s="7">
        <v>3.0000000000000001E-3</v>
      </c>
      <c r="N1183">
        <v>7</v>
      </c>
      <c r="O1183" s="8">
        <v>17.822306426995311</v>
      </c>
      <c r="P1183" s="9">
        <v>17.822306426995311</v>
      </c>
      <c r="Q1183" s="9">
        <v>17.822306426995311</v>
      </c>
      <c r="R1183" s="9">
        <v>18.237663306594719</v>
      </c>
      <c r="S1183" s="9">
        <v>18.48712920931133</v>
      </c>
      <c r="T1183" s="9">
        <v>19.201553596969877</v>
      </c>
      <c r="U1183" s="9">
        <v>20.562345482855957</v>
      </c>
      <c r="V1183" s="9">
        <v>20.562345482855957</v>
      </c>
      <c r="W1183" s="9">
        <v>20.562345482855957</v>
      </c>
      <c r="X1183" s="9">
        <v>22.391977691000818</v>
      </c>
      <c r="Y1183" s="9">
        <v>22.391977691000818</v>
      </c>
      <c r="Z1183" s="9">
        <v>24.28858708803979</v>
      </c>
      <c r="AA1183" s="9">
        <v>24.28858708803979</v>
      </c>
      <c r="AB1183" s="9">
        <v>25.117335532005217</v>
      </c>
      <c r="AC1183" s="9">
        <v>25.117335532005217</v>
      </c>
      <c r="AD1183" s="9">
        <v>29.039116491286865</v>
      </c>
      <c r="AE1183" s="9">
        <v>31.219251037281825</v>
      </c>
      <c r="AF1183" s="9">
        <v>33.487682081707895</v>
      </c>
      <c r="AG1183" s="9">
        <v>33.487682081707895</v>
      </c>
      <c r="AH1183" s="9">
        <v>36.427668170967245</v>
      </c>
      <c r="AI1183" s="9">
        <v>38.74455996597662</v>
      </c>
      <c r="AJ1183" s="9">
        <v>3.0428788910505911</v>
      </c>
    </row>
    <row r="1184" spans="1:36" x14ac:dyDescent="0.25">
      <c r="A1184" t="s">
        <v>5411</v>
      </c>
      <c r="B1184" t="s">
        <v>16</v>
      </c>
      <c r="C1184" t="s">
        <v>17</v>
      </c>
      <c r="D1184">
        <v>35617000</v>
      </c>
      <c r="E1184">
        <v>35619999</v>
      </c>
      <c r="F1184" t="s">
        <v>1006</v>
      </c>
      <c r="G1184" t="str">
        <f t="shared" si="36"/>
        <v>MGI II</v>
      </c>
      <c r="H1184" t="s">
        <v>851</v>
      </c>
      <c r="I1184" t="s">
        <v>20</v>
      </c>
      <c r="J1184" t="s">
        <v>64</v>
      </c>
      <c r="K1184" s="6">
        <v>0.03</v>
      </c>
      <c r="L1184" s="7">
        <f t="shared" si="37"/>
        <v>2E-3</v>
      </c>
      <c r="M1184" s="7">
        <v>3.0000000000000001E-3</v>
      </c>
      <c r="N1184">
        <v>8</v>
      </c>
      <c r="O1184" s="8">
        <v>17.822306426995311</v>
      </c>
      <c r="P1184" s="9">
        <v>17.822306426995311</v>
      </c>
      <c r="Q1184" s="9">
        <v>17.822306426995311</v>
      </c>
      <c r="R1184" s="9">
        <v>18.237663306594719</v>
      </c>
      <c r="S1184" s="9">
        <v>18.48712920931133</v>
      </c>
      <c r="T1184" s="9">
        <v>19.201553596969877</v>
      </c>
      <c r="U1184" s="9">
        <v>20.562345482855957</v>
      </c>
      <c r="V1184" s="9">
        <v>20.562345482855957</v>
      </c>
      <c r="W1184" s="9">
        <v>20.562345482855957</v>
      </c>
      <c r="X1184" s="9">
        <v>22.391977691000818</v>
      </c>
      <c r="Y1184" s="9">
        <v>22.391977691000818</v>
      </c>
      <c r="Z1184" s="9">
        <v>24.28858708803979</v>
      </c>
      <c r="AA1184" s="9">
        <v>24.28858708803979</v>
      </c>
      <c r="AB1184" s="9">
        <v>25.117335532005217</v>
      </c>
      <c r="AC1184" s="9">
        <v>25.117335532005217</v>
      </c>
      <c r="AD1184" s="9">
        <v>29.039116491286865</v>
      </c>
      <c r="AE1184" s="9">
        <v>31.219251037281825</v>
      </c>
      <c r="AF1184" s="9">
        <v>33.487682081707895</v>
      </c>
      <c r="AG1184" s="9">
        <v>33.487682081707895</v>
      </c>
      <c r="AH1184" s="9">
        <v>36.427668170967245</v>
      </c>
      <c r="AI1184" s="9">
        <v>38.74455996597662</v>
      </c>
      <c r="AJ1184" s="9">
        <v>3.0428788910505911</v>
      </c>
    </row>
    <row r="1185" spans="1:36" x14ac:dyDescent="0.25">
      <c r="A1185" t="s">
        <v>5411</v>
      </c>
      <c r="B1185" t="s">
        <v>16</v>
      </c>
      <c r="C1185" t="s">
        <v>17</v>
      </c>
      <c r="D1185">
        <v>35620000</v>
      </c>
      <c r="E1185">
        <v>35620999</v>
      </c>
      <c r="F1185" t="s">
        <v>1007</v>
      </c>
      <c r="G1185" t="str">
        <f t="shared" si="36"/>
        <v>MGI</v>
      </c>
      <c r="H1185" t="s">
        <v>851</v>
      </c>
      <c r="I1185" t="s">
        <v>20</v>
      </c>
      <c r="J1185" t="s">
        <v>62</v>
      </c>
      <c r="K1185" s="6">
        <v>0.03</v>
      </c>
      <c r="L1185" s="7">
        <f t="shared" si="37"/>
        <v>2E-3</v>
      </c>
      <c r="M1185" s="7">
        <v>3.0000000000000001E-3</v>
      </c>
      <c r="N1185">
        <v>8</v>
      </c>
      <c r="O1185" s="8">
        <v>13.880385281502075</v>
      </c>
      <c r="P1185" s="9">
        <v>13.880385281502075</v>
      </c>
      <c r="Q1185" s="9">
        <v>13.880385281502075</v>
      </c>
      <c r="R1185" s="9">
        <v>14.045989937445718</v>
      </c>
      <c r="S1185" s="9">
        <v>14.060876315369912</v>
      </c>
      <c r="T1185" s="9">
        <v>15.090338571208333</v>
      </c>
      <c r="U1185" s="9">
        <v>16.025407313902726</v>
      </c>
      <c r="V1185" s="9">
        <v>16.025407313902726</v>
      </c>
      <c r="W1185" s="9">
        <v>16.025407313902726</v>
      </c>
      <c r="X1185" s="9">
        <v>18.013895748167766</v>
      </c>
      <c r="Y1185" s="9">
        <v>18.013895748167766</v>
      </c>
      <c r="Z1185" s="9">
        <v>20.142868501532355</v>
      </c>
      <c r="AA1185" s="9">
        <v>20.142868501532355</v>
      </c>
      <c r="AB1185" s="9">
        <v>22.456349831314476</v>
      </c>
      <c r="AC1185" s="9">
        <v>22.456349831314476</v>
      </c>
      <c r="AD1185" s="9">
        <v>24.87984091164185</v>
      </c>
      <c r="AE1185" s="9">
        <v>27.427492221952345</v>
      </c>
      <c r="AF1185" s="9">
        <v>33.194804868730657</v>
      </c>
      <c r="AG1185" s="9">
        <v>33.194804868730657</v>
      </c>
      <c r="AH1185" s="9">
        <v>35.957808835828068</v>
      </c>
      <c r="AI1185" s="9">
        <v>38.646304092692077</v>
      </c>
      <c r="AJ1185" s="9">
        <v>3.0428788910505911</v>
      </c>
    </row>
    <row r="1186" spans="1:36" x14ac:dyDescent="0.25">
      <c r="A1186" t="s">
        <v>5411</v>
      </c>
      <c r="B1186" t="s">
        <v>16</v>
      </c>
      <c r="C1186" t="s">
        <v>17</v>
      </c>
      <c r="D1186">
        <v>35621000</v>
      </c>
      <c r="E1186">
        <v>35621999</v>
      </c>
      <c r="F1186" t="s">
        <v>1008</v>
      </c>
      <c r="G1186" t="str">
        <f t="shared" si="36"/>
        <v>MGI II</v>
      </c>
      <c r="H1186" t="s">
        <v>851</v>
      </c>
      <c r="I1186" t="s">
        <v>20</v>
      </c>
      <c r="J1186" t="s">
        <v>64</v>
      </c>
      <c r="K1186" s="6">
        <v>0.03</v>
      </c>
      <c r="L1186" s="7">
        <f t="shared" si="37"/>
        <v>2E-3</v>
      </c>
      <c r="M1186" s="7">
        <v>3.0000000000000001E-3</v>
      </c>
      <c r="N1186">
        <v>7</v>
      </c>
      <c r="O1186" s="8">
        <v>17.822306426995311</v>
      </c>
      <c r="P1186" s="9">
        <v>17.822306426995311</v>
      </c>
      <c r="Q1186" s="9">
        <v>17.822306426995311</v>
      </c>
      <c r="R1186" s="9">
        <v>18.237663306594719</v>
      </c>
      <c r="S1186" s="9">
        <v>18.48712920931133</v>
      </c>
      <c r="T1186" s="9">
        <v>19.201553596969877</v>
      </c>
      <c r="U1186" s="9">
        <v>20.562345482855957</v>
      </c>
      <c r="V1186" s="9">
        <v>20.562345482855957</v>
      </c>
      <c r="W1186" s="9">
        <v>20.562345482855957</v>
      </c>
      <c r="X1186" s="9">
        <v>22.391977691000818</v>
      </c>
      <c r="Y1186" s="9">
        <v>22.391977691000818</v>
      </c>
      <c r="Z1186" s="9">
        <v>24.28858708803979</v>
      </c>
      <c r="AA1186" s="9">
        <v>24.28858708803979</v>
      </c>
      <c r="AB1186" s="9">
        <v>25.117335532005217</v>
      </c>
      <c r="AC1186" s="9">
        <v>25.117335532005217</v>
      </c>
      <c r="AD1186" s="9">
        <v>29.039116491286865</v>
      </c>
      <c r="AE1186" s="9">
        <v>31.219251037281825</v>
      </c>
      <c r="AF1186" s="9">
        <v>33.487682081707895</v>
      </c>
      <c r="AG1186" s="9">
        <v>33.487682081707895</v>
      </c>
      <c r="AH1186" s="9">
        <v>36.427668170967245</v>
      </c>
      <c r="AI1186" s="9">
        <v>38.74455996597662</v>
      </c>
      <c r="AJ1186" s="9">
        <v>3.0428788910505911</v>
      </c>
    </row>
    <row r="1187" spans="1:36" x14ac:dyDescent="0.25">
      <c r="A1187" t="s">
        <v>5411</v>
      </c>
      <c r="B1187" t="s">
        <v>16</v>
      </c>
      <c r="C1187" t="s">
        <v>17</v>
      </c>
      <c r="D1187">
        <v>35622000</v>
      </c>
      <c r="E1187">
        <v>35623999</v>
      </c>
      <c r="F1187" t="s">
        <v>1009</v>
      </c>
      <c r="G1187" t="str">
        <f t="shared" si="36"/>
        <v>MGI II</v>
      </c>
      <c r="H1187" t="s">
        <v>851</v>
      </c>
      <c r="I1187" t="s">
        <v>20</v>
      </c>
      <c r="J1187" t="s">
        <v>64</v>
      </c>
      <c r="K1187" s="6">
        <v>0.03</v>
      </c>
      <c r="L1187" s="7">
        <f t="shared" si="37"/>
        <v>2E-3</v>
      </c>
      <c r="M1187" s="7">
        <v>3.0000000000000001E-3</v>
      </c>
      <c r="N1187">
        <v>8</v>
      </c>
      <c r="O1187" s="8">
        <v>17.822306426995311</v>
      </c>
      <c r="P1187" s="9">
        <v>17.822306426995311</v>
      </c>
      <c r="Q1187" s="9">
        <v>17.822306426995311</v>
      </c>
      <c r="R1187" s="9">
        <v>18.237663306594719</v>
      </c>
      <c r="S1187" s="9">
        <v>18.48712920931133</v>
      </c>
      <c r="T1187" s="9">
        <v>19.201553596969877</v>
      </c>
      <c r="U1187" s="9">
        <v>20.562345482855957</v>
      </c>
      <c r="V1187" s="9">
        <v>20.562345482855957</v>
      </c>
      <c r="W1187" s="9">
        <v>20.562345482855957</v>
      </c>
      <c r="X1187" s="9">
        <v>22.391977691000818</v>
      </c>
      <c r="Y1187" s="9">
        <v>22.391977691000818</v>
      </c>
      <c r="Z1187" s="9">
        <v>24.28858708803979</v>
      </c>
      <c r="AA1187" s="9">
        <v>24.28858708803979</v>
      </c>
      <c r="AB1187" s="9">
        <v>25.117335532005217</v>
      </c>
      <c r="AC1187" s="9">
        <v>25.117335532005217</v>
      </c>
      <c r="AD1187" s="9">
        <v>29.039116491286865</v>
      </c>
      <c r="AE1187" s="9">
        <v>31.219251037281825</v>
      </c>
      <c r="AF1187" s="9">
        <v>33.487682081707895</v>
      </c>
      <c r="AG1187" s="9">
        <v>33.487682081707895</v>
      </c>
      <c r="AH1187" s="9">
        <v>36.427668170967245</v>
      </c>
      <c r="AI1187" s="9">
        <v>38.74455996597662</v>
      </c>
      <c r="AJ1187" s="9">
        <v>3.0428788910505911</v>
      </c>
    </row>
    <row r="1188" spans="1:36" x14ac:dyDescent="0.25">
      <c r="A1188" t="s">
        <v>5411</v>
      </c>
      <c r="B1188" t="s">
        <v>16</v>
      </c>
      <c r="C1188" t="s">
        <v>17</v>
      </c>
      <c r="D1188">
        <v>35624000</v>
      </c>
      <c r="E1188">
        <v>35624999</v>
      </c>
      <c r="F1188" t="s">
        <v>1010</v>
      </c>
      <c r="G1188" t="str">
        <f t="shared" si="36"/>
        <v>MGI II</v>
      </c>
      <c r="H1188" t="s">
        <v>851</v>
      </c>
      <c r="I1188" t="s">
        <v>20</v>
      </c>
      <c r="J1188" t="s">
        <v>64</v>
      </c>
      <c r="K1188" s="6">
        <v>0.03</v>
      </c>
      <c r="L1188" s="7">
        <f t="shared" si="37"/>
        <v>2E-3</v>
      </c>
      <c r="M1188" s="7">
        <v>3.0000000000000001E-3</v>
      </c>
      <c r="N1188">
        <v>7</v>
      </c>
      <c r="O1188" s="8">
        <v>17.822306426995311</v>
      </c>
      <c r="P1188" s="9">
        <v>17.822306426995311</v>
      </c>
      <c r="Q1188" s="9">
        <v>17.822306426995311</v>
      </c>
      <c r="R1188" s="9">
        <v>18.237663306594719</v>
      </c>
      <c r="S1188" s="9">
        <v>18.48712920931133</v>
      </c>
      <c r="T1188" s="9">
        <v>19.201553596969877</v>
      </c>
      <c r="U1188" s="9">
        <v>20.562345482855957</v>
      </c>
      <c r="V1188" s="9">
        <v>20.562345482855957</v>
      </c>
      <c r="W1188" s="9">
        <v>20.562345482855957</v>
      </c>
      <c r="X1188" s="9">
        <v>22.391977691000818</v>
      </c>
      <c r="Y1188" s="9">
        <v>22.391977691000818</v>
      </c>
      <c r="Z1188" s="9">
        <v>24.28858708803979</v>
      </c>
      <c r="AA1188" s="9">
        <v>24.28858708803979</v>
      </c>
      <c r="AB1188" s="9">
        <v>25.117335532005217</v>
      </c>
      <c r="AC1188" s="9">
        <v>25.117335532005217</v>
      </c>
      <c r="AD1188" s="9">
        <v>29.039116491286865</v>
      </c>
      <c r="AE1188" s="9">
        <v>31.219251037281825</v>
      </c>
      <c r="AF1188" s="9">
        <v>33.487682081707895</v>
      </c>
      <c r="AG1188" s="9">
        <v>33.487682081707895</v>
      </c>
      <c r="AH1188" s="9">
        <v>36.427668170967245</v>
      </c>
      <c r="AI1188" s="9">
        <v>38.74455996597662</v>
      </c>
      <c r="AJ1188" s="9">
        <v>3.0428788910505911</v>
      </c>
    </row>
    <row r="1189" spans="1:36" x14ac:dyDescent="0.25">
      <c r="A1189" t="s">
        <v>5411</v>
      </c>
      <c r="B1189" t="s">
        <v>16</v>
      </c>
      <c r="C1189" t="s">
        <v>17</v>
      </c>
      <c r="D1189">
        <v>35625000</v>
      </c>
      <c r="E1189">
        <v>35627999</v>
      </c>
      <c r="F1189" t="s">
        <v>1011</v>
      </c>
      <c r="G1189" t="str">
        <f t="shared" si="36"/>
        <v>MGI II</v>
      </c>
      <c r="H1189" t="s">
        <v>851</v>
      </c>
      <c r="I1189" t="s">
        <v>20</v>
      </c>
      <c r="J1189" t="s">
        <v>64</v>
      </c>
      <c r="K1189" s="6">
        <v>0.03</v>
      </c>
      <c r="L1189" s="7">
        <f t="shared" si="37"/>
        <v>2E-3</v>
      </c>
      <c r="M1189" s="7">
        <v>3.0000000000000001E-3</v>
      </c>
      <c r="N1189">
        <v>7</v>
      </c>
      <c r="O1189" s="8">
        <v>17.822306426995311</v>
      </c>
      <c r="P1189" s="9">
        <v>17.822306426995311</v>
      </c>
      <c r="Q1189" s="9">
        <v>17.822306426995311</v>
      </c>
      <c r="R1189" s="9">
        <v>18.237663306594719</v>
      </c>
      <c r="S1189" s="9">
        <v>18.48712920931133</v>
      </c>
      <c r="T1189" s="9">
        <v>19.201553596969877</v>
      </c>
      <c r="U1189" s="9">
        <v>20.562345482855957</v>
      </c>
      <c r="V1189" s="9">
        <v>20.562345482855957</v>
      </c>
      <c r="W1189" s="9">
        <v>20.562345482855957</v>
      </c>
      <c r="X1189" s="9">
        <v>22.391977691000818</v>
      </c>
      <c r="Y1189" s="9">
        <v>22.391977691000818</v>
      </c>
      <c r="Z1189" s="9">
        <v>24.28858708803979</v>
      </c>
      <c r="AA1189" s="9">
        <v>24.28858708803979</v>
      </c>
      <c r="AB1189" s="9">
        <v>25.117335532005217</v>
      </c>
      <c r="AC1189" s="9">
        <v>25.117335532005217</v>
      </c>
      <c r="AD1189" s="9">
        <v>29.039116491286865</v>
      </c>
      <c r="AE1189" s="9">
        <v>31.219251037281825</v>
      </c>
      <c r="AF1189" s="9">
        <v>33.487682081707895</v>
      </c>
      <c r="AG1189" s="9">
        <v>33.487682081707895</v>
      </c>
      <c r="AH1189" s="9">
        <v>36.427668170967245</v>
      </c>
      <c r="AI1189" s="9">
        <v>38.74455996597662</v>
      </c>
      <c r="AJ1189" s="9">
        <v>3.0428788910505911</v>
      </c>
    </row>
    <row r="1190" spans="1:36" x14ac:dyDescent="0.25">
      <c r="A1190" t="s">
        <v>5411</v>
      </c>
      <c r="B1190" t="s">
        <v>16</v>
      </c>
      <c r="C1190" t="s">
        <v>17</v>
      </c>
      <c r="D1190">
        <v>35628000</v>
      </c>
      <c r="E1190">
        <v>35639999</v>
      </c>
      <c r="F1190" t="s">
        <v>1012</v>
      </c>
      <c r="G1190" t="str">
        <f t="shared" si="36"/>
        <v>MGI II</v>
      </c>
      <c r="H1190" t="s">
        <v>851</v>
      </c>
      <c r="I1190" t="s">
        <v>20</v>
      </c>
      <c r="J1190" t="s">
        <v>64</v>
      </c>
      <c r="K1190" s="6">
        <v>0.03</v>
      </c>
      <c r="L1190" s="7">
        <f t="shared" si="37"/>
        <v>2E-3</v>
      </c>
      <c r="M1190" s="7">
        <v>3.0000000000000001E-3</v>
      </c>
      <c r="N1190">
        <v>8</v>
      </c>
      <c r="O1190" s="8">
        <v>17.822306426995311</v>
      </c>
      <c r="P1190" s="9">
        <v>17.822306426995311</v>
      </c>
      <c r="Q1190" s="9">
        <v>17.822306426995311</v>
      </c>
      <c r="R1190" s="9">
        <v>18.237663306594719</v>
      </c>
      <c r="S1190" s="9">
        <v>18.48712920931133</v>
      </c>
      <c r="T1190" s="9">
        <v>19.201553596969877</v>
      </c>
      <c r="U1190" s="9">
        <v>20.562345482855957</v>
      </c>
      <c r="V1190" s="9">
        <v>20.562345482855957</v>
      </c>
      <c r="W1190" s="9">
        <v>20.562345482855957</v>
      </c>
      <c r="X1190" s="9">
        <v>22.391977691000818</v>
      </c>
      <c r="Y1190" s="9">
        <v>22.391977691000818</v>
      </c>
      <c r="Z1190" s="9">
        <v>24.28858708803979</v>
      </c>
      <c r="AA1190" s="9">
        <v>24.28858708803979</v>
      </c>
      <c r="AB1190" s="9">
        <v>25.117335532005217</v>
      </c>
      <c r="AC1190" s="9">
        <v>25.117335532005217</v>
      </c>
      <c r="AD1190" s="9">
        <v>29.039116491286865</v>
      </c>
      <c r="AE1190" s="9">
        <v>31.219251037281825</v>
      </c>
      <c r="AF1190" s="9">
        <v>33.487682081707895</v>
      </c>
      <c r="AG1190" s="9">
        <v>33.487682081707895</v>
      </c>
      <c r="AH1190" s="9">
        <v>36.427668170967245</v>
      </c>
      <c r="AI1190" s="9">
        <v>38.74455996597662</v>
      </c>
      <c r="AJ1190" s="9">
        <v>3.0428788910505911</v>
      </c>
    </row>
    <row r="1191" spans="1:36" x14ac:dyDescent="0.25">
      <c r="A1191" t="s">
        <v>5411</v>
      </c>
      <c r="B1191" t="s">
        <v>16</v>
      </c>
      <c r="C1191" t="s">
        <v>17</v>
      </c>
      <c r="D1191">
        <v>35640000</v>
      </c>
      <c r="E1191">
        <v>35649999</v>
      </c>
      <c r="F1191" t="s">
        <v>1013</v>
      </c>
      <c r="G1191" t="str">
        <f t="shared" si="36"/>
        <v>MGI</v>
      </c>
      <c r="H1191" t="s">
        <v>851</v>
      </c>
      <c r="I1191" t="s">
        <v>20</v>
      </c>
      <c r="J1191" t="s">
        <v>62</v>
      </c>
      <c r="K1191" s="6">
        <v>0.03</v>
      </c>
      <c r="L1191" s="7">
        <f t="shared" si="37"/>
        <v>2E-3</v>
      </c>
      <c r="M1191" s="7">
        <v>3.0000000000000001E-3</v>
      </c>
      <c r="N1191">
        <v>7</v>
      </c>
      <c r="O1191" s="8">
        <v>13.880385281502075</v>
      </c>
      <c r="P1191" s="9">
        <v>13.880385281502075</v>
      </c>
      <c r="Q1191" s="9">
        <v>13.880385281502075</v>
      </c>
      <c r="R1191" s="9">
        <v>14.045989937445718</v>
      </c>
      <c r="S1191" s="9">
        <v>14.060876315369912</v>
      </c>
      <c r="T1191" s="9">
        <v>15.090338571208333</v>
      </c>
      <c r="U1191" s="9">
        <v>16.025407313902726</v>
      </c>
      <c r="V1191" s="9">
        <v>16.025407313902726</v>
      </c>
      <c r="W1191" s="9">
        <v>16.025407313902726</v>
      </c>
      <c r="X1191" s="9">
        <v>18.013895748167766</v>
      </c>
      <c r="Y1191" s="9">
        <v>18.013895748167766</v>
      </c>
      <c r="Z1191" s="9">
        <v>20.142868501532355</v>
      </c>
      <c r="AA1191" s="9">
        <v>20.142868501532355</v>
      </c>
      <c r="AB1191" s="9">
        <v>22.456349831314476</v>
      </c>
      <c r="AC1191" s="9">
        <v>22.456349831314476</v>
      </c>
      <c r="AD1191" s="9">
        <v>24.87984091164185</v>
      </c>
      <c r="AE1191" s="9">
        <v>27.427492221952345</v>
      </c>
      <c r="AF1191" s="9">
        <v>33.194804868730657</v>
      </c>
      <c r="AG1191" s="9">
        <v>33.194804868730657</v>
      </c>
      <c r="AH1191" s="9">
        <v>35.957808835828068</v>
      </c>
      <c r="AI1191" s="9">
        <v>38.646304092692077</v>
      </c>
      <c r="AJ1191" s="9">
        <v>3.0428788910505911</v>
      </c>
    </row>
    <row r="1192" spans="1:36" x14ac:dyDescent="0.25">
      <c r="A1192" t="s">
        <v>5411</v>
      </c>
      <c r="B1192" t="s">
        <v>16</v>
      </c>
      <c r="C1192" t="s">
        <v>17</v>
      </c>
      <c r="D1192">
        <v>35650000</v>
      </c>
      <c r="E1192">
        <v>35654999</v>
      </c>
      <c r="F1192" t="s">
        <v>1014</v>
      </c>
      <c r="G1192" t="str">
        <f t="shared" si="36"/>
        <v>MGI</v>
      </c>
      <c r="H1192" t="s">
        <v>851</v>
      </c>
      <c r="I1192" t="s">
        <v>20</v>
      </c>
      <c r="J1192" t="s">
        <v>62</v>
      </c>
      <c r="K1192" s="6">
        <v>0.03</v>
      </c>
      <c r="L1192" s="7">
        <f t="shared" si="37"/>
        <v>2E-3</v>
      </c>
      <c r="M1192" s="7">
        <v>3.0000000000000001E-3</v>
      </c>
      <c r="N1192">
        <v>8</v>
      </c>
      <c r="O1192" s="8">
        <v>13.880385281502075</v>
      </c>
      <c r="P1192" s="9">
        <v>13.880385281502075</v>
      </c>
      <c r="Q1192" s="9">
        <v>13.880385281502075</v>
      </c>
      <c r="R1192" s="9">
        <v>14.045989937445718</v>
      </c>
      <c r="S1192" s="9">
        <v>14.060876315369912</v>
      </c>
      <c r="T1192" s="9">
        <v>15.090338571208333</v>
      </c>
      <c r="U1192" s="9">
        <v>16.025407313902726</v>
      </c>
      <c r="V1192" s="9">
        <v>16.025407313902726</v>
      </c>
      <c r="W1192" s="9">
        <v>16.025407313902726</v>
      </c>
      <c r="X1192" s="9">
        <v>18.013895748167766</v>
      </c>
      <c r="Y1192" s="9">
        <v>18.013895748167766</v>
      </c>
      <c r="Z1192" s="9">
        <v>20.142868501532355</v>
      </c>
      <c r="AA1192" s="9">
        <v>20.142868501532355</v>
      </c>
      <c r="AB1192" s="9">
        <v>22.456349831314476</v>
      </c>
      <c r="AC1192" s="9">
        <v>22.456349831314476</v>
      </c>
      <c r="AD1192" s="9">
        <v>24.87984091164185</v>
      </c>
      <c r="AE1192" s="9">
        <v>27.427492221952345</v>
      </c>
      <c r="AF1192" s="9">
        <v>33.194804868730657</v>
      </c>
      <c r="AG1192" s="9">
        <v>33.194804868730657</v>
      </c>
      <c r="AH1192" s="9">
        <v>35.957808835828068</v>
      </c>
      <c r="AI1192" s="9">
        <v>38.646304092692077</v>
      </c>
      <c r="AJ1192" s="9">
        <v>3.0428788910505911</v>
      </c>
    </row>
    <row r="1193" spans="1:36" x14ac:dyDescent="0.25">
      <c r="A1193" t="s">
        <v>5411</v>
      </c>
      <c r="B1193" t="s">
        <v>16</v>
      </c>
      <c r="C1193" t="s">
        <v>17</v>
      </c>
      <c r="D1193">
        <v>35655000</v>
      </c>
      <c r="E1193">
        <v>35656999</v>
      </c>
      <c r="F1193" t="s">
        <v>1015</v>
      </c>
      <c r="G1193" t="str">
        <f t="shared" si="36"/>
        <v>MGI II</v>
      </c>
      <c r="H1193" t="s">
        <v>851</v>
      </c>
      <c r="I1193" t="s">
        <v>20</v>
      </c>
      <c r="J1193" t="s">
        <v>64</v>
      </c>
      <c r="K1193" s="6">
        <v>0.03</v>
      </c>
      <c r="L1193" s="7">
        <f t="shared" si="37"/>
        <v>2E-3</v>
      </c>
      <c r="M1193" s="7">
        <v>3.0000000000000001E-3</v>
      </c>
      <c r="N1193">
        <v>8</v>
      </c>
      <c r="O1193" s="8">
        <v>17.822306426995311</v>
      </c>
      <c r="P1193" s="9">
        <v>17.822306426995311</v>
      </c>
      <c r="Q1193" s="9">
        <v>17.822306426995311</v>
      </c>
      <c r="R1193" s="9">
        <v>18.237663306594719</v>
      </c>
      <c r="S1193" s="9">
        <v>18.48712920931133</v>
      </c>
      <c r="T1193" s="9">
        <v>19.201553596969877</v>
      </c>
      <c r="U1193" s="9">
        <v>20.562345482855957</v>
      </c>
      <c r="V1193" s="9">
        <v>20.562345482855957</v>
      </c>
      <c r="W1193" s="9">
        <v>20.562345482855957</v>
      </c>
      <c r="X1193" s="9">
        <v>22.391977691000818</v>
      </c>
      <c r="Y1193" s="9">
        <v>22.391977691000818</v>
      </c>
      <c r="Z1193" s="9">
        <v>24.28858708803979</v>
      </c>
      <c r="AA1193" s="9">
        <v>24.28858708803979</v>
      </c>
      <c r="AB1193" s="9">
        <v>25.117335532005217</v>
      </c>
      <c r="AC1193" s="9">
        <v>25.117335532005217</v>
      </c>
      <c r="AD1193" s="9">
        <v>29.039116491286865</v>
      </c>
      <c r="AE1193" s="9">
        <v>31.219251037281825</v>
      </c>
      <c r="AF1193" s="9">
        <v>33.487682081707895</v>
      </c>
      <c r="AG1193" s="9">
        <v>33.487682081707895</v>
      </c>
      <c r="AH1193" s="9">
        <v>36.427668170967245</v>
      </c>
      <c r="AI1193" s="9">
        <v>38.74455996597662</v>
      </c>
      <c r="AJ1193" s="9">
        <v>3.0428788910505911</v>
      </c>
    </row>
    <row r="1194" spans="1:36" x14ac:dyDescent="0.25">
      <c r="A1194" t="s">
        <v>5411</v>
      </c>
      <c r="B1194" t="s">
        <v>16</v>
      </c>
      <c r="C1194" t="s">
        <v>17</v>
      </c>
      <c r="D1194">
        <v>35657000</v>
      </c>
      <c r="E1194">
        <v>35659999</v>
      </c>
      <c r="F1194" t="s">
        <v>1016</v>
      </c>
      <c r="G1194" t="str">
        <f t="shared" si="36"/>
        <v>MGI II</v>
      </c>
      <c r="H1194" t="s">
        <v>851</v>
      </c>
      <c r="I1194" t="s">
        <v>20</v>
      </c>
      <c r="J1194" t="s">
        <v>64</v>
      </c>
      <c r="K1194" s="6">
        <v>0.03</v>
      </c>
      <c r="L1194" s="7">
        <f t="shared" si="37"/>
        <v>2E-3</v>
      </c>
      <c r="M1194" s="7">
        <v>3.0000000000000001E-3</v>
      </c>
      <c r="N1194">
        <v>8</v>
      </c>
      <c r="O1194" s="8">
        <v>17.822306426995311</v>
      </c>
      <c r="P1194" s="9">
        <v>17.822306426995311</v>
      </c>
      <c r="Q1194" s="9">
        <v>17.822306426995311</v>
      </c>
      <c r="R1194" s="9">
        <v>18.237663306594719</v>
      </c>
      <c r="S1194" s="9">
        <v>18.48712920931133</v>
      </c>
      <c r="T1194" s="9">
        <v>19.201553596969877</v>
      </c>
      <c r="U1194" s="9">
        <v>20.562345482855957</v>
      </c>
      <c r="V1194" s="9">
        <v>20.562345482855957</v>
      </c>
      <c r="W1194" s="9">
        <v>20.562345482855957</v>
      </c>
      <c r="X1194" s="9">
        <v>22.391977691000818</v>
      </c>
      <c r="Y1194" s="9">
        <v>22.391977691000818</v>
      </c>
      <c r="Z1194" s="9">
        <v>24.28858708803979</v>
      </c>
      <c r="AA1194" s="9">
        <v>24.28858708803979</v>
      </c>
      <c r="AB1194" s="9">
        <v>25.117335532005217</v>
      </c>
      <c r="AC1194" s="9">
        <v>25.117335532005217</v>
      </c>
      <c r="AD1194" s="9">
        <v>29.039116491286865</v>
      </c>
      <c r="AE1194" s="9">
        <v>31.219251037281825</v>
      </c>
      <c r="AF1194" s="9">
        <v>33.487682081707895</v>
      </c>
      <c r="AG1194" s="9">
        <v>33.487682081707895</v>
      </c>
      <c r="AH1194" s="9">
        <v>36.427668170967245</v>
      </c>
      <c r="AI1194" s="9">
        <v>38.74455996597662</v>
      </c>
      <c r="AJ1194" s="9">
        <v>3.0428788910505911</v>
      </c>
    </row>
    <row r="1195" spans="1:36" x14ac:dyDescent="0.25">
      <c r="A1195" t="s">
        <v>5411</v>
      </c>
      <c r="B1195" t="s">
        <v>16</v>
      </c>
      <c r="C1195" t="s">
        <v>17</v>
      </c>
      <c r="D1195">
        <v>35660000</v>
      </c>
      <c r="E1195">
        <v>35665999</v>
      </c>
      <c r="F1195" t="s">
        <v>1017</v>
      </c>
      <c r="G1195" t="str">
        <f t="shared" si="36"/>
        <v>MGI</v>
      </c>
      <c r="H1195" t="s">
        <v>851</v>
      </c>
      <c r="I1195" t="s">
        <v>20</v>
      </c>
      <c r="J1195" t="s">
        <v>62</v>
      </c>
      <c r="K1195" s="6">
        <v>0.03</v>
      </c>
      <c r="L1195" s="7">
        <f t="shared" si="37"/>
        <v>2E-3</v>
      </c>
      <c r="M1195" s="7">
        <v>3.0000000000000001E-3</v>
      </c>
      <c r="N1195">
        <v>8</v>
      </c>
      <c r="O1195" s="8">
        <v>13.880385281502075</v>
      </c>
      <c r="P1195" s="9">
        <v>13.880385281502075</v>
      </c>
      <c r="Q1195" s="9">
        <v>13.880385281502075</v>
      </c>
      <c r="R1195" s="9">
        <v>14.045989937445718</v>
      </c>
      <c r="S1195" s="9">
        <v>14.060876315369912</v>
      </c>
      <c r="T1195" s="9">
        <v>15.090338571208333</v>
      </c>
      <c r="U1195" s="9">
        <v>16.025407313902726</v>
      </c>
      <c r="V1195" s="9">
        <v>16.025407313902726</v>
      </c>
      <c r="W1195" s="9">
        <v>16.025407313902726</v>
      </c>
      <c r="X1195" s="9">
        <v>18.013895748167766</v>
      </c>
      <c r="Y1195" s="9">
        <v>18.013895748167766</v>
      </c>
      <c r="Z1195" s="9">
        <v>20.142868501532355</v>
      </c>
      <c r="AA1195" s="9">
        <v>20.142868501532355</v>
      </c>
      <c r="AB1195" s="9">
        <v>22.456349831314476</v>
      </c>
      <c r="AC1195" s="9">
        <v>22.456349831314476</v>
      </c>
      <c r="AD1195" s="9">
        <v>24.87984091164185</v>
      </c>
      <c r="AE1195" s="9">
        <v>27.427492221952345</v>
      </c>
      <c r="AF1195" s="9">
        <v>33.194804868730657</v>
      </c>
      <c r="AG1195" s="9">
        <v>33.194804868730657</v>
      </c>
      <c r="AH1195" s="9">
        <v>35.957808835828068</v>
      </c>
      <c r="AI1195" s="9">
        <v>38.646304092692077</v>
      </c>
      <c r="AJ1195" s="9">
        <v>3.0428788910505911</v>
      </c>
    </row>
    <row r="1196" spans="1:36" x14ac:dyDescent="0.25">
      <c r="A1196" t="s">
        <v>5411</v>
      </c>
      <c r="B1196" t="s">
        <v>16</v>
      </c>
      <c r="C1196" t="s">
        <v>17</v>
      </c>
      <c r="D1196">
        <v>35666000</v>
      </c>
      <c r="E1196">
        <v>35666999</v>
      </c>
      <c r="F1196" t="s">
        <v>1018</v>
      </c>
      <c r="G1196" t="str">
        <f t="shared" si="36"/>
        <v>MGI</v>
      </c>
      <c r="H1196" t="s">
        <v>851</v>
      </c>
      <c r="I1196" t="s">
        <v>20</v>
      </c>
      <c r="J1196" t="s">
        <v>62</v>
      </c>
      <c r="K1196" s="6">
        <v>0.03</v>
      </c>
      <c r="L1196" s="7">
        <f t="shared" si="37"/>
        <v>2E-3</v>
      </c>
      <c r="M1196" s="7">
        <v>3.0000000000000001E-3</v>
      </c>
      <c r="N1196">
        <v>7</v>
      </c>
      <c r="O1196" s="8">
        <v>13.880385281502075</v>
      </c>
      <c r="P1196" s="9">
        <v>13.880385281502075</v>
      </c>
      <c r="Q1196" s="9">
        <v>13.880385281502075</v>
      </c>
      <c r="R1196" s="9">
        <v>14.045989937445718</v>
      </c>
      <c r="S1196" s="9">
        <v>14.060876315369912</v>
      </c>
      <c r="T1196" s="9">
        <v>15.090338571208333</v>
      </c>
      <c r="U1196" s="9">
        <v>16.025407313902726</v>
      </c>
      <c r="V1196" s="9">
        <v>16.025407313902726</v>
      </c>
      <c r="W1196" s="9">
        <v>16.025407313902726</v>
      </c>
      <c r="X1196" s="9">
        <v>18.013895748167766</v>
      </c>
      <c r="Y1196" s="9">
        <v>18.013895748167766</v>
      </c>
      <c r="Z1196" s="9">
        <v>20.142868501532355</v>
      </c>
      <c r="AA1196" s="9">
        <v>20.142868501532355</v>
      </c>
      <c r="AB1196" s="9">
        <v>22.456349831314476</v>
      </c>
      <c r="AC1196" s="9">
        <v>22.456349831314476</v>
      </c>
      <c r="AD1196" s="9">
        <v>24.87984091164185</v>
      </c>
      <c r="AE1196" s="9">
        <v>27.427492221952345</v>
      </c>
      <c r="AF1196" s="9">
        <v>33.194804868730657</v>
      </c>
      <c r="AG1196" s="9">
        <v>33.194804868730657</v>
      </c>
      <c r="AH1196" s="9">
        <v>35.957808835828068</v>
      </c>
      <c r="AI1196" s="9">
        <v>38.646304092692077</v>
      </c>
      <c r="AJ1196" s="9">
        <v>3.0428788910505911</v>
      </c>
    </row>
    <row r="1197" spans="1:36" x14ac:dyDescent="0.25">
      <c r="A1197" t="s">
        <v>5411</v>
      </c>
      <c r="B1197" t="s">
        <v>16</v>
      </c>
      <c r="C1197" t="s">
        <v>17</v>
      </c>
      <c r="D1197">
        <v>35667000</v>
      </c>
      <c r="E1197">
        <v>35667999</v>
      </c>
      <c r="F1197" t="s">
        <v>1019</v>
      </c>
      <c r="G1197" t="str">
        <f t="shared" si="36"/>
        <v>MGI II</v>
      </c>
      <c r="H1197" t="s">
        <v>851</v>
      </c>
      <c r="I1197" t="s">
        <v>20</v>
      </c>
      <c r="J1197" t="s">
        <v>64</v>
      </c>
      <c r="K1197" s="6">
        <v>0.03</v>
      </c>
      <c r="L1197" s="7">
        <f t="shared" si="37"/>
        <v>2E-3</v>
      </c>
      <c r="M1197" s="7">
        <v>3.0000000000000001E-3</v>
      </c>
      <c r="N1197">
        <v>7</v>
      </c>
      <c r="O1197" s="8">
        <v>17.822306426995311</v>
      </c>
      <c r="P1197" s="9">
        <v>17.822306426995311</v>
      </c>
      <c r="Q1197" s="9">
        <v>17.822306426995311</v>
      </c>
      <c r="R1197" s="9">
        <v>18.237663306594719</v>
      </c>
      <c r="S1197" s="9">
        <v>18.48712920931133</v>
      </c>
      <c r="T1197" s="9">
        <v>19.201553596969877</v>
      </c>
      <c r="U1197" s="9">
        <v>20.562345482855957</v>
      </c>
      <c r="V1197" s="9">
        <v>20.562345482855957</v>
      </c>
      <c r="W1197" s="9">
        <v>20.562345482855957</v>
      </c>
      <c r="X1197" s="9">
        <v>22.391977691000818</v>
      </c>
      <c r="Y1197" s="9">
        <v>22.391977691000818</v>
      </c>
      <c r="Z1197" s="9">
        <v>24.28858708803979</v>
      </c>
      <c r="AA1197" s="9">
        <v>24.28858708803979</v>
      </c>
      <c r="AB1197" s="9">
        <v>25.117335532005217</v>
      </c>
      <c r="AC1197" s="9">
        <v>25.117335532005217</v>
      </c>
      <c r="AD1197" s="9">
        <v>29.039116491286865</v>
      </c>
      <c r="AE1197" s="9">
        <v>31.219251037281825</v>
      </c>
      <c r="AF1197" s="9">
        <v>33.487682081707895</v>
      </c>
      <c r="AG1197" s="9">
        <v>33.487682081707895</v>
      </c>
      <c r="AH1197" s="9">
        <v>36.427668170967245</v>
      </c>
      <c r="AI1197" s="9">
        <v>38.74455996597662</v>
      </c>
      <c r="AJ1197" s="9">
        <v>3.0428788910505911</v>
      </c>
    </row>
    <row r="1198" spans="1:36" x14ac:dyDescent="0.25">
      <c r="A1198" t="s">
        <v>5411</v>
      </c>
      <c r="B1198" t="s">
        <v>16</v>
      </c>
      <c r="C1198" t="s">
        <v>17</v>
      </c>
      <c r="D1198">
        <v>35668000</v>
      </c>
      <c r="E1198">
        <v>35668999</v>
      </c>
      <c r="F1198" t="s">
        <v>1020</v>
      </c>
      <c r="G1198" t="str">
        <f t="shared" si="36"/>
        <v>MGI II</v>
      </c>
      <c r="H1198" t="s">
        <v>851</v>
      </c>
      <c r="I1198" t="s">
        <v>20</v>
      </c>
      <c r="J1198" t="s">
        <v>64</v>
      </c>
      <c r="K1198" s="6">
        <v>0.03</v>
      </c>
      <c r="L1198" s="7">
        <f t="shared" si="37"/>
        <v>2E-3</v>
      </c>
      <c r="M1198" s="7">
        <v>3.0000000000000001E-3</v>
      </c>
      <c r="N1198">
        <v>8</v>
      </c>
      <c r="O1198" s="8">
        <v>17.822306426995311</v>
      </c>
      <c r="P1198" s="9">
        <v>17.822306426995311</v>
      </c>
      <c r="Q1198" s="9">
        <v>17.822306426995311</v>
      </c>
      <c r="R1198" s="9">
        <v>18.237663306594719</v>
      </c>
      <c r="S1198" s="9">
        <v>18.48712920931133</v>
      </c>
      <c r="T1198" s="9">
        <v>19.201553596969877</v>
      </c>
      <c r="U1198" s="9">
        <v>20.562345482855957</v>
      </c>
      <c r="V1198" s="9">
        <v>20.562345482855957</v>
      </c>
      <c r="W1198" s="9">
        <v>20.562345482855957</v>
      </c>
      <c r="X1198" s="9">
        <v>22.391977691000818</v>
      </c>
      <c r="Y1198" s="9">
        <v>22.391977691000818</v>
      </c>
      <c r="Z1198" s="9">
        <v>24.28858708803979</v>
      </c>
      <c r="AA1198" s="9">
        <v>24.28858708803979</v>
      </c>
      <c r="AB1198" s="9">
        <v>25.117335532005217</v>
      </c>
      <c r="AC1198" s="9">
        <v>25.117335532005217</v>
      </c>
      <c r="AD1198" s="9">
        <v>29.039116491286865</v>
      </c>
      <c r="AE1198" s="9">
        <v>31.219251037281825</v>
      </c>
      <c r="AF1198" s="9">
        <v>33.487682081707895</v>
      </c>
      <c r="AG1198" s="9">
        <v>33.487682081707895</v>
      </c>
      <c r="AH1198" s="9">
        <v>36.427668170967245</v>
      </c>
      <c r="AI1198" s="9">
        <v>38.74455996597662</v>
      </c>
      <c r="AJ1198" s="9">
        <v>3.0428788910505911</v>
      </c>
    </row>
    <row r="1199" spans="1:36" x14ac:dyDescent="0.25">
      <c r="A1199" t="s">
        <v>5411</v>
      </c>
      <c r="B1199" t="s">
        <v>16</v>
      </c>
      <c r="C1199" t="s">
        <v>17</v>
      </c>
      <c r="D1199">
        <v>35669000</v>
      </c>
      <c r="E1199">
        <v>35669999</v>
      </c>
      <c r="F1199" t="s">
        <v>1021</v>
      </c>
      <c r="G1199" t="str">
        <f t="shared" si="36"/>
        <v>MGI</v>
      </c>
      <c r="H1199" t="s">
        <v>851</v>
      </c>
      <c r="I1199" t="s">
        <v>20</v>
      </c>
      <c r="J1199" t="s">
        <v>62</v>
      </c>
      <c r="K1199" s="6">
        <v>0.03</v>
      </c>
      <c r="L1199" s="7">
        <f t="shared" si="37"/>
        <v>2E-3</v>
      </c>
      <c r="M1199" s="7">
        <v>3.0000000000000001E-3</v>
      </c>
      <c r="N1199">
        <v>7</v>
      </c>
      <c r="O1199" s="8">
        <v>13.880385281502075</v>
      </c>
      <c r="P1199" s="9">
        <v>13.880385281502075</v>
      </c>
      <c r="Q1199" s="9">
        <v>13.880385281502075</v>
      </c>
      <c r="R1199" s="9">
        <v>14.045989937445718</v>
      </c>
      <c r="S1199" s="9">
        <v>14.060876315369912</v>
      </c>
      <c r="T1199" s="9">
        <v>15.090338571208333</v>
      </c>
      <c r="U1199" s="9">
        <v>16.025407313902726</v>
      </c>
      <c r="V1199" s="9">
        <v>16.025407313902726</v>
      </c>
      <c r="W1199" s="9">
        <v>16.025407313902726</v>
      </c>
      <c r="X1199" s="9">
        <v>18.013895748167766</v>
      </c>
      <c r="Y1199" s="9">
        <v>18.013895748167766</v>
      </c>
      <c r="Z1199" s="9">
        <v>20.142868501532355</v>
      </c>
      <c r="AA1199" s="9">
        <v>20.142868501532355</v>
      </c>
      <c r="AB1199" s="9">
        <v>22.456349831314476</v>
      </c>
      <c r="AC1199" s="9">
        <v>22.456349831314476</v>
      </c>
      <c r="AD1199" s="9">
        <v>24.87984091164185</v>
      </c>
      <c r="AE1199" s="9">
        <v>27.427492221952345</v>
      </c>
      <c r="AF1199" s="9">
        <v>33.194804868730657</v>
      </c>
      <c r="AG1199" s="9">
        <v>33.194804868730657</v>
      </c>
      <c r="AH1199" s="9">
        <v>35.957808835828068</v>
      </c>
      <c r="AI1199" s="9">
        <v>38.646304092692077</v>
      </c>
      <c r="AJ1199" s="9">
        <v>3.0428788910505911</v>
      </c>
    </row>
    <row r="1200" spans="1:36" x14ac:dyDescent="0.25">
      <c r="A1200" t="s">
        <v>5411</v>
      </c>
      <c r="B1200" t="s">
        <v>16</v>
      </c>
      <c r="C1200" t="s">
        <v>17</v>
      </c>
      <c r="D1200">
        <v>35670000</v>
      </c>
      <c r="E1200">
        <v>35674999</v>
      </c>
      <c r="F1200" t="s">
        <v>1022</v>
      </c>
      <c r="G1200" t="str">
        <f t="shared" si="36"/>
        <v>MGI</v>
      </c>
      <c r="H1200" t="s">
        <v>851</v>
      </c>
      <c r="I1200" t="s">
        <v>20</v>
      </c>
      <c r="J1200" t="s">
        <v>62</v>
      </c>
      <c r="K1200" s="6">
        <v>0.03</v>
      </c>
      <c r="L1200" s="7">
        <f t="shared" si="37"/>
        <v>2E-3</v>
      </c>
      <c r="M1200" s="7">
        <v>3.0000000000000001E-3</v>
      </c>
      <c r="N1200">
        <v>8</v>
      </c>
      <c r="O1200" s="8">
        <v>13.880385281502075</v>
      </c>
      <c r="P1200" s="9">
        <v>13.880385281502075</v>
      </c>
      <c r="Q1200" s="9">
        <v>13.880385281502075</v>
      </c>
      <c r="R1200" s="9">
        <v>14.045989937445718</v>
      </c>
      <c r="S1200" s="9">
        <v>14.060876315369912</v>
      </c>
      <c r="T1200" s="9">
        <v>15.090338571208333</v>
      </c>
      <c r="U1200" s="9">
        <v>16.025407313902726</v>
      </c>
      <c r="V1200" s="9">
        <v>16.025407313902726</v>
      </c>
      <c r="W1200" s="9">
        <v>16.025407313902726</v>
      </c>
      <c r="X1200" s="9">
        <v>18.013895748167766</v>
      </c>
      <c r="Y1200" s="9">
        <v>18.013895748167766</v>
      </c>
      <c r="Z1200" s="9">
        <v>20.142868501532355</v>
      </c>
      <c r="AA1200" s="9">
        <v>20.142868501532355</v>
      </c>
      <c r="AB1200" s="9">
        <v>22.456349831314476</v>
      </c>
      <c r="AC1200" s="9">
        <v>22.456349831314476</v>
      </c>
      <c r="AD1200" s="9">
        <v>24.87984091164185</v>
      </c>
      <c r="AE1200" s="9">
        <v>27.427492221952345</v>
      </c>
      <c r="AF1200" s="9">
        <v>33.194804868730657</v>
      </c>
      <c r="AG1200" s="9">
        <v>33.194804868730657</v>
      </c>
      <c r="AH1200" s="9">
        <v>35.957808835828068</v>
      </c>
      <c r="AI1200" s="9">
        <v>38.646304092692077</v>
      </c>
      <c r="AJ1200" s="9">
        <v>3.0428788910505911</v>
      </c>
    </row>
    <row r="1201" spans="1:36" x14ac:dyDescent="0.25">
      <c r="A1201" t="s">
        <v>5411</v>
      </c>
      <c r="B1201" t="s">
        <v>16</v>
      </c>
      <c r="C1201" t="s">
        <v>17</v>
      </c>
      <c r="D1201">
        <v>35675000</v>
      </c>
      <c r="E1201">
        <v>35679999</v>
      </c>
      <c r="F1201" t="s">
        <v>1023</v>
      </c>
      <c r="G1201" t="str">
        <f t="shared" si="36"/>
        <v>MGI</v>
      </c>
      <c r="H1201" t="s">
        <v>851</v>
      </c>
      <c r="I1201" t="s">
        <v>20</v>
      </c>
      <c r="J1201" t="s">
        <v>62</v>
      </c>
      <c r="K1201" s="6">
        <v>0.03</v>
      </c>
      <c r="L1201" s="7">
        <f t="shared" si="37"/>
        <v>2E-3</v>
      </c>
      <c r="M1201" s="7">
        <v>3.0000000000000001E-3</v>
      </c>
      <c r="N1201">
        <v>8</v>
      </c>
      <c r="O1201" s="8">
        <v>13.880385281502075</v>
      </c>
      <c r="P1201" s="9">
        <v>13.880385281502075</v>
      </c>
      <c r="Q1201" s="9">
        <v>13.880385281502075</v>
      </c>
      <c r="R1201" s="9">
        <v>14.045989937445718</v>
      </c>
      <c r="S1201" s="9">
        <v>14.060876315369912</v>
      </c>
      <c r="T1201" s="9">
        <v>15.090338571208333</v>
      </c>
      <c r="U1201" s="9">
        <v>16.025407313902726</v>
      </c>
      <c r="V1201" s="9">
        <v>16.025407313902726</v>
      </c>
      <c r="W1201" s="9">
        <v>16.025407313902726</v>
      </c>
      <c r="X1201" s="9">
        <v>18.013895748167766</v>
      </c>
      <c r="Y1201" s="9">
        <v>18.013895748167766</v>
      </c>
      <c r="Z1201" s="9">
        <v>20.142868501532355</v>
      </c>
      <c r="AA1201" s="9">
        <v>20.142868501532355</v>
      </c>
      <c r="AB1201" s="9">
        <v>22.456349831314476</v>
      </c>
      <c r="AC1201" s="9">
        <v>22.456349831314476</v>
      </c>
      <c r="AD1201" s="9">
        <v>24.87984091164185</v>
      </c>
      <c r="AE1201" s="9">
        <v>27.427492221952345</v>
      </c>
      <c r="AF1201" s="9">
        <v>33.194804868730657</v>
      </c>
      <c r="AG1201" s="9">
        <v>33.194804868730657</v>
      </c>
      <c r="AH1201" s="9">
        <v>35.957808835828068</v>
      </c>
      <c r="AI1201" s="9">
        <v>38.646304092692077</v>
      </c>
      <c r="AJ1201" s="9">
        <v>3.0428788910505911</v>
      </c>
    </row>
    <row r="1202" spans="1:36" x14ac:dyDescent="0.25">
      <c r="A1202" t="s">
        <v>5411</v>
      </c>
      <c r="B1202" t="s">
        <v>16</v>
      </c>
      <c r="C1202" t="s">
        <v>17</v>
      </c>
      <c r="D1202">
        <v>35680000</v>
      </c>
      <c r="E1202">
        <v>35684999</v>
      </c>
      <c r="F1202" t="s">
        <v>1024</v>
      </c>
      <c r="G1202" t="str">
        <f t="shared" si="36"/>
        <v>MGI</v>
      </c>
      <c r="H1202" t="s">
        <v>851</v>
      </c>
      <c r="I1202" t="s">
        <v>20</v>
      </c>
      <c r="J1202" t="s">
        <v>62</v>
      </c>
      <c r="K1202" s="6">
        <v>0.03</v>
      </c>
      <c r="L1202" s="7">
        <f t="shared" si="37"/>
        <v>2E-3</v>
      </c>
      <c r="M1202" s="7">
        <v>3.0000000000000001E-3</v>
      </c>
      <c r="N1202">
        <v>8</v>
      </c>
      <c r="O1202" s="8">
        <v>13.880385281502075</v>
      </c>
      <c r="P1202" s="9">
        <v>13.880385281502075</v>
      </c>
      <c r="Q1202" s="9">
        <v>13.880385281502075</v>
      </c>
      <c r="R1202" s="9">
        <v>14.045989937445718</v>
      </c>
      <c r="S1202" s="9">
        <v>14.060876315369912</v>
      </c>
      <c r="T1202" s="9">
        <v>15.090338571208333</v>
      </c>
      <c r="U1202" s="9">
        <v>16.025407313902726</v>
      </c>
      <c r="V1202" s="9">
        <v>16.025407313902726</v>
      </c>
      <c r="W1202" s="9">
        <v>16.025407313902726</v>
      </c>
      <c r="X1202" s="9">
        <v>18.013895748167766</v>
      </c>
      <c r="Y1202" s="9">
        <v>18.013895748167766</v>
      </c>
      <c r="Z1202" s="9">
        <v>20.142868501532355</v>
      </c>
      <c r="AA1202" s="9">
        <v>20.142868501532355</v>
      </c>
      <c r="AB1202" s="9">
        <v>22.456349831314476</v>
      </c>
      <c r="AC1202" s="9">
        <v>22.456349831314476</v>
      </c>
      <c r="AD1202" s="9">
        <v>24.87984091164185</v>
      </c>
      <c r="AE1202" s="9">
        <v>27.427492221952345</v>
      </c>
      <c r="AF1202" s="9">
        <v>33.194804868730657</v>
      </c>
      <c r="AG1202" s="9">
        <v>33.194804868730657</v>
      </c>
      <c r="AH1202" s="9">
        <v>35.957808835828068</v>
      </c>
      <c r="AI1202" s="9">
        <v>38.646304092692077</v>
      </c>
      <c r="AJ1202" s="9">
        <v>3.0428788910505911</v>
      </c>
    </row>
    <row r="1203" spans="1:36" x14ac:dyDescent="0.25">
      <c r="A1203" t="s">
        <v>5411</v>
      </c>
      <c r="B1203" t="s">
        <v>16</v>
      </c>
      <c r="C1203" t="s">
        <v>17</v>
      </c>
      <c r="D1203">
        <v>35685000</v>
      </c>
      <c r="E1203">
        <v>35689999</v>
      </c>
      <c r="F1203" t="s">
        <v>1025</v>
      </c>
      <c r="G1203" t="str">
        <f t="shared" si="36"/>
        <v>MGI II</v>
      </c>
      <c r="H1203" t="s">
        <v>851</v>
      </c>
      <c r="I1203" t="s">
        <v>20</v>
      </c>
      <c r="J1203" t="s">
        <v>64</v>
      </c>
      <c r="K1203" s="6">
        <v>0.03</v>
      </c>
      <c r="L1203" s="7">
        <f t="shared" si="37"/>
        <v>2E-3</v>
      </c>
      <c r="M1203" s="7">
        <v>3.0000000000000001E-3</v>
      </c>
      <c r="N1203">
        <v>7</v>
      </c>
      <c r="O1203" s="8">
        <v>17.822306426995311</v>
      </c>
      <c r="P1203" s="9">
        <v>17.822306426995311</v>
      </c>
      <c r="Q1203" s="9">
        <v>17.822306426995311</v>
      </c>
      <c r="R1203" s="9">
        <v>18.237663306594719</v>
      </c>
      <c r="S1203" s="9">
        <v>18.48712920931133</v>
      </c>
      <c r="T1203" s="9">
        <v>19.201553596969877</v>
      </c>
      <c r="U1203" s="9">
        <v>20.562345482855957</v>
      </c>
      <c r="V1203" s="9">
        <v>20.562345482855957</v>
      </c>
      <c r="W1203" s="9">
        <v>20.562345482855957</v>
      </c>
      <c r="X1203" s="9">
        <v>22.391977691000818</v>
      </c>
      <c r="Y1203" s="9">
        <v>22.391977691000818</v>
      </c>
      <c r="Z1203" s="9">
        <v>24.28858708803979</v>
      </c>
      <c r="AA1203" s="9">
        <v>24.28858708803979</v>
      </c>
      <c r="AB1203" s="9">
        <v>25.117335532005217</v>
      </c>
      <c r="AC1203" s="9">
        <v>25.117335532005217</v>
      </c>
      <c r="AD1203" s="9">
        <v>29.039116491286865</v>
      </c>
      <c r="AE1203" s="9">
        <v>31.219251037281825</v>
      </c>
      <c r="AF1203" s="9">
        <v>33.487682081707895</v>
      </c>
      <c r="AG1203" s="9">
        <v>33.487682081707895</v>
      </c>
      <c r="AH1203" s="9">
        <v>36.427668170967245</v>
      </c>
      <c r="AI1203" s="9">
        <v>38.74455996597662</v>
      </c>
      <c r="AJ1203" s="9">
        <v>3.0428788910505911</v>
      </c>
    </row>
    <row r="1204" spans="1:36" x14ac:dyDescent="0.25">
      <c r="A1204" t="s">
        <v>5411</v>
      </c>
      <c r="B1204" t="s">
        <v>16</v>
      </c>
      <c r="C1204" t="s">
        <v>17</v>
      </c>
      <c r="D1204">
        <v>35690000</v>
      </c>
      <c r="E1204">
        <v>35693999</v>
      </c>
      <c r="F1204" t="s">
        <v>1026</v>
      </c>
      <c r="G1204" t="str">
        <f t="shared" si="36"/>
        <v>MGI II</v>
      </c>
      <c r="H1204" t="s">
        <v>851</v>
      </c>
      <c r="I1204" t="s">
        <v>20</v>
      </c>
      <c r="J1204" t="s">
        <v>64</v>
      </c>
      <c r="K1204" s="6">
        <v>0.03</v>
      </c>
      <c r="L1204" s="7">
        <f t="shared" si="37"/>
        <v>2E-3</v>
      </c>
      <c r="M1204" s="7">
        <v>3.0000000000000001E-3</v>
      </c>
      <c r="N1204">
        <v>7</v>
      </c>
      <c r="O1204" s="8">
        <v>17.822306426995311</v>
      </c>
      <c r="P1204" s="9">
        <v>17.822306426995311</v>
      </c>
      <c r="Q1204" s="9">
        <v>17.822306426995311</v>
      </c>
      <c r="R1204" s="9">
        <v>18.237663306594719</v>
      </c>
      <c r="S1204" s="9">
        <v>18.48712920931133</v>
      </c>
      <c r="T1204" s="9">
        <v>19.201553596969877</v>
      </c>
      <c r="U1204" s="9">
        <v>20.562345482855957</v>
      </c>
      <c r="V1204" s="9">
        <v>20.562345482855957</v>
      </c>
      <c r="W1204" s="9">
        <v>20.562345482855957</v>
      </c>
      <c r="X1204" s="9">
        <v>22.391977691000818</v>
      </c>
      <c r="Y1204" s="9">
        <v>22.391977691000818</v>
      </c>
      <c r="Z1204" s="9">
        <v>24.28858708803979</v>
      </c>
      <c r="AA1204" s="9">
        <v>24.28858708803979</v>
      </c>
      <c r="AB1204" s="9">
        <v>25.117335532005217</v>
      </c>
      <c r="AC1204" s="9">
        <v>25.117335532005217</v>
      </c>
      <c r="AD1204" s="9">
        <v>29.039116491286865</v>
      </c>
      <c r="AE1204" s="9">
        <v>31.219251037281825</v>
      </c>
      <c r="AF1204" s="9">
        <v>33.487682081707895</v>
      </c>
      <c r="AG1204" s="9">
        <v>33.487682081707895</v>
      </c>
      <c r="AH1204" s="9">
        <v>36.427668170967245</v>
      </c>
      <c r="AI1204" s="9">
        <v>38.74455996597662</v>
      </c>
      <c r="AJ1204" s="9">
        <v>3.0428788910505911</v>
      </c>
    </row>
    <row r="1205" spans="1:36" x14ac:dyDescent="0.25">
      <c r="A1205" t="s">
        <v>5411</v>
      </c>
      <c r="B1205" t="s">
        <v>16</v>
      </c>
      <c r="C1205" t="s">
        <v>17</v>
      </c>
      <c r="D1205">
        <v>35694000</v>
      </c>
      <c r="E1205">
        <v>35694999</v>
      </c>
      <c r="F1205" t="s">
        <v>1027</v>
      </c>
      <c r="G1205" t="str">
        <f t="shared" si="36"/>
        <v>MGI II</v>
      </c>
      <c r="H1205" t="s">
        <v>851</v>
      </c>
      <c r="I1205" t="s">
        <v>20</v>
      </c>
      <c r="J1205" t="s">
        <v>64</v>
      </c>
      <c r="K1205" s="6">
        <v>0.03</v>
      </c>
      <c r="L1205" s="7">
        <f t="shared" si="37"/>
        <v>2E-3</v>
      </c>
      <c r="M1205" s="7">
        <v>3.0000000000000001E-3</v>
      </c>
      <c r="N1205">
        <v>7</v>
      </c>
      <c r="O1205" s="8">
        <v>17.822306426995311</v>
      </c>
      <c r="P1205" s="9">
        <v>17.822306426995311</v>
      </c>
      <c r="Q1205" s="9">
        <v>17.822306426995311</v>
      </c>
      <c r="R1205" s="9">
        <v>18.237663306594719</v>
      </c>
      <c r="S1205" s="9">
        <v>18.48712920931133</v>
      </c>
      <c r="T1205" s="9">
        <v>19.201553596969877</v>
      </c>
      <c r="U1205" s="9">
        <v>20.562345482855957</v>
      </c>
      <c r="V1205" s="9">
        <v>20.562345482855957</v>
      </c>
      <c r="W1205" s="9">
        <v>20.562345482855957</v>
      </c>
      <c r="X1205" s="9">
        <v>22.391977691000818</v>
      </c>
      <c r="Y1205" s="9">
        <v>22.391977691000818</v>
      </c>
      <c r="Z1205" s="9">
        <v>24.28858708803979</v>
      </c>
      <c r="AA1205" s="9">
        <v>24.28858708803979</v>
      </c>
      <c r="AB1205" s="9">
        <v>25.117335532005217</v>
      </c>
      <c r="AC1205" s="9">
        <v>25.117335532005217</v>
      </c>
      <c r="AD1205" s="9">
        <v>29.039116491286865</v>
      </c>
      <c r="AE1205" s="9">
        <v>31.219251037281825</v>
      </c>
      <c r="AF1205" s="9">
        <v>33.487682081707895</v>
      </c>
      <c r="AG1205" s="9">
        <v>33.487682081707895</v>
      </c>
      <c r="AH1205" s="9">
        <v>36.427668170967245</v>
      </c>
      <c r="AI1205" s="9">
        <v>38.74455996597662</v>
      </c>
      <c r="AJ1205" s="9">
        <v>3.0428788910505911</v>
      </c>
    </row>
    <row r="1206" spans="1:36" x14ac:dyDescent="0.25">
      <c r="A1206" t="s">
        <v>5411</v>
      </c>
      <c r="B1206" t="s">
        <v>16</v>
      </c>
      <c r="C1206" t="s">
        <v>17</v>
      </c>
      <c r="D1206">
        <v>35695000</v>
      </c>
      <c r="E1206">
        <v>35699999</v>
      </c>
      <c r="F1206" t="s">
        <v>1028</v>
      </c>
      <c r="G1206" t="str">
        <f t="shared" si="36"/>
        <v>MGI II</v>
      </c>
      <c r="H1206" t="s">
        <v>851</v>
      </c>
      <c r="I1206" t="s">
        <v>20</v>
      </c>
      <c r="J1206" t="s">
        <v>64</v>
      </c>
      <c r="K1206" s="6">
        <v>0.03</v>
      </c>
      <c r="L1206" s="7">
        <f t="shared" si="37"/>
        <v>2E-3</v>
      </c>
      <c r="M1206" s="7">
        <v>3.0000000000000001E-3</v>
      </c>
      <c r="N1206">
        <v>7</v>
      </c>
      <c r="O1206" s="8">
        <v>17.822306426995311</v>
      </c>
      <c r="P1206" s="9">
        <v>17.822306426995311</v>
      </c>
      <c r="Q1206" s="9">
        <v>17.822306426995311</v>
      </c>
      <c r="R1206" s="9">
        <v>18.237663306594719</v>
      </c>
      <c r="S1206" s="9">
        <v>18.48712920931133</v>
      </c>
      <c r="T1206" s="9">
        <v>19.201553596969877</v>
      </c>
      <c r="U1206" s="9">
        <v>20.562345482855957</v>
      </c>
      <c r="V1206" s="9">
        <v>20.562345482855957</v>
      </c>
      <c r="W1206" s="9">
        <v>20.562345482855957</v>
      </c>
      <c r="X1206" s="9">
        <v>22.391977691000818</v>
      </c>
      <c r="Y1206" s="9">
        <v>22.391977691000818</v>
      </c>
      <c r="Z1206" s="9">
        <v>24.28858708803979</v>
      </c>
      <c r="AA1206" s="9">
        <v>24.28858708803979</v>
      </c>
      <c r="AB1206" s="9">
        <v>25.117335532005217</v>
      </c>
      <c r="AC1206" s="9">
        <v>25.117335532005217</v>
      </c>
      <c r="AD1206" s="9">
        <v>29.039116491286865</v>
      </c>
      <c r="AE1206" s="9">
        <v>31.219251037281825</v>
      </c>
      <c r="AF1206" s="9">
        <v>33.487682081707895</v>
      </c>
      <c r="AG1206" s="9">
        <v>33.487682081707895</v>
      </c>
      <c r="AH1206" s="9">
        <v>36.427668170967245</v>
      </c>
      <c r="AI1206" s="9">
        <v>38.74455996597662</v>
      </c>
      <c r="AJ1206" s="9">
        <v>3.0428788910505911</v>
      </c>
    </row>
    <row r="1207" spans="1:36" x14ac:dyDescent="0.25">
      <c r="A1207" t="s">
        <v>5411</v>
      </c>
      <c r="B1207" t="s">
        <v>16</v>
      </c>
      <c r="C1207" t="s">
        <v>17</v>
      </c>
      <c r="D1207">
        <v>35700000</v>
      </c>
      <c r="E1207">
        <v>35719999</v>
      </c>
      <c r="F1207" t="s">
        <v>1029</v>
      </c>
      <c r="G1207" t="str">
        <f t="shared" si="36"/>
        <v>MGI</v>
      </c>
      <c r="H1207" t="s">
        <v>851</v>
      </c>
      <c r="I1207" t="s">
        <v>20</v>
      </c>
      <c r="J1207" t="s">
        <v>62</v>
      </c>
      <c r="K1207" s="6">
        <v>0.03</v>
      </c>
      <c r="L1207" s="7">
        <f t="shared" si="37"/>
        <v>2E-3</v>
      </c>
      <c r="M1207" s="7">
        <v>3.0000000000000001E-3</v>
      </c>
      <c r="N1207">
        <v>6</v>
      </c>
      <c r="O1207" s="8">
        <v>13.880385281502075</v>
      </c>
      <c r="P1207" s="9">
        <v>13.880385281502075</v>
      </c>
      <c r="Q1207" s="9">
        <v>13.880385281502075</v>
      </c>
      <c r="R1207" s="9">
        <v>14.045989937445718</v>
      </c>
      <c r="S1207" s="9">
        <v>14.060876315369912</v>
      </c>
      <c r="T1207" s="9">
        <v>15.090338571208333</v>
      </c>
      <c r="U1207" s="9">
        <v>16.025407313902726</v>
      </c>
      <c r="V1207" s="9">
        <v>16.025407313902726</v>
      </c>
      <c r="W1207" s="9">
        <v>16.025407313902726</v>
      </c>
      <c r="X1207" s="9">
        <v>18.013895748167766</v>
      </c>
      <c r="Y1207" s="9">
        <v>18.013895748167766</v>
      </c>
      <c r="Z1207" s="9">
        <v>20.142868501532355</v>
      </c>
      <c r="AA1207" s="9">
        <v>20.142868501532355</v>
      </c>
      <c r="AB1207" s="9">
        <v>22.456349831314476</v>
      </c>
      <c r="AC1207" s="9">
        <v>22.456349831314476</v>
      </c>
      <c r="AD1207" s="9">
        <v>24.87984091164185</v>
      </c>
      <c r="AE1207" s="9">
        <v>27.427492221952345</v>
      </c>
      <c r="AF1207" s="9">
        <v>33.194804868730657</v>
      </c>
      <c r="AG1207" s="9">
        <v>33.194804868730657</v>
      </c>
      <c r="AH1207" s="9">
        <v>35.957808835828068</v>
      </c>
      <c r="AI1207" s="9">
        <v>38.646304092692077</v>
      </c>
      <c r="AJ1207" s="9">
        <v>3.0428788910505911</v>
      </c>
    </row>
    <row r="1208" spans="1:36" x14ac:dyDescent="0.25">
      <c r="A1208" t="s">
        <v>5411</v>
      </c>
      <c r="B1208" t="s">
        <v>16</v>
      </c>
      <c r="C1208" t="s">
        <v>17</v>
      </c>
      <c r="D1208">
        <v>35720000</v>
      </c>
      <c r="E1208">
        <v>35729999</v>
      </c>
      <c r="F1208" t="s">
        <v>1030</v>
      </c>
      <c r="G1208" t="str">
        <f t="shared" si="36"/>
        <v>MGI</v>
      </c>
      <c r="H1208" t="s">
        <v>851</v>
      </c>
      <c r="I1208" t="s">
        <v>20</v>
      </c>
      <c r="J1208" t="s">
        <v>62</v>
      </c>
      <c r="K1208" s="6">
        <v>0.03</v>
      </c>
      <c r="L1208" s="7">
        <f t="shared" si="37"/>
        <v>2E-3</v>
      </c>
      <c r="M1208" s="7">
        <v>3.0000000000000001E-3</v>
      </c>
      <c r="N1208">
        <v>8</v>
      </c>
      <c r="O1208" s="8">
        <v>13.880385281502075</v>
      </c>
      <c r="P1208" s="9">
        <v>13.880385281502075</v>
      </c>
      <c r="Q1208" s="9">
        <v>13.880385281502075</v>
      </c>
      <c r="R1208" s="9">
        <v>14.045989937445718</v>
      </c>
      <c r="S1208" s="9">
        <v>14.060876315369912</v>
      </c>
      <c r="T1208" s="9">
        <v>15.090338571208333</v>
      </c>
      <c r="U1208" s="9">
        <v>16.025407313902726</v>
      </c>
      <c r="V1208" s="9">
        <v>16.025407313902726</v>
      </c>
      <c r="W1208" s="9">
        <v>16.025407313902726</v>
      </c>
      <c r="X1208" s="9">
        <v>18.013895748167766</v>
      </c>
      <c r="Y1208" s="9">
        <v>18.013895748167766</v>
      </c>
      <c r="Z1208" s="9">
        <v>20.142868501532355</v>
      </c>
      <c r="AA1208" s="9">
        <v>20.142868501532355</v>
      </c>
      <c r="AB1208" s="9">
        <v>22.456349831314476</v>
      </c>
      <c r="AC1208" s="9">
        <v>22.456349831314476</v>
      </c>
      <c r="AD1208" s="9">
        <v>24.87984091164185</v>
      </c>
      <c r="AE1208" s="9">
        <v>27.427492221952345</v>
      </c>
      <c r="AF1208" s="9">
        <v>33.194804868730657</v>
      </c>
      <c r="AG1208" s="9">
        <v>33.194804868730657</v>
      </c>
      <c r="AH1208" s="9">
        <v>35.957808835828068</v>
      </c>
      <c r="AI1208" s="9">
        <v>38.646304092692077</v>
      </c>
      <c r="AJ1208" s="9">
        <v>3.0428788910505911</v>
      </c>
    </row>
    <row r="1209" spans="1:36" x14ac:dyDescent="0.25">
      <c r="A1209" t="s">
        <v>5411</v>
      </c>
      <c r="B1209" t="s">
        <v>16</v>
      </c>
      <c r="C1209" t="s">
        <v>17</v>
      </c>
      <c r="D1209">
        <v>35730000</v>
      </c>
      <c r="E1209">
        <v>35731999</v>
      </c>
      <c r="F1209" t="s">
        <v>1031</v>
      </c>
      <c r="G1209" t="str">
        <f t="shared" si="36"/>
        <v>MGI II</v>
      </c>
      <c r="H1209" t="s">
        <v>851</v>
      </c>
      <c r="I1209" t="s">
        <v>20</v>
      </c>
      <c r="J1209" t="s">
        <v>64</v>
      </c>
      <c r="K1209" s="6">
        <v>0.03</v>
      </c>
      <c r="L1209" s="7">
        <f t="shared" si="37"/>
        <v>2E-3</v>
      </c>
      <c r="M1209" s="7">
        <v>3.0000000000000001E-3</v>
      </c>
      <c r="N1209">
        <v>8</v>
      </c>
      <c r="O1209" s="8">
        <v>17.822306426995311</v>
      </c>
      <c r="P1209" s="9">
        <v>17.822306426995311</v>
      </c>
      <c r="Q1209" s="9">
        <v>17.822306426995311</v>
      </c>
      <c r="R1209" s="9">
        <v>18.237663306594719</v>
      </c>
      <c r="S1209" s="9">
        <v>18.48712920931133</v>
      </c>
      <c r="T1209" s="9">
        <v>19.201553596969877</v>
      </c>
      <c r="U1209" s="9">
        <v>20.562345482855957</v>
      </c>
      <c r="V1209" s="9">
        <v>20.562345482855957</v>
      </c>
      <c r="W1209" s="9">
        <v>20.562345482855957</v>
      </c>
      <c r="X1209" s="9">
        <v>22.391977691000818</v>
      </c>
      <c r="Y1209" s="9">
        <v>22.391977691000818</v>
      </c>
      <c r="Z1209" s="9">
        <v>24.28858708803979</v>
      </c>
      <c r="AA1209" s="9">
        <v>24.28858708803979</v>
      </c>
      <c r="AB1209" s="9">
        <v>25.117335532005217</v>
      </c>
      <c r="AC1209" s="9">
        <v>25.117335532005217</v>
      </c>
      <c r="AD1209" s="9">
        <v>29.039116491286865</v>
      </c>
      <c r="AE1209" s="9">
        <v>31.219251037281825</v>
      </c>
      <c r="AF1209" s="9">
        <v>33.487682081707895</v>
      </c>
      <c r="AG1209" s="9">
        <v>33.487682081707895</v>
      </c>
      <c r="AH1209" s="9">
        <v>36.427668170967245</v>
      </c>
      <c r="AI1209" s="9">
        <v>38.74455996597662</v>
      </c>
      <c r="AJ1209" s="9">
        <v>3.0428788910505911</v>
      </c>
    </row>
    <row r="1210" spans="1:36" x14ac:dyDescent="0.25">
      <c r="A1210" t="s">
        <v>5411</v>
      </c>
      <c r="B1210" t="s">
        <v>16</v>
      </c>
      <c r="C1210" t="s">
        <v>17</v>
      </c>
      <c r="D1210">
        <v>35732000</v>
      </c>
      <c r="E1210">
        <v>35735999</v>
      </c>
      <c r="F1210" t="s">
        <v>1032</v>
      </c>
      <c r="G1210" t="str">
        <f t="shared" si="36"/>
        <v>MGI II</v>
      </c>
      <c r="H1210" t="s">
        <v>851</v>
      </c>
      <c r="I1210" t="s">
        <v>20</v>
      </c>
      <c r="J1210" t="s">
        <v>64</v>
      </c>
      <c r="K1210" s="6">
        <v>0.03</v>
      </c>
      <c r="L1210" s="7">
        <f t="shared" si="37"/>
        <v>2E-3</v>
      </c>
      <c r="M1210" s="7">
        <v>3.0000000000000001E-3</v>
      </c>
      <c r="N1210">
        <v>8</v>
      </c>
      <c r="O1210" s="8">
        <v>17.822306426995311</v>
      </c>
      <c r="P1210" s="9">
        <v>17.822306426995311</v>
      </c>
      <c r="Q1210" s="9">
        <v>17.822306426995311</v>
      </c>
      <c r="R1210" s="9">
        <v>18.237663306594719</v>
      </c>
      <c r="S1210" s="9">
        <v>18.48712920931133</v>
      </c>
      <c r="T1210" s="9">
        <v>19.201553596969877</v>
      </c>
      <c r="U1210" s="9">
        <v>20.562345482855957</v>
      </c>
      <c r="V1210" s="9">
        <v>20.562345482855957</v>
      </c>
      <c r="W1210" s="9">
        <v>20.562345482855957</v>
      </c>
      <c r="X1210" s="9">
        <v>22.391977691000818</v>
      </c>
      <c r="Y1210" s="9">
        <v>22.391977691000818</v>
      </c>
      <c r="Z1210" s="9">
        <v>24.28858708803979</v>
      </c>
      <c r="AA1210" s="9">
        <v>24.28858708803979</v>
      </c>
      <c r="AB1210" s="9">
        <v>25.117335532005217</v>
      </c>
      <c r="AC1210" s="9">
        <v>25.117335532005217</v>
      </c>
      <c r="AD1210" s="9">
        <v>29.039116491286865</v>
      </c>
      <c r="AE1210" s="9">
        <v>31.219251037281825</v>
      </c>
      <c r="AF1210" s="9">
        <v>33.487682081707895</v>
      </c>
      <c r="AG1210" s="9">
        <v>33.487682081707895</v>
      </c>
      <c r="AH1210" s="9">
        <v>36.427668170967245</v>
      </c>
      <c r="AI1210" s="9">
        <v>38.74455996597662</v>
      </c>
      <c r="AJ1210" s="9">
        <v>3.0428788910505911</v>
      </c>
    </row>
    <row r="1211" spans="1:36" x14ac:dyDescent="0.25">
      <c r="A1211" t="s">
        <v>5411</v>
      </c>
      <c r="B1211" t="s">
        <v>16</v>
      </c>
      <c r="C1211" t="s">
        <v>17</v>
      </c>
      <c r="D1211">
        <v>35736000</v>
      </c>
      <c r="E1211">
        <v>35737999</v>
      </c>
      <c r="F1211" t="s">
        <v>1033</v>
      </c>
      <c r="G1211" t="str">
        <f t="shared" si="36"/>
        <v>MGI II</v>
      </c>
      <c r="H1211" t="s">
        <v>851</v>
      </c>
      <c r="I1211" t="s">
        <v>20</v>
      </c>
      <c r="J1211" t="s">
        <v>64</v>
      </c>
      <c r="K1211" s="6">
        <v>0.03</v>
      </c>
      <c r="L1211" s="7">
        <f t="shared" si="37"/>
        <v>2E-3</v>
      </c>
      <c r="M1211" s="7">
        <v>3.0000000000000001E-3</v>
      </c>
      <c r="N1211">
        <v>8</v>
      </c>
      <c r="O1211" s="8">
        <v>17.822306426995311</v>
      </c>
      <c r="P1211" s="9">
        <v>17.822306426995311</v>
      </c>
      <c r="Q1211" s="9">
        <v>17.822306426995311</v>
      </c>
      <c r="R1211" s="9">
        <v>18.237663306594719</v>
      </c>
      <c r="S1211" s="9">
        <v>18.48712920931133</v>
      </c>
      <c r="T1211" s="9">
        <v>19.201553596969877</v>
      </c>
      <c r="U1211" s="9">
        <v>20.562345482855957</v>
      </c>
      <c r="V1211" s="9">
        <v>20.562345482855957</v>
      </c>
      <c r="W1211" s="9">
        <v>20.562345482855957</v>
      </c>
      <c r="X1211" s="9">
        <v>22.391977691000818</v>
      </c>
      <c r="Y1211" s="9">
        <v>22.391977691000818</v>
      </c>
      <c r="Z1211" s="9">
        <v>24.28858708803979</v>
      </c>
      <c r="AA1211" s="9">
        <v>24.28858708803979</v>
      </c>
      <c r="AB1211" s="9">
        <v>25.117335532005217</v>
      </c>
      <c r="AC1211" s="9">
        <v>25.117335532005217</v>
      </c>
      <c r="AD1211" s="9">
        <v>29.039116491286865</v>
      </c>
      <c r="AE1211" s="9">
        <v>31.219251037281825</v>
      </c>
      <c r="AF1211" s="9">
        <v>33.487682081707895</v>
      </c>
      <c r="AG1211" s="9">
        <v>33.487682081707895</v>
      </c>
      <c r="AH1211" s="9">
        <v>36.427668170967245</v>
      </c>
      <c r="AI1211" s="9">
        <v>38.74455996597662</v>
      </c>
      <c r="AJ1211" s="9">
        <v>3.0428788910505911</v>
      </c>
    </row>
    <row r="1212" spans="1:36" x14ac:dyDescent="0.25">
      <c r="A1212" t="s">
        <v>5411</v>
      </c>
      <c r="B1212" t="s">
        <v>16</v>
      </c>
      <c r="C1212" t="s">
        <v>17</v>
      </c>
      <c r="D1212">
        <v>35738000</v>
      </c>
      <c r="E1212">
        <v>35739999</v>
      </c>
      <c r="F1212" t="s">
        <v>1034</v>
      </c>
      <c r="G1212" t="str">
        <f t="shared" si="36"/>
        <v>MGI II</v>
      </c>
      <c r="H1212" t="s">
        <v>851</v>
      </c>
      <c r="I1212" t="s">
        <v>20</v>
      </c>
      <c r="J1212" t="s">
        <v>64</v>
      </c>
      <c r="K1212" s="6">
        <v>0.03</v>
      </c>
      <c r="L1212" s="7">
        <f t="shared" si="37"/>
        <v>2E-3</v>
      </c>
      <c r="M1212" s="7">
        <v>3.0000000000000001E-3</v>
      </c>
      <c r="N1212">
        <v>8</v>
      </c>
      <c r="O1212" s="8">
        <v>17.822306426995311</v>
      </c>
      <c r="P1212" s="9">
        <v>17.822306426995311</v>
      </c>
      <c r="Q1212" s="9">
        <v>17.822306426995311</v>
      </c>
      <c r="R1212" s="9">
        <v>18.237663306594719</v>
      </c>
      <c r="S1212" s="9">
        <v>18.48712920931133</v>
      </c>
      <c r="T1212" s="9">
        <v>19.201553596969877</v>
      </c>
      <c r="U1212" s="9">
        <v>20.562345482855957</v>
      </c>
      <c r="V1212" s="9">
        <v>20.562345482855957</v>
      </c>
      <c r="W1212" s="9">
        <v>20.562345482855957</v>
      </c>
      <c r="X1212" s="9">
        <v>22.391977691000818</v>
      </c>
      <c r="Y1212" s="9">
        <v>22.391977691000818</v>
      </c>
      <c r="Z1212" s="9">
        <v>24.28858708803979</v>
      </c>
      <c r="AA1212" s="9">
        <v>24.28858708803979</v>
      </c>
      <c r="AB1212" s="9">
        <v>25.117335532005217</v>
      </c>
      <c r="AC1212" s="9">
        <v>25.117335532005217</v>
      </c>
      <c r="AD1212" s="9">
        <v>29.039116491286865</v>
      </c>
      <c r="AE1212" s="9">
        <v>31.219251037281825</v>
      </c>
      <c r="AF1212" s="9">
        <v>33.487682081707895</v>
      </c>
      <c r="AG1212" s="9">
        <v>33.487682081707895</v>
      </c>
      <c r="AH1212" s="9">
        <v>36.427668170967245</v>
      </c>
      <c r="AI1212" s="9">
        <v>38.74455996597662</v>
      </c>
      <c r="AJ1212" s="9">
        <v>3.0428788910505911</v>
      </c>
    </row>
    <row r="1213" spans="1:36" x14ac:dyDescent="0.25">
      <c r="A1213" t="s">
        <v>5411</v>
      </c>
      <c r="B1213" t="s">
        <v>16</v>
      </c>
      <c r="C1213" t="s">
        <v>17</v>
      </c>
      <c r="D1213">
        <v>35740000</v>
      </c>
      <c r="E1213">
        <v>35759999</v>
      </c>
      <c r="F1213" t="s">
        <v>1035</v>
      </c>
      <c r="G1213" t="str">
        <f t="shared" si="36"/>
        <v>MGI II</v>
      </c>
      <c r="H1213" t="s">
        <v>851</v>
      </c>
      <c r="I1213" t="s">
        <v>20</v>
      </c>
      <c r="J1213" t="s">
        <v>64</v>
      </c>
      <c r="K1213" s="6">
        <v>0.03</v>
      </c>
      <c r="L1213" s="7">
        <f t="shared" si="37"/>
        <v>2E-3</v>
      </c>
      <c r="M1213" s="7">
        <v>3.0000000000000001E-3</v>
      </c>
      <c r="N1213">
        <v>7</v>
      </c>
      <c r="O1213" s="8">
        <v>17.822306426995311</v>
      </c>
      <c r="P1213" s="9">
        <v>17.822306426995311</v>
      </c>
      <c r="Q1213" s="9">
        <v>17.822306426995311</v>
      </c>
      <c r="R1213" s="9">
        <v>18.237663306594719</v>
      </c>
      <c r="S1213" s="9">
        <v>18.48712920931133</v>
      </c>
      <c r="T1213" s="9">
        <v>19.201553596969877</v>
      </c>
      <c r="U1213" s="9">
        <v>20.562345482855957</v>
      </c>
      <c r="V1213" s="9">
        <v>20.562345482855957</v>
      </c>
      <c r="W1213" s="9">
        <v>20.562345482855957</v>
      </c>
      <c r="X1213" s="9">
        <v>22.391977691000818</v>
      </c>
      <c r="Y1213" s="9">
        <v>22.391977691000818</v>
      </c>
      <c r="Z1213" s="9">
        <v>24.28858708803979</v>
      </c>
      <c r="AA1213" s="9">
        <v>24.28858708803979</v>
      </c>
      <c r="AB1213" s="9">
        <v>25.117335532005217</v>
      </c>
      <c r="AC1213" s="9">
        <v>25.117335532005217</v>
      </c>
      <c r="AD1213" s="9">
        <v>29.039116491286865</v>
      </c>
      <c r="AE1213" s="9">
        <v>31.219251037281825</v>
      </c>
      <c r="AF1213" s="9">
        <v>33.487682081707895</v>
      </c>
      <c r="AG1213" s="9">
        <v>33.487682081707895</v>
      </c>
      <c r="AH1213" s="9">
        <v>36.427668170967245</v>
      </c>
      <c r="AI1213" s="9">
        <v>38.74455996597662</v>
      </c>
      <c r="AJ1213" s="9">
        <v>3.0428788910505911</v>
      </c>
    </row>
    <row r="1214" spans="1:36" x14ac:dyDescent="0.25">
      <c r="A1214" t="s">
        <v>5411</v>
      </c>
      <c r="B1214" t="s">
        <v>16</v>
      </c>
      <c r="C1214" t="s">
        <v>17</v>
      </c>
      <c r="D1214">
        <v>35760000</v>
      </c>
      <c r="E1214">
        <v>35762999</v>
      </c>
      <c r="F1214" t="s">
        <v>1036</v>
      </c>
      <c r="G1214" t="str">
        <f t="shared" si="36"/>
        <v>MGI II</v>
      </c>
      <c r="H1214" t="s">
        <v>851</v>
      </c>
      <c r="I1214" t="s">
        <v>20</v>
      </c>
      <c r="J1214" t="s">
        <v>64</v>
      </c>
      <c r="K1214" s="6">
        <v>0.03</v>
      </c>
      <c r="L1214" s="7">
        <f t="shared" si="37"/>
        <v>2E-3</v>
      </c>
      <c r="M1214" s="7">
        <v>3.0000000000000001E-3</v>
      </c>
      <c r="N1214">
        <v>8</v>
      </c>
      <c r="O1214" s="8">
        <v>17.822306426995311</v>
      </c>
      <c r="P1214" s="9">
        <v>17.822306426995311</v>
      </c>
      <c r="Q1214" s="9">
        <v>17.822306426995311</v>
      </c>
      <c r="R1214" s="9">
        <v>18.237663306594719</v>
      </c>
      <c r="S1214" s="9">
        <v>18.48712920931133</v>
      </c>
      <c r="T1214" s="9">
        <v>19.201553596969877</v>
      </c>
      <c r="U1214" s="9">
        <v>20.562345482855957</v>
      </c>
      <c r="V1214" s="9">
        <v>20.562345482855957</v>
      </c>
      <c r="W1214" s="9">
        <v>20.562345482855957</v>
      </c>
      <c r="X1214" s="9">
        <v>22.391977691000818</v>
      </c>
      <c r="Y1214" s="9">
        <v>22.391977691000818</v>
      </c>
      <c r="Z1214" s="9">
        <v>24.28858708803979</v>
      </c>
      <c r="AA1214" s="9">
        <v>24.28858708803979</v>
      </c>
      <c r="AB1214" s="9">
        <v>25.117335532005217</v>
      </c>
      <c r="AC1214" s="9">
        <v>25.117335532005217</v>
      </c>
      <c r="AD1214" s="9">
        <v>29.039116491286865</v>
      </c>
      <c r="AE1214" s="9">
        <v>31.219251037281825</v>
      </c>
      <c r="AF1214" s="9">
        <v>33.487682081707895</v>
      </c>
      <c r="AG1214" s="9">
        <v>33.487682081707895</v>
      </c>
      <c r="AH1214" s="9">
        <v>36.427668170967245</v>
      </c>
      <c r="AI1214" s="9">
        <v>38.74455996597662</v>
      </c>
      <c r="AJ1214" s="9">
        <v>3.0428788910505911</v>
      </c>
    </row>
    <row r="1215" spans="1:36" x14ac:dyDescent="0.25">
      <c r="A1215" t="s">
        <v>5411</v>
      </c>
      <c r="B1215" t="s">
        <v>16</v>
      </c>
      <c r="C1215" t="s">
        <v>17</v>
      </c>
      <c r="D1215">
        <v>35763000</v>
      </c>
      <c r="E1215">
        <v>35764999</v>
      </c>
      <c r="F1215" t="s">
        <v>1037</v>
      </c>
      <c r="G1215" t="str">
        <f t="shared" si="36"/>
        <v>MGI II</v>
      </c>
      <c r="H1215" t="s">
        <v>851</v>
      </c>
      <c r="I1215" t="s">
        <v>20</v>
      </c>
      <c r="J1215" t="s">
        <v>64</v>
      </c>
      <c r="K1215" s="6">
        <v>0.03</v>
      </c>
      <c r="L1215" s="7">
        <f t="shared" si="37"/>
        <v>2E-3</v>
      </c>
      <c r="M1215" s="7">
        <v>3.0000000000000001E-3</v>
      </c>
      <c r="N1215">
        <v>8</v>
      </c>
      <c r="O1215" s="8">
        <v>17.822306426995311</v>
      </c>
      <c r="P1215" s="9">
        <v>17.822306426995311</v>
      </c>
      <c r="Q1215" s="9">
        <v>17.822306426995311</v>
      </c>
      <c r="R1215" s="9">
        <v>18.237663306594719</v>
      </c>
      <c r="S1215" s="9">
        <v>18.48712920931133</v>
      </c>
      <c r="T1215" s="9">
        <v>19.201553596969877</v>
      </c>
      <c r="U1215" s="9">
        <v>20.562345482855957</v>
      </c>
      <c r="V1215" s="9">
        <v>20.562345482855957</v>
      </c>
      <c r="W1215" s="9">
        <v>20.562345482855957</v>
      </c>
      <c r="X1215" s="9">
        <v>22.391977691000818</v>
      </c>
      <c r="Y1215" s="9">
        <v>22.391977691000818</v>
      </c>
      <c r="Z1215" s="9">
        <v>24.28858708803979</v>
      </c>
      <c r="AA1215" s="9">
        <v>24.28858708803979</v>
      </c>
      <c r="AB1215" s="9">
        <v>25.117335532005217</v>
      </c>
      <c r="AC1215" s="9">
        <v>25.117335532005217</v>
      </c>
      <c r="AD1215" s="9">
        <v>29.039116491286865</v>
      </c>
      <c r="AE1215" s="9">
        <v>31.219251037281825</v>
      </c>
      <c r="AF1215" s="9">
        <v>33.487682081707895</v>
      </c>
      <c r="AG1215" s="9">
        <v>33.487682081707895</v>
      </c>
      <c r="AH1215" s="9">
        <v>36.427668170967245</v>
      </c>
      <c r="AI1215" s="9">
        <v>38.74455996597662</v>
      </c>
      <c r="AJ1215" s="9">
        <v>3.0428788910505911</v>
      </c>
    </row>
    <row r="1216" spans="1:36" x14ac:dyDescent="0.25">
      <c r="A1216" t="s">
        <v>5411</v>
      </c>
      <c r="B1216" t="s">
        <v>16</v>
      </c>
      <c r="C1216" t="s">
        <v>17</v>
      </c>
      <c r="D1216">
        <v>35765000</v>
      </c>
      <c r="E1216">
        <v>35766999</v>
      </c>
      <c r="F1216" t="s">
        <v>1038</v>
      </c>
      <c r="G1216" t="str">
        <f t="shared" si="36"/>
        <v>MGI II</v>
      </c>
      <c r="H1216" t="s">
        <v>851</v>
      </c>
      <c r="I1216" t="s">
        <v>20</v>
      </c>
      <c r="J1216" t="s">
        <v>64</v>
      </c>
      <c r="K1216" s="6">
        <v>0.03</v>
      </c>
      <c r="L1216" s="7">
        <f t="shared" si="37"/>
        <v>2E-3</v>
      </c>
      <c r="M1216" s="7">
        <v>3.0000000000000001E-3</v>
      </c>
      <c r="N1216">
        <v>8</v>
      </c>
      <c r="O1216" s="8">
        <v>17.822306426995311</v>
      </c>
      <c r="P1216" s="9">
        <v>17.822306426995311</v>
      </c>
      <c r="Q1216" s="9">
        <v>17.822306426995311</v>
      </c>
      <c r="R1216" s="9">
        <v>18.237663306594719</v>
      </c>
      <c r="S1216" s="9">
        <v>18.48712920931133</v>
      </c>
      <c r="T1216" s="9">
        <v>19.201553596969877</v>
      </c>
      <c r="U1216" s="9">
        <v>20.562345482855957</v>
      </c>
      <c r="V1216" s="9">
        <v>20.562345482855957</v>
      </c>
      <c r="W1216" s="9">
        <v>20.562345482855957</v>
      </c>
      <c r="X1216" s="9">
        <v>22.391977691000818</v>
      </c>
      <c r="Y1216" s="9">
        <v>22.391977691000818</v>
      </c>
      <c r="Z1216" s="9">
        <v>24.28858708803979</v>
      </c>
      <c r="AA1216" s="9">
        <v>24.28858708803979</v>
      </c>
      <c r="AB1216" s="9">
        <v>25.117335532005217</v>
      </c>
      <c r="AC1216" s="9">
        <v>25.117335532005217</v>
      </c>
      <c r="AD1216" s="9">
        <v>29.039116491286865</v>
      </c>
      <c r="AE1216" s="9">
        <v>31.219251037281825</v>
      </c>
      <c r="AF1216" s="9">
        <v>33.487682081707895</v>
      </c>
      <c r="AG1216" s="9">
        <v>33.487682081707895</v>
      </c>
      <c r="AH1216" s="9">
        <v>36.427668170967245</v>
      </c>
      <c r="AI1216" s="9">
        <v>38.74455996597662</v>
      </c>
      <c r="AJ1216" s="9">
        <v>3.0428788910505911</v>
      </c>
    </row>
    <row r="1217" spans="1:36" x14ac:dyDescent="0.25">
      <c r="A1217" t="s">
        <v>5411</v>
      </c>
      <c r="B1217" t="s">
        <v>16</v>
      </c>
      <c r="C1217" t="s">
        <v>17</v>
      </c>
      <c r="D1217">
        <v>35767000</v>
      </c>
      <c r="E1217">
        <v>35769999</v>
      </c>
      <c r="F1217" t="s">
        <v>1039</v>
      </c>
      <c r="G1217" t="str">
        <f t="shared" si="36"/>
        <v>MGI II</v>
      </c>
      <c r="H1217" t="s">
        <v>851</v>
      </c>
      <c r="I1217" t="s">
        <v>20</v>
      </c>
      <c r="J1217" t="s">
        <v>64</v>
      </c>
      <c r="K1217" s="6">
        <v>0.03</v>
      </c>
      <c r="L1217" s="7">
        <f t="shared" si="37"/>
        <v>2E-3</v>
      </c>
      <c r="M1217" s="7">
        <v>3.0000000000000001E-3</v>
      </c>
      <c r="N1217">
        <v>8</v>
      </c>
      <c r="O1217" s="8">
        <v>17.822306426995311</v>
      </c>
      <c r="P1217" s="9">
        <v>17.822306426995311</v>
      </c>
      <c r="Q1217" s="9">
        <v>17.822306426995311</v>
      </c>
      <c r="R1217" s="9">
        <v>18.237663306594719</v>
      </c>
      <c r="S1217" s="9">
        <v>18.48712920931133</v>
      </c>
      <c r="T1217" s="9">
        <v>19.201553596969877</v>
      </c>
      <c r="U1217" s="9">
        <v>20.562345482855957</v>
      </c>
      <c r="V1217" s="9">
        <v>20.562345482855957</v>
      </c>
      <c r="W1217" s="9">
        <v>20.562345482855957</v>
      </c>
      <c r="X1217" s="9">
        <v>22.391977691000818</v>
      </c>
      <c r="Y1217" s="9">
        <v>22.391977691000818</v>
      </c>
      <c r="Z1217" s="9">
        <v>24.28858708803979</v>
      </c>
      <c r="AA1217" s="9">
        <v>24.28858708803979</v>
      </c>
      <c r="AB1217" s="9">
        <v>25.117335532005217</v>
      </c>
      <c r="AC1217" s="9">
        <v>25.117335532005217</v>
      </c>
      <c r="AD1217" s="9">
        <v>29.039116491286865</v>
      </c>
      <c r="AE1217" s="9">
        <v>31.219251037281825</v>
      </c>
      <c r="AF1217" s="9">
        <v>33.487682081707895</v>
      </c>
      <c r="AG1217" s="9">
        <v>33.487682081707895</v>
      </c>
      <c r="AH1217" s="9">
        <v>36.427668170967245</v>
      </c>
      <c r="AI1217" s="9">
        <v>38.74455996597662</v>
      </c>
      <c r="AJ1217" s="9">
        <v>3.0428788910505911</v>
      </c>
    </row>
    <row r="1218" spans="1:36" x14ac:dyDescent="0.25">
      <c r="A1218" t="s">
        <v>5411</v>
      </c>
      <c r="B1218" t="s">
        <v>16</v>
      </c>
      <c r="C1218" t="s">
        <v>17</v>
      </c>
      <c r="D1218">
        <v>35770000</v>
      </c>
      <c r="E1218">
        <v>35773999</v>
      </c>
      <c r="F1218" t="s">
        <v>1040</v>
      </c>
      <c r="G1218" t="str">
        <f t="shared" si="36"/>
        <v>MGI</v>
      </c>
      <c r="H1218" t="s">
        <v>851</v>
      </c>
      <c r="I1218" t="s">
        <v>20</v>
      </c>
      <c r="J1218" t="s">
        <v>62</v>
      </c>
      <c r="K1218" s="6">
        <v>0.03</v>
      </c>
      <c r="L1218" s="7">
        <f t="shared" si="37"/>
        <v>2E-3</v>
      </c>
      <c r="M1218" s="7">
        <v>3.0000000000000001E-3</v>
      </c>
      <c r="N1218">
        <v>8</v>
      </c>
      <c r="O1218" s="8">
        <v>13.880385281502075</v>
      </c>
      <c r="P1218" s="9">
        <v>13.880385281502075</v>
      </c>
      <c r="Q1218" s="9">
        <v>13.880385281502075</v>
      </c>
      <c r="R1218" s="9">
        <v>14.045989937445718</v>
      </c>
      <c r="S1218" s="9">
        <v>14.060876315369912</v>
      </c>
      <c r="T1218" s="9">
        <v>15.090338571208333</v>
      </c>
      <c r="U1218" s="9">
        <v>16.025407313902726</v>
      </c>
      <c r="V1218" s="9">
        <v>16.025407313902726</v>
      </c>
      <c r="W1218" s="9">
        <v>16.025407313902726</v>
      </c>
      <c r="X1218" s="9">
        <v>18.013895748167766</v>
      </c>
      <c r="Y1218" s="9">
        <v>18.013895748167766</v>
      </c>
      <c r="Z1218" s="9">
        <v>20.142868501532355</v>
      </c>
      <c r="AA1218" s="9">
        <v>20.142868501532355</v>
      </c>
      <c r="AB1218" s="9">
        <v>22.456349831314476</v>
      </c>
      <c r="AC1218" s="9">
        <v>22.456349831314476</v>
      </c>
      <c r="AD1218" s="9">
        <v>24.87984091164185</v>
      </c>
      <c r="AE1218" s="9">
        <v>27.427492221952345</v>
      </c>
      <c r="AF1218" s="9">
        <v>33.194804868730657</v>
      </c>
      <c r="AG1218" s="9">
        <v>33.194804868730657</v>
      </c>
      <c r="AH1218" s="9">
        <v>35.957808835828068</v>
      </c>
      <c r="AI1218" s="9">
        <v>38.646304092692077</v>
      </c>
      <c r="AJ1218" s="9">
        <v>3.0428788910505911</v>
      </c>
    </row>
    <row r="1219" spans="1:36" x14ac:dyDescent="0.25">
      <c r="A1219" t="s">
        <v>5411</v>
      </c>
      <c r="B1219" t="s">
        <v>16</v>
      </c>
      <c r="C1219" t="s">
        <v>17</v>
      </c>
      <c r="D1219">
        <v>35774000</v>
      </c>
      <c r="E1219">
        <v>35776999</v>
      </c>
      <c r="F1219" t="s">
        <v>1041</v>
      </c>
      <c r="G1219" t="str">
        <f t="shared" si="36"/>
        <v>MGI</v>
      </c>
      <c r="H1219" t="s">
        <v>851</v>
      </c>
      <c r="I1219" t="s">
        <v>20</v>
      </c>
      <c r="J1219" t="s">
        <v>62</v>
      </c>
      <c r="K1219" s="6">
        <v>0.03</v>
      </c>
      <c r="L1219" s="7">
        <f t="shared" si="37"/>
        <v>2E-3</v>
      </c>
      <c r="M1219" s="7">
        <v>3.0000000000000001E-3</v>
      </c>
      <c r="N1219">
        <v>7</v>
      </c>
      <c r="O1219" s="8">
        <v>13.880385281502075</v>
      </c>
      <c r="P1219" s="9">
        <v>13.880385281502075</v>
      </c>
      <c r="Q1219" s="9">
        <v>13.880385281502075</v>
      </c>
      <c r="R1219" s="9">
        <v>14.045989937445718</v>
      </c>
      <c r="S1219" s="9">
        <v>14.060876315369912</v>
      </c>
      <c r="T1219" s="9">
        <v>15.090338571208333</v>
      </c>
      <c r="U1219" s="9">
        <v>16.025407313902726</v>
      </c>
      <c r="V1219" s="9">
        <v>16.025407313902726</v>
      </c>
      <c r="W1219" s="9">
        <v>16.025407313902726</v>
      </c>
      <c r="X1219" s="9">
        <v>18.013895748167766</v>
      </c>
      <c r="Y1219" s="9">
        <v>18.013895748167766</v>
      </c>
      <c r="Z1219" s="9">
        <v>20.142868501532355</v>
      </c>
      <c r="AA1219" s="9">
        <v>20.142868501532355</v>
      </c>
      <c r="AB1219" s="9">
        <v>22.456349831314476</v>
      </c>
      <c r="AC1219" s="9">
        <v>22.456349831314476</v>
      </c>
      <c r="AD1219" s="9">
        <v>24.87984091164185</v>
      </c>
      <c r="AE1219" s="9">
        <v>27.427492221952345</v>
      </c>
      <c r="AF1219" s="9">
        <v>33.194804868730657</v>
      </c>
      <c r="AG1219" s="9">
        <v>33.194804868730657</v>
      </c>
      <c r="AH1219" s="9">
        <v>35.957808835828068</v>
      </c>
      <c r="AI1219" s="9">
        <v>38.646304092692077</v>
      </c>
      <c r="AJ1219" s="9">
        <v>3.0428788910505911</v>
      </c>
    </row>
    <row r="1220" spans="1:36" x14ac:dyDescent="0.25">
      <c r="A1220" t="s">
        <v>5411</v>
      </c>
      <c r="B1220" t="s">
        <v>16</v>
      </c>
      <c r="C1220" t="s">
        <v>17</v>
      </c>
      <c r="D1220">
        <v>35777000</v>
      </c>
      <c r="E1220">
        <v>35779999</v>
      </c>
      <c r="F1220" t="s">
        <v>1042</v>
      </c>
      <c r="G1220" t="str">
        <f t="shared" ref="G1220:G1283" si="38">H1220&amp;IF(J1220="CAPITAL","C",IF(J1220="INTERIOR","I",IF(J1220="INTERIOR II","I II","R")))</f>
        <v>MGI II</v>
      </c>
      <c r="H1220" t="s">
        <v>851</v>
      </c>
      <c r="I1220" t="s">
        <v>20</v>
      </c>
      <c r="J1220" t="s">
        <v>64</v>
      </c>
      <c r="K1220" s="6">
        <v>0.03</v>
      </c>
      <c r="L1220" s="7">
        <f t="shared" ref="L1220:L1283" si="39">IF(I1220="(0) Não",0.2%,3%)</f>
        <v>2E-3</v>
      </c>
      <c r="M1220" s="7">
        <v>3.0000000000000001E-3</v>
      </c>
      <c r="N1220">
        <v>8</v>
      </c>
      <c r="O1220" s="8">
        <v>17.822306426995311</v>
      </c>
      <c r="P1220" s="9">
        <v>17.822306426995311</v>
      </c>
      <c r="Q1220" s="9">
        <v>17.822306426995311</v>
      </c>
      <c r="R1220" s="9">
        <v>18.237663306594719</v>
      </c>
      <c r="S1220" s="9">
        <v>18.48712920931133</v>
      </c>
      <c r="T1220" s="9">
        <v>19.201553596969877</v>
      </c>
      <c r="U1220" s="9">
        <v>20.562345482855957</v>
      </c>
      <c r="V1220" s="9">
        <v>20.562345482855957</v>
      </c>
      <c r="W1220" s="9">
        <v>20.562345482855957</v>
      </c>
      <c r="X1220" s="9">
        <v>22.391977691000818</v>
      </c>
      <c r="Y1220" s="9">
        <v>22.391977691000818</v>
      </c>
      <c r="Z1220" s="9">
        <v>24.28858708803979</v>
      </c>
      <c r="AA1220" s="9">
        <v>24.28858708803979</v>
      </c>
      <c r="AB1220" s="9">
        <v>25.117335532005217</v>
      </c>
      <c r="AC1220" s="9">
        <v>25.117335532005217</v>
      </c>
      <c r="AD1220" s="9">
        <v>29.039116491286865</v>
      </c>
      <c r="AE1220" s="9">
        <v>31.219251037281825</v>
      </c>
      <c r="AF1220" s="9">
        <v>33.487682081707895</v>
      </c>
      <c r="AG1220" s="9">
        <v>33.487682081707895</v>
      </c>
      <c r="AH1220" s="9">
        <v>36.427668170967245</v>
      </c>
      <c r="AI1220" s="9">
        <v>38.74455996597662</v>
      </c>
      <c r="AJ1220" s="9">
        <v>3.0428788910505911</v>
      </c>
    </row>
    <row r="1221" spans="1:36" x14ac:dyDescent="0.25">
      <c r="A1221" t="s">
        <v>5411</v>
      </c>
      <c r="B1221" t="s">
        <v>16</v>
      </c>
      <c r="C1221" t="s">
        <v>17</v>
      </c>
      <c r="D1221">
        <v>35780000</v>
      </c>
      <c r="E1221">
        <v>35784999</v>
      </c>
      <c r="F1221" t="s">
        <v>1043</v>
      </c>
      <c r="G1221" t="str">
        <f t="shared" si="38"/>
        <v>MGI II</v>
      </c>
      <c r="H1221" t="s">
        <v>851</v>
      </c>
      <c r="I1221" t="s">
        <v>20</v>
      </c>
      <c r="J1221" t="s">
        <v>64</v>
      </c>
      <c r="K1221" s="6">
        <v>0.03</v>
      </c>
      <c r="L1221" s="7">
        <f t="shared" si="39"/>
        <v>2E-3</v>
      </c>
      <c r="M1221" s="7">
        <v>3.0000000000000001E-3</v>
      </c>
      <c r="N1221">
        <v>8</v>
      </c>
      <c r="O1221" s="8">
        <v>17.822306426995311</v>
      </c>
      <c r="P1221" s="9">
        <v>17.822306426995311</v>
      </c>
      <c r="Q1221" s="9">
        <v>17.822306426995311</v>
      </c>
      <c r="R1221" s="9">
        <v>18.237663306594719</v>
      </c>
      <c r="S1221" s="9">
        <v>18.48712920931133</v>
      </c>
      <c r="T1221" s="9">
        <v>19.201553596969877</v>
      </c>
      <c r="U1221" s="9">
        <v>20.562345482855957</v>
      </c>
      <c r="V1221" s="9">
        <v>20.562345482855957</v>
      </c>
      <c r="W1221" s="9">
        <v>20.562345482855957</v>
      </c>
      <c r="X1221" s="9">
        <v>22.391977691000818</v>
      </c>
      <c r="Y1221" s="9">
        <v>22.391977691000818</v>
      </c>
      <c r="Z1221" s="9">
        <v>24.28858708803979</v>
      </c>
      <c r="AA1221" s="9">
        <v>24.28858708803979</v>
      </c>
      <c r="AB1221" s="9">
        <v>25.117335532005217</v>
      </c>
      <c r="AC1221" s="9">
        <v>25.117335532005217</v>
      </c>
      <c r="AD1221" s="9">
        <v>29.039116491286865</v>
      </c>
      <c r="AE1221" s="9">
        <v>31.219251037281825</v>
      </c>
      <c r="AF1221" s="9">
        <v>33.487682081707895</v>
      </c>
      <c r="AG1221" s="9">
        <v>33.487682081707895</v>
      </c>
      <c r="AH1221" s="9">
        <v>36.427668170967245</v>
      </c>
      <c r="AI1221" s="9">
        <v>38.74455996597662</v>
      </c>
      <c r="AJ1221" s="9">
        <v>3.0428788910505911</v>
      </c>
    </row>
    <row r="1222" spans="1:36" x14ac:dyDescent="0.25">
      <c r="A1222" t="s">
        <v>5411</v>
      </c>
      <c r="B1222" t="s">
        <v>16</v>
      </c>
      <c r="C1222" t="s">
        <v>17</v>
      </c>
      <c r="D1222">
        <v>35785000</v>
      </c>
      <c r="E1222">
        <v>35788999</v>
      </c>
      <c r="F1222" t="s">
        <v>1044</v>
      </c>
      <c r="G1222" t="str">
        <f t="shared" si="38"/>
        <v>MGI II</v>
      </c>
      <c r="H1222" t="s">
        <v>851</v>
      </c>
      <c r="I1222" t="s">
        <v>20</v>
      </c>
      <c r="J1222" t="s">
        <v>64</v>
      </c>
      <c r="K1222" s="6">
        <v>0.03</v>
      </c>
      <c r="L1222" s="7">
        <f t="shared" si="39"/>
        <v>2E-3</v>
      </c>
      <c r="M1222" s="7">
        <v>3.0000000000000001E-3</v>
      </c>
      <c r="N1222">
        <v>8</v>
      </c>
      <c r="O1222" s="8">
        <v>17.822306426995311</v>
      </c>
      <c r="P1222" s="9">
        <v>17.822306426995311</v>
      </c>
      <c r="Q1222" s="9">
        <v>17.822306426995311</v>
      </c>
      <c r="R1222" s="9">
        <v>18.237663306594719</v>
      </c>
      <c r="S1222" s="9">
        <v>18.48712920931133</v>
      </c>
      <c r="T1222" s="9">
        <v>19.201553596969877</v>
      </c>
      <c r="U1222" s="9">
        <v>20.562345482855957</v>
      </c>
      <c r="V1222" s="9">
        <v>20.562345482855957</v>
      </c>
      <c r="W1222" s="9">
        <v>20.562345482855957</v>
      </c>
      <c r="X1222" s="9">
        <v>22.391977691000818</v>
      </c>
      <c r="Y1222" s="9">
        <v>22.391977691000818</v>
      </c>
      <c r="Z1222" s="9">
        <v>24.28858708803979</v>
      </c>
      <c r="AA1222" s="9">
        <v>24.28858708803979</v>
      </c>
      <c r="AB1222" s="9">
        <v>25.117335532005217</v>
      </c>
      <c r="AC1222" s="9">
        <v>25.117335532005217</v>
      </c>
      <c r="AD1222" s="9">
        <v>29.039116491286865</v>
      </c>
      <c r="AE1222" s="9">
        <v>31.219251037281825</v>
      </c>
      <c r="AF1222" s="9">
        <v>33.487682081707895</v>
      </c>
      <c r="AG1222" s="9">
        <v>33.487682081707895</v>
      </c>
      <c r="AH1222" s="9">
        <v>36.427668170967245</v>
      </c>
      <c r="AI1222" s="9">
        <v>38.74455996597662</v>
      </c>
      <c r="AJ1222" s="9">
        <v>3.0428788910505911</v>
      </c>
    </row>
    <row r="1223" spans="1:36" x14ac:dyDescent="0.25">
      <c r="A1223" t="s">
        <v>5411</v>
      </c>
      <c r="B1223" t="s">
        <v>16</v>
      </c>
      <c r="C1223" t="s">
        <v>17</v>
      </c>
      <c r="D1223">
        <v>35789000</v>
      </c>
      <c r="E1223">
        <v>35799999</v>
      </c>
      <c r="F1223" t="s">
        <v>1045</v>
      </c>
      <c r="G1223" t="str">
        <f t="shared" si="38"/>
        <v>MGI</v>
      </c>
      <c r="H1223" t="s">
        <v>851</v>
      </c>
      <c r="I1223" t="s">
        <v>20</v>
      </c>
      <c r="J1223" t="s">
        <v>62</v>
      </c>
      <c r="K1223" s="6">
        <v>0.03</v>
      </c>
      <c r="L1223" s="7">
        <f t="shared" si="39"/>
        <v>2E-3</v>
      </c>
      <c r="M1223" s="7">
        <v>3.0000000000000001E-3</v>
      </c>
      <c r="N1223">
        <v>6</v>
      </c>
      <c r="O1223" s="8">
        <v>13.880385281502075</v>
      </c>
      <c r="P1223" s="9">
        <v>13.880385281502075</v>
      </c>
      <c r="Q1223" s="9">
        <v>13.880385281502075</v>
      </c>
      <c r="R1223" s="9">
        <v>14.045989937445718</v>
      </c>
      <c r="S1223" s="9">
        <v>14.060876315369912</v>
      </c>
      <c r="T1223" s="9">
        <v>15.090338571208333</v>
      </c>
      <c r="U1223" s="9">
        <v>16.025407313902726</v>
      </c>
      <c r="V1223" s="9">
        <v>16.025407313902726</v>
      </c>
      <c r="W1223" s="9">
        <v>16.025407313902726</v>
      </c>
      <c r="X1223" s="9">
        <v>18.013895748167766</v>
      </c>
      <c r="Y1223" s="9">
        <v>18.013895748167766</v>
      </c>
      <c r="Z1223" s="9">
        <v>20.142868501532355</v>
      </c>
      <c r="AA1223" s="9">
        <v>20.142868501532355</v>
      </c>
      <c r="AB1223" s="9">
        <v>22.456349831314476</v>
      </c>
      <c r="AC1223" s="9">
        <v>22.456349831314476</v>
      </c>
      <c r="AD1223" s="9">
        <v>24.87984091164185</v>
      </c>
      <c r="AE1223" s="9">
        <v>27.427492221952345</v>
      </c>
      <c r="AF1223" s="9">
        <v>33.194804868730657</v>
      </c>
      <c r="AG1223" s="9">
        <v>33.194804868730657</v>
      </c>
      <c r="AH1223" s="9">
        <v>35.957808835828068</v>
      </c>
      <c r="AI1223" s="9">
        <v>38.646304092692077</v>
      </c>
      <c r="AJ1223" s="9">
        <v>3.0428788910505911</v>
      </c>
    </row>
    <row r="1224" spans="1:36" x14ac:dyDescent="0.25">
      <c r="A1224" t="s">
        <v>5411</v>
      </c>
      <c r="B1224" t="s">
        <v>16</v>
      </c>
      <c r="C1224" t="s">
        <v>17</v>
      </c>
      <c r="D1224">
        <v>35800000</v>
      </c>
      <c r="E1224">
        <v>35809999</v>
      </c>
      <c r="F1224" t="s">
        <v>1046</v>
      </c>
      <c r="G1224" t="str">
        <f t="shared" si="38"/>
        <v>MGI II</v>
      </c>
      <c r="H1224" t="s">
        <v>851</v>
      </c>
      <c r="I1224" t="s">
        <v>20</v>
      </c>
      <c r="J1224" t="s">
        <v>64</v>
      </c>
      <c r="K1224" s="6">
        <v>0.03</v>
      </c>
      <c r="L1224" s="7">
        <f t="shared" si="39"/>
        <v>2E-3</v>
      </c>
      <c r="M1224" s="7">
        <v>3.0000000000000001E-3</v>
      </c>
      <c r="N1224">
        <v>4</v>
      </c>
      <c r="O1224" s="8">
        <v>17.822306426995311</v>
      </c>
      <c r="P1224" s="9">
        <v>17.822306426995311</v>
      </c>
      <c r="Q1224" s="9">
        <v>17.822306426995311</v>
      </c>
      <c r="R1224" s="9">
        <v>18.237663306594719</v>
      </c>
      <c r="S1224" s="9">
        <v>18.48712920931133</v>
      </c>
      <c r="T1224" s="9">
        <v>19.201553596969877</v>
      </c>
      <c r="U1224" s="9">
        <v>20.562345482855957</v>
      </c>
      <c r="V1224" s="9">
        <v>20.562345482855957</v>
      </c>
      <c r="W1224" s="9">
        <v>20.562345482855957</v>
      </c>
      <c r="X1224" s="9">
        <v>22.391977691000818</v>
      </c>
      <c r="Y1224" s="9">
        <v>22.391977691000818</v>
      </c>
      <c r="Z1224" s="9">
        <v>24.28858708803979</v>
      </c>
      <c r="AA1224" s="9">
        <v>24.28858708803979</v>
      </c>
      <c r="AB1224" s="9">
        <v>25.117335532005217</v>
      </c>
      <c r="AC1224" s="9">
        <v>25.117335532005217</v>
      </c>
      <c r="AD1224" s="9">
        <v>29.039116491286865</v>
      </c>
      <c r="AE1224" s="9">
        <v>31.219251037281825</v>
      </c>
      <c r="AF1224" s="9">
        <v>33.487682081707895</v>
      </c>
      <c r="AG1224" s="9">
        <v>33.487682081707895</v>
      </c>
      <c r="AH1224" s="9">
        <v>36.427668170967245</v>
      </c>
      <c r="AI1224" s="9">
        <v>38.74455996597662</v>
      </c>
      <c r="AJ1224" s="9">
        <v>3.0428788910505911</v>
      </c>
    </row>
    <row r="1225" spans="1:36" x14ac:dyDescent="0.25">
      <c r="A1225" t="s">
        <v>5411</v>
      </c>
      <c r="B1225" t="s">
        <v>16</v>
      </c>
      <c r="C1225" t="s">
        <v>17</v>
      </c>
      <c r="D1225">
        <v>35810000</v>
      </c>
      <c r="E1225">
        <v>35814999</v>
      </c>
      <c r="F1225" t="s">
        <v>1047</v>
      </c>
      <c r="G1225" t="str">
        <f t="shared" si="38"/>
        <v>MGI II</v>
      </c>
      <c r="H1225" t="s">
        <v>851</v>
      </c>
      <c r="I1225" t="s">
        <v>20</v>
      </c>
      <c r="J1225" t="s">
        <v>64</v>
      </c>
      <c r="K1225" s="6">
        <v>0.03</v>
      </c>
      <c r="L1225" s="7">
        <f t="shared" si="39"/>
        <v>2E-3</v>
      </c>
      <c r="M1225" s="7">
        <v>3.0000000000000001E-3</v>
      </c>
      <c r="N1225">
        <v>4</v>
      </c>
      <c r="O1225" s="8">
        <v>17.822306426995311</v>
      </c>
      <c r="P1225" s="9">
        <v>17.822306426995311</v>
      </c>
      <c r="Q1225" s="9">
        <v>17.822306426995311</v>
      </c>
      <c r="R1225" s="9">
        <v>18.237663306594719</v>
      </c>
      <c r="S1225" s="9">
        <v>18.48712920931133</v>
      </c>
      <c r="T1225" s="9">
        <v>19.201553596969877</v>
      </c>
      <c r="U1225" s="9">
        <v>20.562345482855957</v>
      </c>
      <c r="V1225" s="9">
        <v>20.562345482855957</v>
      </c>
      <c r="W1225" s="9">
        <v>20.562345482855957</v>
      </c>
      <c r="X1225" s="9">
        <v>22.391977691000818</v>
      </c>
      <c r="Y1225" s="9">
        <v>22.391977691000818</v>
      </c>
      <c r="Z1225" s="9">
        <v>24.28858708803979</v>
      </c>
      <c r="AA1225" s="9">
        <v>24.28858708803979</v>
      </c>
      <c r="AB1225" s="9">
        <v>25.117335532005217</v>
      </c>
      <c r="AC1225" s="9">
        <v>25.117335532005217</v>
      </c>
      <c r="AD1225" s="9">
        <v>29.039116491286865</v>
      </c>
      <c r="AE1225" s="9">
        <v>31.219251037281825</v>
      </c>
      <c r="AF1225" s="9">
        <v>33.487682081707895</v>
      </c>
      <c r="AG1225" s="9">
        <v>33.487682081707895</v>
      </c>
      <c r="AH1225" s="9">
        <v>36.427668170967245</v>
      </c>
      <c r="AI1225" s="9">
        <v>38.74455996597662</v>
      </c>
      <c r="AJ1225" s="9">
        <v>3.0428788910505911</v>
      </c>
    </row>
    <row r="1226" spans="1:36" x14ac:dyDescent="0.25">
      <c r="A1226" t="s">
        <v>5411</v>
      </c>
      <c r="B1226" t="s">
        <v>16</v>
      </c>
      <c r="C1226" t="s">
        <v>17</v>
      </c>
      <c r="D1226">
        <v>35815000</v>
      </c>
      <c r="E1226">
        <v>35819999</v>
      </c>
      <c r="F1226" t="s">
        <v>1048</v>
      </c>
      <c r="G1226" t="str">
        <f t="shared" si="38"/>
        <v>MGI II</v>
      </c>
      <c r="H1226" t="s">
        <v>851</v>
      </c>
      <c r="I1226" t="s">
        <v>20</v>
      </c>
      <c r="J1226" t="s">
        <v>64</v>
      </c>
      <c r="K1226" s="6">
        <v>0.03</v>
      </c>
      <c r="L1226" s="7">
        <f t="shared" si="39"/>
        <v>2E-3</v>
      </c>
      <c r="M1226" s="7">
        <v>3.0000000000000001E-3</v>
      </c>
      <c r="N1226">
        <v>4</v>
      </c>
      <c r="O1226" s="8">
        <v>17.822306426995311</v>
      </c>
      <c r="P1226" s="9">
        <v>17.822306426995311</v>
      </c>
      <c r="Q1226" s="9">
        <v>17.822306426995311</v>
      </c>
      <c r="R1226" s="9">
        <v>18.237663306594719</v>
      </c>
      <c r="S1226" s="9">
        <v>18.48712920931133</v>
      </c>
      <c r="T1226" s="9">
        <v>19.201553596969877</v>
      </c>
      <c r="U1226" s="9">
        <v>20.562345482855957</v>
      </c>
      <c r="V1226" s="9">
        <v>20.562345482855957</v>
      </c>
      <c r="W1226" s="9">
        <v>20.562345482855957</v>
      </c>
      <c r="X1226" s="9">
        <v>22.391977691000818</v>
      </c>
      <c r="Y1226" s="9">
        <v>22.391977691000818</v>
      </c>
      <c r="Z1226" s="9">
        <v>24.28858708803979</v>
      </c>
      <c r="AA1226" s="9">
        <v>24.28858708803979</v>
      </c>
      <c r="AB1226" s="9">
        <v>25.117335532005217</v>
      </c>
      <c r="AC1226" s="9">
        <v>25.117335532005217</v>
      </c>
      <c r="AD1226" s="9">
        <v>29.039116491286865</v>
      </c>
      <c r="AE1226" s="9">
        <v>31.219251037281825</v>
      </c>
      <c r="AF1226" s="9">
        <v>33.487682081707895</v>
      </c>
      <c r="AG1226" s="9">
        <v>33.487682081707895</v>
      </c>
      <c r="AH1226" s="9">
        <v>36.427668170967245</v>
      </c>
      <c r="AI1226" s="9">
        <v>38.74455996597662</v>
      </c>
      <c r="AJ1226" s="9">
        <v>3.0428788910505911</v>
      </c>
    </row>
    <row r="1227" spans="1:36" x14ac:dyDescent="0.25">
      <c r="A1227" t="s">
        <v>5411</v>
      </c>
      <c r="B1227" t="s">
        <v>16</v>
      </c>
      <c r="C1227" t="s">
        <v>17</v>
      </c>
      <c r="D1227">
        <v>35820000</v>
      </c>
      <c r="E1227">
        <v>35829999</v>
      </c>
      <c r="F1227" t="s">
        <v>1049</v>
      </c>
      <c r="G1227" t="str">
        <f t="shared" si="38"/>
        <v>MGI II</v>
      </c>
      <c r="H1227" t="s">
        <v>851</v>
      </c>
      <c r="I1227" t="s">
        <v>20</v>
      </c>
      <c r="J1227" t="s">
        <v>64</v>
      </c>
      <c r="K1227" s="6">
        <v>0.03</v>
      </c>
      <c r="L1227" s="7">
        <f t="shared" si="39"/>
        <v>2E-3</v>
      </c>
      <c r="M1227" s="7">
        <v>3.0000000000000001E-3</v>
      </c>
      <c r="N1227">
        <v>4</v>
      </c>
      <c r="O1227" s="8">
        <v>17.822306426995311</v>
      </c>
      <c r="P1227" s="9">
        <v>17.822306426995311</v>
      </c>
      <c r="Q1227" s="9">
        <v>17.822306426995311</v>
      </c>
      <c r="R1227" s="9">
        <v>18.237663306594719</v>
      </c>
      <c r="S1227" s="9">
        <v>18.48712920931133</v>
      </c>
      <c r="T1227" s="9">
        <v>19.201553596969877</v>
      </c>
      <c r="U1227" s="9">
        <v>20.562345482855957</v>
      </c>
      <c r="V1227" s="9">
        <v>20.562345482855957</v>
      </c>
      <c r="W1227" s="9">
        <v>20.562345482855957</v>
      </c>
      <c r="X1227" s="9">
        <v>22.391977691000818</v>
      </c>
      <c r="Y1227" s="9">
        <v>22.391977691000818</v>
      </c>
      <c r="Z1227" s="9">
        <v>24.28858708803979</v>
      </c>
      <c r="AA1227" s="9">
        <v>24.28858708803979</v>
      </c>
      <c r="AB1227" s="9">
        <v>25.117335532005217</v>
      </c>
      <c r="AC1227" s="9">
        <v>25.117335532005217</v>
      </c>
      <c r="AD1227" s="9">
        <v>29.039116491286865</v>
      </c>
      <c r="AE1227" s="9">
        <v>31.219251037281825</v>
      </c>
      <c r="AF1227" s="9">
        <v>33.487682081707895</v>
      </c>
      <c r="AG1227" s="9">
        <v>33.487682081707895</v>
      </c>
      <c r="AH1227" s="9">
        <v>36.427668170967245</v>
      </c>
      <c r="AI1227" s="9">
        <v>38.74455996597662</v>
      </c>
      <c r="AJ1227" s="9">
        <v>3.0428788910505911</v>
      </c>
    </row>
    <row r="1228" spans="1:36" x14ac:dyDescent="0.25">
      <c r="A1228" t="s">
        <v>5411</v>
      </c>
      <c r="B1228" t="s">
        <v>16</v>
      </c>
      <c r="C1228" t="s">
        <v>17</v>
      </c>
      <c r="D1228">
        <v>35830000</v>
      </c>
      <c r="E1228">
        <v>35844999</v>
      </c>
      <c r="F1228" t="s">
        <v>1050</v>
      </c>
      <c r="G1228" t="str">
        <f t="shared" si="38"/>
        <v>MGI II</v>
      </c>
      <c r="H1228" t="s">
        <v>851</v>
      </c>
      <c r="I1228" t="s">
        <v>20</v>
      </c>
      <c r="J1228" t="s">
        <v>64</v>
      </c>
      <c r="K1228" s="6">
        <v>0.03</v>
      </c>
      <c r="L1228" s="7">
        <f t="shared" si="39"/>
        <v>2E-3</v>
      </c>
      <c r="M1228" s="7">
        <v>3.0000000000000001E-3</v>
      </c>
      <c r="N1228">
        <v>8</v>
      </c>
      <c r="O1228" s="8">
        <v>17.822306426995311</v>
      </c>
      <c r="P1228" s="9">
        <v>17.822306426995311</v>
      </c>
      <c r="Q1228" s="9">
        <v>17.822306426995311</v>
      </c>
      <c r="R1228" s="9">
        <v>18.237663306594719</v>
      </c>
      <c r="S1228" s="9">
        <v>18.48712920931133</v>
      </c>
      <c r="T1228" s="9">
        <v>19.201553596969877</v>
      </c>
      <c r="U1228" s="9">
        <v>20.562345482855957</v>
      </c>
      <c r="V1228" s="9">
        <v>20.562345482855957</v>
      </c>
      <c r="W1228" s="9">
        <v>20.562345482855957</v>
      </c>
      <c r="X1228" s="9">
        <v>22.391977691000818</v>
      </c>
      <c r="Y1228" s="9">
        <v>22.391977691000818</v>
      </c>
      <c r="Z1228" s="9">
        <v>24.28858708803979</v>
      </c>
      <c r="AA1228" s="9">
        <v>24.28858708803979</v>
      </c>
      <c r="AB1228" s="9">
        <v>25.117335532005217</v>
      </c>
      <c r="AC1228" s="9">
        <v>25.117335532005217</v>
      </c>
      <c r="AD1228" s="9">
        <v>29.039116491286865</v>
      </c>
      <c r="AE1228" s="9">
        <v>31.219251037281825</v>
      </c>
      <c r="AF1228" s="9">
        <v>33.487682081707895</v>
      </c>
      <c r="AG1228" s="9">
        <v>33.487682081707895</v>
      </c>
      <c r="AH1228" s="9">
        <v>36.427668170967245</v>
      </c>
      <c r="AI1228" s="9">
        <v>38.74455996597662</v>
      </c>
      <c r="AJ1228" s="9">
        <v>3.0428788910505911</v>
      </c>
    </row>
    <row r="1229" spans="1:36" x14ac:dyDescent="0.25">
      <c r="A1229" t="s">
        <v>5411</v>
      </c>
      <c r="B1229" t="s">
        <v>16</v>
      </c>
      <c r="C1229" t="s">
        <v>17</v>
      </c>
      <c r="D1229">
        <v>35845000</v>
      </c>
      <c r="E1229">
        <v>35849999</v>
      </c>
      <c r="F1229" t="s">
        <v>1051</v>
      </c>
      <c r="G1229" t="str">
        <f t="shared" si="38"/>
        <v>MGI II</v>
      </c>
      <c r="H1229" t="s">
        <v>851</v>
      </c>
      <c r="I1229" t="s">
        <v>20</v>
      </c>
      <c r="J1229" t="s">
        <v>64</v>
      </c>
      <c r="K1229" s="6">
        <v>0.03</v>
      </c>
      <c r="L1229" s="7">
        <f t="shared" si="39"/>
        <v>2E-3</v>
      </c>
      <c r="M1229" s="7">
        <v>3.0000000000000001E-3</v>
      </c>
      <c r="N1229">
        <v>8</v>
      </c>
      <c r="O1229" s="8">
        <v>17.822306426995311</v>
      </c>
      <c r="P1229" s="9">
        <v>17.822306426995311</v>
      </c>
      <c r="Q1229" s="9">
        <v>17.822306426995311</v>
      </c>
      <c r="R1229" s="9">
        <v>18.237663306594719</v>
      </c>
      <c r="S1229" s="9">
        <v>18.48712920931133</v>
      </c>
      <c r="T1229" s="9">
        <v>19.201553596969877</v>
      </c>
      <c r="U1229" s="9">
        <v>20.562345482855957</v>
      </c>
      <c r="V1229" s="9">
        <v>20.562345482855957</v>
      </c>
      <c r="W1229" s="9">
        <v>20.562345482855957</v>
      </c>
      <c r="X1229" s="9">
        <v>22.391977691000818</v>
      </c>
      <c r="Y1229" s="9">
        <v>22.391977691000818</v>
      </c>
      <c r="Z1229" s="9">
        <v>24.28858708803979</v>
      </c>
      <c r="AA1229" s="9">
        <v>24.28858708803979</v>
      </c>
      <c r="AB1229" s="9">
        <v>25.117335532005217</v>
      </c>
      <c r="AC1229" s="9">
        <v>25.117335532005217</v>
      </c>
      <c r="AD1229" s="9">
        <v>29.039116491286865</v>
      </c>
      <c r="AE1229" s="9">
        <v>31.219251037281825</v>
      </c>
      <c r="AF1229" s="9">
        <v>33.487682081707895</v>
      </c>
      <c r="AG1229" s="9">
        <v>33.487682081707895</v>
      </c>
      <c r="AH1229" s="9">
        <v>36.427668170967245</v>
      </c>
      <c r="AI1229" s="9">
        <v>38.74455996597662</v>
      </c>
      <c r="AJ1229" s="9">
        <v>3.0428788910505911</v>
      </c>
    </row>
    <row r="1230" spans="1:36" x14ac:dyDescent="0.25">
      <c r="A1230" t="s">
        <v>5411</v>
      </c>
      <c r="B1230" t="s">
        <v>16</v>
      </c>
      <c r="C1230" t="s">
        <v>17</v>
      </c>
      <c r="D1230">
        <v>35850000</v>
      </c>
      <c r="E1230">
        <v>35857999</v>
      </c>
      <c r="F1230" t="s">
        <v>1052</v>
      </c>
      <c r="G1230" t="str">
        <f t="shared" si="38"/>
        <v>MGI II</v>
      </c>
      <c r="H1230" t="s">
        <v>851</v>
      </c>
      <c r="I1230" t="s">
        <v>20</v>
      </c>
      <c r="J1230" t="s">
        <v>64</v>
      </c>
      <c r="K1230" s="6">
        <v>0.03</v>
      </c>
      <c r="L1230" s="7">
        <f t="shared" si="39"/>
        <v>2E-3</v>
      </c>
      <c r="M1230" s="7">
        <v>3.0000000000000001E-3</v>
      </c>
      <c r="N1230">
        <v>8</v>
      </c>
      <c r="O1230" s="8">
        <v>17.822306426995311</v>
      </c>
      <c r="P1230" s="9">
        <v>17.822306426995311</v>
      </c>
      <c r="Q1230" s="9">
        <v>17.822306426995311</v>
      </c>
      <c r="R1230" s="9">
        <v>18.237663306594719</v>
      </c>
      <c r="S1230" s="9">
        <v>18.48712920931133</v>
      </c>
      <c r="T1230" s="9">
        <v>19.201553596969877</v>
      </c>
      <c r="U1230" s="9">
        <v>20.562345482855957</v>
      </c>
      <c r="V1230" s="9">
        <v>20.562345482855957</v>
      </c>
      <c r="W1230" s="9">
        <v>20.562345482855957</v>
      </c>
      <c r="X1230" s="9">
        <v>22.391977691000818</v>
      </c>
      <c r="Y1230" s="9">
        <v>22.391977691000818</v>
      </c>
      <c r="Z1230" s="9">
        <v>24.28858708803979</v>
      </c>
      <c r="AA1230" s="9">
        <v>24.28858708803979</v>
      </c>
      <c r="AB1230" s="9">
        <v>25.117335532005217</v>
      </c>
      <c r="AC1230" s="9">
        <v>25.117335532005217</v>
      </c>
      <c r="AD1230" s="9">
        <v>29.039116491286865</v>
      </c>
      <c r="AE1230" s="9">
        <v>31.219251037281825</v>
      </c>
      <c r="AF1230" s="9">
        <v>33.487682081707895</v>
      </c>
      <c r="AG1230" s="9">
        <v>33.487682081707895</v>
      </c>
      <c r="AH1230" s="9">
        <v>36.427668170967245</v>
      </c>
      <c r="AI1230" s="9">
        <v>38.74455996597662</v>
      </c>
      <c r="AJ1230" s="9">
        <v>3.0428788910505911</v>
      </c>
    </row>
    <row r="1231" spans="1:36" x14ac:dyDescent="0.25">
      <c r="A1231" t="s">
        <v>5411</v>
      </c>
      <c r="B1231" t="s">
        <v>16</v>
      </c>
      <c r="C1231" t="s">
        <v>17</v>
      </c>
      <c r="D1231">
        <v>35858000</v>
      </c>
      <c r="E1231">
        <v>35864999</v>
      </c>
      <c r="F1231" t="s">
        <v>1053</v>
      </c>
      <c r="G1231" t="str">
        <f t="shared" si="38"/>
        <v>MGI II</v>
      </c>
      <c r="H1231" t="s">
        <v>851</v>
      </c>
      <c r="I1231" t="s">
        <v>20</v>
      </c>
      <c r="J1231" t="s">
        <v>64</v>
      </c>
      <c r="K1231" s="6">
        <v>0.03</v>
      </c>
      <c r="L1231" s="7">
        <f t="shared" si="39"/>
        <v>2E-3</v>
      </c>
      <c r="M1231" s="7">
        <v>3.0000000000000001E-3</v>
      </c>
      <c r="N1231">
        <v>4</v>
      </c>
      <c r="O1231" s="8">
        <v>17.822306426995311</v>
      </c>
      <c r="P1231" s="9">
        <v>17.822306426995311</v>
      </c>
      <c r="Q1231" s="9">
        <v>17.822306426995311</v>
      </c>
      <c r="R1231" s="9">
        <v>18.237663306594719</v>
      </c>
      <c r="S1231" s="9">
        <v>18.48712920931133</v>
      </c>
      <c r="T1231" s="9">
        <v>19.201553596969877</v>
      </c>
      <c r="U1231" s="9">
        <v>20.562345482855957</v>
      </c>
      <c r="V1231" s="9">
        <v>20.562345482855957</v>
      </c>
      <c r="W1231" s="9">
        <v>20.562345482855957</v>
      </c>
      <c r="X1231" s="9">
        <v>22.391977691000818</v>
      </c>
      <c r="Y1231" s="9">
        <v>22.391977691000818</v>
      </c>
      <c r="Z1231" s="9">
        <v>24.28858708803979</v>
      </c>
      <c r="AA1231" s="9">
        <v>24.28858708803979</v>
      </c>
      <c r="AB1231" s="9">
        <v>25.117335532005217</v>
      </c>
      <c r="AC1231" s="9">
        <v>25.117335532005217</v>
      </c>
      <c r="AD1231" s="9">
        <v>29.039116491286865</v>
      </c>
      <c r="AE1231" s="9">
        <v>31.219251037281825</v>
      </c>
      <c r="AF1231" s="9">
        <v>33.487682081707895</v>
      </c>
      <c r="AG1231" s="9">
        <v>33.487682081707895</v>
      </c>
      <c r="AH1231" s="9">
        <v>36.427668170967245</v>
      </c>
      <c r="AI1231" s="9">
        <v>38.74455996597662</v>
      </c>
      <c r="AJ1231" s="9">
        <v>3.0428788910505911</v>
      </c>
    </row>
    <row r="1232" spans="1:36" x14ac:dyDescent="0.25">
      <c r="A1232" t="s">
        <v>5411</v>
      </c>
      <c r="B1232" t="s">
        <v>16</v>
      </c>
      <c r="C1232" t="s">
        <v>17</v>
      </c>
      <c r="D1232">
        <v>35865000</v>
      </c>
      <c r="E1232">
        <v>35874999</v>
      </c>
      <c r="F1232" t="s">
        <v>1054</v>
      </c>
      <c r="G1232" t="str">
        <f t="shared" si="38"/>
        <v>MGI II</v>
      </c>
      <c r="H1232" t="s">
        <v>851</v>
      </c>
      <c r="I1232" t="s">
        <v>20</v>
      </c>
      <c r="J1232" t="s">
        <v>64</v>
      </c>
      <c r="K1232" s="6">
        <v>0.03</v>
      </c>
      <c r="L1232" s="7">
        <f t="shared" si="39"/>
        <v>2E-3</v>
      </c>
      <c r="M1232" s="7">
        <v>3.0000000000000001E-3</v>
      </c>
      <c r="N1232">
        <v>4</v>
      </c>
      <c r="O1232" s="8">
        <v>17.822306426995311</v>
      </c>
      <c r="P1232" s="9">
        <v>17.822306426995311</v>
      </c>
      <c r="Q1232" s="9">
        <v>17.822306426995311</v>
      </c>
      <c r="R1232" s="9">
        <v>18.237663306594719</v>
      </c>
      <c r="S1232" s="9">
        <v>18.48712920931133</v>
      </c>
      <c r="T1232" s="9">
        <v>19.201553596969877</v>
      </c>
      <c r="U1232" s="9">
        <v>20.562345482855957</v>
      </c>
      <c r="V1232" s="9">
        <v>20.562345482855957</v>
      </c>
      <c r="W1232" s="9">
        <v>20.562345482855957</v>
      </c>
      <c r="X1232" s="9">
        <v>22.391977691000818</v>
      </c>
      <c r="Y1232" s="9">
        <v>22.391977691000818</v>
      </c>
      <c r="Z1232" s="9">
        <v>24.28858708803979</v>
      </c>
      <c r="AA1232" s="9">
        <v>24.28858708803979</v>
      </c>
      <c r="AB1232" s="9">
        <v>25.117335532005217</v>
      </c>
      <c r="AC1232" s="9">
        <v>25.117335532005217</v>
      </c>
      <c r="AD1232" s="9">
        <v>29.039116491286865</v>
      </c>
      <c r="AE1232" s="9">
        <v>31.219251037281825</v>
      </c>
      <c r="AF1232" s="9">
        <v>33.487682081707895</v>
      </c>
      <c r="AG1232" s="9">
        <v>33.487682081707895</v>
      </c>
      <c r="AH1232" s="9">
        <v>36.427668170967245</v>
      </c>
      <c r="AI1232" s="9">
        <v>38.74455996597662</v>
      </c>
      <c r="AJ1232" s="9">
        <v>3.0428788910505911</v>
      </c>
    </row>
    <row r="1233" spans="1:36" x14ac:dyDescent="0.25">
      <c r="A1233" t="s">
        <v>5411</v>
      </c>
      <c r="B1233" t="s">
        <v>16</v>
      </c>
      <c r="C1233" t="s">
        <v>17</v>
      </c>
      <c r="D1233">
        <v>35875000</v>
      </c>
      <c r="E1233">
        <v>35877999</v>
      </c>
      <c r="F1233" t="s">
        <v>1055</v>
      </c>
      <c r="G1233" t="str">
        <f t="shared" si="38"/>
        <v>MGI II</v>
      </c>
      <c r="H1233" t="s">
        <v>851</v>
      </c>
      <c r="I1233" t="s">
        <v>20</v>
      </c>
      <c r="J1233" t="s">
        <v>64</v>
      </c>
      <c r="K1233" s="6">
        <v>0.03</v>
      </c>
      <c r="L1233" s="7">
        <f t="shared" si="39"/>
        <v>2E-3</v>
      </c>
      <c r="M1233" s="7">
        <v>3.0000000000000001E-3</v>
      </c>
      <c r="N1233">
        <v>4</v>
      </c>
      <c r="O1233" s="8">
        <v>17.822306426995311</v>
      </c>
      <c r="P1233" s="9">
        <v>17.822306426995311</v>
      </c>
      <c r="Q1233" s="9">
        <v>17.822306426995311</v>
      </c>
      <c r="R1233" s="9">
        <v>18.237663306594719</v>
      </c>
      <c r="S1233" s="9">
        <v>18.48712920931133</v>
      </c>
      <c r="T1233" s="9">
        <v>19.201553596969877</v>
      </c>
      <c r="U1233" s="9">
        <v>20.562345482855957</v>
      </c>
      <c r="V1233" s="9">
        <v>20.562345482855957</v>
      </c>
      <c r="W1233" s="9">
        <v>20.562345482855957</v>
      </c>
      <c r="X1233" s="9">
        <v>22.391977691000818</v>
      </c>
      <c r="Y1233" s="9">
        <v>22.391977691000818</v>
      </c>
      <c r="Z1233" s="9">
        <v>24.28858708803979</v>
      </c>
      <c r="AA1233" s="9">
        <v>24.28858708803979</v>
      </c>
      <c r="AB1233" s="9">
        <v>25.117335532005217</v>
      </c>
      <c r="AC1233" s="9">
        <v>25.117335532005217</v>
      </c>
      <c r="AD1233" s="9">
        <v>29.039116491286865</v>
      </c>
      <c r="AE1233" s="9">
        <v>31.219251037281825</v>
      </c>
      <c r="AF1233" s="9">
        <v>33.487682081707895</v>
      </c>
      <c r="AG1233" s="9">
        <v>33.487682081707895</v>
      </c>
      <c r="AH1233" s="9">
        <v>36.427668170967245</v>
      </c>
      <c r="AI1233" s="9">
        <v>38.74455996597662</v>
      </c>
      <c r="AJ1233" s="9">
        <v>3.0428788910505911</v>
      </c>
    </row>
    <row r="1234" spans="1:36" x14ac:dyDescent="0.25">
      <c r="A1234" t="s">
        <v>5411</v>
      </c>
      <c r="B1234" t="s">
        <v>16</v>
      </c>
      <c r="C1234" t="s">
        <v>17</v>
      </c>
      <c r="D1234">
        <v>35878000</v>
      </c>
      <c r="E1234">
        <v>35879999</v>
      </c>
      <c r="F1234" t="s">
        <v>1056</v>
      </c>
      <c r="G1234" t="str">
        <f t="shared" si="38"/>
        <v>MGI II</v>
      </c>
      <c r="H1234" t="s">
        <v>851</v>
      </c>
      <c r="I1234" t="s">
        <v>20</v>
      </c>
      <c r="J1234" t="s">
        <v>64</v>
      </c>
      <c r="K1234" s="6">
        <v>0.03</v>
      </c>
      <c r="L1234" s="7">
        <f t="shared" si="39"/>
        <v>2E-3</v>
      </c>
      <c r="M1234" s="7">
        <v>3.0000000000000001E-3</v>
      </c>
      <c r="N1234">
        <v>4</v>
      </c>
      <c r="O1234" s="8">
        <v>17.822306426995311</v>
      </c>
      <c r="P1234" s="9">
        <v>17.822306426995311</v>
      </c>
      <c r="Q1234" s="9">
        <v>17.822306426995311</v>
      </c>
      <c r="R1234" s="9">
        <v>18.237663306594719</v>
      </c>
      <c r="S1234" s="9">
        <v>18.48712920931133</v>
      </c>
      <c r="T1234" s="9">
        <v>19.201553596969877</v>
      </c>
      <c r="U1234" s="9">
        <v>20.562345482855957</v>
      </c>
      <c r="V1234" s="9">
        <v>20.562345482855957</v>
      </c>
      <c r="W1234" s="9">
        <v>20.562345482855957</v>
      </c>
      <c r="X1234" s="9">
        <v>22.391977691000818</v>
      </c>
      <c r="Y1234" s="9">
        <v>22.391977691000818</v>
      </c>
      <c r="Z1234" s="9">
        <v>24.28858708803979</v>
      </c>
      <c r="AA1234" s="9">
        <v>24.28858708803979</v>
      </c>
      <c r="AB1234" s="9">
        <v>25.117335532005217</v>
      </c>
      <c r="AC1234" s="9">
        <v>25.117335532005217</v>
      </c>
      <c r="AD1234" s="9">
        <v>29.039116491286865</v>
      </c>
      <c r="AE1234" s="9">
        <v>31.219251037281825</v>
      </c>
      <c r="AF1234" s="9">
        <v>33.487682081707895</v>
      </c>
      <c r="AG1234" s="9">
        <v>33.487682081707895</v>
      </c>
      <c r="AH1234" s="9">
        <v>36.427668170967245</v>
      </c>
      <c r="AI1234" s="9">
        <v>38.74455996597662</v>
      </c>
      <c r="AJ1234" s="9">
        <v>3.0428788910505911</v>
      </c>
    </row>
    <row r="1235" spans="1:36" x14ac:dyDescent="0.25">
      <c r="A1235" t="s">
        <v>5411</v>
      </c>
      <c r="B1235" t="s">
        <v>16</v>
      </c>
      <c r="C1235" t="s">
        <v>17</v>
      </c>
      <c r="D1235">
        <v>35880000</v>
      </c>
      <c r="E1235">
        <v>35893999</v>
      </c>
      <c r="F1235" t="s">
        <v>1057</v>
      </c>
      <c r="G1235" t="str">
        <f t="shared" si="38"/>
        <v>MGI II</v>
      </c>
      <c r="H1235" t="s">
        <v>851</v>
      </c>
      <c r="I1235" t="s">
        <v>20</v>
      </c>
      <c r="J1235" t="s">
        <v>64</v>
      </c>
      <c r="K1235" s="6">
        <v>0.03</v>
      </c>
      <c r="L1235" s="7">
        <f t="shared" si="39"/>
        <v>2E-3</v>
      </c>
      <c r="M1235" s="7">
        <v>3.0000000000000001E-3</v>
      </c>
      <c r="N1235">
        <v>4</v>
      </c>
      <c r="O1235" s="8">
        <v>17.822306426995311</v>
      </c>
      <c r="P1235" s="9">
        <v>17.822306426995311</v>
      </c>
      <c r="Q1235" s="9">
        <v>17.822306426995311</v>
      </c>
      <c r="R1235" s="9">
        <v>18.237663306594719</v>
      </c>
      <c r="S1235" s="9">
        <v>18.48712920931133</v>
      </c>
      <c r="T1235" s="9">
        <v>19.201553596969877</v>
      </c>
      <c r="U1235" s="9">
        <v>20.562345482855957</v>
      </c>
      <c r="V1235" s="9">
        <v>20.562345482855957</v>
      </c>
      <c r="W1235" s="9">
        <v>20.562345482855957</v>
      </c>
      <c r="X1235" s="9">
        <v>22.391977691000818</v>
      </c>
      <c r="Y1235" s="9">
        <v>22.391977691000818</v>
      </c>
      <c r="Z1235" s="9">
        <v>24.28858708803979</v>
      </c>
      <c r="AA1235" s="9">
        <v>24.28858708803979</v>
      </c>
      <c r="AB1235" s="9">
        <v>25.117335532005217</v>
      </c>
      <c r="AC1235" s="9">
        <v>25.117335532005217</v>
      </c>
      <c r="AD1235" s="9">
        <v>29.039116491286865</v>
      </c>
      <c r="AE1235" s="9">
        <v>31.219251037281825</v>
      </c>
      <c r="AF1235" s="9">
        <v>33.487682081707895</v>
      </c>
      <c r="AG1235" s="9">
        <v>33.487682081707895</v>
      </c>
      <c r="AH1235" s="9">
        <v>36.427668170967245</v>
      </c>
      <c r="AI1235" s="9">
        <v>38.74455996597662</v>
      </c>
      <c r="AJ1235" s="9">
        <v>3.0428788910505911</v>
      </c>
    </row>
    <row r="1236" spans="1:36" x14ac:dyDescent="0.25">
      <c r="A1236" t="s">
        <v>5411</v>
      </c>
      <c r="B1236" t="s">
        <v>16</v>
      </c>
      <c r="C1236" t="s">
        <v>17</v>
      </c>
      <c r="D1236">
        <v>35894000</v>
      </c>
      <c r="E1236">
        <v>35899999</v>
      </c>
      <c r="F1236" t="s">
        <v>1058</v>
      </c>
      <c r="G1236" t="str">
        <f t="shared" si="38"/>
        <v>MGI II</v>
      </c>
      <c r="H1236" t="s">
        <v>851</v>
      </c>
      <c r="I1236" t="s">
        <v>20</v>
      </c>
      <c r="J1236" t="s">
        <v>64</v>
      </c>
      <c r="K1236" s="6">
        <v>0.03</v>
      </c>
      <c r="L1236" s="7">
        <f t="shared" si="39"/>
        <v>2E-3</v>
      </c>
      <c r="M1236" s="7">
        <v>3.0000000000000001E-3</v>
      </c>
      <c r="N1236">
        <v>4</v>
      </c>
      <c r="O1236" s="8">
        <v>17.822306426995311</v>
      </c>
      <c r="P1236" s="9">
        <v>17.822306426995311</v>
      </c>
      <c r="Q1236" s="9">
        <v>17.822306426995311</v>
      </c>
      <c r="R1236" s="9">
        <v>18.237663306594719</v>
      </c>
      <c r="S1236" s="9">
        <v>18.48712920931133</v>
      </c>
      <c r="T1236" s="9">
        <v>19.201553596969877</v>
      </c>
      <c r="U1236" s="9">
        <v>20.562345482855957</v>
      </c>
      <c r="V1236" s="9">
        <v>20.562345482855957</v>
      </c>
      <c r="W1236" s="9">
        <v>20.562345482855957</v>
      </c>
      <c r="X1236" s="9">
        <v>22.391977691000818</v>
      </c>
      <c r="Y1236" s="9">
        <v>22.391977691000818</v>
      </c>
      <c r="Z1236" s="9">
        <v>24.28858708803979</v>
      </c>
      <c r="AA1236" s="9">
        <v>24.28858708803979</v>
      </c>
      <c r="AB1236" s="9">
        <v>25.117335532005217</v>
      </c>
      <c r="AC1236" s="9">
        <v>25.117335532005217</v>
      </c>
      <c r="AD1236" s="9">
        <v>29.039116491286865</v>
      </c>
      <c r="AE1236" s="9">
        <v>31.219251037281825</v>
      </c>
      <c r="AF1236" s="9">
        <v>33.487682081707895</v>
      </c>
      <c r="AG1236" s="9">
        <v>33.487682081707895</v>
      </c>
      <c r="AH1236" s="9">
        <v>36.427668170967245</v>
      </c>
      <c r="AI1236" s="9">
        <v>38.74455996597662</v>
      </c>
      <c r="AJ1236" s="9">
        <v>3.0428788910505911</v>
      </c>
    </row>
    <row r="1237" spans="1:36" x14ac:dyDescent="0.25">
      <c r="A1237" t="s">
        <v>5411</v>
      </c>
      <c r="B1237" t="s">
        <v>16</v>
      </c>
      <c r="C1237" t="s">
        <v>17</v>
      </c>
      <c r="D1237">
        <v>35900000</v>
      </c>
      <c r="E1237">
        <v>35907999</v>
      </c>
      <c r="F1237" t="s">
        <v>1059</v>
      </c>
      <c r="G1237" t="str">
        <f t="shared" si="38"/>
        <v>MGI</v>
      </c>
      <c r="H1237" t="s">
        <v>851</v>
      </c>
      <c r="I1237" t="s">
        <v>20</v>
      </c>
      <c r="J1237" t="s">
        <v>62</v>
      </c>
      <c r="K1237" s="6">
        <v>0.03</v>
      </c>
      <c r="L1237" s="7">
        <f t="shared" si="39"/>
        <v>2E-3</v>
      </c>
      <c r="M1237" s="7">
        <v>3.0000000000000001E-3</v>
      </c>
      <c r="N1237">
        <v>2</v>
      </c>
      <c r="O1237" s="8">
        <v>13.880385281502075</v>
      </c>
      <c r="P1237" s="9">
        <v>13.880385281502075</v>
      </c>
      <c r="Q1237" s="9">
        <v>13.880385281502075</v>
      </c>
      <c r="R1237" s="9">
        <v>14.045989937445718</v>
      </c>
      <c r="S1237" s="9">
        <v>14.060876315369912</v>
      </c>
      <c r="T1237" s="9">
        <v>15.090338571208333</v>
      </c>
      <c r="U1237" s="9">
        <v>16.025407313902726</v>
      </c>
      <c r="V1237" s="9">
        <v>16.025407313902726</v>
      </c>
      <c r="W1237" s="9">
        <v>16.025407313902726</v>
      </c>
      <c r="X1237" s="9">
        <v>18.013895748167766</v>
      </c>
      <c r="Y1237" s="9">
        <v>18.013895748167766</v>
      </c>
      <c r="Z1237" s="9">
        <v>20.142868501532355</v>
      </c>
      <c r="AA1237" s="9">
        <v>20.142868501532355</v>
      </c>
      <c r="AB1237" s="9">
        <v>22.456349831314476</v>
      </c>
      <c r="AC1237" s="9">
        <v>22.456349831314476</v>
      </c>
      <c r="AD1237" s="9">
        <v>24.87984091164185</v>
      </c>
      <c r="AE1237" s="9">
        <v>27.427492221952345</v>
      </c>
      <c r="AF1237" s="9">
        <v>33.194804868730657</v>
      </c>
      <c r="AG1237" s="9">
        <v>33.194804868730657</v>
      </c>
      <c r="AH1237" s="9">
        <v>35.957808835828068</v>
      </c>
      <c r="AI1237" s="9">
        <v>38.646304092692077</v>
      </c>
      <c r="AJ1237" s="9">
        <v>3.0428788910505911</v>
      </c>
    </row>
    <row r="1238" spans="1:36" x14ac:dyDescent="0.25">
      <c r="A1238" t="s">
        <v>5411</v>
      </c>
      <c r="B1238" t="s">
        <v>16</v>
      </c>
      <c r="C1238" t="s">
        <v>17</v>
      </c>
      <c r="D1238">
        <v>35908000</v>
      </c>
      <c r="E1238">
        <v>35909999</v>
      </c>
      <c r="F1238" t="s">
        <v>1060</v>
      </c>
      <c r="G1238" t="str">
        <f t="shared" si="38"/>
        <v>MGI II</v>
      </c>
      <c r="H1238" t="s">
        <v>851</v>
      </c>
      <c r="I1238" t="s">
        <v>20</v>
      </c>
      <c r="J1238" t="s">
        <v>64</v>
      </c>
      <c r="K1238" s="6">
        <v>0.03</v>
      </c>
      <c r="L1238" s="7">
        <f t="shared" si="39"/>
        <v>2E-3</v>
      </c>
      <c r="M1238" s="7">
        <v>3.0000000000000001E-3</v>
      </c>
      <c r="N1238">
        <v>4</v>
      </c>
      <c r="O1238" s="8">
        <v>17.822306426995311</v>
      </c>
      <c r="P1238" s="9">
        <v>17.822306426995311</v>
      </c>
      <c r="Q1238" s="9">
        <v>17.822306426995311</v>
      </c>
      <c r="R1238" s="9">
        <v>18.237663306594719</v>
      </c>
      <c r="S1238" s="9">
        <v>18.48712920931133</v>
      </c>
      <c r="T1238" s="9">
        <v>19.201553596969877</v>
      </c>
      <c r="U1238" s="9">
        <v>20.562345482855957</v>
      </c>
      <c r="V1238" s="9">
        <v>20.562345482855957</v>
      </c>
      <c r="W1238" s="9">
        <v>20.562345482855957</v>
      </c>
      <c r="X1238" s="9">
        <v>22.391977691000818</v>
      </c>
      <c r="Y1238" s="9">
        <v>22.391977691000818</v>
      </c>
      <c r="Z1238" s="9">
        <v>24.28858708803979</v>
      </c>
      <c r="AA1238" s="9">
        <v>24.28858708803979</v>
      </c>
      <c r="AB1238" s="9">
        <v>25.117335532005217</v>
      </c>
      <c r="AC1238" s="9">
        <v>25.117335532005217</v>
      </c>
      <c r="AD1238" s="9">
        <v>29.039116491286865</v>
      </c>
      <c r="AE1238" s="9">
        <v>31.219251037281825</v>
      </c>
      <c r="AF1238" s="9">
        <v>33.487682081707895</v>
      </c>
      <c r="AG1238" s="9">
        <v>33.487682081707895</v>
      </c>
      <c r="AH1238" s="9">
        <v>36.427668170967245</v>
      </c>
      <c r="AI1238" s="9">
        <v>38.74455996597662</v>
      </c>
      <c r="AJ1238" s="9">
        <v>3.0428788910505911</v>
      </c>
    </row>
    <row r="1239" spans="1:36" x14ac:dyDescent="0.25">
      <c r="A1239" t="s">
        <v>5411</v>
      </c>
      <c r="B1239" t="s">
        <v>16</v>
      </c>
      <c r="C1239" t="s">
        <v>17</v>
      </c>
      <c r="D1239">
        <v>35910000</v>
      </c>
      <c r="E1239">
        <v>35919999</v>
      </c>
      <c r="F1239" t="s">
        <v>1061</v>
      </c>
      <c r="G1239" t="str">
        <f t="shared" si="38"/>
        <v>MGI II</v>
      </c>
      <c r="H1239" t="s">
        <v>851</v>
      </c>
      <c r="I1239" t="s">
        <v>20</v>
      </c>
      <c r="J1239" t="s">
        <v>64</v>
      </c>
      <c r="K1239" s="6">
        <v>0.03</v>
      </c>
      <c r="L1239" s="7">
        <f t="shared" si="39"/>
        <v>2E-3</v>
      </c>
      <c r="M1239" s="7">
        <v>3.0000000000000001E-3</v>
      </c>
      <c r="N1239">
        <v>4</v>
      </c>
      <c r="O1239" s="8">
        <v>17.822306426995311</v>
      </c>
      <c r="P1239" s="9">
        <v>17.822306426995311</v>
      </c>
      <c r="Q1239" s="9">
        <v>17.822306426995311</v>
      </c>
      <c r="R1239" s="9">
        <v>18.237663306594719</v>
      </c>
      <c r="S1239" s="9">
        <v>18.48712920931133</v>
      </c>
      <c r="T1239" s="9">
        <v>19.201553596969877</v>
      </c>
      <c r="U1239" s="9">
        <v>20.562345482855957</v>
      </c>
      <c r="V1239" s="9">
        <v>20.562345482855957</v>
      </c>
      <c r="W1239" s="9">
        <v>20.562345482855957</v>
      </c>
      <c r="X1239" s="9">
        <v>22.391977691000818</v>
      </c>
      <c r="Y1239" s="9">
        <v>22.391977691000818</v>
      </c>
      <c r="Z1239" s="9">
        <v>24.28858708803979</v>
      </c>
      <c r="AA1239" s="9">
        <v>24.28858708803979</v>
      </c>
      <c r="AB1239" s="9">
        <v>25.117335532005217</v>
      </c>
      <c r="AC1239" s="9">
        <v>25.117335532005217</v>
      </c>
      <c r="AD1239" s="9">
        <v>29.039116491286865</v>
      </c>
      <c r="AE1239" s="9">
        <v>31.219251037281825</v>
      </c>
      <c r="AF1239" s="9">
        <v>33.487682081707895</v>
      </c>
      <c r="AG1239" s="9">
        <v>33.487682081707895</v>
      </c>
      <c r="AH1239" s="9">
        <v>36.427668170967245</v>
      </c>
      <c r="AI1239" s="9">
        <v>38.74455996597662</v>
      </c>
      <c r="AJ1239" s="9">
        <v>3.0428788910505911</v>
      </c>
    </row>
    <row r="1240" spans="1:36" x14ac:dyDescent="0.25">
      <c r="A1240" t="s">
        <v>5411</v>
      </c>
      <c r="B1240" t="s">
        <v>16</v>
      </c>
      <c r="C1240" t="s">
        <v>17</v>
      </c>
      <c r="D1240">
        <v>35920000</v>
      </c>
      <c r="E1240">
        <v>35929999</v>
      </c>
      <c r="F1240" t="s">
        <v>1062</v>
      </c>
      <c r="G1240" t="str">
        <f t="shared" si="38"/>
        <v>MGI</v>
      </c>
      <c r="H1240" t="s">
        <v>851</v>
      </c>
      <c r="I1240" t="s">
        <v>20</v>
      </c>
      <c r="J1240" t="s">
        <v>62</v>
      </c>
      <c r="K1240" s="6">
        <v>0.03</v>
      </c>
      <c r="L1240" s="7">
        <f t="shared" si="39"/>
        <v>2E-3</v>
      </c>
      <c r="M1240" s="7">
        <v>3.0000000000000001E-3</v>
      </c>
      <c r="N1240">
        <v>3</v>
      </c>
      <c r="O1240" s="8">
        <v>13.880385281502075</v>
      </c>
      <c r="P1240" s="9">
        <v>13.880385281502075</v>
      </c>
      <c r="Q1240" s="9">
        <v>13.880385281502075</v>
      </c>
      <c r="R1240" s="9">
        <v>14.045989937445718</v>
      </c>
      <c r="S1240" s="9">
        <v>14.060876315369912</v>
      </c>
      <c r="T1240" s="9">
        <v>15.090338571208333</v>
      </c>
      <c r="U1240" s="9">
        <v>16.025407313902726</v>
      </c>
      <c r="V1240" s="9">
        <v>16.025407313902726</v>
      </c>
      <c r="W1240" s="9">
        <v>16.025407313902726</v>
      </c>
      <c r="X1240" s="9">
        <v>18.013895748167766</v>
      </c>
      <c r="Y1240" s="9">
        <v>18.013895748167766</v>
      </c>
      <c r="Z1240" s="9">
        <v>20.142868501532355</v>
      </c>
      <c r="AA1240" s="9">
        <v>20.142868501532355</v>
      </c>
      <c r="AB1240" s="9">
        <v>22.456349831314476</v>
      </c>
      <c r="AC1240" s="9">
        <v>22.456349831314476</v>
      </c>
      <c r="AD1240" s="9">
        <v>24.87984091164185</v>
      </c>
      <c r="AE1240" s="9">
        <v>27.427492221952345</v>
      </c>
      <c r="AF1240" s="9">
        <v>33.194804868730657</v>
      </c>
      <c r="AG1240" s="9">
        <v>33.194804868730657</v>
      </c>
      <c r="AH1240" s="9">
        <v>35.957808835828068</v>
      </c>
      <c r="AI1240" s="9">
        <v>38.646304092692077</v>
      </c>
      <c r="AJ1240" s="9">
        <v>3.0428788910505911</v>
      </c>
    </row>
    <row r="1241" spans="1:36" x14ac:dyDescent="0.25">
      <c r="A1241" t="s">
        <v>5411</v>
      </c>
      <c r="B1241" t="s">
        <v>16</v>
      </c>
      <c r="C1241" t="s">
        <v>17</v>
      </c>
      <c r="D1241">
        <v>35930000</v>
      </c>
      <c r="E1241">
        <v>35934999</v>
      </c>
      <c r="F1241" t="s">
        <v>1063</v>
      </c>
      <c r="G1241" t="str">
        <f t="shared" si="38"/>
        <v>MGI</v>
      </c>
      <c r="H1241" t="s">
        <v>851</v>
      </c>
      <c r="I1241" t="s">
        <v>20</v>
      </c>
      <c r="J1241" t="s">
        <v>62</v>
      </c>
      <c r="K1241" s="6">
        <v>0.03</v>
      </c>
      <c r="L1241" s="7">
        <f t="shared" si="39"/>
        <v>2E-3</v>
      </c>
      <c r="M1241" s="7">
        <v>3.0000000000000001E-3</v>
      </c>
      <c r="N1241">
        <v>1</v>
      </c>
      <c r="O1241" s="8">
        <v>13.880385281502075</v>
      </c>
      <c r="P1241" s="9">
        <v>13.880385281502075</v>
      </c>
      <c r="Q1241" s="9">
        <v>13.880385281502075</v>
      </c>
      <c r="R1241" s="9">
        <v>14.045989937445718</v>
      </c>
      <c r="S1241" s="9">
        <v>14.060876315369912</v>
      </c>
      <c r="T1241" s="9">
        <v>15.090338571208333</v>
      </c>
      <c r="U1241" s="9">
        <v>16.025407313902726</v>
      </c>
      <c r="V1241" s="9">
        <v>16.025407313902726</v>
      </c>
      <c r="W1241" s="9">
        <v>16.025407313902726</v>
      </c>
      <c r="X1241" s="9">
        <v>18.013895748167766</v>
      </c>
      <c r="Y1241" s="9">
        <v>18.013895748167766</v>
      </c>
      <c r="Z1241" s="9">
        <v>20.142868501532355</v>
      </c>
      <c r="AA1241" s="9">
        <v>20.142868501532355</v>
      </c>
      <c r="AB1241" s="9">
        <v>22.456349831314476</v>
      </c>
      <c r="AC1241" s="9">
        <v>22.456349831314476</v>
      </c>
      <c r="AD1241" s="9">
        <v>24.87984091164185</v>
      </c>
      <c r="AE1241" s="9">
        <v>27.427492221952345</v>
      </c>
      <c r="AF1241" s="9">
        <v>33.194804868730657</v>
      </c>
      <c r="AG1241" s="9">
        <v>33.194804868730657</v>
      </c>
      <c r="AH1241" s="9">
        <v>35.957808835828068</v>
      </c>
      <c r="AI1241" s="9">
        <v>38.646304092692077</v>
      </c>
      <c r="AJ1241" s="9">
        <v>3.0428788910505911</v>
      </c>
    </row>
    <row r="1242" spans="1:36" x14ac:dyDescent="0.25">
      <c r="A1242" t="s">
        <v>5411</v>
      </c>
      <c r="B1242" t="s">
        <v>16</v>
      </c>
      <c r="C1242" t="s">
        <v>17</v>
      </c>
      <c r="D1242">
        <v>35935000</v>
      </c>
      <c r="E1242">
        <v>35937999</v>
      </c>
      <c r="F1242" t="s">
        <v>1064</v>
      </c>
      <c r="G1242" t="str">
        <f t="shared" si="38"/>
        <v>MGI II</v>
      </c>
      <c r="H1242" t="s">
        <v>851</v>
      </c>
      <c r="I1242" t="s">
        <v>20</v>
      </c>
      <c r="J1242" t="s">
        <v>64</v>
      </c>
      <c r="K1242" s="6">
        <v>0.03</v>
      </c>
      <c r="L1242" s="7">
        <f t="shared" si="39"/>
        <v>2E-3</v>
      </c>
      <c r="M1242" s="7">
        <v>3.0000000000000001E-3</v>
      </c>
      <c r="N1242">
        <v>3</v>
      </c>
      <c r="O1242" s="8">
        <v>17.822306426995311</v>
      </c>
      <c r="P1242" s="9">
        <v>17.822306426995311</v>
      </c>
      <c r="Q1242" s="9">
        <v>17.822306426995311</v>
      </c>
      <c r="R1242" s="9">
        <v>18.237663306594719</v>
      </c>
      <c r="S1242" s="9">
        <v>18.48712920931133</v>
      </c>
      <c r="T1242" s="9">
        <v>19.201553596969877</v>
      </c>
      <c r="U1242" s="9">
        <v>20.562345482855957</v>
      </c>
      <c r="V1242" s="9">
        <v>20.562345482855957</v>
      </c>
      <c r="W1242" s="9">
        <v>20.562345482855957</v>
      </c>
      <c r="X1242" s="9">
        <v>22.391977691000818</v>
      </c>
      <c r="Y1242" s="9">
        <v>22.391977691000818</v>
      </c>
      <c r="Z1242" s="9">
        <v>24.28858708803979</v>
      </c>
      <c r="AA1242" s="9">
        <v>24.28858708803979</v>
      </c>
      <c r="AB1242" s="9">
        <v>25.117335532005217</v>
      </c>
      <c r="AC1242" s="9">
        <v>25.117335532005217</v>
      </c>
      <c r="AD1242" s="9">
        <v>29.039116491286865</v>
      </c>
      <c r="AE1242" s="9">
        <v>31.219251037281825</v>
      </c>
      <c r="AF1242" s="9">
        <v>33.487682081707895</v>
      </c>
      <c r="AG1242" s="9">
        <v>33.487682081707895</v>
      </c>
      <c r="AH1242" s="9">
        <v>36.427668170967245</v>
      </c>
      <c r="AI1242" s="9">
        <v>38.74455996597662</v>
      </c>
      <c r="AJ1242" s="9">
        <v>3.0428788910505911</v>
      </c>
    </row>
    <row r="1243" spans="1:36" x14ac:dyDescent="0.25">
      <c r="A1243" t="s">
        <v>5411</v>
      </c>
      <c r="B1243" t="s">
        <v>16</v>
      </c>
      <c r="C1243" t="s">
        <v>17</v>
      </c>
      <c r="D1243">
        <v>35938000</v>
      </c>
      <c r="E1243">
        <v>35939999</v>
      </c>
      <c r="F1243" t="s">
        <v>1065</v>
      </c>
      <c r="G1243" t="str">
        <f t="shared" si="38"/>
        <v>MGI II</v>
      </c>
      <c r="H1243" t="s">
        <v>851</v>
      </c>
      <c r="I1243" t="s">
        <v>20</v>
      </c>
      <c r="J1243" t="s">
        <v>64</v>
      </c>
      <c r="K1243" s="6">
        <v>0.03</v>
      </c>
      <c r="L1243" s="7">
        <f t="shared" si="39"/>
        <v>2E-3</v>
      </c>
      <c r="M1243" s="7">
        <v>3.0000000000000001E-3</v>
      </c>
      <c r="N1243">
        <v>3</v>
      </c>
      <c r="O1243" s="8">
        <v>17.822306426995311</v>
      </c>
      <c r="P1243" s="9">
        <v>17.822306426995311</v>
      </c>
      <c r="Q1243" s="9">
        <v>17.822306426995311</v>
      </c>
      <c r="R1243" s="9">
        <v>18.237663306594719</v>
      </c>
      <c r="S1243" s="9">
        <v>18.48712920931133</v>
      </c>
      <c r="T1243" s="9">
        <v>19.201553596969877</v>
      </c>
      <c r="U1243" s="9">
        <v>20.562345482855957</v>
      </c>
      <c r="V1243" s="9">
        <v>20.562345482855957</v>
      </c>
      <c r="W1243" s="9">
        <v>20.562345482855957</v>
      </c>
      <c r="X1243" s="9">
        <v>22.391977691000818</v>
      </c>
      <c r="Y1243" s="9">
        <v>22.391977691000818</v>
      </c>
      <c r="Z1243" s="9">
        <v>24.28858708803979</v>
      </c>
      <c r="AA1243" s="9">
        <v>24.28858708803979</v>
      </c>
      <c r="AB1243" s="9">
        <v>25.117335532005217</v>
      </c>
      <c r="AC1243" s="9">
        <v>25.117335532005217</v>
      </c>
      <c r="AD1243" s="9">
        <v>29.039116491286865</v>
      </c>
      <c r="AE1243" s="9">
        <v>31.219251037281825</v>
      </c>
      <c r="AF1243" s="9">
        <v>33.487682081707895</v>
      </c>
      <c r="AG1243" s="9">
        <v>33.487682081707895</v>
      </c>
      <c r="AH1243" s="9">
        <v>36.427668170967245</v>
      </c>
      <c r="AI1243" s="9">
        <v>38.74455996597662</v>
      </c>
      <c r="AJ1243" s="9">
        <v>3.0428788910505911</v>
      </c>
    </row>
    <row r="1244" spans="1:36" x14ac:dyDescent="0.25">
      <c r="A1244" t="s">
        <v>5411</v>
      </c>
      <c r="B1244" t="s">
        <v>16</v>
      </c>
      <c r="C1244" t="s">
        <v>17</v>
      </c>
      <c r="D1244">
        <v>35940000</v>
      </c>
      <c r="E1244">
        <v>35949999</v>
      </c>
      <c r="F1244" t="s">
        <v>1066</v>
      </c>
      <c r="G1244" t="str">
        <f t="shared" si="38"/>
        <v>MGI II</v>
      </c>
      <c r="H1244" t="s">
        <v>851</v>
      </c>
      <c r="I1244" t="s">
        <v>20</v>
      </c>
      <c r="J1244" t="s">
        <v>64</v>
      </c>
      <c r="K1244" s="6">
        <v>0.03</v>
      </c>
      <c r="L1244" s="7">
        <f t="shared" si="39"/>
        <v>2E-3</v>
      </c>
      <c r="M1244" s="7">
        <v>3.0000000000000001E-3</v>
      </c>
      <c r="N1244">
        <v>3</v>
      </c>
      <c r="O1244" s="8">
        <v>17.822306426995311</v>
      </c>
      <c r="P1244" s="9">
        <v>17.822306426995311</v>
      </c>
      <c r="Q1244" s="9">
        <v>17.822306426995311</v>
      </c>
      <c r="R1244" s="9">
        <v>18.237663306594719</v>
      </c>
      <c r="S1244" s="9">
        <v>18.48712920931133</v>
      </c>
      <c r="T1244" s="9">
        <v>19.201553596969877</v>
      </c>
      <c r="U1244" s="9">
        <v>20.562345482855957</v>
      </c>
      <c r="V1244" s="9">
        <v>20.562345482855957</v>
      </c>
      <c r="W1244" s="9">
        <v>20.562345482855957</v>
      </c>
      <c r="X1244" s="9">
        <v>22.391977691000818</v>
      </c>
      <c r="Y1244" s="9">
        <v>22.391977691000818</v>
      </c>
      <c r="Z1244" s="9">
        <v>24.28858708803979</v>
      </c>
      <c r="AA1244" s="9">
        <v>24.28858708803979</v>
      </c>
      <c r="AB1244" s="9">
        <v>25.117335532005217</v>
      </c>
      <c r="AC1244" s="9">
        <v>25.117335532005217</v>
      </c>
      <c r="AD1244" s="9">
        <v>29.039116491286865</v>
      </c>
      <c r="AE1244" s="9">
        <v>31.219251037281825</v>
      </c>
      <c r="AF1244" s="9">
        <v>33.487682081707895</v>
      </c>
      <c r="AG1244" s="9">
        <v>33.487682081707895</v>
      </c>
      <c r="AH1244" s="9">
        <v>36.427668170967245</v>
      </c>
      <c r="AI1244" s="9">
        <v>38.74455996597662</v>
      </c>
      <c r="AJ1244" s="9">
        <v>3.0428788910505911</v>
      </c>
    </row>
    <row r="1245" spans="1:36" x14ac:dyDescent="0.25">
      <c r="A1245" t="s">
        <v>5411</v>
      </c>
      <c r="B1245" t="s">
        <v>16</v>
      </c>
      <c r="C1245" t="s">
        <v>17</v>
      </c>
      <c r="D1245">
        <v>35950000</v>
      </c>
      <c r="E1245">
        <v>35959999</v>
      </c>
      <c r="F1245" t="s">
        <v>1067</v>
      </c>
      <c r="G1245" t="str">
        <f t="shared" si="38"/>
        <v>MGI II</v>
      </c>
      <c r="H1245" t="s">
        <v>851</v>
      </c>
      <c r="I1245" t="s">
        <v>20</v>
      </c>
      <c r="J1245" t="s">
        <v>64</v>
      </c>
      <c r="K1245" s="6">
        <v>0.03</v>
      </c>
      <c r="L1245" s="7">
        <f t="shared" si="39"/>
        <v>2E-3</v>
      </c>
      <c r="M1245" s="7">
        <v>3.0000000000000001E-3</v>
      </c>
      <c r="N1245">
        <v>3</v>
      </c>
      <c r="O1245" s="8">
        <v>17.822306426995311</v>
      </c>
      <c r="P1245" s="9">
        <v>17.822306426995311</v>
      </c>
      <c r="Q1245" s="9">
        <v>17.822306426995311</v>
      </c>
      <c r="R1245" s="9">
        <v>18.237663306594719</v>
      </c>
      <c r="S1245" s="9">
        <v>18.48712920931133</v>
      </c>
      <c r="T1245" s="9">
        <v>19.201553596969877</v>
      </c>
      <c r="U1245" s="9">
        <v>20.562345482855957</v>
      </c>
      <c r="V1245" s="9">
        <v>20.562345482855957</v>
      </c>
      <c r="W1245" s="9">
        <v>20.562345482855957</v>
      </c>
      <c r="X1245" s="9">
        <v>22.391977691000818</v>
      </c>
      <c r="Y1245" s="9">
        <v>22.391977691000818</v>
      </c>
      <c r="Z1245" s="9">
        <v>24.28858708803979</v>
      </c>
      <c r="AA1245" s="9">
        <v>24.28858708803979</v>
      </c>
      <c r="AB1245" s="9">
        <v>25.117335532005217</v>
      </c>
      <c r="AC1245" s="9">
        <v>25.117335532005217</v>
      </c>
      <c r="AD1245" s="9">
        <v>29.039116491286865</v>
      </c>
      <c r="AE1245" s="9">
        <v>31.219251037281825</v>
      </c>
      <c r="AF1245" s="9">
        <v>33.487682081707895</v>
      </c>
      <c r="AG1245" s="9">
        <v>33.487682081707895</v>
      </c>
      <c r="AH1245" s="9">
        <v>36.427668170967245</v>
      </c>
      <c r="AI1245" s="9">
        <v>38.74455996597662</v>
      </c>
      <c r="AJ1245" s="9">
        <v>3.0428788910505911</v>
      </c>
    </row>
    <row r="1246" spans="1:36" x14ac:dyDescent="0.25">
      <c r="A1246" t="s">
        <v>5411</v>
      </c>
      <c r="B1246" t="s">
        <v>16</v>
      </c>
      <c r="C1246" t="s">
        <v>17</v>
      </c>
      <c r="D1246">
        <v>35960000</v>
      </c>
      <c r="E1246">
        <v>35968999</v>
      </c>
      <c r="F1246" t="s">
        <v>1068</v>
      </c>
      <c r="G1246" t="str">
        <f t="shared" si="38"/>
        <v>MGI II</v>
      </c>
      <c r="H1246" t="s">
        <v>851</v>
      </c>
      <c r="I1246" t="s">
        <v>20</v>
      </c>
      <c r="J1246" t="s">
        <v>64</v>
      </c>
      <c r="K1246" s="6">
        <v>0.03</v>
      </c>
      <c r="L1246" s="7">
        <f t="shared" si="39"/>
        <v>2E-3</v>
      </c>
      <c r="M1246" s="7">
        <v>3.0000000000000001E-3</v>
      </c>
      <c r="N1246">
        <v>3</v>
      </c>
      <c r="O1246" s="8">
        <v>17.822306426995311</v>
      </c>
      <c r="P1246" s="9">
        <v>17.822306426995311</v>
      </c>
      <c r="Q1246" s="9">
        <v>17.822306426995311</v>
      </c>
      <c r="R1246" s="9">
        <v>18.237663306594719</v>
      </c>
      <c r="S1246" s="9">
        <v>18.48712920931133</v>
      </c>
      <c r="T1246" s="9">
        <v>19.201553596969877</v>
      </c>
      <c r="U1246" s="9">
        <v>20.562345482855957</v>
      </c>
      <c r="V1246" s="9">
        <v>20.562345482855957</v>
      </c>
      <c r="W1246" s="9">
        <v>20.562345482855957</v>
      </c>
      <c r="X1246" s="9">
        <v>22.391977691000818</v>
      </c>
      <c r="Y1246" s="9">
        <v>22.391977691000818</v>
      </c>
      <c r="Z1246" s="9">
        <v>24.28858708803979</v>
      </c>
      <c r="AA1246" s="9">
        <v>24.28858708803979</v>
      </c>
      <c r="AB1246" s="9">
        <v>25.117335532005217</v>
      </c>
      <c r="AC1246" s="9">
        <v>25.117335532005217</v>
      </c>
      <c r="AD1246" s="9">
        <v>29.039116491286865</v>
      </c>
      <c r="AE1246" s="9">
        <v>31.219251037281825</v>
      </c>
      <c r="AF1246" s="9">
        <v>33.487682081707895</v>
      </c>
      <c r="AG1246" s="9">
        <v>33.487682081707895</v>
      </c>
      <c r="AH1246" s="9">
        <v>36.427668170967245</v>
      </c>
      <c r="AI1246" s="9">
        <v>38.74455996597662</v>
      </c>
      <c r="AJ1246" s="9">
        <v>3.0428788910505911</v>
      </c>
    </row>
    <row r="1247" spans="1:36" x14ac:dyDescent="0.25">
      <c r="A1247" t="s">
        <v>5411</v>
      </c>
      <c r="B1247" t="s">
        <v>16</v>
      </c>
      <c r="C1247" t="s">
        <v>17</v>
      </c>
      <c r="D1247">
        <v>35969000</v>
      </c>
      <c r="E1247">
        <v>35969999</v>
      </c>
      <c r="F1247" t="s">
        <v>1069</v>
      </c>
      <c r="G1247" t="str">
        <f t="shared" si="38"/>
        <v>MGI II</v>
      </c>
      <c r="H1247" t="s">
        <v>851</v>
      </c>
      <c r="I1247" t="s">
        <v>20</v>
      </c>
      <c r="J1247" t="s">
        <v>64</v>
      </c>
      <c r="K1247" s="6">
        <v>0.03</v>
      </c>
      <c r="L1247" s="7">
        <f t="shared" si="39"/>
        <v>2E-3</v>
      </c>
      <c r="M1247" s="7">
        <v>3.0000000000000001E-3</v>
      </c>
      <c r="N1247">
        <v>4</v>
      </c>
      <c r="O1247" s="8">
        <v>17.822306426995311</v>
      </c>
      <c r="P1247" s="9">
        <v>17.822306426995311</v>
      </c>
      <c r="Q1247" s="9">
        <v>17.822306426995311</v>
      </c>
      <c r="R1247" s="9">
        <v>18.237663306594719</v>
      </c>
      <c r="S1247" s="9">
        <v>18.48712920931133</v>
      </c>
      <c r="T1247" s="9">
        <v>19.201553596969877</v>
      </c>
      <c r="U1247" s="9">
        <v>20.562345482855957</v>
      </c>
      <c r="V1247" s="9">
        <v>20.562345482855957</v>
      </c>
      <c r="W1247" s="9">
        <v>20.562345482855957</v>
      </c>
      <c r="X1247" s="9">
        <v>22.391977691000818</v>
      </c>
      <c r="Y1247" s="9">
        <v>22.391977691000818</v>
      </c>
      <c r="Z1247" s="9">
        <v>24.28858708803979</v>
      </c>
      <c r="AA1247" s="9">
        <v>24.28858708803979</v>
      </c>
      <c r="AB1247" s="9">
        <v>25.117335532005217</v>
      </c>
      <c r="AC1247" s="9">
        <v>25.117335532005217</v>
      </c>
      <c r="AD1247" s="9">
        <v>29.039116491286865</v>
      </c>
      <c r="AE1247" s="9">
        <v>31.219251037281825</v>
      </c>
      <c r="AF1247" s="9">
        <v>33.487682081707895</v>
      </c>
      <c r="AG1247" s="9">
        <v>33.487682081707895</v>
      </c>
      <c r="AH1247" s="9">
        <v>36.427668170967245</v>
      </c>
      <c r="AI1247" s="9">
        <v>38.74455996597662</v>
      </c>
      <c r="AJ1247" s="9">
        <v>3.0428788910505911</v>
      </c>
    </row>
    <row r="1248" spans="1:36" x14ac:dyDescent="0.25">
      <c r="A1248" t="s">
        <v>5411</v>
      </c>
      <c r="B1248" t="s">
        <v>16</v>
      </c>
      <c r="C1248" t="s">
        <v>17</v>
      </c>
      <c r="D1248">
        <v>35970000</v>
      </c>
      <c r="E1248">
        <v>35983999</v>
      </c>
      <c r="F1248" t="s">
        <v>1070</v>
      </c>
      <c r="G1248" t="str">
        <f t="shared" si="38"/>
        <v>MGI II</v>
      </c>
      <c r="H1248" t="s">
        <v>851</v>
      </c>
      <c r="I1248" t="s">
        <v>20</v>
      </c>
      <c r="J1248" t="s">
        <v>64</v>
      </c>
      <c r="K1248" s="6">
        <v>0.03</v>
      </c>
      <c r="L1248" s="7">
        <f t="shared" si="39"/>
        <v>2E-3</v>
      </c>
      <c r="M1248" s="7">
        <v>3.0000000000000001E-3</v>
      </c>
      <c r="N1248">
        <v>3</v>
      </c>
      <c r="O1248" s="8">
        <v>17.822306426995311</v>
      </c>
      <c r="P1248" s="9">
        <v>17.822306426995311</v>
      </c>
      <c r="Q1248" s="9">
        <v>17.822306426995311</v>
      </c>
      <c r="R1248" s="9">
        <v>18.237663306594719</v>
      </c>
      <c r="S1248" s="9">
        <v>18.48712920931133</v>
      </c>
      <c r="T1248" s="9">
        <v>19.201553596969877</v>
      </c>
      <c r="U1248" s="9">
        <v>20.562345482855957</v>
      </c>
      <c r="V1248" s="9">
        <v>20.562345482855957</v>
      </c>
      <c r="W1248" s="9">
        <v>20.562345482855957</v>
      </c>
      <c r="X1248" s="9">
        <v>22.391977691000818</v>
      </c>
      <c r="Y1248" s="9">
        <v>22.391977691000818</v>
      </c>
      <c r="Z1248" s="9">
        <v>24.28858708803979</v>
      </c>
      <c r="AA1248" s="9">
        <v>24.28858708803979</v>
      </c>
      <c r="AB1248" s="9">
        <v>25.117335532005217</v>
      </c>
      <c r="AC1248" s="9">
        <v>25.117335532005217</v>
      </c>
      <c r="AD1248" s="9">
        <v>29.039116491286865</v>
      </c>
      <c r="AE1248" s="9">
        <v>31.219251037281825</v>
      </c>
      <c r="AF1248" s="9">
        <v>33.487682081707895</v>
      </c>
      <c r="AG1248" s="9">
        <v>33.487682081707895</v>
      </c>
      <c r="AH1248" s="9">
        <v>36.427668170967245</v>
      </c>
      <c r="AI1248" s="9">
        <v>38.74455996597662</v>
      </c>
      <c r="AJ1248" s="9">
        <v>3.0428788910505911</v>
      </c>
    </row>
    <row r="1249" spans="1:36" x14ac:dyDescent="0.25">
      <c r="A1249" t="s">
        <v>5411</v>
      </c>
      <c r="B1249" t="s">
        <v>16</v>
      </c>
      <c r="C1249" t="s">
        <v>17</v>
      </c>
      <c r="D1249">
        <v>35984000</v>
      </c>
      <c r="E1249">
        <v>35985999</v>
      </c>
      <c r="F1249" t="s">
        <v>1071</v>
      </c>
      <c r="G1249" t="str">
        <f t="shared" si="38"/>
        <v>MGI II</v>
      </c>
      <c r="H1249" t="s">
        <v>851</v>
      </c>
      <c r="I1249" t="s">
        <v>20</v>
      </c>
      <c r="J1249" t="s">
        <v>64</v>
      </c>
      <c r="K1249" s="6">
        <v>0.03</v>
      </c>
      <c r="L1249" s="7">
        <f t="shared" si="39"/>
        <v>2E-3</v>
      </c>
      <c r="M1249" s="7">
        <v>3.0000000000000001E-3</v>
      </c>
      <c r="N1249">
        <v>4</v>
      </c>
      <c r="O1249" s="8">
        <v>17.822306426995311</v>
      </c>
      <c r="P1249" s="9">
        <v>17.822306426995311</v>
      </c>
      <c r="Q1249" s="9">
        <v>17.822306426995311</v>
      </c>
      <c r="R1249" s="9">
        <v>18.237663306594719</v>
      </c>
      <c r="S1249" s="9">
        <v>18.48712920931133</v>
      </c>
      <c r="T1249" s="9">
        <v>19.201553596969877</v>
      </c>
      <c r="U1249" s="9">
        <v>20.562345482855957</v>
      </c>
      <c r="V1249" s="9">
        <v>20.562345482855957</v>
      </c>
      <c r="W1249" s="9">
        <v>20.562345482855957</v>
      </c>
      <c r="X1249" s="9">
        <v>22.391977691000818</v>
      </c>
      <c r="Y1249" s="9">
        <v>22.391977691000818</v>
      </c>
      <c r="Z1249" s="9">
        <v>24.28858708803979</v>
      </c>
      <c r="AA1249" s="9">
        <v>24.28858708803979</v>
      </c>
      <c r="AB1249" s="9">
        <v>25.117335532005217</v>
      </c>
      <c r="AC1249" s="9">
        <v>25.117335532005217</v>
      </c>
      <c r="AD1249" s="9">
        <v>29.039116491286865</v>
      </c>
      <c r="AE1249" s="9">
        <v>31.219251037281825</v>
      </c>
      <c r="AF1249" s="9">
        <v>33.487682081707895</v>
      </c>
      <c r="AG1249" s="9">
        <v>33.487682081707895</v>
      </c>
      <c r="AH1249" s="9">
        <v>36.427668170967245</v>
      </c>
      <c r="AI1249" s="9">
        <v>38.74455996597662</v>
      </c>
      <c r="AJ1249" s="9">
        <v>3.0428788910505911</v>
      </c>
    </row>
    <row r="1250" spans="1:36" x14ac:dyDescent="0.25">
      <c r="A1250" t="s">
        <v>5411</v>
      </c>
      <c r="B1250" t="s">
        <v>16</v>
      </c>
      <c r="C1250" t="s">
        <v>17</v>
      </c>
      <c r="D1250">
        <v>35986000</v>
      </c>
      <c r="E1250">
        <v>35992999</v>
      </c>
      <c r="F1250" t="s">
        <v>1072</v>
      </c>
      <c r="G1250" t="str">
        <f t="shared" si="38"/>
        <v>MGI II</v>
      </c>
      <c r="H1250" t="s">
        <v>851</v>
      </c>
      <c r="I1250" t="s">
        <v>20</v>
      </c>
      <c r="J1250" t="s">
        <v>64</v>
      </c>
      <c r="K1250" s="6">
        <v>0.03</v>
      </c>
      <c r="L1250" s="7">
        <f t="shared" si="39"/>
        <v>2E-3</v>
      </c>
      <c r="M1250" s="7">
        <v>3.0000000000000001E-3</v>
      </c>
      <c r="N1250">
        <v>4</v>
      </c>
      <c r="O1250" s="8">
        <v>17.822306426995311</v>
      </c>
      <c r="P1250" s="9">
        <v>17.822306426995311</v>
      </c>
      <c r="Q1250" s="9">
        <v>17.822306426995311</v>
      </c>
      <c r="R1250" s="9">
        <v>18.237663306594719</v>
      </c>
      <c r="S1250" s="9">
        <v>18.48712920931133</v>
      </c>
      <c r="T1250" s="9">
        <v>19.201553596969877</v>
      </c>
      <c r="U1250" s="9">
        <v>20.562345482855957</v>
      </c>
      <c r="V1250" s="9">
        <v>20.562345482855957</v>
      </c>
      <c r="W1250" s="9">
        <v>20.562345482855957</v>
      </c>
      <c r="X1250" s="9">
        <v>22.391977691000818</v>
      </c>
      <c r="Y1250" s="9">
        <v>22.391977691000818</v>
      </c>
      <c r="Z1250" s="9">
        <v>24.28858708803979</v>
      </c>
      <c r="AA1250" s="9">
        <v>24.28858708803979</v>
      </c>
      <c r="AB1250" s="9">
        <v>25.117335532005217</v>
      </c>
      <c r="AC1250" s="9">
        <v>25.117335532005217</v>
      </c>
      <c r="AD1250" s="9">
        <v>29.039116491286865</v>
      </c>
      <c r="AE1250" s="9">
        <v>31.219251037281825</v>
      </c>
      <c r="AF1250" s="9">
        <v>33.487682081707895</v>
      </c>
      <c r="AG1250" s="9">
        <v>33.487682081707895</v>
      </c>
      <c r="AH1250" s="9">
        <v>36.427668170967245</v>
      </c>
      <c r="AI1250" s="9">
        <v>38.74455996597662</v>
      </c>
      <c r="AJ1250" s="9">
        <v>3.0428788910505911</v>
      </c>
    </row>
    <row r="1251" spans="1:36" x14ac:dyDescent="0.25">
      <c r="A1251" t="s">
        <v>5411</v>
      </c>
      <c r="B1251" t="s">
        <v>16</v>
      </c>
      <c r="C1251" t="s">
        <v>17</v>
      </c>
      <c r="D1251">
        <v>35993000</v>
      </c>
      <c r="E1251">
        <v>35999999</v>
      </c>
      <c r="F1251" t="s">
        <v>1073</v>
      </c>
      <c r="G1251" t="str">
        <f t="shared" si="38"/>
        <v>MGI II</v>
      </c>
      <c r="H1251" t="s">
        <v>851</v>
      </c>
      <c r="I1251" t="s">
        <v>20</v>
      </c>
      <c r="J1251" t="s">
        <v>64</v>
      </c>
      <c r="K1251" s="6">
        <v>0.03</v>
      </c>
      <c r="L1251" s="7">
        <f t="shared" si="39"/>
        <v>2E-3</v>
      </c>
      <c r="M1251" s="7">
        <v>3.0000000000000001E-3</v>
      </c>
      <c r="N1251">
        <v>4</v>
      </c>
      <c r="O1251" s="8">
        <v>17.822306426995311</v>
      </c>
      <c r="P1251" s="9">
        <v>17.822306426995311</v>
      </c>
      <c r="Q1251" s="9">
        <v>17.822306426995311</v>
      </c>
      <c r="R1251" s="9">
        <v>18.237663306594719</v>
      </c>
      <c r="S1251" s="9">
        <v>18.48712920931133</v>
      </c>
      <c r="T1251" s="9">
        <v>19.201553596969877</v>
      </c>
      <c r="U1251" s="9">
        <v>20.562345482855957</v>
      </c>
      <c r="V1251" s="9">
        <v>20.562345482855957</v>
      </c>
      <c r="W1251" s="9">
        <v>20.562345482855957</v>
      </c>
      <c r="X1251" s="9">
        <v>22.391977691000818</v>
      </c>
      <c r="Y1251" s="9">
        <v>22.391977691000818</v>
      </c>
      <c r="Z1251" s="9">
        <v>24.28858708803979</v>
      </c>
      <c r="AA1251" s="9">
        <v>24.28858708803979</v>
      </c>
      <c r="AB1251" s="9">
        <v>25.117335532005217</v>
      </c>
      <c r="AC1251" s="9">
        <v>25.117335532005217</v>
      </c>
      <c r="AD1251" s="9">
        <v>29.039116491286865</v>
      </c>
      <c r="AE1251" s="9">
        <v>31.219251037281825</v>
      </c>
      <c r="AF1251" s="9">
        <v>33.487682081707895</v>
      </c>
      <c r="AG1251" s="9">
        <v>33.487682081707895</v>
      </c>
      <c r="AH1251" s="9">
        <v>36.427668170967245</v>
      </c>
      <c r="AI1251" s="9">
        <v>38.74455996597662</v>
      </c>
      <c r="AJ1251" s="9">
        <v>3.0428788910505911</v>
      </c>
    </row>
    <row r="1252" spans="1:36" x14ac:dyDescent="0.25">
      <c r="A1252" t="s">
        <v>5411</v>
      </c>
      <c r="B1252" t="s">
        <v>16</v>
      </c>
      <c r="C1252" t="s">
        <v>17</v>
      </c>
      <c r="D1252">
        <v>36000000</v>
      </c>
      <c r="E1252">
        <v>36107999</v>
      </c>
      <c r="F1252" t="s">
        <v>1074</v>
      </c>
      <c r="G1252" t="str">
        <f t="shared" si="38"/>
        <v>MGI</v>
      </c>
      <c r="H1252" t="s">
        <v>851</v>
      </c>
      <c r="I1252" t="s">
        <v>20</v>
      </c>
      <c r="J1252" t="s">
        <v>62</v>
      </c>
      <c r="K1252" s="6">
        <v>0.03</v>
      </c>
      <c r="L1252" s="7">
        <f t="shared" si="39"/>
        <v>2E-3</v>
      </c>
      <c r="M1252" s="7">
        <v>3.0000000000000001E-3</v>
      </c>
      <c r="N1252">
        <v>6</v>
      </c>
      <c r="O1252" s="8">
        <v>13.880385281502075</v>
      </c>
      <c r="P1252" s="9">
        <v>13.880385281502075</v>
      </c>
      <c r="Q1252" s="9">
        <v>13.880385281502075</v>
      </c>
      <c r="R1252" s="9">
        <v>14.045989937445718</v>
      </c>
      <c r="S1252" s="9">
        <v>14.060876315369912</v>
      </c>
      <c r="T1252" s="9">
        <v>15.090338571208333</v>
      </c>
      <c r="U1252" s="9">
        <v>16.025407313902726</v>
      </c>
      <c r="V1252" s="9">
        <v>16.025407313902726</v>
      </c>
      <c r="W1252" s="9">
        <v>16.025407313902726</v>
      </c>
      <c r="X1252" s="9">
        <v>18.013895748167766</v>
      </c>
      <c r="Y1252" s="9">
        <v>18.013895748167766</v>
      </c>
      <c r="Z1252" s="9">
        <v>20.142868501532355</v>
      </c>
      <c r="AA1252" s="9">
        <v>20.142868501532355</v>
      </c>
      <c r="AB1252" s="9">
        <v>22.456349831314476</v>
      </c>
      <c r="AC1252" s="9">
        <v>22.456349831314476</v>
      </c>
      <c r="AD1252" s="9">
        <v>24.87984091164185</v>
      </c>
      <c r="AE1252" s="9">
        <v>27.427492221952345</v>
      </c>
      <c r="AF1252" s="9">
        <v>33.194804868730657</v>
      </c>
      <c r="AG1252" s="9">
        <v>33.194804868730657</v>
      </c>
      <c r="AH1252" s="9">
        <v>35.957808835828068</v>
      </c>
      <c r="AI1252" s="9">
        <v>38.646304092692077</v>
      </c>
      <c r="AJ1252" s="9">
        <v>3.0428788910505911</v>
      </c>
    </row>
    <row r="1253" spans="1:36" x14ac:dyDescent="0.25">
      <c r="A1253" t="s">
        <v>5411</v>
      </c>
      <c r="B1253" t="s">
        <v>16</v>
      </c>
      <c r="C1253" t="s">
        <v>17</v>
      </c>
      <c r="D1253">
        <v>36108000</v>
      </c>
      <c r="E1253">
        <v>36109999</v>
      </c>
      <c r="F1253" t="s">
        <v>1075</v>
      </c>
      <c r="G1253" t="str">
        <f t="shared" si="38"/>
        <v>MGI II</v>
      </c>
      <c r="H1253" t="s">
        <v>851</v>
      </c>
      <c r="I1253" t="s">
        <v>20</v>
      </c>
      <c r="J1253" t="s">
        <v>64</v>
      </c>
      <c r="K1253" s="6">
        <v>0.03</v>
      </c>
      <c r="L1253" s="7">
        <f t="shared" si="39"/>
        <v>2E-3</v>
      </c>
      <c r="M1253" s="7">
        <v>3.0000000000000001E-3</v>
      </c>
      <c r="N1253">
        <v>7</v>
      </c>
      <c r="O1253" s="8">
        <v>17.822306426995311</v>
      </c>
      <c r="P1253" s="9">
        <v>17.822306426995311</v>
      </c>
      <c r="Q1253" s="9">
        <v>17.822306426995311</v>
      </c>
      <c r="R1253" s="9">
        <v>18.237663306594719</v>
      </c>
      <c r="S1253" s="9">
        <v>18.48712920931133</v>
      </c>
      <c r="T1253" s="9">
        <v>19.201553596969877</v>
      </c>
      <c r="U1253" s="9">
        <v>20.562345482855957</v>
      </c>
      <c r="V1253" s="9">
        <v>20.562345482855957</v>
      </c>
      <c r="W1253" s="9">
        <v>20.562345482855957</v>
      </c>
      <c r="X1253" s="9">
        <v>22.391977691000818</v>
      </c>
      <c r="Y1253" s="9">
        <v>22.391977691000818</v>
      </c>
      <c r="Z1253" s="9">
        <v>24.28858708803979</v>
      </c>
      <c r="AA1253" s="9">
        <v>24.28858708803979</v>
      </c>
      <c r="AB1253" s="9">
        <v>25.117335532005217</v>
      </c>
      <c r="AC1253" s="9">
        <v>25.117335532005217</v>
      </c>
      <c r="AD1253" s="9">
        <v>29.039116491286865</v>
      </c>
      <c r="AE1253" s="9">
        <v>31.219251037281825</v>
      </c>
      <c r="AF1253" s="9">
        <v>33.487682081707895</v>
      </c>
      <c r="AG1253" s="9">
        <v>33.487682081707895</v>
      </c>
      <c r="AH1253" s="9">
        <v>36.427668170967245</v>
      </c>
      <c r="AI1253" s="9">
        <v>38.74455996597662</v>
      </c>
      <c r="AJ1253" s="9">
        <v>3.0428788910505911</v>
      </c>
    </row>
    <row r="1254" spans="1:36" x14ac:dyDescent="0.25">
      <c r="A1254" t="s">
        <v>5411</v>
      </c>
      <c r="B1254" t="s">
        <v>16</v>
      </c>
      <c r="C1254" t="s">
        <v>17</v>
      </c>
      <c r="D1254">
        <v>36110000</v>
      </c>
      <c r="E1254">
        <v>36119999</v>
      </c>
      <c r="F1254" t="s">
        <v>1076</v>
      </c>
      <c r="G1254" t="str">
        <f t="shared" si="38"/>
        <v>MGI II</v>
      </c>
      <c r="H1254" t="s">
        <v>851</v>
      </c>
      <c r="I1254" t="s">
        <v>20</v>
      </c>
      <c r="J1254" t="s">
        <v>64</v>
      </c>
      <c r="K1254" s="6">
        <v>0.03</v>
      </c>
      <c r="L1254" s="7">
        <f t="shared" si="39"/>
        <v>2E-3</v>
      </c>
      <c r="M1254" s="7">
        <v>3.0000000000000001E-3</v>
      </c>
      <c r="N1254">
        <v>7</v>
      </c>
      <c r="O1254" s="8">
        <v>17.822306426995311</v>
      </c>
      <c r="P1254" s="9">
        <v>17.822306426995311</v>
      </c>
      <c r="Q1254" s="9">
        <v>17.822306426995311</v>
      </c>
      <c r="R1254" s="9">
        <v>18.237663306594719</v>
      </c>
      <c r="S1254" s="9">
        <v>18.48712920931133</v>
      </c>
      <c r="T1254" s="9">
        <v>19.201553596969877</v>
      </c>
      <c r="U1254" s="9">
        <v>20.562345482855957</v>
      </c>
      <c r="V1254" s="9">
        <v>20.562345482855957</v>
      </c>
      <c r="W1254" s="9">
        <v>20.562345482855957</v>
      </c>
      <c r="X1254" s="9">
        <v>22.391977691000818</v>
      </c>
      <c r="Y1254" s="9">
        <v>22.391977691000818</v>
      </c>
      <c r="Z1254" s="9">
        <v>24.28858708803979</v>
      </c>
      <c r="AA1254" s="9">
        <v>24.28858708803979</v>
      </c>
      <c r="AB1254" s="9">
        <v>25.117335532005217</v>
      </c>
      <c r="AC1254" s="9">
        <v>25.117335532005217</v>
      </c>
      <c r="AD1254" s="9">
        <v>29.039116491286865</v>
      </c>
      <c r="AE1254" s="9">
        <v>31.219251037281825</v>
      </c>
      <c r="AF1254" s="9">
        <v>33.487682081707895</v>
      </c>
      <c r="AG1254" s="9">
        <v>33.487682081707895</v>
      </c>
      <c r="AH1254" s="9">
        <v>36.427668170967245</v>
      </c>
      <c r="AI1254" s="9">
        <v>38.74455996597662</v>
      </c>
      <c r="AJ1254" s="9">
        <v>3.0428788910505911</v>
      </c>
    </row>
    <row r="1255" spans="1:36" x14ac:dyDescent="0.25">
      <c r="A1255" t="s">
        <v>5411</v>
      </c>
      <c r="B1255" t="s">
        <v>16</v>
      </c>
      <c r="C1255" t="s">
        <v>17</v>
      </c>
      <c r="D1255">
        <v>36120000</v>
      </c>
      <c r="E1255">
        <v>36122999</v>
      </c>
      <c r="F1255" t="s">
        <v>1077</v>
      </c>
      <c r="G1255" t="str">
        <f t="shared" si="38"/>
        <v>MGI II</v>
      </c>
      <c r="H1255" t="s">
        <v>851</v>
      </c>
      <c r="I1255" t="s">
        <v>20</v>
      </c>
      <c r="J1255" t="s">
        <v>64</v>
      </c>
      <c r="K1255" s="6">
        <v>0.03</v>
      </c>
      <c r="L1255" s="7">
        <f t="shared" si="39"/>
        <v>2E-3</v>
      </c>
      <c r="M1255" s="7">
        <v>3.0000000000000001E-3</v>
      </c>
      <c r="N1255">
        <v>6</v>
      </c>
      <c r="O1255" s="8">
        <v>17.822306426995311</v>
      </c>
      <c r="P1255" s="9">
        <v>17.822306426995311</v>
      </c>
      <c r="Q1255" s="9">
        <v>17.822306426995311</v>
      </c>
      <c r="R1255" s="9">
        <v>18.237663306594719</v>
      </c>
      <c r="S1255" s="9">
        <v>18.48712920931133</v>
      </c>
      <c r="T1255" s="9">
        <v>19.201553596969877</v>
      </c>
      <c r="U1255" s="9">
        <v>20.562345482855957</v>
      </c>
      <c r="V1255" s="9">
        <v>20.562345482855957</v>
      </c>
      <c r="W1255" s="9">
        <v>20.562345482855957</v>
      </c>
      <c r="X1255" s="9">
        <v>22.391977691000818</v>
      </c>
      <c r="Y1255" s="9">
        <v>22.391977691000818</v>
      </c>
      <c r="Z1255" s="9">
        <v>24.28858708803979</v>
      </c>
      <c r="AA1255" s="9">
        <v>24.28858708803979</v>
      </c>
      <c r="AB1255" s="9">
        <v>25.117335532005217</v>
      </c>
      <c r="AC1255" s="9">
        <v>25.117335532005217</v>
      </c>
      <c r="AD1255" s="9">
        <v>29.039116491286865</v>
      </c>
      <c r="AE1255" s="9">
        <v>31.219251037281825</v>
      </c>
      <c r="AF1255" s="9">
        <v>33.487682081707895</v>
      </c>
      <c r="AG1255" s="9">
        <v>33.487682081707895</v>
      </c>
      <c r="AH1255" s="9">
        <v>36.427668170967245</v>
      </c>
      <c r="AI1255" s="9">
        <v>38.74455996597662</v>
      </c>
      <c r="AJ1255" s="9">
        <v>3.0428788910505911</v>
      </c>
    </row>
    <row r="1256" spans="1:36" x14ac:dyDescent="0.25">
      <c r="A1256" t="s">
        <v>5411</v>
      </c>
      <c r="B1256" t="s">
        <v>16</v>
      </c>
      <c r="C1256" t="s">
        <v>17</v>
      </c>
      <c r="D1256">
        <v>36123000</v>
      </c>
      <c r="E1256">
        <v>36125999</v>
      </c>
      <c r="F1256" t="s">
        <v>1078</v>
      </c>
      <c r="G1256" t="str">
        <f t="shared" si="38"/>
        <v>MGI II</v>
      </c>
      <c r="H1256" t="s">
        <v>851</v>
      </c>
      <c r="I1256" t="s">
        <v>20</v>
      </c>
      <c r="J1256" t="s">
        <v>64</v>
      </c>
      <c r="K1256" s="6">
        <v>0.03</v>
      </c>
      <c r="L1256" s="7">
        <f t="shared" si="39"/>
        <v>2E-3</v>
      </c>
      <c r="M1256" s="7">
        <v>3.0000000000000001E-3</v>
      </c>
      <c r="N1256">
        <v>7</v>
      </c>
      <c r="O1256" s="8">
        <v>17.822306426995311</v>
      </c>
      <c r="P1256" s="9">
        <v>17.822306426995311</v>
      </c>
      <c r="Q1256" s="9">
        <v>17.822306426995311</v>
      </c>
      <c r="R1256" s="9">
        <v>18.237663306594719</v>
      </c>
      <c r="S1256" s="9">
        <v>18.48712920931133</v>
      </c>
      <c r="T1256" s="9">
        <v>19.201553596969877</v>
      </c>
      <c r="U1256" s="9">
        <v>20.562345482855957</v>
      </c>
      <c r="V1256" s="9">
        <v>20.562345482855957</v>
      </c>
      <c r="W1256" s="9">
        <v>20.562345482855957</v>
      </c>
      <c r="X1256" s="9">
        <v>22.391977691000818</v>
      </c>
      <c r="Y1256" s="9">
        <v>22.391977691000818</v>
      </c>
      <c r="Z1256" s="9">
        <v>24.28858708803979</v>
      </c>
      <c r="AA1256" s="9">
        <v>24.28858708803979</v>
      </c>
      <c r="AB1256" s="9">
        <v>25.117335532005217</v>
      </c>
      <c r="AC1256" s="9">
        <v>25.117335532005217</v>
      </c>
      <c r="AD1256" s="9">
        <v>29.039116491286865</v>
      </c>
      <c r="AE1256" s="9">
        <v>31.219251037281825</v>
      </c>
      <c r="AF1256" s="9">
        <v>33.487682081707895</v>
      </c>
      <c r="AG1256" s="9">
        <v>33.487682081707895</v>
      </c>
      <c r="AH1256" s="9">
        <v>36.427668170967245</v>
      </c>
      <c r="AI1256" s="9">
        <v>38.74455996597662</v>
      </c>
      <c r="AJ1256" s="9">
        <v>3.0428788910505911</v>
      </c>
    </row>
    <row r="1257" spans="1:36" x14ac:dyDescent="0.25">
      <c r="A1257" t="s">
        <v>5411</v>
      </c>
      <c r="B1257" t="s">
        <v>16</v>
      </c>
      <c r="C1257" t="s">
        <v>17</v>
      </c>
      <c r="D1257">
        <v>36126000</v>
      </c>
      <c r="E1257">
        <v>36129999</v>
      </c>
      <c r="F1257" t="s">
        <v>1079</v>
      </c>
      <c r="G1257" t="str">
        <f t="shared" si="38"/>
        <v>MGI II</v>
      </c>
      <c r="H1257" t="s">
        <v>851</v>
      </c>
      <c r="I1257" t="s">
        <v>20</v>
      </c>
      <c r="J1257" t="s">
        <v>64</v>
      </c>
      <c r="K1257" s="6">
        <v>0.03</v>
      </c>
      <c r="L1257" s="7">
        <f t="shared" si="39"/>
        <v>2E-3</v>
      </c>
      <c r="M1257" s="7">
        <v>3.0000000000000001E-3</v>
      </c>
      <c r="N1257">
        <v>7</v>
      </c>
      <c r="O1257" s="8">
        <v>17.822306426995311</v>
      </c>
      <c r="P1257" s="9">
        <v>17.822306426995311</v>
      </c>
      <c r="Q1257" s="9">
        <v>17.822306426995311</v>
      </c>
      <c r="R1257" s="9">
        <v>18.237663306594719</v>
      </c>
      <c r="S1257" s="9">
        <v>18.48712920931133</v>
      </c>
      <c r="T1257" s="9">
        <v>19.201553596969877</v>
      </c>
      <c r="U1257" s="9">
        <v>20.562345482855957</v>
      </c>
      <c r="V1257" s="9">
        <v>20.562345482855957</v>
      </c>
      <c r="W1257" s="9">
        <v>20.562345482855957</v>
      </c>
      <c r="X1257" s="9">
        <v>22.391977691000818</v>
      </c>
      <c r="Y1257" s="9">
        <v>22.391977691000818</v>
      </c>
      <c r="Z1257" s="9">
        <v>24.28858708803979</v>
      </c>
      <c r="AA1257" s="9">
        <v>24.28858708803979</v>
      </c>
      <c r="AB1257" s="9">
        <v>25.117335532005217</v>
      </c>
      <c r="AC1257" s="9">
        <v>25.117335532005217</v>
      </c>
      <c r="AD1257" s="9">
        <v>29.039116491286865</v>
      </c>
      <c r="AE1257" s="9">
        <v>31.219251037281825</v>
      </c>
      <c r="AF1257" s="9">
        <v>33.487682081707895</v>
      </c>
      <c r="AG1257" s="9">
        <v>33.487682081707895</v>
      </c>
      <c r="AH1257" s="9">
        <v>36.427668170967245</v>
      </c>
      <c r="AI1257" s="9">
        <v>38.74455996597662</v>
      </c>
      <c r="AJ1257" s="9">
        <v>3.0428788910505911</v>
      </c>
    </row>
    <row r="1258" spans="1:36" x14ac:dyDescent="0.25">
      <c r="A1258" t="s">
        <v>5411</v>
      </c>
      <c r="B1258" t="s">
        <v>16</v>
      </c>
      <c r="C1258" t="s">
        <v>17</v>
      </c>
      <c r="D1258">
        <v>36130000</v>
      </c>
      <c r="E1258">
        <v>36131999</v>
      </c>
      <c r="F1258" t="s">
        <v>1080</v>
      </c>
      <c r="G1258" t="str">
        <f t="shared" si="38"/>
        <v>MGI II</v>
      </c>
      <c r="H1258" t="s">
        <v>851</v>
      </c>
      <c r="I1258" t="s">
        <v>20</v>
      </c>
      <c r="J1258" t="s">
        <v>64</v>
      </c>
      <c r="K1258" s="6">
        <v>0.03</v>
      </c>
      <c r="L1258" s="7">
        <f t="shared" si="39"/>
        <v>2E-3</v>
      </c>
      <c r="M1258" s="7">
        <v>3.0000000000000001E-3</v>
      </c>
      <c r="N1258">
        <v>8</v>
      </c>
      <c r="O1258" s="8">
        <v>17.822306426995311</v>
      </c>
      <c r="P1258" s="9">
        <v>17.822306426995311</v>
      </c>
      <c r="Q1258" s="9">
        <v>17.822306426995311</v>
      </c>
      <c r="R1258" s="9">
        <v>18.237663306594719</v>
      </c>
      <c r="S1258" s="9">
        <v>18.48712920931133</v>
      </c>
      <c r="T1258" s="9">
        <v>19.201553596969877</v>
      </c>
      <c r="U1258" s="9">
        <v>20.562345482855957</v>
      </c>
      <c r="V1258" s="9">
        <v>20.562345482855957</v>
      </c>
      <c r="W1258" s="9">
        <v>20.562345482855957</v>
      </c>
      <c r="X1258" s="9">
        <v>22.391977691000818</v>
      </c>
      <c r="Y1258" s="9">
        <v>22.391977691000818</v>
      </c>
      <c r="Z1258" s="9">
        <v>24.28858708803979</v>
      </c>
      <c r="AA1258" s="9">
        <v>24.28858708803979</v>
      </c>
      <c r="AB1258" s="9">
        <v>25.117335532005217</v>
      </c>
      <c r="AC1258" s="9">
        <v>25.117335532005217</v>
      </c>
      <c r="AD1258" s="9">
        <v>29.039116491286865</v>
      </c>
      <c r="AE1258" s="9">
        <v>31.219251037281825</v>
      </c>
      <c r="AF1258" s="9">
        <v>33.487682081707895</v>
      </c>
      <c r="AG1258" s="9">
        <v>33.487682081707895</v>
      </c>
      <c r="AH1258" s="9">
        <v>36.427668170967245</v>
      </c>
      <c r="AI1258" s="9">
        <v>38.74455996597662</v>
      </c>
      <c r="AJ1258" s="9">
        <v>3.0428788910505911</v>
      </c>
    </row>
    <row r="1259" spans="1:36" x14ac:dyDescent="0.25">
      <c r="A1259" t="s">
        <v>5411</v>
      </c>
      <c r="B1259" t="s">
        <v>16</v>
      </c>
      <c r="C1259" t="s">
        <v>17</v>
      </c>
      <c r="D1259">
        <v>36132000</v>
      </c>
      <c r="E1259">
        <v>36134999</v>
      </c>
      <c r="F1259" t="s">
        <v>1081</v>
      </c>
      <c r="G1259" t="str">
        <f t="shared" si="38"/>
        <v>MGI II</v>
      </c>
      <c r="H1259" t="s">
        <v>851</v>
      </c>
      <c r="I1259" t="s">
        <v>20</v>
      </c>
      <c r="J1259" t="s">
        <v>64</v>
      </c>
      <c r="K1259" s="6">
        <v>0.03</v>
      </c>
      <c r="L1259" s="7">
        <f t="shared" si="39"/>
        <v>2E-3</v>
      </c>
      <c r="M1259" s="7">
        <v>3.0000000000000001E-3</v>
      </c>
      <c r="N1259">
        <v>7</v>
      </c>
      <c r="O1259" s="8">
        <v>17.822306426995311</v>
      </c>
      <c r="P1259" s="9">
        <v>17.822306426995311</v>
      </c>
      <c r="Q1259" s="9">
        <v>17.822306426995311</v>
      </c>
      <c r="R1259" s="9">
        <v>18.237663306594719</v>
      </c>
      <c r="S1259" s="9">
        <v>18.48712920931133</v>
      </c>
      <c r="T1259" s="9">
        <v>19.201553596969877</v>
      </c>
      <c r="U1259" s="9">
        <v>20.562345482855957</v>
      </c>
      <c r="V1259" s="9">
        <v>20.562345482855957</v>
      </c>
      <c r="W1259" s="9">
        <v>20.562345482855957</v>
      </c>
      <c r="X1259" s="9">
        <v>22.391977691000818</v>
      </c>
      <c r="Y1259" s="9">
        <v>22.391977691000818</v>
      </c>
      <c r="Z1259" s="9">
        <v>24.28858708803979</v>
      </c>
      <c r="AA1259" s="9">
        <v>24.28858708803979</v>
      </c>
      <c r="AB1259" s="9">
        <v>25.117335532005217</v>
      </c>
      <c r="AC1259" s="9">
        <v>25.117335532005217</v>
      </c>
      <c r="AD1259" s="9">
        <v>29.039116491286865</v>
      </c>
      <c r="AE1259" s="9">
        <v>31.219251037281825</v>
      </c>
      <c r="AF1259" s="9">
        <v>33.487682081707895</v>
      </c>
      <c r="AG1259" s="9">
        <v>33.487682081707895</v>
      </c>
      <c r="AH1259" s="9">
        <v>36.427668170967245</v>
      </c>
      <c r="AI1259" s="9">
        <v>38.74455996597662</v>
      </c>
      <c r="AJ1259" s="9">
        <v>3.0428788910505911</v>
      </c>
    </row>
    <row r="1260" spans="1:36" x14ac:dyDescent="0.25">
      <c r="A1260" t="s">
        <v>5411</v>
      </c>
      <c r="B1260" t="s">
        <v>16</v>
      </c>
      <c r="C1260" t="s">
        <v>17</v>
      </c>
      <c r="D1260">
        <v>36135000</v>
      </c>
      <c r="E1260">
        <v>36139999</v>
      </c>
      <c r="F1260" t="s">
        <v>1082</v>
      </c>
      <c r="G1260" t="str">
        <f t="shared" si="38"/>
        <v>MGI II</v>
      </c>
      <c r="H1260" t="s">
        <v>851</v>
      </c>
      <c r="I1260" t="s">
        <v>20</v>
      </c>
      <c r="J1260" t="s">
        <v>64</v>
      </c>
      <c r="K1260" s="6">
        <v>0.03</v>
      </c>
      <c r="L1260" s="7">
        <f t="shared" si="39"/>
        <v>2E-3</v>
      </c>
      <c r="M1260" s="7">
        <v>3.0000000000000001E-3</v>
      </c>
      <c r="N1260">
        <v>8</v>
      </c>
      <c r="O1260" s="8">
        <v>17.822306426995311</v>
      </c>
      <c r="P1260" s="9">
        <v>17.822306426995311</v>
      </c>
      <c r="Q1260" s="9">
        <v>17.822306426995311</v>
      </c>
      <c r="R1260" s="9">
        <v>18.237663306594719</v>
      </c>
      <c r="S1260" s="9">
        <v>18.48712920931133</v>
      </c>
      <c r="T1260" s="9">
        <v>19.201553596969877</v>
      </c>
      <c r="U1260" s="9">
        <v>20.562345482855957</v>
      </c>
      <c r="V1260" s="9">
        <v>20.562345482855957</v>
      </c>
      <c r="W1260" s="9">
        <v>20.562345482855957</v>
      </c>
      <c r="X1260" s="9">
        <v>22.391977691000818</v>
      </c>
      <c r="Y1260" s="9">
        <v>22.391977691000818</v>
      </c>
      <c r="Z1260" s="9">
        <v>24.28858708803979</v>
      </c>
      <c r="AA1260" s="9">
        <v>24.28858708803979</v>
      </c>
      <c r="AB1260" s="9">
        <v>25.117335532005217</v>
      </c>
      <c r="AC1260" s="9">
        <v>25.117335532005217</v>
      </c>
      <c r="AD1260" s="9">
        <v>29.039116491286865</v>
      </c>
      <c r="AE1260" s="9">
        <v>31.219251037281825</v>
      </c>
      <c r="AF1260" s="9">
        <v>33.487682081707895</v>
      </c>
      <c r="AG1260" s="9">
        <v>33.487682081707895</v>
      </c>
      <c r="AH1260" s="9">
        <v>36.427668170967245</v>
      </c>
      <c r="AI1260" s="9">
        <v>38.74455996597662</v>
      </c>
      <c r="AJ1260" s="9">
        <v>3.0428788910505911</v>
      </c>
    </row>
    <row r="1261" spans="1:36" x14ac:dyDescent="0.25">
      <c r="A1261" t="s">
        <v>5411</v>
      </c>
      <c r="B1261" t="s">
        <v>16</v>
      </c>
      <c r="C1261" t="s">
        <v>17</v>
      </c>
      <c r="D1261">
        <v>36140000</v>
      </c>
      <c r="E1261">
        <v>36144999</v>
      </c>
      <c r="F1261" t="s">
        <v>1083</v>
      </c>
      <c r="G1261" t="str">
        <f t="shared" si="38"/>
        <v>MGI II</v>
      </c>
      <c r="H1261" t="s">
        <v>851</v>
      </c>
      <c r="I1261" t="s">
        <v>20</v>
      </c>
      <c r="J1261" t="s">
        <v>64</v>
      </c>
      <c r="K1261" s="6">
        <v>0.03</v>
      </c>
      <c r="L1261" s="7">
        <f t="shared" si="39"/>
        <v>2E-3</v>
      </c>
      <c r="M1261" s="7">
        <v>3.0000000000000001E-3</v>
      </c>
      <c r="N1261">
        <v>7</v>
      </c>
      <c r="O1261" s="8">
        <v>17.822306426995311</v>
      </c>
      <c r="P1261" s="9">
        <v>17.822306426995311</v>
      </c>
      <c r="Q1261" s="9">
        <v>17.822306426995311</v>
      </c>
      <c r="R1261" s="9">
        <v>18.237663306594719</v>
      </c>
      <c r="S1261" s="9">
        <v>18.48712920931133</v>
      </c>
      <c r="T1261" s="9">
        <v>19.201553596969877</v>
      </c>
      <c r="U1261" s="9">
        <v>20.562345482855957</v>
      </c>
      <c r="V1261" s="9">
        <v>20.562345482855957</v>
      </c>
      <c r="W1261" s="9">
        <v>20.562345482855957</v>
      </c>
      <c r="X1261" s="9">
        <v>22.391977691000818</v>
      </c>
      <c r="Y1261" s="9">
        <v>22.391977691000818</v>
      </c>
      <c r="Z1261" s="9">
        <v>24.28858708803979</v>
      </c>
      <c r="AA1261" s="9">
        <v>24.28858708803979</v>
      </c>
      <c r="AB1261" s="9">
        <v>25.117335532005217</v>
      </c>
      <c r="AC1261" s="9">
        <v>25.117335532005217</v>
      </c>
      <c r="AD1261" s="9">
        <v>29.039116491286865</v>
      </c>
      <c r="AE1261" s="9">
        <v>31.219251037281825</v>
      </c>
      <c r="AF1261" s="9">
        <v>33.487682081707895</v>
      </c>
      <c r="AG1261" s="9">
        <v>33.487682081707895</v>
      </c>
      <c r="AH1261" s="9">
        <v>36.427668170967245</v>
      </c>
      <c r="AI1261" s="9">
        <v>38.74455996597662</v>
      </c>
      <c r="AJ1261" s="9">
        <v>3.0428788910505911</v>
      </c>
    </row>
    <row r="1262" spans="1:36" x14ac:dyDescent="0.25">
      <c r="A1262" t="s">
        <v>5411</v>
      </c>
      <c r="B1262" t="s">
        <v>16</v>
      </c>
      <c r="C1262" t="s">
        <v>17</v>
      </c>
      <c r="D1262">
        <v>36145000</v>
      </c>
      <c r="E1262">
        <v>36145999</v>
      </c>
      <c r="F1262" t="s">
        <v>1084</v>
      </c>
      <c r="G1262" t="str">
        <f t="shared" si="38"/>
        <v>MGI II</v>
      </c>
      <c r="H1262" t="s">
        <v>851</v>
      </c>
      <c r="I1262" t="s">
        <v>20</v>
      </c>
      <c r="J1262" t="s">
        <v>64</v>
      </c>
      <c r="K1262" s="6">
        <v>0.03</v>
      </c>
      <c r="L1262" s="7">
        <f t="shared" si="39"/>
        <v>2E-3</v>
      </c>
      <c r="M1262" s="7">
        <v>3.0000000000000001E-3</v>
      </c>
      <c r="N1262">
        <v>7</v>
      </c>
      <c r="O1262" s="8">
        <v>17.822306426995311</v>
      </c>
      <c r="P1262" s="9">
        <v>17.822306426995311</v>
      </c>
      <c r="Q1262" s="9">
        <v>17.822306426995311</v>
      </c>
      <c r="R1262" s="9">
        <v>18.237663306594719</v>
      </c>
      <c r="S1262" s="9">
        <v>18.48712920931133</v>
      </c>
      <c r="T1262" s="9">
        <v>19.201553596969877</v>
      </c>
      <c r="U1262" s="9">
        <v>20.562345482855957</v>
      </c>
      <c r="V1262" s="9">
        <v>20.562345482855957</v>
      </c>
      <c r="W1262" s="9">
        <v>20.562345482855957</v>
      </c>
      <c r="X1262" s="9">
        <v>22.391977691000818</v>
      </c>
      <c r="Y1262" s="9">
        <v>22.391977691000818</v>
      </c>
      <c r="Z1262" s="9">
        <v>24.28858708803979</v>
      </c>
      <c r="AA1262" s="9">
        <v>24.28858708803979</v>
      </c>
      <c r="AB1262" s="9">
        <v>25.117335532005217</v>
      </c>
      <c r="AC1262" s="9">
        <v>25.117335532005217</v>
      </c>
      <c r="AD1262" s="9">
        <v>29.039116491286865</v>
      </c>
      <c r="AE1262" s="9">
        <v>31.219251037281825</v>
      </c>
      <c r="AF1262" s="9">
        <v>33.487682081707895</v>
      </c>
      <c r="AG1262" s="9">
        <v>33.487682081707895</v>
      </c>
      <c r="AH1262" s="9">
        <v>36.427668170967245</v>
      </c>
      <c r="AI1262" s="9">
        <v>38.74455996597662</v>
      </c>
      <c r="AJ1262" s="9">
        <v>3.0428788910505911</v>
      </c>
    </row>
    <row r="1263" spans="1:36" x14ac:dyDescent="0.25">
      <c r="A1263" t="s">
        <v>5411</v>
      </c>
      <c r="B1263" t="s">
        <v>16</v>
      </c>
      <c r="C1263" t="s">
        <v>17</v>
      </c>
      <c r="D1263">
        <v>36146000</v>
      </c>
      <c r="E1263">
        <v>36147999</v>
      </c>
      <c r="F1263" t="s">
        <v>1085</v>
      </c>
      <c r="G1263" t="str">
        <f t="shared" si="38"/>
        <v>MGI II</v>
      </c>
      <c r="H1263" t="s">
        <v>851</v>
      </c>
      <c r="I1263" t="s">
        <v>20</v>
      </c>
      <c r="J1263" t="s">
        <v>64</v>
      </c>
      <c r="K1263" s="6">
        <v>0.03</v>
      </c>
      <c r="L1263" s="7">
        <f t="shared" si="39"/>
        <v>2E-3</v>
      </c>
      <c r="M1263" s="7">
        <v>3.0000000000000001E-3</v>
      </c>
      <c r="N1263">
        <v>8</v>
      </c>
      <c r="O1263" s="8">
        <v>17.822306426995311</v>
      </c>
      <c r="P1263" s="9">
        <v>17.822306426995311</v>
      </c>
      <c r="Q1263" s="9">
        <v>17.822306426995311</v>
      </c>
      <c r="R1263" s="9">
        <v>18.237663306594719</v>
      </c>
      <c r="S1263" s="9">
        <v>18.48712920931133</v>
      </c>
      <c r="T1263" s="9">
        <v>19.201553596969877</v>
      </c>
      <c r="U1263" s="9">
        <v>20.562345482855957</v>
      </c>
      <c r="V1263" s="9">
        <v>20.562345482855957</v>
      </c>
      <c r="W1263" s="9">
        <v>20.562345482855957</v>
      </c>
      <c r="X1263" s="9">
        <v>22.391977691000818</v>
      </c>
      <c r="Y1263" s="9">
        <v>22.391977691000818</v>
      </c>
      <c r="Z1263" s="9">
        <v>24.28858708803979</v>
      </c>
      <c r="AA1263" s="9">
        <v>24.28858708803979</v>
      </c>
      <c r="AB1263" s="9">
        <v>25.117335532005217</v>
      </c>
      <c r="AC1263" s="9">
        <v>25.117335532005217</v>
      </c>
      <c r="AD1263" s="9">
        <v>29.039116491286865</v>
      </c>
      <c r="AE1263" s="9">
        <v>31.219251037281825</v>
      </c>
      <c r="AF1263" s="9">
        <v>33.487682081707895</v>
      </c>
      <c r="AG1263" s="9">
        <v>33.487682081707895</v>
      </c>
      <c r="AH1263" s="9">
        <v>36.427668170967245</v>
      </c>
      <c r="AI1263" s="9">
        <v>38.74455996597662</v>
      </c>
      <c r="AJ1263" s="9">
        <v>3.0428788910505911</v>
      </c>
    </row>
    <row r="1264" spans="1:36" x14ac:dyDescent="0.25">
      <c r="A1264" t="s">
        <v>5411</v>
      </c>
      <c r="B1264" t="s">
        <v>16</v>
      </c>
      <c r="C1264" t="s">
        <v>17</v>
      </c>
      <c r="D1264">
        <v>36148000</v>
      </c>
      <c r="E1264">
        <v>36149999</v>
      </c>
      <c r="F1264" t="s">
        <v>1086</v>
      </c>
      <c r="G1264" t="str">
        <f t="shared" si="38"/>
        <v>MGI II</v>
      </c>
      <c r="H1264" t="s">
        <v>851</v>
      </c>
      <c r="I1264" t="s">
        <v>20</v>
      </c>
      <c r="J1264" t="s">
        <v>64</v>
      </c>
      <c r="K1264" s="6">
        <v>0.03</v>
      </c>
      <c r="L1264" s="7">
        <f t="shared" si="39"/>
        <v>2E-3</v>
      </c>
      <c r="M1264" s="7">
        <v>3.0000000000000001E-3</v>
      </c>
      <c r="N1264">
        <v>7</v>
      </c>
      <c r="O1264" s="8">
        <v>17.822306426995311</v>
      </c>
      <c r="P1264" s="9">
        <v>17.822306426995311</v>
      </c>
      <c r="Q1264" s="9">
        <v>17.822306426995311</v>
      </c>
      <c r="R1264" s="9">
        <v>18.237663306594719</v>
      </c>
      <c r="S1264" s="9">
        <v>18.48712920931133</v>
      </c>
      <c r="T1264" s="9">
        <v>19.201553596969877</v>
      </c>
      <c r="U1264" s="9">
        <v>20.562345482855957</v>
      </c>
      <c r="V1264" s="9">
        <v>20.562345482855957</v>
      </c>
      <c r="W1264" s="9">
        <v>20.562345482855957</v>
      </c>
      <c r="X1264" s="9">
        <v>22.391977691000818</v>
      </c>
      <c r="Y1264" s="9">
        <v>22.391977691000818</v>
      </c>
      <c r="Z1264" s="9">
        <v>24.28858708803979</v>
      </c>
      <c r="AA1264" s="9">
        <v>24.28858708803979</v>
      </c>
      <c r="AB1264" s="9">
        <v>25.117335532005217</v>
      </c>
      <c r="AC1264" s="9">
        <v>25.117335532005217</v>
      </c>
      <c r="AD1264" s="9">
        <v>29.039116491286865</v>
      </c>
      <c r="AE1264" s="9">
        <v>31.219251037281825</v>
      </c>
      <c r="AF1264" s="9">
        <v>33.487682081707895</v>
      </c>
      <c r="AG1264" s="9">
        <v>33.487682081707895</v>
      </c>
      <c r="AH1264" s="9">
        <v>36.427668170967245</v>
      </c>
      <c r="AI1264" s="9">
        <v>38.74455996597662</v>
      </c>
      <c r="AJ1264" s="9">
        <v>3.0428788910505911</v>
      </c>
    </row>
    <row r="1265" spans="1:36" x14ac:dyDescent="0.25">
      <c r="A1265" t="s">
        <v>5411</v>
      </c>
      <c r="B1265" t="s">
        <v>16</v>
      </c>
      <c r="C1265" t="s">
        <v>17</v>
      </c>
      <c r="D1265">
        <v>36150000</v>
      </c>
      <c r="E1265">
        <v>36151999</v>
      </c>
      <c r="F1265" t="s">
        <v>1087</v>
      </c>
      <c r="G1265" t="str">
        <f t="shared" si="38"/>
        <v>MGI II</v>
      </c>
      <c r="H1265" t="s">
        <v>851</v>
      </c>
      <c r="I1265" t="s">
        <v>20</v>
      </c>
      <c r="J1265" t="s">
        <v>64</v>
      </c>
      <c r="K1265" s="6">
        <v>0.03</v>
      </c>
      <c r="L1265" s="7">
        <f t="shared" si="39"/>
        <v>2E-3</v>
      </c>
      <c r="M1265" s="7">
        <v>3.0000000000000001E-3</v>
      </c>
      <c r="N1265">
        <v>7</v>
      </c>
      <c r="O1265" s="8">
        <v>17.822306426995311</v>
      </c>
      <c r="P1265" s="9">
        <v>17.822306426995311</v>
      </c>
      <c r="Q1265" s="9">
        <v>17.822306426995311</v>
      </c>
      <c r="R1265" s="9">
        <v>18.237663306594719</v>
      </c>
      <c r="S1265" s="9">
        <v>18.48712920931133</v>
      </c>
      <c r="T1265" s="9">
        <v>19.201553596969877</v>
      </c>
      <c r="U1265" s="9">
        <v>20.562345482855957</v>
      </c>
      <c r="V1265" s="9">
        <v>20.562345482855957</v>
      </c>
      <c r="W1265" s="9">
        <v>20.562345482855957</v>
      </c>
      <c r="X1265" s="9">
        <v>22.391977691000818</v>
      </c>
      <c r="Y1265" s="9">
        <v>22.391977691000818</v>
      </c>
      <c r="Z1265" s="9">
        <v>24.28858708803979</v>
      </c>
      <c r="AA1265" s="9">
        <v>24.28858708803979</v>
      </c>
      <c r="AB1265" s="9">
        <v>25.117335532005217</v>
      </c>
      <c r="AC1265" s="9">
        <v>25.117335532005217</v>
      </c>
      <c r="AD1265" s="9">
        <v>29.039116491286865</v>
      </c>
      <c r="AE1265" s="9">
        <v>31.219251037281825</v>
      </c>
      <c r="AF1265" s="9">
        <v>33.487682081707895</v>
      </c>
      <c r="AG1265" s="9">
        <v>33.487682081707895</v>
      </c>
      <c r="AH1265" s="9">
        <v>36.427668170967245</v>
      </c>
      <c r="AI1265" s="9">
        <v>38.74455996597662</v>
      </c>
      <c r="AJ1265" s="9">
        <v>3.0428788910505911</v>
      </c>
    </row>
    <row r="1266" spans="1:36" x14ac:dyDescent="0.25">
      <c r="A1266" t="s">
        <v>5411</v>
      </c>
      <c r="B1266" t="s">
        <v>16</v>
      </c>
      <c r="C1266" t="s">
        <v>17</v>
      </c>
      <c r="D1266">
        <v>36152000</v>
      </c>
      <c r="E1266">
        <v>36154999</v>
      </c>
      <c r="F1266" t="s">
        <v>1088</v>
      </c>
      <c r="G1266" t="str">
        <f t="shared" si="38"/>
        <v>MGI II</v>
      </c>
      <c r="H1266" t="s">
        <v>851</v>
      </c>
      <c r="I1266" t="s">
        <v>20</v>
      </c>
      <c r="J1266" t="s">
        <v>64</v>
      </c>
      <c r="K1266" s="6">
        <v>0.03</v>
      </c>
      <c r="L1266" s="7">
        <f t="shared" si="39"/>
        <v>2E-3</v>
      </c>
      <c r="M1266" s="7">
        <v>3.0000000000000001E-3</v>
      </c>
      <c r="N1266">
        <v>7</v>
      </c>
      <c r="O1266" s="8">
        <v>17.822306426995311</v>
      </c>
      <c r="P1266" s="9">
        <v>17.822306426995311</v>
      </c>
      <c r="Q1266" s="9">
        <v>17.822306426995311</v>
      </c>
      <c r="R1266" s="9">
        <v>18.237663306594719</v>
      </c>
      <c r="S1266" s="9">
        <v>18.48712920931133</v>
      </c>
      <c r="T1266" s="9">
        <v>19.201553596969877</v>
      </c>
      <c r="U1266" s="9">
        <v>20.562345482855957</v>
      </c>
      <c r="V1266" s="9">
        <v>20.562345482855957</v>
      </c>
      <c r="W1266" s="9">
        <v>20.562345482855957</v>
      </c>
      <c r="X1266" s="9">
        <v>22.391977691000818</v>
      </c>
      <c r="Y1266" s="9">
        <v>22.391977691000818</v>
      </c>
      <c r="Z1266" s="9">
        <v>24.28858708803979</v>
      </c>
      <c r="AA1266" s="9">
        <v>24.28858708803979</v>
      </c>
      <c r="AB1266" s="9">
        <v>25.117335532005217</v>
      </c>
      <c r="AC1266" s="9">
        <v>25.117335532005217</v>
      </c>
      <c r="AD1266" s="9">
        <v>29.039116491286865</v>
      </c>
      <c r="AE1266" s="9">
        <v>31.219251037281825</v>
      </c>
      <c r="AF1266" s="9">
        <v>33.487682081707895</v>
      </c>
      <c r="AG1266" s="9">
        <v>33.487682081707895</v>
      </c>
      <c r="AH1266" s="9">
        <v>36.427668170967245</v>
      </c>
      <c r="AI1266" s="9">
        <v>38.74455996597662</v>
      </c>
      <c r="AJ1266" s="9">
        <v>3.0428788910505911</v>
      </c>
    </row>
    <row r="1267" spans="1:36" x14ac:dyDescent="0.25">
      <c r="A1267" t="s">
        <v>5411</v>
      </c>
      <c r="B1267" t="s">
        <v>16</v>
      </c>
      <c r="C1267" t="s">
        <v>17</v>
      </c>
      <c r="D1267">
        <v>36155000</v>
      </c>
      <c r="E1267">
        <v>36156999</v>
      </c>
      <c r="F1267" t="s">
        <v>1089</v>
      </c>
      <c r="G1267" t="str">
        <f t="shared" si="38"/>
        <v>MGI II</v>
      </c>
      <c r="H1267" t="s">
        <v>851</v>
      </c>
      <c r="I1267" t="s">
        <v>20</v>
      </c>
      <c r="J1267" t="s">
        <v>64</v>
      </c>
      <c r="K1267" s="6">
        <v>0.03</v>
      </c>
      <c r="L1267" s="7">
        <f t="shared" si="39"/>
        <v>2E-3</v>
      </c>
      <c r="M1267" s="7">
        <v>3.0000000000000001E-3</v>
      </c>
      <c r="N1267">
        <v>7</v>
      </c>
      <c r="O1267" s="8">
        <v>17.822306426995311</v>
      </c>
      <c r="P1267" s="9">
        <v>17.822306426995311</v>
      </c>
      <c r="Q1267" s="9">
        <v>17.822306426995311</v>
      </c>
      <c r="R1267" s="9">
        <v>18.237663306594719</v>
      </c>
      <c r="S1267" s="9">
        <v>18.48712920931133</v>
      </c>
      <c r="T1267" s="9">
        <v>19.201553596969877</v>
      </c>
      <c r="U1267" s="9">
        <v>20.562345482855957</v>
      </c>
      <c r="V1267" s="9">
        <v>20.562345482855957</v>
      </c>
      <c r="W1267" s="9">
        <v>20.562345482855957</v>
      </c>
      <c r="X1267" s="9">
        <v>22.391977691000818</v>
      </c>
      <c r="Y1267" s="9">
        <v>22.391977691000818</v>
      </c>
      <c r="Z1267" s="9">
        <v>24.28858708803979</v>
      </c>
      <c r="AA1267" s="9">
        <v>24.28858708803979</v>
      </c>
      <c r="AB1267" s="9">
        <v>25.117335532005217</v>
      </c>
      <c r="AC1267" s="9">
        <v>25.117335532005217</v>
      </c>
      <c r="AD1267" s="9">
        <v>29.039116491286865</v>
      </c>
      <c r="AE1267" s="9">
        <v>31.219251037281825</v>
      </c>
      <c r="AF1267" s="9">
        <v>33.487682081707895</v>
      </c>
      <c r="AG1267" s="9">
        <v>33.487682081707895</v>
      </c>
      <c r="AH1267" s="9">
        <v>36.427668170967245</v>
      </c>
      <c r="AI1267" s="9">
        <v>38.74455996597662</v>
      </c>
      <c r="AJ1267" s="9">
        <v>3.0428788910505911</v>
      </c>
    </row>
    <row r="1268" spans="1:36" x14ac:dyDescent="0.25">
      <c r="A1268" t="s">
        <v>5411</v>
      </c>
      <c r="B1268" t="s">
        <v>16</v>
      </c>
      <c r="C1268" t="s">
        <v>17</v>
      </c>
      <c r="D1268">
        <v>36157000</v>
      </c>
      <c r="E1268">
        <v>36159999</v>
      </c>
      <c r="F1268" t="s">
        <v>1090</v>
      </c>
      <c r="G1268" t="str">
        <f t="shared" si="38"/>
        <v>MGI II</v>
      </c>
      <c r="H1268" t="s">
        <v>851</v>
      </c>
      <c r="I1268" t="s">
        <v>20</v>
      </c>
      <c r="J1268" t="s">
        <v>64</v>
      </c>
      <c r="K1268" s="6">
        <v>0.03</v>
      </c>
      <c r="L1268" s="7">
        <f t="shared" si="39"/>
        <v>2E-3</v>
      </c>
      <c r="M1268" s="7">
        <v>3.0000000000000001E-3</v>
      </c>
      <c r="N1268">
        <v>7</v>
      </c>
      <c r="O1268" s="8">
        <v>17.822306426995311</v>
      </c>
      <c r="P1268" s="9">
        <v>17.822306426995311</v>
      </c>
      <c r="Q1268" s="9">
        <v>17.822306426995311</v>
      </c>
      <c r="R1268" s="9">
        <v>18.237663306594719</v>
      </c>
      <c r="S1268" s="9">
        <v>18.48712920931133</v>
      </c>
      <c r="T1268" s="9">
        <v>19.201553596969877</v>
      </c>
      <c r="U1268" s="9">
        <v>20.562345482855957</v>
      </c>
      <c r="V1268" s="9">
        <v>20.562345482855957</v>
      </c>
      <c r="W1268" s="9">
        <v>20.562345482855957</v>
      </c>
      <c r="X1268" s="9">
        <v>22.391977691000818</v>
      </c>
      <c r="Y1268" s="9">
        <v>22.391977691000818</v>
      </c>
      <c r="Z1268" s="9">
        <v>24.28858708803979</v>
      </c>
      <c r="AA1268" s="9">
        <v>24.28858708803979</v>
      </c>
      <c r="AB1268" s="9">
        <v>25.117335532005217</v>
      </c>
      <c r="AC1268" s="9">
        <v>25.117335532005217</v>
      </c>
      <c r="AD1268" s="9">
        <v>29.039116491286865</v>
      </c>
      <c r="AE1268" s="9">
        <v>31.219251037281825</v>
      </c>
      <c r="AF1268" s="9">
        <v>33.487682081707895</v>
      </c>
      <c r="AG1268" s="9">
        <v>33.487682081707895</v>
      </c>
      <c r="AH1268" s="9">
        <v>36.427668170967245</v>
      </c>
      <c r="AI1268" s="9">
        <v>38.74455996597662</v>
      </c>
      <c r="AJ1268" s="9">
        <v>3.0428788910505911</v>
      </c>
    </row>
    <row r="1269" spans="1:36" x14ac:dyDescent="0.25">
      <c r="A1269" t="s">
        <v>5411</v>
      </c>
      <c r="B1269" t="s">
        <v>16</v>
      </c>
      <c r="C1269" t="s">
        <v>17</v>
      </c>
      <c r="D1269">
        <v>36160000</v>
      </c>
      <c r="E1269">
        <v>36164999</v>
      </c>
      <c r="F1269" t="s">
        <v>1091</v>
      </c>
      <c r="G1269" t="str">
        <f t="shared" si="38"/>
        <v>MGI II</v>
      </c>
      <c r="H1269" t="s">
        <v>851</v>
      </c>
      <c r="I1269" t="s">
        <v>20</v>
      </c>
      <c r="J1269" t="s">
        <v>64</v>
      </c>
      <c r="K1269" s="6">
        <v>0.03</v>
      </c>
      <c r="L1269" s="7">
        <f t="shared" si="39"/>
        <v>2E-3</v>
      </c>
      <c r="M1269" s="7">
        <v>3.0000000000000001E-3</v>
      </c>
      <c r="N1269">
        <v>7</v>
      </c>
      <c r="O1269" s="8">
        <v>17.822306426995311</v>
      </c>
      <c r="P1269" s="9">
        <v>17.822306426995311</v>
      </c>
      <c r="Q1269" s="9">
        <v>17.822306426995311</v>
      </c>
      <c r="R1269" s="9">
        <v>18.237663306594719</v>
      </c>
      <c r="S1269" s="9">
        <v>18.48712920931133</v>
      </c>
      <c r="T1269" s="9">
        <v>19.201553596969877</v>
      </c>
      <c r="U1269" s="9">
        <v>20.562345482855957</v>
      </c>
      <c r="V1269" s="9">
        <v>20.562345482855957</v>
      </c>
      <c r="W1269" s="9">
        <v>20.562345482855957</v>
      </c>
      <c r="X1269" s="9">
        <v>22.391977691000818</v>
      </c>
      <c r="Y1269" s="9">
        <v>22.391977691000818</v>
      </c>
      <c r="Z1269" s="9">
        <v>24.28858708803979</v>
      </c>
      <c r="AA1269" s="9">
        <v>24.28858708803979</v>
      </c>
      <c r="AB1269" s="9">
        <v>25.117335532005217</v>
      </c>
      <c r="AC1269" s="9">
        <v>25.117335532005217</v>
      </c>
      <c r="AD1269" s="9">
        <v>29.039116491286865</v>
      </c>
      <c r="AE1269" s="9">
        <v>31.219251037281825</v>
      </c>
      <c r="AF1269" s="9">
        <v>33.487682081707895</v>
      </c>
      <c r="AG1269" s="9">
        <v>33.487682081707895</v>
      </c>
      <c r="AH1269" s="9">
        <v>36.427668170967245</v>
      </c>
      <c r="AI1269" s="9">
        <v>38.74455996597662</v>
      </c>
      <c r="AJ1269" s="9">
        <v>3.0428788910505911</v>
      </c>
    </row>
    <row r="1270" spans="1:36" x14ac:dyDescent="0.25">
      <c r="A1270" t="s">
        <v>5411</v>
      </c>
      <c r="B1270" t="s">
        <v>16</v>
      </c>
      <c r="C1270" t="s">
        <v>17</v>
      </c>
      <c r="D1270">
        <v>36165000</v>
      </c>
      <c r="E1270">
        <v>36169999</v>
      </c>
      <c r="F1270" t="s">
        <v>1092</v>
      </c>
      <c r="G1270" t="str">
        <f t="shared" si="38"/>
        <v>MGI II</v>
      </c>
      <c r="H1270" t="s">
        <v>851</v>
      </c>
      <c r="I1270" t="s">
        <v>20</v>
      </c>
      <c r="J1270" t="s">
        <v>64</v>
      </c>
      <c r="K1270" s="6">
        <v>0.03</v>
      </c>
      <c r="L1270" s="7">
        <f t="shared" si="39"/>
        <v>2E-3</v>
      </c>
      <c r="M1270" s="7">
        <v>3.0000000000000001E-3</v>
      </c>
      <c r="N1270">
        <v>7</v>
      </c>
      <c r="O1270" s="8">
        <v>17.822306426995311</v>
      </c>
      <c r="P1270" s="9">
        <v>17.822306426995311</v>
      </c>
      <c r="Q1270" s="9">
        <v>17.822306426995311</v>
      </c>
      <c r="R1270" s="9">
        <v>18.237663306594719</v>
      </c>
      <c r="S1270" s="9">
        <v>18.48712920931133</v>
      </c>
      <c r="T1270" s="9">
        <v>19.201553596969877</v>
      </c>
      <c r="U1270" s="9">
        <v>20.562345482855957</v>
      </c>
      <c r="V1270" s="9">
        <v>20.562345482855957</v>
      </c>
      <c r="W1270" s="9">
        <v>20.562345482855957</v>
      </c>
      <c r="X1270" s="9">
        <v>22.391977691000818</v>
      </c>
      <c r="Y1270" s="9">
        <v>22.391977691000818</v>
      </c>
      <c r="Z1270" s="9">
        <v>24.28858708803979</v>
      </c>
      <c r="AA1270" s="9">
        <v>24.28858708803979</v>
      </c>
      <c r="AB1270" s="9">
        <v>25.117335532005217</v>
      </c>
      <c r="AC1270" s="9">
        <v>25.117335532005217</v>
      </c>
      <c r="AD1270" s="9">
        <v>29.039116491286865</v>
      </c>
      <c r="AE1270" s="9">
        <v>31.219251037281825</v>
      </c>
      <c r="AF1270" s="9">
        <v>33.487682081707895</v>
      </c>
      <c r="AG1270" s="9">
        <v>33.487682081707895</v>
      </c>
      <c r="AH1270" s="9">
        <v>36.427668170967245</v>
      </c>
      <c r="AI1270" s="9">
        <v>38.74455996597662</v>
      </c>
      <c r="AJ1270" s="9">
        <v>3.0428788910505911</v>
      </c>
    </row>
    <row r="1271" spans="1:36" x14ac:dyDescent="0.25">
      <c r="A1271" t="s">
        <v>5411</v>
      </c>
      <c r="B1271" t="s">
        <v>16</v>
      </c>
      <c r="C1271" t="s">
        <v>17</v>
      </c>
      <c r="D1271">
        <v>36170000</v>
      </c>
      <c r="E1271">
        <v>36179999</v>
      </c>
      <c r="F1271" t="s">
        <v>1093</v>
      </c>
      <c r="G1271" t="str">
        <f t="shared" si="38"/>
        <v>MGI II</v>
      </c>
      <c r="H1271" t="s">
        <v>851</v>
      </c>
      <c r="I1271" t="s">
        <v>20</v>
      </c>
      <c r="J1271" t="s">
        <v>64</v>
      </c>
      <c r="K1271" s="6">
        <v>0.03</v>
      </c>
      <c r="L1271" s="7">
        <f t="shared" si="39"/>
        <v>2E-3</v>
      </c>
      <c r="M1271" s="7">
        <v>3.0000000000000001E-3</v>
      </c>
      <c r="N1271">
        <v>7</v>
      </c>
      <c r="O1271" s="8">
        <v>17.822306426995311</v>
      </c>
      <c r="P1271" s="9">
        <v>17.822306426995311</v>
      </c>
      <c r="Q1271" s="9">
        <v>17.822306426995311</v>
      </c>
      <c r="R1271" s="9">
        <v>18.237663306594719</v>
      </c>
      <c r="S1271" s="9">
        <v>18.48712920931133</v>
      </c>
      <c r="T1271" s="9">
        <v>19.201553596969877</v>
      </c>
      <c r="U1271" s="9">
        <v>20.562345482855957</v>
      </c>
      <c r="V1271" s="9">
        <v>20.562345482855957</v>
      </c>
      <c r="W1271" s="9">
        <v>20.562345482855957</v>
      </c>
      <c r="X1271" s="9">
        <v>22.391977691000818</v>
      </c>
      <c r="Y1271" s="9">
        <v>22.391977691000818</v>
      </c>
      <c r="Z1271" s="9">
        <v>24.28858708803979</v>
      </c>
      <c r="AA1271" s="9">
        <v>24.28858708803979</v>
      </c>
      <c r="AB1271" s="9">
        <v>25.117335532005217</v>
      </c>
      <c r="AC1271" s="9">
        <v>25.117335532005217</v>
      </c>
      <c r="AD1271" s="9">
        <v>29.039116491286865</v>
      </c>
      <c r="AE1271" s="9">
        <v>31.219251037281825</v>
      </c>
      <c r="AF1271" s="9">
        <v>33.487682081707895</v>
      </c>
      <c r="AG1271" s="9">
        <v>33.487682081707895</v>
      </c>
      <c r="AH1271" s="9">
        <v>36.427668170967245</v>
      </c>
      <c r="AI1271" s="9">
        <v>38.74455996597662</v>
      </c>
      <c r="AJ1271" s="9">
        <v>3.0428788910505911</v>
      </c>
    </row>
    <row r="1272" spans="1:36" x14ac:dyDescent="0.25">
      <c r="A1272" t="s">
        <v>5411</v>
      </c>
      <c r="B1272" t="s">
        <v>16</v>
      </c>
      <c r="C1272" t="s">
        <v>17</v>
      </c>
      <c r="D1272">
        <v>36180000</v>
      </c>
      <c r="E1272">
        <v>36184999</v>
      </c>
      <c r="F1272" t="s">
        <v>1094</v>
      </c>
      <c r="G1272" t="str">
        <f t="shared" si="38"/>
        <v>MGI II</v>
      </c>
      <c r="H1272" t="s">
        <v>851</v>
      </c>
      <c r="I1272" t="s">
        <v>20</v>
      </c>
      <c r="J1272" t="s">
        <v>64</v>
      </c>
      <c r="K1272" s="6">
        <v>0.03</v>
      </c>
      <c r="L1272" s="7">
        <f t="shared" si="39"/>
        <v>2E-3</v>
      </c>
      <c r="M1272" s="7">
        <v>3.0000000000000001E-3</v>
      </c>
      <c r="N1272">
        <v>7</v>
      </c>
      <c r="O1272" s="8">
        <v>17.822306426995311</v>
      </c>
      <c r="P1272" s="9">
        <v>17.822306426995311</v>
      </c>
      <c r="Q1272" s="9">
        <v>17.822306426995311</v>
      </c>
      <c r="R1272" s="9">
        <v>18.237663306594719</v>
      </c>
      <c r="S1272" s="9">
        <v>18.48712920931133</v>
      </c>
      <c r="T1272" s="9">
        <v>19.201553596969877</v>
      </c>
      <c r="U1272" s="9">
        <v>20.562345482855957</v>
      </c>
      <c r="V1272" s="9">
        <v>20.562345482855957</v>
      </c>
      <c r="W1272" s="9">
        <v>20.562345482855957</v>
      </c>
      <c r="X1272" s="9">
        <v>22.391977691000818</v>
      </c>
      <c r="Y1272" s="9">
        <v>22.391977691000818</v>
      </c>
      <c r="Z1272" s="9">
        <v>24.28858708803979</v>
      </c>
      <c r="AA1272" s="9">
        <v>24.28858708803979</v>
      </c>
      <c r="AB1272" s="9">
        <v>25.117335532005217</v>
      </c>
      <c r="AC1272" s="9">
        <v>25.117335532005217</v>
      </c>
      <c r="AD1272" s="9">
        <v>29.039116491286865</v>
      </c>
      <c r="AE1272" s="9">
        <v>31.219251037281825</v>
      </c>
      <c r="AF1272" s="9">
        <v>33.487682081707895</v>
      </c>
      <c r="AG1272" s="9">
        <v>33.487682081707895</v>
      </c>
      <c r="AH1272" s="9">
        <v>36.427668170967245</v>
      </c>
      <c r="AI1272" s="9">
        <v>38.74455996597662</v>
      </c>
      <c r="AJ1272" s="9">
        <v>3.0428788910505911</v>
      </c>
    </row>
    <row r="1273" spans="1:36" x14ac:dyDescent="0.25">
      <c r="A1273" t="s">
        <v>5411</v>
      </c>
      <c r="B1273" t="s">
        <v>16</v>
      </c>
      <c r="C1273" t="s">
        <v>17</v>
      </c>
      <c r="D1273">
        <v>36185000</v>
      </c>
      <c r="E1273">
        <v>36189999</v>
      </c>
      <c r="F1273" t="s">
        <v>1095</v>
      </c>
      <c r="G1273" t="str">
        <f t="shared" si="38"/>
        <v>MGI II</v>
      </c>
      <c r="H1273" t="s">
        <v>851</v>
      </c>
      <c r="I1273" t="s">
        <v>20</v>
      </c>
      <c r="J1273" t="s">
        <v>64</v>
      </c>
      <c r="K1273" s="6">
        <v>0.03</v>
      </c>
      <c r="L1273" s="7">
        <f t="shared" si="39"/>
        <v>2E-3</v>
      </c>
      <c r="M1273" s="7">
        <v>3.0000000000000001E-3</v>
      </c>
      <c r="N1273">
        <v>7</v>
      </c>
      <c r="O1273" s="8">
        <v>17.822306426995311</v>
      </c>
      <c r="P1273" s="9">
        <v>17.822306426995311</v>
      </c>
      <c r="Q1273" s="9">
        <v>17.822306426995311</v>
      </c>
      <c r="R1273" s="9">
        <v>18.237663306594719</v>
      </c>
      <c r="S1273" s="9">
        <v>18.48712920931133</v>
      </c>
      <c r="T1273" s="9">
        <v>19.201553596969877</v>
      </c>
      <c r="U1273" s="9">
        <v>20.562345482855957</v>
      </c>
      <c r="V1273" s="9">
        <v>20.562345482855957</v>
      </c>
      <c r="W1273" s="9">
        <v>20.562345482855957</v>
      </c>
      <c r="X1273" s="9">
        <v>22.391977691000818</v>
      </c>
      <c r="Y1273" s="9">
        <v>22.391977691000818</v>
      </c>
      <c r="Z1273" s="9">
        <v>24.28858708803979</v>
      </c>
      <c r="AA1273" s="9">
        <v>24.28858708803979</v>
      </c>
      <c r="AB1273" s="9">
        <v>25.117335532005217</v>
      </c>
      <c r="AC1273" s="9">
        <v>25.117335532005217</v>
      </c>
      <c r="AD1273" s="9">
        <v>29.039116491286865</v>
      </c>
      <c r="AE1273" s="9">
        <v>31.219251037281825</v>
      </c>
      <c r="AF1273" s="9">
        <v>33.487682081707895</v>
      </c>
      <c r="AG1273" s="9">
        <v>33.487682081707895</v>
      </c>
      <c r="AH1273" s="9">
        <v>36.427668170967245</v>
      </c>
      <c r="AI1273" s="9">
        <v>38.74455996597662</v>
      </c>
      <c r="AJ1273" s="9">
        <v>3.0428788910505911</v>
      </c>
    </row>
    <row r="1274" spans="1:36" x14ac:dyDescent="0.25">
      <c r="A1274" t="s">
        <v>5411</v>
      </c>
      <c r="B1274" t="s">
        <v>16</v>
      </c>
      <c r="C1274" t="s">
        <v>17</v>
      </c>
      <c r="D1274">
        <v>36190000</v>
      </c>
      <c r="E1274">
        <v>36194999</v>
      </c>
      <c r="F1274" t="s">
        <v>1096</v>
      </c>
      <c r="G1274" t="str">
        <f t="shared" si="38"/>
        <v>MGI II</v>
      </c>
      <c r="H1274" t="s">
        <v>851</v>
      </c>
      <c r="I1274" t="s">
        <v>20</v>
      </c>
      <c r="J1274" t="s">
        <v>64</v>
      </c>
      <c r="K1274" s="6">
        <v>0.03</v>
      </c>
      <c r="L1274" s="7">
        <f t="shared" si="39"/>
        <v>2E-3</v>
      </c>
      <c r="M1274" s="7">
        <v>3.0000000000000001E-3</v>
      </c>
      <c r="N1274">
        <v>7</v>
      </c>
      <c r="O1274" s="8">
        <v>17.822306426995311</v>
      </c>
      <c r="P1274" s="9">
        <v>17.822306426995311</v>
      </c>
      <c r="Q1274" s="9">
        <v>17.822306426995311</v>
      </c>
      <c r="R1274" s="9">
        <v>18.237663306594719</v>
      </c>
      <c r="S1274" s="9">
        <v>18.48712920931133</v>
      </c>
      <c r="T1274" s="9">
        <v>19.201553596969877</v>
      </c>
      <c r="U1274" s="9">
        <v>20.562345482855957</v>
      </c>
      <c r="V1274" s="9">
        <v>20.562345482855957</v>
      </c>
      <c r="W1274" s="9">
        <v>20.562345482855957</v>
      </c>
      <c r="X1274" s="9">
        <v>22.391977691000818</v>
      </c>
      <c r="Y1274" s="9">
        <v>22.391977691000818</v>
      </c>
      <c r="Z1274" s="9">
        <v>24.28858708803979</v>
      </c>
      <c r="AA1274" s="9">
        <v>24.28858708803979</v>
      </c>
      <c r="AB1274" s="9">
        <v>25.117335532005217</v>
      </c>
      <c r="AC1274" s="9">
        <v>25.117335532005217</v>
      </c>
      <c r="AD1274" s="9">
        <v>29.039116491286865</v>
      </c>
      <c r="AE1274" s="9">
        <v>31.219251037281825</v>
      </c>
      <c r="AF1274" s="9">
        <v>33.487682081707895</v>
      </c>
      <c r="AG1274" s="9">
        <v>33.487682081707895</v>
      </c>
      <c r="AH1274" s="9">
        <v>36.427668170967245</v>
      </c>
      <c r="AI1274" s="9">
        <v>38.74455996597662</v>
      </c>
      <c r="AJ1274" s="9">
        <v>3.0428788910505911</v>
      </c>
    </row>
    <row r="1275" spans="1:36" x14ac:dyDescent="0.25">
      <c r="A1275" t="s">
        <v>5411</v>
      </c>
      <c r="B1275" t="s">
        <v>16</v>
      </c>
      <c r="C1275" t="s">
        <v>17</v>
      </c>
      <c r="D1275">
        <v>36195000</v>
      </c>
      <c r="E1275">
        <v>36199999</v>
      </c>
      <c r="F1275" t="s">
        <v>1097</v>
      </c>
      <c r="G1275" t="str">
        <f t="shared" si="38"/>
        <v>MGI II</v>
      </c>
      <c r="H1275" t="s">
        <v>851</v>
      </c>
      <c r="I1275" t="s">
        <v>20</v>
      </c>
      <c r="J1275" t="s">
        <v>64</v>
      </c>
      <c r="K1275" s="6">
        <v>0.03</v>
      </c>
      <c r="L1275" s="7">
        <f t="shared" si="39"/>
        <v>2E-3</v>
      </c>
      <c r="M1275" s="7">
        <v>3.0000000000000001E-3</v>
      </c>
      <c r="N1275">
        <v>7</v>
      </c>
      <c r="O1275" s="8">
        <v>17.822306426995311</v>
      </c>
      <c r="P1275" s="9">
        <v>17.822306426995311</v>
      </c>
      <c r="Q1275" s="9">
        <v>17.822306426995311</v>
      </c>
      <c r="R1275" s="9">
        <v>18.237663306594719</v>
      </c>
      <c r="S1275" s="9">
        <v>18.48712920931133</v>
      </c>
      <c r="T1275" s="9">
        <v>19.201553596969877</v>
      </c>
      <c r="U1275" s="9">
        <v>20.562345482855957</v>
      </c>
      <c r="V1275" s="9">
        <v>20.562345482855957</v>
      </c>
      <c r="W1275" s="9">
        <v>20.562345482855957</v>
      </c>
      <c r="X1275" s="9">
        <v>22.391977691000818</v>
      </c>
      <c r="Y1275" s="9">
        <v>22.391977691000818</v>
      </c>
      <c r="Z1275" s="9">
        <v>24.28858708803979</v>
      </c>
      <c r="AA1275" s="9">
        <v>24.28858708803979</v>
      </c>
      <c r="AB1275" s="9">
        <v>25.117335532005217</v>
      </c>
      <c r="AC1275" s="9">
        <v>25.117335532005217</v>
      </c>
      <c r="AD1275" s="9">
        <v>29.039116491286865</v>
      </c>
      <c r="AE1275" s="9">
        <v>31.219251037281825</v>
      </c>
      <c r="AF1275" s="9">
        <v>33.487682081707895</v>
      </c>
      <c r="AG1275" s="9">
        <v>33.487682081707895</v>
      </c>
      <c r="AH1275" s="9">
        <v>36.427668170967245</v>
      </c>
      <c r="AI1275" s="9">
        <v>38.74455996597662</v>
      </c>
      <c r="AJ1275" s="9">
        <v>3.0428788910505911</v>
      </c>
    </row>
    <row r="1276" spans="1:36" x14ac:dyDescent="0.25">
      <c r="A1276" t="s">
        <v>5411</v>
      </c>
      <c r="B1276" t="s">
        <v>16</v>
      </c>
      <c r="C1276" t="s">
        <v>17</v>
      </c>
      <c r="D1276">
        <v>36200000</v>
      </c>
      <c r="E1276">
        <v>36209999</v>
      </c>
      <c r="F1276" t="s">
        <v>1098</v>
      </c>
      <c r="G1276" t="str">
        <f t="shared" si="38"/>
        <v>MGI II</v>
      </c>
      <c r="H1276" t="s">
        <v>851</v>
      </c>
      <c r="I1276" t="s">
        <v>20</v>
      </c>
      <c r="J1276" t="s">
        <v>64</v>
      </c>
      <c r="K1276" s="6">
        <v>0.03</v>
      </c>
      <c r="L1276" s="7">
        <f t="shared" si="39"/>
        <v>2E-3</v>
      </c>
      <c r="M1276" s="7">
        <v>3.0000000000000001E-3</v>
      </c>
      <c r="N1276">
        <v>6</v>
      </c>
      <c r="O1276" s="8">
        <v>17.822306426995311</v>
      </c>
      <c r="P1276" s="9">
        <v>17.822306426995311</v>
      </c>
      <c r="Q1276" s="9">
        <v>17.822306426995311</v>
      </c>
      <c r="R1276" s="9">
        <v>18.237663306594719</v>
      </c>
      <c r="S1276" s="9">
        <v>18.48712920931133</v>
      </c>
      <c r="T1276" s="9">
        <v>19.201553596969877</v>
      </c>
      <c r="U1276" s="9">
        <v>20.562345482855957</v>
      </c>
      <c r="V1276" s="9">
        <v>20.562345482855957</v>
      </c>
      <c r="W1276" s="9">
        <v>20.562345482855957</v>
      </c>
      <c r="X1276" s="9">
        <v>22.391977691000818</v>
      </c>
      <c r="Y1276" s="9">
        <v>22.391977691000818</v>
      </c>
      <c r="Z1276" s="9">
        <v>24.28858708803979</v>
      </c>
      <c r="AA1276" s="9">
        <v>24.28858708803979</v>
      </c>
      <c r="AB1276" s="9">
        <v>25.117335532005217</v>
      </c>
      <c r="AC1276" s="9">
        <v>25.117335532005217</v>
      </c>
      <c r="AD1276" s="9">
        <v>29.039116491286865</v>
      </c>
      <c r="AE1276" s="9">
        <v>31.219251037281825</v>
      </c>
      <c r="AF1276" s="9">
        <v>33.487682081707895</v>
      </c>
      <c r="AG1276" s="9">
        <v>33.487682081707895</v>
      </c>
      <c r="AH1276" s="9">
        <v>36.427668170967245</v>
      </c>
      <c r="AI1276" s="9">
        <v>38.74455996597662</v>
      </c>
      <c r="AJ1276" s="9">
        <v>3.0428788910505911</v>
      </c>
    </row>
    <row r="1277" spans="1:36" x14ac:dyDescent="0.25">
      <c r="A1277" t="s">
        <v>5411</v>
      </c>
      <c r="B1277" t="s">
        <v>16</v>
      </c>
      <c r="C1277" t="s">
        <v>17</v>
      </c>
      <c r="D1277">
        <v>36210000</v>
      </c>
      <c r="E1277">
        <v>36211999</v>
      </c>
      <c r="F1277" t="s">
        <v>1099</v>
      </c>
      <c r="G1277" t="str">
        <f t="shared" si="38"/>
        <v>MGI II</v>
      </c>
      <c r="H1277" t="s">
        <v>851</v>
      </c>
      <c r="I1277" t="s">
        <v>20</v>
      </c>
      <c r="J1277" t="s">
        <v>64</v>
      </c>
      <c r="K1277" s="6">
        <v>0.03</v>
      </c>
      <c r="L1277" s="7">
        <f t="shared" si="39"/>
        <v>2E-3</v>
      </c>
      <c r="M1277" s="7">
        <v>3.0000000000000001E-3</v>
      </c>
      <c r="N1277">
        <v>8</v>
      </c>
      <c r="O1277" s="8">
        <v>17.822306426995311</v>
      </c>
      <c r="P1277" s="9">
        <v>17.822306426995311</v>
      </c>
      <c r="Q1277" s="9">
        <v>17.822306426995311</v>
      </c>
      <c r="R1277" s="9">
        <v>18.237663306594719</v>
      </c>
      <c r="S1277" s="9">
        <v>18.48712920931133</v>
      </c>
      <c r="T1277" s="9">
        <v>19.201553596969877</v>
      </c>
      <c r="U1277" s="9">
        <v>20.562345482855957</v>
      </c>
      <c r="V1277" s="9">
        <v>20.562345482855957</v>
      </c>
      <c r="W1277" s="9">
        <v>20.562345482855957</v>
      </c>
      <c r="X1277" s="9">
        <v>22.391977691000818</v>
      </c>
      <c r="Y1277" s="9">
        <v>22.391977691000818</v>
      </c>
      <c r="Z1277" s="9">
        <v>24.28858708803979</v>
      </c>
      <c r="AA1277" s="9">
        <v>24.28858708803979</v>
      </c>
      <c r="AB1277" s="9">
        <v>25.117335532005217</v>
      </c>
      <c r="AC1277" s="9">
        <v>25.117335532005217</v>
      </c>
      <c r="AD1277" s="9">
        <v>29.039116491286865</v>
      </c>
      <c r="AE1277" s="9">
        <v>31.219251037281825</v>
      </c>
      <c r="AF1277" s="9">
        <v>33.487682081707895</v>
      </c>
      <c r="AG1277" s="9">
        <v>33.487682081707895</v>
      </c>
      <c r="AH1277" s="9">
        <v>36.427668170967245</v>
      </c>
      <c r="AI1277" s="9">
        <v>38.74455996597662</v>
      </c>
      <c r="AJ1277" s="9">
        <v>3.0428788910505911</v>
      </c>
    </row>
    <row r="1278" spans="1:36" x14ac:dyDescent="0.25">
      <c r="A1278" t="s">
        <v>5411</v>
      </c>
      <c r="B1278" t="s">
        <v>16</v>
      </c>
      <c r="C1278" t="s">
        <v>17</v>
      </c>
      <c r="D1278">
        <v>36212000</v>
      </c>
      <c r="E1278">
        <v>36212999</v>
      </c>
      <c r="F1278" t="s">
        <v>1100</v>
      </c>
      <c r="G1278" t="str">
        <f t="shared" si="38"/>
        <v>MGI</v>
      </c>
      <c r="H1278" t="s">
        <v>851</v>
      </c>
      <c r="I1278" t="s">
        <v>20</v>
      </c>
      <c r="J1278" t="s">
        <v>62</v>
      </c>
      <c r="K1278" s="6">
        <v>0.03</v>
      </c>
      <c r="L1278" s="7">
        <f t="shared" si="39"/>
        <v>2E-3</v>
      </c>
      <c r="M1278" s="7">
        <v>3.0000000000000001E-3</v>
      </c>
      <c r="N1278">
        <v>7</v>
      </c>
      <c r="O1278" s="8">
        <v>13.880385281502075</v>
      </c>
      <c r="P1278" s="9">
        <v>13.880385281502075</v>
      </c>
      <c r="Q1278" s="9">
        <v>13.880385281502075</v>
      </c>
      <c r="R1278" s="9">
        <v>14.045989937445718</v>
      </c>
      <c r="S1278" s="9">
        <v>14.060876315369912</v>
      </c>
      <c r="T1278" s="9">
        <v>15.090338571208333</v>
      </c>
      <c r="U1278" s="9">
        <v>16.025407313902726</v>
      </c>
      <c r="V1278" s="9">
        <v>16.025407313902726</v>
      </c>
      <c r="W1278" s="9">
        <v>16.025407313902726</v>
      </c>
      <c r="X1278" s="9">
        <v>18.013895748167766</v>
      </c>
      <c r="Y1278" s="9">
        <v>18.013895748167766</v>
      </c>
      <c r="Z1278" s="9">
        <v>20.142868501532355</v>
      </c>
      <c r="AA1278" s="9">
        <v>20.142868501532355</v>
      </c>
      <c r="AB1278" s="9">
        <v>22.456349831314476</v>
      </c>
      <c r="AC1278" s="9">
        <v>22.456349831314476</v>
      </c>
      <c r="AD1278" s="9">
        <v>24.87984091164185</v>
      </c>
      <c r="AE1278" s="9">
        <v>27.427492221952345</v>
      </c>
      <c r="AF1278" s="9">
        <v>33.194804868730657</v>
      </c>
      <c r="AG1278" s="9">
        <v>33.194804868730657</v>
      </c>
      <c r="AH1278" s="9">
        <v>35.957808835828068</v>
      </c>
      <c r="AI1278" s="9">
        <v>38.646304092692077</v>
      </c>
      <c r="AJ1278" s="9">
        <v>3.0428788910505911</v>
      </c>
    </row>
    <row r="1279" spans="1:36" x14ac:dyDescent="0.25">
      <c r="A1279" t="s">
        <v>5411</v>
      </c>
      <c r="B1279" t="s">
        <v>16</v>
      </c>
      <c r="C1279" t="s">
        <v>17</v>
      </c>
      <c r="D1279">
        <v>36213000</v>
      </c>
      <c r="E1279">
        <v>36214999</v>
      </c>
      <c r="F1279" t="s">
        <v>1101</v>
      </c>
      <c r="G1279" t="str">
        <f t="shared" si="38"/>
        <v>MGI II</v>
      </c>
      <c r="H1279" t="s">
        <v>851</v>
      </c>
      <c r="I1279" t="s">
        <v>20</v>
      </c>
      <c r="J1279" t="s">
        <v>64</v>
      </c>
      <c r="K1279" s="6">
        <v>0.03</v>
      </c>
      <c r="L1279" s="7">
        <f t="shared" si="39"/>
        <v>2E-3</v>
      </c>
      <c r="M1279" s="7">
        <v>3.0000000000000001E-3</v>
      </c>
      <c r="N1279">
        <v>7</v>
      </c>
      <c r="O1279" s="8">
        <v>17.822306426995311</v>
      </c>
      <c r="P1279" s="9">
        <v>17.822306426995311</v>
      </c>
      <c r="Q1279" s="9">
        <v>17.822306426995311</v>
      </c>
      <c r="R1279" s="9">
        <v>18.237663306594719</v>
      </c>
      <c r="S1279" s="9">
        <v>18.48712920931133</v>
      </c>
      <c r="T1279" s="9">
        <v>19.201553596969877</v>
      </c>
      <c r="U1279" s="9">
        <v>20.562345482855957</v>
      </c>
      <c r="V1279" s="9">
        <v>20.562345482855957</v>
      </c>
      <c r="W1279" s="9">
        <v>20.562345482855957</v>
      </c>
      <c r="X1279" s="9">
        <v>22.391977691000818</v>
      </c>
      <c r="Y1279" s="9">
        <v>22.391977691000818</v>
      </c>
      <c r="Z1279" s="9">
        <v>24.28858708803979</v>
      </c>
      <c r="AA1279" s="9">
        <v>24.28858708803979</v>
      </c>
      <c r="AB1279" s="9">
        <v>25.117335532005217</v>
      </c>
      <c r="AC1279" s="9">
        <v>25.117335532005217</v>
      </c>
      <c r="AD1279" s="9">
        <v>29.039116491286865</v>
      </c>
      <c r="AE1279" s="9">
        <v>31.219251037281825</v>
      </c>
      <c r="AF1279" s="9">
        <v>33.487682081707895</v>
      </c>
      <c r="AG1279" s="9">
        <v>33.487682081707895</v>
      </c>
      <c r="AH1279" s="9">
        <v>36.427668170967245</v>
      </c>
      <c r="AI1279" s="9">
        <v>38.74455996597662</v>
      </c>
      <c r="AJ1279" s="9">
        <v>3.0428788910505911</v>
      </c>
    </row>
    <row r="1280" spans="1:36" x14ac:dyDescent="0.25">
      <c r="A1280" t="s">
        <v>5411</v>
      </c>
      <c r="B1280" t="s">
        <v>16</v>
      </c>
      <c r="C1280" t="s">
        <v>17</v>
      </c>
      <c r="D1280">
        <v>36215000</v>
      </c>
      <c r="E1280">
        <v>36219999</v>
      </c>
      <c r="F1280" t="s">
        <v>1102</v>
      </c>
      <c r="G1280" t="str">
        <f t="shared" si="38"/>
        <v>MGI II</v>
      </c>
      <c r="H1280" t="s">
        <v>851</v>
      </c>
      <c r="I1280" t="s">
        <v>20</v>
      </c>
      <c r="J1280" t="s">
        <v>64</v>
      </c>
      <c r="K1280" s="6">
        <v>0.03</v>
      </c>
      <c r="L1280" s="7">
        <f t="shared" si="39"/>
        <v>2E-3</v>
      </c>
      <c r="M1280" s="7">
        <v>3.0000000000000001E-3</v>
      </c>
      <c r="N1280">
        <v>7</v>
      </c>
      <c r="O1280" s="8">
        <v>17.822306426995311</v>
      </c>
      <c r="P1280" s="9">
        <v>17.822306426995311</v>
      </c>
      <c r="Q1280" s="9">
        <v>17.822306426995311</v>
      </c>
      <c r="R1280" s="9">
        <v>18.237663306594719</v>
      </c>
      <c r="S1280" s="9">
        <v>18.48712920931133</v>
      </c>
      <c r="T1280" s="9">
        <v>19.201553596969877</v>
      </c>
      <c r="U1280" s="9">
        <v>20.562345482855957</v>
      </c>
      <c r="V1280" s="9">
        <v>20.562345482855957</v>
      </c>
      <c r="W1280" s="9">
        <v>20.562345482855957</v>
      </c>
      <c r="X1280" s="9">
        <v>22.391977691000818</v>
      </c>
      <c r="Y1280" s="9">
        <v>22.391977691000818</v>
      </c>
      <c r="Z1280" s="9">
        <v>24.28858708803979</v>
      </c>
      <c r="AA1280" s="9">
        <v>24.28858708803979</v>
      </c>
      <c r="AB1280" s="9">
        <v>25.117335532005217</v>
      </c>
      <c r="AC1280" s="9">
        <v>25.117335532005217</v>
      </c>
      <c r="AD1280" s="9">
        <v>29.039116491286865</v>
      </c>
      <c r="AE1280" s="9">
        <v>31.219251037281825</v>
      </c>
      <c r="AF1280" s="9">
        <v>33.487682081707895</v>
      </c>
      <c r="AG1280" s="9">
        <v>33.487682081707895</v>
      </c>
      <c r="AH1280" s="9">
        <v>36.427668170967245</v>
      </c>
      <c r="AI1280" s="9">
        <v>38.74455996597662</v>
      </c>
      <c r="AJ1280" s="9">
        <v>3.0428788910505911</v>
      </c>
    </row>
    <row r="1281" spans="1:36" x14ac:dyDescent="0.25">
      <c r="A1281" t="s">
        <v>5411</v>
      </c>
      <c r="B1281" t="s">
        <v>16</v>
      </c>
      <c r="C1281" t="s">
        <v>17</v>
      </c>
      <c r="D1281">
        <v>36220000</v>
      </c>
      <c r="E1281">
        <v>36224999</v>
      </c>
      <c r="F1281" t="s">
        <v>1103</v>
      </c>
      <c r="G1281" t="str">
        <f t="shared" si="38"/>
        <v>MGI II</v>
      </c>
      <c r="H1281" t="s">
        <v>851</v>
      </c>
      <c r="I1281" t="s">
        <v>20</v>
      </c>
      <c r="J1281" t="s">
        <v>64</v>
      </c>
      <c r="K1281" s="6">
        <v>0.03</v>
      </c>
      <c r="L1281" s="7">
        <f t="shared" si="39"/>
        <v>2E-3</v>
      </c>
      <c r="M1281" s="7">
        <v>3.0000000000000001E-3</v>
      </c>
      <c r="N1281">
        <v>7</v>
      </c>
      <c r="O1281" s="8">
        <v>17.822306426995311</v>
      </c>
      <c r="P1281" s="9">
        <v>17.822306426995311</v>
      </c>
      <c r="Q1281" s="9">
        <v>17.822306426995311</v>
      </c>
      <c r="R1281" s="9">
        <v>18.237663306594719</v>
      </c>
      <c r="S1281" s="9">
        <v>18.48712920931133</v>
      </c>
      <c r="T1281" s="9">
        <v>19.201553596969877</v>
      </c>
      <c r="U1281" s="9">
        <v>20.562345482855957</v>
      </c>
      <c r="V1281" s="9">
        <v>20.562345482855957</v>
      </c>
      <c r="W1281" s="9">
        <v>20.562345482855957</v>
      </c>
      <c r="X1281" s="9">
        <v>22.391977691000818</v>
      </c>
      <c r="Y1281" s="9">
        <v>22.391977691000818</v>
      </c>
      <c r="Z1281" s="9">
        <v>24.28858708803979</v>
      </c>
      <c r="AA1281" s="9">
        <v>24.28858708803979</v>
      </c>
      <c r="AB1281" s="9">
        <v>25.117335532005217</v>
      </c>
      <c r="AC1281" s="9">
        <v>25.117335532005217</v>
      </c>
      <c r="AD1281" s="9">
        <v>29.039116491286865</v>
      </c>
      <c r="AE1281" s="9">
        <v>31.219251037281825</v>
      </c>
      <c r="AF1281" s="9">
        <v>33.487682081707895</v>
      </c>
      <c r="AG1281" s="9">
        <v>33.487682081707895</v>
      </c>
      <c r="AH1281" s="9">
        <v>36.427668170967245</v>
      </c>
      <c r="AI1281" s="9">
        <v>38.74455996597662</v>
      </c>
      <c r="AJ1281" s="9">
        <v>3.0428788910505911</v>
      </c>
    </row>
    <row r="1282" spans="1:36" x14ac:dyDescent="0.25">
      <c r="A1282" t="s">
        <v>5411</v>
      </c>
      <c r="B1282" t="s">
        <v>16</v>
      </c>
      <c r="C1282" t="s">
        <v>17</v>
      </c>
      <c r="D1282">
        <v>36225000</v>
      </c>
      <c r="E1282">
        <v>36226999</v>
      </c>
      <c r="F1282" t="s">
        <v>1104</v>
      </c>
      <c r="G1282" t="str">
        <f t="shared" si="38"/>
        <v>MGI II</v>
      </c>
      <c r="H1282" t="s">
        <v>851</v>
      </c>
      <c r="I1282" t="s">
        <v>20</v>
      </c>
      <c r="J1282" t="s">
        <v>64</v>
      </c>
      <c r="K1282" s="6">
        <v>0.03</v>
      </c>
      <c r="L1282" s="7">
        <f t="shared" si="39"/>
        <v>2E-3</v>
      </c>
      <c r="M1282" s="7">
        <v>3.0000000000000001E-3</v>
      </c>
      <c r="N1282">
        <v>7</v>
      </c>
      <c r="O1282" s="8">
        <v>17.822306426995311</v>
      </c>
      <c r="P1282" s="9">
        <v>17.822306426995311</v>
      </c>
      <c r="Q1282" s="9">
        <v>17.822306426995311</v>
      </c>
      <c r="R1282" s="9">
        <v>18.237663306594719</v>
      </c>
      <c r="S1282" s="9">
        <v>18.48712920931133</v>
      </c>
      <c r="T1282" s="9">
        <v>19.201553596969877</v>
      </c>
      <c r="U1282" s="9">
        <v>20.562345482855957</v>
      </c>
      <c r="V1282" s="9">
        <v>20.562345482855957</v>
      </c>
      <c r="W1282" s="9">
        <v>20.562345482855957</v>
      </c>
      <c r="X1282" s="9">
        <v>22.391977691000818</v>
      </c>
      <c r="Y1282" s="9">
        <v>22.391977691000818</v>
      </c>
      <c r="Z1282" s="9">
        <v>24.28858708803979</v>
      </c>
      <c r="AA1282" s="9">
        <v>24.28858708803979</v>
      </c>
      <c r="AB1282" s="9">
        <v>25.117335532005217</v>
      </c>
      <c r="AC1282" s="9">
        <v>25.117335532005217</v>
      </c>
      <c r="AD1282" s="9">
        <v>29.039116491286865</v>
      </c>
      <c r="AE1282" s="9">
        <v>31.219251037281825</v>
      </c>
      <c r="AF1282" s="9">
        <v>33.487682081707895</v>
      </c>
      <c r="AG1282" s="9">
        <v>33.487682081707895</v>
      </c>
      <c r="AH1282" s="9">
        <v>36.427668170967245</v>
      </c>
      <c r="AI1282" s="9">
        <v>38.74455996597662</v>
      </c>
      <c r="AJ1282" s="9">
        <v>3.0428788910505911</v>
      </c>
    </row>
    <row r="1283" spans="1:36" x14ac:dyDescent="0.25">
      <c r="A1283" t="s">
        <v>5411</v>
      </c>
      <c r="B1283" t="s">
        <v>16</v>
      </c>
      <c r="C1283" t="s">
        <v>17</v>
      </c>
      <c r="D1283">
        <v>36227000</v>
      </c>
      <c r="E1283">
        <v>36229999</v>
      </c>
      <c r="F1283" t="s">
        <v>1105</v>
      </c>
      <c r="G1283" t="str">
        <f t="shared" si="38"/>
        <v>MGI II</v>
      </c>
      <c r="H1283" t="s">
        <v>851</v>
      </c>
      <c r="I1283" t="s">
        <v>20</v>
      </c>
      <c r="J1283" t="s">
        <v>64</v>
      </c>
      <c r="K1283" s="6">
        <v>0.03</v>
      </c>
      <c r="L1283" s="7">
        <f t="shared" si="39"/>
        <v>2E-3</v>
      </c>
      <c r="M1283" s="7">
        <v>3.0000000000000001E-3</v>
      </c>
      <c r="N1283">
        <v>8</v>
      </c>
      <c r="O1283" s="8">
        <v>17.822306426995311</v>
      </c>
      <c r="P1283" s="9">
        <v>17.822306426995311</v>
      </c>
      <c r="Q1283" s="9">
        <v>17.822306426995311</v>
      </c>
      <c r="R1283" s="9">
        <v>18.237663306594719</v>
      </c>
      <c r="S1283" s="9">
        <v>18.48712920931133</v>
      </c>
      <c r="T1283" s="9">
        <v>19.201553596969877</v>
      </c>
      <c r="U1283" s="9">
        <v>20.562345482855957</v>
      </c>
      <c r="V1283" s="9">
        <v>20.562345482855957</v>
      </c>
      <c r="W1283" s="9">
        <v>20.562345482855957</v>
      </c>
      <c r="X1283" s="9">
        <v>22.391977691000818</v>
      </c>
      <c r="Y1283" s="9">
        <v>22.391977691000818</v>
      </c>
      <c r="Z1283" s="9">
        <v>24.28858708803979</v>
      </c>
      <c r="AA1283" s="9">
        <v>24.28858708803979</v>
      </c>
      <c r="AB1283" s="9">
        <v>25.117335532005217</v>
      </c>
      <c r="AC1283" s="9">
        <v>25.117335532005217</v>
      </c>
      <c r="AD1283" s="9">
        <v>29.039116491286865</v>
      </c>
      <c r="AE1283" s="9">
        <v>31.219251037281825</v>
      </c>
      <c r="AF1283" s="9">
        <v>33.487682081707895</v>
      </c>
      <c r="AG1283" s="9">
        <v>33.487682081707895</v>
      </c>
      <c r="AH1283" s="9">
        <v>36.427668170967245</v>
      </c>
      <c r="AI1283" s="9">
        <v>38.74455996597662</v>
      </c>
      <c r="AJ1283" s="9">
        <v>3.0428788910505911</v>
      </c>
    </row>
    <row r="1284" spans="1:36" x14ac:dyDescent="0.25">
      <c r="A1284" t="s">
        <v>5411</v>
      </c>
      <c r="B1284" t="s">
        <v>16</v>
      </c>
      <c r="C1284" t="s">
        <v>17</v>
      </c>
      <c r="D1284">
        <v>36230000</v>
      </c>
      <c r="E1284">
        <v>36234999</v>
      </c>
      <c r="F1284" t="s">
        <v>1106</v>
      </c>
      <c r="G1284" t="str">
        <f t="shared" ref="G1284:G1347" si="40">H1284&amp;IF(J1284="CAPITAL","C",IF(J1284="INTERIOR","I",IF(J1284="INTERIOR II","I II","R")))</f>
        <v>MGI II</v>
      </c>
      <c r="H1284" t="s">
        <v>851</v>
      </c>
      <c r="I1284" t="s">
        <v>20</v>
      </c>
      <c r="J1284" t="s">
        <v>64</v>
      </c>
      <c r="K1284" s="6">
        <v>0.03</v>
      </c>
      <c r="L1284" s="7">
        <f t="shared" ref="L1284:L1347" si="41">IF(I1284="(0) Não",0.2%,3%)</f>
        <v>2E-3</v>
      </c>
      <c r="M1284" s="7">
        <v>3.0000000000000001E-3</v>
      </c>
      <c r="N1284">
        <v>7</v>
      </c>
      <c r="O1284" s="8">
        <v>17.822306426995311</v>
      </c>
      <c r="P1284" s="9">
        <v>17.822306426995311</v>
      </c>
      <c r="Q1284" s="9">
        <v>17.822306426995311</v>
      </c>
      <c r="R1284" s="9">
        <v>18.237663306594719</v>
      </c>
      <c r="S1284" s="9">
        <v>18.48712920931133</v>
      </c>
      <c r="T1284" s="9">
        <v>19.201553596969877</v>
      </c>
      <c r="U1284" s="9">
        <v>20.562345482855957</v>
      </c>
      <c r="V1284" s="9">
        <v>20.562345482855957</v>
      </c>
      <c r="W1284" s="9">
        <v>20.562345482855957</v>
      </c>
      <c r="X1284" s="9">
        <v>22.391977691000818</v>
      </c>
      <c r="Y1284" s="9">
        <v>22.391977691000818</v>
      </c>
      <c r="Z1284" s="9">
        <v>24.28858708803979</v>
      </c>
      <c r="AA1284" s="9">
        <v>24.28858708803979</v>
      </c>
      <c r="AB1284" s="9">
        <v>25.117335532005217</v>
      </c>
      <c r="AC1284" s="9">
        <v>25.117335532005217</v>
      </c>
      <c r="AD1284" s="9">
        <v>29.039116491286865</v>
      </c>
      <c r="AE1284" s="9">
        <v>31.219251037281825</v>
      </c>
      <c r="AF1284" s="9">
        <v>33.487682081707895</v>
      </c>
      <c r="AG1284" s="9">
        <v>33.487682081707895</v>
      </c>
      <c r="AH1284" s="9">
        <v>36.427668170967245</v>
      </c>
      <c r="AI1284" s="9">
        <v>38.74455996597662</v>
      </c>
      <c r="AJ1284" s="9">
        <v>3.0428788910505911</v>
      </c>
    </row>
    <row r="1285" spans="1:36" x14ac:dyDescent="0.25">
      <c r="A1285" t="s">
        <v>5411</v>
      </c>
      <c r="B1285" t="s">
        <v>16</v>
      </c>
      <c r="C1285" t="s">
        <v>17</v>
      </c>
      <c r="D1285">
        <v>36235000</v>
      </c>
      <c r="E1285">
        <v>36239999</v>
      </c>
      <c r="F1285" t="s">
        <v>1107</v>
      </c>
      <c r="G1285" t="str">
        <f t="shared" si="40"/>
        <v>MGI II</v>
      </c>
      <c r="H1285" t="s">
        <v>851</v>
      </c>
      <c r="I1285" t="s">
        <v>20</v>
      </c>
      <c r="J1285" t="s">
        <v>64</v>
      </c>
      <c r="K1285" s="6">
        <v>0.03</v>
      </c>
      <c r="L1285" s="7">
        <f t="shared" si="41"/>
        <v>2E-3</v>
      </c>
      <c r="M1285" s="7">
        <v>3.0000000000000001E-3</v>
      </c>
      <c r="N1285">
        <v>7</v>
      </c>
      <c r="O1285" s="8">
        <v>17.822306426995311</v>
      </c>
      <c r="P1285" s="9">
        <v>17.822306426995311</v>
      </c>
      <c r="Q1285" s="9">
        <v>17.822306426995311</v>
      </c>
      <c r="R1285" s="9">
        <v>18.237663306594719</v>
      </c>
      <c r="S1285" s="9">
        <v>18.48712920931133</v>
      </c>
      <c r="T1285" s="9">
        <v>19.201553596969877</v>
      </c>
      <c r="U1285" s="9">
        <v>20.562345482855957</v>
      </c>
      <c r="V1285" s="9">
        <v>20.562345482855957</v>
      </c>
      <c r="W1285" s="9">
        <v>20.562345482855957</v>
      </c>
      <c r="X1285" s="9">
        <v>22.391977691000818</v>
      </c>
      <c r="Y1285" s="9">
        <v>22.391977691000818</v>
      </c>
      <c r="Z1285" s="9">
        <v>24.28858708803979</v>
      </c>
      <c r="AA1285" s="9">
        <v>24.28858708803979</v>
      </c>
      <c r="AB1285" s="9">
        <v>25.117335532005217</v>
      </c>
      <c r="AC1285" s="9">
        <v>25.117335532005217</v>
      </c>
      <c r="AD1285" s="9">
        <v>29.039116491286865</v>
      </c>
      <c r="AE1285" s="9">
        <v>31.219251037281825</v>
      </c>
      <c r="AF1285" s="9">
        <v>33.487682081707895</v>
      </c>
      <c r="AG1285" s="9">
        <v>33.487682081707895</v>
      </c>
      <c r="AH1285" s="9">
        <v>36.427668170967245</v>
      </c>
      <c r="AI1285" s="9">
        <v>38.74455996597662</v>
      </c>
      <c r="AJ1285" s="9">
        <v>3.0428788910505911</v>
      </c>
    </row>
    <row r="1286" spans="1:36" x14ac:dyDescent="0.25">
      <c r="A1286" t="s">
        <v>5411</v>
      </c>
      <c r="B1286" t="s">
        <v>16</v>
      </c>
      <c r="C1286" t="s">
        <v>17</v>
      </c>
      <c r="D1286">
        <v>36240000</v>
      </c>
      <c r="E1286">
        <v>36249999</v>
      </c>
      <c r="F1286" t="s">
        <v>1108</v>
      </c>
      <c r="G1286" t="str">
        <f t="shared" si="40"/>
        <v>MGI II</v>
      </c>
      <c r="H1286" t="s">
        <v>851</v>
      </c>
      <c r="I1286" t="s">
        <v>20</v>
      </c>
      <c r="J1286" t="s">
        <v>64</v>
      </c>
      <c r="K1286" s="6">
        <v>0.03</v>
      </c>
      <c r="L1286" s="7">
        <f t="shared" si="41"/>
        <v>2E-3</v>
      </c>
      <c r="M1286" s="7">
        <v>3.0000000000000001E-3</v>
      </c>
      <c r="N1286">
        <v>7</v>
      </c>
      <c r="O1286" s="8">
        <v>17.822306426995311</v>
      </c>
      <c r="P1286" s="9">
        <v>17.822306426995311</v>
      </c>
      <c r="Q1286" s="9">
        <v>17.822306426995311</v>
      </c>
      <c r="R1286" s="9">
        <v>18.237663306594719</v>
      </c>
      <c r="S1286" s="9">
        <v>18.48712920931133</v>
      </c>
      <c r="T1286" s="9">
        <v>19.201553596969877</v>
      </c>
      <c r="U1286" s="9">
        <v>20.562345482855957</v>
      </c>
      <c r="V1286" s="9">
        <v>20.562345482855957</v>
      </c>
      <c r="W1286" s="9">
        <v>20.562345482855957</v>
      </c>
      <c r="X1286" s="9">
        <v>22.391977691000818</v>
      </c>
      <c r="Y1286" s="9">
        <v>22.391977691000818</v>
      </c>
      <c r="Z1286" s="9">
        <v>24.28858708803979</v>
      </c>
      <c r="AA1286" s="9">
        <v>24.28858708803979</v>
      </c>
      <c r="AB1286" s="9">
        <v>25.117335532005217</v>
      </c>
      <c r="AC1286" s="9">
        <v>25.117335532005217</v>
      </c>
      <c r="AD1286" s="9">
        <v>29.039116491286865</v>
      </c>
      <c r="AE1286" s="9">
        <v>31.219251037281825</v>
      </c>
      <c r="AF1286" s="9">
        <v>33.487682081707895</v>
      </c>
      <c r="AG1286" s="9">
        <v>33.487682081707895</v>
      </c>
      <c r="AH1286" s="9">
        <v>36.427668170967245</v>
      </c>
      <c r="AI1286" s="9">
        <v>38.74455996597662</v>
      </c>
      <c r="AJ1286" s="9">
        <v>3.0428788910505911</v>
      </c>
    </row>
    <row r="1287" spans="1:36" x14ac:dyDescent="0.25">
      <c r="A1287" t="s">
        <v>5411</v>
      </c>
      <c r="B1287" t="s">
        <v>16</v>
      </c>
      <c r="C1287" t="s">
        <v>17</v>
      </c>
      <c r="D1287">
        <v>36250000</v>
      </c>
      <c r="E1287">
        <v>36254999</v>
      </c>
      <c r="F1287" t="s">
        <v>1109</v>
      </c>
      <c r="G1287" t="str">
        <f t="shared" si="40"/>
        <v>MGI II</v>
      </c>
      <c r="H1287" t="s">
        <v>851</v>
      </c>
      <c r="I1287" t="s">
        <v>20</v>
      </c>
      <c r="J1287" t="s">
        <v>64</v>
      </c>
      <c r="K1287" s="6">
        <v>0.03</v>
      </c>
      <c r="L1287" s="7">
        <f t="shared" si="41"/>
        <v>2E-3</v>
      </c>
      <c r="M1287" s="7">
        <v>3.0000000000000001E-3</v>
      </c>
      <c r="N1287">
        <v>7</v>
      </c>
      <c r="O1287" s="8">
        <v>17.822306426995311</v>
      </c>
      <c r="P1287" s="9">
        <v>17.822306426995311</v>
      </c>
      <c r="Q1287" s="9">
        <v>17.822306426995311</v>
      </c>
      <c r="R1287" s="9">
        <v>18.237663306594719</v>
      </c>
      <c r="S1287" s="9">
        <v>18.48712920931133</v>
      </c>
      <c r="T1287" s="9">
        <v>19.201553596969877</v>
      </c>
      <c r="U1287" s="9">
        <v>20.562345482855957</v>
      </c>
      <c r="V1287" s="9">
        <v>20.562345482855957</v>
      </c>
      <c r="W1287" s="9">
        <v>20.562345482855957</v>
      </c>
      <c r="X1287" s="9">
        <v>22.391977691000818</v>
      </c>
      <c r="Y1287" s="9">
        <v>22.391977691000818</v>
      </c>
      <c r="Z1287" s="9">
        <v>24.28858708803979</v>
      </c>
      <c r="AA1287" s="9">
        <v>24.28858708803979</v>
      </c>
      <c r="AB1287" s="9">
        <v>25.117335532005217</v>
      </c>
      <c r="AC1287" s="9">
        <v>25.117335532005217</v>
      </c>
      <c r="AD1287" s="9">
        <v>29.039116491286865</v>
      </c>
      <c r="AE1287" s="9">
        <v>31.219251037281825</v>
      </c>
      <c r="AF1287" s="9">
        <v>33.487682081707895</v>
      </c>
      <c r="AG1287" s="9">
        <v>33.487682081707895</v>
      </c>
      <c r="AH1287" s="9">
        <v>36.427668170967245</v>
      </c>
      <c r="AI1287" s="9">
        <v>38.74455996597662</v>
      </c>
      <c r="AJ1287" s="9">
        <v>3.0428788910505911</v>
      </c>
    </row>
    <row r="1288" spans="1:36" x14ac:dyDescent="0.25">
      <c r="A1288" t="s">
        <v>5411</v>
      </c>
      <c r="B1288" t="s">
        <v>16</v>
      </c>
      <c r="C1288" t="s">
        <v>17</v>
      </c>
      <c r="D1288">
        <v>36255000</v>
      </c>
      <c r="E1288">
        <v>36259999</v>
      </c>
      <c r="F1288" t="s">
        <v>1110</v>
      </c>
      <c r="G1288" t="str">
        <f t="shared" si="40"/>
        <v>MGI II</v>
      </c>
      <c r="H1288" t="s">
        <v>851</v>
      </c>
      <c r="I1288" t="s">
        <v>20</v>
      </c>
      <c r="J1288" t="s">
        <v>64</v>
      </c>
      <c r="K1288" s="6">
        <v>0.03</v>
      </c>
      <c r="L1288" s="7">
        <f t="shared" si="41"/>
        <v>2E-3</v>
      </c>
      <c r="M1288" s="7">
        <v>3.0000000000000001E-3</v>
      </c>
      <c r="N1288">
        <v>7</v>
      </c>
      <c r="O1288" s="8">
        <v>17.822306426995311</v>
      </c>
      <c r="P1288" s="9">
        <v>17.822306426995311</v>
      </c>
      <c r="Q1288" s="9">
        <v>17.822306426995311</v>
      </c>
      <c r="R1288" s="9">
        <v>18.237663306594719</v>
      </c>
      <c r="S1288" s="9">
        <v>18.48712920931133</v>
      </c>
      <c r="T1288" s="9">
        <v>19.201553596969877</v>
      </c>
      <c r="U1288" s="9">
        <v>20.562345482855957</v>
      </c>
      <c r="V1288" s="9">
        <v>20.562345482855957</v>
      </c>
      <c r="W1288" s="9">
        <v>20.562345482855957</v>
      </c>
      <c r="X1288" s="9">
        <v>22.391977691000818</v>
      </c>
      <c r="Y1288" s="9">
        <v>22.391977691000818</v>
      </c>
      <c r="Z1288" s="9">
        <v>24.28858708803979</v>
      </c>
      <c r="AA1288" s="9">
        <v>24.28858708803979</v>
      </c>
      <c r="AB1288" s="9">
        <v>25.117335532005217</v>
      </c>
      <c r="AC1288" s="9">
        <v>25.117335532005217</v>
      </c>
      <c r="AD1288" s="9">
        <v>29.039116491286865</v>
      </c>
      <c r="AE1288" s="9">
        <v>31.219251037281825</v>
      </c>
      <c r="AF1288" s="9">
        <v>33.487682081707895</v>
      </c>
      <c r="AG1288" s="9">
        <v>33.487682081707895</v>
      </c>
      <c r="AH1288" s="9">
        <v>36.427668170967245</v>
      </c>
      <c r="AI1288" s="9">
        <v>38.74455996597662</v>
      </c>
      <c r="AJ1288" s="9">
        <v>3.0428788910505911</v>
      </c>
    </row>
    <row r="1289" spans="1:36" x14ac:dyDescent="0.25">
      <c r="A1289" t="s">
        <v>5411</v>
      </c>
      <c r="B1289" t="s">
        <v>16</v>
      </c>
      <c r="C1289" t="s">
        <v>17</v>
      </c>
      <c r="D1289">
        <v>36260000</v>
      </c>
      <c r="E1289">
        <v>36264999</v>
      </c>
      <c r="F1289" t="s">
        <v>1111</v>
      </c>
      <c r="G1289" t="str">
        <f t="shared" si="40"/>
        <v>MGI II</v>
      </c>
      <c r="H1289" t="s">
        <v>851</v>
      </c>
      <c r="I1289" t="s">
        <v>20</v>
      </c>
      <c r="J1289" t="s">
        <v>64</v>
      </c>
      <c r="K1289" s="6">
        <v>0.03</v>
      </c>
      <c r="L1289" s="7">
        <f t="shared" si="41"/>
        <v>2E-3</v>
      </c>
      <c r="M1289" s="7">
        <v>3.0000000000000001E-3</v>
      </c>
      <c r="N1289">
        <v>8</v>
      </c>
      <c r="O1289" s="8">
        <v>17.822306426995311</v>
      </c>
      <c r="P1289" s="9">
        <v>17.822306426995311</v>
      </c>
      <c r="Q1289" s="9">
        <v>17.822306426995311</v>
      </c>
      <c r="R1289" s="9">
        <v>18.237663306594719</v>
      </c>
      <c r="S1289" s="9">
        <v>18.48712920931133</v>
      </c>
      <c r="T1289" s="9">
        <v>19.201553596969877</v>
      </c>
      <c r="U1289" s="9">
        <v>20.562345482855957</v>
      </c>
      <c r="V1289" s="9">
        <v>20.562345482855957</v>
      </c>
      <c r="W1289" s="9">
        <v>20.562345482855957</v>
      </c>
      <c r="X1289" s="9">
        <v>22.391977691000818</v>
      </c>
      <c r="Y1289" s="9">
        <v>22.391977691000818</v>
      </c>
      <c r="Z1289" s="9">
        <v>24.28858708803979</v>
      </c>
      <c r="AA1289" s="9">
        <v>24.28858708803979</v>
      </c>
      <c r="AB1289" s="9">
        <v>25.117335532005217</v>
      </c>
      <c r="AC1289" s="9">
        <v>25.117335532005217</v>
      </c>
      <c r="AD1289" s="9">
        <v>29.039116491286865</v>
      </c>
      <c r="AE1289" s="9">
        <v>31.219251037281825</v>
      </c>
      <c r="AF1289" s="9">
        <v>33.487682081707895</v>
      </c>
      <c r="AG1289" s="9">
        <v>33.487682081707895</v>
      </c>
      <c r="AH1289" s="9">
        <v>36.427668170967245</v>
      </c>
      <c r="AI1289" s="9">
        <v>38.74455996597662</v>
      </c>
      <c r="AJ1289" s="9">
        <v>3.0428788910505911</v>
      </c>
    </row>
    <row r="1290" spans="1:36" x14ac:dyDescent="0.25">
      <c r="A1290" t="s">
        <v>5411</v>
      </c>
      <c r="B1290" t="s">
        <v>16</v>
      </c>
      <c r="C1290" t="s">
        <v>17</v>
      </c>
      <c r="D1290">
        <v>36265000</v>
      </c>
      <c r="E1290">
        <v>36269999</v>
      </c>
      <c r="F1290" t="s">
        <v>1112</v>
      </c>
      <c r="G1290" t="str">
        <f t="shared" si="40"/>
        <v>MGI II</v>
      </c>
      <c r="H1290" t="s">
        <v>851</v>
      </c>
      <c r="I1290" t="s">
        <v>20</v>
      </c>
      <c r="J1290" t="s">
        <v>64</v>
      </c>
      <c r="K1290" s="6">
        <v>0.03</v>
      </c>
      <c r="L1290" s="7">
        <f t="shared" si="41"/>
        <v>2E-3</v>
      </c>
      <c r="M1290" s="7">
        <v>3.0000000000000001E-3</v>
      </c>
      <c r="N1290">
        <v>8</v>
      </c>
      <c r="O1290" s="8">
        <v>17.822306426995311</v>
      </c>
      <c r="P1290" s="9">
        <v>17.822306426995311</v>
      </c>
      <c r="Q1290" s="9">
        <v>17.822306426995311</v>
      </c>
      <c r="R1290" s="9">
        <v>18.237663306594719</v>
      </c>
      <c r="S1290" s="9">
        <v>18.48712920931133</v>
      </c>
      <c r="T1290" s="9">
        <v>19.201553596969877</v>
      </c>
      <c r="U1290" s="9">
        <v>20.562345482855957</v>
      </c>
      <c r="V1290" s="9">
        <v>20.562345482855957</v>
      </c>
      <c r="W1290" s="9">
        <v>20.562345482855957</v>
      </c>
      <c r="X1290" s="9">
        <v>22.391977691000818</v>
      </c>
      <c r="Y1290" s="9">
        <v>22.391977691000818</v>
      </c>
      <c r="Z1290" s="9">
        <v>24.28858708803979</v>
      </c>
      <c r="AA1290" s="9">
        <v>24.28858708803979</v>
      </c>
      <c r="AB1290" s="9">
        <v>25.117335532005217</v>
      </c>
      <c r="AC1290" s="9">
        <v>25.117335532005217</v>
      </c>
      <c r="AD1290" s="9">
        <v>29.039116491286865</v>
      </c>
      <c r="AE1290" s="9">
        <v>31.219251037281825</v>
      </c>
      <c r="AF1290" s="9">
        <v>33.487682081707895</v>
      </c>
      <c r="AG1290" s="9">
        <v>33.487682081707895</v>
      </c>
      <c r="AH1290" s="9">
        <v>36.427668170967245</v>
      </c>
      <c r="AI1290" s="9">
        <v>38.74455996597662</v>
      </c>
      <c r="AJ1290" s="9">
        <v>3.0428788910505911</v>
      </c>
    </row>
    <row r="1291" spans="1:36" x14ac:dyDescent="0.25">
      <c r="A1291" t="s">
        <v>5411</v>
      </c>
      <c r="B1291" t="s">
        <v>16</v>
      </c>
      <c r="C1291" t="s">
        <v>17</v>
      </c>
      <c r="D1291">
        <v>36270000</v>
      </c>
      <c r="E1291">
        <v>36271999</v>
      </c>
      <c r="F1291" t="s">
        <v>1113</v>
      </c>
      <c r="G1291" t="str">
        <f t="shared" si="40"/>
        <v>MGI II</v>
      </c>
      <c r="H1291" t="s">
        <v>851</v>
      </c>
      <c r="I1291" t="s">
        <v>20</v>
      </c>
      <c r="J1291" t="s">
        <v>64</v>
      </c>
      <c r="K1291" s="6">
        <v>0.03</v>
      </c>
      <c r="L1291" s="7">
        <f t="shared" si="41"/>
        <v>2E-3</v>
      </c>
      <c r="M1291" s="7">
        <v>3.0000000000000001E-3</v>
      </c>
      <c r="N1291">
        <v>8</v>
      </c>
      <c r="O1291" s="8">
        <v>17.822306426995311</v>
      </c>
      <c r="P1291" s="9">
        <v>17.822306426995311</v>
      </c>
      <c r="Q1291" s="9">
        <v>17.822306426995311</v>
      </c>
      <c r="R1291" s="9">
        <v>18.237663306594719</v>
      </c>
      <c r="S1291" s="9">
        <v>18.48712920931133</v>
      </c>
      <c r="T1291" s="9">
        <v>19.201553596969877</v>
      </c>
      <c r="U1291" s="9">
        <v>20.562345482855957</v>
      </c>
      <c r="V1291" s="9">
        <v>20.562345482855957</v>
      </c>
      <c r="W1291" s="9">
        <v>20.562345482855957</v>
      </c>
      <c r="X1291" s="9">
        <v>22.391977691000818</v>
      </c>
      <c r="Y1291" s="9">
        <v>22.391977691000818</v>
      </c>
      <c r="Z1291" s="9">
        <v>24.28858708803979</v>
      </c>
      <c r="AA1291" s="9">
        <v>24.28858708803979</v>
      </c>
      <c r="AB1291" s="9">
        <v>25.117335532005217</v>
      </c>
      <c r="AC1291" s="9">
        <v>25.117335532005217</v>
      </c>
      <c r="AD1291" s="9">
        <v>29.039116491286865</v>
      </c>
      <c r="AE1291" s="9">
        <v>31.219251037281825</v>
      </c>
      <c r="AF1291" s="9">
        <v>33.487682081707895</v>
      </c>
      <c r="AG1291" s="9">
        <v>33.487682081707895</v>
      </c>
      <c r="AH1291" s="9">
        <v>36.427668170967245</v>
      </c>
      <c r="AI1291" s="9">
        <v>38.74455996597662</v>
      </c>
      <c r="AJ1291" s="9">
        <v>3.0428788910505911</v>
      </c>
    </row>
    <row r="1292" spans="1:36" x14ac:dyDescent="0.25">
      <c r="A1292" t="s">
        <v>5411</v>
      </c>
      <c r="B1292" t="s">
        <v>16</v>
      </c>
      <c r="C1292" t="s">
        <v>17</v>
      </c>
      <c r="D1292">
        <v>36272000</v>
      </c>
      <c r="E1292">
        <v>36274999</v>
      </c>
      <c r="F1292" t="s">
        <v>1114</v>
      </c>
      <c r="G1292" t="str">
        <f t="shared" si="40"/>
        <v>MGI II</v>
      </c>
      <c r="H1292" t="s">
        <v>851</v>
      </c>
      <c r="I1292" t="s">
        <v>20</v>
      </c>
      <c r="J1292" t="s">
        <v>64</v>
      </c>
      <c r="K1292" s="6">
        <v>0.03</v>
      </c>
      <c r="L1292" s="7">
        <f t="shared" si="41"/>
        <v>2E-3</v>
      </c>
      <c r="M1292" s="7">
        <v>3.0000000000000001E-3</v>
      </c>
      <c r="N1292">
        <v>7</v>
      </c>
      <c r="O1292" s="8">
        <v>17.822306426995311</v>
      </c>
      <c r="P1292" s="9">
        <v>17.822306426995311</v>
      </c>
      <c r="Q1292" s="9">
        <v>17.822306426995311</v>
      </c>
      <c r="R1292" s="9">
        <v>18.237663306594719</v>
      </c>
      <c r="S1292" s="9">
        <v>18.48712920931133</v>
      </c>
      <c r="T1292" s="9">
        <v>19.201553596969877</v>
      </c>
      <c r="U1292" s="9">
        <v>20.562345482855957</v>
      </c>
      <c r="V1292" s="9">
        <v>20.562345482855957</v>
      </c>
      <c r="W1292" s="9">
        <v>20.562345482855957</v>
      </c>
      <c r="X1292" s="9">
        <v>22.391977691000818</v>
      </c>
      <c r="Y1292" s="9">
        <v>22.391977691000818</v>
      </c>
      <c r="Z1292" s="9">
        <v>24.28858708803979</v>
      </c>
      <c r="AA1292" s="9">
        <v>24.28858708803979</v>
      </c>
      <c r="AB1292" s="9">
        <v>25.117335532005217</v>
      </c>
      <c r="AC1292" s="9">
        <v>25.117335532005217</v>
      </c>
      <c r="AD1292" s="9">
        <v>29.039116491286865</v>
      </c>
      <c r="AE1292" s="9">
        <v>31.219251037281825</v>
      </c>
      <c r="AF1292" s="9">
        <v>33.487682081707895</v>
      </c>
      <c r="AG1292" s="9">
        <v>33.487682081707895</v>
      </c>
      <c r="AH1292" s="9">
        <v>36.427668170967245</v>
      </c>
      <c r="AI1292" s="9">
        <v>38.74455996597662</v>
      </c>
      <c r="AJ1292" s="9">
        <v>3.0428788910505911</v>
      </c>
    </row>
    <row r="1293" spans="1:36" x14ac:dyDescent="0.25">
      <c r="A1293" t="s">
        <v>5411</v>
      </c>
      <c r="B1293" t="s">
        <v>16</v>
      </c>
      <c r="C1293" t="s">
        <v>17</v>
      </c>
      <c r="D1293">
        <v>36275000</v>
      </c>
      <c r="E1293">
        <v>36279999</v>
      </c>
      <c r="F1293" t="s">
        <v>1115</v>
      </c>
      <c r="G1293" t="str">
        <f t="shared" si="40"/>
        <v>MGI II</v>
      </c>
      <c r="H1293" t="s">
        <v>851</v>
      </c>
      <c r="I1293" t="s">
        <v>20</v>
      </c>
      <c r="J1293" t="s">
        <v>64</v>
      </c>
      <c r="K1293" s="6">
        <v>0.03</v>
      </c>
      <c r="L1293" s="7">
        <f t="shared" si="41"/>
        <v>2E-3</v>
      </c>
      <c r="M1293" s="7">
        <v>3.0000000000000001E-3</v>
      </c>
      <c r="N1293">
        <v>7</v>
      </c>
      <c r="O1293" s="8">
        <v>17.822306426995311</v>
      </c>
      <c r="P1293" s="9">
        <v>17.822306426995311</v>
      </c>
      <c r="Q1293" s="9">
        <v>17.822306426995311</v>
      </c>
      <c r="R1293" s="9">
        <v>18.237663306594719</v>
      </c>
      <c r="S1293" s="9">
        <v>18.48712920931133</v>
      </c>
      <c r="T1293" s="9">
        <v>19.201553596969877</v>
      </c>
      <c r="U1293" s="9">
        <v>20.562345482855957</v>
      </c>
      <c r="V1293" s="9">
        <v>20.562345482855957</v>
      </c>
      <c r="W1293" s="9">
        <v>20.562345482855957</v>
      </c>
      <c r="X1293" s="9">
        <v>22.391977691000818</v>
      </c>
      <c r="Y1293" s="9">
        <v>22.391977691000818</v>
      </c>
      <c r="Z1293" s="9">
        <v>24.28858708803979</v>
      </c>
      <c r="AA1293" s="9">
        <v>24.28858708803979</v>
      </c>
      <c r="AB1293" s="9">
        <v>25.117335532005217</v>
      </c>
      <c r="AC1293" s="9">
        <v>25.117335532005217</v>
      </c>
      <c r="AD1293" s="9">
        <v>29.039116491286865</v>
      </c>
      <c r="AE1293" s="9">
        <v>31.219251037281825</v>
      </c>
      <c r="AF1293" s="9">
        <v>33.487682081707895</v>
      </c>
      <c r="AG1293" s="9">
        <v>33.487682081707895</v>
      </c>
      <c r="AH1293" s="9">
        <v>36.427668170967245</v>
      </c>
      <c r="AI1293" s="9">
        <v>38.74455996597662</v>
      </c>
      <c r="AJ1293" s="9">
        <v>3.0428788910505911</v>
      </c>
    </row>
    <row r="1294" spans="1:36" x14ac:dyDescent="0.25">
      <c r="A1294" t="s">
        <v>5411</v>
      </c>
      <c r="B1294" t="s">
        <v>16</v>
      </c>
      <c r="C1294" t="s">
        <v>17</v>
      </c>
      <c r="D1294">
        <v>36280000</v>
      </c>
      <c r="E1294">
        <v>36289999</v>
      </c>
      <c r="F1294" t="s">
        <v>1116</v>
      </c>
      <c r="G1294" t="str">
        <f t="shared" si="40"/>
        <v>MGI II</v>
      </c>
      <c r="H1294" t="s">
        <v>851</v>
      </c>
      <c r="I1294" t="s">
        <v>20</v>
      </c>
      <c r="J1294" t="s">
        <v>64</v>
      </c>
      <c r="K1294" s="6">
        <v>0.03</v>
      </c>
      <c r="L1294" s="7">
        <f t="shared" si="41"/>
        <v>2E-3</v>
      </c>
      <c r="M1294" s="7">
        <v>3.0000000000000001E-3</v>
      </c>
      <c r="N1294">
        <v>7</v>
      </c>
      <c r="O1294" s="8">
        <v>17.822306426995311</v>
      </c>
      <c r="P1294" s="9">
        <v>17.822306426995311</v>
      </c>
      <c r="Q1294" s="9">
        <v>17.822306426995311</v>
      </c>
      <c r="R1294" s="9">
        <v>18.237663306594719</v>
      </c>
      <c r="S1294" s="9">
        <v>18.48712920931133</v>
      </c>
      <c r="T1294" s="9">
        <v>19.201553596969877</v>
      </c>
      <c r="U1294" s="9">
        <v>20.562345482855957</v>
      </c>
      <c r="V1294" s="9">
        <v>20.562345482855957</v>
      </c>
      <c r="W1294" s="9">
        <v>20.562345482855957</v>
      </c>
      <c r="X1294" s="9">
        <v>22.391977691000818</v>
      </c>
      <c r="Y1294" s="9">
        <v>22.391977691000818</v>
      </c>
      <c r="Z1294" s="9">
        <v>24.28858708803979</v>
      </c>
      <c r="AA1294" s="9">
        <v>24.28858708803979</v>
      </c>
      <c r="AB1294" s="9">
        <v>25.117335532005217</v>
      </c>
      <c r="AC1294" s="9">
        <v>25.117335532005217</v>
      </c>
      <c r="AD1294" s="9">
        <v>29.039116491286865</v>
      </c>
      <c r="AE1294" s="9">
        <v>31.219251037281825</v>
      </c>
      <c r="AF1294" s="9">
        <v>33.487682081707895</v>
      </c>
      <c r="AG1294" s="9">
        <v>33.487682081707895</v>
      </c>
      <c r="AH1294" s="9">
        <v>36.427668170967245</v>
      </c>
      <c r="AI1294" s="9">
        <v>38.74455996597662</v>
      </c>
      <c r="AJ1294" s="9">
        <v>3.0428788910505911</v>
      </c>
    </row>
    <row r="1295" spans="1:36" x14ac:dyDescent="0.25">
      <c r="A1295" t="s">
        <v>5411</v>
      </c>
      <c r="B1295" t="s">
        <v>16</v>
      </c>
      <c r="C1295" t="s">
        <v>17</v>
      </c>
      <c r="D1295">
        <v>36290000</v>
      </c>
      <c r="E1295">
        <v>36299999</v>
      </c>
      <c r="F1295" t="s">
        <v>1117</v>
      </c>
      <c r="G1295" t="str">
        <f t="shared" si="40"/>
        <v>MGI II</v>
      </c>
      <c r="H1295" t="s">
        <v>851</v>
      </c>
      <c r="I1295" t="s">
        <v>20</v>
      </c>
      <c r="J1295" t="s">
        <v>64</v>
      </c>
      <c r="K1295" s="6">
        <v>0.03</v>
      </c>
      <c r="L1295" s="7">
        <f t="shared" si="41"/>
        <v>2E-3</v>
      </c>
      <c r="M1295" s="7">
        <v>3.0000000000000001E-3</v>
      </c>
      <c r="N1295">
        <v>8</v>
      </c>
      <c r="O1295" s="8">
        <v>17.822306426995311</v>
      </c>
      <c r="P1295" s="9">
        <v>17.822306426995311</v>
      </c>
      <c r="Q1295" s="9">
        <v>17.822306426995311</v>
      </c>
      <c r="R1295" s="9">
        <v>18.237663306594719</v>
      </c>
      <c r="S1295" s="9">
        <v>18.48712920931133</v>
      </c>
      <c r="T1295" s="9">
        <v>19.201553596969877</v>
      </c>
      <c r="U1295" s="9">
        <v>20.562345482855957</v>
      </c>
      <c r="V1295" s="9">
        <v>20.562345482855957</v>
      </c>
      <c r="W1295" s="9">
        <v>20.562345482855957</v>
      </c>
      <c r="X1295" s="9">
        <v>22.391977691000818</v>
      </c>
      <c r="Y1295" s="9">
        <v>22.391977691000818</v>
      </c>
      <c r="Z1295" s="9">
        <v>24.28858708803979</v>
      </c>
      <c r="AA1295" s="9">
        <v>24.28858708803979</v>
      </c>
      <c r="AB1295" s="9">
        <v>25.117335532005217</v>
      </c>
      <c r="AC1295" s="9">
        <v>25.117335532005217</v>
      </c>
      <c r="AD1295" s="9">
        <v>29.039116491286865</v>
      </c>
      <c r="AE1295" s="9">
        <v>31.219251037281825</v>
      </c>
      <c r="AF1295" s="9">
        <v>33.487682081707895</v>
      </c>
      <c r="AG1295" s="9">
        <v>33.487682081707895</v>
      </c>
      <c r="AH1295" s="9">
        <v>36.427668170967245</v>
      </c>
      <c r="AI1295" s="9">
        <v>38.74455996597662</v>
      </c>
      <c r="AJ1295" s="9">
        <v>3.0428788910505911</v>
      </c>
    </row>
    <row r="1296" spans="1:36" x14ac:dyDescent="0.25">
      <c r="A1296" t="s">
        <v>5411</v>
      </c>
      <c r="B1296" t="s">
        <v>16</v>
      </c>
      <c r="C1296" t="s">
        <v>17</v>
      </c>
      <c r="D1296">
        <v>36300000</v>
      </c>
      <c r="E1296">
        <v>36319999</v>
      </c>
      <c r="F1296" t="s">
        <v>1118</v>
      </c>
      <c r="G1296" t="str">
        <f t="shared" si="40"/>
        <v>MGI</v>
      </c>
      <c r="H1296" t="s">
        <v>851</v>
      </c>
      <c r="I1296" t="s">
        <v>20</v>
      </c>
      <c r="J1296" t="s">
        <v>62</v>
      </c>
      <c r="K1296" s="6">
        <v>0.03</v>
      </c>
      <c r="L1296" s="7">
        <f t="shared" si="41"/>
        <v>2E-3</v>
      </c>
      <c r="M1296" s="7">
        <v>3.0000000000000001E-3</v>
      </c>
      <c r="N1296">
        <v>7</v>
      </c>
      <c r="O1296" s="8">
        <v>13.880385281502075</v>
      </c>
      <c r="P1296" s="9">
        <v>13.880385281502075</v>
      </c>
      <c r="Q1296" s="9">
        <v>13.880385281502075</v>
      </c>
      <c r="R1296" s="9">
        <v>14.045989937445718</v>
      </c>
      <c r="S1296" s="9">
        <v>14.060876315369912</v>
      </c>
      <c r="T1296" s="9">
        <v>15.090338571208333</v>
      </c>
      <c r="U1296" s="9">
        <v>16.025407313902726</v>
      </c>
      <c r="V1296" s="9">
        <v>16.025407313902726</v>
      </c>
      <c r="W1296" s="9">
        <v>16.025407313902726</v>
      </c>
      <c r="X1296" s="9">
        <v>18.013895748167766</v>
      </c>
      <c r="Y1296" s="9">
        <v>18.013895748167766</v>
      </c>
      <c r="Z1296" s="9">
        <v>20.142868501532355</v>
      </c>
      <c r="AA1296" s="9">
        <v>20.142868501532355</v>
      </c>
      <c r="AB1296" s="9">
        <v>22.456349831314476</v>
      </c>
      <c r="AC1296" s="9">
        <v>22.456349831314476</v>
      </c>
      <c r="AD1296" s="9">
        <v>24.87984091164185</v>
      </c>
      <c r="AE1296" s="9">
        <v>27.427492221952345</v>
      </c>
      <c r="AF1296" s="9">
        <v>33.194804868730657</v>
      </c>
      <c r="AG1296" s="9">
        <v>33.194804868730657</v>
      </c>
      <c r="AH1296" s="9">
        <v>35.957808835828068</v>
      </c>
      <c r="AI1296" s="9">
        <v>38.646304092692077</v>
      </c>
      <c r="AJ1296" s="9">
        <v>3.0428788910505911</v>
      </c>
    </row>
    <row r="1297" spans="1:36" x14ac:dyDescent="0.25">
      <c r="A1297" t="s">
        <v>5411</v>
      </c>
      <c r="B1297" t="s">
        <v>16</v>
      </c>
      <c r="C1297" t="s">
        <v>17</v>
      </c>
      <c r="D1297">
        <v>36320000</v>
      </c>
      <c r="E1297">
        <v>36324999</v>
      </c>
      <c r="F1297" t="s">
        <v>1119</v>
      </c>
      <c r="G1297" t="str">
        <f t="shared" si="40"/>
        <v>MGI II</v>
      </c>
      <c r="H1297" t="s">
        <v>851</v>
      </c>
      <c r="I1297" t="s">
        <v>20</v>
      </c>
      <c r="J1297" t="s">
        <v>64</v>
      </c>
      <c r="K1297" s="6">
        <v>0.03</v>
      </c>
      <c r="L1297" s="7">
        <f t="shared" si="41"/>
        <v>2E-3</v>
      </c>
      <c r="M1297" s="7">
        <v>3.0000000000000001E-3</v>
      </c>
      <c r="N1297">
        <v>7</v>
      </c>
      <c r="O1297" s="8">
        <v>17.822306426995311</v>
      </c>
      <c r="P1297" s="9">
        <v>17.822306426995311</v>
      </c>
      <c r="Q1297" s="9">
        <v>17.822306426995311</v>
      </c>
      <c r="R1297" s="9">
        <v>18.237663306594719</v>
      </c>
      <c r="S1297" s="9">
        <v>18.48712920931133</v>
      </c>
      <c r="T1297" s="9">
        <v>19.201553596969877</v>
      </c>
      <c r="U1297" s="9">
        <v>20.562345482855957</v>
      </c>
      <c r="V1297" s="9">
        <v>20.562345482855957</v>
      </c>
      <c r="W1297" s="9">
        <v>20.562345482855957</v>
      </c>
      <c r="X1297" s="9">
        <v>22.391977691000818</v>
      </c>
      <c r="Y1297" s="9">
        <v>22.391977691000818</v>
      </c>
      <c r="Z1297" s="9">
        <v>24.28858708803979</v>
      </c>
      <c r="AA1297" s="9">
        <v>24.28858708803979</v>
      </c>
      <c r="AB1297" s="9">
        <v>25.117335532005217</v>
      </c>
      <c r="AC1297" s="9">
        <v>25.117335532005217</v>
      </c>
      <c r="AD1297" s="9">
        <v>29.039116491286865</v>
      </c>
      <c r="AE1297" s="9">
        <v>31.219251037281825</v>
      </c>
      <c r="AF1297" s="9">
        <v>33.487682081707895</v>
      </c>
      <c r="AG1297" s="9">
        <v>33.487682081707895</v>
      </c>
      <c r="AH1297" s="9">
        <v>36.427668170967245</v>
      </c>
      <c r="AI1297" s="9">
        <v>38.74455996597662</v>
      </c>
      <c r="AJ1297" s="9">
        <v>3.0428788910505911</v>
      </c>
    </row>
    <row r="1298" spans="1:36" x14ac:dyDescent="0.25">
      <c r="A1298" t="s">
        <v>5411</v>
      </c>
      <c r="B1298" t="s">
        <v>16</v>
      </c>
      <c r="C1298" t="s">
        <v>17</v>
      </c>
      <c r="D1298">
        <v>36325000</v>
      </c>
      <c r="E1298">
        <v>36327999</v>
      </c>
      <c r="F1298" t="s">
        <v>1120</v>
      </c>
      <c r="G1298" t="str">
        <f t="shared" si="40"/>
        <v>MGI II</v>
      </c>
      <c r="H1298" t="s">
        <v>851</v>
      </c>
      <c r="I1298" t="s">
        <v>20</v>
      </c>
      <c r="J1298" t="s">
        <v>64</v>
      </c>
      <c r="K1298" s="6">
        <v>0.03</v>
      </c>
      <c r="L1298" s="7">
        <f t="shared" si="41"/>
        <v>2E-3</v>
      </c>
      <c r="M1298" s="7">
        <v>3.0000000000000001E-3</v>
      </c>
      <c r="N1298">
        <v>7</v>
      </c>
      <c r="O1298" s="8">
        <v>17.822306426995311</v>
      </c>
      <c r="P1298" s="9">
        <v>17.822306426995311</v>
      </c>
      <c r="Q1298" s="9">
        <v>17.822306426995311</v>
      </c>
      <c r="R1298" s="9">
        <v>18.237663306594719</v>
      </c>
      <c r="S1298" s="9">
        <v>18.48712920931133</v>
      </c>
      <c r="T1298" s="9">
        <v>19.201553596969877</v>
      </c>
      <c r="U1298" s="9">
        <v>20.562345482855957</v>
      </c>
      <c r="V1298" s="9">
        <v>20.562345482855957</v>
      </c>
      <c r="W1298" s="9">
        <v>20.562345482855957</v>
      </c>
      <c r="X1298" s="9">
        <v>22.391977691000818</v>
      </c>
      <c r="Y1298" s="9">
        <v>22.391977691000818</v>
      </c>
      <c r="Z1298" s="9">
        <v>24.28858708803979</v>
      </c>
      <c r="AA1298" s="9">
        <v>24.28858708803979</v>
      </c>
      <c r="AB1298" s="9">
        <v>25.117335532005217</v>
      </c>
      <c r="AC1298" s="9">
        <v>25.117335532005217</v>
      </c>
      <c r="AD1298" s="9">
        <v>29.039116491286865</v>
      </c>
      <c r="AE1298" s="9">
        <v>31.219251037281825</v>
      </c>
      <c r="AF1298" s="9">
        <v>33.487682081707895</v>
      </c>
      <c r="AG1298" s="9">
        <v>33.487682081707895</v>
      </c>
      <c r="AH1298" s="9">
        <v>36.427668170967245</v>
      </c>
      <c r="AI1298" s="9">
        <v>38.74455996597662</v>
      </c>
      <c r="AJ1298" s="9">
        <v>3.0428788910505911</v>
      </c>
    </row>
    <row r="1299" spans="1:36" x14ac:dyDescent="0.25">
      <c r="A1299" t="s">
        <v>5411</v>
      </c>
      <c r="B1299" t="s">
        <v>16</v>
      </c>
      <c r="C1299" t="s">
        <v>17</v>
      </c>
      <c r="D1299">
        <v>36328000</v>
      </c>
      <c r="E1299">
        <v>36329999</v>
      </c>
      <c r="F1299" t="s">
        <v>1121</v>
      </c>
      <c r="G1299" t="str">
        <f t="shared" si="40"/>
        <v>MGI II</v>
      </c>
      <c r="H1299" t="s">
        <v>851</v>
      </c>
      <c r="I1299" t="s">
        <v>20</v>
      </c>
      <c r="J1299" t="s">
        <v>64</v>
      </c>
      <c r="K1299" s="6">
        <v>0.03</v>
      </c>
      <c r="L1299" s="7">
        <f t="shared" si="41"/>
        <v>2E-3</v>
      </c>
      <c r="M1299" s="7">
        <v>3.0000000000000001E-3</v>
      </c>
      <c r="N1299">
        <v>7</v>
      </c>
      <c r="O1299" s="8">
        <v>17.822306426995311</v>
      </c>
      <c r="P1299" s="9">
        <v>17.822306426995311</v>
      </c>
      <c r="Q1299" s="9">
        <v>17.822306426995311</v>
      </c>
      <c r="R1299" s="9">
        <v>18.237663306594719</v>
      </c>
      <c r="S1299" s="9">
        <v>18.48712920931133</v>
      </c>
      <c r="T1299" s="9">
        <v>19.201553596969877</v>
      </c>
      <c r="U1299" s="9">
        <v>20.562345482855957</v>
      </c>
      <c r="V1299" s="9">
        <v>20.562345482855957</v>
      </c>
      <c r="W1299" s="9">
        <v>20.562345482855957</v>
      </c>
      <c r="X1299" s="9">
        <v>22.391977691000818</v>
      </c>
      <c r="Y1299" s="9">
        <v>22.391977691000818</v>
      </c>
      <c r="Z1299" s="9">
        <v>24.28858708803979</v>
      </c>
      <c r="AA1299" s="9">
        <v>24.28858708803979</v>
      </c>
      <c r="AB1299" s="9">
        <v>25.117335532005217</v>
      </c>
      <c r="AC1299" s="9">
        <v>25.117335532005217</v>
      </c>
      <c r="AD1299" s="9">
        <v>29.039116491286865</v>
      </c>
      <c r="AE1299" s="9">
        <v>31.219251037281825</v>
      </c>
      <c r="AF1299" s="9">
        <v>33.487682081707895</v>
      </c>
      <c r="AG1299" s="9">
        <v>33.487682081707895</v>
      </c>
      <c r="AH1299" s="9">
        <v>36.427668170967245</v>
      </c>
      <c r="AI1299" s="9">
        <v>38.74455996597662</v>
      </c>
      <c r="AJ1299" s="9">
        <v>3.0428788910505911</v>
      </c>
    </row>
    <row r="1300" spans="1:36" x14ac:dyDescent="0.25">
      <c r="A1300" t="s">
        <v>5411</v>
      </c>
      <c r="B1300" t="s">
        <v>16</v>
      </c>
      <c r="C1300" t="s">
        <v>17</v>
      </c>
      <c r="D1300">
        <v>36330000</v>
      </c>
      <c r="E1300">
        <v>36334999</v>
      </c>
      <c r="F1300" t="s">
        <v>1122</v>
      </c>
      <c r="G1300" t="str">
        <f t="shared" si="40"/>
        <v>MGI II</v>
      </c>
      <c r="H1300" t="s">
        <v>851</v>
      </c>
      <c r="I1300" t="s">
        <v>20</v>
      </c>
      <c r="J1300" t="s">
        <v>64</v>
      </c>
      <c r="K1300" s="6">
        <v>0.03</v>
      </c>
      <c r="L1300" s="7">
        <f t="shared" si="41"/>
        <v>2E-3</v>
      </c>
      <c r="M1300" s="7">
        <v>3.0000000000000001E-3</v>
      </c>
      <c r="N1300">
        <v>8</v>
      </c>
      <c r="O1300" s="8">
        <v>17.822306426995311</v>
      </c>
      <c r="P1300" s="9">
        <v>17.822306426995311</v>
      </c>
      <c r="Q1300" s="9">
        <v>17.822306426995311</v>
      </c>
      <c r="R1300" s="9">
        <v>18.237663306594719</v>
      </c>
      <c r="S1300" s="9">
        <v>18.48712920931133</v>
      </c>
      <c r="T1300" s="9">
        <v>19.201553596969877</v>
      </c>
      <c r="U1300" s="9">
        <v>20.562345482855957</v>
      </c>
      <c r="V1300" s="9">
        <v>20.562345482855957</v>
      </c>
      <c r="W1300" s="9">
        <v>20.562345482855957</v>
      </c>
      <c r="X1300" s="9">
        <v>22.391977691000818</v>
      </c>
      <c r="Y1300" s="9">
        <v>22.391977691000818</v>
      </c>
      <c r="Z1300" s="9">
        <v>24.28858708803979</v>
      </c>
      <c r="AA1300" s="9">
        <v>24.28858708803979</v>
      </c>
      <c r="AB1300" s="9">
        <v>25.117335532005217</v>
      </c>
      <c r="AC1300" s="9">
        <v>25.117335532005217</v>
      </c>
      <c r="AD1300" s="9">
        <v>29.039116491286865</v>
      </c>
      <c r="AE1300" s="9">
        <v>31.219251037281825</v>
      </c>
      <c r="AF1300" s="9">
        <v>33.487682081707895</v>
      </c>
      <c r="AG1300" s="9">
        <v>33.487682081707895</v>
      </c>
      <c r="AH1300" s="9">
        <v>36.427668170967245</v>
      </c>
      <c r="AI1300" s="9">
        <v>38.74455996597662</v>
      </c>
      <c r="AJ1300" s="9">
        <v>3.0428788910505911</v>
      </c>
    </row>
    <row r="1301" spans="1:36" x14ac:dyDescent="0.25">
      <c r="A1301" t="s">
        <v>5411</v>
      </c>
      <c r="B1301" t="s">
        <v>16</v>
      </c>
      <c r="C1301" t="s">
        <v>17</v>
      </c>
      <c r="D1301">
        <v>36335000</v>
      </c>
      <c r="E1301">
        <v>36339999</v>
      </c>
      <c r="F1301" t="s">
        <v>1123</v>
      </c>
      <c r="G1301" t="str">
        <f t="shared" si="40"/>
        <v>MGI II</v>
      </c>
      <c r="H1301" t="s">
        <v>851</v>
      </c>
      <c r="I1301" t="s">
        <v>20</v>
      </c>
      <c r="J1301" t="s">
        <v>64</v>
      </c>
      <c r="K1301" s="6">
        <v>0.03</v>
      </c>
      <c r="L1301" s="7">
        <f t="shared" si="41"/>
        <v>2E-3</v>
      </c>
      <c r="M1301" s="7">
        <v>3.0000000000000001E-3</v>
      </c>
      <c r="N1301">
        <v>8</v>
      </c>
      <c r="O1301" s="8">
        <v>17.822306426995311</v>
      </c>
      <c r="P1301" s="9">
        <v>17.822306426995311</v>
      </c>
      <c r="Q1301" s="9">
        <v>17.822306426995311</v>
      </c>
      <c r="R1301" s="9">
        <v>18.237663306594719</v>
      </c>
      <c r="S1301" s="9">
        <v>18.48712920931133</v>
      </c>
      <c r="T1301" s="9">
        <v>19.201553596969877</v>
      </c>
      <c r="U1301" s="9">
        <v>20.562345482855957</v>
      </c>
      <c r="V1301" s="9">
        <v>20.562345482855957</v>
      </c>
      <c r="W1301" s="9">
        <v>20.562345482855957</v>
      </c>
      <c r="X1301" s="9">
        <v>22.391977691000818</v>
      </c>
      <c r="Y1301" s="9">
        <v>22.391977691000818</v>
      </c>
      <c r="Z1301" s="9">
        <v>24.28858708803979</v>
      </c>
      <c r="AA1301" s="9">
        <v>24.28858708803979</v>
      </c>
      <c r="AB1301" s="9">
        <v>25.117335532005217</v>
      </c>
      <c r="AC1301" s="9">
        <v>25.117335532005217</v>
      </c>
      <c r="AD1301" s="9">
        <v>29.039116491286865</v>
      </c>
      <c r="AE1301" s="9">
        <v>31.219251037281825</v>
      </c>
      <c r="AF1301" s="9">
        <v>33.487682081707895</v>
      </c>
      <c r="AG1301" s="9">
        <v>33.487682081707895</v>
      </c>
      <c r="AH1301" s="9">
        <v>36.427668170967245</v>
      </c>
      <c r="AI1301" s="9">
        <v>38.74455996597662</v>
      </c>
      <c r="AJ1301" s="9">
        <v>3.0428788910505911</v>
      </c>
    </row>
    <row r="1302" spans="1:36" x14ac:dyDescent="0.25">
      <c r="A1302" t="s">
        <v>5411</v>
      </c>
      <c r="B1302" t="s">
        <v>16</v>
      </c>
      <c r="C1302" t="s">
        <v>17</v>
      </c>
      <c r="D1302">
        <v>36340000</v>
      </c>
      <c r="E1302">
        <v>36344999</v>
      </c>
      <c r="F1302" t="s">
        <v>1124</v>
      </c>
      <c r="G1302" t="str">
        <f t="shared" si="40"/>
        <v>MGI II</v>
      </c>
      <c r="H1302" t="s">
        <v>851</v>
      </c>
      <c r="I1302" t="s">
        <v>20</v>
      </c>
      <c r="J1302" t="s">
        <v>64</v>
      </c>
      <c r="K1302" s="6">
        <v>0.03</v>
      </c>
      <c r="L1302" s="7">
        <f t="shared" si="41"/>
        <v>2E-3</v>
      </c>
      <c r="M1302" s="7">
        <v>3.0000000000000001E-3</v>
      </c>
      <c r="N1302">
        <v>8</v>
      </c>
      <c r="O1302" s="8">
        <v>17.822306426995311</v>
      </c>
      <c r="P1302" s="9">
        <v>17.822306426995311</v>
      </c>
      <c r="Q1302" s="9">
        <v>17.822306426995311</v>
      </c>
      <c r="R1302" s="9">
        <v>18.237663306594719</v>
      </c>
      <c r="S1302" s="9">
        <v>18.48712920931133</v>
      </c>
      <c r="T1302" s="9">
        <v>19.201553596969877</v>
      </c>
      <c r="U1302" s="9">
        <v>20.562345482855957</v>
      </c>
      <c r="V1302" s="9">
        <v>20.562345482855957</v>
      </c>
      <c r="W1302" s="9">
        <v>20.562345482855957</v>
      </c>
      <c r="X1302" s="9">
        <v>22.391977691000818</v>
      </c>
      <c r="Y1302" s="9">
        <v>22.391977691000818</v>
      </c>
      <c r="Z1302" s="9">
        <v>24.28858708803979</v>
      </c>
      <c r="AA1302" s="9">
        <v>24.28858708803979</v>
      </c>
      <c r="AB1302" s="9">
        <v>25.117335532005217</v>
      </c>
      <c r="AC1302" s="9">
        <v>25.117335532005217</v>
      </c>
      <c r="AD1302" s="9">
        <v>29.039116491286865</v>
      </c>
      <c r="AE1302" s="9">
        <v>31.219251037281825</v>
      </c>
      <c r="AF1302" s="9">
        <v>33.487682081707895</v>
      </c>
      <c r="AG1302" s="9">
        <v>33.487682081707895</v>
      </c>
      <c r="AH1302" s="9">
        <v>36.427668170967245</v>
      </c>
      <c r="AI1302" s="9">
        <v>38.74455996597662</v>
      </c>
      <c r="AJ1302" s="9">
        <v>3.0428788910505911</v>
      </c>
    </row>
    <row r="1303" spans="1:36" x14ac:dyDescent="0.25">
      <c r="A1303" t="s">
        <v>5411</v>
      </c>
      <c r="B1303" t="s">
        <v>16</v>
      </c>
      <c r="C1303" t="s">
        <v>17</v>
      </c>
      <c r="D1303">
        <v>36345000</v>
      </c>
      <c r="E1303">
        <v>36349999</v>
      </c>
      <c r="F1303" t="s">
        <v>1125</v>
      </c>
      <c r="G1303" t="str">
        <f t="shared" si="40"/>
        <v>MGI II</v>
      </c>
      <c r="H1303" t="s">
        <v>851</v>
      </c>
      <c r="I1303" t="s">
        <v>20</v>
      </c>
      <c r="J1303" t="s">
        <v>64</v>
      </c>
      <c r="K1303" s="6">
        <v>0.03</v>
      </c>
      <c r="L1303" s="7">
        <f t="shared" si="41"/>
        <v>2E-3</v>
      </c>
      <c r="M1303" s="7">
        <v>3.0000000000000001E-3</v>
      </c>
      <c r="N1303">
        <v>8</v>
      </c>
      <c r="O1303" s="8">
        <v>17.822306426995311</v>
      </c>
      <c r="P1303" s="9">
        <v>17.822306426995311</v>
      </c>
      <c r="Q1303" s="9">
        <v>17.822306426995311</v>
      </c>
      <c r="R1303" s="9">
        <v>18.237663306594719</v>
      </c>
      <c r="S1303" s="9">
        <v>18.48712920931133</v>
      </c>
      <c r="T1303" s="9">
        <v>19.201553596969877</v>
      </c>
      <c r="U1303" s="9">
        <v>20.562345482855957</v>
      </c>
      <c r="V1303" s="9">
        <v>20.562345482855957</v>
      </c>
      <c r="W1303" s="9">
        <v>20.562345482855957</v>
      </c>
      <c r="X1303" s="9">
        <v>22.391977691000818</v>
      </c>
      <c r="Y1303" s="9">
        <v>22.391977691000818</v>
      </c>
      <c r="Z1303" s="9">
        <v>24.28858708803979</v>
      </c>
      <c r="AA1303" s="9">
        <v>24.28858708803979</v>
      </c>
      <c r="AB1303" s="9">
        <v>25.117335532005217</v>
      </c>
      <c r="AC1303" s="9">
        <v>25.117335532005217</v>
      </c>
      <c r="AD1303" s="9">
        <v>29.039116491286865</v>
      </c>
      <c r="AE1303" s="9">
        <v>31.219251037281825</v>
      </c>
      <c r="AF1303" s="9">
        <v>33.487682081707895</v>
      </c>
      <c r="AG1303" s="9">
        <v>33.487682081707895</v>
      </c>
      <c r="AH1303" s="9">
        <v>36.427668170967245</v>
      </c>
      <c r="AI1303" s="9">
        <v>38.74455996597662</v>
      </c>
      <c r="AJ1303" s="9">
        <v>3.0428788910505911</v>
      </c>
    </row>
    <row r="1304" spans="1:36" x14ac:dyDescent="0.25">
      <c r="A1304" t="s">
        <v>5411</v>
      </c>
      <c r="B1304" t="s">
        <v>16</v>
      </c>
      <c r="C1304" t="s">
        <v>17</v>
      </c>
      <c r="D1304">
        <v>36350000</v>
      </c>
      <c r="E1304">
        <v>36359999</v>
      </c>
      <c r="F1304" t="s">
        <v>1126</v>
      </c>
      <c r="G1304" t="str">
        <f t="shared" si="40"/>
        <v>MGI II</v>
      </c>
      <c r="H1304" t="s">
        <v>851</v>
      </c>
      <c r="I1304" t="s">
        <v>20</v>
      </c>
      <c r="J1304" t="s">
        <v>64</v>
      </c>
      <c r="K1304" s="6">
        <v>0.03</v>
      </c>
      <c r="L1304" s="7">
        <f t="shared" si="41"/>
        <v>2E-3</v>
      </c>
      <c r="M1304" s="7">
        <v>3.0000000000000001E-3</v>
      </c>
      <c r="N1304">
        <v>7</v>
      </c>
      <c r="O1304" s="8">
        <v>17.822306426995311</v>
      </c>
      <c r="P1304" s="9">
        <v>17.822306426995311</v>
      </c>
      <c r="Q1304" s="9">
        <v>17.822306426995311</v>
      </c>
      <c r="R1304" s="9">
        <v>18.237663306594719</v>
      </c>
      <c r="S1304" s="9">
        <v>18.48712920931133</v>
      </c>
      <c r="T1304" s="9">
        <v>19.201553596969877</v>
      </c>
      <c r="U1304" s="9">
        <v>20.562345482855957</v>
      </c>
      <c r="V1304" s="9">
        <v>20.562345482855957</v>
      </c>
      <c r="W1304" s="9">
        <v>20.562345482855957</v>
      </c>
      <c r="X1304" s="9">
        <v>22.391977691000818</v>
      </c>
      <c r="Y1304" s="9">
        <v>22.391977691000818</v>
      </c>
      <c r="Z1304" s="9">
        <v>24.28858708803979</v>
      </c>
      <c r="AA1304" s="9">
        <v>24.28858708803979</v>
      </c>
      <c r="AB1304" s="9">
        <v>25.117335532005217</v>
      </c>
      <c r="AC1304" s="9">
        <v>25.117335532005217</v>
      </c>
      <c r="AD1304" s="9">
        <v>29.039116491286865</v>
      </c>
      <c r="AE1304" s="9">
        <v>31.219251037281825</v>
      </c>
      <c r="AF1304" s="9">
        <v>33.487682081707895</v>
      </c>
      <c r="AG1304" s="9">
        <v>33.487682081707895</v>
      </c>
      <c r="AH1304" s="9">
        <v>36.427668170967245</v>
      </c>
      <c r="AI1304" s="9">
        <v>38.74455996597662</v>
      </c>
      <c r="AJ1304" s="9">
        <v>3.0428788910505911</v>
      </c>
    </row>
    <row r="1305" spans="1:36" x14ac:dyDescent="0.25">
      <c r="A1305" t="s">
        <v>5411</v>
      </c>
      <c r="B1305" t="s">
        <v>16</v>
      </c>
      <c r="C1305" t="s">
        <v>17</v>
      </c>
      <c r="D1305">
        <v>36360000</v>
      </c>
      <c r="E1305">
        <v>36369999</v>
      </c>
      <c r="F1305" t="s">
        <v>1127</v>
      </c>
      <c r="G1305" t="str">
        <f t="shared" si="40"/>
        <v>MGI II</v>
      </c>
      <c r="H1305" t="s">
        <v>851</v>
      </c>
      <c r="I1305" t="s">
        <v>20</v>
      </c>
      <c r="J1305" t="s">
        <v>64</v>
      </c>
      <c r="K1305" s="6">
        <v>0.03</v>
      </c>
      <c r="L1305" s="7">
        <f t="shared" si="41"/>
        <v>2E-3</v>
      </c>
      <c r="M1305" s="7">
        <v>3.0000000000000001E-3</v>
      </c>
      <c r="N1305">
        <v>8</v>
      </c>
      <c r="O1305" s="8">
        <v>17.822306426995311</v>
      </c>
      <c r="P1305" s="9">
        <v>17.822306426995311</v>
      </c>
      <c r="Q1305" s="9">
        <v>17.822306426995311</v>
      </c>
      <c r="R1305" s="9">
        <v>18.237663306594719</v>
      </c>
      <c r="S1305" s="9">
        <v>18.48712920931133</v>
      </c>
      <c r="T1305" s="9">
        <v>19.201553596969877</v>
      </c>
      <c r="U1305" s="9">
        <v>20.562345482855957</v>
      </c>
      <c r="V1305" s="9">
        <v>20.562345482855957</v>
      </c>
      <c r="W1305" s="9">
        <v>20.562345482855957</v>
      </c>
      <c r="X1305" s="9">
        <v>22.391977691000818</v>
      </c>
      <c r="Y1305" s="9">
        <v>22.391977691000818</v>
      </c>
      <c r="Z1305" s="9">
        <v>24.28858708803979</v>
      </c>
      <c r="AA1305" s="9">
        <v>24.28858708803979</v>
      </c>
      <c r="AB1305" s="9">
        <v>25.117335532005217</v>
      </c>
      <c r="AC1305" s="9">
        <v>25.117335532005217</v>
      </c>
      <c r="AD1305" s="9">
        <v>29.039116491286865</v>
      </c>
      <c r="AE1305" s="9">
        <v>31.219251037281825</v>
      </c>
      <c r="AF1305" s="9">
        <v>33.487682081707895</v>
      </c>
      <c r="AG1305" s="9">
        <v>33.487682081707895</v>
      </c>
      <c r="AH1305" s="9">
        <v>36.427668170967245</v>
      </c>
      <c r="AI1305" s="9">
        <v>38.74455996597662</v>
      </c>
      <c r="AJ1305" s="9">
        <v>3.0428788910505911</v>
      </c>
    </row>
    <row r="1306" spans="1:36" x14ac:dyDescent="0.25">
      <c r="A1306" t="s">
        <v>5411</v>
      </c>
      <c r="B1306" t="s">
        <v>16</v>
      </c>
      <c r="C1306" t="s">
        <v>17</v>
      </c>
      <c r="D1306">
        <v>36370000</v>
      </c>
      <c r="E1306">
        <v>36389999</v>
      </c>
      <c r="F1306" t="s">
        <v>1128</v>
      </c>
      <c r="G1306" t="str">
        <f t="shared" si="40"/>
        <v>MGI II</v>
      </c>
      <c r="H1306" t="s">
        <v>851</v>
      </c>
      <c r="I1306" t="s">
        <v>20</v>
      </c>
      <c r="J1306" t="s">
        <v>64</v>
      </c>
      <c r="K1306" s="6">
        <v>0.03</v>
      </c>
      <c r="L1306" s="7">
        <f t="shared" si="41"/>
        <v>2E-3</v>
      </c>
      <c r="M1306" s="7">
        <v>3.0000000000000001E-3</v>
      </c>
      <c r="N1306">
        <v>8</v>
      </c>
      <c r="O1306" s="8">
        <v>17.822306426995311</v>
      </c>
      <c r="P1306" s="9">
        <v>17.822306426995311</v>
      </c>
      <c r="Q1306" s="9">
        <v>17.822306426995311</v>
      </c>
      <c r="R1306" s="9">
        <v>18.237663306594719</v>
      </c>
      <c r="S1306" s="9">
        <v>18.48712920931133</v>
      </c>
      <c r="T1306" s="9">
        <v>19.201553596969877</v>
      </c>
      <c r="U1306" s="9">
        <v>20.562345482855957</v>
      </c>
      <c r="V1306" s="9">
        <v>20.562345482855957</v>
      </c>
      <c r="W1306" s="9">
        <v>20.562345482855957</v>
      </c>
      <c r="X1306" s="9">
        <v>22.391977691000818</v>
      </c>
      <c r="Y1306" s="9">
        <v>22.391977691000818</v>
      </c>
      <c r="Z1306" s="9">
        <v>24.28858708803979</v>
      </c>
      <c r="AA1306" s="9">
        <v>24.28858708803979</v>
      </c>
      <c r="AB1306" s="9">
        <v>25.117335532005217</v>
      </c>
      <c r="AC1306" s="9">
        <v>25.117335532005217</v>
      </c>
      <c r="AD1306" s="9">
        <v>29.039116491286865</v>
      </c>
      <c r="AE1306" s="9">
        <v>31.219251037281825</v>
      </c>
      <c r="AF1306" s="9">
        <v>33.487682081707895</v>
      </c>
      <c r="AG1306" s="9">
        <v>33.487682081707895</v>
      </c>
      <c r="AH1306" s="9">
        <v>36.427668170967245</v>
      </c>
      <c r="AI1306" s="9">
        <v>38.74455996597662</v>
      </c>
      <c r="AJ1306" s="9">
        <v>3.0428788910505911</v>
      </c>
    </row>
    <row r="1307" spans="1:36" x14ac:dyDescent="0.25">
      <c r="A1307" t="s">
        <v>5411</v>
      </c>
      <c r="B1307" t="s">
        <v>16</v>
      </c>
      <c r="C1307" t="s">
        <v>17</v>
      </c>
      <c r="D1307">
        <v>36390000</v>
      </c>
      <c r="E1307">
        <v>36399999</v>
      </c>
      <c r="F1307" t="s">
        <v>1129</v>
      </c>
      <c r="G1307" t="str">
        <f t="shared" si="40"/>
        <v>MGI II</v>
      </c>
      <c r="H1307" t="s">
        <v>851</v>
      </c>
      <c r="I1307" t="s">
        <v>20</v>
      </c>
      <c r="J1307" t="s">
        <v>64</v>
      </c>
      <c r="K1307" s="6">
        <v>0.03</v>
      </c>
      <c r="L1307" s="7">
        <f t="shared" si="41"/>
        <v>2E-3</v>
      </c>
      <c r="M1307" s="7">
        <v>3.0000000000000001E-3</v>
      </c>
      <c r="N1307">
        <v>8</v>
      </c>
      <c r="O1307" s="8">
        <v>17.822306426995311</v>
      </c>
      <c r="P1307" s="9">
        <v>17.822306426995311</v>
      </c>
      <c r="Q1307" s="9">
        <v>17.822306426995311</v>
      </c>
      <c r="R1307" s="9">
        <v>18.237663306594719</v>
      </c>
      <c r="S1307" s="9">
        <v>18.48712920931133</v>
      </c>
      <c r="T1307" s="9">
        <v>19.201553596969877</v>
      </c>
      <c r="U1307" s="9">
        <v>20.562345482855957</v>
      </c>
      <c r="V1307" s="9">
        <v>20.562345482855957</v>
      </c>
      <c r="W1307" s="9">
        <v>20.562345482855957</v>
      </c>
      <c r="X1307" s="9">
        <v>22.391977691000818</v>
      </c>
      <c r="Y1307" s="9">
        <v>22.391977691000818</v>
      </c>
      <c r="Z1307" s="9">
        <v>24.28858708803979</v>
      </c>
      <c r="AA1307" s="9">
        <v>24.28858708803979</v>
      </c>
      <c r="AB1307" s="9">
        <v>25.117335532005217</v>
      </c>
      <c r="AC1307" s="9">
        <v>25.117335532005217</v>
      </c>
      <c r="AD1307" s="9">
        <v>29.039116491286865</v>
      </c>
      <c r="AE1307" s="9">
        <v>31.219251037281825</v>
      </c>
      <c r="AF1307" s="9">
        <v>33.487682081707895</v>
      </c>
      <c r="AG1307" s="9">
        <v>33.487682081707895</v>
      </c>
      <c r="AH1307" s="9">
        <v>36.427668170967245</v>
      </c>
      <c r="AI1307" s="9">
        <v>38.74455996597662</v>
      </c>
      <c r="AJ1307" s="9">
        <v>3.0428788910505911</v>
      </c>
    </row>
    <row r="1308" spans="1:36" x14ac:dyDescent="0.25">
      <c r="A1308" t="s">
        <v>5411</v>
      </c>
      <c r="B1308" t="s">
        <v>16</v>
      </c>
      <c r="C1308" t="s">
        <v>17</v>
      </c>
      <c r="D1308">
        <v>36400000</v>
      </c>
      <c r="E1308">
        <v>36409999</v>
      </c>
      <c r="F1308" t="s">
        <v>1130</v>
      </c>
      <c r="G1308" t="str">
        <f t="shared" si="40"/>
        <v>MGI</v>
      </c>
      <c r="H1308" t="s">
        <v>851</v>
      </c>
      <c r="I1308" t="s">
        <v>20</v>
      </c>
      <c r="J1308" t="s">
        <v>62</v>
      </c>
      <c r="K1308" s="6">
        <v>0.03</v>
      </c>
      <c r="L1308" s="7">
        <f t="shared" si="41"/>
        <v>2E-3</v>
      </c>
      <c r="M1308" s="7">
        <v>3.0000000000000001E-3</v>
      </c>
      <c r="N1308">
        <v>7</v>
      </c>
      <c r="O1308" s="8">
        <v>13.880385281502075</v>
      </c>
      <c r="P1308" s="9">
        <v>13.880385281502075</v>
      </c>
      <c r="Q1308" s="9">
        <v>13.880385281502075</v>
      </c>
      <c r="R1308" s="9">
        <v>14.045989937445718</v>
      </c>
      <c r="S1308" s="9">
        <v>14.060876315369912</v>
      </c>
      <c r="T1308" s="9">
        <v>15.090338571208333</v>
      </c>
      <c r="U1308" s="9">
        <v>16.025407313902726</v>
      </c>
      <c r="V1308" s="9">
        <v>16.025407313902726</v>
      </c>
      <c r="W1308" s="9">
        <v>16.025407313902726</v>
      </c>
      <c r="X1308" s="9">
        <v>18.013895748167766</v>
      </c>
      <c r="Y1308" s="9">
        <v>18.013895748167766</v>
      </c>
      <c r="Z1308" s="9">
        <v>20.142868501532355</v>
      </c>
      <c r="AA1308" s="9">
        <v>20.142868501532355</v>
      </c>
      <c r="AB1308" s="9">
        <v>22.456349831314476</v>
      </c>
      <c r="AC1308" s="9">
        <v>22.456349831314476</v>
      </c>
      <c r="AD1308" s="9">
        <v>24.87984091164185</v>
      </c>
      <c r="AE1308" s="9">
        <v>27.427492221952345</v>
      </c>
      <c r="AF1308" s="9">
        <v>33.194804868730657</v>
      </c>
      <c r="AG1308" s="9">
        <v>33.194804868730657</v>
      </c>
      <c r="AH1308" s="9">
        <v>35.957808835828068</v>
      </c>
      <c r="AI1308" s="9">
        <v>38.646304092692077</v>
      </c>
      <c r="AJ1308" s="9">
        <v>3.0428788910505911</v>
      </c>
    </row>
    <row r="1309" spans="1:36" x14ac:dyDescent="0.25">
      <c r="A1309" t="s">
        <v>5411</v>
      </c>
      <c r="B1309" t="s">
        <v>16</v>
      </c>
      <c r="C1309" t="s">
        <v>17</v>
      </c>
      <c r="D1309">
        <v>36410000</v>
      </c>
      <c r="E1309">
        <v>36419999</v>
      </c>
      <c r="F1309" t="s">
        <v>1131</v>
      </c>
      <c r="G1309" t="str">
        <f t="shared" si="40"/>
        <v>MGI</v>
      </c>
      <c r="H1309" t="s">
        <v>851</v>
      </c>
      <c r="I1309" t="s">
        <v>20</v>
      </c>
      <c r="J1309" t="s">
        <v>62</v>
      </c>
      <c r="K1309" s="6">
        <v>0.03</v>
      </c>
      <c r="L1309" s="7">
        <f t="shared" si="41"/>
        <v>2E-3</v>
      </c>
      <c r="M1309" s="7">
        <v>3.0000000000000001E-3</v>
      </c>
      <c r="N1309">
        <v>7</v>
      </c>
      <c r="O1309" s="8">
        <v>13.880385281502075</v>
      </c>
      <c r="P1309" s="9">
        <v>13.880385281502075</v>
      </c>
      <c r="Q1309" s="9">
        <v>13.880385281502075</v>
      </c>
      <c r="R1309" s="9">
        <v>14.045989937445718</v>
      </c>
      <c r="S1309" s="9">
        <v>14.060876315369912</v>
      </c>
      <c r="T1309" s="9">
        <v>15.090338571208333</v>
      </c>
      <c r="U1309" s="9">
        <v>16.025407313902726</v>
      </c>
      <c r="V1309" s="9">
        <v>16.025407313902726</v>
      </c>
      <c r="W1309" s="9">
        <v>16.025407313902726</v>
      </c>
      <c r="X1309" s="9">
        <v>18.013895748167766</v>
      </c>
      <c r="Y1309" s="9">
        <v>18.013895748167766</v>
      </c>
      <c r="Z1309" s="9">
        <v>20.142868501532355</v>
      </c>
      <c r="AA1309" s="9">
        <v>20.142868501532355</v>
      </c>
      <c r="AB1309" s="9">
        <v>22.456349831314476</v>
      </c>
      <c r="AC1309" s="9">
        <v>22.456349831314476</v>
      </c>
      <c r="AD1309" s="9">
        <v>24.87984091164185</v>
      </c>
      <c r="AE1309" s="9">
        <v>27.427492221952345</v>
      </c>
      <c r="AF1309" s="9">
        <v>33.194804868730657</v>
      </c>
      <c r="AG1309" s="9">
        <v>33.194804868730657</v>
      </c>
      <c r="AH1309" s="9">
        <v>35.957808835828068</v>
      </c>
      <c r="AI1309" s="9">
        <v>38.646304092692077</v>
      </c>
      <c r="AJ1309" s="9">
        <v>3.0428788910505911</v>
      </c>
    </row>
    <row r="1310" spans="1:36" x14ac:dyDescent="0.25">
      <c r="A1310" t="s">
        <v>5411</v>
      </c>
      <c r="B1310" t="s">
        <v>16</v>
      </c>
      <c r="C1310" t="s">
        <v>17</v>
      </c>
      <c r="D1310">
        <v>36420000</v>
      </c>
      <c r="E1310">
        <v>36421999</v>
      </c>
      <c r="F1310" t="s">
        <v>1132</v>
      </c>
      <c r="G1310" t="str">
        <f t="shared" si="40"/>
        <v>MGI</v>
      </c>
      <c r="H1310" t="s">
        <v>851</v>
      </c>
      <c r="I1310" t="s">
        <v>20</v>
      </c>
      <c r="J1310" t="s">
        <v>62</v>
      </c>
      <c r="K1310" s="6">
        <v>0.03</v>
      </c>
      <c r="L1310" s="7">
        <f t="shared" si="41"/>
        <v>2E-3</v>
      </c>
      <c r="M1310" s="7">
        <v>3.0000000000000001E-3</v>
      </c>
      <c r="N1310">
        <v>7</v>
      </c>
      <c r="O1310" s="8">
        <v>13.880385281502075</v>
      </c>
      <c r="P1310" s="9">
        <v>13.880385281502075</v>
      </c>
      <c r="Q1310" s="9">
        <v>13.880385281502075</v>
      </c>
      <c r="R1310" s="9">
        <v>14.045989937445718</v>
      </c>
      <c r="S1310" s="9">
        <v>14.060876315369912</v>
      </c>
      <c r="T1310" s="9">
        <v>15.090338571208333</v>
      </c>
      <c r="U1310" s="9">
        <v>16.025407313902726</v>
      </c>
      <c r="V1310" s="9">
        <v>16.025407313902726</v>
      </c>
      <c r="W1310" s="9">
        <v>16.025407313902726</v>
      </c>
      <c r="X1310" s="9">
        <v>18.013895748167766</v>
      </c>
      <c r="Y1310" s="9">
        <v>18.013895748167766</v>
      </c>
      <c r="Z1310" s="9">
        <v>20.142868501532355</v>
      </c>
      <c r="AA1310" s="9">
        <v>20.142868501532355</v>
      </c>
      <c r="AB1310" s="9">
        <v>22.456349831314476</v>
      </c>
      <c r="AC1310" s="9">
        <v>22.456349831314476</v>
      </c>
      <c r="AD1310" s="9">
        <v>24.87984091164185</v>
      </c>
      <c r="AE1310" s="9">
        <v>27.427492221952345</v>
      </c>
      <c r="AF1310" s="9">
        <v>33.194804868730657</v>
      </c>
      <c r="AG1310" s="9">
        <v>33.194804868730657</v>
      </c>
      <c r="AH1310" s="9">
        <v>35.957808835828068</v>
      </c>
      <c r="AI1310" s="9">
        <v>38.646304092692077</v>
      </c>
      <c r="AJ1310" s="9">
        <v>3.0428788910505911</v>
      </c>
    </row>
    <row r="1311" spans="1:36" x14ac:dyDescent="0.25">
      <c r="A1311" t="s">
        <v>5411</v>
      </c>
      <c r="B1311" t="s">
        <v>16</v>
      </c>
      <c r="C1311" t="s">
        <v>17</v>
      </c>
      <c r="D1311">
        <v>36422000</v>
      </c>
      <c r="E1311">
        <v>36423999</v>
      </c>
      <c r="F1311" t="s">
        <v>1133</v>
      </c>
      <c r="G1311" t="str">
        <f t="shared" si="40"/>
        <v>MGI II</v>
      </c>
      <c r="H1311" t="s">
        <v>851</v>
      </c>
      <c r="I1311" t="s">
        <v>20</v>
      </c>
      <c r="J1311" t="s">
        <v>64</v>
      </c>
      <c r="K1311" s="6">
        <v>0.03</v>
      </c>
      <c r="L1311" s="7">
        <f t="shared" si="41"/>
        <v>2E-3</v>
      </c>
      <c r="M1311" s="7">
        <v>3.0000000000000001E-3</v>
      </c>
      <c r="N1311">
        <v>8</v>
      </c>
      <c r="O1311" s="8">
        <v>17.822306426995311</v>
      </c>
      <c r="P1311" s="9">
        <v>17.822306426995311</v>
      </c>
      <c r="Q1311" s="9">
        <v>17.822306426995311</v>
      </c>
      <c r="R1311" s="9">
        <v>18.237663306594719</v>
      </c>
      <c r="S1311" s="9">
        <v>18.48712920931133</v>
      </c>
      <c r="T1311" s="9">
        <v>19.201553596969877</v>
      </c>
      <c r="U1311" s="9">
        <v>20.562345482855957</v>
      </c>
      <c r="V1311" s="9">
        <v>20.562345482855957</v>
      </c>
      <c r="W1311" s="9">
        <v>20.562345482855957</v>
      </c>
      <c r="X1311" s="9">
        <v>22.391977691000818</v>
      </c>
      <c r="Y1311" s="9">
        <v>22.391977691000818</v>
      </c>
      <c r="Z1311" s="9">
        <v>24.28858708803979</v>
      </c>
      <c r="AA1311" s="9">
        <v>24.28858708803979</v>
      </c>
      <c r="AB1311" s="9">
        <v>25.117335532005217</v>
      </c>
      <c r="AC1311" s="9">
        <v>25.117335532005217</v>
      </c>
      <c r="AD1311" s="9">
        <v>29.039116491286865</v>
      </c>
      <c r="AE1311" s="9">
        <v>31.219251037281825</v>
      </c>
      <c r="AF1311" s="9">
        <v>33.487682081707895</v>
      </c>
      <c r="AG1311" s="9">
        <v>33.487682081707895</v>
      </c>
      <c r="AH1311" s="9">
        <v>36.427668170967245</v>
      </c>
      <c r="AI1311" s="9">
        <v>38.74455996597662</v>
      </c>
      <c r="AJ1311" s="9">
        <v>3.0428788910505911</v>
      </c>
    </row>
    <row r="1312" spans="1:36" x14ac:dyDescent="0.25">
      <c r="A1312" t="s">
        <v>5411</v>
      </c>
      <c r="B1312" t="s">
        <v>16</v>
      </c>
      <c r="C1312" t="s">
        <v>17</v>
      </c>
      <c r="D1312">
        <v>36424000</v>
      </c>
      <c r="E1312">
        <v>36425999</v>
      </c>
      <c r="F1312" t="s">
        <v>1134</v>
      </c>
      <c r="G1312" t="str">
        <f t="shared" si="40"/>
        <v>MGI II</v>
      </c>
      <c r="H1312" t="s">
        <v>851</v>
      </c>
      <c r="I1312" t="s">
        <v>20</v>
      </c>
      <c r="J1312" t="s">
        <v>64</v>
      </c>
      <c r="K1312" s="6">
        <v>0.03</v>
      </c>
      <c r="L1312" s="7">
        <f t="shared" si="41"/>
        <v>2E-3</v>
      </c>
      <c r="M1312" s="7">
        <v>3.0000000000000001E-3</v>
      </c>
      <c r="N1312">
        <v>8</v>
      </c>
      <c r="O1312" s="8">
        <v>17.822306426995311</v>
      </c>
      <c r="P1312" s="9">
        <v>17.822306426995311</v>
      </c>
      <c r="Q1312" s="9">
        <v>17.822306426995311</v>
      </c>
      <c r="R1312" s="9">
        <v>18.237663306594719</v>
      </c>
      <c r="S1312" s="9">
        <v>18.48712920931133</v>
      </c>
      <c r="T1312" s="9">
        <v>19.201553596969877</v>
      </c>
      <c r="U1312" s="9">
        <v>20.562345482855957</v>
      </c>
      <c r="V1312" s="9">
        <v>20.562345482855957</v>
      </c>
      <c r="W1312" s="9">
        <v>20.562345482855957</v>
      </c>
      <c r="X1312" s="9">
        <v>22.391977691000818</v>
      </c>
      <c r="Y1312" s="9">
        <v>22.391977691000818</v>
      </c>
      <c r="Z1312" s="9">
        <v>24.28858708803979</v>
      </c>
      <c r="AA1312" s="9">
        <v>24.28858708803979</v>
      </c>
      <c r="AB1312" s="9">
        <v>25.117335532005217</v>
      </c>
      <c r="AC1312" s="9">
        <v>25.117335532005217</v>
      </c>
      <c r="AD1312" s="9">
        <v>29.039116491286865</v>
      </c>
      <c r="AE1312" s="9">
        <v>31.219251037281825</v>
      </c>
      <c r="AF1312" s="9">
        <v>33.487682081707895</v>
      </c>
      <c r="AG1312" s="9">
        <v>33.487682081707895</v>
      </c>
      <c r="AH1312" s="9">
        <v>36.427668170967245</v>
      </c>
      <c r="AI1312" s="9">
        <v>38.74455996597662</v>
      </c>
      <c r="AJ1312" s="9">
        <v>3.0428788910505911</v>
      </c>
    </row>
    <row r="1313" spans="1:36" x14ac:dyDescent="0.25">
      <c r="A1313" t="s">
        <v>5411</v>
      </c>
      <c r="B1313" t="s">
        <v>16</v>
      </c>
      <c r="C1313" t="s">
        <v>17</v>
      </c>
      <c r="D1313">
        <v>36426000</v>
      </c>
      <c r="E1313">
        <v>36427999</v>
      </c>
      <c r="F1313" t="s">
        <v>1135</v>
      </c>
      <c r="G1313" t="str">
        <f t="shared" si="40"/>
        <v>MGI II</v>
      </c>
      <c r="H1313" t="s">
        <v>851</v>
      </c>
      <c r="I1313" t="s">
        <v>20</v>
      </c>
      <c r="J1313" t="s">
        <v>64</v>
      </c>
      <c r="K1313" s="6">
        <v>0.03</v>
      </c>
      <c r="L1313" s="7">
        <f t="shared" si="41"/>
        <v>2E-3</v>
      </c>
      <c r="M1313" s="7">
        <v>3.0000000000000001E-3</v>
      </c>
      <c r="N1313">
        <v>8</v>
      </c>
      <c r="O1313" s="8">
        <v>17.822306426995311</v>
      </c>
      <c r="P1313" s="9">
        <v>17.822306426995311</v>
      </c>
      <c r="Q1313" s="9">
        <v>17.822306426995311</v>
      </c>
      <c r="R1313" s="9">
        <v>18.237663306594719</v>
      </c>
      <c r="S1313" s="9">
        <v>18.48712920931133</v>
      </c>
      <c r="T1313" s="9">
        <v>19.201553596969877</v>
      </c>
      <c r="U1313" s="9">
        <v>20.562345482855957</v>
      </c>
      <c r="V1313" s="9">
        <v>20.562345482855957</v>
      </c>
      <c r="W1313" s="9">
        <v>20.562345482855957</v>
      </c>
      <c r="X1313" s="9">
        <v>22.391977691000818</v>
      </c>
      <c r="Y1313" s="9">
        <v>22.391977691000818</v>
      </c>
      <c r="Z1313" s="9">
        <v>24.28858708803979</v>
      </c>
      <c r="AA1313" s="9">
        <v>24.28858708803979</v>
      </c>
      <c r="AB1313" s="9">
        <v>25.117335532005217</v>
      </c>
      <c r="AC1313" s="9">
        <v>25.117335532005217</v>
      </c>
      <c r="AD1313" s="9">
        <v>29.039116491286865</v>
      </c>
      <c r="AE1313" s="9">
        <v>31.219251037281825</v>
      </c>
      <c r="AF1313" s="9">
        <v>33.487682081707895</v>
      </c>
      <c r="AG1313" s="9">
        <v>33.487682081707895</v>
      </c>
      <c r="AH1313" s="9">
        <v>36.427668170967245</v>
      </c>
      <c r="AI1313" s="9">
        <v>38.74455996597662</v>
      </c>
      <c r="AJ1313" s="9">
        <v>3.0428788910505911</v>
      </c>
    </row>
    <row r="1314" spans="1:36" x14ac:dyDescent="0.25">
      <c r="A1314" t="s">
        <v>5411</v>
      </c>
      <c r="B1314" t="s">
        <v>16</v>
      </c>
      <c r="C1314" t="s">
        <v>17</v>
      </c>
      <c r="D1314">
        <v>36428000</v>
      </c>
      <c r="E1314">
        <v>36429999</v>
      </c>
      <c r="F1314" t="s">
        <v>1136</v>
      </c>
      <c r="G1314" t="str">
        <f t="shared" si="40"/>
        <v>MGI II</v>
      </c>
      <c r="H1314" t="s">
        <v>851</v>
      </c>
      <c r="I1314" t="s">
        <v>20</v>
      </c>
      <c r="J1314" t="s">
        <v>64</v>
      </c>
      <c r="K1314" s="6">
        <v>0.03</v>
      </c>
      <c r="L1314" s="7">
        <f t="shared" si="41"/>
        <v>2E-3</v>
      </c>
      <c r="M1314" s="7">
        <v>3.0000000000000001E-3</v>
      </c>
      <c r="N1314">
        <v>8</v>
      </c>
      <c r="O1314" s="8">
        <v>17.822306426995311</v>
      </c>
      <c r="P1314" s="9">
        <v>17.822306426995311</v>
      </c>
      <c r="Q1314" s="9">
        <v>17.822306426995311</v>
      </c>
      <c r="R1314" s="9">
        <v>18.237663306594719</v>
      </c>
      <c r="S1314" s="9">
        <v>18.48712920931133</v>
      </c>
      <c r="T1314" s="9">
        <v>19.201553596969877</v>
      </c>
      <c r="U1314" s="9">
        <v>20.562345482855957</v>
      </c>
      <c r="V1314" s="9">
        <v>20.562345482855957</v>
      </c>
      <c r="W1314" s="9">
        <v>20.562345482855957</v>
      </c>
      <c r="X1314" s="9">
        <v>22.391977691000818</v>
      </c>
      <c r="Y1314" s="9">
        <v>22.391977691000818</v>
      </c>
      <c r="Z1314" s="9">
        <v>24.28858708803979</v>
      </c>
      <c r="AA1314" s="9">
        <v>24.28858708803979</v>
      </c>
      <c r="AB1314" s="9">
        <v>25.117335532005217</v>
      </c>
      <c r="AC1314" s="9">
        <v>25.117335532005217</v>
      </c>
      <c r="AD1314" s="9">
        <v>29.039116491286865</v>
      </c>
      <c r="AE1314" s="9">
        <v>31.219251037281825</v>
      </c>
      <c r="AF1314" s="9">
        <v>33.487682081707895</v>
      </c>
      <c r="AG1314" s="9">
        <v>33.487682081707895</v>
      </c>
      <c r="AH1314" s="9">
        <v>36.427668170967245</v>
      </c>
      <c r="AI1314" s="9">
        <v>38.74455996597662</v>
      </c>
      <c r="AJ1314" s="9">
        <v>3.0428788910505911</v>
      </c>
    </row>
    <row r="1315" spans="1:36" x14ac:dyDescent="0.25">
      <c r="A1315" t="s">
        <v>5411</v>
      </c>
      <c r="B1315" t="s">
        <v>16</v>
      </c>
      <c r="C1315" t="s">
        <v>17</v>
      </c>
      <c r="D1315">
        <v>36430000</v>
      </c>
      <c r="E1315">
        <v>36439999</v>
      </c>
      <c r="F1315" t="s">
        <v>1137</v>
      </c>
      <c r="G1315" t="str">
        <f t="shared" si="40"/>
        <v>MGI II</v>
      </c>
      <c r="H1315" t="s">
        <v>851</v>
      </c>
      <c r="I1315" t="s">
        <v>20</v>
      </c>
      <c r="J1315" t="s">
        <v>64</v>
      </c>
      <c r="K1315" s="6">
        <v>0.03</v>
      </c>
      <c r="L1315" s="7">
        <f t="shared" si="41"/>
        <v>2E-3</v>
      </c>
      <c r="M1315" s="7">
        <v>3.0000000000000001E-3</v>
      </c>
      <c r="N1315">
        <v>8</v>
      </c>
      <c r="O1315" s="8">
        <v>17.822306426995311</v>
      </c>
      <c r="P1315" s="9">
        <v>17.822306426995311</v>
      </c>
      <c r="Q1315" s="9">
        <v>17.822306426995311</v>
      </c>
      <c r="R1315" s="9">
        <v>18.237663306594719</v>
      </c>
      <c r="S1315" s="9">
        <v>18.48712920931133</v>
      </c>
      <c r="T1315" s="9">
        <v>19.201553596969877</v>
      </c>
      <c r="U1315" s="9">
        <v>20.562345482855957</v>
      </c>
      <c r="V1315" s="9">
        <v>20.562345482855957</v>
      </c>
      <c r="W1315" s="9">
        <v>20.562345482855957</v>
      </c>
      <c r="X1315" s="9">
        <v>22.391977691000818</v>
      </c>
      <c r="Y1315" s="9">
        <v>22.391977691000818</v>
      </c>
      <c r="Z1315" s="9">
        <v>24.28858708803979</v>
      </c>
      <c r="AA1315" s="9">
        <v>24.28858708803979</v>
      </c>
      <c r="AB1315" s="9">
        <v>25.117335532005217</v>
      </c>
      <c r="AC1315" s="9">
        <v>25.117335532005217</v>
      </c>
      <c r="AD1315" s="9">
        <v>29.039116491286865</v>
      </c>
      <c r="AE1315" s="9">
        <v>31.219251037281825</v>
      </c>
      <c r="AF1315" s="9">
        <v>33.487682081707895</v>
      </c>
      <c r="AG1315" s="9">
        <v>33.487682081707895</v>
      </c>
      <c r="AH1315" s="9">
        <v>36.427668170967245</v>
      </c>
      <c r="AI1315" s="9">
        <v>38.74455996597662</v>
      </c>
      <c r="AJ1315" s="9">
        <v>3.0428788910505911</v>
      </c>
    </row>
    <row r="1316" spans="1:36" x14ac:dyDescent="0.25">
      <c r="A1316" t="s">
        <v>5411</v>
      </c>
      <c r="B1316" t="s">
        <v>16</v>
      </c>
      <c r="C1316" t="s">
        <v>17</v>
      </c>
      <c r="D1316">
        <v>36440000</v>
      </c>
      <c r="E1316">
        <v>36449999</v>
      </c>
      <c r="F1316" t="s">
        <v>1138</v>
      </c>
      <c r="G1316" t="str">
        <f t="shared" si="40"/>
        <v>MGI II</v>
      </c>
      <c r="H1316" t="s">
        <v>851</v>
      </c>
      <c r="I1316" t="s">
        <v>20</v>
      </c>
      <c r="J1316" t="s">
        <v>64</v>
      </c>
      <c r="K1316" s="6">
        <v>0.03</v>
      </c>
      <c r="L1316" s="7">
        <f t="shared" si="41"/>
        <v>2E-3</v>
      </c>
      <c r="M1316" s="7">
        <v>3.0000000000000001E-3</v>
      </c>
      <c r="N1316">
        <v>8</v>
      </c>
      <c r="O1316" s="8">
        <v>17.822306426995311</v>
      </c>
      <c r="P1316" s="9">
        <v>17.822306426995311</v>
      </c>
      <c r="Q1316" s="9">
        <v>17.822306426995311</v>
      </c>
      <c r="R1316" s="9">
        <v>18.237663306594719</v>
      </c>
      <c r="S1316" s="9">
        <v>18.48712920931133</v>
      </c>
      <c r="T1316" s="9">
        <v>19.201553596969877</v>
      </c>
      <c r="U1316" s="9">
        <v>20.562345482855957</v>
      </c>
      <c r="V1316" s="9">
        <v>20.562345482855957</v>
      </c>
      <c r="W1316" s="9">
        <v>20.562345482855957</v>
      </c>
      <c r="X1316" s="9">
        <v>22.391977691000818</v>
      </c>
      <c r="Y1316" s="9">
        <v>22.391977691000818</v>
      </c>
      <c r="Z1316" s="9">
        <v>24.28858708803979</v>
      </c>
      <c r="AA1316" s="9">
        <v>24.28858708803979</v>
      </c>
      <c r="AB1316" s="9">
        <v>25.117335532005217</v>
      </c>
      <c r="AC1316" s="9">
        <v>25.117335532005217</v>
      </c>
      <c r="AD1316" s="9">
        <v>29.039116491286865</v>
      </c>
      <c r="AE1316" s="9">
        <v>31.219251037281825</v>
      </c>
      <c r="AF1316" s="9">
        <v>33.487682081707895</v>
      </c>
      <c r="AG1316" s="9">
        <v>33.487682081707895</v>
      </c>
      <c r="AH1316" s="9">
        <v>36.427668170967245</v>
      </c>
      <c r="AI1316" s="9">
        <v>38.74455996597662</v>
      </c>
      <c r="AJ1316" s="9">
        <v>3.0428788910505911</v>
      </c>
    </row>
    <row r="1317" spans="1:36" x14ac:dyDescent="0.25">
      <c r="A1317" t="s">
        <v>5411</v>
      </c>
      <c r="B1317" t="s">
        <v>16</v>
      </c>
      <c r="C1317" t="s">
        <v>17</v>
      </c>
      <c r="D1317">
        <v>36450000</v>
      </c>
      <c r="E1317">
        <v>36454999</v>
      </c>
      <c r="F1317" t="s">
        <v>1139</v>
      </c>
      <c r="G1317" t="str">
        <f t="shared" si="40"/>
        <v>MGI II</v>
      </c>
      <c r="H1317" t="s">
        <v>851</v>
      </c>
      <c r="I1317" t="s">
        <v>20</v>
      </c>
      <c r="J1317" t="s">
        <v>64</v>
      </c>
      <c r="K1317" s="6">
        <v>0.03</v>
      </c>
      <c r="L1317" s="7">
        <f t="shared" si="41"/>
        <v>2E-3</v>
      </c>
      <c r="M1317" s="7">
        <v>3.0000000000000001E-3</v>
      </c>
      <c r="N1317">
        <v>8</v>
      </c>
      <c r="O1317" s="8">
        <v>17.822306426995311</v>
      </c>
      <c r="P1317" s="9">
        <v>17.822306426995311</v>
      </c>
      <c r="Q1317" s="9">
        <v>17.822306426995311</v>
      </c>
      <c r="R1317" s="9">
        <v>18.237663306594719</v>
      </c>
      <c r="S1317" s="9">
        <v>18.48712920931133</v>
      </c>
      <c r="T1317" s="9">
        <v>19.201553596969877</v>
      </c>
      <c r="U1317" s="9">
        <v>20.562345482855957</v>
      </c>
      <c r="V1317" s="9">
        <v>20.562345482855957</v>
      </c>
      <c r="W1317" s="9">
        <v>20.562345482855957</v>
      </c>
      <c r="X1317" s="9">
        <v>22.391977691000818</v>
      </c>
      <c r="Y1317" s="9">
        <v>22.391977691000818</v>
      </c>
      <c r="Z1317" s="9">
        <v>24.28858708803979</v>
      </c>
      <c r="AA1317" s="9">
        <v>24.28858708803979</v>
      </c>
      <c r="AB1317" s="9">
        <v>25.117335532005217</v>
      </c>
      <c r="AC1317" s="9">
        <v>25.117335532005217</v>
      </c>
      <c r="AD1317" s="9">
        <v>29.039116491286865</v>
      </c>
      <c r="AE1317" s="9">
        <v>31.219251037281825</v>
      </c>
      <c r="AF1317" s="9">
        <v>33.487682081707895</v>
      </c>
      <c r="AG1317" s="9">
        <v>33.487682081707895</v>
      </c>
      <c r="AH1317" s="9">
        <v>36.427668170967245</v>
      </c>
      <c r="AI1317" s="9">
        <v>38.74455996597662</v>
      </c>
      <c r="AJ1317" s="9">
        <v>3.0428788910505911</v>
      </c>
    </row>
    <row r="1318" spans="1:36" x14ac:dyDescent="0.25">
      <c r="A1318" t="s">
        <v>5411</v>
      </c>
      <c r="B1318" t="s">
        <v>16</v>
      </c>
      <c r="C1318" t="s">
        <v>17</v>
      </c>
      <c r="D1318">
        <v>36455000</v>
      </c>
      <c r="E1318">
        <v>36459999</v>
      </c>
      <c r="F1318" t="s">
        <v>1140</v>
      </c>
      <c r="G1318" t="str">
        <f t="shared" si="40"/>
        <v>MGI II</v>
      </c>
      <c r="H1318" t="s">
        <v>851</v>
      </c>
      <c r="I1318" t="s">
        <v>20</v>
      </c>
      <c r="J1318" t="s">
        <v>64</v>
      </c>
      <c r="K1318" s="6">
        <v>0.03</v>
      </c>
      <c r="L1318" s="7">
        <f t="shared" si="41"/>
        <v>2E-3</v>
      </c>
      <c r="M1318" s="7">
        <v>3.0000000000000001E-3</v>
      </c>
      <c r="N1318">
        <v>8</v>
      </c>
      <c r="O1318" s="8">
        <v>17.822306426995311</v>
      </c>
      <c r="P1318" s="9">
        <v>17.822306426995311</v>
      </c>
      <c r="Q1318" s="9">
        <v>17.822306426995311</v>
      </c>
      <c r="R1318" s="9">
        <v>18.237663306594719</v>
      </c>
      <c r="S1318" s="9">
        <v>18.48712920931133</v>
      </c>
      <c r="T1318" s="9">
        <v>19.201553596969877</v>
      </c>
      <c r="U1318" s="9">
        <v>20.562345482855957</v>
      </c>
      <c r="V1318" s="9">
        <v>20.562345482855957</v>
      </c>
      <c r="W1318" s="9">
        <v>20.562345482855957</v>
      </c>
      <c r="X1318" s="9">
        <v>22.391977691000818</v>
      </c>
      <c r="Y1318" s="9">
        <v>22.391977691000818</v>
      </c>
      <c r="Z1318" s="9">
        <v>24.28858708803979</v>
      </c>
      <c r="AA1318" s="9">
        <v>24.28858708803979</v>
      </c>
      <c r="AB1318" s="9">
        <v>25.117335532005217</v>
      </c>
      <c r="AC1318" s="9">
        <v>25.117335532005217</v>
      </c>
      <c r="AD1318" s="9">
        <v>29.039116491286865</v>
      </c>
      <c r="AE1318" s="9">
        <v>31.219251037281825</v>
      </c>
      <c r="AF1318" s="9">
        <v>33.487682081707895</v>
      </c>
      <c r="AG1318" s="9">
        <v>33.487682081707895</v>
      </c>
      <c r="AH1318" s="9">
        <v>36.427668170967245</v>
      </c>
      <c r="AI1318" s="9">
        <v>38.74455996597662</v>
      </c>
      <c r="AJ1318" s="9">
        <v>3.0428788910505911</v>
      </c>
    </row>
    <row r="1319" spans="1:36" x14ac:dyDescent="0.25">
      <c r="A1319" t="s">
        <v>5411</v>
      </c>
      <c r="B1319" t="s">
        <v>16</v>
      </c>
      <c r="C1319" t="s">
        <v>17</v>
      </c>
      <c r="D1319">
        <v>36460000</v>
      </c>
      <c r="E1319">
        <v>36469999</v>
      </c>
      <c r="F1319" t="s">
        <v>1141</v>
      </c>
      <c r="G1319" t="str">
        <f t="shared" si="40"/>
        <v>MGI II</v>
      </c>
      <c r="H1319" t="s">
        <v>851</v>
      </c>
      <c r="I1319" t="s">
        <v>20</v>
      </c>
      <c r="J1319" t="s">
        <v>64</v>
      </c>
      <c r="K1319" s="6">
        <v>0.03</v>
      </c>
      <c r="L1319" s="7">
        <f t="shared" si="41"/>
        <v>2E-3</v>
      </c>
      <c r="M1319" s="7">
        <v>3.0000000000000001E-3</v>
      </c>
      <c r="N1319">
        <v>8</v>
      </c>
      <c r="O1319" s="8">
        <v>17.822306426995311</v>
      </c>
      <c r="P1319" s="9">
        <v>17.822306426995311</v>
      </c>
      <c r="Q1319" s="9">
        <v>17.822306426995311</v>
      </c>
      <c r="R1319" s="9">
        <v>18.237663306594719</v>
      </c>
      <c r="S1319" s="9">
        <v>18.48712920931133</v>
      </c>
      <c r="T1319" s="9">
        <v>19.201553596969877</v>
      </c>
      <c r="U1319" s="9">
        <v>20.562345482855957</v>
      </c>
      <c r="V1319" s="9">
        <v>20.562345482855957</v>
      </c>
      <c r="W1319" s="9">
        <v>20.562345482855957</v>
      </c>
      <c r="X1319" s="9">
        <v>22.391977691000818</v>
      </c>
      <c r="Y1319" s="9">
        <v>22.391977691000818</v>
      </c>
      <c r="Z1319" s="9">
        <v>24.28858708803979</v>
      </c>
      <c r="AA1319" s="9">
        <v>24.28858708803979</v>
      </c>
      <c r="AB1319" s="9">
        <v>25.117335532005217</v>
      </c>
      <c r="AC1319" s="9">
        <v>25.117335532005217</v>
      </c>
      <c r="AD1319" s="9">
        <v>29.039116491286865</v>
      </c>
      <c r="AE1319" s="9">
        <v>31.219251037281825</v>
      </c>
      <c r="AF1319" s="9">
        <v>33.487682081707895</v>
      </c>
      <c r="AG1319" s="9">
        <v>33.487682081707895</v>
      </c>
      <c r="AH1319" s="9">
        <v>36.427668170967245</v>
      </c>
      <c r="AI1319" s="9">
        <v>38.74455996597662</v>
      </c>
      <c r="AJ1319" s="9">
        <v>3.0428788910505911</v>
      </c>
    </row>
    <row r="1320" spans="1:36" x14ac:dyDescent="0.25">
      <c r="A1320" t="s">
        <v>5411</v>
      </c>
      <c r="B1320" t="s">
        <v>16</v>
      </c>
      <c r="C1320" t="s">
        <v>17</v>
      </c>
      <c r="D1320">
        <v>36470000</v>
      </c>
      <c r="E1320">
        <v>36474999</v>
      </c>
      <c r="F1320" t="s">
        <v>1142</v>
      </c>
      <c r="G1320" t="str">
        <f t="shared" si="40"/>
        <v>MGI II</v>
      </c>
      <c r="H1320" t="s">
        <v>851</v>
      </c>
      <c r="I1320" t="s">
        <v>20</v>
      </c>
      <c r="J1320" t="s">
        <v>64</v>
      </c>
      <c r="K1320" s="6">
        <v>0.03</v>
      </c>
      <c r="L1320" s="7">
        <f t="shared" si="41"/>
        <v>2E-3</v>
      </c>
      <c r="M1320" s="7">
        <v>3.0000000000000001E-3</v>
      </c>
      <c r="N1320">
        <v>8</v>
      </c>
      <c r="O1320" s="8">
        <v>17.822306426995311</v>
      </c>
      <c r="P1320" s="9">
        <v>17.822306426995311</v>
      </c>
      <c r="Q1320" s="9">
        <v>17.822306426995311</v>
      </c>
      <c r="R1320" s="9">
        <v>18.237663306594719</v>
      </c>
      <c r="S1320" s="9">
        <v>18.48712920931133</v>
      </c>
      <c r="T1320" s="9">
        <v>19.201553596969877</v>
      </c>
      <c r="U1320" s="9">
        <v>20.562345482855957</v>
      </c>
      <c r="V1320" s="9">
        <v>20.562345482855957</v>
      </c>
      <c r="W1320" s="9">
        <v>20.562345482855957</v>
      </c>
      <c r="X1320" s="9">
        <v>22.391977691000818</v>
      </c>
      <c r="Y1320" s="9">
        <v>22.391977691000818</v>
      </c>
      <c r="Z1320" s="9">
        <v>24.28858708803979</v>
      </c>
      <c r="AA1320" s="9">
        <v>24.28858708803979</v>
      </c>
      <c r="AB1320" s="9">
        <v>25.117335532005217</v>
      </c>
      <c r="AC1320" s="9">
        <v>25.117335532005217</v>
      </c>
      <c r="AD1320" s="9">
        <v>29.039116491286865</v>
      </c>
      <c r="AE1320" s="9">
        <v>31.219251037281825</v>
      </c>
      <c r="AF1320" s="9">
        <v>33.487682081707895</v>
      </c>
      <c r="AG1320" s="9">
        <v>33.487682081707895</v>
      </c>
      <c r="AH1320" s="9">
        <v>36.427668170967245</v>
      </c>
      <c r="AI1320" s="9">
        <v>38.74455996597662</v>
      </c>
      <c r="AJ1320" s="9">
        <v>3.0428788910505911</v>
      </c>
    </row>
    <row r="1321" spans="1:36" x14ac:dyDescent="0.25">
      <c r="A1321" t="s">
        <v>5411</v>
      </c>
      <c r="B1321" t="s">
        <v>16</v>
      </c>
      <c r="C1321" t="s">
        <v>17</v>
      </c>
      <c r="D1321">
        <v>36475000</v>
      </c>
      <c r="E1321">
        <v>36479999</v>
      </c>
      <c r="F1321" t="s">
        <v>623</v>
      </c>
      <c r="G1321" t="str">
        <f t="shared" si="40"/>
        <v>MGI II</v>
      </c>
      <c r="H1321" t="s">
        <v>851</v>
      </c>
      <c r="I1321" t="s">
        <v>20</v>
      </c>
      <c r="J1321" t="s">
        <v>64</v>
      </c>
      <c r="K1321" s="6">
        <v>0.03</v>
      </c>
      <c r="L1321" s="7">
        <f t="shared" si="41"/>
        <v>2E-3</v>
      </c>
      <c r="M1321" s="7">
        <v>3.0000000000000001E-3</v>
      </c>
      <c r="N1321">
        <v>8</v>
      </c>
      <c r="O1321" s="8">
        <v>17.822306426995311</v>
      </c>
      <c r="P1321" s="9">
        <v>17.822306426995311</v>
      </c>
      <c r="Q1321" s="9">
        <v>17.822306426995311</v>
      </c>
      <c r="R1321" s="9">
        <v>18.237663306594719</v>
      </c>
      <c r="S1321" s="9">
        <v>18.48712920931133</v>
      </c>
      <c r="T1321" s="9">
        <v>19.201553596969877</v>
      </c>
      <c r="U1321" s="9">
        <v>20.562345482855957</v>
      </c>
      <c r="V1321" s="9">
        <v>20.562345482855957</v>
      </c>
      <c r="W1321" s="9">
        <v>20.562345482855957</v>
      </c>
      <c r="X1321" s="9">
        <v>22.391977691000818</v>
      </c>
      <c r="Y1321" s="9">
        <v>22.391977691000818</v>
      </c>
      <c r="Z1321" s="9">
        <v>24.28858708803979</v>
      </c>
      <c r="AA1321" s="9">
        <v>24.28858708803979</v>
      </c>
      <c r="AB1321" s="9">
        <v>25.117335532005217</v>
      </c>
      <c r="AC1321" s="9">
        <v>25.117335532005217</v>
      </c>
      <c r="AD1321" s="9">
        <v>29.039116491286865</v>
      </c>
      <c r="AE1321" s="9">
        <v>31.219251037281825</v>
      </c>
      <c r="AF1321" s="9">
        <v>33.487682081707895</v>
      </c>
      <c r="AG1321" s="9">
        <v>33.487682081707895</v>
      </c>
      <c r="AH1321" s="9">
        <v>36.427668170967245</v>
      </c>
      <c r="AI1321" s="9">
        <v>38.74455996597662</v>
      </c>
      <c r="AJ1321" s="9">
        <v>3.0428788910505911</v>
      </c>
    </row>
    <row r="1322" spans="1:36" x14ac:dyDescent="0.25">
      <c r="A1322" t="s">
        <v>5411</v>
      </c>
      <c r="B1322" t="s">
        <v>16</v>
      </c>
      <c r="C1322" t="s">
        <v>17</v>
      </c>
      <c r="D1322">
        <v>36480000</v>
      </c>
      <c r="E1322">
        <v>36499999</v>
      </c>
      <c r="F1322" t="s">
        <v>1143</v>
      </c>
      <c r="G1322" t="str">
        <f t="shared" si="40"/>
        <v>MGI</v>
      </c>
      <c r="H1322" t="s">
        <v>851</v>
      </c>
      <c r="I1322" t="s">
        <v>20</v>
      </c>
      <c r="J1322" t="s">
        <v>62</v>
      </c>
      <c r="K1322" s="6">
        <v>0.03</v>
      </c>
      <c r="L1322" s="7">
        <f t="shared" si="41"/>
        <v>2E-3</v>
      </c>
      <c r="M1322" s="7">
        <v>3.0000000000000001E-3</v>
      </c>
      <c r="N1322">
        <v>8</v>
      </c>
      <c r="O1322" s="8">
        <v>13.880385281502075</v>
      </c>
      <c r="P1322" s="9">
        <v>13.880385281502075</v>
      </c>
      <c r="Q1322" s="9">
        <v>13.880385281502075</v>
      </c>
      <c r="R1322" s="9">
        <v>14.045989937445718</v>
      </c>
      <c r="S1322" s="9">
        <v>14.060876315369912</v>
      </c>
      <c r="T1322" s="9">
        <v>15.090338571208333</v>
      </c>
      <c r="U1322" s="9">
        <v>16.025407313902726</v>
      </c>
      <c r="V1322" s="9">
        <v>16.025407313902726</v>
      </c>
      <c r="W1322" s="9">
        <v>16.025407313902726</v>
      </c>
      <c r="X1322" s="9">
        <v>18.013895748167766</v>
      </c>
      <c r="Y1322" s="9">
        <v>18.013895748167766</v>
      </c>
      <c r="Z1322" s="9">
        <v>20.142868501532355</v>
      </c>
      <c r="AA1322" s="9">
        <v>20.142868501532355</v>
      </c>
      <c r="AB1322" s="9">
        <v>22.456349831314476</v>
      </c>
      <c r="AC1322" s="9">
        <v>22.456349831314476</v>
      </c>
      <c r="AD1322" s="9">
        <v>24.87984091164185</v>
      </c>
      <c r="AE1322" s="9">
        <v>27.427492221952345</v>
      </c>
      <c r="AF1322" s="9">
        <v>33.194804868730657</v>
      </c>
      <c r="AG1322" s="9">
        <v>33.194804868730657</v>
      </c>
      <c r="AH1322" s="9">
        <v>35.957808835828068</v>
      </c>
      <c r="AI1322" s="9">
        <v>38.646304092692077</v>
      </c>
      <c r="AJ1322" s="9">
        <v>3.0428788910505911</v>
      </c>
    </row>
    <row r="1323" spans="1:36" x14ac:dyDescent="0.25">
      <c r="A1323" t="s">
        <v>5411</v>
      </c>
      <c r="B1323" t="s">
        <v>16</v>
      </c>
      <c r="C1323" t="s">
        <v>17</v>
      </c>
      <c r="D1323">
        <v>36500000</v>
      </c>
      <c r="E1323">
        <v>36509999</v>
      </c>
      <c r="F1323" t="s">
        <v>1144</v>
      </c>
      <c r="G1323" t="str">
        <f t="shared" si="40"/>
        <v>MGI II</v>
      </c>
      <c r="H1323" t="s">
        <v>851</v>
      </c>
      <c r="I1323" t="s">
        <v>20</v>
      </c>
      <c r="J1323" t="s">
        <v>64</v>
      </c>
      <c r="K1323" s="6">
        <v>0.03</v>
      </c>
      <c r="L1323" s="7">
        <f t="shared" si="41"/>
        <v>2E-3</v>
      </c>
      <c r="M1323" s="7">
        <v>3.0000000000000001E-3</v>
      </c>
      <c r="N1323">
        <v>8</v>
      </c>
      <c r="O1323" s="8">
        <v>17.822306426995311</v>
      </c>
      <c r="P1323" s="9">
        <v>17.822306426995311</v>
      </c>
      <c r="Q1323" s="9">
        <v>17.822306426995311</v>
      </c>
      <c r="R1323" s="9">
        <v>18.237663306594719</v>
      </c>
      <c r="S1323" s="9">
        <v>18.48712920931133</v>
      </c>
      <c r="T1323" s="9">
        <v>19.201553596969877</v>
      </c>
      <c r="U1323" s="9">
        <v>20.562345482855957</v>
      </c>
      <c r="V1323" s="9">
        <v>20.562345482855957</v>
      </c>
      <c r="W1323" s="9">
        <v>20.562345482855957</v>
      </c>
      <c r="X1323" s="9">
        <v>22.391977691000818</v>
      </c>
      <c r="Y1323" s="9">
        <v>22.391977691000818</v>
      </c>
      <c r="Z1323" s="9">
        <v>24.28858708803979</v>
      </c>
      <c r="AA1323" s="9">
        <v>24.28858708803979</v>
      </c>
      <c r="AB1323" s="9">
        <v>25.117335532005217</v>
      </c>
      <c r="AC1323" s="9">
        <v>25.117335532005217</v>
      </c>
      <c r="AD1323" s="9">
        <v>29.039116491286865</v>
      </c>
      <c r="AE1323" s="9">
        <v>31.219251037281825</v>
      </c>
      <c r="AF1323" s="9">
        <v>33.487682081707895</v>
      </c>
      <c r="AG1323" s="9">
        <v>33.487682081707895</v>
      </c>
      <c r="AH1323" s="9">
        <v>36.427668170967245</v>
      </c>
      <c r="AI1323" s="9">
        <v>38.74455996597662</v>
      </c>
      <c r="AJ1323" s="9">
        <v>3.0428788910505911</v>
      </c>
    </row>
    <row r="1324" spans="1:36" x14ac:dyDescent="0.25">
      <c r="A1324" t="s">
        <v>5411</v>
      </c>
      <c r="B1324" t="s">
        <v>16</v>
      </c>
      <c r="C1324" t="s">
        <v>17</v>
      </c>
      <c r="D1324">
        <v>36510000</v>
      </c>
      <c r="E1324">
        <v>36511999</v>
      </c>
      <c r="F1324" t="s">
        <v>1145</v>
      </c>
      <c r="G1324" t="str">
        <f t="shared" si="40"/>
        <v>MGI II</v>
      </c>
      <c r="H1324" t="s">
        <v>851</v>
      </c>
      <c r="I1324" t="s">
        <v>20</v>
      </c>
      <c r="J1324" t="s">
        <v>64</v>
      </c>
      <c r="K1324" s="6">
        <v>0.03</v>
      </c>
      <c r="L1324" s="7">
        <f t="shared" si="41"/>
        <v>2E-3</v>
      </c>
      <c r="M1324" s="7">
        <v>3.0000000000000001E-3</v>
      </c>
      <c r="N1324">
        <v>7</v>
      </c>
      <c r="O1324" s="8">
        <v>17.822306426995311</v>
      </c>
      <c r="P1324" s="9">
        <v>17.822306426995311</v>
      </c>
      <c r="Q1324" s="9">
        <v>17.822306426995311</v>
      </c>
      <c r="R1324" s="9">
        <v>18.237663306594719</v>
      </c>
      <c r="S1324" s="9">
        <v>18.48712920931133</v>
      </c>
      <c r="T1324" s="9">
        <v>19.201553596969877</v>
      </c>
      <c r="U1324" s="9">
        <v>20.562345482855957</v>
      </c>
      <c r="V1324" s="9">
        <v>20.562345482855957</v>
      </c>
      <c r="W1324" s="9">
        <v>20.562345482855957</v>
      </c>
      <c r="X1324" s="9">
        <v>22.391977691000818</v>
      </c>
      <c r="Y1324" s="9">
        <v>22.391977691000818</v>
      </c>
      <c r="Z1324" s="9">
        <v>24.28858708803979</v>
      </c>
      <c r="AA1324" s="9">
        <v>24.28858708803979</v>
      </c>
      <c r="AB1324" s="9">
        <v>25.117335532005217</v>
      </c>
      <c r="AC1324" s="9">
        <v>25.117335532005217</v>
      </c>
      <c r="AD1324" s="9">
        <v>29.039116491286865</v>
      </c>
      <c r="AE1324" s="9">
        <v>31.219251037281825</v>
      </c>
      <c r="AF1324" s="9">
        <v>33.487682081707895</v>
      </c>
      <c r="AG1324" s="9">
        <v>33.487682081707895</v>
      </c>
      <c r="AH1324" s="9">
        <v>36.427668170967245</v>
      </c>
      <c r="AI1324" s="9">
        <v>38.74455996597662</v>
      </c>
      <c r="AJ1324" s="9">
        <v>3.0428788910505911</v>
      </c>
    </row>
    <row r="1325" spans="1:36" x14ac:dyDescent="0.25">
      <c r="A1325" t="s">
        <v>5411</v>
      </c>
      <c r="B1325" t="s">
        <v>16</v>
      </c>
      <c r="C1325" t="s">
        <v>17</v>
      </c>
      <c r="D1325">
        <v>36512000</v>
      </c>
      <c r="E1325">
        <v>36512999</v>
      </c>
      <c r="F1325" t="s">
        <v>1146</v>
      </c>
      <c r="G1325" t="str">
        <f t="shared" si="40"/>
        <v>MGI</v>
      </c>
      <c r="H1325" t="s">
        <v>851</v>
      </c>
      <c r="I1325" t="s">
        <v>20</v>
      </c>
      <c r="J1325" t="s">
        <v>62</v>
      </c>
      <c r="K1325" s="6">
        <v>0.03</v>
      </c>
      <c r="L1325" s="7">
        <f t="shared" si="41"/>
        <v>2E-3</v>
      </c>
      <c r="M1325" s="7">
        <v>3.0000000000000001E-3</v>
      </c>
      <c r="N1325">
        <v>7</v>
      </c>
      <c r="O1325" s="8">
        <v>13.880385281502075</v>
      </c>
      <c r="P1325" s="9">
        <v>13.880385281502075</v>
      </c>
      <c r="Q1325" s="9">
        <v>13.880385281502075</v>
      </c>
      <c r="R1325" s="9">
        <v>14.045989937445718</v>
      </c>
      <c r="S1325" s="9">
        <v>14.060876315369912</v>
      </c>
      <c r="T1325" s="9">
        <v>15.090338571208333</v>
      </c>
      <c r="U1325" s="9">
        <v>16.025407313902726</v>
      </c>
      <c r="V1325" s="9">
        <v>16.025407313902726</v>
      </c>
      <c r="W1325" s="9">
        <v>16.025407313902726</v>
      </c>
      <c r="X1325" s="9">
        <v>18.013895748167766</v>
      </c>
      <c r="Y1325" s="9">
        <v>18.013895748167766</v>
      </c>
      <c r="Z1325" s="9">
        <v>20.142868501532355</v>
      </c>
      <c r="AA1325" s="9">
        <v>20.142868501532355</v>
      </c>
      <c r="AB1325" s="9">
        <v>22.456349831314476</v>
      </c>
      <c r="AC1325" s="9">
        <v>22.456349831314476</v>
      </c>
      <c r="AD1325" s="9">
        <v>24.87984091164185</v>
      </c>
      <c r="AE1325" s="9">
        <v>27.427492221952345</v>
      </c>
      <c r="AF1325" s="9">
        <v>33.194804868730657</v>
      </c>
      <c r="AG1325" s="9">
        <v>33.194804868730657</v>
      </c>
      <c r="AH1325" s="9">
        <v>35.957808835828068</v>
      </c>
      <c r="AI1325" s="9">
        <v>38.646304092692077</v>
      </c>
      <c r="AJ1325" s="9">
        <v>3.0428788910505911</v>
      </c>
    </row>
    <row r="1326" spans="1:36" x14ac:dyDescent="0.25">
      <c r="A1326" t="s">
        <v>5411</v>
      </c>
      <c r="B1326" t="s">
        <v>16</v>
      </c>
      <c r="C1326" t="s">
        <v>17</v>
      </c>
      <c r="D1326">
        <v>36513000</v>
      </c>
      <c r="E1326">
        <v>36514999</v>
      </c>
      <c r="F1326" t="s">
        <v>1147</v>
      </c>
      <c r="G1326" t="str">
        <f t="shared" si="40"/>
        <v>MGI II</v>
      </c>
      <c r="H1326" t="s">
        <v>851</v>
      </c>
      <c r="I1326" t="s">
        <v>20</v>
      </c>
      <c r="J1326" t="s">
        <v>64</v>
      </c>
      <c r="K1326" s="6">
        <v>0.03</v>
      </c>
      <c r="L1326" s="7">
        <f t="shared" si="41"/>
        <v>2E-3</v>
      </c>
      <c r="M1326" s="7">
        <v>3.0000000000000001E-3</v>
      </c>
      <c r="N1326">
        <v>8</v>
      </c>
      <c r="O1326" s="8">
        <v>17.822306426995311</v>
      </c>
      <c r="P1326" s="9">
        <v>17.822306426995311</v>
      </c>
      <c r="Q1326" s="9">
        <v>17.822306426995311</v>
      </c>
      <c r="R1326" s="9">
        <v>18.237663306594719</v>
      </c>
      <c r="S1326" s="9">
        <v>18.48712920931133</v>
      </c>
      <c r="T1326" s="9">
        <v>19.201553596969877</v>
      </c>
      <c r="U1326" s="9">
        <v>20.562345482855957</v>
      </c>
      <c r="V1326" s="9">
        <v>20.562345482855957</v>
      </c>
      <c r="W1326" s="9">
        <v>20.562345482855957</v>
      </c>
      <c r="X1326" s="9">
        <v>22.391977691000818</v>
      </c>
      <c r="Y1326" s="9">
        <v>22.391977691000818</v>
      </c>
      <c r="Z1326" s="9">
        <v>24.28858708803979</v>
      </c>
      <c r="AA1326" s="9">
        <v>24.28858708803979</v>
      </c>
      <c r="AB1326" s="9">
        <v>25.117335532005217</v>
      </c>
      <c r="AC1326" s="9">
        <v>25.117335532005217</v>
      </c>
      <c r="AD1326" s="9">
        <v>29.039116491286865</v>
      </c>
      <c r="AE1326" s="9">
        <v>31.219251037281825</v>
      </c>
      <c r="AF1326" s="9">
        <v>33.487682081707895</v>
      </c>
      <c r="AG1326" s="9">
        <v>33.487682081707895</v>
      </c>
      <c r="AH1326" s="9">
        <v>36.427668170967245</v>
      </c>
      <c r="AI1326" s="9">
        <v>38.74455996597662</v>
      </c>
      <c r="AJ1326" s="9">
        <v>3.0428788910505911</v>
      </c>
    </row>
    <row r="1327" spans="1:36" x14ac:dyDescent="0.25">
      <c r="A1327" t="s">
        <v>5411</v>
      </c>
      <c r="B1327" t="s">
        <v>16</v>
      </c>
      <c r="C1327" t="s">
        <v>17</v>
      </c>
      <c r="D1327">
        <v>36515000</v>
      </c>
      <c r="E1327">
        <v>36519999</v>
      </c>
      <c r="F1327" t="s">
        <v>1148</v>
      </c>
      <c r="G1327" t="str">
        <f t="shared" si="40"/>
        <v>MGI II</v>
      </c>
      <c r="H1327" t="s">
        <v>851</v>
      </c>
      <c r="I1327" t="s">
        <v>20</v>
      </c>
      <c r="J1327" t="s">
        <v>64</v>
      </c>
      <c r="K1327" s="6">
        <v>0.03</v>
      </c>
      <c r="L1327" s="7">
        <f t="shared" si="41"/>
        <v>2E-3</v>
      </c>
      <c r="M1327" s="7">
        <v>3.0000000000000001E-3</v>
      </c>
      <c r="N1327">
        <v>7</v>
      </c>
      <c r="O1327" s="8">
        <v>17.822306426995311</v>
      </c>
      <c r="P1327" s="9">
        <v>17.822306426995311</v>
      </c>
      <c r="Q1327" s="9">
        <v>17.822306426995311</v>
      </c>
      <c r="R1327" s="9">
        <v>18.237663306594719</v>
      </c>
      <c r="S1327" s="9">
        <v>18.48712920931133</v>
      </c>
      <c r="T1327" s="9">
        <v>19.201553596969877</v>
      </c>
      <c r="U1327" s="9">
        <v>20.562345482855957</v>
      </c>
      <c r="V1327" s="9">
        <v>20.562345482855957</v>
      </c>
      <c r="W1327" s="9">
        <v>20.562345482855957</v>
      </c>
      <c r="X1327" s="9">
        <v>22.391977691000818</v>
      </c>
      <c r="Y1327" s="9">
        <v>22.391977691000818</v>
      </c>
      <c r="Z1327" s="9">
        <v>24.28858708803979</v>
      </c>
      <c r="AA1327" s="9">
        <v>24.28858708803979</v>
      </c>
      <c r="AB1327" s="9">
        <v>25.117335532005217</v>
      </c>
      <c r="AC1327" s="9">
        <v>25.117335532005217</v>
      </c>
      <c r="AD1327" s="9">
        <v>29.039116491286865</v>
      </c>
      <c r="AE1327" s="9">
        <v>31.219251037281825</v>
      </c>
      <c r="AF1327" s="9">
        <v>33.487682081707895</v>
      </c>
      <c r="AG1327" s="9">
        <v>33.487682081707895</v>
      </c>
      <c r="AH1327" s="9">
        <v>36.427668170967245</v>
      </c>
      <c r="AI1327" s="9">
        <v>38.74455996597662</v>
      </c>
      <c r="AJ1327" s="9">
        <v>3.0428788910505911</v>
      </c>
    </row>
    <row r="1328" spans="1:36" x14ac:dyDescent="0.25">
      <c r="A1328" t="s">
        <v>5411</v>
      </c>
      <c r="B1328" t="s">
        <v>16</v>
      </c>
      <c r="C1328" t="s">
        <v>17</v>
      </c>
      <c r="D1328">
        <v>36520000</v>
      </c>
      <c r="E1328">
        <v>36524999</v>
      </c>
      <c r="F1328" t="s">
        <v>1149</v>
      </c>
      <c r="G1328" t="str">
        <f t="shared" si="40"/>
        <v>MGI</v>
      </c>
      <c r="H1328" t="s">
        <v>851</v>
      </c>
      <c r="I1328" t="s">
        <v>20</v>
      </c>
      <c r="J1328" t="s">
        <v>62</v>
      </c>
      <c r="K1328" s="6">
        <v>0.03</v>
      </c>
      <c r="L1328" s="7">
        <f t="shared" si="41"/>
        <v>2E-3</v>
      </c>
      <c r="M1328" s="7">
        <v>3.0000000000000001E-3</v>
      </c>
      <c r="N1328">
        <v>7</v>
      </c>
      <c r="O1328" s="8">
        <v>13.880385281502075</v>
      </c>
      <c r="P1328" s="9">
        <v>13.880385281502075</v>
      </c>
      <c r="Q1328" s="9">
        <v>13.880385281502075</v>
      </c>
      <c r="R1328" s="9">
        <v>14.045989937445718</v>
      </c>
      <c r="S1328" s="9">
        <v>14.060876315369912</v>
      </c>
      <c r="T1328" s="9">
        <v>15.090338571208333</v>
      </c>
      <c r="U1328" s="9">
        <v>16.025407313902726</v>
      </c>
      <c r="V1328" s="9">
        <v>16.025407313902726</v>
      </c>
      <c r="W1328" s="9">
        <v>16.025407313902726</v>
      </c>
      <c r="X1328" s="9">
        <v>18.013895748167766</v>
      </c>
      <c r="Y1328" s="9">
        <v>18.013895748167766</v>
      </c>
      <c r="Z1328" s="9">
        <v>20.142868501532355</v>
      </c>
      <c r="AA1328" s="9">
        <v>20.142868501532355</v>
      </c>
      <c r="AB1328" s="9">
        <v>22.456349831314476</v>
      </c>
      <c r="AC1328" s="9">
        <v>22.456349831314476</v>
      </c>
      <c r="AD1328" s="9">
        <v>24.87984091164185</v>
      </c>
      <c r="AE1328" s="9">
        <v>27.427492221952345</v>
      </c>
      <c r="AF1328" s="9">
        <v>33.194804868730657</v>
      </c>
      <c r="AG1328" s="9">
        <v>33.194804868730657</v>
      </c>
      <c r="AH1328" s="9">
        <v>35.957808835828068</v>
      </c>
      <c r="AI1328" s="9">
        <v>38.646304092692077</v>
      </c>
      <c r="AJ1328" s="9">
        <v>3.0428788910505911</v>
      </c>
    </row>
    <row r="1329" spans="1:36" x14ac:dyDescent="0.25">
      <c r="A1329" t="s">
        <v>5411</v>
      </c>
      <c r="B1329" t="s">
        <v>16</v>
      </c>
      <c r="C1329" t="s">
        <v>17</v>
      </c>
      <c r="D1329">
        <v>36525000</v>
      </c>
      <c r="E1329">
        <v>36529999</v>
      </c>
      <c r="F1329" t="s">
        <v>1150</v>
      </c>
      <c r="G1329" t="str">
        <f t="shared" si="40"/>
        <v>MGI II</v>
      </c>
      <c r="H1329" t="s">
        <v>851</v>
      </c>
      <c r="I1329" t="s">
        <v>20</v>
      </c>
      <c r="J1329" t="s">
        <v>64</v>
      </c>
      <c r="K1329" s="6">
        <v>0.03</v>
      </c>
      <c r="L1329" s="7">
        <f t="shared" si="41"/>
        <v>2E-3</v>
      </c>
      <c r="M1329" s="7">
        <v>3.0000000000000001E-3</v>
      </c>
      <c r="N1329">
        <v>8</v>
      </c>
      <c r="O1329" s="8">
        <v>17.822306426995311</v>
      </c>
      <c r="P1329" s="9">
        <v>17.822306426995311</v>
      </c>
      <c r="Q1329" s="9">
        <v>17.822306426995311</v>
      </c>
      <c r="R1329" s="9">
        <v>18.237663306594719</v>
      </c>
      <c r="S1329" s="9">
        <v>18.48712920931133</v>
      </c>
      <c r="T1329" s="9">
        <v>19.201553596969877</v>
      </c>
      <c r="U1329" s="9">
        <v>20.562345482855957</v>
      </c>
      <c r="V1329" s="9">
        <v>20.562345482855957</v>
      </c>
      <c r="W1329" s="9">
        <v>20.562345482855957</v>
      </c>
      <c r="X1329" s="9">
        <v>22.391977691000818</v>
      </c>
      <c r="Y1329" s="9">
        <v>22.391977691000818</v>
      </c>
      <c r="Z1329" s="9">
        <v>24.28858708803979</v>
      </c>
      <c r="AA1329" s="9">
        <v>24.28858708803979</v>
      </c>
      <c r="AB1329" s="9">
        <v>25.117335532005217</v>
      </c>
      <c r="AC1329" s="9">
        <v>25.117335532005217</v>
      </c>
      <c r="AD1329" s="9">
        <v>29.039116491286865</v>
      </c>
      <c r="AE1329" s="9">
        <v>31.219251037281825</v>
      </c>
      <c r="AF1329" s="9">
        <v>33.487682081707895</v>
      </c>
      <c r="AG1329" s="9">
        <v>33.487682081707895</v>
      </c>
      <c r="AH1329" s="9">
        <v>36.427668170967245</v>
      </c>
      <c r="AI1329" s="9">
        <v>38.74455996597662</v>
      </c>
      <c r="AJ1329" s="9">
        <v>3.0428788910505911</v>
      </c>
    </row>
    <row r="1330" spans="1:36" x14ac:dyDescent="0.25">
      <c r="A1330" t="s">
        <v>5411</v>
      </c>
      <c r="B1330" t="s">
        <v>16</v>
      </c>
      <c r="C1330" t="s">
        <v>17</v>
      </c>
      <c r="D1330">
        <v>36530000</v>
      </c>
      <c r="E1330">
        <v>36539999</v>
      </c>
      <c r="F1330" t="s">
        <v>1151</v>
      </c>
      <c r="G1330" t="str">
        <f t="shared" si="40"/>
        <v>MGI II</v>
      </c>
      <c r="H1330" t="s">
        <v>851</v>
      </c>
      <c r="I1330" t="s">
        <v>20</v>
      </c>
      <c r="J1330" t="s">
        <v>64</v>
      </c>
      <c r="K1330" s="6">
        <v>0.03</v>
      </c>
      <c r="L1330" s="7">
        <f t="shared" si="41"/>
        <v>2E-3</v>
      </c>
      <c r="M1330" s="7">
        <v>3.0000000000000001E-3</v>
      </c>
      <c r="N1330">
        <v>8</v>
      </c>
      <c r="O1330" s="8">
        <v>17.822306426995311</v>
      </c>
      <c r="P1330" s="9">
        <v>17.822306426995311</v>
      </c>
      <c r="Q1330" s="9">
        <v>17.822306426995311</v>
      </c>
      <c r="R1330" s="9">
        <v>18.237663306594719</v>
      </c>
      <c r="S1330" s="9">
        <v>18.48712920931133</v>
      </c>
      <c r="T1330" s="9">
        <v>19.201553596969877</v>
      </c>
      <c r="U1330" s="9">
        <v>20.562345482855957</v>
      </c>
      <c r="V1330" s="9">
        <v>20.562345482855957</v>
      </c>
      <c r="W1330" s="9">
        <v>20.562345482855957</v>
      </c>
      <c r="X1330" s="9">
        <v>22.391977691000818</v>
      </c>
      <c r="Y1330" s="9">
        <v>22.391977691000818</v>
      </c>
      <c r="Z1330" s="9">
        <v>24.28858708803979</v>
      </c>
      <c r="AA1330" s="9">
        <v>24.28858708803979</v>
      </c>
      <c r="AB1330" s="9">
        <v>25.117335532005217</v>
      </c>
      <c r="AC1330" s="9">
        <v>25.117335532005217</v>
      </c>
      <c r="AD1330" s="9">
        <v>29.039116491286865</v>
      </c>
      <c r="AE1330" s="9">
        <v>31.219251037281825</v>
      </c>
      <c r="AF1330" s="9">
        <v>33.487682081707895</v>
      </c>
      <c r="AG1330" s="9">
        <v>33.487682081707895</v>
      </c>
      <c r="AH1330" s="9">
        <v>36.427668170967245</v>
      </c>
      <c r="AI1330" s="9">
        <v>38.74455996597662</v>
      </c>
      <c r="AJ1330" s="9">
        <v>3.0428788910505911</v>
      </c>
    </row>
    <row r="1331" spans="1:36" x14ac:dyDescent="0.25">
      <c r="A1331" t="s">
        <v>5411</v>
      </c>
      <c r="B1331" t="s">
        <v>16</v>
      </c>
      <c r="C1331" t="s">
        <v>17</v>
      </c>
      <c r="D1331">
        <v>36540000</v>
      </c>
      <c r="E1331">
        <v>36541999</v>
      </c>
      <c r="F1331" t="s">
        <v>1152</v>
      </c>
      <c r="G1331" t="str">
        <f t="shared" si="40"/>
        <v>MGI II</v>
      </c>
      <c r="H1331" t="s">
        <v>851</v>
      </c>
      <c r="I1331" t="s">
        <v>20</v>
      </c>
      <c r="J1331" t="s">
        <v>64</v>
      </c>
      <c r="K1331" s="6">
        <v>0.03</v>
      </c>
      <c r="L1331" s="7">
        <f t="shared" si="41"/>
        <v>2E-3</v>
      </c>
      <c r="M1331" s="7">
        <v>3.0000000000000001E-3</v>
      </c>
      <c r="N1331">
        <v>8</v>
      </c>
      <c r="O1331" s="8">
        <v>17.822306426995311</v>
      </c>
      <c r="P1331" s="9">
        <v>17.822306426995311</v>
      </c>
      <c r="Q1331" s="9">
        <v>17.822306426995311</v>
      </c>
      <c r="R1331" s="9">
        <v>18.237663306594719</v>
      </c>
      <c r="S1331" s="9">
        <v>18.48712920931133</v>
      </c>
      <c r="T1331" s="9">
        <v>19.201553596969877</v>
      </c>
      <c r="U1331" s="9">
        <v>20.562345482855957</v>
      </c>
      <c r="V1331" s="9">
        <v>20.562345482855957</v>
      </c>
      <c r="W1331" s="9">
        <v>20.562345482855957</v>
      </c>
      <c r="X1331" s="9">
        <v>22.391977691000818</v>
      </c>
      <c r="Y1331" s="9">
        <v>22.391977691000818</v>
      </c>
      <c r="Z1331" s="9">
        <v>24.28858708803979</v>
      </c>
      <c r="AA1331" s="9">
        <v>24.28858708803979</v>
      </c>
      <c r="AB1331" s="9">
        <v>25.117335532005217</v>
      </c>
      <c r="AC1331" s="9">
        <v>25.117335532005217</v>
      </c>
      <c r="AD1331" s="9">
        <v>29.039116491286865</v>
      </c>
      <c r="AE1331" s="9">
        <v>31.219251037281825</v>
      </c>
      <c r="AF1331" s="9">
        <v>33.487682081707895</v>
      </c>
      <c r="AG1331" s="9">
        <v>33.487682081707895</v>
      </c>
      <c r="AH1331" s="9">
        <v>36.427668170967245</v>
      </c>
      <c r="AI1331" s="9">
        <v>38.74455996597662</v>
      </c>
      <c r="AJ1331" s="9">
        <v>3.0428788910505911</v>
      </c>
    </row>
    <row r="1332" spans="1:36" x14ac:dyDescent="0.25">
      <c r="A1332" t="s">
        <v>5411</v>
      </c>
      <c r="B1332" t="s">
        <v>16</v>
      </c>
      <c r="C1332" t="s">
        <v>17</v>
      </c>
      <c r="D1332">
        <v>36542000</v>
      </c>
      <c r="E1332">
        <v>36543999</v>
      </c>
      <c r="F1332" t="s">
        <v>1153</v>
      </c>
      <c r="G1332" t="str">
        <f t="shared" si="40"/>
        <v>MGI II</v>
      </c>
      <c r="H1332" t="s">
        <v>851</v>
      </c>
      <c r="I1332" t="s">
        <v>20</v>
      </c>
      <c r="J1332" t="s">
        <v>64</v>
      </c>
      <c r="K1332" s="6">
        <v>0.03</v>
      </c>
      <c r="L1332" s="7">
        <f t="shared" si="41"/>
        <v>2E-3</v>
      </c>
      <c r="M1332" s="7">
        <v>3.0000000000000001E-3</v>
      </c>
      <c r="N1332">
        <v>8</v>
      </c>
      <c r="O1332" s="8">
        <v>17.822306426995311</v>
      </c>
      <c r="P1332" s="9">
        <v>17.822306426995311</v>
      </c>
      <c r="Q1332" s="9">
        <v>17.822306426995311</v>
      </c>
      <c r="R1332" s="9">
        <v>18.237663306594719</v>
      </c>
      <c r="S1332" s="9">
        <v>18.48712920931133</v>
      </c>
      <c r="T1332" s="9">
        <v>19.201553596969877</v>
      </c>
      <c r="U1332" s="9">
        <v>20.562345482855957</v>
      </c>
      <c r="V1332" s="9">
        <v>20.562345482855957</v>
      </c>
      <c r="W1332" s="9">
        <v>20.562345482855957</v>
      </c>
      <c r="X1332" s="9">
        <v>22.391977691000818</v>
      </c>
      <c r="Y1332" s="9">
        <v>22.391977691000818</v>
      </c>
      <c r="Z1332" s="9">
        <v>24.28858708803979</v>
      </c>
      <c r="AA1332" s="9">
        <v>24.28858708803979</v>
      </c>
      <c r="AB1332" s="9">
        <v>25.117335532005217</v>
      </c>
      <c r="AC1332" s="9">
        <v>25.117335532005217</v>
      </c>
      <c r="AD1332" s="9">
        <v>29.039116491286865</v>
      </c>
      <c r="AE1332" s="9">
        <v>31.219251037281825</v>
      </c>
      <c r="AF1332" s="9">
        <v>33.487682081707895</v>
      </c>
      <c r="AG1332" s="9">
        <v>33.487682081707895</v>
      </c>
      <c r="AH1332" s="9">
        <v>36.427668170967245</v>
      </c>
      <c r="AI1332" s="9">
        <v>38.74455996597662</v>
      </c>
      <c r="AJ1332" s="9">
        <v>3.0428788910505911</v>
      </c>
    </row>
    <row r="1333" spans="1:36" x14ac:dyDescent="0.25">
      <c r="A1333" t="s">
        <v>5411</v>
      </c>
      <c r="B1333" t="s">
        <v>16</v>
      </c>
      <c r="C1333" t="s">
        <v>17</v>
      </c>
      <c r="D1333">
        <v>36544000</v>
      </c>
      <c r="E1333">
        <v>36545999</v>
      </c>
      <c r="F1333" t="s">
        <v>1154</v>
      </c>
      <c r="G1333" t="str">
        <f t="shared" si="40"/>
        <v>MGI II</v>
      </c>
      <c r="H1333" t="s">
        <v>851</v>
      </c>
      <c r="I1333" t="s">
        <v>20</v>
      </c>
      <c r="J1333" t="s">
        <v>64</v>
      </c>
      <c r="K1333" s="6">
        <v>0.03</v>
      </c>
      <c r="L1333" s="7">
        <f t="shared" si="41"/>
        <v>2E-3</v>
      </c>
      <c r="M1333" s="7">
        <v>3.0000000000000001E-3</v>
      </c>
      <c r="N1333">
        <v>7</v>
      </c>
      <c r="O1333" s="8">
        <v>17.822306426995311</v>
      </c>
      <c r="P1333" s="9">
        <v>17.822306426995311</v>
      </c>
      <c r="Q1333" s="9">
        <v>17.822306426995311</v>
      </c>
      <c r="R1333" s="9">
        <v>18.237663306594719</v>
      </c>
      <c r="S1333" s="9">
        <v>18.48712920931133</v>
      </c>
      <c r="T1333" s="9">
        <v>19.201553596969877</v>
      </c>
      <c r="U1333" s="9">
        <v>20.562345482855957</v>
      </c>
      <c r="V1333" s="9">
        <v>20.562345482855957</v>
      </c>
      <c r="W1333" s="9">
        <v>20.562345482855957</v>
      </c>
      <c r="X1333" s="9">
        <v>22.391977691000818</v>
      </c>
      <c r="Y1333" s="9">
        <v>22.391977691000818</v>
      </c>
      <c r="Z1333" s="9">
        <v>24.28858708803979</v>
      </c>
      <c r="AA1333" s="9">
        <v>24.28858708803979</v>
      </c>
      <c r="AB1333" s="9">
        <v>25.117335532005217</v>
      </c>
      <c r="AC1333" s="9">
        <v>25.117335532005217</v>
      </c>
      <c r="AD1333" s="9">
        <v>29.039116491286865</v>
      </c>
      <c r="AE1333" s="9">
        <v>31.219251037281825</v>
      </c>
      <c r="AF1333" s="9">
        <v>33.487682081707895</v>
      </c>
      <c r="AG1333" s="9">
        <v>33.487682081707895</v>
      </c>
      <c r="AH1333" s="9">
        <v>36.427668170967245</v>
      </c>
      <c r="AI1333" s="9">
        <v>38.74455996597662</v>
      </c>
      <c r="AJ1333" s="9">
        <v>3.0428788910505911</v>
      </c>
    </row>
    <row r="1334" spans="1:36" x14ac:dyDescent="0.25">
      <c r="A1334" t="s">
        <v>5411</v>
      </c>
      <c r="B1334" t="s">
        <v>16</v>
      </c>
      <c r="C1334" t="s">
        <v>17</v>
      </c>
      <c r="D1334">
        <v>36546000</v>
      </c>
      <c r="E1334">
        <v>36549999</v>
      </c>
      <c r="F1334" t="s">
        <v>1155</v>
      </c>
      <c r="G1334" t="str">
        <f t="shared" si="40"/>
        <v>MGI II</v>
      </c>
      <c r="H1334" t="s">
        <v>851</v>
      </c>
      <c r="I1334" t="s">
        <v>20</v>
      </c>
      <c r="J1334" t="s">
        <v>64</v>
      </c>
      <c r="K1334" s="6">
        <v>0.03</v>
      </c>
      <c r="L1334" s="7">
        <f t="shared" si="41"/>
        <v>2E-3</v>
      </c>
      <c r="M1334" s="7">
        <v>3.0000000000000001E-3</v>
      </c>
      <c r="N1334">
        <v>8</v>
      </c>
      <c r="O1334" s="8">
        <v>17.822306426995311</v>
      </c>
      <c r="P1334" s="9">
        <v>17.822306426995311</v>
      </c>
      <c r="Q1334" s="9">
        <v>17.822306426995311</v>
      </c>
      <c r="R1334" s="9">
        <v>18.237663306594719</v>
      </c>
      <c r="S1334" s="9">
        <v>18.48712920931133</v>
      </c>
      <c r="T1334" s="9">
        <v>19.201553596969877</v>
      </c>
      <c r="U1334" s="9">
        <v>20.562345482855957</v>
      </c>
      <c r="V1334" s="9">
        <v>20.562345482855957</v>
      </c>
      <c r="W1334" s="9">
        <v>20.562345482855957</v>
      </c>
      <c r="X1334" s="9">
        <v>22.391977691000818</v>
      </c>
      <c r="Y1334" s="9">
        <v>22.391977691000818</v>
      </c>
      <c r="Z1334" s="9">
        <v>24.28858708803979</v>
      </c>
      <c r="AA1334" s="9">
        <v>24.28858708803979</v>
      </c>
      <c r="AB1334" s="9">
        <v>25.117335532005217</v>
      </c>
      <c r="AC1334" s="9">
        <v>25.117335532005217</v>
      </c>
      <c r="AD1334" s="9">
        <v>29.039116491286865</v>
      </c>
      <c r="AE1334" s="9">
        <v>31.219251037281825</v>
      </c>
      <c r="AF1334" s="9">
        <v>33.487682081707895</v>
      </c>
      <c r="AG1334" s="9">
        <v>33.487682081707895</v>
      </c>
      <c r="AH1334" s="9">
        <v>36.427668170967245</v>
      </c>
      <c r="AI1334" s="9">
        <v>38.74455996597662</v>
      </c>
      <c r="AJ1334" s="9">
        <v>3.0428788910505911</v>
      </c>
    </row>
    <row r="1335" spans="1:36" x14ac:dyDescent="0.25">
      <c r="A1335" t="s">
        <v>5411</v>
      </c>
      <c r="B1335" t="s">
        <v>16</v>
      </c>
      <c r="C1335" t="s">
        <v>17</v>
      </c>
      <c r="D1335">
        <v>36550000</v>
      </c>
      <c r="E1335">
        <v>36554999</v>
      </c>
      <c r="F1335" t="s">
        <v>1156</v>
      </c>
      <c r="G1335" t="str">
        <f t="shared" si="40"/>
        <v>MGI II</v>
      </c>
      <c r="H1335" t="s">
        <v>851</v>
      </c>
      <c r="I1335" t="s">
        <v>20</v>
      </c>
      <c r="J1335" t="s">
        <v>64</v>
      </c>
      <c r="K1335" s="6">
        <v>0.03</v>
      </c>
      <c r="L1335" s="7">
        <f t="shared" si="41"/>
        <v>2E-3</v>
      </c>
      <c r="M1335" s="7">
        <v>3.0000000000000001E-3</v>
      </c>
      <c r="N1335">
        <v>8</v>
      </c>
      <c r="O1335" s="8">
        <v>17.822306426995311</v>
      </c>
      <c r="P1335" s="9">
        <v>17.822306426995311</v>
      </c>
      <c r="Q1335" s="9">
        <v>17.822306426995311</v>
      </c>
      <c r="R1335" s="9">
        <v>18.237663306594719</v>
      </c>
      <c r="S1335" s="9">
        <v>18.48712920931133</v>
      </c>
      <c r="T1335" s="9">
        <v>19.201553596969877</v>
      </c>
      <c r="U1335" s="9">
        <v>20.562345482855957</v>
      </c>
      <c r="V1335" s="9">
        <v>20.562345482855957</v>
      </c>
      <c r="W1335" s="9">
        <v>20.562345482855957</v>
      </c>
      <c r="X1335" s="9">
        <v>22.391977691000818</v>
      </c>
      <c r="Y1335" s="9">
        <v>22.391977691000818</v>
      </c>
      <c r="Z1335" s="9">
        <v>24.28858708803979</v>
      </c>
      <c r="AA1335" s="9">
        <v>24.28858708803979</v>
      </c>
      <c r="AB1335" s="9">
        <v>25.117335532005217</v>
      </c>
      <c r="AC1335" s="9">
        <v>25.117335532005217</v>
      </c>
      <c r="AD1335" s="9">
        <v>29.039116491286865</v>
      </c>
      <c r="AE1335" s="9">
        <v>31.219251037281825</v>
      </c>
      <c r="AF1335" s="9">
        <v>33.487682081707895</v>
      </c>
      <c r="AG1335" s="9">
        <v>33.487682081707895</v>
      </c>
      <c r="AH1335" s="9">
        <v>36.427668170967245</v>
      </c>
      <c r="AI1335" s="9">
        <v>38.74455996597662</v>
      </c>
      <c r="AJ1335" s="9">
        <v>3.0428788910505911</v>
      </c>
    </row>
    <row r="1336" spans="1:36" x14ac:dyDescent="0.25">
      <c r="A1336" t="s">
        <v>5411</v>
      </c>
      <c r="B1336" t="s">
        <v>16</v>
      </c>
      <c r="C1336" t="s">
        <v>17</v>
      </c>
      <c r="D1336">
        <v>36555000</v>
      </c>
      <c r="E1336">
        <v>36559999</v>
      </c>
      <c r="F1336" t="s">
        <v>1157</v>
      </c>
      <c r="G1336" t="str">
        <f t="shared" si="40"/>
        <v>MGI II</v>
      </c>
      <c r="H1336" t="s">
        <v>851</v>
      </c>
      <c r="I1336" t="s">
        <v>20</v>
      </c>
      <c r="J1336" t="s">
        <v>64</v>
      </c>
      <c r="K1336" s="6">
        <v>0.03</v>
      </c>
      <c r="L1336" s="7">
        <f t="shared" si="41"/>
        <v>2E-3</v>
      </c>
      <c r="M1336" s="7">
        <v>3.0000000000000001E-3</v>
      </c>
      <c r="N1336">
        <v>7</v>
      </c>
      <c r="O1336" s="8">
        <v>17.822306426995311</v>
      </c>
      <c r="P1336" s="9">
        <v>17.822306426995311</v>
      </c>
      <c r="Q1336" s="9">
        <v>17.822306426995311</v>
      </c>
      <c r="R1336" s="9">
        <v>18.237663306594719</v>
      </c>
      <c r="S1336" s="9">
        <v>18.48712920931133</v>
      </c>
      <c r="T1336" s="9">
        <v>19.201553596969877</v>
      </c>
      <c r="U1336" s="9">
        <v>20.562345482855957</v>
      </c>
      <c r="V1336" s="9">
        <v>20.562345482855957</v>
      </c>
      <c r="W1336" s="9">
        <v>20.562345482855957</v>
      </c>
      <c r="X1336" s="9">
        <v>22.391977691000818</v>
      </c>
      <c r="Y1336" s="9">
        <v>22.391977691000818</v>
      </c>
      <c r="Z1336" s="9">
        <v>24.28858708803979</v>
      </c>
      <c r="AA1336" s="9">
        <v>24.28858708803979</v>
      </c>
      <c r="AB1336" s="9">
        <v>25.117335532005217</v>
      </c>
      <c r="AC1336" s="9">
        <v>25.117335532005217</v>
      </c>
      <c r="AD1336" s="9">
        <v>29.039116491286865</v>
      </c>
      <c r="AE1336" s="9">
        <v>31.219251037281825</v>
      </c>
      <c r="AF1336" s="9">
        <v>33.487682081707895</v>
      </c>
      <c r="AG1336" s="9">
        <v>33.487682081707895</v>
      </c>
      <c r="AH1336" s="9">
        <v>36.427668170967245</v>
      </c>
      <c r="AI1336" s="9">
        <v>38.74455996597662</v>
      </c>
      <c r="AJ1336" s="9">
        <v>3.0428788910505911</v>
      </c>
    </row>
    <row r="1337" spans="1:36" x14ac:dyDescent="0.25">
      <c r="A1337" t="s">
        <v>5411</v>
      </c>
      <c r="B1337" t="s">
        <v>16</v>
      </c>
      <c r="C1337" t="s">
        <v>17</v>
      </c>
      <c r="D1337">
        <v>36560000</v>
      </c>
      <c r="E1337">
        <v>36567999</v>
      </c>
      <c r="F1337" t="s">
        <v>1158</v>
      </c>
      <c r="G1337" t="str">
        <f t="shared" si="40"/>
        <v>MGI II</v>
      </c>
      <c r="H1337" t="s">
        <v>851</v>
      </c>
      <c r="I1337" t="s">
        <v>20</v>
      </c>
      <c r="J1337" t="s">
        <v>64</v>
      </c>
      <c r="K1337" s="6">
        <v>0.03</v>
      </c>
      <c r="L1337" s="7">
        <f t="shared" si="41"/>
        <v>2E-3</v>
      </c>
      <c r="M1337" s="7">
        <v>3.0000000000000001E-3</v>
      </c>
      <c r="N1337">
        <v>7</v>
      </c>
      <c r="O1337" s="8">
        <v>17.822306426995311</v>
      </c>
      <c r="P1337" s="9">
        <v>17.822306426995311</v>
      </c>
      <c r="Q1337" s="9">
        <v>17.822306426995311</v>
      </c>
      <c r="R1337" s="9">
        <v>18.237663306594719</v>
      </c>
      <c r="S1337" s="9">
        <v>18.48712920931133</v>
      </c>
      <c r="T1337" s="9">
        <v>19.201553596969877</v>
      </c>
      <c r="U1337" s="9">
        <v>20.562345482855957</v>
      </c>
      <c r="V1337" s="9">
        <v>20.562345482855957</v>
      </c>
      <c r="W1337" s="9">
        <v>20.562345482855957</v>
      </c>
      <c r="X1337" s="9">
        <v>22.391977691000818</v>
      </c>
      <c r="Y1337" s="9">
        <v>22.391977691000818</v>
      </c>
      <c r="Z1337" s="9">
        <v>24.28858708803979</v>
      </c>
      <c r="AA1337" s="9">
        <v>24.28858708803979</v>
      </c>
      <c r="AB1337" s="9">
        <v>25.117335532005217</v>
      </c>
      <c r="AC1337" s="9">
        <v>25.117335532005217</v>
      </c>
      <c r="AD1337" s="9">
        <v>29.039116491286865</v>
      </c>
      <c r="AE1337" s="9">
        <v>31.219251037281825</v>
      </c>
      <c r="AF1337" s="9">
        <v>33.487682081707895</v>
      </c>
      <c r="AG1337" s="9">
        <v>33.487682081707895</v>
      </c>
      <c r="AH1337" s="9">
        <v>36.427668170967245</v>
      </c>
      <c r="AI1337" s="9">
        <v>38.74455996597662</v>
      </c>
      <c r="AJ1337" s="9">
        <v>3.0428788910505911</v>
      </c>
    </row>
    <row r="1338" spans="1:36" x14ac:dyDescent="0.25">
      <c r="A1338" t="s">
        <v>5411</v>
      </c>
      <c r="B1338" t="s">
        <v>16</v>
      </c>
      <c r="C1338" t="s">
        <v>17</v>
      </c>
      <c r="D1338">
        <v>36568000</v>
      </c>
      <c r="E1338">
        <v>36569999</v>
      </c>
      <c r="F1338" t="s">
        <v>1159</v>
      </c>
      <c r="G1338" t="str">
        <f t="shared" si="40"/>
        <v>MGI II</v>
      </c>
      <c r="H1338" t="s">
        <v>851</v>
      </c>
      <c r="I1338" t="s">
        <v>20</v>
      </c>
      <c r="J1338" t="s">
        <v>64</v>
      </c>
      <c r="K1338" s="6">
        <v>0.03</v>
      </c>
      <c r="L1338" s="7">
        <f t="shared" si="41"/>
        <v>2E-3</v>
      </c>
      <c r="M1338" s="7">
        <v>3.0000000000000001E-3</v>
      </c>
      <c r="N1338">
        <v>7</v>
      </c>
      <c r="O1338" s="8">
        <v>17.822306426995311</v>
      </c>
      <c r="P1338" s="9">
        <v>17.822306426995311</v>
      </c>
      <c r="Q1338" s="9">
        <v>17.822306426995311</v>
      </c>
      <c r="R1338" s="9">
        <v>18.237663306594719</v>
      </c>
      <c r="S1338" s="9">
        <v>18.48712920931133</v>
      </c>
      <c r="T1338" s="9">
        <v>19.201553596969877</v>
      </c>
      <c r="U1338" s="9">
        <v>20.562345482855957</v>
      </c>
      <c r="V1338" s="9">
        <v>20.562345482855957</v>
      </c>
      <c r="W1338" s="9">
        <v>20.562345482855957</v>
      </c>
      <c r="X1338" s="9">
        <v>22.391977691000818</v>
      </c>
      <c r="Y1338" s="9">
        <v>22.391977691000818</v>
      </c>
      <c r="Z1338" s="9">
        <v>24.28858708803979</v>
      </c>
      <c r="AA1338" s="9">
        <v>24.28858708803979</v>
      </c>
      <c r="AB1338" s="9">
        <v>25.117335532005217</v>
      </c>
      <c r="AC1338" s="9">
        <v>25.117335532005217</v>
      </c>
      <c r="AD1338" s="9">
        <v>29.039116491286865</v>
      </c>
      <c r="AE1338" s="9">
        <v>31.219251037281825</v>
      </c>
      <c r="AF1338" s="9">
        <v>33.487682081707895</v>
      </c>
      <c r="AG1338" s="9">
        <v>33.487682081707895</v>
      </c>
      <c r="AH1338" s="9">
        <v>36.427668170967245</v>
      </c>
      <c r="AI1338" s="9">
        <v>38.74455996597662</v>
      </c>
      <c r="AJ1338" s="9">
        <v>3.0428788910505911</v>
      </c>
    </row>
    <row r="1339" spans="1:36" x14ac:dyDescent="0.25">
      <c r="A1339" t="s">
        <v>5411</v>
      </c>
      <c r="B1339" t="s">
        <v>16</v>
      </c>
      <c r="C1339" t="s">
        <v>17</v>
      </c>
      <c r="D1339">
        <v>36570000</v>
      </c>
      <c r="E1339">
        <v>36579999</v>
      </c>
      <c r="F1339" t="s">
        <v>1160</v>
      </c>
      <c r="G1339" t="str">
        <f t="shared" si="40"/>
        <v>MGI</v>
      </c>
      <c r="H1339" t="s">
        <v>851</v>
      </c>
      <c r="I1339" t="s">
        <v>20</v>
      </c>
      <c r="J1339" t="s">
        <v>62</v>
      </c>
      <c r="K1339" s="6">
        <v>0.03</v>
      </c>
      <c r="L1339" s="7">
        <f t="shared" si="41"/>
        <v>2E-3</v>
      </c>
      <c r="M1339" s="7">
        <v>3.0000000000000001E-3</v>
      </c>
      <c r="N1339">
        <v>6</v>
      </c>
      <c r="O1339" s="8">
        <v>13.880385281502075</v>
      </c>
      <c r="P1339" s="9">
        <v>13.880385281502075</v>
      </c>
      <c r="Q1339" s="9">
        <v>13.880385281502075</v>
      </c>
      <c r="R1339" s="9">
        <v>14.045989937445718</v>
      </c>
      <c r="S1339" s="9">
        <v>14.060876315369912</v>
      </c>
      <c r="T1339" s="9">
        <v>15.090338571208333</v>
      </c>
      <c r="U1339" s="9">
        <v>16.025407313902726</v>
      </c>
      <c r="V1339" s="9">
        <v>16.025407313902726</v>
      </c>
      <c r="W1339" s="9">
        <v>16.025407313902726</v>
      </c>
      <c r="X1339" s="9">
        <v>18.013895748167766</v>
      </c>
      <c r="Y1339" s="9">
        <v>18.013895748167766</v>
      </c>
      <c r="Z1339" s="9">
        <v>20.142868501532355</v>
      </c>
      <c r="AA1339" s="9">
        <v>20.142868501532355</v>
      </c>
      <c r="AB1339" s="9">
        <v>22.456349831314476</v>
      </c>
      <c r="AC1339" s="9">
        <v>22.456349831314476</v>
      </c>
      <c r="AD1339" s="9">
        <v>24.87984091164185</v>
      </c>
      <c r="AE1339" s="9">
        <v>27.427492221952345</v>
      </c>
      <c r="AF1339" s="9">
        <v>33.194804868730657</v>
      </c>
      <c r="AG1339" s="9">
        <v>33.194804868730657</v>
      </c>
      <c r="AH1339" s="9">
        <v>35.957808835828068</v>
      </c>
      <c r="AI1339" s="9">
        <v>38.646304092692077</v>
      </c>
      <c r="AJ1339" s="9">
        <v>3.0428788910505911</v>
      </c>
    </row>
    <row r="1340" spans="1:36" x14ac:dyDescent="0.25">
      <c r="A1340" t="s">
        <v>5411</v>
      </c>
      <c r="B1340" t="s">
        <v>16</v>
      </c>
      <c r="C1340" t="s">
        <v>17</v>
      </c>
      <c r="D1340">
        <v>36580000</v>
      </c>
      <c r="E1340">
        <v>36584999</v>
      </c>
      <c r="F1340" t="s">
        <v>1161</v>
      </c>
      <c r="G1340" t="str">
        <f t="shared" si="40"/>
        <v>MGI</v>
      </c>
      <c r="H1340" t="s">
        <v>851</v>
      </c>
      <c r="I1340" t="s">
        <v>20</v>
      </c>
      <c r="J1340" t="s">
        <v>62</v>
      </c>
      <c r="K1340" s="6">
        <v>0.03</v>
      </c>
      <c r="L1340" s="7">
        <f t="shared" si="41"/>
        <v>2E-3</v>
      </c>
      <c r="M1340" s="7">
        <v>3.0000000000000001E-3</v>
      </c>
      <c r="N1340">
        <v>7</v>
      </c>
      <c r="O1340" s="8">
        <v>13.880385281502075</v>
      </c>
      <c r="P1340" s="9">
        <v>13.880385281502075</v>
      </c>
      <c r="Q1340" s="9">
        <v>13.880385281502075</v>
      </c>
      <c r="R1340" s="9">
        <v>14.045989937445718</v>
      </c>
      <c r="S1340" s="9">
        <v>14.060876315369912</v>
      </c>
      <c r="T1340" s="9">
        <v>15.090338571208333</v>
      </c>
      <c r="U1340" s="9">
        <v>16.025407313902726</v>
      </c>
      <c r="V1340" s="9">
        <v>16.025407313902726</v>
      </c>
      <c r="W1340" s="9">
        <v>16.025407313902726</v>
      </c>
      <c r="X1340" s="9">
        <v>18.013895748167766</v>
      </c>
      <c r="Y1340" s="9">
        <v>18.013895748167766</v>
      </c>
      <c r="Z1340" s="9">
        <v>20.142868501532355</v>
      </c>
      <c r="AA1340" s="9">
        <v>20.142868501532355</v>
      </c>
      <c r="AB1340" s="9">
        <v>22.456349831314476</v>
      </c>
      <c r="AC1340" s="9">
        <v>22.456349831314476</v>
      </c>
      <c r="AD1340" s="9">
        <v>24.87984091164185</v>
      </c>
      <c r="AE1340" s="9">
        <v>27.427492221952345</v>
      </c>
      <c r="AF1340" s="9">
        <v>33.194804868730657</v>
      </c>
      <c r="AG1340" s="9">
        <v>33.194804868730657</v>
      </c>
      <c r="AH1340" s="9">
        <v>35.957808835828068</v>
      </c>
      <c r="AI1340" s="9">
        <v>38.646304092692077</v>
      </c>
      <c r="AJ1340" s="9">
        <v>3.0428788910505911</v>
      </c>
    </row>
    <row r="1341" spans="1:36" x14ac:dyDescent="0.25">
      <c r="A1341" t="s">
        <v>5411</v>
      </c>
      <c r="B1341" t="s">
        <v>16</v>
      </c>
      <c r="C1341" t="s">
        <v>17</v>
      </c>
      <c r="D1341">
        <v>36585000</v>
      </c>
      <c r="E1341">
        <v>36589999</v>
      </c>
      <c r="F1341" t="s">
        <v>1162</v>
      </c>
      <c r="G1341" t="str">
        <f t="shared" si="40"/>
        <v>MGI II</v>
      </c>
      <c r="H1341" t="s">
        <v>851</v>
      </c>
      <c r="I1341" t="s">
        <v>20</v>
      </c>
      <c r="J1341" t="s">
        <v>64</v>
      </c>
      <c r="K1341" s="6">
        <v>0.03</v>
      </c>
      <c r="L1341" s="7">
        <f t="shared" si="41"/>
        <v>2E-3</v>
      </c>
      <c r="M1341" s="7">
        <v>3.0000000000000001E-3</v>
      </c>
      <c r="N1341">
        <v>7</v>
      </c>
      <c r="O1341" s="8">
        <v>17.822306426995311</v>
      </c>
      <c r="P1341" s="9">
        <v>17.822306426995311</v>
      </c>
      <c r="Q1341" s="9">
        <v>17.822306426995311</v>
      </c>
      <c r="R1341" s="9">
        <v>18.237663306594719</v>
      </c>
      <c r="S1341" s="9">
        <v>18.48712920931133</v>
      </c>
      <c r="T1341" s="9">
        <v>19.201553596969877</v>
      </c>
      <c r="U1341" s="9">
        <v>20.562345482855957</v>
      </c>
      <c r="V1341" s="9">
        <v>20.562345482855957</v>
      </c>
      <c r="W1341" s="9">
        <v>20.562345482855957</v>
      </c>
      <c r="X1341" s="9">
        <v>22.391977691000818</v>
      </c>
      <c r="Y1341" s="9">
        <v>22.391977691000818</v>
      </c>
      <c r="Z1341" s="9">
        <v>24.28858708803979</v>
      </c>
      <c r="AA1341" s="9">
        <v>24.28858708803979</v>
      </c>
      <c r="AB1341" s="9">
        <v>25.117335532005217</v>
      </c>
      <c r="AC1341" s="9">
        <v>25.117335532005217</v>
      </c>
      <c r="AD1341" s="9">
        <v>29.039116491286865</v>
      </c>
      <c r="AE1341" s="9">
        <v>31.219251037281825</v>
      </c>
      <c r="AF1341" s="9">
        <v>33.487682081707895</v>
      </c>
      <c r="AG1341" s="9">
        <v>33.487682081707895</v>
      </c>
      <c r="AH1341" s="9">
        <v>36.427668170967245</v>
      </c>
      <c r="AI1341" s="9">
        <v>38.74455996597662</v>
      </c>
      <c r="AJ1341" s="9">
        <v>3.0428788910505911</v>
      </c>
    </row>
    <row r="1342" spans="1:36" x14ac:dyDescent="0.25">
      <c r="A1342" t="s">
        <v>5411</v>
      </c>
      <c r="B1342" t="s">
        <v>16</v>
      </c>
      <c r="C1342" t="s">
        <v>17</v>
      </c>
      <c r="D1342">
        <v>36590000</v>
      </c>
      <c r="E1342">
        <v>36591999</v>
      </c>
      <c r="F1342" t="s">
        <v>1163</v>
      </c>
      <c r="G1342" t="str">
        <f t="shared" si="40"/>
        <v>MGI II</v>
      </c>
      <c r="H1342" t="s">
        <v>851</v>
      </c>
      <c r="I1342" t="s">
        <v>20</v>
      </c>
      <c r="J1342" t="s">
        <v>64</v>
      </c>
      <c r="K1342" s="6">
        <v>0.03</v>
      </c>
      <c r="L1342" s="7">
        <f t="shared" si="41"/>
        <v>2E-3</v>
      </c>
      <c r="M1342" s="7">
        <v>3.0000000000000001E-3</v>
      </c>
      <c r="N1342">
        <v>7</v>
      </c>
      <c r="O1342" s="8">
        <v>17.822306426995311</v>
      </c>
      <c r="P1342" s="9">
        <v>17.822306426995311</v>
      </c>
      <c r="Q1342" s="9">
        <v>17.822306426995311</v>
      </c>
      <c r="R1342" s="9">
        <v>18.237663306594719</v>
      </c>
      <c r="S1342" s="9">
        <v>18.48712920931133</v>
      </c>
      <c r="T1342" s="9">
        <v>19.201553596969877</v>
      </c>
      <c r="U1342" s="9">
        <v>20.562345482855957</v>
      </c>
      <c r="V1342" s="9">
        <v>20.562345482855957</v>
      </c>
      <c r="W1342" s="9">
        <v>20.562345482855957</v>
      </c>
      <c r="X1342" s="9">
        <v>22.391977691000818</v>
      </c>
      <c r="Y1342" s="9">
        <v>22.391977691000818</v>
      </c>
      <c r="Z1342" s="9">
        <v>24.28858708803979</v>
      </c>
      <c r="AA1342" s="9">
        <v>24.28858708803979</v>
      </c>
      <c r="AB1342" s="9">
        <v>25.117335532005217</v>
      </c>
      <c r="AC1342" s="9">
        <v>25.117335532005217</v>
      </c>
      <c r="AD1342" s="9">
        <v>29.039116491286865</v>
      </c>
      <c r="AE1342" s="9">
        <v>31.219251037281825</v>
      </c>
      <c r="AF1342" s="9">
        <v>33.487682081707895</v>
      </c>
      <c r="AG1342" s="9">
        <v>33.487682081707895</v>
      </c>
      <c r="AH1342" s="9">
        <v>36.427668170967245</v>
      </c>
      <c r="AI1342" s="9">
        <v>38.74455996597662</v>
      </c>
      <c r="AJ1342" s="9">
        <v>3.0428788910505911</v>
      </c>
    </row>
    <row r="1343" spans="1:36" x14ac:dyDescent="0.25">
      <c r="A1343" t="s">
        <v>5411</v>
      </c>
      <c r="B1343" t="s">
        <v>16</v>
      </c>
      <c r="C1343" t="s">
        <v>17</v>
      </c>
      <c r="D1343">
        <v>36592000</v>
      </c>
      <c r="E1343">
        <v>36593999</v>
      </c>
      <c r="F1343" t="s">
        <v>1164</v>
      </c>
      <c r="G1343" t="str">
        <f t="shared" si="40"/>
        <v>MGI II</v>
      </c>
      <c r="H1343" t="s">
        <v>851</v>
      </c>
      <c r="I1343" t="s">
        <v>20</v>
      </c>
      <c r="J1343" t="s">
        <v>64</v>
      </c>
      <c r="K1343" s="6">
        <v>0.03</v>
      </c>
      <c r="L1343" s="7">
        <f t="shared" si="41"/>
        <v>2E-3</v>
      </c>
      <c r="M1343" s="7">
        <v>3.0000000000000001E-3</v>
      </c>
      <c r="N1343">
        <v>7</v>
      </c>
      <c r="O1343" s="8">
        <v>17.822306426995311</v>
      </c>
      <c r="P1343" s="9">
        <v>17.822306426995311</v>
      </c>
      <c r="Q1343" s="9">
        <v>17.822306426995311</v>
      </c>
      <c r="R1343" s="9">
        <v>18.237663306594719</v>
      </c>
      <c r="S1343" s="9">
        <v>18.48712920931133</v>
      </c>
      <c r="T1343" s="9">
        <v>19.201553596969877</v>
      </c>
      <c r="U1343" s="9">
        <v>20.562345482855957</v>
      </c>
      <c r="V1343" s="9">
        <v>20.562345482855957</v>
      </c>
      <c r="W1343" s="9">
        <v>20.562345482855957</v>
      </c>
      <c r="X1343" s="9">
        <v>22.391977691000818</v>
      </c>
      <c r="Y1343" s="9">
        <v>22.391977691000818</v>
      </c>
      <c r="Z1343" s="9">
        <v>24.28858708803979</v>
      </c>
      <c r="AA1343" s="9">
        <v>24.28858708803979</v>
      </c>
      <c r="AB1343" s="9">
        <v>25.117335532005217</v>
      </c>
      <c r="AC1343" s="9">
        <v>25.117335532005217</v>
      </c>
      <c r="AD1343" s="9">
        <v>29.039116491286865</v>
      </c>
      <c r="AE1343" s="9">
        <v>31.219251037281825</v>
      </c>
      <c r="AF1343" s="9">
        <v>33.487682081707895</v>
      </c>
      <c r="AG1343" s="9">
        <v>33.487682081707895</v>
      </c>
      <c r="AH1343" s="9">
        <v>36.427668170967245</v>
      </c>
      <c r="AI1343" s="9">
        <v>38.74455996597662</v>
      </c>
      <c r="AJ1343" s="9">
        <v>3.0428788910505911</v>
      </c>
    </row>
    <row r="1344" spans="1:36" x14ac:dyDescent="0.25">
      <c r="A1344" t="s">
        <v>5411</v>
      </c>
      <c r="B1344" t="s">
        <v>16</v>
      </c>
      <c r="C1344" t="s">
        <v>17</v>
      </c>
      <c r="D1344">
        <v>36594000</v>
      </c>
      <c r="E1344">
        <v>36599999</v>
      </c>
      <c r="F1344" t="s">
        <v>1165</v>
      </c>
      <c r="G1344" t="str">
        <f t="shared" si="40"/>
        <v>MGI II</v>
      </c>
      <c r="H1344" t="s">
        <v>851</v>
      </c>
      <c r="I1344" t="s">
        <v>20</v>
      </c>
      <c r="J1344" t="s">
        <v>64</v>
      </c>
      <c r="K1344" s="6">
        <v>0.03</v>
      </c>
      <c r="L1344" s="7">
        <f t="shared" si="41"/>
        <v>2E-3</v>
      </c>
      <c r="M1344" s="7">
        <v>3.0000000000000001E-3</v>
      </c>
      <c r="N1344">
        <v>7</v>
      </c>
      <c r="O1344" s="8">
        <v>17.822306426995311</v>
      </c>
      <c r="P1344" s="9">
        <v>17.822306426995311</v>
      </c>
      <c r="Q1344" s="9">
        <v>17.822306426995311</v>
      </c>
      <c r="R1344" s="9">
        <v>18.237663306594719</v>
      </c>
      <c r="S1344" s="9">
        <v>18.48712920931133</v>
      </c>
      <c r="T1344" s="9">
        <v>19.201553596969877</v>
      </c>
      <c r="U1344" s="9">
        <v>20.562345482855957</v>
      </c>
      <c r="V1344" s="9">
        <v>20.562345482855957</v>
      </c>
      <c r="W1344" s="9">
        <v>20.562345482855957</v>
      </c>
      <c r="X1344" s="9">
        <v>22.391977691000818</v>
      </c>
      <c r="Y1344" s="9">
        <v>22.391977691000818</v>
      </c>
      <c r="Z1344" s="9">
        <v>24.28858708803979</v>
      </c>
      <c r="AA1344" s="9">
        <v>24.28858708803979</v>
      </c>
      <c r="AB1344" s="9">
        <v>25.117335532005217</v>
      </c>
      <c r="AC1344" s="9">
        <v>25.117335532005217</v>
      </c>
      <c r="AD1344" s="9">
        <v>29.039116491286865</v>
      </c>
      <c r="AE1344" s="9">
        <v>31.219251037281825</v>
      </c>
      <c r="AF1344" s="9">
        <v>33.487682081707895</v>
      </c>
      <c r="AG1344" s="9">
        <v>33.487682081707895</v>
      </c>
      <c r="AH1344" s="9">
        <v>36.427668170967245</v>
      </c>
      <c r="AI1344" s="9">
        <v>38.74455996597662</v>
      </c>
      <c r="AJ1344" s="9">
        <v>3.0428788910505911</v>
      </c>
    </row>
    <row r="1345" spans="1:36" x14ac:dyDescent="0.25">
      <c r="A1345" t="s">
        <v>5411</v>
      </c>
      <c r="B1345" t="s">
        <v>16</v>
      </c>
      <c r="C1345" t="s">
        <v>17</v>
      </c>
      <c r="D1345">
        <v>36600000</v>
      </c>
      <c r="E1345">
        <v>36603999</v>
      </c>
      <c r="F1345" t="s">
        <v>1166</v>
      </c>
      <c r="G1345" t="str">
        <f t="shared" si="40"/>
        <v>MGI II</v>
      </c>
      <c r="H1345" t="s">
        <v>851</v>
      </c>
      <c r="I1345" t="s">
        <v>20</v>
      </c>
      <c r="J1345" t="s">
        <v>64</v>
      </c>
      <c r="K1345" s="6">
        <v>0.03</v>
      </c>
      <c r="L1345" s="7">
        <f t="shared" si="41"/>
        <v>2E-3</v>
      </c>
      <c r="M1345" s="7">
        <v>3.0000000000000001E-3</v>
      </c>
      <c r="N1345">
        <v>7</v>
      </c>
      <c r="O1345" s="8">
        <v>17.822306426995311</v>
      </c>
      <c r="P1345" s="9">
        <v>17.822306426995311</v>
      </c>
      <c r="Q1345" s="9">
        <v>17.822306426995311</v>
      </c>
      <c r="R1345" s="9">
        <v>18.237663306594719</v>
      </c>
      <c r="S1345" s="9">
        <v>18.48712920931133</v>
      </c>
      <c r="T1345" s="9">
        <v>19.201553596969877</v>
      </c>
      <c r="U1345" s="9">
        <v>20.562345482855957</v>
      </c>
      <c r="V1345" s="9">
        <v>20.562345482855957</v>
      </c>
      <c r="W1345" s="9">
        <v>20.562345482855957</v>
      </c>
      <c r="X1345" s="9">
        <v>22.391977691000818</v>
      </c>
      <c r="Y1345" s="9">
        <v>22.391977691000818</v>
      </c>
      <c r="Z1345" s="9">
        <v>24.28858708803979</v>
      </c>
      <c r="AA1345" s="9">
        <v>24.28858708803979</v>
      </c>
      <c r="AB1345" s="9">
        <v>25.117335532005217</v>
      </c>
      <c r="AC1345" s="9">
        <v>25.117335532005217</v>
      </c>
      <c r="AD1345" s="9">
        <v>29.039116491286865</v>
      </c>
      <c r="AE1345" s="9">
        <v>31.219251037281825</v>
      </c>
      <c r="AF1345" s="9">
        <v>33.487682081707895</v>
      </c>
      <c r="AG1345" s="9">
        <v>33.487682081707895</v>
      </c>
      <c r="AH1345" s="9">
        <v>36.427668170967245</v>
      </c>
      <c r="AI1345" s="9">
        <v>38.74455996597662</v>
      </c>
      <c r="AJ1345" s="9">
        <v>3.0428788910505911</v>
      </c>
    </row>
    <row r="1346" spans="1:36" x14ac:dyDescent="0.25">
      <c r="A1346" t="s">
        <v>5411</v>
      </c>
      <c r="B1346" t="s">
        <v>16</v>
      </c>
      <c r="C1346" t="s">
        <v>17</v>
      </c>
      <c r="D1346">
        <v>36604000</v>
      </c>
      <c r="E1346">
        <v>36605999</v>
      </c>
      <c r="F1346" t="s">
        <v>1167</v>
      </c>
      <c r="G1346" t="str">
        <f t="shared" si="40"/>
        <v>MGI II</v>
      </c>
      <c r="H1346" t="s">
        <v>851</v>
      </c>
      <c r="I1346" t="s">
        <v>20</v>
      </c>
      <c r="J1346" t="s">
        <v>64</v>
      </c>
      <c r="K1346" s="6">
        <v>0.03</v>
      </c>
      <c r="L1346" s="7">
        <f t="shared" si="41"/>
        <v>2E-3</v>
      </c>
      <c r="M1346" s="7">
        <v>3.0000000000000001E-3</v>
      </c>
      <c r="N1346">
        <v>7</v>
      </c>
      <c r="O1346" s="8">
        <v>17.822306426995311</v>
      </c>
      <c r="P1346" s="9">
        <v>17.822306426995311</v>
      </c>
      <c r="Q1346" s="9">
        <v>17.822306426995311</v>
      </c>
      <c r="R1346" s="9">
        <v>18.237663306594719</v>
      </c>
      <c r="S1346" s="9">
        <v>18.48712920931133</v>
      </c>
      <c r="T1346" s="9">
        <v>19.201553596969877</v>
      </c>
      <c r="U1346" s="9">
        <v>20.562345482855957</v>
      </c>
      <c r="V1346" s="9">
        <v>20.562345482855957</v>
      </c>
      <c r="W1346" s="9">
        <v>20.562345482855957</v>
      </c>
      <c r="X1346" s="9">
        <v>22.391977691000818</v>
      </c>
      <c r="Y1346" s="9">
        <v>22.391977691000818</v>
      </c>
      <c r="Z1346" s="9">
        <v>24.28858708803979</v>
      </c>
      <c r="AA1346" s="9">
        <v>24.28858708803979</v>
      </c>
      <c r="AB1346" s="9">
        <v>25.117335532005217</v>
      </c>
      <c r="AC1346" s="9">
        <v>25.117335532005217</v>
      </c>
      <c r="AD1346" s="9">
        <v>29.039116491286865</v>
      </c>
      <c r="AE1346" s="9">
        <v>31.219251037281825</v>
      </c>
      <c r="AF1346" s="9">
        <v>33.487682081707895</v>
      </c>
      <c r="AG1346" s="9">
        <v>33.487682081707895</v>
      </c>
      <c r="AH1346" s="9">
        <v>36.427668170967245</v>
      </c>
      <c r="AI1346" s="9">
        <v>38.74455996597662</v>
      </c>
      <c r="AJ1346" s="9">
        <v>3.0428788910505911</v>
      </c>
    </row>
    <row r="1347" spans="1:36" x14ac:dyDescent="0.25">
      <c r="A1347" t="s">
        <v>5411</v>
      </c>
      <c r="B1347" t="s">
        <v>16</v>
      </c>
      <c r="C1347" t="s">
        <v>17</v>
      </c>
      <c r="D1347">
        <v>36606000</v>
      </c>
      <c r="E1347">
        <v>36607999</v>
      </c>
      <c r="F1347" t="s">
        <v>1168</v>
      </c>
      <c r="G1347" t="str">
        <f t="shared" si="40"/>
        <v>MGI II</v>
      </c>
      <c r="H1347" t="s">
        <v>851</v>
      </c>
      <c r="I1347" t="s">
        <v>20</v>
      </c>
      <c r="J1347" t="s">
        <v>64</v>
      </c>
      <c r="K1347" s="6">
        <v>0.03</v>
      </c>
      <c r="L1347" s="7">
        <f t="shared" si="41"/>
        <v>2E-3</v>
      </c>
      <c r="M1347" s="7">
        <v>3.0000000000000001E-3</v>
      </c>
      <c r="N1347">
        <v>7</v>
      </c>
      <c r="O1347" s="8">
        <v>17.822306426995311</v>
      </c>
      <c r="P1347" s="9">
        <v>17.822306426995311</v>
      </c>
      <c r="Q1347" s="9">
        <v>17.822306426995311</v>
      </c>
      <c r="R1347" s="9">
        <v>18.237663306594719</v>
      </c>
      <c r="S1347" s="9">
        <v>18.48712920931133</v>
      </c>
      <c r="T1347" s="9">
        <v>19.201553596969877</v>
      </c>
      <c r="U1347" s="9">
        <v>20.562345482855957</v>
      </c>
      <c r="V1347" s="9">
        <v>20.562345482855957</v>
      </c>
      <c r="W1347" s="9">
        <v>20.562345482855957</v>
      </c>
      <c r="X1347" s="9">
        <v>22.391977691000818</v>
      </c>
      <c r="Y1347" s="9">
        <v>22.391977691000818</v>
      </c>
      <c r="Z1347" s="9">
        <v>24.28858708803979</v>
      </c>
      <c r="AA1347" s="9">
        <v>24.28858708803979</v>
      </c>
      <c r="AB1347" s="9">
        <v>25.117335532005217</v>
      </c>
      <c r="AC1347" s="9">
        <v>25.117335532005217</v>
      </c>
      <c r="AD1347" s="9">
        <v>29.039116491286865</v>
      </c>
      <c r="AE1347" s="9">
        <v>31.219251037281825</v>
      </c>
      <c r="AF1347" s="9">
        <v>33.487682081707895</v>
      </c>
      <c r="AG1347" s="9">
        <v>33.487682081707895</v>
      </c>
      <c r="AH1347" s="9">
        <v>36.427668170967245</v>
      </c>
      <c r="AI1347" s="9">
        <v>38.74455996597662</v>
      </c>
      <c r="AJ1347" s="9">
        <v>3.0428788910505911</v>
      </c>
    </row>
    <row r="1348" spans="1:36" x14ac:dyDescent="0.25">
      <c r="A1348" t="s">
        <v>5411</v>
      </c>
      <c r="B1348" t="s">
        <v>16</v>
      </c>
      <c r="C1348" t="s">
        <v>17</v>
      </c>
      <c r="D1348">
        <v>36608000</v>
      </c>
      <c r="E1348">
        <v>36609999</v>
      </c>
      <c r="F1348" t="s">
        <v>1169</v>
      </c>
      <c r="G1348" t="str">
        <f t="shared" ref="G1348:G1411" si="42">H1348&amp;IF(J1348="CAPITAL","C",IF(J1348="INTERIOR","I",IF(J1348="INTERIOR II","I II","R")))</f>
        <v>MGI II</v>
      </c>
      <c r="H1348" t="s">
        <v>851</v>
      </c>
      <c r="I1348" t="s">
        <v>20</v>
      </c>
      <c r="J1348" t="s">
        <v>64</v>
      </c>
      <c r="K1348" s="6">
        <v>0.03</v>
      </c>
      <c r="L1348" s="7">
        <f t="shared" ref="L1348:L1411" si="43">IF(I1348="(0) Não",0.2%,3%)</f>
        <v>2E-3</v>
      </c>
      <c r="M1348" s="7">
        <v>3.0000000000000001E-3</v>
      </c>
      <c r="N1348">
        <v>7</v>
      </c>
      <c r="O1348" s="8">
        <v>17.822306426995311</v>
      </c>
      <c r="P1348" s="9">
        <v>17.822306426995311</v>
      </c>
      <c r="Q1348" s="9">
        <v>17.822306426995311</v>
      </c>
      <c r="R1348" s="9">
        <v>18.237663306594719</v>
      </c>
      <c r="S1348" s="9">
        <v>18.48712920931133</v>
      </c>
      <c r="T1348" s="9">
        <v>19.201553596969877</v>
      </c>
      <c r="U1348" s="9">
        <v>20.562345482855957</v>
      </c>
      <c r="V1348" s="9">
        <v>20.562345482855957</v>
      </c>
      <c r="W1348" s="9">
        <v>20.562345482855957</v>
      </c>
      <c r="X1348" s="9">
        <v>22.391977691000818</v>
      </c>
      <c r="Y1348" s="9">
        <v>22.391977691000818</v>
      </c>
      <c r="Z1348" s="9">
        <v>24.28858708803979</v>
      </c>
      <c r="AA1348" s="9">
        <v>24.28858708803979</v>
      </c>
      <c r="AB1348" s="9">
        <v>25.117335532005217</v>
      </c>
      <c r="AC1348" s="9">
        <v>25.117335532005217</v>
      </c>
      <c r="AD1348" s="9">
        <v>29.039116491286865</v>
      </c>
      <c r="AE1348" s="9">
        <v>31.219251037281825</v>
      </c>
      <c r="AF1348" s="9">
        <v>33.487682081707895</v>
      </c>
      <c r="AG1348" s="9">
        <v>33.487682081707895</v>
      </c>
      <c r="AH1348" s="9">
        <v>36.427668170967245</v>
      </c>
      <c r="AI1348" s="9">
        <v>38.74455996597662</v>
      </c>
      <c r="AJ1348" s="9">
        <v>3.0428788910505911</v>
      </c>
    </row>
    <row r="1349" spans="1:36" x14ac:dyDescent="0.25">
      <c r="A1349" t="s">
        <v>5411</v>
      </c>
      <c r="B1349" t="s">
        <v>16</v>
      </c>
      <c r="C1349" t="s">
        <v>17</v>
      </c>
      <c r="D1349">
        <v>36610000</v>
      </c>
      <c r="E1349">
        <v>36619999</v>
      </c>
      <c r="F1349" t="s">
        <v>1170</v>
      </c>
      <c r="G1349" t="str">
        <f t="shared" si="42"/>
        <v>MGI II</v>
      </c>
      <c r="H1349" t="s">
        <v>851</v>
      </c>
      <c r="I1349" t="s">
        <v>20</v>
      </c>
      <c r="J1349" t="s">
        <v>64</v>
      </c>
      <c r="K1349" s="6">
        <v>0.03</v>
      </c>
      <c r="L1349" s="7">
        <f t="shared" si="43"/>
        <v>2E-3</v>
      </c>
      <c r="M1349" s="7">
        <v>3.0000000000000001E-3</v>
      </c>
      <c r="N1349">
        <v>7</v>
      </c>
      <c r="O1349" s="8">
        <v>17.822306426995311</v>
      </c>
      <c r="P1349" s="9">
        <v>17.822306426995311</v>
      </c>
      <c r="Q1349" s="9">
        <v>17.822306426995311</v>
      </c>
      <c r="R1349" s="9">
        <v>18.237663306594719</v>
      </c>
      <c r="S1349" s="9">
        <v>18.48712920931133</v>
      </c>
      <c r="T1349" s="9">
        <v>19.201553596969877</v>
      </c>
      <c r="U1349" s="9">
        <v>20.562345482855957</v>
      </c>
      <c r="V1349" s="9">
        <v>20.562345482855957</v>
      </c>
      <c r="W1349" s="9">
        <v>20.562345482855957</v>
      </c>
      <c r="X1349" s="9">
        <v>22.391977691000818</v>
      </c>
      <c r="Y1349" s="9">
        <v>22.391977691000818</v>
      </c>
      <c r="Z1349" s="9">
        <v>24.28858708803979</v>
      </c>
      <c r="AA1349" s="9">
        <v>24.28858708803979</v>
      </c>
      <c r="AB1349" s="9">
        <v>25.117335532005217</v>
      </c>
      <c r="AC1349" s="9">
        <v>25.117335532005217</v>
      </c>
      <c r="AD1349" s="9">
        <v>29.039116491286865</v>
      </c>
      <c r="AE1349" s="9">
        <v>31.219251037281825</v>
      </c>
      <c r="AF1349" s="9">
        <v>33.487682081707895</v>
      </c>
      <c r="AG1349" s="9">
        <v>33.487682081707895</v>
      </c>
      <c r="AH1349" s="9">
        <v>36.427668170967245</v>
      </c>
      <c r="AI1349" s="9">
        <v>38.74455996597662</v>
      </c>
      <c r="AJ1349" s="9">
        <v>3.0428788910505911</v>
      </c>
    </row>
    <row r="1350" spans="1:36" x14ac:dyDescent="0.25">
      <c r="A1350" t="s">
        <v>5411</v>
      </c>
      <c r="B1350" t="s">
        <v>16</v>
      </c>
      <c r="C1350" t="s">
        <v>17</v>
      </c>
      <c r="D1350">
        <v>36620000</v>
      </c>
      <c r="E1350">
        <v>36629999</v>
      </c>
      <c r="F1350" t="s">
        <v>1171</v>
      </c>
      <c r="G1350" t="str">
        <f t="shared" si="42"/>
        <v>MGI II</v>
      </c>
      <c r="H1350" t="s">
        <v>851</v>
      </c>
      <c r="I1350" t="s">
        <v>20</v>
      </c>
      <c r="J1350" t="s">
        <v>64</v>
      </c>
      <c r="K1350" s="6">
        <v>0.03</v>
      </c>
      <c r="L1350" s="7">
        <f t="shared" si="43"/>
        <v>2E-3</v>
      </c>
      <c r="M1350" s="7">
        <v>3.0000000000000001E-3</v>
      </c>
      <c r="N1350">
        <v>7</v>
      </c>
      <c r="O1350" s="8">
        <v>17.822306426995311</v>
      </c>
      <c r="P1350" s="9">
        <v>17.822306426995311</v>
      </c>
      <c r="Q1350" s="9">
        <v>17.822306426995311</v>
      </c>
      <c r="R1350" s="9">
        <v>18.237663306594719</v>
      </c>
      <c r="S1350" s="9">
        <v>18.48712920931133</v>
      </c>
      <c r="T1350" s="9">
        <v>19.201553596969877</v>
      </c>
      <c r="U1350" s="9">
        <v>20.562345482855957</v>
      </c>
      <c r="V1350" s="9">
        <v>20.562345482855957</v>
      </c>
      <c r="W1350" s="9">
        <v>20.562345482855957</v>
      </c>
      <c r="X1350" s="9">
        <v>22.391977691000818</v>
      </c>
      <c r="Y1350" s="9">
        <v>22.391977691000818</v>
      </c>
      <c r="Z1350" s="9">
        <v>24.28858708803979</v>
      </c>
      <c r="AA1350" s="9">
        <v>24.28858708803979</v>
      </c>
      <c r="AB1350" s="9">
        <v>25.117335532005217</v>
      </c>
      <c r="AC1350" s="9">
        <v>25.117335532005217</v>
      </c>
      <c r="AD1350" s="9">
        <v>29.039116491286865</v>
      </c>
      <c r="AE1350" s="9">
        <v>31.219251037281825</v>
      </c>
      <c r="AF1350" s="9">
        <v>33.487682081707895</v>
      </c>
      <c r="AG1350" s="9">
        <v>33.487682081707895</v>
      </c>
      <c r="AH1350" s="9">
        <v>36.427668170967245</v>
      </c>
      <c r="AI1350" s="9">
        <v>38.74455996597662</v>
      </c>
      <c r="AJ1350" s="9">
        <v>3.0428788910505911</v>
      </c>
    </row>
    <row r="1351" spans="1:36" x14ac:dyDescent="0.25">
      <c r="A1351" t="s">
        <v>5411</v>
      </c>
      <c r="B1351" t="s">
        <v>16</v>
      </c>
      <c r="C1351" t="s">
        <v>17</v>
      </c>
      <c r="D1351">
        <v>36630000</v>
      </c>
      <c r="E1351">
        <v>36639999</v>
      </c>
      <c r="F1351" t="s">
        <v>1172</v>
      </c>
      <c r="G1351" t="str">
        <f t="shared" si="42"/>
        <v>MGI II</v>
      </c>
      <c r="H1351" t="s">
        <v>851</v>
      </c>
      <c r="I1351" t="s">
        <v>20</v>
      </c>
      <c r="J1351" t="s">
        <v>64</v>
      </c>
      <c r="K1351" s="6">
        <v>0.03</v>
      </c>
      <c r="L1351" s="7">
        <f t="shared" si="43"/>
        <v>2E-3</v>
      </c>
      <c r="M1351" s="7">
        <v>3.0000000000000001E-3</v>
      </c>
      <c r="N1351">
        <v>7</v>
      </c>
      <c r="O1351" s="8">
        <v>17.822306426995311</v>
      </c>
      <c r="P1351" s="9">
        <v>17.822306426995311</v>
      </c>
      <c r="Q1351" s="9">
        <v>17.822306426995311</v>
      </c>
      <c r="R1351" s="9">
        <v>18.237663306594719</v>
      </c>
      <c r="S1351" s="9">
        <v>18.48712920931133</v>
      </c>
      <c r="T1351" s="9">
        <v>19.201553596969877</v>
      </c>
      <c r="U1351" s="9">
        <v>20.562345482855957</v>
      </c>
      <c r="V1351" s="9">
        <v>20.562345482855957</v>
      </c>
      <c r="W1351" s="9">
        <v>20.562345482855957</v>
      </c>
      <c r="X1351" s="9">
        <v>22.391977691000818</v>
      </c>
      <c r="Y1351" s="9">
        <v>22.391977691000818</v>
      </c>
      <c r="Z1351" s="9">
        <v>24.28858708803979</v>
      </c>
      <c r="AA1351" s="9">
        <v>24.28858708803979</v>
      </c>
      <c r="AB1351" s="9">
        <v>25.117335532005217</v>
      </c>
      <c r="AC1351" s="9">
        <v>25.117335532005217</v>
      </c>
      <c r="AD1351" s="9">
        <v>29.039116491286865</v>
      </c>
      <c r="AE1351" s="9">
        <v>31.219251037281825</v>
      </c>
      <c r="AF1351" s="9">
        <v>33.487682081707895</v>
      </c>
      <c r="AG1351" s="9">
        <v>33.487682081707895</v>
      </c>
      <c r="AH1351" s="9">
        <v>36.427668170967245</v>
      </c>
      <c r="AI1351" s="9">
        <v>38.74455996597662</v>
      </c>
      <c r="AJ1351" s="9">
        <v>3.0428788910505911</v>
      </c>
    </row>
    <row r="1352" spans="1:36" x14ac:dyDescent="0.25">
      <c r="A1352" t="s">
        <v>5411</v>
      </c>
      <c r="B1352" t="s">
        <v>16</v>
      </c>
      <c r="C1352" t="s">
        <v>17</v>
      </c>
      <c r="D1352">
        <v>36640000</v>
      </c>
      <c r="E1352">
        <v>36649999</v>
      </c>
      <c r="F1352" t="s">
        <v>1173</v>
      </c>
      <c r="G1352" t="str">
        <f t="shared" si="42"/>
        <v>MGI II</v>
      </c>
      <c r="H1352" t="s">
        <v>851</v>
      </c>
      <c r="I1352" t="s">
        <v>20</v>
      </c>
      <c r="J1352" t="s">
        <v>64</v>
      </c>
      <c r="K1352" s="6">
        <v>0.03</v>
      </c>
      <c r="L1352" s="7">
        <f t="shared" si="43"/>
        <v>2E-3</v>
      </c>
      <c r="M1352" s="7">
        <v>3.0000000000000001E-3</v>
      </c>
      <c r="N1352">
        <v>7</v>
      </c>
      <c r="O1352" s="8">
        <v>17.822306426995311</v>
      </c>
      <c r="P1352" s="9">
        <v>17.822306426995311</v>
      </c>
      <c r="Q1352" s="9">
        <v>17.822306426995311</v>
      </c>
      <c r="R1352" s="9">
        <v>18.237663306594719</v>
      </c>
      <c r="S1352" s="9">
        <v>18.48712920931133</v>
      </c>
      <c r="T1352" s="9">
        <v>19.201553596969877</v>
      </c>
      <c r="U1352" s="9">
        <v>20.562345482855957</v>
      </c>
      <c r="V1352" s="9">
        <v>20.562345482855957</v>
      </c>
      <c r="W1352" s="9">
        <v>20.562345482855957</v>
      </c>
      <c r="X1352" s="9">
        <v>22.391977691000818</v>
      </c>
      <c r="Y1352" s="9">
        <v>22.391977691000818</v>
      </c>
      <c r="Z1352" s="9">
        <v>24.28858708803979</v>
      </c>
      <c r="AA1352" s="9">
        <v>24.28858708803979</v>
      </c>
      <c r="AB1352" s="9">
        <v>25.117335532005217</v>
      </c>
      <c r="AC1352" s="9">
        <v>25.117335532005217</v>
      </c>
      <c r="AD1352" s="9">
        <v>29.039116491286865</v>
      </c>
      <c r="AE1352" s="9">
        <v>31.219251037281825</v>
      </c>
      <c r="AF1352" s="9">
        <v>33.487682081707895</v>
      </c>
      <c r="AG1352" s="9">
        <v>33.487682081707895</v>
      </c>
      <c r="AH1352" s="9">
        <v>36.427668170967245</v>
      </c>
      <c r="AI1352" s="9">
        <v>38.74455996597662</v>
      </c>
      <c r="AJ1352" s="9">
        <v>3.0428788910505911</v>
      </c>
    </row>
    <row r="1353" spans="1:36" x14ac:dyDescent="0.25">
      <c r="A1353" t="s">
        <v>5411</v>
      </c>
      <c r="B1353" t="s">
        <v>16</v>
      </c>
      <c r="C1353" t="s">
        <v>17</v>
      </c>
      <c r="D1353">
        <v>36650000</v>
      </c>
      <c r="E1353">
        <v>36659999</v>
      </c>
      <c r="F1353" t="s">
        <v>1174</v>
      </c>
      <c r="G1353" t="str">
        <f t="shared" si="42"/>
        <v>MGI II</v>
      </c>
      <c r="H1353" t="s">
        <v>851</v>
      </c>
      <c r="I1353" t="s">
        <v>20</v>
      </c>
      <c r="J1353" t="s">
        <v>64</v>
      </c>
      <c r="K1353" s="6">
        <v>0.03</v>
      </c>
      <c r="L1353" s="7">
        <f t="shared" si="43"/>
        <v>2E-3</v>
      </c>
      <c r="M1353" s="7">
        <v>3.0000000000000001E-3</v>
      </c>
      <c r="N1353">
        <v>7</v>
      </c>
      <c r="O1353" s="8">
        <v>17.822306426995311</v>
      </c>
      <c r="P1353" s="9">
        <v>17.822306426995311</v>
      </c>
      <c r="Q1353" s="9">
        <v>17.822306426995311</v>
      </c>
      <c r="R1353" s="9">
        <v>18.237663306594719</v>
      </c>
      <c r="S1353" s="9">
        <v>18.48712920931133</v>
      </c>
      <c r="T1353" s="9">
        <v>19.201553596969877</v>
      </c>
      <c r="U1353" s="9">
        <v>20.562345482855957</v>
      </c>
      <c r="V1353" s="9">
        <v>20.562345482855957</v>
      </c>
      <c r="W1353" s="9">
        <v>20.562345482855957</v>
      </c>
      <c r="X1353" s="9">
        <v>22.391977691000818</v>
      </c>
      <c r="Y1353" s="9">
        <v>22.391977691000818</v>
      </c>
      <c r="Z1353" s="9">
        <v>24.28858708803979</v>
      </c>
      <c r="AA1353" s="9">
        <v>24.28858708803979</v>
      </c>
      <c r="AB1353" s="9">
        <v>25.117335532005217</v>
      </c>
      <c r="AC1353" s="9">
        <v>25.117335532005217</v>
      </c>
      <c r="AD1353" s="9">
        <v>29.039116491286865</v>
      </c>
      <c r="AE1353" s="9">
        <v>31.219251037281825</v>
      </c>
      <c r="AF1353" s="9">
        <v>33.487682081707895</v>
      </c>
      <c r="AG1353" s="9">
        <v>33.487682081707895</v>
      </c>
      <c r="AH1353" s="9">
        <v>36.427668170967245</v>
      </c>
      <c r="AI1353" s="9">
        <v>38.74455996597662</v>
      </c>
      <c r="AJ1353" s="9">
        <v>3.0428788910505911</v>
      </c>
    </row>
    <row r="1354" spans="1:36" x14ac:dyDescent="0.25">
      <c r="A1354" t="s">
        <v>5411</v>
      </c>
      <c r="B1354" t="s">
        <v>16</v>
      </c>
      <c r="C1354" t="s">
        <v>17</v>
      </c>
      <c r="D1354">
        <v>36660000</v>
      </c>
      <c r="E1354">
        <v>36669999</v>
      </c>
      <c r="F1354" t="s">
        <v>1175</v>
      </c>
      <c r="G1354" t="str">
        <f t="shared" si="42"/>
        <v>MGI II</v>
      </c>
      <c r="H1354" t="s">
        <v>851</v>
      </c>
      <c r="I1354" t="s">
        <v>20</v>
      </c>
      <c r="J1354" t="s">
        <v>64</v>
      </c>
      <c r="K1354" s="6">
        <v>0.03</v>
      </c>
      <c r="L1354" s="7">
        <f t="shared" si="43"/>
        <v>2E-3</v>
      </c>
      <c r="M1354" s="7">
        <v>3.0000000000000001E-3</v>
      </c>
      <c r="N1354">
        <v>7</v>
      </c>
      <c r="O1354" s="8">
        <v>17.822306426995311</v>
      </c>
      <c r="P1354" s="9">
        <v>17.822306426995311</v>
      </c>
      <c r="Q1354" s="9">
        <v>17.822306426995311</v>
      </c>
      <c r="R1354" s="9">
        <v>18.237663306594719</v>
      </c>
      <c r="S1354" s="9">
        <v>18.48712920931133</v>
      </c>
      <c r="T1354" s="9">
        <v>19.201553596969877</v>
      </c>
      <c r="U1354" s="9">
        <v>20.562345482855957</v>
      </c>
      <c r="V1354" s="9">
        <v>20.562345482855957</v>
      </c>
      <c r="W1354" s="9">
        <v>20.562345482855957</v>
      </c>
      <c r="X1354" s="9">
        <v>22.391977691000818</v>
      </c>
      <c r="Y1354" s="9">
        <v>22.391977691000818</v>
      </c>
      <c r="Z1354" s="9">
        <v>24.28858708803979</v>
      </c>
      <c r="AA1354" s="9">
        <v>24.28858708803979</v>
      </c>
      <c r="AB1354" s="9">
        <v>25.117335532005217</v>
      </c>
      <c r="AC1354" s="9">
        <v>25.117335532005217</v>
      </c>
      <c r="AD1354" s="9">
        <v>29.039116491286865</v>
      </c>
      <c r="AE1354" s="9">
        <v>31.219251037281825</v>
      </c>
      <c r="AF1354" s="9">
        <v>33.487682081707895</v>
      </c>
      <c r="AG1354" s="9">
        <v>33.487682081707895</v>
      </c>
      <c r="AH1354" s="9">
        <v>36.427668170967245</v>
      </c>
      <c r="AI1354" s="9">
        <v>38.74455996597662</v>
      </c>
      <c r="AJ1354" s="9">
        <v>3.0428788910505911</v>
      </c>
    </row>
    <row r="1355" spans="1:36" x14ac:dyDescent="0.25">
      <c r="A1355" t="s">
        <v>5411</v>
      </c>
      <c r="B1355" t="s">
        <v>16</v>
      </c>
      <c r="C1355" t="s">
        <v>17</v>
      </c>
      <c r="D1355">
        <v>36670000</v>
      </c>
      <c r="E1355">
        <v>36679999</v>
      </c>
      <c r="F1355" t="s">
        <v>1176</v>
      </c>
      <c r="G1355" t="str">
        <f t="shared" si="42"/>
        <v>MGI II</v>
      </c>
      <c r="H1355" t="s">
        <v>851</v>
      </c>
      <c r="I1355" t="s">
        <v>20</v>
      </c>
      <c r="J1355" t="s">
        <v>64</v>
      </c>
      <c r="K1355" s="6">
        <v>0.03</v>
      </c>
      <c r="L1355" s="7">
        <f t="shared" si="43"/>
        <v>2E-3</v>
      </c>
      <c r="M1355" s="7">
        <v>3.0000000000000001E-3</v>
      </c>
      <c r="N1355">
        <v>7</v>
      </c>
      <c r="O1355" s="8">
        <v>17.822306426995311</v>
      </c>
      <c r="P1355" s="9">
        <v>17.822306426995311</v>
      </c>
      <c r="Q1355" s="9">
        <v>17.822306426995311</v>
      </c>
      <c r="R1355" s="9">
        <v>18.237663306594719</v>
      </c>
      <c r="S1355" s="9">
        <v>18.48712920931133</v>
      </c>
      <c r="T1355" s="9">
        <v>19.201553596969877</v>
      </c>
      <c r="U1355" s="9">
        <v>20.562345482855957</v>
      </c>
      <c r="V1355" s="9">
        <v>20.562345482855957</v>
      </c>
      <c r="W1355" s="9">
        <v>20.562345482855957</v>
      </c>
      <c r="X1355" s="9">
        <v>22.391977691000818</v>
      </c>
      <c r="Y1355" s="9">
        <v>22.391977691000818</v>
      </c>
      <c r="Z1355" s="9">
        <v>24.28858708803979</v>
      </c>
      <c r="AA1355" s="9">
        <v>24.28858708803979</v>
      </c>
      <c r="AB1355" s="9">
        <v>25.117335532005217</v>
      </c>
      <c r="AC1355" s="9">
        <v>25.117335532005217</v>
      </c>
      <c r="AD1355" s="9">
        <v>29.039116491286865</v>
      </c>
      <c r="AE1355" s="9">
        <v>31.219251037281825</v>
      </c>
      <c r="AF1355" s="9">
        <v>33.487682081707895</v>
      </c>
      <c r="AG1355" s="9">
        <v>33.487682081707895</v>
      </c>
      <c r="AH1355" s="9">
        <v>36.427668170967245</v>
      </c>
      <c r="AI1355" s="9">
        <v>38.74455996597662</v>
      </c>
      <c r="AJ1355" s="9">
        <v>3.0428788910505911</v>
      </c>
    </row>
    <row r="1356" spans="1:36" x14ac:dyDescent="0.25">
      <c r="A1356" t="s">
        <v>5411</v>
      </c>
      <c r="B1356" t="s">
        <v>16</v>
      </c>
      <c r="C1356" t="s">
        <v>17</v>
      </c>
      <c r="D1356">
        <v>36680000</v>
      </c>
      <c r="E1356">
        <v>36689999</v>
      </c>
      <c r="F1356" t="s">
        <v>1177</v>
      </c>
      <c r="G1356" t="str">
        <f t="shared" si="42"/>
        <v>MGI II</v>
      </c>
      <c r="H1356" t="s">
        <v>851</v>
      </c>
      <c r="I1356" t="s">
        <v>20</v>
      </c>
      <c r="J1356" t="s">
        <v>64</v>
      </c>
      <c r="K1356" s="6">
        <v>0.03</v>
      </c>
      <c r="L1356" s="7">
        <f t="shared" si="43"/>
        <v>2E-3</v>
      </c>
      <c r="M1356" s="7">
        <v>3.0000000000000001E-3</v>
      </c>
      <c r="N1356">
        <v>7</v>
      </c>
      <c r="O1356" s="8">
        <v>17.822306426995311</v>
      </c>
      <c r="P1356" s="9">
        <v>17.822306426995311</v>
      </c>
      <c r="Q1356" s="9">
        <v>17.822306426995311</v>
      </c>
      <c r="R1356" s="9">
        <v>18.237663306594719</v>
      </c>
      <c r="S1356" s="9">
        <v>18.48712920931133</v>
      </c>
      <c r="T1356" s="9">
        <v>19.201553596969877</v>
      </c>
      <c r="U1356" s="9">
        <v>20.562345482855957</v>
      </c>
      <c r="V1356" s="9">
        <v>20.562345482855957</v>
      </c>
      <c r="W1356" s="9">
        <v>20.562345482855957</v>
      </c>
      <c r="X1356" s="9">
        <v>22.391977691000818</v>
      </c>
      <c r="Y1356" s="9">
        <v>22.391977691000818</v>
      </c>
      <c r="Z1356" s="9">
        <v>24.28858708803979</v>
      </c>
      <c r="AA1356" s="9">
        <v>24.28858708803979</v>
      </c>
      <c r="AB1356" s="9">
        <v>25.117335532005217</v>
      </c>
      <c r="AC1356" s="9">
        <v>25.117335532005217</v>
      </c>
      <c r="AD1356" s="9">
        <v>29.039116491286865</v>
      </c>
      <c r="AE1356" s="9">
        <v>31.219251037281825</v>
      </c>
      <c r="AF1356" s="9">
        <v>33.487682081707895</v>
      </c>
      <c r="AG1356" s="9">
        <v>33.487682081707895</v>
      </c>
      <c r="AH1356" s="9">
        <v>36.427668170967245</v>
      </c>
      <c r="AI1356" s="9">
        <v>38.74455996597662</v>
      </c>
      <c r="AJ1356" s="9">
        <v>3.0428788910505911</v>
      </c>
    </row>
    <row r="1357" spans="1:36" x14ac:dyDescent="0.25">
      <c r="A1357" t="s">
        <v>5411</v>
      </c>
      <c r="B1357" t="s">
        <v>16</v>
      </c>
      <c r="C1357" t="s">
        <v>17</v>
      </c>
      <c r="D1357">
        <v>36690000</v>
      </c>
      <c r="E1357">
        <v>36699999</v>
      </c>
      <c r="F1357" t="s">
        <v>1178</v>
      </c>
      <c r="G1357" t="str">
        <f t="shared" si="42"/>
        <v>MGI II</v>
      </c>
      <c r="H1357" t="s">
        <v>851</v>
      </c>
      <c r="I1357" t="s">
        <v>20</v>
      </c>
      <c r="J1357" t="s">
        <v>64</v>
      </c>
      <c r="K1357" s="6">
        <v>0.03</v>
      </c>
      <c r="L1357" s="7">
        <f t="shared" si="43"/>
        <v>2E-3</v>
      </c>
      <c r="M1357" s="7">
        <v>3.0000000000000001E-3</v>
      </c>
      <c r="N1357">
        <v>7</v>
      </c>
      <c r="O1357" s="8">
        <v>17.822306426995311</v>
      </c>
      <c r="P1357" s="9">
        <v>17.822306426995311</v>
      </c>
      <c r="Q1357" s="9">
        <v>17.822306426995311</v>
      </c>
      <c r="R1357" s="9">
        <v>18.237663306594719</v>
      </c>
      <c r="S1357" s="9">
        <v>18.48712920931133</v>
      </c>
      <c r="T1357" s="9">
        <v>19.201553596969877</v>
      </c>
      <c r="U1357" s="9">
        <v>20.562345482855957</v>
      </c>
      <c r="V1357" s="9">
        <v>20.562345482855957</v>
      </c>
      <c r="W1357" s="9">
        <v>20.562345482855957</v>
      </c>
      <c r="X1357" s="9">
        <v>22.391977691000818</v>
      </c>
      <c r="Y1357" s="9">
        <v>22.391977691000818</v>
      </c>
      <c r="Z1357" s="9">
        <v>24.28858708803979</v>
      </c>
      <c r="AA1357" s="9">
        <v>24.28858708803979</v>
      </c>
      <c r="AB1357" s="9">
        <v>25.117335532005217</v>
      </c>
      <c r="AC1357" s="9">
        <v>25.117335532005217</v>
      </c>
      <c r="AD1357" s="9">
        <v>29.039116491286865</v>
      </c>
      <c r="AE1357" s="9">
        <v>31.219251037281825</v>
      </c>
      <c r="AF1357" s="9">
        <v>33.487682081707895</v>
      </c>
      <c r="AG1357" s="9">
        <v>33.487682081707895</v>
      </c>
      <c r="AH1357" s="9">
        <v>36.427668170967245</v>
      </c>
      <c r="AI1357" s="9">
        <v>38.74455996597662</v>
      </c>
      <c r="AJ1357" s="9">
        <v>3.0428788910505911</v>
      </c>
    </row>
    <row r="1358" spans="1:36" x14ac:dyDescent="0.25">
      <c r="A1358" t="s">
        <v>5411</v>
      </c>
      <c r="B1358" t="s">
        <v>16</v>
      </c>
      <c r="C1358" t="s">
        <v>17</v>
      </c>
      <c r="D1358">
        <v>36700000</v>
      </c>
      <c r="E1358">
        <v>36709999</v>
      </c>
      <c r="F1358" t="s">
        <v>1179</v>
      </c>
      <c r="G1358" t="str">
        <f t="shared" si="42"/>
        <v>MGI</v>
      </c>
      <c r="H1358" t="s">
        <v>851</v>
      </c>
      <c r="I1358" t="s">
        <v>20</v>
      </c>
      <c r="J1358" t="s">
        <v>62</v>
      </c>
      <c r="K1358" s="6">
        <v>0.03</v>
      </c>
      <c r="L1358" s="7">
        <f t="shared" si="43"/>
        <v>2E-3</v>
      </c>
      <c r="M1358" s="7">
        <v>3.0000000000000001E-3</v>
      </c>
      <c r="N1358">
        <v>7</v>
      </c>
      <c r="O1358" s="8">
        <v>13.880385281502075</v>
      </c>
      <c r="P1358" s="9">
        <v>13.880385281502075</v>
      </c>
      <c r="Q1358" s="9">
        <v>13.880385281502075</v>
      </c>
      <c r="R1358" s="9">
        <v>14.045989937445718</v>
      </c>
      <c r="S1358" s="9">
        <v>14.060876315369912</v>
      </c>
      <c r="T1358" s="9">
        <v>15.090338571208333</v>
      </c>
      <c r="U1358" s="9">
        <v>16.025407313902726</v>
      </c>
      <c r="V1358" s="9">
        <v>16.025407313902726</v>
      </c>
      <c r="W1358" s="9">
        <v>16.025407313902726</v>
      </c>
      <c r="X1358" s="9">
        <v>18.013895748167766</v>
      </c>
      <c r="Y1358" s="9">
        <v>18.013895748167766</v>
      </c>
      <c r="Z1358" s="9">
        <v>20.142868501532355</v>
      </c>
      <c r="AA1358" s="9">
        <v>20.142868501532355</v>
      </c>
      <c r="AB1358" s="9">
        <v>22.456349831314476</v>
      </c>
      <c r="AC1358" s="9">
        <v>22.456349831314476</v>
      </c>
      <c r="AD1358" s="9">
        <v>24.87984091164185</v>
      </c>
      <c r="AE1358" s="9">
        <v>27.427492221952345</v>
      </c>
      <c r="AF1358" s="9">
        <v>33.194804868730657</v>
      </c>
      <c r="AG1358" s="9">
        <v>33.194804868730657</v>
      </c>
      <c r="AH1358" s="9">
        <v>35.957808835828068</v>
      </c>
      <c r="AI1358" s="9">
        <v>38.646304092692077</v>
      </c>
      <c r="AJ1358" s="9">
        <v>3.0428788910505911</v>
      </c>
    </row>
    <row r="1359" spans="1:36" x14ac:dyDescent="0.25">
      <c r="A1359" t="s">
        <v>5411</v>
      </c>
      <c r="B1359" t="s">
        <v>16</v>
      </c>
      <c r="C1359" t="s">
        <v>17</v>
      </c>
      <c r="D1359">
        <v>36710000</v>
      </c>
      <c r="E1359">
        <v>36719999</v>
      </c>
      <c r="F1359" t="s">
        <v>1180</v>
      </c>
      <c r="G1359" t="str">
        <f t="shared" si="42"/>
        <v>MGI II</v>
      </c>
      <c r="H1359" t="s">
        <v>851</v>
      </c>
      <c r="I1359" t="s">
        <v>20</v>
      </c>
      <c r="J1359" t="s">
        <v>64</v>
      </c>
      <c r="K1359" s="6">
        <v>0.03</v>
      </c>
      <c r="L1359" s="7">
        <f t="shared" si="43"/>
        <v>2E-3</v>
      </c>
      <c r="M1359" s="7">
        <v>3.0000000000000001E-3</v>
      </c>
      <c r="N1359">
        <v>7</v>
      </c>
      <c r="O1359" s="8">
        <v>17.822306426995311</v>
      </c>
      <c r="P1359" s="9">
        <v>17.822306426995311</v>
      </c>
      <c r="Q1359" s="9">
        <v>17.822306426995311</v>
      </c>
      <c r="R1359" s="9">
        <v>18.237663306594719</v>
      </c>
      <c r="S1359" s="9">
        <v>18.48712920931133</v>
      </c>
      <c r="T1359" s="9">
        <v>19.201553596969877</v>
      </c>
      <c r="U1359" s="9">
        <v>20.562345482855957</v>
      </c>
      <c r="V1359" s="9">
        <v>20.562345482855957</v>
      </c>
      <c r="W1359" s="9">
        <v>20.562345482855957</v>
      </c>
      <c r="X1359" s="9">
        <v>22.391977691000818</v>
      </c>
      <c r="Y1359" s="9">
        <v>22.391977691000818</v>
      </c>
      <c r="Z1359" s="9">
        <v>24.28858708803979</v>
      </c>
      <c r="AA1359" s="9">
        <v>24.28858708803979</v>
      </c>
      <c r="AB1359" s="9">
        <v>25.117335532005217</v>
      </c>
      <c r="AC1359" s="9">
        <v>25.117335532005217</v>
      </c>
      <c r="AD1359" s="9">
        <v>29.039116491286865</v>
      </c>
      <c r="AE1359" s="9">
        <v>31.219251037281825</v>
      </c>
      <c r="AF1359" s="9">
        <v>33.487682081707895</v>
      </c>
      <c r="AG1359" s="9">
        <v>33.487682081707895</v>
      </c>
      <c r="AH1359" s="9">
        <v>36.427668170967245</v>
      </c>
      <c r="AI1359" s="9">
        <v>38.74455996597662</v>
      </c>
      <c r="AJ1359" s="9">
        <v>3.0428788910505911</v>
      </c>
    </row>
    <row r="1360" spans="1:36" x14ac:dyDescent="0.25">
      <c r="A1360" t="s">
        <v>5411</v>
      </c>
      <c r="B1360" t="s">
        <v>16</v>
      </c>
      <c r="C1360" t="s">
        <v>17</v>
      </c>
      <c r="D1360">
        <v>36720000</v>
      </c>
      <c r="E1360">
        <v>36724999</v>
      </c>
      <c r="F1360" t="s">
        <v>1181</v>
      </c>
      <c r="G1360" t="str">
        <f t="shared" si="42"/>
        <v>MGI II</v>
      </c>
      <c r="H1360" t="s">
        <v>851</v>
      </c>
      <c r="I1360" t="s">
        <v>20</v>
      </c>
      <c r="J1360" t="s">
        <v>64</v>
      </c>
      <c r="K1360" s="6">
        <v>0.03</v>
      </c>
      <c r="L1360" s="7">
        <f t="shared" si="43"/>
        <v>2E-3</v>
      </c>
      <c r="M1360" s="7">
        <v>3.0000000000000001E-3</v>
      </c>
      <c r="N1360">
        <v>7</v>
      </c>
      <c r="O1360" s="8">
        <v>17.822306426995311</v>
      </c>
      <c r="P1360" s="9">
        <v>17.822306426995311</v>
      </c>
      <c r="Q1360" s="9">
        <v>17.822306426995311</v>
      </c>
      <c r="R1360" s="9">
        <v>18.237663306594719</v>
      </c>
      <c r="S1360" s="9">
        <v>18.48712920931133</v>
      </c>
      <c r="T1360" s="9">
        <v>19.201553596969877</v>
      </c>
      <c r="U1360" s="9">
        <v>20.562345482855957</v>
      </c>
      <c r="V1360" s="9">
        <v>20.562345482855957</v>
      </c>
      <c r="W1360" s="9">
        <v>20.562345482855957</v>
      </c>
      <c r="X1360" s="9">
        <v>22.391977691000818</v>
      </c>
      <c r="Y1360" s="9">
        <v>22.391977691000818</v>
      </c>
      <c r="Z1360" s="9">
        <v>24.28858708803979</v>
      </c>
      <c r="AA1360" s="9">
        <v>24.28858708803979</v>
      </c>
      <c r="AB1360" s="9">
        <v>25.117335532005217</v>
      </c>
      <c r="AC1360" s="9">
        <v>25.117335532005217</v>
      </c>
      <c r="AD1360" s="9">
        <v>29.039116491286865</v>
      </c>
      <c r="AE1360" s="9">
        <v>31.219251037281825</v>
      </c>
      <c r="AF1360" s="9">
        <v>33.487682081707895</v>
      </c>
      <c r="AG1360" s="9">
        <v>33.487682081707895</v>
      </c>
      <c r="AH1360" s="9">
        <v>36.427668170967245</v>
      </c>
      <c r="AI1360" s="9">
        <v>38.74455996597662</v>
      </c>
      <c r="AJ1360" s="9">
        <v>3.0428788910505911</v>
      </c>
    </row>
    <row r="1361" spans="1:36" x14ac:dyDescent="0.25">
      <c r="A1361" t="s">
        <v>5411</v>
      </c>
      <c r="B1361" t="s">
        <v>16</v>
      </c>
      <c r="C1361" t="s">
        <v>17</v>
      </c>
      <c r="D1361">
        <v>36725000</v>
      </c>
      <c r="E1361">
        <v>36729999</v>
      </c>
      <c r="F1361" t="s">
        <v>1182</v>
      </c>
      <c r="G1361" t="str">
        <f t="shared" si="42"/>
        <v>MGI II</v>
      </c>
      <c r="H1361" t="s">
        <v>851</v>
      </c>
      <c r="I1361" t="s">
        <v>20</v>
      </c>
      <c r="J1361" t="s">
        <v>64</v>
      </c>
      <c r="K1361" s="6">
        <v>0.03</v>
      </c>
      <c r="L1361" s="7">
        <f t="shared" si="43"/>
        <v>2E-3</v>
      </c>
      <c r="M1361" s="7">
        <v>3.0000000000000001E-3</v>
      </c>
      <c r="N1361">
        <v>7</v>
      </c>
      <c r="O1361" s="8">
        <v>17.822306426995311</v>
      </c>
      <c r="P1361" s="9">
        <v>17.822306426995311</v>
      </c>
      <c r="Q1361" s="9">
        <v>17.822306426995311</v>
      </c>
      <c r="R1361" s="9">
        <v>18.237663306594719</v>
      </c>
      <c r="S1361" s="9">
        <v>18.48712920931133</v>
      </c>
      <c r="T1361" s="9">
        <v>19.201553596969877</v>
      </c>
      <c r="U1361" s="9">
        <v>20.562345482855957</v>
      </c>
      <c r="V1361" s="9">
        <v>20.562345482855957</v>
      </c>
      <c r="W1361" s="9">
        <v>20.562345482855957</v>
      </c>
      <c r="X1361" s="9">
        <v>22.391977691000818</v>
      </c>
      <c r="Y1361" s="9">
        <v>22.391977691000818</v>
      </c>
      <c r="Z1361" s="9">
        <v>24.28858708803979</v>
      </c>
      <c r="AA1361" s="9">
        <v>24.28858708803979</v>
      </c>
      <c r="AB1361" s="9">
        <v>25.117335532005217</v>
      </c>
      <c r="AC1361" s="9">
        <v>25.117335532005217</v>
      </c>
      <c r="AD1361" s="9">
        <v>29.039116491286865</v>
      </c>
      <c r="AE1361" s="9">
        <v>31.219251037281825</v>
      </c>
      <c r="AF1361" s="9">
        <v>33.487682081707895</v>
      </c>
      <c r="AG1361" s="9">
        <v>33.487682081707895</v>
      </c>
      <c r="AH1361" s="9">
        <v>36.427668170967245</v>
      </c>
      <c r="AI1361" s="9">
        <v>38.74455996597662</v>
      </c>
      <c r="AJ1361" s="9">
        <v>3.0428788910505911</v>
      </c>
    </row>
    <row r="1362" spans="1:36" x14ac:dyDescent="0.25">
      <c r="A1362" t="s">
        <v>5411</v>
      </c>
      <c r="B1362" t="s">
        <v>16</v>
      </c>
      <c r="C1362" t="s">
        <v>17</v>
      </c>
      <c r="D1362">
        <v>36730000</v>
      </c>
      <c r="E1362">
        <v>36739999</v>
      </c>
      <c r="F1362" t="s">
        <v>1183</v>
      </c>
      <c r="G1362" t="str">
        <f t="shared" si="42"/>
        <v>MGI II</v>
      </c>
      <c r="H1362" t="s">
        <v>851</v>
      </c>
      <c r="I1362" t="s">
        <v>20</v>
      </c>
      <c r="J1362" t="s">
        <v>64</v>
      </c>
      <c r="K1362" s="6">
        <v>0.03</v>
      </c>
      <c r="L1362" s="7">
        <f t="shared" si="43"/>
        <v>2E-3</v>
      </c>
      <c r="M1362" s="7">
        <v>3.0000000000000001E-3</v>
      </c>
      <c r="N1362">
        <v>7</v>
      </c>
      <c r="O1362" s="8">
        <v>17.822306426995311</v>
      </c>
      <c r="P1362" s="9">
        <v>17.822306426995311</v>
      </c>
      <c r="Q1362" s="9">
        <v>17.822306426995311</v>
      </c>
      <c r="R1362" s="9">
        <v>18.237663306594719</v>
      </c>
      <c r="S1362" s="9">
        <v>18.48712920931133</v>
      </c>
      <c r="T1362" s="9">
        <v>19.201553596969877</v>
      </c>
      <c r="U1362" s="9">
        <v>20.562345482855957</v>
      </c>
      <c r="V1362" s="9">
        <v>20.562345482855957</v>
      </c>
      <c r="W1362" s="9">
        <v>20.562345482855957</v>
      </c>
      <c r="X1362" s="9">
        <v>22.391977691000818</v>
      </c>
      <c r="Y1362" s="9">
        <v>22.391977691000818</v>
      </c>
      <c r="Z1362" s="9">
        <v>24.28858708803979</v>
      </c>
      <c r="AA1362" s="9">
        <v>24.28858708803979</v>
      </c>
      <c r="AB1362" s="9">
        <v>25.117335532005217</v>
      </c>
      <c r="AC1362" s="9">
        <v>25.117335532005217</v>
      </c>
      <c r="AD1362" s="9">
        <v>29.039116491286865</v>
      </c>
      <c r="AE1362" s="9">
        <v>31.219251037281825</v>
      </c>
      <c r="AF1362" s="9">
        <v>33.487682081707895</v>
      </c>
      <c r="AG1362" s="9">
        <v>33.487682081707895</v>
      </c>
      <c r="AH1362" s="9">
        <v>36.427668170967245</v>
      </c>
      <c r="AI1362" s="9">
        <v>38.74455996597662</v>
      </c>
      <c r="AJ1362" s="9">
        <v>3.0428788910505911</v>
      </c>
    </row>
    <row r="1363" spans="1:36" x14ac:dyDescent="0.25">
      <c r="A1363" t="s">
        <v>5411</v>
      </c>
      <c r="B1363" t="s">
        <v>16</v>
      </c>
      <c r="C1363" t="s">
        <v>17</v>
      </c>
      <c r="D1363">
        <v>36740000</v>
      </c>
      <c r="E1363">
        <v>36749999</v>
      </c>
      <c r="F1363" t="s">
        <v>1184</v>
      </c>
      <c r="G1363" t="str">
        <f t="shared" si="42"/>
        <v>MGI II</v>
      </c>
      <c r="H1363" t="s">
        <v>851</v>
      </c>
      <c r="I1363" t="s">
        <v>20</v>
      </c>
      <c r="J1363" t="s">
        <v>64</v>
      </c>
      <c r="K1363" s="6">
        <v>0.03</v>
      </c>
      <c r="L1363" s="7">
        <f t="shared" si="43"/>
        <v>2E-3</v>
      </c>
      <c r="M1363" s="7">
        <v>3.0000000000000001E-3</v>
      </c>
      <c r="N1363">
        <v>8</v>
      </c>
      <c r="O1363" s="8">
        <v>17.822306426995311</v>
      </c>
      <c r="P1363" s="9">
        <v>17.822306426995311</v>
      </c>
      <c r="Q1363" s="9">
        <v>17.822306426995311</v>
      </c>
      <c r="R1363" s="9">
        <v>18.237663306594719</v>
      </c>
      <c r="S1363" s="9">
        <v>18.48712920931133</v>
      </c>
      <c r="T1363" s="9">
        <v>19.201553596969877</v>
      </c>
      <c r="U1363" s="9">
        <v>20.562345482855957</v>
      </c>
      <c r="V1363" s="9">
        <v>20.562345482855957</v>
      </c>
      <c r="W1363" s="9">
        <v>20.562345482855957</v>
      </c>
      <c r="X1363" s="9">
        <v>22.391977691000818</v>
      </c>
      <c r="Y1363" s="9">
        <v>22.391977691000818</v>
      </c>
      <c r="Z1363" s="9">
        <v>24.28858708803979</v>
      </c>
      <c r="AA1363" s="9">
        <v>24.28858708803979</v>
      </c>
      <c r="AB1363" s="9">
        <v>25.117335532005217</v>
      </c>
      <c r="AC1363" s="9">
        <v>25.117335532005217</v>
      </c>
      <c r="AD1363" s="9">
        <v>29.039116491286865</v>
      </c>
      <c r="AE1363" s="9">
        <v>31.219251037281825</v>
      </c>
      <c r="AF1363" s="9">
        <v>33.487682081707895</v>
      </c>
      <c r="AG1363" s="9">
        <v>33.487682081707895</v>
      </c>
      <c r="AH1363" s="9">
        <v>36.427668170967245</v>
      </c>
      <c r="AI1363" s="9">
        <v>38.74455996597662</v>
      </c>
      <c r="AJ1363" s="9">
        <v>3.0428788910505911</v>
      </c>
    </row>
    <row r="1364" spans="1:36" x14ac:dyDescent="0.25">
      <c r="A1364" t="s">
        <v>5411</v>
      </c>
      <c r="B1364" t="s">
        <v>16</v>
      </c>
      <c r="C1364" t="s">
        <v>17</v>
      </c>
      <c r="D1364">
        <v>36750000</v>
      </c>
      <c r="E1364">
        <v>36759999</v>
      </c>
      <c r="F1364" t="s">
        <v>1185</v>
      </c>
      <c r="G1364" t="str">
        <f t="shared" si="42"/>
        <v>MGI II</v>
      </c>
      <c r="H1364" t="s">
        <v>851</v>
      </c>
      <c r="I1364" t="s">
        <v>20</v>
      </c>
      <c r="J1364" t="s">
        <v>64</v>
      </c>
      <c r="K1364" s="6">
        <v>0.03</v>
      </c>
      <c r="L1364" s="7">
        <f t="shared" si="43"/>
        <v>2E-3</v>
      </c>
      <c r="M1364" s="7">
        <v>3.0000000000000001E-3</v>
      </c>
      <c r="N1364">
        <v>8</v>
      </c>
      <c r="O1364" s="8">
        <v>17.822306426995311</v>
      </c>
      <c r="P1364" s="9">
        <v>17.822306426995311</v>
      </c>
      <c r="Q1364" s="9">
        <v>17.822306426995311</v>
      </c>
      <c r="R1364" s="9">
        <v>18.237663306594719</v>
      </c>
      <c r="S1364" s="9">
        <v>18.48712920931133</v>
      </c>
      <c r="T1364" s="9">
        <v>19.201553596969877</v>
      </c>
      <c r="U1364" s="9">
        <v>20.562345482855957</v>
      </c>
      <c r="V1364" s="9">
        <v>20.562345482855957</v>
      </c>
      <c r="W1364" s="9">
        <v>20.562345482855957</v>
      </c>
      <c r="X1364" s="9">
        <v>22.391977691000818</v>
      </c>
      <c r="Y1364" s="9">
        <v>22.391977691000818</v>
      </c>
      <c r="Z1364" s="9">
        <v>24.28858708803979</v>
      </c>
      <c r="AA1364" s="9">
        <v>24.28858708803979</v>
      </c>
      <c r="AB1364" s="9">
        <v>25.117335532005217</v>
      </c>
      <c r="AC1364" s="9">
        <v>25.117335532005217</v>
      </c>
      <c r="AD1364" s="9">
        <v>29.039116491286865</v>
      </c>
      <c r="AE1364" s="9">
        <v>31.219251037281825</v>
      </c>
      <c r="AF1364" s="9">
        <v>33.487682081707895</v>
      </c>
      <c r="AG1364" s="9">
        <v>33.487682081707895</v>
      </c>
      <c r="AH1364" s="9">
        <v>36.427668170967245</v>
      </c>
      <c r="AI1364" s="9">
        <v>38.74455996597662</v>
      </c>
      <c r="AJ1364" s="9">
        <v>3.0428788910505911</v>
      </c>
    </row>
    <row r="1365" spans="1:36" x14ac:dyDescent="0.25">
      <c r="A1365" t="s">
        <v>5411</v>
      </c>
      <c r="B1365" t="s">
        <v>16</v>
      </c>
      <c r="C1365" t="s">
        <v>17</v>
      </c>
      <c r="D1365">
        <v>36760000</v>
      </c>
      <c r="E1365">
        <v>36769999</v>
      </c>
      <c r="F1365" t="s">
        <v>1186</v>
      </c>
      <c r="G1365" t="str">
        <f t="shared" si="42"/>
        <v>MGI II</v>
      </c>
      <c r="H1365" t="s">
        <v>851</v>
      </c>
      <c r="I1365" t="s">
        <v>20</v>
      </c>
      <c r="J1365" t="s">
        <v>64</v>
      </c>
      <c r="K1365" s="6">
        <v>0.03</v>
      </c>
      <c r="L1365" s="7">
        <f t="shared" si="43"/>
        <v>2E-3</v>
      </c>
      <c r="M1365" s="7">
        <v>3.0000000000000001E-3</v>
      </c>
      <c r="N1365">
        <v>7</v>
      </c>
      <c r="O1365" s="8">
        <v>17.822306426995311</v>
      </c>
      <c r="P1365" s="9">
        <v>17.822306426995311</v>
      </c>
      <c r="Q1365" s="9">
        <v>17.822306426995311</v>
      </c>
      <c r="R1365" s="9">
        <v>18.237663306594719</v>
      </c>
      <c r="S1365" s="9">
        <v>18.48712920931133</v>
      </c>
      <c r="T1365" s="9">
        <v>19.201553596969877</v>
      </c>
      <c r="U1365" s="9">
        <v>20.562345482855957</v>
      </c>
      <c r="V1365" s="9">
        <v>20.562345482855957</v>
      </c>
      <c r="W1365" s="9">
        <v>20.562345482855957</v>
      </c>
      <c r="X1365" s="9">
        <v>22.391977691000818</v>
      </c>
      <c r="Y1365" s="9">
        <v>22.391977691000818</v>
      </c>
      <c r="Z1365" s="9">
        <v>24.28858708803979</v>
      </c>
      <c r="AA1365" s="9">
        <v>24.28858708803979</v>
      </c>
      <c r="AB1365" s="9">
        <v>25.117335532005217</v>
      </c>
      <c r="AC1365" s="9">
        <v>25.117335532005217</v>
      </c>
      <c r="AD1365" s="9">
        <v>29.039116491286865</v>
      </c>
      <c r="AE1365" s="9">
        <v>31.219251037281825</v>
      </c>
      <c r="AF1365" s="9">
        <v>33.487682081707895</v>
      </c>
      <c r="AG1365" s="9">
        <v>33.487682081707895</v>
      </c>
      <c r="AH1365" s="9">
        <v>36.427668170967245</v>
      </c>
      <c r="AI1365" s="9">
        <v>38.74455996597662</v>
      </c>
      <c r="AJ1365" s="9">
        <v>3.0428788910505911</v>
      </c>
    </row>
    <row r="1366" spans="1:36" x14ac:dyDescent="0.25">
      <c r="A1366" t="s">
        <v>5411</v>
      </c>
      <c r="B1366" t="s">
        <v>16</v>
      </c>
      <c r="C1366" t="s">
        <v>17</v>
      </c>
      <c r="D1366">
        <v>36770000</v>
      </c>
      <c r="E1366">
        <v>36779999</v>
      </c>
      <c r="F1366" t="s">
        <v>1187</v>
      </c>
      <c r="G1366" t="str">
        <f t="shared" si="42"/>
        <v>MGI</v>
      </c>
      <c r="H1366" t="s">
        <v>851</v>
      </c>
      <c r="I1366" t="s">
        <v>20</v>
      </c>
      <c r="J1366" t="s">
        <v>62</v>
      </c>
      <c r="K1366" s="6">
        <v>0.03</v>
      </c>
      <c r="L1366" s="7">
        <f t="shared" si="43"/>
        <v>2E-3</v>
      </c>
      <c r="M1366" s="7">
        <v>3.0000000000000001E-3</v>
      </c>
      <c r="N1366">
        <v>7</v>
      </c>
      <c r="O1366" s="8">
        <v>13.880385281502075</v>
      </c>
      <c r="P1366" s="9">
        <v>13.880385281502075</v>
      </c>
      <c r="Q1366" s="9">
        <v>13.880385281502075</v>
      </c>
      <c r="R1366" s="9">
        <v>14.045989937445718</v>
      </c>
      <c r="S1366" s="9">
        <v>14.060876315369912</v>
      </c>
      <c r="T1366" s="9">
        <v>15.090338571208333</v>
      </c>
      <c r="U1366" s="9">
        <v>16.025407313902726</v>
      </c>
      <c r="V1366" s="9">
        <v>16.025407313902726</v>
      </c>
      <c r="W1366" s="9">
        <v>16.025407313902726</v>
      </c>
      <c r="X1366" s="9">
        <v>18.013895748167766</v>
      </c>
      <c r="Y1366" s="9">
        <v>18.013895748167766</v>
      </c>
      <c r="Z1366" s="9">
        <v>20.142868501532355</v>
      </c>
      <c r="AA1366" s="9">
        <v>20.142868501532355</v>
      </c>
      <c r="AB1366" s="9">
        <v>22.456349831314476</v>
      </c>
      <c r="AC1366" s="9">
        <v>22.456349831314476</v>
      </c>
      <c r="AD1366" s="9">
        <v>24.87984091164185</v>
      </c>
      <c r="AE1366" s="9">
        <v>27.427492221952345</v>
      </c>
      <c r="AF1366" s="9">
        <v>33.194804868730657</v>
      </c>
      <c r="AG1366" s="9">
        <v>33.194804868730657</v>
      </c>
      <c r="AH1366" s="9">
        <v>35.957808835828068</v>
      </c>
      <c r="AI1366" s="9">
        <v>38.646304092692077</v>
      </c>
      <c r="AJ1366" s="9">
        <v>3.0428788910505911</v>
      </c>
    </row>
    <row r="1367" spans="1:36" x14ac:dyDescent="0.25">
      <c r="A1367" t="s">
        <v>5411</v>
      </c>
      <c r="B1367" t="s">
        <v>16</v>
      </c>
      <c r="C1367" t="s">
        <v>17</v>
      </c>
      <c r="D1367">
        <v>36780000</v>
      </c>
      <c r="E1367">
        <v>36783999</v>
      </c>
      <c r="F1367" t="s">
        <v>1188</v>
      </c>
      <c r="G1367" t="str">
        <f t="shared" si="42"/>
        <v>MGI</v>
      </c>
      <c r="H1367" t="s">
        <v>851</v>
      </c>
      <c r="I1367" t="s">
        <v>20</v>
      </c>
      <c r="J1367" t="s">
        <v>62</v>
      </c>
      <c r="K1367" s="6">
        <v>0.03</v>
      </c>
      <c r="L1367" s="7">
        <f t="shared" si="43"/>
        <v>2E-3</v>
      </c>
      <c r="M1367" s="7">
        <v>3.0000000000000001E-3</v>
      </c>
      <c r="N1367">
        <v>7</v>
      </c>
      <c r="O1367" s="8">
        <v>13.880385281502075</v>
      </c>
      <c r="P1367" s="9">
        <v>13.880385281502075</v>
      </c>
      <c r="Q1367" s="9">
        <v>13.880385281502075</v>
      </c>
      <c r="R1367" s="9">
        <v>14.045989937445718</v>
      </c>
      <c r="S1367" s="9">
        <v>14.060876315369912</v>
      </c>
      <c r="T1367" s="9">
        <v>15.090338571208333</v>
      </c>
      <c r="U1367" s="9">
        <v>16.025407313902726</v>
      </c>
      <c r="V1367" s="9">
        <v>16.025407313902726</v>
      </c>
      <c r="W1367" s="9">
        <v>16.025407313902726</v>
      </c>
      <c r="X1367" s="9">
        <v>18.013895748167766</v>
      </c>
      <c r="Y1367" s="9">
        <v>18.013895748167766</v>
      </c>
      <c r="Z1367" s="9">
        <v>20.142868501532355</v>
      </c>
      <c r="AA1367" s="9">
        <v>20.142868501532355</v>
      </c>
      <c r="AB1367" s="9">
        <v>22.456349831314476</v>
      </c>
      <c r="AC1367" s="9">
        <v>22.456349831314476</v>
      </c>
      <c r="AD1367" s="9">
        <v>24.87984091164185</v>
      </c>
      <c r="AE1367" s="9">
        <v>27.427492221952345</v>
      </c>
      <c r="AF1367" s="9">
        <v>33.194804868730657</v>
      </c>
      <c r="AG1367" s="9">
        <v>33.194804868730657</v>
      </c>
      <c r="AH1367" s="9">
        <v>35.957808835828068</v>
      </c>
      <c r="AI1367" s="9">
        <v>38.646304092692077</v>
      </c>
      <c r="AJ1367" s="9">
        <v>3.0428788910505911</v>
      </c>
    </row>
    <row r="1368" spans="1:36" x14ac:dyDescent="0.25">
      <c r="A1368" t="s">
        <v>5411</v>
      </c>
      <c r="B1368" t="s">
        <v>16</v>
      </c>
      <c r="C1368" t="s">
        <v>17</v>
      </c>
      <c r="D1368">
        <v>36784000</v>
      </c>
      <c r="E1368">
        <v>36787999</v>
      </c>
      <c r="F1368" t="s">
        <v>1189</v>
      </c>
      <c r="G1368" t="str">
        <f t="shared" si="42"/>
        <v>MGI II</v>
      </c>
      <c r="H1368" t="s">
        <v>851</v>
      </c>
      <c r="I1368" t="s">
        <v>20</v>
      </c>
      <c r="J1368" t="s">
        <v>64</v>
      </c>
      <c r="K1368" s="6">
        <v>0.03</v>
      </c>
      <c r="L1368" s="7">
        <f t="shared" si="43"/>
        <v>2E-3</v>
      </c>
      <c r="M1368" s="7">
        <v>3.0000000000000001E-3</v>
      </c>
      <c r="N1368">
        <v>7</v>
      </c>
      <c r="O1368" s="8">
        <v>17.822306426995311</v>
      </c>
      <c r="P1368" s="9">
        <v>17.822306426995311</v>
      </c>
      <c r="Q1368" s="9">
        <v>17.822306426995311</v>
      </c>
      <c r="R1368" s="9">
        <v>18.237663306594719</v>
      </c>
      <c r="S1368" s="9">
        <v>18.48712920931133</v>
      </c>
      <c r="T1368" s="9">
        <v>19.201553596969877</v>
      </c>
      <c r="U1368" s="9">
        <v>20.562345482855957</v>
      </c>
      <c r="V1368" s="9">
        <v>20.562345482855957</v>
      </c>
      <c r="W1368" s="9">
        <v>20.562345482855957</v>
      </c>
      <c r="X1368" s="9">
        <v>22.391977691000818</v>
      </c>
      <c r="Y1368" s="9">
        <v>22.391977691000818</v>
      </c>
      <c r="Z1368" s="9">
        <v>24.28858708803979</v>
      </c>
      <c r="AA1368" s="9">
        <v>24.28858708803979</v>
      </c>
      <c r="AB1368" s="9">
        <v>25.117335532005217</v>
      </c>
      <c r="AC1368" s="9">
        <v>25.117335532005217</v>
      </c>
      <c r="AD1368" s="9">
        <v>29.039116491286865</v>
      </c>
      <c r="AE1368" s="9">
        <v>31.219251037281825</v>
      </c>
      <c r="AF1368" s="9">
        <v>33.487682081707895</v>
      </c>
      <c r="AG1368" s="9">
        <v>33.487682081707895</v>
      </c>
      <c r="AH1368" s="9">
        <v>36.427668170967245</v>
      </c>
      <c r="AI1368" s="9">
        <v>38.74455996597662</v>
      </c>
      <c r="AJ1368" s="9">
        <v>3.0428788910505911</v>
      </c>
    </row>
    <row r="1369" spans="1:36" x14ac:dyDescent="0.25">
      <c r="A1369" t="s">
        <v>5411</v>
      </c>
      <c r="B1369" t="s">
        <v>16</v>
      </c>
      <c r="C1369" t="s">
        <v>17</v>
      </c>
      <c r="D1369">
        <v>36788000</v>
      </c>
      <c r="E1369">
        <v>36789999</v>
      </c>
      <c r="F1369" t="s">
        <v>1190</v>
      </c>
      <c r="G1369" t="str">
        <f t="shared" si="42"/>
        <v>MGI II</v>
      </c>
      <c r="H1369" t="s">
        <v>851</v>
      </c>
      <c r="I1369" t="s">
        <v>20</v>
      </c>
      <c r="J1369" t="s">
        <v>64</v>
      </c>
      <c r="K1369" s="6">
        <v>0.03</v>
      </c>
      <c r="L1369" s="7">
        <f t="shared" si="43"/>
        <v>2E-3</v>
      </c>
      <c r="M1369" s="7">
        <v>3.0000000000000001E-3</v>
      </c>
      <c r="N1369">
        <v>8</v>
      </c>
      <c r="O1369" s="8">
        <v>17.822306426995311</v>
      </c>
      <c r="P1369" s="9">
        <v>17.822306426995311</v>
      </c>
      <c r="Q1369" s="9">
        <v>17.822306426995311</v>
      </c>
      <c r="R1369" s="9">
        <v>18.237663306594719</v>
      </c>
      <c r="S1369" s="9">
        <v>18.48712920931133</v>
      </c>
      <c r="T1369" s="9">
        <v>19.201553596969877</v>
      </c>
      <c r="U1369" s="9">
        <v>20.562345482855957</v>
      </c>
      <c r="V1369" s="9">
        <v>20.562345482855957</v>
      </c>
      <c r="W1369" s="9">
        <v>20.562345482855957</v>
      </c>
      <c r="X1369" s="9">
        <v>22.391977691000818</v>
      </c>
      <c r="Y1369" s="9">
        <v>22.391977691000818</v>
      </c>
      <c r="Z1369" s="9">
        <v>24.28858708803979</v>
      </c>
      <c r="AA1369" s="9">
        <v>24.28858708803979</v>
      </c>
      <c r="AB1369" s="9">
        <v>25.117335532005217</v>
      </c>
      <c r="AC1369" s="9">
        <v>25.117335532005217</v>
      </c>
      <c r="AD1369" s="9">
        <v>29.039116491286865</v>
      </c>
      <c r="AE1369" s="9">
        <v>31.219251037281825</v>
      </c>
      <c r="AF1369" s="9">
        <v>33.487682081707895</v>
      </c>
      <c r="AG1369" s="9">
        <v>33.487682081707895</v>
      </c>
      <c r="AH1369" s="9">
        <v>36.427668170967245</v>
      </c>
      <c r="AI1369" s="9">
        <v>38.74455996597662</v>
      </c>
      <c r="AJ1369" s="9">
        <v>3.0428788910505911</v>
      </c>
    </row>
    <row r="1370" spans="1:36" x14ac:dyDescent="0.25">
      <c r="A1370" t="s">
        <v>5411</v>
      </c>
      <c r="B1370" t="s">
        <v>16</v>
      </c>
      <c r="C1370" t="s">
        <v>17</v>
      </c>
      <c r="D1370">
        <v>36790000</v>
      </c>
      <c r="E1370">
        <v>36792999</v>
      </c>
      <c r="F1370" t="s">
        <v>1191</v>
      </c>
      <c r="G1370" t="str">
        <f t="shared" si="42"/>
        <v>MGI II</v>
      </c>
      <c r="H1370" t="s">
        <v>851</v>
      </c>
      <c r="I1370" t="s">
        <v>20</v>
      </c>
      <c r="J1370" t="s">
        <v>64</v>
      </c>
      <c r="K1370" s="6">
        <v>0.03</v>
      </c>
      <c r="L1370" s="7">
        <f t="shared" si="43"/>
        <v>2E-3</v>
      </c>
      <c r="M1370" s="7">
        <v>3.0000000000000001E-3</v>
      </c>
      <c r="N1370">
        <v>7</v>
      </c>
      <c r="O1370" s="8">
        <v>17.822306426995311</v>
      </c>
      <c r="P1370" s="9">
        <v>17.822306426995311</v>
      </c>
      <c r="Q1370" s="9">
        <v>17.822306426995311</v>
      </c>
      <c r="R1370" s="9">
        <v>18.237663306594719</v>
      </c>
      <c r="S1370" s="9">
        <v>18.48712920931133</v>
      </c>
      <c r="T1370" s="9">
        <v>19.201553596969877</v>
      </c>
      <c r="U1370" s="9">
        <v>20.562345482855957</v>
      </c>
      <c r="V1370" s="9">
        <v>20.562345482855957</v>
      </c>
      <c r="W1370" s="9">
        <v>20.562345482855957</v>
      </c>
      <c r="X1370" s="9">
        <v>22.391977691000818</v>
      </c>
      <c r="Y1370" s="9">
        <v>22.391977691000818</v>
      </c>
      <c r="Z1370" s="9">
        <v>24.28858708803979</v>
      </c>
      <c r="AA1370" s="9">
        <v>24.28858708803979</v>
      </c>
      <c r="AB1370" s="9">
        <v>25.117335532005217</v>
      </c>
      <c r="AC1370" s="9">
        <v>25.117335532005217</v>
      </c>
      <c r="AD1370" s="9">
        <v>29.039116491286865</v>
      </c>
      <c r="AE1370" s="9">
        <v>31.219251037281825</v>
      </c>
      <c r="AF1370" s="9">
        <v>33.487682081707895</v>
      </c>
      <c r="AG1370" s="9">
        <v>33.487682081707895</v>
      </c>
      <c r="AH1370" s="9">
        <v>36.427668170967245</v>
      </c>
      <c r="AI1370" s="9">
        <v>38.74455996597662</v>
      </c>
      <c r="AJ1370" s="9">
        <v>3.0428788910505911</v>
      </c>
    </row>
    <row r="1371" spans="1:36" x14ac:dyDescent="0.25">
      <c r="A1371" t="s">
        <v>5411</v>
      </c>
      <c r="B1371" t="s">
        <v>16</v>
      </c>
      <c r="C1371" t="s">
        <v>17</v>
      </c>
      <c r="D1371">
        <v>36793000</v>
      </c>
      <c r="E1371">
        <v>36794999</v>
      </c>
      <c r="F1371" t="s">
        <v>1192</v>
      </c>
      <c r="G1371" t="str">
        <f t="shared" si="42"/>
        <v>MGI II</v>
      </c>
      <c r="H1371" t="s">
        <v>851</v>
      </c>
      <c r="I1371" t="s">
        <v>20</v>
      </c>
      <c r="J1371" t="s">
        <v>64</v>
      </c>
      <c r="K1371" s="6">
        <v>0.03</v>
      </c>
      <c r="L1371" s="7">
        <f t="shared" si="43"/>
        <v>2E-3</v>
      </c>
      <c r="M1371" s="7">
        <v>3.0000000000000001E-3</v>
      </c>
      <c r="N1371">
        <v>8</v>
      </c>
      <c r="O1371" s="8">
        <v>17.822306426995311</v>
      </c>
      <c r="P1371" s="9">
        <v>17.822306426995311</v>
      </c>
      <c r="Q1371" s="9">
        <v>17.822306426995311</v>
      </c>
      <c r="R1371" s="9">
        <v>18.237663306594719</v>
      </c>
      <c r="S1371" s="9">
        <v>18.48712920931133</v>
      </c>
      <c r="T1371" s="9">
        <v>19.201553596969877</v>
      </c>
      <c r="U1371" s="9">
        <v>20.562345482855957</v>
      </c>
      <c r="V1371" s="9">
        <v>20.562345482855957</v>
      </c>
      <c r="W1371" s="9">
        <v>20.562345482855957</v>
      </c>
      <c r="X1371" s="9">
        <v>22.391977691000818</v>
      </c>
      <c r="Y1371" s="9">
        <v>22.391977691000818</v>
      </c>
      <c r="Z1371" s="9">
        <v>24.28858708803979</v>
      </c>
      <c r="AA1371" s="9">
        <v>24.28858708803979</v>
      </c>
      <c r="AB1371" s="9">
        <v>25.117335532005217</v>
      </c>
      <c r="AC1371" s="9">
        <v>25.117335532005217</v>
      </c>
      <c r="AD1371" s="9">
        <v>29.039116491286865</v>
      </c>
      <c r="AE1371" s="9">
        <v>31.219251037281825</v>
      </c>
      <c r="AF1371" s="9">
        <v>33.487682081707895</v>
      </c>
      <c r="AG1371" s="9">
        <v>33.487682081707895</v>
      </c>
      <c r="AH1371" s="9">
        <v>36.427668170967245</v>
      </c>
      <c r="AI1371" s="9">
        <v>38.74455996597662</v>
      </c>
      <c r="AJ1371" s="9">
        <v>3.0428788910505911</v>
      </c>
    </row>
    <row r="1372" spans="1:36" x14ac:dyDescent="0.25">
      <c r="A1372" t="s">
        <v>5411</v>
      </c>
      <c r="B1372" t="s">
        <v>16</v>
      </c>
      <c r="C1372" t="s">
        <v>17</v>
      </c>
      <c r="D1372">
        <v>36795000</v>
      </c>
      <c r="E1372">
        <v>36799999</v>
      </c>
      <c r="F1372" t="s">
        <v>1193</v>
      </c>
      <c r="G1372" t="str">
        <f t="shared" si="42"/>
        <v>MGI II</v>
      </c>
      <c r="H1372" t="s">
        <v>851</v>
      </c>
      <c r="I1372" t="s">
        <v>20</v>
      </c>
      <c r="J1372" t="s">
        <v>64</v>
      </c>
      <c r="K1372" s="6">
        <v>0.03</v>
      </c>
      <c r="L1372" s="7">
        <f t="shared" si="43"/>
        <v>2E-3</v>
      </c>
      <c r="M1372" s="7">
        <v>3.0000000000000001E-3</v>
      </c>
      <c r="N1372">
        <v>8</v>
      </c>
      <c r="O1372" s="8">
        <v>17.822306426995311</v>
      </c>
      <c r="P1372" s="9">
        <v>17.822306426995311</v>
      </c>
      <c r="Q1372" s="9">
        <v>17.822306426995311</v>
      </c>
      <c r="R1372" s="9">
        <v>18.237663306594719</v>
      </c>
      <c r="S1372" s="9">
        <v>18.48712920931133</v>
      </c>
      <c r="T1372" s="9">
        <v>19.201553596969877</v>
      </c>
      <c r="U1372" s="9">
        <v>20.562345482855957</v>
      </c>
      <c r="V1372" s="9">
        <v>20.562345482855957</v>
      </c>
      <c r="W1372" s="9">
        <v>20.562345482855957</v>
      </c>
      <c r="X1372" s="9">
        <v>22.391977691000818</v>
      </c>
      <c r="Y1372" s="9">
        <v>22.391977691000818</v>
      </c>
      <c r="Z1372" s="9">
        <v>24.28858708803979</v>
      </c>
      <c r="AA1372" s="9">
        <v>24.28858708803979</v>
      </c>
      <c r="AB1372" s="9">
        <v>25.117335532005217</v>
      </c>
      <c r="AC1372" s="9">
        <v>25.117335532005217</v>
      </c>
      <c r="AD1372" s="9">
        <v>29.039116491286865</v>
      </c>
      <c r="AE1372" s="9">
        <v>31.219251037281825</v>
      </c>
      <c r="AF1372" s="9">
        <v>33.487682081707895</v>
      </c>
      <c r="AG1372" s="9">
        <v>33.487682081707895</v>
      </c>
      <c r="AH1372" s="9">
        <v>36.427668170967245</v>
      </c>
      <c r="AI1372" s="9">
        <v>38.74455996597662</v>
      </c>
      <c r="AJ1372" s="9">
        <v>3.0428788910505911</v>
      </c>
    </row>
    <row r="1373" spans="1:36" x14ac:dyDescent="0.25">
      <c r="A1373" t="s">
        <v>5411</v>
      </c>
      <c r="B1373" t="s">
        <v>16</v>
      </c>
      <c r="C1373" t="s">
        <v>17</v>
      </c>
      <c r="D1373">
        <v>36800000</v>
      </c>
      <c r="E1373">
        <v>36809999</v>
      </c>
      <c r="F1373" t="s">
        <v>1194</v>
      </c>
      <c r="G1373" t="str">
        <f t="shared" si="42"/>
        <v>MGI</v>
      </c>
      <c r="H1373" t="s">
        <v>851</v>
      </c>
      <c r="I1373" t="s">
        <v>20</v>
      </c>
      <c r="J1373" t="s">
        <v>62</v>
      </c>
      <c r="K1373" s="6">
        <v>0.03</v>
      </c>
      <c r="L1373" s="7">
        <f t="shared" si="43"/>
        <v>2E-3</v>
      </c>
      <c r="M1373" s="7">
        <v>3.0000000000000001E-3</v>
      </c>
      <c r="N1373">
        <v>8</v>
      </c>
      <c r="O1373" s="8">
        <v>13.880385281502075</v>
      </c>
      <c r="P1373" s="9">
        <v>13.880385281502075</v>
      </c>
      <c r="Q1373" s="9">
        <v>13.880385281502075</v>
      </c>
      <c r="R1373" s="9">
        <v>14.045989937445718</v>
      </c>
      <c r="S1373" s="9">
        <v>14.060876315369912</v>
      </c>
      <c r="T1373" s="9">
        <v>15.090338571208333</v>
      </c>
      <c r="U1373" s="9">
        <v>16.025407313902726</v>
      </c>
      <c r="V1373" s="9">
        <v>16.025407313902726</v>
      </c>
      <c r="W1373" s="9">
        <v>16.025407313902726</v>
      </c>
      <c r="X1373" s="9">
        <v>18.013895748167766</v>
      </c>
      <c r="Y1373" s="9">
        <v>18.013895748167766</v>
      </c>
      <c r="Z1373" s="9">
        <v>20.142868501532355</v>
      </c>
      <c r="AA1373" s="9">
        <v>20.142868501532355</v>
      </c>
      <c r="AB1373" s="9">
        <v>22.456349831314476</v>
      </c>
      <c r="AC1373" s="9">
        <v>22.456349831314476</v>
      </c>
      <c r="AD1373" s="9">
        <v>24.87984091164185</v>
      </c>
      <c r="AE1373" s="9">
        <v>27.427492221952345</v>
      </c>
      <c r="AF1373" s="9">
        <v>33.194804868730657</v>
      </c>
      <c r="AG1373" s="9">
        <v>33.194804868730657</v>
      </c>
      <c r="AH1373" s="9">
        <v>35.957808835828068</v>
      </c>
      <c r="AI1373" s="9">
        <v>38.646304092692077</v>
      </c>
      <c r="AJ1373" s="9">
        <v>3.0428788910505911</v>
      </c>
    </row>
    <row r="1374" spans="1:36" x14ac:dyDescent="0.25">
      <c r="A1374" t="s">
        <v>5411</v>
      </c>
      <c r="B1374" t="s">
        <v>16</v>
      </c>
      <c r="C1374" t="s">
        <v>17</v>
      </c>
      <c r="D1374">
        <v>36810000</v>
      </c>
      <c r="E1374">
        <v>36814999</v>
      </c>
      <c r="F1374" t="s">
        <v>1195</v>
      </c>
      <c r="G1374" t="str">
        <f t="shared" si="42"/>
        <v>MGI II</v>
      </c>
      <c r="H1374" t="s">
        <v>851</v>
      </c>
      <c r="I1374" t="s">
        <v>20</v>
      </c>
      <c r="J1374" t="s">
        <v>64</v>
      </c>
      <c r="K1374" s="6">
        <v>0.03</v>
      </c>
      <c r="L1374" s="7">
        <f t="shared" si="43"/>
        <v>2E-3</v>
      </c>
      <c r="M1374" s="7">
        <v>3.0000000000000001E-3</v>
      </c>
      <c r="N1374">
        <v>8</v>
      </c>
      <c r="O1374" s="8">
        <v>17.822306426995311</v>
      </c>
      <c r="P1374" s="9">
        <v>17.822306426995311</v>
      </c>
      <c r="Q1374" s="9">
        <v>17.822306426995311</v>
      </c>
      <c r="R1374" s="9">
        <v>18.237663306594719</v>
      </c>
      <c r="S1374" s="9">
        <v>18.48712920931133</v>
      </c>
      <c r="T1374" s="9">
        <v>19.201553596969877</v>
      </c>
      <c r="U1374" s="9">
        <v>20.562345482855957</v>
      </c>
      <c r="V1374" s="9">
        <v>20.562345482855957</v>
      </c>
      <c r="W1374" s="9">
        <v>20.562345482855957</v>
      </c>
      <c r="X1374" s="9">
        <v>22.391977691000818</v>
      </c>
      <c r="Y1374" s="9">
        <v>22.391977691000818</v>
      </c>
      <c r="Z1374" s="9">
        <v>24.28858708803979</v>
      </c>
      <c r="AA1374" s="9">
        <v>24.28858708803979</v>
      </c>
      <c r="AB1374" s="9">
        <v>25.117335532005217</v>
      </c>
      <c r="AC1374" s="9">
        <v>25.117335532005217</v>
      </c>
      <c r="AD1374" s="9">
        <v>29.039116491286865</v>
      </c>
      <c r="AE1374" s="9">
        <v>31.219251037281825</v>
      </c>
      <c r="AF1374" s="9">
        <v>33.487682081707895</v>
      </c>
      <c r="AG1374" s="9">
        <v>33.487682081707895</v>
      </c>
      <c r="AH1374" s="9">
        <v>36.427668170967245</v>
      </c>
      <c r="AI1374" s="9">
        <v>38.74455996597662</v>
      </c>
      <c r="AJ1374" s="9">
        <v>3.0428788910505911</v>
      </c>
    </row>
    <row r="1375" spans="1:36" x14ac:dyDescent="0.25">
      <c r="A1375" t="s">
        <v>5411</v>
      </c>
      <c r="B1375" t="s">
        <v>16</v>
      </c>
      <c r="C1375" t="s">
        <v>17</v>
      </c>
      <c r="D1375">
        <v>36815000</v>
      </c>
      <c r="E1375">
        <v>36819999</v>
      </c>
      <c r="F1375" t="s">
        <v>1196</v>
      </c>
      <c r="G1375" t="str">
        <f t="shared" si="42"/>
        <v>MGI II</v>
      </c>
      <c r="H1375" t="s">
        <v>851</v>
      </c>
      <c r="I1375" t="s">
        <v>20</v>
      </c>
      <c r="J1375" t="s">
        <v>64</v>
      </c>
      <c r="K1375" s="6">
        <v>0.03</v>
      </c>
      <c r="L1375" s="7">
        <f t="shared" si="43"/>
        <v>2E-3</v>
      </c>
      <c r="M1375" s="7">
        <v>3.0000000000000001E-3</v>
      </c>
      <c r="N1375">
        <v>8</v>
      </c>
      <c r="O1375" s="8">
        <v>17.822306426995311</v>
      </c>
      <c r="P1375" s="9">
        <v>17.822306426995311</v>
      </c>
      <c r="Q1375" s="9">
        <v>17.822306426995311</v>
      </c>
      <c r="R1375" s="9">
        <v>18.237663306594719</v>
      </c>
      <c r="S1375" s="9">
        <v>18.48712920931133</v>
      </c>
      <c r="T1375" s="9">
        <v>19.201553596969877</v>
      </c>
      <c r="U1375" s="9">
        <v>20.562345482855957</v>
      </c>
      <c r="V1375" s="9">
        <v>20.562345482855957</v>
      </c>
      <c r="W1375" s="9">
        <v>20.562345482855957</v>
      </c>
      <c r="X1375" s="9">
        <v>22.391977691000818</v>
      </c>
      <c r="Y1375" s="9">
        <v>22.391977691000818</v>
      </c>
      <c r="Z1375" s="9">
        <v>24.28858708803979</v>
      </c>
      <c r="AA1375" s="9">
        <v>24.28858708803979</v>
      </c>
      <c r="AB1375" s="9">
        <v>25.117335532005217</v>
      </c>
      <c r="AC1375" s="9">
        <v>25.117335532005217</v>
      </c>
      <c r="AD1375" s="9">
        <v>29.039116491286865</v>
      </c>
      <c r="AE1375" s="9">
        <v>31.219251037281825</v>
      </c>
      <c r="AF1375" s="9">
        <v>33.487682081707895</v>
      </c>
      <c r="AG1375" s="9">
        <v>33.487682081707895</v>
      </c>
      <c r="AH1375" s="9">
        <v>36.427668170967245</v>
      </c>
      <c r="AI1375" s="9">
        <v>38.74455996597662</v>
      </c>
      <c r="AJ1375" s="9">
        <v>3.0428788910505911</v>
      </c>
    </row>
    <row r="1376" spans="1:36" x14ac:dyDescent="0.25">
      <c r="A1376" t="s">
        <v>5411</v>
      </c>
      <c r="B1376" t="s">
        <v>16</v>
      </c>
      <c r="C1376" t="s">
        <v>17</v>
      </c>
      <c r="D1376">
        <v>36820000</v>
      </c>
      <c r="E1376">
        <v>36827999</v>
      </c>
      <c r="F1376" t="s">
        <v>1197</v>
      </c>
      <c r="G1376" t="str">
        <f t="shared" si="42"/>
        <v>MGI II</v>
      </c>
      <c r="H1376" t="s">
        <v>851</v>
      </c>
      <c r="I1376" t="s">
        <v>20</v>
      </c>
      <c r="J1376" t="s">
        <v>64</v>
      </c>
      <c r="K1376" s="6">
        <v>0.03</v>
      </c>
      <c r="L1376" s="7">
        <f t="shared" si="43"/>
        <v>2E-3</v>
      </c>
      <c r="M1376" s="7">
        <v>3.0000000000000001E-3</v>
      </c>
      <c r="N1376">
        <v>8</v>
      </c>
      <c r="O1376" s="8">
        <v>17.822306426995311</v>
      </c>
      <c r="P1376" s="9">
        <v>17.822306426995311</v>
      </c>
      <c r="Q1376" s="9">
        <v>17.822306426995311</v>
      </c>
      <c r="R1376" s="9">
        <v>18.237663306594719</v>
      </c>
      <c r="S1376" s="9">
        <v>18.48712920931133</v>
      </c>
      <c r="T1376" s="9">
        <v>19.201553596969877</v>
      </c>
      <c r="U1376" s="9">
        <v>20.562345482855957</v>
      </c>
      <c r="V1376" s="9">
        <v>20.562345482855957</v>
      </c>
      <c r="W1376" s="9">
        <v>20.562345482855957</v>
      </c>
      <c r="X1376" s="9">
        <v>22.391977691000818</v>
      </c>
      <c r="Y1376" s="9">
        <v>22.391977691000818</v>
      </c>
      <c r="Z1376" s="9">
        <v>24.28858708803979</v>
      </c>
      <c r="AA1376" s="9">
        <v>24.28858708803979</v>
      </c>
      <c r="AB1376" s="9">
        <v>25.117335532005217</v>
      </c>
      <c r="AC1376" s="9">
        <v>25.117335532005217</v>
      </c>
      <c r="AD1376" s="9">
        <v>29.039116491286865</v>
      </c>
      <c r="AE1376" s="9">
        <v>31.219251037281825</v>
      </c>
      <c r="AF1376" s="9">
        <v>33.487682081707895</v>
      </c>
      <c r="AG1376" s="9">
        <v>33.487682081707895</v>
      </c>
      <c r="AH1376" s="9">
        <v>36.427668170967245</v>
      </c>
      <c r="AI1376" s="9">
        <v>38.74455996597662</v>
      </c>
      <c r="AJ1376" s="9">
        <v>3.0428788910505911</v>
      </c>
    </row>
    <row r="1377" spans="1:36" x14ac:dyDescent="0.25">
      <c r="A1377" t="s">
        <v>5411</v>
      </c>
      <c r="B1377" t="s">
        <v>16</v>
      </c>
      <c r="C1377" t="s">
        <v>17</v>
      </c>
      <c r="D1377">
        <v>36828000</v>
      </c>
      <c r="E1377">
        <v>36829999</v>
      </c>
      <c r="F1377" t="s">
        <v>1198</v>
      </c>
      <c r="G1377" t="str">
        <f t="shared" si="42"/>
        <v>MGI II</v>
      </c>
      <c r="H1377" t="s">
        <v>851</v>
      </c>
      <c r="I1377" t="s">
        <v>20</v>
      </c>
      <c r="J1377" t="s">
        <v>64</v>
      </c>
      <c r="K1377" s="6">
        <v>0.03</v>
      </c>
      <c r="L1377" s="7">
        <f t="shared" si="43"/>
        <v>2E-3</v>
      </c>
      <c r="M1377" s="7">
        <v>3.0000000000000001E-3</v>
      </c>
      <c r="N1377">
        <v>8</v>
      </c>
      <c r="O1377" s="8">
        <v>17.822306426995311</v>
      </c>
      <c r="P1377" s="9">
        <v>17.822306426995311</v>
      </c>
      <c r="Q1377" s="9">
        <v>17.822306426995311</v>
      </c>
      <c r="R1377" s="9">
        <v>18.237663306594719</v>
      </c>
      <c r="S1377" s="9">
        <v>18.48712920931133</v>
      </c>
      <c r="T1377" s="9">
        <v>19.201553596969877</v>
      </c>
      <c r="U1377" s="9">
        <v>20.562345482855957</v>
      </c>
      <c r="V1377" s="9">
        <v>20.562345482855957</v>
      </c>
      <c r="W1377" s="9">
        <v>20.562345482855957</v>
      </c>
      <c r="X1377" s="9">
        <v>22.391977691000818</v>
      </c>
      <c r="Y1377" s="9">
        <v>22.391977691000818</v>
      </c>
      <c r="Z1377" s="9">
        <v>24.28858708803979</v>
      </c>
      <c r="AA1377" s="9">
        <v>24.28858708803979</v>
      </c>
      <c r="AB1377" s="9">
        <v>25.117335532005217</v>
      </c>
      <c r="AC1377" s="9">
        <v>25.117335532005217</v>
      </c>
      <c r="AD1377" s="9">
        <v>29.039116491286865</v>
      </c>
      <c r="AE1377" s="9">
        <v>31.219251037281825</v>
      </c>
      <c r="AF1377" s="9">
        <v>33.487682081707895</v>
      </c>
      <c r="AG1377" s="9">
        <v>33.487682081707895</v>
      </c>
      <c r="AH1377" s="9">
        <v>36.427668170967245</v>
      </c>
      <c r="AI1377" s="9">
        <v>38.74455996597662</v>
      </c>
      <c r="AJ1377" s="9">
        <v>3.0428788910505911</v>
      </c>
    </row>
    <row r="1378" spans="1:36" x14ac:dyDescent="0.25">
      <c r="A1378" t="s">
        <v>5411</v>
      </c>
      <c r="B1378" t="s">
        <v>16</v>
      </c>
      <c r="C1378" t="s">
        <v>17</v>
      </c>
      <c r="D1378">
        <v>36830000</v>
      </c>
      <c r="E1378">
        <v>36831999</v>
      </c>
      <c r="F1378" t="s">
        <v>1199</v>
      </c>
      <c r="G1378" t="str">
        <f t="shared" si="42"/>
        <v>MGI</v>
      </c>
      <c r="H1378" t="s">
        <v>851</v>
      </c>
      <c r="I1378" t="s">
        <v>20</v>
      </c>
      <c r="J1378" t="s">
        <v>62</v>
      </c>
      <c r="K1378" s="6">
        <v>0.03</v>
      </c>
      <c r="L1378" s="7">
        <f t="shared" si="43"/>
        <v>2E-3</v>
      </c>
      <c r="M1378" s="7">
        <v>3.0000000000000001E-3</v>
      </c>
      <c r="N1378">
        <v>8</v>
      </c>
      <c r="O1378" s="8">
        <v>13.880385281502075</v>
      </c>
      <c r="P1378" s="9">
        <v>13.880385281502075</v>
      </c>
      <c r="Q1378" s="9">
        <v>13.880385281502075</v>
      </c>
      <c r="R1378" s="9">
        <v>14.045989937445718</v>
      </c>
      <c r="S1378" s="9">
        <v>14.060876315369912</v>
      </c>
      <c r="T1378" s="9">
        <v>15.090338571208333</v>
      </c>
      <c r="U1378" s="9">
        <v>16.025407313902726</v>
      </c>
      <c r="V1378" s="9">
        <v>16.025407313902726</v>
      </c>
      <c r="W1378" s="9">
        <v>16.025407313902726</v>
      </c>
      <c r="X1378" s="9">
        <v>18.013895748167766</v>
      </c>
      <c r="Y1378" s="9">
        <v>18.013895748167766</v>
      </c>
      <c r="Z1378" s="9">
        <v>20.142868501532355</v>
      </c>
      <c r="AA1378" s="9">
        <v>20.142868501532355</v>
      </c>
      <c r="AB1378" s="9">
        <v>22.456349831314476</v>
      </c>
      <c r="AC1378" s="9">
        <v>22.456349831314476</v>
      </c>
      <c r="AD1378" s="9">
        <v>24.87984091164185</v>
      </c>
      <c r="AE1378" s="9">
        <v>27.427492221952345</v>
      </c>
      <c r="AF1378" s="9">
        <v>33.194804868730657</v>
      </c>
      <c r="AG1378" s="9">
        <v>33.194804868730657</v>
      </c>
      <c r="AH1378" s="9">
        <v>35.957808835828068</v>
      </c>
      <c r="AI1378" s="9">
        <v>38.646304092692077</v>
      </c>
      <c r="AJ1378" s="9">
        <v>3.0428788910505911</v>
      </c>
    </row>
    <row r="1379" spans="1:36" x14ac:dyDescent="0.25">
      <c r="A1379" t="s">
        <v>5411</v>
      </c>
      <c r="B1379" t="s">
        <v>16</v>
      </c>
      <c r="C1379" t="s">
        <v>17</v>
      </c>
      <c r="D1379">
        <v>36832000</v>
      </c>
      <c r="E1379">
        <v>36833999</v>
      </c>
      <c r="F1379" t="s">
        <v>1200</v>
      </c>
      <c r="G1379" t="str">
        <f t="shared" si="42"/>
        <v>MGI II</v>
      </c>
      <c r="H1379" t="s">
        <v>851</v>
      </c>
      <c r="I1379" t="s">
        <v>20</v>
      </c>
      <c r="J1379" t="s">
        <v>64</v>
      </c>
      <c r="K1379" s="6">
        <v>0.03</v>
      </c>
      <c r="L1379" s="7">
        <f t="shared" si="43"/>
        <v>2E-3</v>
      </c>
      <c r="M1379" s="7">
        <v>3.0000000000000001E-3</v>
      </c>
      <c r="N1379">
        <v>8</v>
      </c>
      <c r="O1379" s="8">
        <v>17.822306426995311</v>
      </c>
      <c r="P1379" s="9">
        <v>17.822306426995311</v>
      </c>
      <c r="Q1379" s="9">
        <v>17.822306426995311</v>
      </c>
      <c r="R1379" s="9">
        <v>18.237663306594719</v>
      </c>
      <c r="S1379" s="9">
        <v>18.48712920931133</v>
      </c>
      <c r="T1379" s="9">
        <v>19.201553596969877</v>
      </c>
      <c r="U1379" s="9">
        <v>20.562345482855957</v>
      </c>
      <c r="V1379" s="9">
        <v>20.562345482855957</v>
      </c>
      <c r="W1379" s="9">
        <v>20.562345482855957</v>
      </c>
      <c r="X1379" s="9">
        <v>22.391977691000818</v>
      </c>
      <c r="Y1379" s="9">
        <v>22.391977691000818</v>
      </c>
      <c r="Z1379" s="9">
        <v>24.28858708803979</v>
      </c>
      <c r="AA1379" s="9">
        <v>24.28858708803979</v>
      </c>
      <c r="AB1379" s="9">
        <v>25.117335532005217</v>
      </c>
      <c r="AC1379" s="9">
        <v>25.117335532005217</v>
      </c>
      <c r="AD1379" s="9">
        <v>29.039116491286865</v>
      </c>
      <c r="AE1379" s="9">
        <v>31.219251037281825</v>
      </c>
      <c r="AF1379" s="9">
        <v>33.487682081707895</v>
      </c>
      <c r="AG1379" s="9">
        <v>33.487682081707895</v>
      </c>
      <c r="AH1379" s="9">
        <v>36.427668170967245</v>
      </c>
      <c r="AI1379" s="9">
        <v>38.74455996597662</v>
      </c>
      <c r="AJ1379" s="9">
        <v>3.0428788910505911</v>
      </c>
    </row>
    <row r="1380" spans="1:36" x14ac:dyDescent="0.25">
      <c r="A1380" t="s">
        <v>5411</v>
      </c>
      <c r="B1380" t="s">
        <v>16</v>
      </c>
      <c r="C1380" t="s">
        <v>17</v>
      </c>
      <c r="D1380">
        <v>36834000</v>
      </c>
      <c r="E1380">
        <v>36839999</v>
      </c>
      <c r="F1380" t="s">
        <v>1201</v>
      </c>
      <c r="G1380" t="str">
        <f t="shared" si="42"/>
        <v>MGI II</v>
      </c>
      <c r="H1380" t="s">
        <v>851</v>
      </c>
      <c r="I1380" t="s">
        <v>20</v>
      </c>
      <c r="J1380" t="s">
        <v>64</v>
      </c>
      <c r="K1380" s="6">
        <v>0.03</v>
      </c>
      <c r="L1380" s="7">
        <f t="shared" si="43"/>
        <v>2E-3</v>
      </c>
      <c r="M1380" s="7">
        <v>3.0000000000000001E-3</v>
      </c>
      <c r="N1380">
        <v>8</v>
      </c>
      <c r="O1380" s="8">
        <v>17.822306426995311</v>
      </c>
      <c r="P1380" s="9">
        <v>17.822306426995311</v>
      </c>
      <c r="Q1380" s="9">
        <v>17.822306426995311</v>
      </c>
      <c r="R1380" s="9">
        <v>18.237663306594719</v>
      </c>
      <c r="S1380" s="9">
        <v>18.48712920931133</v>
      </c>
      <c r="T1380" s="9">
        <v>19.201553596969877</v>
      </c>
      <c r="U1380" s="9">
        <v>20.562345482855957</v>
      </c>
      <c r="V1380" s="9">
        <v>20.562345482855957</v>
      </c>
      <c r="W1380" s="9">
        <v>20.562345482855957</v>
      </c>
      <c r="X1380" s="9">
        <v>22.391977691000818</v>
      </c>
      <c r="Y1380" s="9">
        <v>22.391977691000818</v>
      </c>
      <c r="Z1380" s="9">
        <v>24.28858708803979</v>
      </c>
      <c r="AA1380" s="9">
        <v>24.28858708803979</v>
      </c>
      <c r="AB1380" s="9">
        <v>25.117335532005217</v>
      </c>
      <c r="AC1380" s="9">
        <v>25.117335532005217</v>
      </c>
      <c r="AD1380" s="9">
        <v>29.039116491286865</v>
      </c>
      <c r="AE1380" s="9">
        <v>31.219251037281825</v>
      </c>
      <c r="AF1380" s="9">
        <v>33.487682081707895</v>
      </c>
      <c r="AG1380" s="9">
        <v>33.487682081707895</v>
      </c>
      <c r="AH1380" s="9">
        <v>36.427668170967245</v>
      </c>
      <c r="AI1380" s="9">
        <v>38.74455996597662</v>
      </c>
      <c r="AJ1380" s="9">
        <v>3.0428788910505911</v>
      </c>
    </row>
    <row r="1381" spans="1:36" x14ac:dyDescent="0.25">
      <c r="A1381" t="s">
        <v>5411</v>
      </c>
      <c r="B1381" t="s">
        <v>16</v>
      </c>
      <c r="C1381" t="s">
        <v>17</v>
      </c>
      <c r="D1381">
        <v>36840000</v>
      </c>
      <c r="E1381">
        <v>36843999</v>
      </c>
      <c r="F1381" t="s">
        <v>1202</v>
      </c>
      <c r="G1381" t="str">
        <f t="shared" si="42"/>
        <v>MGI II</v>
      </c>
      <c r="H1381" t="s">
        <v>851</v>
      </c>
      <c r="I1381" t="s">
        <v>20</v>
      </c>
      <c r="J1381" t="s">
        <v>64</v>
      </c>
      <c r="K1381" s="6">
        <v>0.03</v>
      </c>
      <c r="L1381" s="7">
        <f t="shared" si="43"/>
        <v>2E-3</v>
      </c>
      <c r="M1381" s="7">
        <v>3.0000000000000001E-3</v>
      </c>
      <c r="N1381">
        <v>8</v>
      </c>
      <c r="O1381" s="8">
        <v>17.822306426995311</v>
      </c>
      <c r="P1381" s="9">
        <v>17.822306426995311</v>
      </c>
      <c r="Q1381" s="9">
        <v>17.822306426995311</v>
      </c>
      <c r="R1381" s="9">
        <v>18.237663306594719</v>
      </c>
      <c r="S1381" s="9">
        <v>18.48712920931133</v>
      </c>
      <c r="T1381" s="9">
        <v>19.201553596969877</v>
      </c>
      <c r="U1381" s="9">
        <v>20.562345482855957</v>
      </c>
      <c r="V1381" s="9">
        <v>20.562345482855957</v>
      </c>
      <c r="W1381" s="9">
        <v>20.562345482855957</v>
      </c>
      <c r="X1381" s="9">
        <v>22.391977691000818</v>
      </c>
      <c r="Y1381" s="9">
        <v>22.391977691000818</v>
      </c>
      <c r="Z1381" s="9">
        <v>24.28858708803979</v>
      </c>
      <c r="AA1381" s="9">
        <v>24.28858708803979</v>
      </c>
      <c r="AB1381" s="9">
        <v>25.117335532005217</v>
      </c>
      <c r="AC1381" s="9">
        <v>25.117335532005217</v>
      </c>
      <c r="AD1381" s="9">
        <v>29.039116491286865</v>
      </c>
      <c r="AE1381" s="9">
        <v>31.219251037281825</v>
      </c>
      <c r="AF1381" s="9">
        <v>33.487682081707895</v>
      </c>
      <c r="AG1381" s="9">
        <v>33.487682081707895</v>
      </c>
      <c r="AH1381" s="9">
        <v>36.427668170967245</v>
      </c>
      <c r="AI1381" s="9">
        <v>38.74455996597662</v>
      </c>
      <c r="AJ1381" s="9">
        <v>3.0428788910505911</v>
      </c>
    </row>
    <row r="1382" spans="1:36" x14ac:dyDescent="0.25">
      <c r="A1382" t="s">
        <v>5411</v>
      </c>
      <c r="B1382" t="s">
        <v>16</v>
      </c>
      <c r="C1382" t="s">
        <v>17</v>
      </c>
      <c r="D1382">
        <v>36844000</v>
      </c>
      <c r="E1382">
        <v>36846999</v>
      </c>
      <c r="F1382" t="s">
        <v>1203</v>
      </c>
      <c r="G1382" t="str">
        <f t="shared" si="42"/>
        <v>MGI II</v>
      </c>
      <c r="H1382" t="s">
        <v>851</v>
      </c>
      <c r="I1382" t="s">
        <v>20</v>
      </c>
      <c r="J1382" t="s">
        <v>64</v>
      </c>
      <c r="K1382" s="6">
        <v>0.03</v>
      </c>
      <c r="L1382" s="7">
        <f t="shared" si="43"/>
        <v>2E-3</v>
      </c>
      <c r="M1382" s="7">
        <v>3.0000000000000001E-3</v>
      </c>
      <c r="N1382">
        <v>8</v>
      </c>
      <c r="O1382" s="8">
        <v>17.822306426995311</v>
      </c>
      <c r="P1382" s="9">
        <v>17.822306426995311</v>
      </c>
      <c r="Q1382" s="9">
        <v>17.822306426995311</v>
      </c>
      <c r="R1382" s="9">
        <v>18.237663306594719</v>
      </c>
      <c r="S1382" s="9">
        <v>18.48712920931133</v>
      </c>
      <c r="T1382" s="9">
        <v>19.201553596969877</v>
      </c>
      <c r="U1382" s="9">
        <v>20.562345482855957</v>
      </c>
      <c r="V1382" s="9">
        <v>20.562345482855957</v>
      </c>
      <c r="W1382" s="9">
        <v>20.562345482855957</v>
      </c>
      <c r="X1382" s="9">
        <v>22.391977691000818</v>
      </c>
      <c r="Y1382" s="9">
        <v>22.391977691000818</v>
      </c>
      <c r="Z1382" s="9">
        <v>24.28858708803979</v>
      </c>
      <c r="AA1382" s="9">
        <v>24.28858708803979</v>
      </c>
      <c r="AB1382" s="9">
        <v>25.117335532005217</v>
      </c>
      <c r="AC1382" s="9">
        <v>25.117335532005217</v>
      </c>
      <c r="AD1382" s="9">
        <v>29.039116491286865</v>
      </c>
      <c r="AE1382" s="9">
        <v>31.219251037281825</v>
      </c>
      <c r="AF1382" s="9">
        <v>33.487682081707895</v>
      </c>
      <c r="AG1382" s="9">
        <v>33.487682081707895</v>
      </c>
      <c r="AH1382" s="9">
        <v>36.427668170967245</v>
      </c>
      <c r="AI1382" s="9">
        <v>38.74455996597662</v>
      </c>
      <c r="AJ1382" s="9">
        <v>3.0428788910505911</v>
      </c>
    </row>
    <row r="1383" spans="1:36" x14ac:dyDescent="0.25">
      <c r="A1383" t="s">
        <v>5411</v>
      </c>
      <c r="B1383" t="s">
        <v>16</v>
      </c>
      <c r="C1383" t="s">
        <v>17</v>
      </c>
      <c r="D1383">
        <v>36847000</v>
      </c>
      <c r="E1383">
        <v>36849999</v>
      </c>
      <c r="F1383" t="s">
        <v>1204</v>
      </c>
      <c r="G1383" t="str">
        <f t="shared" si="42"/>
        <v>MGI II</v>
      </c>
      <c r="H1383" t="s">
        <v>851</v>
      </c>
      <c r="I1383" t="s">
        <v>20</v>
      </c>
      <c r="J1383" t="s">
        <v>64</v>
      </c>
      <c r="K1383" s="6">
        <v>0.03</v>
      </c>
      <c r="L1383" s="7">
        <f t="shared" si="43"/>
        <v>2E-3</v>
      </c>
      <c r="M1383" s="7">
        <v>3.0000000000000001E-3</v>
      </c>
      <c r="N1383">
        <v>8</v>
      </c>
      <c r="O1383" s="8">
        <v>17.822306426995311</v>
      </c>
      <c r="P1383" s="9">
        <v>17.822306426995311</v>
      </c>
      <c r="Q1383" s="9">
        <v>17.822306426995311</v>
      </c>
      <c r="R1383" s="9">
        <v>18.237663306594719</v>
      </c>
      <c r="S1383" s="9">
        <v>18.48712920931133</v>
      </c>
      <c r="T1383" s="9">
        <v>19.201553596969877</v>
      </c>
      <c r="U1383" s="9">
        <v>20.562345482855957</v>
      </c>
      <c r="V1383" s="9">
        <v>20.562345482855957</v>
      </c>
      <c r="W1383" s="9">
        <v>20.562345482855957</v>
      </c>
      <c r="X1383" s="9">
        <v>22.391977691000818</v>
      </c>
      <c r="Y1383" s="9">
        <v>22.391977691000818</v>
      </c>
      <c r="Z1383" s="9">
        <v>24.28858708803979</v>
      </c>
      <c r="AA1383" s="9">
        <v>24.28858708803979</v>
      </c>
      <c r="AB1383" s="9">
        <v>25.117335532005217</v>
      </c>
      <c r="AC1383" s="9">
        <v>25.117335532005217</v>
      </c>
      <c r="AD1383" s="9">
        <v>29.039116491286865</v>
      </c>
      <c r="AE1383" s="9">
        <v>31.219251037281825</v>
      </c>
      <c r="AF1383" s="9">
        <v>33.487682081707895</v>
      </c>
      <c r="AG1383" s="9">
        <v>33.487682081707895</v>
      </c>
      <c r="AH1383" s="9">
        <v>36.427668170967245</v>
      </c>
      <c r="AI1383" s="9">
        <v>38.74455996597662</v>
      </c>
      <c r="AJ1383" s="9">
        <v>3.0428788910505911</v>
      </c>
    </row>
    <row r="1384" spans="1:36" x14ac:dyDescent="0.25">
      <c r="A1384" t="s">
        <v>5411</v>
      </c>
      <c r="B1384" t="s">
        <v>16</v>
      </c>
      <c r="C1384" t="s">
        <v>17</v>
      </c>
      <c r="D1384">
        <v>36850000</v>
      </c>
      <c r="E1384">
        <v>36854999</v>
      </c>
      <c r="F1384" t="s">
        <v>1205</v>
      </c>
      <c r="G1384" t="str">
        <f t="shared" si="42"/>
        <v>MGI II</v>
      </c>
      <c r="H1384" t="s">
        <v>851</v>
      </c>
      <c r="I1384" t="s">
        <v>20</v>
      </c>
      <c r="J1384" t="s">
        <v>64</v>
      </c>
      <c r="K1384" s="6">
        <v>0.03</v>
      </c>
      <c r="L1384" s="7">
        <f t="shared" si="43"/>
        <v>2E-3</v>
      </c>
      <c r="M1384" s="7">
        <v>3.0000000000000001E-3</v>
      </c>
      <c r="N1384">
        <v>8</v>
      </c>
      <c r="O1384" s="8">
        <v>17.822306426995311</v>
      </c>
      <c r="P1384" s="9">
        <v>17.822306426995311</v>
      </c>
      <c r="Q1384" s="9">
        <v>17.822306426995311</v>
      </c>
      <c r="R1384" s="9">
        <v>18.237663306594719</v>
      </c>
      <c r="S1384" s="9">
        <v>18.48712920931133</v>
      </c>
      <c r="T1384" s="9">
        <v>19.201553596969877</v>
      </c>
      <c r="U1384" s="9">
        <v>20.562345482855957</v>
      </c>
      <c r="V1384" s="9">
        <v>20.562345482855957</v>
      </c>
      <c r="W1384" s="9">
        <v>20.562345482855957</v>
      </c>
      <c r="X1384" s="9">
        <v>22.391977691000818</v>
      </c>
      <c r="Y1384" s="9">
        <v>22.391977691000818</v>
      </c>
      <c r="Z1384" s="9">
        <v>24.28858708803979</v>
      </c>
      <c r="AA1384" s="9">
        <v>24.28858708803979</v>
      </c>
      <c r="AB1384" s="9">
        <v>25.117335532005217</v>
      </c>
      <c r="AC1384" s="9">
        <v>25.117335532005217</v>
      </c>
      <c r="AD1384" s="9">
        <v>29.039116491286865</v>
      </c>
      <c r="AE1384" s="9">
        <v>31.219251037281825</v>
      </c>
      <c r="AF1384" s="9">
        <v>33.487682081707895</v>
      </c>
      <c r="AG1384" s="9">
        <v>33.487682081707895</v>
      </c>
      <c r="AH1384" s="9">
        <v>36.427668170967245</v>
      </c>
      <c r="AI1384" s="9">
        <v>38.74455996597662</v>
      </c>
      <c r="AJ1384" s="9">
        <v>3.0428788910505911</v>
      </c>
    </row>
    <row r="1385" spans="1:36" x14ac:dyDescent="0.25">
      <c r="A1385" t="s">
        <v>5411</v>
      </c>
      <c r="B1385" t="s">
        <v>16</v>
      </c>
      <c r="C1385" t="s">
        <v>17</v>
      </c>
      <c r="D1385">
        <v>36855000</v>
      </c>
      <c r="E1385">
        <v>36859999</v>
      </c>
      <c r="F1385" t="s">
        <v>1206</v>
      </c>
      <c r="G1385" t="str">
        <f t="shared" si="42"/>
        <v>MGI II</v>
      </c>
      <c r="H1385" t="s">
        <v>851</v>
      </c>
      <c r="I1385" t="s">
        <v>20</v>
      </c>
      <c r="J1385" t="s">
        <v>64</v>
      </c>
      <c r="K1385" s="6">
        <v>0.03</v>
      </c>
      <c r="L1385" s="7">
        <f t="shared" si="43"/>
        <v>2E-3</v>
      </c>
      <c r="M1385" s="7">
        <v>3.0000000000000001E-3</v>
      </c>
      <c r="N1385">
        <v>8</v>
      </c>
      <c r="O1385" s="8">
        <v>17.822306426995311</v>
      </c>
      <c r="P1385" s="9">
        <v>17.822306426995311</v>
      </c>
      <c r="Q1385" s="9">
        <v>17.822306426995311</v>
      </c>
      <c r="R1385" s="9">
        <v>18.237663306594719</v>
      </c>
      <c r="S1385" s="9">
        <v>18.48712920931133</v>
      </c>
      <c r="T1385" s="9">
        <v>19.201553596969877</v>
      </c>
      <c r="U1385" s="9">
        <v>20.562345482855957</v>
      </c>
      <c r="V1385" s="9">
        <v>20.562345482855957</v>
      </c>
      <c r="W1385" s="9">
        <v>20.562345482855957</v>
      </c>
      <c r="X1385" s="9">
        <v>22.391977691000818</v>
      </c>
      <c r="Y1385" s="9">
        <v>22.391977691000818</v>
      </c>
      <c r="Z1385" s="9">
        <v>24.28858708803979</v>
      </c>
      <c r="AA1385" s="9">
        <v>24.28858708803979</v>
      </c>
      <c r="AB1385" s="9">
        <v>25.117335532005217</v>
      </c>
      <c r="AC1385" s="9">
        <v>25.117335532005217</v>
      </c>
      <c r="AD1385" s="9">
        <v>29.039116491286865</v>
      </c>
      <c r="AE1385" s="9">
        <v>31.219251037281825</v>
      </c>
      <c r="AF1385" s="9">
        <v>33.487682081707895</v>
      </c>
      <c r="AG1385" s="9">
        <v>33.487682081707895</v>
      </c>
      <c r="AH1385" s="9">
        <v>36.427668170967245</v>
      </c>
      <c r="AI1385" s="9">
        <v>38.74455996597662</v>
      </c>
      <c r="AJ1385" s="9">
        <v>3.0428788910505911</v>
      </c>
    </row>
    <row r="1386" spans="1:36" x14ac:dyDescent="0.25">
      <c r="A1386" t="s">
        <v>5411</v>
      </c>
      <c r="B1386" t="s">
        <v>16</v>
      </c>
      <c r="C1386" t="s">
        <v>17</v>
      </c>
      <c r="D1386">
        <v>36860000</v>
      </c>
      <c r="E1386">
        <v>36869999</v>
      </c>
      <c r="F1386" t="s">
        <v>1207</v>
      </c>
      <c r="G1386" t="str">
        <f t="shared" si="42"/>
        <v>MGI II</v>
      </c>
      <c r="H1386" t="s">
        <v>851</v>
      </c>
      <c r="I1386" t="s">
        <v>20</v>
      </c>
      <c r="J1386" t="s">
        <v>64</v>
      </c>
      <c r="K1386" s="6">
        <v>0.03</v>
      </c>
      <c r="L1386" s="7">
        <f t="shared" si="43"/>
        <v>2E-3</v>
      </c>
      <c r="M1386" s="7">
        <v>3.0000000000000001E-3</v>
      </c>
      <c r="N1386">
        <v>7</v>
      </c>
      <c r="O1386" s="8">
        <v>17.822306426995311</v>
      </c>
      <c r="P1386" s="9">
        <v>17.822306426995311</v>
      </c>
      <c r="Q1386" s="9">
        <v>17.822306426995311</v>
      </c>
      <c r="R1386" s="9">
        <v>18.237663306594719</v>
      </c>
      <c r="S1386" s="9">
        <v>18.48712920931133</v>
      </c>
      <c r="T1386" s="9">
        <v>19.201553596969877</v>
      </c>
      <c r="U1386" s="9">
        <v>20.562345482855957</v>
      </c>
      <c r="V1386" s="9">
        <v>20.562345482855957</v>
      </c>
      <c r="W1386" s="9">
        <v>20.562345482855957</v>
      </c>
      <c r="X1386" s="9">
        <v>22.391977691000818</v>
      </c>
      <c r="Y1386" s="9">
        <v>22.391977691000818</v>
      </c>
      <c r="Z1386" s="9">
        <v>24.28858708803979</v>
      </c>
      <c r="AA1386" s="9">
        <v>24.28858708803979</v>
      </c>
      <c r="AB1386" s="9">
        <v>25.117335532005217</v>
      </c>
      <c r="AC1386" s="9">
        <v>25.117335532005217</v>
      </c>
      <c r="AD1386" s="9">
        <v>29.039116491286865</v>
      </c>
      <c r="AE1386" s="9">
        <v>31.219251037281825</v>
      </c>
      <c r="AF1386" s="9">
        <v>33.487682081707895</v>
      </c>
      <c r="AG1386" s="9">
        <v>33.487682081707895</v>
      </c>
      <c r="AH1386" s="9">
        <v>36.427668170967245</v>
      </c>
      <c r="AI1386" s="9">
        <v>38.74455996597662</v>
      </c>
      <c r="AJ1386" s="9">
        <v>3.0428788910505911</v>
      </c>
    </row>
    <row r="1387" spans="1:36" x14ac:dyDescent="0.25">
      <c r="A1387" t="s">
        <v>5411</v>
      </c>
      <c r="B1387" t="s">
        <v>16</v>
      </c>
      <c r="C1387" t="s">
        <v>17</v>
      </c>
      <c r="D1387">
        <v>36870000</v>
      </c>
      <c r="E1387">
        <v>36877999</v>
      </c>
      <c r="F1387" t="s">
        <v>1208</v>
      </c>
      <c r="G1387" t="str">
        <f t="shared" si="42"/>
        <v>MGI II</v>
      </c>
      <c r="H1387" t="s">
        <v>851</v>
      </c>
      <c r="I1387" t="s">
        <v>20</v>
      </c>
      <c r="J1387" t="s">
        <v>64</v>
      </c>
      <c r="K1387" s="6">
        <v>0.03</v>
      </c>
      <c r="L1387" s="7">
        <f t="shared" si="43"/>
        <v>2E-3</v>
      </c>
      <c r="M1387" s="7">
        <v>3.0000000000000001E-3</v>
      </c>
      <c r="N1387">
        <v>8</v>
      </c>
      <c r="O1387" s="8">
        <v>17.822306426995311</v>
      </c>
      <c r="P1387" s="9">
        <v>17.822306426995311</v>
      </c>
      <c r="Q1387" s="9">
        <v>17.822306426995311</v>
      </c>
      <c r="R1387" s="9">
        <v>18.237663306594719</v>
      </c>
      <c r="S1387" s="9">
        <v>18.48712920931133</v>
      </c>
      <c r="T1387" s="9">
        <v>19.201553596969877</v>
      </c>
      <c r="U1387" s="9">
        <v>20.562345482855957</v>
      </c>
      <c r="V1387" s="9">
        <v>20.562345482855957</v>
      </c>
      <c r="W1387" s="9">
        <v>20.562345482855957</v>
      </c>
      <c r="X1387" s="9">
        <v>22.391977691000818</v>
      </c>
      <c r="Y1387" s="9">
        <v>22.391977691000818</v>
      </c>
      <c r="Z1387" s="9">
        <v>24.28858708803979</v>
      </c>
      <c r="AA1387" s="9">
        <v>24.28858708803979</v>
      </c>
      <c r="AB1387" s="9">
        <v>25.117335532005217</v>
      </c>
      <c r="AC1387" s="9">
        <v>25.117335532005217</v>
      </c>
      <c r="AD1387" s="9">
        <v>29.039116491286865</v>
      </c>
      <c r="AE1387" s="9">
        <v>31.219251037281825</v>
      </c>
      <c r="AF1387" s="9">
        <v>33.487682081707895</v>
      </c>
      <c r="AG1387" s="9">
        <v>33.487682081707895</v>
      </c>
      <c r="AH1387" s="9">
        <v>36.427668170967245</v>
      </c>
      <c r="AI1387" s="9">
        <v>38.74455996597662</v>
      </c>
      <c r="AJ1387" s="9">
        <v>3.0428788910505911</v>
      </c>
    </row>
    <row r="1388" spans="1:36" x14ac:dyDescent="0.25">
      <c r="A1388" t="s">
        <v>5411</v>
      </c>
      <c r="B1388" t="s">
        <v>16</v>
      </c>
      <c r="C1388" t="s">
        <v>17</v>
      </c>
      <c r="D1388">
        <v>36878000</v>
      </c>
      <c r="E1388">
        <v>36879999</v>
      </c>
      <c r="F1388" t="s">
        <v>1209</v>
      </c>
      <c r="G1388" t="str">
        <f t="shared" si="42"/>
        <v>MGI II</v>
      </c>
      <c r="H1388" t="s">
        <v>851</v>
      </c>
      <c r="I1388" t="s">
        <v>20</v>
      </c>
      <c r="J1388" t="s">
        <v>64</v>
      </c>
      <c r="K1388" s="6">
        <v>0.03</v>
      </c>
      <c r="L1388" s="7">
        <f t="shared" si="43"/>
        <v>2E-3</v>
      </c>
      <c r="M1388" s="7">
        <v>3.0000000000000001E-3</v>
      </c>
      <c r="N1388">
        <v>8</v>
      </c>
      <c r="O1388" s="8">
        <v>17.822306426995311</v>
      </c>
      <c r="P1388" s="9">
        <v>17.822306426995311</v>
      </c>
      <c r="Q1388" s="9">
        <v>17.822306426995311</v>
      </c>
      <c r="R1388" s="9">
        <v>18.237663306594719</v>
      </c>
      <c r="S1388" s="9">
        <v>18.48712920931133</v>
      </c>
      <c r="T1388" s="9">
        <v>19.201553596969877</v>
      </c>
      <c r="U1388" s="9">
        <v>20.562345482855957</v>
      </c>
      <c r="V1388" s="9">
        <v>20.562345482855957</v>
      </c>
      <c r="W1388" s="9">
        <v>20.562345482855957</v>
      </c>
      <c r="X1388" s="9">
        <v>22.391977691000818</v>
      </c>
      <c r="Y1388" s="9">
        <v>22.391977691000818</v>
      </c>
      <c r="Z1388" s="9">
        <v>24.28858708803979</v>
      </c>
      <c r="AA1388" s="9">
        <v>24.28858708803979</v>
      </c>
      <c r="AB1388" s="9">
        <v>25.117335532005217</v>
      </c>
      <c r="AC1388" s="9">
        <v>25.117335532005217</v>
      </c>
      <c r="AD1388" s="9">
        <v>29.039116491286865</v>
      </c>
      <c r="AE1388" s="9">
        <v>31.219251037281825</v>
      </c>
      <c r="AF1388" s="9">
        <v>33.487682081707895</v>
      </c>
      <c r="AG1388" s="9">
        <v>33.487682081707895</v>
      </c>
      <c r="AH1388" s="9">
        <v>36.427668170967245</v>
      </c>
      <c r="AI1388" s="9">
        <v>38.74455996597662</v>
      </c>
      <c r="AJ1388" s="9">
        <v>3.0428788910505911</v>
      </c>
    </row>
    <row r="1389" spans="1:36" x14ac:dyDescent="0.25">
      <c r="A1389" t="s">
        <v>5411</v>
      </c>
      <c r="B1389" t="s">
        <v>16</v>
      </c>
      <c r="C1389" t="s">
        <v>17</v>
      </c>
      <c r="D1389">
        <v>36880000</v>
      </c>
      <c r="E1389">
        <v>36892999</v>
      </c>
      <c r="F1389" t="s">
        <v>1210</v>
      </c>
      <c r="G1389" t="str">
        <f t="shared" si="42"/>
        <v>MGI</v>
      </c>
      <c r="H1389" t="s">
        <v>851</v>
      </c>
      <c r="I1389" t="s">
        <v>20</v>
      </c>
      <c r="J1389" t="s">
        <v>62</v>
      </c>
      <c r="K1389" s="6">
        <v>0.03</v>
      </c>
      <c r="L1389" s="7">
        <f t="shared" si="43"/>
        <v>2E-3</v>
      </c>
      <c r="M1389" s="7">
        <v>3.0000000000000001E-3</v>
      </c>
      <c r="N1389">
        <v>7</v>
      </c>
      <c r="O1389" s="8">
        <v>13.880385281502075</v>
      </c>
      <c r="P1389" s="9">
        <v>13.880385281502075</v>
      </c>
      <c r="Q1389" s="9">
        <v>13.880385281502075</v>
      </c>
      <c r="R1389" s="9">
        <v>14.045989937445718</v>
      </c>
      <c r="S1389" s="9">
        <v>14.060876315369912</v>
      </c>
      <c r="T1389" s="9">
        <v>15.090338571208333</v>
      </c>
      <c r="U1389" s="9">
        <v>16.025407313902726</v>
      </c>
      <c r="V1389" s="9">
        <v>16.025407313902726</v>
      </c>
      <c r="W1389" s="9">
        <v>16.025407313902726</v>
      </c>
      <c r="X1389" s="9">
        <v>18.013895748167766</v>
      </c>
      <c r="Y1389" s="9">
        <v>18.013895748167766</v>
      </c>
      <c r="Z1389" s="9">
        <v>20.142868501532355</v>
      </c>
      <c r="AA1389" s="9">
        <v>20.142868501532355</v>
      </c>
      <c r="AB1389" s="9">
        <v>22.456349831314476</v>
      </c>
      <c r="AC1389" s="9">
        <v>22.456349831314476</v>
      </c>
      <c r="AD1389" s="9">
        <v>24.87984091164185</v>
      </c>
      <c r="AE1389" s="9">
        <v>27.427492221952345</v>
      </c>
      <c r="AF1389" s="9">
        <v>33.194804868730657</v>
      </c>
      <c r="AG1389" s="9">
        <v>33.194804868730657</v>
      </c>
      <c r="AH1389" s="9">
        <v>35.957808835828068</v>
      </c>
      <c r="AI1389" s="9">
        <v>38.646304092692077</v>
      </c>
      <c r="AJ1389" s="9">
        <v>3.0428788910505911</v>
      </c>
    </row>
    <row r="1390" spans="1:36" x14ac:dyDescent="0.25">
      <c r="A1390" t="s">
        <v>5411</v>
      </c>
      <c r="B1390" t="s">
        <v>16</v>
      </c>
      <c r="C1390" t="s">
        <v>17</v>
      </c>
      <c r="D1390">
        <v>36893000</v>
      </c>
      <c r="E1390">
        <v>36894999</v>
      </c>
      <c r="F1390" t="s">
        <v>1211</v>
      </c>
      <c r="G1390" t="str">
        <f t="shared" si="42"/>
        <v>MGI II</v>
      </c>
      <c r="H1390" t="s">
        <v>851</v>
      </c>
      <c r="I1390" t="s">
        <v>20</v>
      </c>
      <c r="J1390" t="s">
        <v>64</v>
      </c>
      <c r="K1390" s="6">
        <v>0.03</v>
      </c>
      <c r="L1390" s="7">
        <f t="shared" si="43"/>
        <v>2E-3</v>
      </c>
      <c r="M1390" s="7">
        <v>3.0000000000000001E-3</v>
      </c>
      <c r="N1390">
        <v>8</v>
      </c>
      <c r="O1390" s="8">
        <v>17.822306426995311</v>
      </c>
      <c r="P1390" s="9">
        <v>17.822306426995311</v>
      </c>
      <c r="Q1390" s="9">
        <v>17.822306426995311</v>
      </c>
      <c r="R1390" s="9">
        <v>18.237663306594719</v>
      </c>
      <c r="S1390" s="9">
        <v>18.48712920931133</v>
      </c>
      <c r="T1390" s="9">
        <v>19.201553596969877</v>
      </c>
      <c r="U1390" s="9">
        <v>20.562345482855957</v>
      </c>
      <c r="V1390" s="9">
        <v>20.562345482855957</v>
      </c>
      <c r="W1390" s="9">
        <v>20.562345482855957</v>
      </c>
      <c r="X1390" s="9">
        <v>22.391977691000818</v>
      </c>
      <c r="Y1390" s="9">
        <v>22.391977691000818</v>
      </c>
      <c r="Z1390" s="9">
        <v>24.28858708803979</v>
      </c>
      <c r="AA1390" s="9">
        <v>24.28858708803979</v>
      </c>
      <c r="AB1390" s="9">
        <v>25.117335532005217</v>
      </c>
      <c r="AC1390" s="9">
        <v>25.117335532005217</v>
      </c>
      <c r="AD1390" s="9">
        <v>29.039116491286865</v>
      </c>
      <c r="AE1390" s="9">
        <v>31.219251037281825</v>
      </c>
      <c r="AF1390" s="9">
        <v>33.487682081707895</v>
      </c>
      <c r="AG1390" s="9">
        <v>33.487682081707895</v>
      </c>
      <c r="AH1390" s="9">
        <v>36.427668170967245</v>
      </c>
      <c r="AI1390" s="9">
        <v>38.74455996597662</v>
      </c>
      <c r="AJ1390" s="9">
        <v>3.0428788910505911</v>
      </c>
    </row>
    <row r="1391" spans="1:36" x14ac:dyDescent="0.25">
      <c r="A1391" t="s">
        <v>5411</v>
      </c>
      <c r="B1391" t="s">
        <v>16</v>
      </c>
      <c r="C1391" t="s">
        <v>17</v>
      </c>
      <c r="D1391">
        <v>36895000</v>
      </c>
      <c r="E1391">
        <v>36899999</v>
      </c>
      <c r="F1391" t="s">
        <v>1212</v>
      </c>
      <c r="G1391" t="str">
        <f t="shared" si="42"/>
        <v>MGI II</v>
      </c>
      <c r="H1391" t="s">
        <v>851</v>
      </c>
      <c r="I1391" t="s">
        <v>20</v>
      </c>
      <c r="J1391" t="s">
        <v>64</v>
      </c>
      <c r="K1391" s="6">
        <v>0.03</v>
      </c>
      <c r="L1391" s="7">
        <f t="shared" si="43"/>
        <v>2E-3</v>
      </c>
      <c r="M1391" s="7">
        <v>3.0000000000000001E-3</v>
      </c>
      <c r="N1391">
        <v>8</v>
      </c>
      <c r="O1391" s="8">
        <v>17.822306426995311</v>
      </c>
      <c r="P1391" s="9">
        <v>17.822306426995311</v>
      </c>
      <c r="Q1391" s="9">
        <v>17.822306426995311</v>
      </c>
      <c r="R1391" s="9">
        <v>18.237663306594719</v>
      </c>
      <c r="S1391" s="9">
        <v>18.48712920931133</v>
      </c>
      <c r="T1391" s="9">
        <v>19.201553596969877</v>
      </c>
      <c r="U1391" s="9">
        <v>20.562345482855957</v>
      </c>
      <c r="V1391" s="9">
        <v>20.562345482855957</v>
      </c>
      <c r="W1391" s="9">
        <v>20.562345482855957</v>
      </c>
      <c r="X1391" s="9">
        <v>22.391977691000818</v>
      </c>
      <c r="Y1391" s="9">
        <v>22.391977691000818</v>
      </c>
      <c r="Z1391" s="9">
        <v>24.28858708803979</v>
      </c>
      <c r="AA1391" s="9">
        <v>24.28858708803979</v>
      </c>
      <c r="AB1391" s="9">
        <v>25.117335532005217</v>
      </c>
      <c r="AC1391" s="9">
        <v>25.117335532005217</v>
      </c>
      <c r="AD1391" s="9">
        <v>29.039116491286865</v>
      </c>
      <c r="AE1391" s="9">
        <v>31.219251037281825</v>
      </c>
      <c r="AF1391" s="9">
        <v>33.487682081707895</v>
      </c>
      <c r="AG1391" s="9">
        <v>33.487682081707895</v>
      </c>
      <c r="AH1391" s="9">
        <v>36.427668170967245</v>
      </c>
      <c r="AI1391" s="9">
        <v>38.74455996597662</v>
      </c>
      <c r="AJ1391" s="9">
        <v>3.0428788910505911</v>
      </c>
    </row>
    <row r="1392" spans="1:36" x14ac:dyDescent="0.25">
      <c r="A1392" t="s">
        <v>5411</v>
      </c>
      <c r="B1392" t="s">
        <v>16</v>
      </c>
      <c r="C1392" t="s">
        <v>17</v>
      </c>
      <c r="D1392">
        <v>36900000</v>
      </c>
      <c r="E1392">
        <v>36912999</v>
      </c>
      <c r="F1392" t="s">
        <v>1213</v>
      </c>
      <c r="G1392" t="str">
        <f t="shared" si="42"/>
        <v>MGI</v>
      </c>
      <c r="H1392" t="s">
        <v>851</v>
      </c>
      <c r="I1392" t="s">
        <v>20</v>
      </c>
      <c r="J1392" t="s">
        <v>62</v>
      </c>
      <c r="K1392" s="6">
        <v>0.03</v>
      </c>
      <c r="L1392" s="7">
        <f t="shared" si="43"/>
        <v>2E-3</v>
      </c>
      <c r="M1392" s="7">
        <v>3.0000000000000001E-3</v>
      </c>
      <c r="N1392">
        <v>7</v>
      </c>
      <c r="O1392" s="8">
        <v>13.880385281502075</v>
      </c>
      <c r="P1392" s="9">
        <v>13.880385281502075</v>
      </c>
      <c r="Q1392" s="9">
        <v>13.880385281502075</v>
      </c>
      <c r="R1392" s="9">
        <v>14.045989937445718</v>
      </c>
      <c r="S1392" s="9">
        <v>14.060876315369912</v>
      </c>
      <c r="T1392" s="9">
        <v>15.090338571208333</v>
      </c>
      <c r="U1392" s="9">
        <v>16.025407313902726</v>
      </c>
      <c r="V1392" s="9">
        <v>16.025407313902726</v>
      </c>
      <c r="W1392" s="9">
        <v>16.025407313902726</v>
      </c>
      <c r="X1392" s="9">
        <v>18.013895748167766</v>
      </c>
      <c r="Y1392" s="9">
        <v>18.013895748167766</v>
      </c>
      <c r="Z1392" s="9">
        <v>20.142868501532355</v>
      </c>
      <c r="AA1392" s="9">
        <v>20.142868501532355</v>
      </c>
      <c r="AB1392" s="9">
        <v>22.456349831314476</v>
      </c>
      <c r="AC1392" s="9">
        <v>22.456349831314476</v>
      </c>
      <c r="AD1392" s="9">
        <v>24.87984091164185</v>
      </c>
      <c r="AE1392" s="9">
        <v>27.427492221952345</v>
      </c>
      <c r="AF1392" s="9">
        <v>33.194804868730657</v>
      </c>
      <c r="AG1392" s="9">
        <v>33.194804868730657</v>
      </c>
      <c r="AH1392" s="9">
        <v>35.957808835828068</v>
      </c>
      <c r="AI1392" s="9">
        <v>38.646304092692077</v>
      </c>
      <c r="AJ1392" s="9">
        <v>3.0428788910505911</v>
      </c>
    </row>
    <row r="1393" spans="1:36" x14ac:dyDescent="0.25">
      <c r="A1393" t="s">
        <v>5411</v>
      </c>
      <c r="B1393" t="s">
        <v>16</v>
      </c>
      <c r="C1393" t="s">
        <v>17</v>
      </c>
      <c r="D1393">
        <v>36913000</v>
      </c>
      <c r="E1393">
        <v>36917999</v>
      </c>
      <c r="F1393" t="s">
        <v>1214</v>
      </c>
      <c r="G1393" t="str">
        <f t="shared" si="42"/>
        <v>MGI II</v>
      </c>
      <c r="H1393" t="s">
        <v>851</v>
      </c>
      <c r="I1393" t="s">
        <v>20</v>
      </c>
      <c r="J1393" t="s">
        <v>64</v>
      </c>
      <c r="K1393" s="6">
        <v>0.03</v>
      </c>
      <c r="L1393" s="7">
        <f t="shared" si="43"/>
        <v>2E-3</v>
      </c>
      <c r="M1393" s="7">
        <v>3.0000000000000001E-3</v>
      </c>
      <c r="N1393">
        <v>8</v>
      </c>
      <c r="O1393" s="8">
        <v>17.822306426995311</v>
      </c>
      <c r="P1393" s="9">
        <v>17.822306426995311</v>
      </c>
      <c r="Q1393" s="9">
        <v>17.822306426995311</v>
      </c>
      <c r="R1393" s="9">
        <v>18.237663306594719</v>
      </c>
      <c r="S1393" s="9">
        <v>18.48712920931133</v>
      </c>
      <c r="T1393" s="9">
        <v>19.201553596969877</v>
      </c>
      <c r="U1393" s="9">
        <v>20.562345482855957</v>
      </c>
      <c r="V1393" s="9">
        <v>20.562345482855957</v>
      </c>
      <c r="W1393" s="9">
        <v>20.562345482855957</v>
      </c>
      <c r="X1393" s="9">
        <v>22.391977691000818</v>
      </c>
      <c r="Y1393" s="9">
        <v>22.391977691000818</v>
      </c>
      <c r="Z1393" s="9">
        <v>24.28858708803979</v>
      </c>
      <c r="AA1393" s="9">
        <v>24.28858708803979</v>
      </c>
      <c r="AB1393" s="9">
        <v>25.117335532005217</v>
      </c>
      <c r="AC1393" s="9">
        <v>25.117335532005217</v>
      </c>
      <c r="AD1393" s="9">
        <v>29.039116491286865</v>
      </c>
      <c r="AE1393" s="9">
        <v>31.219251037281825</v>
      </c>
      <c r="AF1393" s="9">
        <v>33.487682081707895</v>
      </c>
      <c r="AG1393" s="9">
        <v>33.487682081707895</v>
      </c>
      <c r="AH1393" s="9">
        <v>36.427668170967245</v>
      </c>
      <c r="AI1393" s="9">
        <v>38.74455996597662</v>
      </c>
      <c r="AJ1393" s="9">
        <v>3.0428788910505911</v>
      </c>
    </row>
    <row r="1394" spans="1:36" x14ac:dyDescent="0.25">
      <c r="A1394" t="s">
        <v>5411</v>
      </c>
      <c r="B1394" t="s">
        <v>16</v>
      </c>
      <c r="C1394" t="s">
        <v>17</v>
      </c>
      <c r="D1394">
        <v>36918000</v>
      </c>
      <c r="E1394">
        <v>36919999</v>
      </c>
      <c r="F1394" t="s">
        <v>1215</v>
      </c>
      <c r="G1394" t="str">
        <f t="shared" si="42"/>
        <v>MGI II</v>
      </c>
      <c r="H1394" t="s">
        <v>851</v>
      </c>
      <c r="I1394" t="s">
        <v>20</v>
      </c>
      <c r="J1394" t="s">
        <v>64</v>
      </c>
      <c r="K1394" s="6">
        <v>0.03</v>
      </c>
      <c r="L1394" s="7">
        <f t="shared" si="43"/>
        <v>2E-3</v>
      </c>
      <c r="M1394" s="7">
        <v>3.0000000000000001E-3</v>
      </c>
      <c r="N1394">
        <v>8</v>
      </c>
      <c r="O1394" s="8">
        <v>17.822306426995311</v>
      </c>
      <c r="P1394" s="9">
        <v>17.822306426995311</v>
      </c>
      <c r="Q1394" s="9">
        <v>17.822306426995311</v>
      </c>
      <c r="R1394" s="9">
        <v>18.237663306594719</v>
      </c>
      <c r="S1394" s="9">
        <v>18.48712920931133</v>
      </c>
      <c r="T1394" s="9">
        <v>19.201553596969877</v>
      </c>
      <c r="U1394" s="9">
        <v>20.562345482855957</v>
      </c>
      <c r="V1394" s="9">
        <v>20.562345482855957</v>
      </c>
      <c r="W1394" s="9">
        <v>20.562345482855957</v>
      </c>
      <c r="X1394" s="9">
        <v>22.391977691000818</v>
      </c>
      <c r="Y1394" s="9">
        <v>22.391977691000818</v>
      </c>
      <c r="Z1394" s="9">
        <v>24.28858708803979</v>
      </c>
      <c r="AA1394" s="9">
        <v>24.28858708803979</v>
      </c>
      <c r="AB1394" s="9">
        <v>25.117335532005217</v>
      </c>
      <c r="AC1394" s="9">
        <v>25.117335532005217</v>
      </c>
      <c r="AD1394" s="9">
        <v>29.039116491286865</v>
      </c>
      <c r="AE1394" s="9">
        <v>31.219251037281825</v>
      </c>
      <c r="AF1394" s="9">
        <v>33.487682081707895</v>
      </c>
      <c r="AG1394" s="9">
        <v>33.487682081707895</v>
      </c>
      <c r="AH1394" s="9">
        <v>36.427668170967245</v>
      </c>
      <c r="AI1394" s="9">
        <v>38.74455996597662</v>
      </c>
      <c r="AJ1394" s="9">
        <v>3.0428788910505911</v>
      </c>
    </row>
    <row r="1395" spans="1:36" x14ac:dyDescent="0.25">
      <c r="A1395" t="s">
        <v>5411</v>
      </c>
      <c r="B1395" t="s">
        <v>16</v>
      </c>
      <c r="C1395" t="s">
        <v>17</v>
      </c>
      <c r="D1395">
        <v>36920000</v>
      </c>
      <c r="E1395">
        <v>36922999</v>
      </c>
      <c r="F1395" t="s">
        <v>1216</v>
      </c>
      <c r="G1395" t="str">
        <f t="shared" si="42"/>
        <v>MGI II</v>
      </c>
      <c r="H1395" t="s">
        <v>851</v>
      </c>
      <c r="I1395" t="s">
        <v>20</v>
      </c>
      <c r="J1395" t="s">
        <v>64</v>
      </c>
      <c r="K1395" s="6">
        <v>0.03</v>
      </c>
      <c r="L1395" s="7">
        <f t="shared" si="43"/>
        <v>2E-3</v>
      </c>
      <c r="M1395" s="7">
        <v>3.0000000000000001E-3</v>
      </c>
      <c r="N1395">
        <v>8</v>
      </c>
      <c r="O1395" s="8">
        <v>17.822306426995311</v>
      </c>
      <c r="P1395" s="9">
        <v>17.822306426995311</v>
      </c>
      <c r="Q1395" s="9">
        <v>17.822306426995311</v>
      </c>
      <c r="R1395" s="9">
        <v>18.237663306594719</v>
      </c>
      <c r="S1395" s="9">
        <v>18.48712920931133</v>
      </c>
      <c r="T1395" s="9">
        <v>19.201553596969877</v>
      </c>
      <c r="U1395" s="9">
        <v>20.562345482855957</v>
      </c>
      <c r="V1395" s="9">
        <v>20.562345482855957</v>
      </c>
      <c r="W1395" s="9">
        <v>20.562345482855957</v>
      </c>
      <c r="X1395" s="9">
        <v>22.391977691000818</v>
      </c>
      <c r="Y1395" s="9">
        <v>22.391977691000818</v>
      </c>
      <c r="Z1395" s="9">
        <v>24.28858708803979</v>
      </c>
      <c r="AA1395" s="9">
        <v>24.28858708803979</v>
      </c>
      <c r="AB1395" s="9">
        <v>25.117335532005217</v>
      </c>
      <c r="AC1395" s="9">
        <v>25.117335532005217</v>
      </c>
      <c r="AD1395" s="9">
        <v>29.039116491286865</v>
      </c>
      <c r="AE1395" s="9">
        <v>31.219251037281825</v>
      </c>
      <c r="AF1395" s="9">
        <v>33.487682081707895</v>
      </c>
      <c r="AG1395" s="9">
        <v>33.487682081707895</v>
      </c>
      <c r="AH1395" s="9">
        <v>36.427668170967245</v>
      </c>
      <c r="AI1395" s="9">
        <v>38.74455996597662</v>
      </c>
      <c r="AJ1395" s="9">
        <v>3.0428788910505911</v>
      </c>
    </row>
    <row r="1396" spans="1:36" x14ac:dyDescent="0.25">
      <c r="A1396" t="s">
        <v>5411</v>
      </c>
      <c r="B1396" t="s">
        <v>16</v>
      </c>
      <c r="C1396" t="s">
        <v>17</v>
      </c>
      <c r="D1396">
        <v>36923000</v>
      </c>
      <c r="E1396">
        <v>36924999</v>
      </c>
      <c r="F1396" t="s">
        <v>1217</v>
      </c>
      <c r="G1396" t="str">
        <f t="shared" si="42"/>
        <v>MGI II</v>
      </c>
      <c r="H1396" t="s">
        <v>851</v>
      </c>
      <c r="I1396" t="s">
        <v>20</v>
      </c>
      <c r="J1396" t="s">
        <v>64</v>
      </c>
      <c r="K1396" s="6">
        <v>0.03</v>
      </c>
      <c r="L1396" s="7">
        <f t="shared" si="43"/>
        <v>2E-3</v>
      </c>
      <c r="M1396" s="7">
        <v>3.0000000000000001E-3</v>
      </c>
      <c r="N1396">
        <v>8</v>
      </c>
      <c r="O1396" s="8">
        <v>17.822306426995311</v>
      </c>
      <c r="P1396" s="9">
        <v>17.822306426995311</v>
      </c>
      <c r="Q1396" s="9">
        <v>17.822306426995311</v>
      </c>
      <c r="R1396" s="9">
        <v>18.237663306594719</v>
      </c>
      <c r="S1396" s="9">
        <v>18.48712920931133</v>
      </c>
      <c r="T1396" s="9">
        <v>19.201553596969877</v>
      </c>
      <c r="U1396" s="9">
        <v>20.562345482855957</v>
      </c>
      <c r="V1396" s="9">
        <v>20.562345482855957</v>
      </c>
      <c r="W1396" s="9">
        <v>20.562345482855957</v>
      </c>
      <c r="X1396" s="9">
        <v>22.391977691000818</v>
      </c>
      <c r="Y1396" s="9">
        <v>22.391977691000818</v>
      </c>
      <c r="Z1396" s="9">
        <v>24.28858708803979</v>
      </c>
      <c r="AA1396" s="9">
        <v>24.28858708803979</v>
      </c>
      <c r="AB1396" s="9">
        <v>25.117335532005217</v>
      </c>
      <c r="AC1396" s="9">
        <v>25.117335532005217</v>
      </c>
      <c r="AD1396" s="9">
        <v>29.039116491286865</v>
      </c>
      <c r="AE1396" s="9">
        <v>31.219251037281825</v>
      </c>
      <c r="AF1396" s="9">
        <v>33.487682081707895</v>
      </c>
      <c r="AG1396" s="9">
        <v>33.487682081707895</v>
      </c>
      <c r="AH1396" s="9">
        <v>36.427668170967245</v>
      </c>
      <c r="AI1396" s="9">
        <v>38.74455996597662</v>
      </c>
      <c r="AJ1396" s="9">
        <v>3.0428788910505911</v>
      </c>
    </row>
    <row r="1397" spans="1:36" x14ac:dyDescent="0.25">
      <c r="A1397" t="s">
        <v>5411</v>
      </c>
      <c r="B1397" t="s">
        <v>16</v>
      </c>
      <c r="C1397" t="s">
        <v>17</v>
      </c>
      <c r="D1397">
        <v>36925000</v>
      </c>
      <c r="E1397">
        <v>36929999</v>
      </c>
      <c r="F1397" t="s">
        <v>1218</v>
      </c>
      <c r="G1397" t="str">
        <f t="shared" si="42"/>
        <v>MGI II</v>
      </c>
      <c r="H1397" t="s">
        <v>851</v>
      </c>
      <c r="I1397" t="s">
        <v>20</v>
      </c>
      <c r="J1397" t="s">
        <v>64</v>
      </c>
      <c r="K1397" s="6">
        <v>0.03</v>
      </c>
      <c r="L1397" s="7">
        <f t="shared" si="43"/>
        <v>2E-3</v>
      </c>
      <c r="M1397" s="7">
        <v>3.0000000000000001E-3</v>
      </c>
      <c r="N1397">
        <v>8</v>
      </c>
      <c r="O1397" s="8">
        <v>17.822306426995311</v>
      </c>
      <c r="P1397" s="9">
        <v>17.822306426995311</v>
      </c>
      <c r="Q1397" s="9">
        <v>17.822306426995311</v>
      </c>
      <c r="R1397" s="9">
        <v>18.237663306594719</v>
      </c>
      <c r="S1397" s="9">
        <v>18.48712920931133</v>
      </c>
      <c r="T1397" s="9">
        <v>19.201553596969877</v>
      </c>
      <c r="U1397" s="9">
        <v>20.562345482855957</v>
      </c>
      <c r="V1397" s="9">
        <v>20.562345482855957</v>
      </c>
      <c r="W1397" s="9">
        <v>20.562345482855957</v>
      </c>
      <c r="X1397" s="9">
        <v>22.391977691000818</v>
      </c>
      <c r="Y1397" s="9">
        <v>22.391977691000818</v>
      </c>
      <c r="Z1397" s="9">
        <v>24.28858708803979</v>
      </c>
      <c r="AA1397" s="9">
        <v>24.28858708803979</v>
      </c>
      <c r="AB1397" s="9">
        <v>25.117335532005217</v>
      </c>
      <c r="AC1397" s="9">
        <v>25.117335532005217</v>
      </c>
      <c r="AD1397" s="9">
        <v>29.039116491286865</v>
      </c>
      <c r="AE1397" s="9">
        <v>31.219251037281825</v>
      </c>
      <c r="AF1397" s="9">
        <v>33.487682081707895</v>
      </c>
      <c r="AG1397" s="9">
        <v>33.487682081707895</v>
      </c>
      <c r="AH1397" s="9">
        <v>36.427668170967245</v>
      </c>
      <c r="AI1397" s="9">
        <v>38.74455996597662</v>
      </c>
      <c r="AJ1397" s="9">
        <v>3.0428788910505911</v>
      </c>
    </row>
    <row r="1398" spans="1:36" x14ac:dyDescent="0.25">
      <c r="A1398" t="s">
        <v>5411</v>
      </c>
      <c r="B1398" t="s">
        <v>16</v>
      </c>
      <c r="C1398" t="s">
        <v>17</v>
      </c>
      <c r="D1398">
        <v>36930000</v>
      </c>
      <c r="E1398">
        <v>36939999</v>
      </c>
      <c r="F1398" t="s">
        <v>1219</v>
      </c>
      <c r="G1398" t="str">
        <f t="shared" si="42"/>
        <v>MGI II</v>
      </c>
      <c r="H1398" t="s">
        <v>851</v>
      </c>
      <c r="I1398" t="s">
        <v>20</v>
      </c>
      <c r="J1398" t="s">
        <v>64</v>
      </c>
      <c r="K1398" s="6">
        <v>0.03</v>
      </c>
      <c r="L1398" s="7">
        <f t="shared" si="43"/>
        <v>2E-3</v>
      </c>
      <c r="M1398" s="7">
        <v>3.0000000000000001E-3</v>
      </c>
      <c r="N1398">
        <v>8</v>
      </c>
      <c r="O1398" s="8">
        <v>17.822306426995311</v>
      </c>
      <c r="P1398" s="9">
        <v>17.822306426995311</v>
      </c>
      <c r="Q1398" s="9">
        <v>17.822306426995311</v>
      </c>
      <c r="R1398" s="9">
        <v>18.237663306594719</v>
      </c>
      <c r="S1398" s="9">
        <v>18.48712920931133</v>
      </c>
      <c r="T1398" s="9">
        <v>19.201553596969877</v>
      </c>
      <c r="U1398" s="9">
        <v>20.562345482855957</v>
      </c>
      <c r="V1398" s="9">
        <v>20.562345482855957</v>
      </c>
      <c r="W1398" s="9">
        <v>20.562345482855957</v>
      </c>
      <c r="X1398" s="9">
        <v>22.391977691000818</v>
      </c>
      <c r="Y1398" s="9">
        <v>22.391977691000818</v>
      </c>
      <c r="Z1398" s="9">
        <v>24.28858708803979</v>
      </c>
      <c r="AA1398" s="9">
        <v>24.28858708803979</v>
      </c>
      <c r="AB1398" s="9">
        <v>25.117335532005217</v>
      </c>
      <c r="AC1398" s="9">
        <v>25.117335532005217</v>
      </c>
      <c r="AD1398" s="9">
        <v>29.039116491286865</v>
      </c>
      <c r="AE1398" s="9">
        <v>31.219251037281825</v>
      </c>
      <c r="AF1398" s="9">
        <v>33.487682081707895</v>
      </c>
      <c r="AG1398" s="9">
        <v>33.487682081707895</v>
      </c>
      <c r="AH1398" s="9">
        <v>36.427668170967245</v>
      </c>
      <c r="AI1398" s="9">
        <v>38.74455996597662</v>
      </c>
      <c r="AJ1398" s="9">
        <v>3.0428788910505911</v>
      </c>
    </row>
    <row r="1399" spans="1:36" x14ac:dyDescent="0.25">
      <c r="A1399" t="s">
        <v>5411</v>
      </c>
      <c r="B1399" t="s">
        <v>16</v>
      </c>
      <c r="C1399" t="s">
        <v>17</v>
      </c>
      <c r="D1399">
        <v>36940000</v>
      </c>
      <c r="E1399">
        <v>36946999</v>
      </c>
      <c r="F1399" t="s">
        <v>1220</v>
      </c>
      <c r="G1399" t="str">
        <f t="shared" si="42"/>
        <v>MGI II</v>
      </c>
      <c r="H1399" t="s">
        <v>851</v>
      </c>
      <c r="I1399" t="s">
        <v>20</v>
      </c>
      <c r="J1399" t="s">
        <v>64</v>
      </c>
      <c r="K1399" s="6">
        <v>0.03</v>
      </c>
      <c r="L1399" s="7">
        <f t="shared" si="43"/>
        <v>2E-3</v>
      </c>
      <c r="M1399" s="7">
        <v>3.0000000000000001E-3</v>
      </c>
      <c r="N1399">
        <v>8</v>
      </c>
      <c r="O1399" s="8">
        <v>17.822306426995311</v>
      </c>
      <c r="P1399" s="9">
        <v>17.822306426995311</v>
      </c>
      <c r="Q1399" s="9">
        <v>17.822306426995311</v>
      </c>
      <c r="R1399" s="9">
        <v>18.237663306594719</v>
      </c>
      <c r="S1399" s="9">
        <v>18.48712920931133</v>
      </c>
      <c r="T1399" s="9">
        <v>19.201553596969877</v>
      </c>
      <c r="U1399" s="9">
        <v>20.562345482855957</v>
      </c>
      <c r="V1399" s="9">
        <v>20.562345482855957</v>
      </c>
      <c r="W1399" s="9">
        <v>20.562345482855957</v>
      </c>
      <c r="X1399" s="9">
        <v>22.391977691000818</v>
      </c>
      <c r="Y1399" s="9">
        <v>22.391977691000818</v>
      </c>
      <c r="Z1399" s="9">
        <v>24.28858708803979</v>
      </c>
      <c r="AA1399" s="9">
        <v>24.28858708803979</v>
      </c>
      <c r="AB1399" s="9">
        <v>25.117335532005217</v>
      </c>
      <c r="AC1399" s="9">
        <v>25.117335532005217</v>
      </c>
      <c r="AD1399" s="9">
        <v>29.039116491286865</v>
      </c>
      <c r="AE1399" s="9">
        <v>31.219251037281825</v>
      </c>
      <c r="AF1399" s="9">
        <v>33.487682081707895</v>
      </c>
      <c r="AG1399" s="9">
        <v>33.487682081707895</v>
      </c>
      <c r="AH1399" s="9">
        <v>36.427668170967245</v>
      </c>
      <c r="AI1399" s="9">
        <v>38.74455996597662</v>
      </c>
      <c r="AJ1399" s="9">
        <v>3.0428788910505911</v>
      </c>
    </row>
    <row r="1400" spans="1:36" x14ac:dyDescent="0.25">
      <c r="A1400" t="s">
        <v>5411</v>
      </c>
      <c r="B1400" t="s">
        <v>16</v>
      </c>
      <c r="C1400" t="s">
        <v>17</v>
      </c>
      <c r="D1400">
        <v>36947000</v>
      </c>
      <c r="E1400">
        <v>36949999</v>
      </c>
      <c r="F1400" t="s">
        <v>1221</v>
      </c>
      <c r="G1400" t="str">
        <f t="shared" si="42"/>
        <v>MGI II</v>
      </c>
      <c r="H1400" t="s">
        <v>851</v>
      </c>
      <c r="I1400" t="s">
        <v>20</v>
      </c>
      <c r="J1400" t="s">
        <v>64</v>
      </c>
      <c r="K1400" s="6">
        <v>0.03</v>
      </c>
      <c r="L1400" s="7">
        <f t="shared" si="43"/>
        <v>2E-3</v>
      </c>
      <c r="M1400" s="7">
        <v>3.0000000000000001E-3</v>
      </c>
      <c r="N1400">
        <v>8</v>
      </c>
      <c r="O1400" s="8">
        <v>17.822306426995311</v>
      </c>
      <c r="P1400" s="9">
        <v>17.822306426995311</v>
      </c>
      <c r="Q1400" s="9">
        <v>17.822306426995311</v>
      </c>
      <c r="R1400" s="9">
        <v>18.237663306594719</v>
      </c>
      <c r="S1400" s="9">
        <v>18.48712920931133</v>
      </c>
      <c r="T1400" s="9">
        <v>19.201553596969877</v>
      </c>
      <c r="U1400" s="9">
        <v>20.562345482855957</v>
      </c>
      <c r="V1400" s="9">
        <v>20.562345482855957</v>
      </c>
      <c r="W1400" s="9">
        <v>20.562345482855957</v>
      </c>
      <c r="X1400" s="9">
        <v>22.391977691000818</v>
      </c>
      <c r="Y1400" s="9">
        <v>22.391977691000818</v>
      </c>
      <c r="Z1400" s="9">
        <v>24.28858708803979</v>
      </c>
      <c r="AA1400" s="9">
        <v>24.28858708803979</v>
      </c>
      <c r="AB1400" s="9">
        <v>25.117335532005217</v>
      </c>
      <c r="AC1400" s="9">
        <v>25.117335532005217</v>
      </c>
      <c r="AD1400" s="9">
        <v>29.039116491286865</v>
      </c>
      <c r="AE1400" s="9">
        <v>31.219251037281825</v>
      </c>
      <c r="AF1400" s="9">
        <v>33.487682081707895</v>
      </c>
      <c r="AG1400" s="9">
        <v>33.487682081707895</v>
      </c>
      <c r="AH1400" s="9">
        <v>36.427668170967245</v>
      </c>
      <c r="AI1400" s="9">
        <v>38.74455996597662</v>
      </c>
      <c r="AJ1400" s="9">
        <v>3.0428788910505911</v>
      </c>
    </row>
    <row r="1401" spans="1:36" x14ac:dyDescent="0.25">
      <c r="A1401" t="s">
        <v>5411</v>
      </c>
      <c r="B1401" t="s">
        <v>16</v>
      </c>
      <c r="C1401" t="s">
        <v>17</v>
      </c>
      <c r="D1401">
        <v>36950000</v>
      </c>
      <c r="E1401">
        <v>36952999</v>
      </c>
      <c r="F1401" t="s">
        <v>1222</v>
      </c>
      <c r="G1401" t="str">
        <f t="shared" si="42"/>
        <v>MGI II</v>
      </c>
      <c r="H1401" t="s">
        <v>851</v>
      </c>
      <c r="I1401" t="s">
        <v>20</v>
      </c>
      <c r="J1401" t="s">
        <v>64</v>
      </c>
      <c r="K1401" s="6">
        <v>0.03</v>
      </c>
      <c r="L1401" s="7">
        <f t="shared" si="43"/>
        <v>2E-3</v>
      </c>
      <c r="M1401" s="7">
        <v>3.0000000000000001E-3</v>
      </c>
      <c r="N1401">
        <v>8</v>
      </c>
      <c r="O1401" s="8">
        <v>17.822306426995311</v>
      </c>
      <c r="P1401" s="9">
        <v>17.822306426995311</v>
      </c>
      <c r="Q1401" s="9">
        <v>17.822306426995311</v>
      </c>
      <c r="R1401" s="9">
        <v>18.237663306594719</v>
      </c>
      <c r="S1401" s="9">
        <v>18.48712920931133</v>
      </c>
      <c r="T1401" s="9">
        <v>19.201553596969877</v>
      </c>
      <c r="U1401" s="9">
        <v>20.562345482855957</v>
      </c>
      <c r="V1401" s="9">
        <v>20.562345482855957</v>
      </c>
      <c r="W1401" s="9">
        <v>20.562345482855957</v>
      </c>
      <c r="X1401" s="9">
        <v>22.391977691000818</v>
      </c>
      <c r="Y1401" s="9">
        <v>22.391977691000818</v>
      </c>
      <c r="Z1401" s="9">
        <v>24.28858708803979</v>
      </c>
      <c r="AA1401" s="9">
        <v>24.28858708803979</v>
      </c>
      <c r="AB1401" s="9">
        <v>25.117335532005217</v>
      </c>
      <c r="AC1401" s="9">
        <v>25.117335532005217</v>
      </c>
      <c r="AD1401" s="9">
        <v>29.039116491286865</v>
      </c>
      <c r="AE1401" s="9">
        <v>31.219251037281825</v>
      </c>
      <c r="AF1401" s="9">
        <v>33.487682081707895</v>
      </c>
      <c r="AG1401" s="9">
        <v>33.487682081707895</v>
      </c>
      <c r="AH1401" s="9">
        <v>36.427668170967245</v>
      </c>
      <c r="AI1401" s="9">
        <v>38.74455996597662</v>
      </c>
      <c r="AJ1401" s="9">
        <v>3.0428788910505911</v>
      </c>
    </row>
    <row r="1402" spans="1:36" x14ac:dyDescent="0.25">
      <c r="A1402" t="s">
        <v>5411</v>
      </c>
      <c r="B1402" t="s">
        <v>16</v>
      </c>
      <c r="C1402" t="s">
        <v>17</v>
      </c>
      <c r="D1402">
        <v>36953000</v>
      </c>
      <c r="E1402">
        <v>36954999</v>
      </c>
      <c r="F1402" t="s">
        <v>1223</v>
      </c>
      <c r="G1402" t="str">
        <f t="shared" si="42"/>
        <v>MGI II</v>
      </c>
      <c r="H1402" t="s">
        <v>851</v>
      </c>
      <c r="I1402" t="s">
        <v>20</v>
      </c>
      <c r="J1402" t="s">
        <v>64</v>
      </c>
      <c r="K1402" s="6">
        <v>0.03</v>
      </c>
      <c r="L1402" s="7">
        <f t="shared" si="43"/>
        <v>2E-3</v>
      </c>
      <c r="M1402" s="7">
        <v>3.0000000000000001E-3</v>
      </c>
      <c r="N1402">
        <v>8</v>
      </c>
      <c r="O1402" s="8">
        <v>17.822306426995311</v>
      </c>
      <c r="P1402" s="9">
        <v>17.822306426995311</v>
      </c>
      <c r="Q1402" s="9">
        <v>17.822306426995311</v>
      </c>
      <c r="R1402" s="9">
        <v>18.237663306594719</v>
      </c>
      <c r="S1402" s="9">
        <v>18.48712920931133</v>
      </c>
      <c r="T1402" s="9">
        <v>19.201553596969877</v>
      </c>
      <c r="U1402" s="9">
        <v>20.562345482855957</v>
      </c>
      <c r="V1402" s="9">
        <v>20.562345482855957</v>
      </c>
      <c r="W1402" s="9">
        <v>20.562345482855957</v>
      </c>
      <c r="X1402" s="9">
        <v>22.391977691000818</v>
      </c>
      <c r="Y1402" s="9">
        <v>22.391977691000818</v>
      </c>
      <c r="Z1402" s="9">
        <v>24.28858708803979</v>
      </c>
      <c r="AA1402" s="9">
        <v>24.28858708803979</v>
      </c>
      <c r="AB1402" s="9">
        <v>25.117335532005217</v>
      </c>
      <c r="AC1402" s="9">
        <v>25.117335532005217</v>
      </c>
      <c r="AD1402" s="9">
        <v>29.039116491286865</v>
      </c>
      <c r="AE1402" s="9">
        <v>31.219251037281825</v>
      </c>
      <c r="AF1402" s="9">
        <v>33.487682081707895</v>
      </c>
      <c r="AG1402" s="9">
        <v>33.487682081707895</v>
      </c>
      <c r="AH1402" s="9">
        <v>36.427668170967245</v>
      </c>
      <c r="AI1402" s="9">
        <v>38.74455996597662</v>
      </c>
      <c r="AJ1402" s="9">
        <v>3.0428788910505911</v>
      </c>
    </row>
    <row r="1403" spans="1:36" x14ac:dyDescent="0.25">
      <c r="A1403" t="s">
        <v>5411</v>
      </c>
      <c r="B1403" t="s">
        <v>16</v>
      </c>
      <c r="C1403" t="s">
        <v>17</v>
      </c>
      <c r="D1403">
        <v>36955000</v>
      </c>
      <c r="E1403">
        <v>36959999</v>
      </c>
      <c r="F1403" t="s">
        <v>1224</v>
      </c>
      <c r="G1403" t="str">
        <f t="shared" si="42"/>
        <v>MGI II</v>
      </c>
      <c r="H1403" t="s">
        <v>851</v>
      </c>
      <c r="I1403" t="s">
        <v>20</v>
      </c>
      <c r="J1403" t="s">
        <v>64</v>
      </c>
      <c r="K1403" s="6">
        <v>0.03</v>
      </c>
      <c r="L1403" s="7">
        <f t="shared" si="43"/>
        <v>2E-3</v>
      </c>
      <c r="M1403" s="7">
        <v>3.0000000000000001E-3</v>
      </c>
      <c r="N1403">
        <v>8</v>
      </c>
      <c r="O1403" s="8">
        <v>17.822306426995311</v>
      </c>
      <c r="P1403" s="9">
        <v>17.822306426995311</v>
      </c>
      <c r="Q1403" s="9">
        <v>17.822306426995311</v>
      </c>
      <c r="R1403" s="9">
        <v>18.237663306594719</v>
      </c>
      <c r="S1403" s="9">
        <v>18.48712920931133</v>
      </c>
      <c r="T1403" s="9">
        <v>19.201553596969877</v>
      </c>
      <c r="U1403" s="9">
        <v>20.562345482855957</v>
      </c>
      <c r="V1403" s="9">
        <v>20.562345482855957</v>
      </c>
      <c r="W1403" s="9">
        <v>20.562345482855957</v>
      </c>
      <c r="X1403" s="9">
        <v>22.391977691000818</v>
      </c>
      <c r="Y1403" s="9">
        <v>22.391977691000818</v>
      </c>
      <c r="Z1403" s="9">
        <v>24.28858708803979</v>
      </c>
      <c r="AA1403" s="9">
        <v>24.28858708803979</v>
      </c>
      <c r="AB1403" s="9">
        <v>25.117335532005217</v>
      </c>
      <c r="AC1403" s="9">
        <v>25.117335532005217</v>
      </c>
      <c r="AD1403" s="9">
        <v>29.039116491286865</v>
      </c>
      <c r="AE1403" s="9">
        <v>31.219251037281825</v>
      </c>
      <c r="AF1403" s="9">
        <v>33.487682081707895</v>
      </c>
      <c r="AG1403" s="9">
        <v>33.487682081707895</v>
      </c>
      <c r="AH1403" s="9">
        <v>36.427668170967245</v>
      </c>
      <c r="AI1403" s="9">
        <v>38.74455996597662</v>
      </c>
      <c r="AJ1403" s="9">
        <v>3.0428788910505911</v>
      </c>
    </row>
    <row r="1404" spans="1:36" x14ac:dyDescent="0.25">
      <c r="A1404" t="s">
        <v>5411</v>
      </c>
      <c r="B1404" t="s">
        <v>16</v>
      </c>
      <c r="C1404" t="s">
        <v>17</v>
      </c>
      <c r="D1404">
        <v>36960000</v>
      </c>
      <c r="E1404">
        <v>36969999</v>
      </c>
      <c r="F1404" t="s">
        <v>1225</v>
      </c>
      <c r="G1404" t="str">
        <f t="shared" si="42"/>
        <v>MGI II</v>
      </c>
      <c r="H1404" t="s">
        <v>851</v>
      </c>
      <c r="I1404" t="s">
        <v>20</v>
      </c>
      <c r="J1404" t="s">
        <v>64</v>
      </c>
      <c r="K1404" s="6">
        <v>0.03</v>
      </c>
      <c r="L1404" s="7">
        <f t="shared" si="43"/>
        <v>2E-3</v>
      </c>
      <c r="M1404" s="7">
        <v>3.0000000000000001E-3</v>
      </c>
      <c r="N1404">
        <v>8</v>
      </c>
      <c r="O1404" s="8">
        <v>17.822306426995311</v>
      </c>
      <c r="P1404" s="9">
        <v>17.822306426995311</v>
      </c>
      <c r="Q1404" s="9">
        <v>17.822306426995311</v>
      </c>
      <c r="R1404" s="9">
        <v>18.237663306594719</v>
      </c>
      <c r="S1404" s="9">
        <v>18.48712920931133</v>
      </c>
      <c r="T1404" s="9">
        <v>19.201553596969877</v>
      </c>
      <c r="U1404" s="9">
        <v>20.562345482855957</v>
      </c>
      <c r="V1404" s="9">
        <v>20.562345482855957</v>
      </c>
      <c r="W1404" s="9">
        <v>20.562345482855957</v>
      </c>
      <c r="X1404" s="9">
        <v>22.391977691000818</v>
      </c>
      <c r="Y1404" s="9">
        <v>22.391977691000818</v>
      </c>
      <c r="Z1404" s="9">
        <v>24.28858708803979</v>
      </c>
      <c r="AA1404" s="9">
        <v>24.28858708803979</v>
      </c>
      <c r="AB1404" s="9">
        <v>25.117335532005217</v>
      </c>
      <c r="AC1404" s="9">
        <v>25.117335532005217</v>
      </c>
      <c r="AD1404" s="9">
        <v>29.039116491286865</v>
      </c>
      <c r="AE1404" s="9">
        <v>31.219251037281825</v>
      </c>
      <c r="AF1404" s="9">
        <v>33.487682081707895</v>
      </c>
      <c r="AG1404" s="9">
        <v>33.487682081707895</v>
      </c>
      <c r="AH1404" s="9">
        <v>36.427668170967245</v>
      </c>
      <c r="AI1404" s="9">
        <v>38.74455996597662</v>
      </c>
      <c r="AJ1404" s="9">
        <v>3.0428788910505911</v>
      </c>
    </row>
    <row r="1405" spans="1:36" x14ac:dyDescent="0.25">
      <c r="A1405" t="s">
        <v>5411</v>
      </c>
      <c r="B1405" t="s">
        <v>16</v>
      </c>
      <c r="C1405" t="s">
        <v>17</v>
      </c>
      <c r="D1405">
        <v>36970000</v>
      </c>
      <c r="E1405">
        <v>36971999</v>
      </c>
      <c r="F1405" t="s">
        <v>1226</v>
      </c>
      <c r="G1405" t="str">
        <f t="shared" si="42"/>
        <v>MGI II</v>
      </c>
      <c r="H1405" t="s">
        <v>851</v>
      </c>
      <c r="I1405" t="s">
        <v>20</v>
      </c>
      <c r="J1405" t="s">
        <v>64</v>
      </c>
      <c r="K1405" s="6">
        <v>0.03</v>
      </c>
      <c r="L1405" s="7">
        <f t="shared" si="43"/>
        <v>2E-3</v>
      </c>
      <c r="M1405" s="7">
        <v>3.0000000000000001E-3</v>
      </c>
      <c r="N1405">
        <v>8</v>
      </c>
      <c r="O1405" s="8">
        <v>17.822306426995311</v>
      </c>
      <c r="P1405" s="9">
        <v>17.822306426995311</v>
      </c>
      <c r="Q1405" s="9">
        <v>17.822306426995311</v>
      </c>
      <c r="R1405" s="9">
        <v>18.237663306594719</v>
      </c>
      <c r="S1405" s="9">
        <v>18.48712920931133</v>
      </c>
      <c r="T1405" s="9">
        <v>19.201553596969877</v>
      </c>
      <c r="U1405" s="9">
        <v>20.562345482855957</v>
      </c>
      <c r="V1405" s="9">
        <v>20.562345482855957</v>
      </c>
      <c r="W1405" s="9">
        <v>20.562345482855957</v>
      </c>
      <c r="X1405" s="9">
        <v>22.391977691000818</v>
      </c>
      <c r="Y1405" s="9">
        <v>22.391977691000818</v>
      </c>
      <c r="Z1405" s="9">
        <v>24.28858708803979</v>
      </c>
      <c r="AA1405" s="9">
        <v>24.28858708803979</v>
      </c>
      <c r="AB1405" s="9">
        <v>25.117335532005217</v>
      </c>
      <c r="AC1405" s="9">
        <v>25.117335532005217</v>
      </c>
      <c r="AD1405" s="9">
        <v>29.039116491286865</v>
      </c>
      <c r="AE1405" s="9">
        <v>31.219251037281825</v>
      </c>
      <c r="AF1405" s="9">
        <v>33.487682081707895</v>
      </c>
      <c r="AG1405" s="9">
        <v>33.487682081707895</v>
      </c>
      <c r="AH1405" s="9">
        <v>36.427668170967245</v>
      </c>
      <c r="AI1405" s="9">
        <v>38.74455996597662</v>
      </c>
      <c r="AJ1405" s="9">
        <v>3.0428788910505911</v>
      </c>
    </row>
    <row r="1406" spans="1:36" x14ac:dyDescent="0.25">
      <c r="A1406" t="s">
        <v>5411</v>
      </c>
      <c r="B1406" t="s">
        <v>16</v>
      </c>
      <c r="C1406" t="s">
        <v>17</v>
      </c>
      <c r="D1406">
        <v>36972000</v>
      </c>
      <c r="E1406">
        <v>36973999</v>
      </c>
      <c r="F1406" t="s">
        <v>1227</v>
      </c>
      <c r="G1406" t="str">
        <f t="shared" si="42"/>
        <v>MGI II</v>
      </c>
      <c r="H1406" t="s">
        <v>851</v>
      </c>
      <c r="I1406" t="s">
        <v>20</v>
      </c>
      <c r="J1406" t="s">
        <v>64</v>
      </c>
      <c r="K1406" s="6">
        <v>0.03</v>
      </c>
      <c r="L1406" s="7">
        <f t="shared" si="43"/>
        <v>2E-3</v>
      </c>
      <c r="M1406" s="7">
        <v>3.0000000000000001E-3</v>
      </c>
      <c r="N1406">
        <v>8</v>
      </c>
      <c r="O1406" s="8">
        <v>17.822306426995311</v>
      </c>
      <c r="P1406" s="9">
        <v>17.822306426995311</v>
      </c>
      <c r="Q1406" s="9">
        <v>17.822306426995311</v>
      </c>
      <c r="R1406" s="9">
        <v>18.237663306594719</v>
      </c>
      <c r="S1406" s="9">
        <v>18.48712920931133</v>
      </c>
      <c r="T1406" s="9">
        <v>19.201553596969877</v>
      </c>
      <c r="U1406" s="9">
        <v>20.562345482855957</v>
      </c>
      <c r="V1406" s="9">
        <v>20.562345482855957</v>
      </c>
      <c r="W1406" s="9">
        <v>20.562345482855957</v>
      </c>
      <c r="X1406" s="9">
        <v>22.391977691000818</v>
      </c>
      <c r="Y1406" s="9">
        <v>22.391977691000818</v>
      </c>
      <c r="Z1406" s="9">
        <v>24.28858708803979</v>
      </c>
      <c r="AA1406" s="9">
        <v>24.28858708803979</v>
      </c>
      <c r="AB1406" s="9">
        <v>25.117335532005217</v>
      </c>
      <c r="AC1406" s="9">
        <v>25.117335532005217</v>
      </c>
      <c r="AD1406" s="9">
        <v>29.039116491286865</v>
      </c>
      <c r="AE1406" s="9">
        <v>31.219251037281825</v>
      </c>
      <c r="AF1406" s="9">
        <v>33.487682081707895</v>
      </c>
      <c r="AG1406" s="9">
        <v>33.487682081707895</v>
      </c>
      <c r="AH1406" s="9">
        <v>36.427668170967245</v>
      </c>
      <c r="AI1406" s="9">
        <v>38.74455996597662</v>
      </c>
      <c r="AJ1406" s="9">
        <v>3.0428788910505911</v>
      </c>
    </row>
    <row r="1407" spans="1:36" x14ac:dyDescent="0.25">
      <c r="A1407" t="s">
        <v>5411</v>
      </c>
      <c r="B1407" t="s">
        <v>16</v>
      </c>
      <c r="C1407" t="s">
        <v>17</v>
      </c>
      <c r="D1407">
        <v>36974000</v>
      </c>
      <c r="E1407">
        <v>36975999</v>
      </c>
      <c r="F1407" t="s">
        <v>1228</v>
      </c>
      <c r="G1407" t="str">
        <f t="shared" si="42"/>
        <v>MGI II</v>
      </c>
      <c r="H1407" t="s">
        <v>851</v>
      </c>
      <c r="I1407" t="s">
        <v>20</v>
      </c>
      <c r="J1407" t="s">
        <v>64</v>
      </c>
      <c r="K1407" s="6">
        <v>0.03</v>
      </c>
      <c r="L1407" s="7">
        <f t="shared" si="43"/>
        <v>2E-3</v>
      </c>
      <c r="M1407" s="7">
        <v>3.0000000000000001E-3</v>
      </c>
      <c r="N1407">
        <v>8</v>
      </c>
      <c r="O1407" s="8">
        <v>17.822306426995311</v>
      </c>
      <c r="P1407" s="9">
        <v>17.822306426995311</v>
      </c>
      <c r="Q1407" s="9">
        <v>17.822306426995311</v>
      </c>
      <c r="R1407" s="9">
        <v>18.237663306594719</v>
      </c>
      <c r="S1407" s="9">
        <v>18.48712920931133</v>
      </c>
      <c r="T1407" s="9">
        <v>19.201553596969877</v>
      </c>
      <c r="U1407" s="9">
        <v>20.562345482855957</v>
      </c>
      <c r="V1407" s="9">
        <v>20.562345482855957</v>
      </c>
      <c r="W1407" s="9">
        <v>20.562345482855957</v>
      </c>
      <c r="X1407" s="9">
        <v>22.391977691000818</v>
      </c>
      <c r="Y1407" s="9">
        <v>22.391977691000818</v>
      </c>
      <c r="Z1407" s="9">
        <v>24.28858708803979</v>
      </c>
      <c r="AA1407" s="9">
        <v>24.28858708803979</v>
      </c>
      <c r="AB1407" s="9">
        <v>25.117335532005217</v>
      </c>
      <c r="AC1407" s="9">
        <v>25.117335532005217</v>
      </c>
      <c r="AD1407" s="9">
        <v>29.039116491286865</v>
      </c>
      <c r="AE1407" s="9">
        <v>31.219251037281825</v>
      </c>
      <c r="AF1407" s="9">
        <v>33.487682081707895</v>
      </c>
      <c r="AG1407" s="9">
        <v>33.487682081707895</v>
      </c>
      <c r="AH1407" s="9">
        <v>36.427668170967245</v>
      </c>
      <c r="AI1407" s="9">
        <v>38.74455996597662</v>
      </c>
      <c r="AJ1407" s="9">
        <v>3.0428788910505911</v>
      </c>
    </row>
    <row r="1408" spans="1:36" x14ac:dyDescent="0.25">
      <c r="A1408" t="s">
        <v>5411</v>
      </c>
      <c r="B1408" t="s">
        <v>16</v>
      </c>
      <c r="C1408" t="s">
        <v>17</v>
      </c>
      <c r="D1408">
        <v>36976000</v>
      </c>
      <c r="E1408">
        <v>36978999</v>
      </c>
      <c r="F1408" t="s">
        <v>1229</v>
      </c>
      <c r="G1408" t="str">
        <f t="shared" si="42"/>
        <v>MGI II</v>
      </c>
      <c r="H1408" t="s">
        <v>851</v>
      </c>
      <c r="I1408" t="s">
        <v>20</v>
      </c>
      <c r="J1408" t="s">
        <v>64</v>
      </c>
      <c r="K1408" s="6">
        <v>0.03</v>
      </c>
      <c r="L1408" s="7">
        <f t="shared" si="43"/>
        <v>2E-3</v>
      </c>
      <c r="M1408" s="7">
        <v>3.0000000000000001E-3</v>
      </c>
      <c r="N1408">
        <v>8</v>
      </c>
      <c r="O1408" s="8">
        <v>17.822306426995311</v>
      </c>
      <c r="P1408" s="9">
        <v>17.822306426995311</v>
      </c>
      <c r="Q1408" s="9">
        <v>17.822306426995311</v>
      </c>
      <c r="R1408" s="9">
        <v>18.237663306594719</v>
      </c>
      <c r="S1408" s="9">
        <v>18.48712920931133</v>
      </c>
      <c r="T1408" s="9">
        <v>19.201553596969877</v>
      </c>
      <c r="U1408" s="9">
        <v>20.562345482855957</v>
      </c>
      <c r="V1408" s="9">
        <v>20.562345482855957</v>
      </c>
      <c r="W1408" s="9">
        <v>20.562345482855957</v>
      </c>
      <c r="X1408" s="9">
        <v>22.391977691000818</v>
      </c>
      <c r="Y1408" s="9">
        <v>22.391977691000818</v>
      </c>
      <c r="Z1408" s="9">
        <v>24.28858708803979</v>
      </c>
      <c r="AA1408" s="9">
        <v>24.28858708803979</v>
      </c>
      <c r="AB1408" s="9">
        <v>25.117335532005217</v>
      </c>
      <c r="AC1408" s="9">
        <v>25.117335532005217</v>
      </c>
      <c r="AD1408" s="9">
        <v>29.039116491286865</v>
      </c>
      <c r="AE1408" s="9">
        <v>31.219251037281825</v>
      </c>
      <c r="AF1408" s="9">
        <v>33.487682081707895</v>
      </c>
      <c r="AG1408" s="9">
        <v>33.487682081707895</v>
      </c>
      <c r="AH1408" s="9">
        <v>36.427668170967245</v>
      </c>
      <c r="AI1408" s="9">
        <v>38.74455996597662</v>
      </c>
      <c r="AJ1408" s="9">
        <v>3.0428788910505911</v>
      </c>
    </row>
    <row r="1409" spans="1:36" x14ac:dyDescent="0.25">
      <c r="A1409" t="s">
        <v>5411</v>
      </c>
      <c r="B1409" t="s">
        <v>16</v>
      </c>
      <c r="C1409" t="s">
        <v>17</v>
      </c>
      <c r="D1409">
        <v>36979000</v>
      </c>
      <c r="E1409">
        <v>36979999</v>
      </c>
      <c r="F1409" t="s">
        <v>1230</v>
      </c>
      <c r="G1409" t="str">
        <f t="shared" si="42"/>
        <v>MGI II</v>
      </c>
      <c r="H1409" t="s">
        <v>851</v>
      </c>
      <c r="I1409" t="s">
        <v>20</v>
      </c>
      <c r="J1409" t="s">
        <v>64</v>
      </c>
      <c r="K1409" s="6">
        <v>0.03</v>
      </c>
      <c r="L1409" s="7">
        <f t="shared" si="43"/>
        <v>2E-3</v>
      </c>
      <c r="M1409" s="7">
        <v>3.0000000000000001E-3</v>
      </c>
      <c r="N1409">
        <v>8</v>
      </c>
      <c r="O1409" s="8">
        <v>17.822306426995311</v>
      </c>
      <c r="P1409" s="9">
        <v>17.822306426995311</v>
      </c>
      <c r="Q1409" s="9">
        <v>17.822306426995311</v>
      </c>
      <c r="R1409" s="9">
        <v>18.237663306594719</v>
      </c>
      <c r="S1409" s="9">
        <v>18.48712920931133</v>
      </c>
      <c r="T1409" s="9">
        <v>19.201553596969877</v>
      </c>
      <c r="U1409" s="9">
        <v>20.562345482855957</v>
      </c>
      <c r="V1409" s="9">
        <v>20.562345482855957</v>
      </c>
      <c r="W1409" s="9">
        <v>20.562345482855957</v>
      </c>
      <c r="X1409" s="9">
        <v>22.391977691000818</v>
      </c>
      <c r="Y1409" s="9">
        <v>22.391977691000818</v>
      </c>
      <c r="Z1409" s="9">
        <v>24.28858708803979</v>
      </c>
      <c r="AA1409" s="9">
        <v>24.28858708803979</v>
      </c>
      <c r="AB1409" s="9">
        <v>25.117335532005217</v>
      </c>
      <c r="AC1409" s="9">
        <v>25.117335532005217</v>
      </c>
      <c r="AD1409" s="9">
        <v>29.039116491286865</v>
      </c>
      <c r="AE1409" s="9">
        <v>31.219251037281825</v>
      </c>
      <c r="AF1409" s="9">
        <v>33.487682081707895</v>
      </c>
      <c r="AG1409" s="9">
        <v>33.487682081707895</v>
      </c>
      <c r="AH1409" s="9">
        <v>36.427668170967245</v>
      </c>
      <c r="AI1409" s="9">
        <v>38.74455996597662</v>
      </c>
      <c r="AJ1409" s="9">
        <v>3.0428788910505911</v>
      </c>
    </row>
    <row r="1410" spans="1:36" x14ac:dyDescent="0.25">
      <c r="A1410" t="s">
        <v>5411</v>
      </c>
      <c r="B1410" t="s">
        <v>16</v>
      </c>
      <c r="C1410" t="s">
        <v>17</v>
      </c>
      <c r="D1410">
        <v>36980000</v>
      </c>
      <c r="E1410">
        <v>36984999</v>
      </c>
      <c r="F1410" t="s">
        <v>1231</v>
      </c>
      <c r="G1410" t="str">
        <f t="shared" si="42"/>
        <v>MGI II</v>
      </c>
      <c r="H1410" t="s">
        <v>851</v>
      </c>
      <c r="I1410" t="s">
        <v>20</v>
      </c>
      <c r="J1410" t="s">
        <v>64</v>
      </c>
      <c r="K1410" s="6">
        <v>0.03</v>
      </c>
      <c r="L1410" s="7">
        <f t="shared" si="43"/>
        <v>2E-3</v>
      </c>
      <c r="M1410" s="7">
        <v>3.0000000000000001E-3</v>
      </c>
      <c r="N1410">
        <v>8</v>
      </c>
      <c r="O1410" s="8">
        <v>17.822306426995311</v>
      </c>
      <c r="P1410" s="9">
        <v>17.822306426995311</v>
      </c>
      <c r="Q1410" s="9">
        <v>17.822306426995311</v>
      </c>
      <c r="R1410" s="9">
        <v>18.237663306594719</v>
      </c>
      <c r="S1410" s="9">
        <v>18.48712920931133</v>
      </c>
      <c r="T1410" s="9">
        <v>19.201553596969877</v>
      </c>
      <c r="U1410" s="9">
        <v>20.562345482855957</v>
      </c>
      <c r="V1410" s="9">
        <v>20.562345482855957</v>
      </c>
      <c r="W1410" s="9">
        <v>20.562345482855957</v>
      </c>
      <c r="X1410" s="9">
        <v>22.391977691000818</v>
      </c>
      <c r="Y1410" s="9">
        <v>22.391977691000818</v>
      </c>
      <c r="Z1410" s="9">
        <v>24.28858708803979</v>
      </c>
      <c r="AA1410" s="9">
        <v>24.28858708803979</v>
      </c>
      <c r="AB1410" s="9">
        <v>25.117335532005217</v>
      </c>
      <c r="AC1410" s="9">
        <v>25.117335532005217</v>
      </c>
      <c r="AD1410" s="9">
        <v>29.039116491286865</v>
      </c>
      <c r="AE1410" s="9">
        <v>31.219251037281825</v>
      </c>
      <c r="AF1410" s="9">
        <v>33.487682081707895</v>
      </c>
      <c r="AG1410" s="9">
        <v>33.487682081707895</v>
      </c>
      <c r="AH1410" s="9">
        <v>36.427668170967245</v>
      </c>
      <c r="AI1410" s="9">
        <v>38.74455996597662</v>
      </c>
      <c r="AJ1410" s="9">
        <v>3.0428788910505911</v>
      </c>
    </row>
    <row r="1411" spans="1:36" x14ac:dyDescent="0.25">
      <c r="A1411" t="s">
        <v>5411</v>
      </c>
      <c r="B1411" t="s">
        <v>16</v>
      </c>
      <c r="C1411" t="s">
        <v>17</v>
      </c>
      <c r="D1411">
        <v>36985000</v>
      </c>
      <c r="E1411">
        <v>36989999</v>
      </c>
      <c r="F1411" t="s">
        <v>1232</v>
      </c>
      <c r="G1411" t="str">
        <f t="shared" si="42"/>
        <v>MGI II</v>
      </c>
      <c r="H1411" t="s">
        <v>851</v>
      </c>
      <c r="I1411" t="s">
        <v>20</v>
      </c>
      <c r="J1411" t="s">
        <v>64</v>
      </c>
      <c r="K1411" s="6">
        <v>0.03</v>
      </c>
      <c r="L1411" s="7">
        <f t="shared" si="43"/>
        <v>2E-3</v>
      </c>
      <c r="M1411" s="7">
        <v>3.0000000000000001E-3</v>
      </c>
      <c r="N1411">
        <v>8</v>
      </c>
      <c r="O1411" s="8">
        <v>17.822306426995311</v>
      </c>
      <c r="P1411" s="9">
        <v>17.822306426995311</v>
      </c>
      <c r="Q1411" s="9">
        <v>17.822306426995311</v>
      </c>
      <c r="R1411" s="9">
        <v>18.237663306594719</v>
      </c>
      <c r="S1411" s="9">
        <v>18.48712920931133</v>
      </c>
      <c r="T1411" s="9">
        <v>19.201553596969877</v>
      </c>
      <c r="U1411" s="9">
        <v>20.562345482855957</v>
      </c>
      <c r="V1411" s="9">
        <v>20.562345482855957</v>
      </c>
      <c r="W1411" s="9">
        <v>20.562345482855957</v>
      </c>
      <c r="X1411" s="9">
        <v>22.391977691000818</v>
      </c>
      <c r="Y1411" s="9">
        <v>22.391977691000818</v>
      </c>
      <c r="Z1411" s="9">
        <v>24.28858708803979</v>
      </c>
      <c r="AA1411" s="9">
        <v>24.28858708803979</v>
      </c>
      <c r="AB1411" s="9">
        <v>25.117335532005217</v>
      </c>
      <c r="AC1411" s="9">
        <v>25.117335532005217</v>
      </c>
      <c r="AD1411" s="9">
        <v>29.039116491286865</v>
      </c>
      <c r="AE1411" s="9">
        <v>31.219251037281825</v>
      </c>
      <c r="AF1411" s="9">
        <v>33.487682081707895</v>
      </c>
      <c r="AG1411" s="9">
        <v>33.487682081707895</v>
      </c>
      <c r="AH1411" s="9">
        <v>36.427668170967245</v>
      </c>
      <c r="AI1411" s="9">
        <v>38.74455996597662</v>
      </c>
      <c r="AJ1411" s="9">
        <v>3.0428788910505911</v>
      </c>
    </row>
    <row r="1412" spans="1:36" x14ac:dyDescent="0.25">
      <c r="A1412" t="s">
        <v>5411</v>
      </c>
      <c r="B1412" t="s">
        <v>16</v>
      </c>
      <c r="C1412" t="s">
        <v>17</v>
      </c>
      <c r="D1412">
        <v>36990000</v>
      </c>
      <c r="E1412">
        <v>36999999</v>
      </c>
      <c r="F1412" t="s">
        <v>1233</v>
      </c>
      <c r="G1412" t="str">
        <f t="shared" ref="G1412:G1475" si="44">H1412&amp;IF(J1412="CAPITAL","C",IF(J1412="INTERIOR","I",IF(J1412="INTERIOR II","I II","R")))</f>
        <v>MGI II</v>
      </c>
      <c r="H1412" t="s">
        <v>851</v>
      </c>
      <c r="I1412" t="s">
        <v>20</v>
      </c>
      <c r="J1412" t="s">
        <v>64</v>
      </c>
      <c r="K1412" s="6">
        <v>0.03</v>
      </c>
      <c r="L1412" s="7">
        <f t="shared" ref="L1412:L1475" si="45">IF(I1412="(0) Não",0.2%,3%)</f>
        <v>2E-3</v>
      </c>
      <c r="M1412" s="7">
        <v>3.0000000000000001E-3</v>
      </c>
      <c r="N1412">
        <v>8</v>
      </c>
      <c r="O1412" s="8">
        <v>17.822306426995311</v>
      </c>
      <c r="P1412" s="9">
        <v>17.822306426995311</v>
      </c>
      <c r="Q1412" s="9">
        <v>17.822306426995311</v>
      </c>
      <c r="R1412" s="9">
        <v>18.237663306594719</v>
      </c>
      <c r="S1412" s="9">
        <v>18.48712920931133</v>
      </c>
      <c r="T1412" s="9">
        <v>19.201553596969877</v>
      </c>
      <c r="U1412" s="9">
        <v>20.562345482855957</v>
      </c>
      <c r="V1412" s="9">
        <v>20.562345482855957</v>
      </c>
      <c r="W1412" s="9">
        <v>20.562345482855957</v>
      </c>
      <c r="X1412" s="9">
        <v>22.391977691000818</v>
      </c>
      <c r="Y1412" s="9">
        <v>22.391977691000818</v>
      </c>
      <c r="Z1412" s="9">
        <v>24.28858708803979</v>
      </c>
      <c r="AA1412" s="9">
        <v>24.28858708803979</v>
      </c>
      <c r="AB1412" s="9">
        <v>25.117335532005217</v>
      </c>
      <c r="AC1412" s="9">
        <v>25.117335532005217</v>
      </c>
      <c r="AD1412" s="9">
        <v>29.039116491286865</v>
      </c>
      <c r="AE1412" s="9">
        <v>31.219251037281825</v>
      </c>
      <c r="AF1412" s="9">
        <v>33.487682081707895</v>
      </c>
      <c r="AG1412" s="9">
        <v>33.487682081707895</v>
      </c>
      <c r="AH1412" s="9">
        <v>36.427668170967245</v>
      </c>
      <c r="AI1412" s="9">
        <v>38.74455996597662</v>
      </c>
      <c r="AJ1412" s="9">
        <v>3.0428788910505911</v>
      </c>
    </row>
    <row r="1413" spans="1:36" x14ac:dyDescent="0.25">
      <c r="A1413" t="s">
        <v>5411</v>
      </c>
      <c r="B1413" t="s">
        <v>16</v>
      </c>
      <c r="C1413" t="s">
        <v>17</v>
      </c>
      <c r="D1413">
        <v>37000000</v>
      </c>
      <c r="E1413">
        <v>37099999</v>
      </c>
      <c r="F1413" t="s">
        <v>1234</v>
      </c>
      <c r="G1413" t="str">
        <f t="shared" si="44"/>
        <v>MGI</v>
      </c>
      <c r="H1413" t="s">
        <v>851</v>
      </c>
      <c r="I1413" t="s">
        <v>20</v>
      </c>
      <c r="J1413" t="s">
        <v>62</v>
      </c>
      <c r="K1413" s="6">
        <v>0.03</v>
      </c>
      <c r="L1413" s="7">
        <f t="shared" si="45"/>
        <v>2E-3</v>
      </c>
      <c r="M1413" s="7">
        <v>3.0000000000000001E-3</v>
      </c>
      <c r="N1413">
        <v>6</v>
      </c>
      <c r="O1413" s="8">
        <v>13.880385281502075</v>
      </c>
      <c r="P1413" s="9">
        <v>13.880385281502075</v>
      </c>
      <c r="Q1413" s="9">
        <v>13.880385281502075</v>
      </c>
      <c r="R1413" s="9">
        <v>14.045989937445718</v>
      </c>
      <c r="S1413" s="9">
        <v>14.060876315369912</v>
      </c>
      <c r="T1413" s="9">
        <v>15.090338571208333</v>
      </c>
      <c r="U1413" s="9">
        <v>16.025407313902726</v>
      </c>
      <c r="V1413" s="9">
        <v>16.025407313902726</v>
      </c>
      <c r="W1413" s="9">
        <v>16.025407313902726</v>
      </c>
      <c r="X1413" s="9">
        <v>18.013895748167766</v>
      </c>
      <c r="Y1413" s="9">
        <v>18.013895748167766</v>
      </c>
      <c r="Z1413" s="9">
        <v>20.142868501532355</v>
      </c>
      <c r="AA1413" s="9">
        <v>20.142868501532355</v>
      </c>
      <c r="AB1413" s="9">
        <v>22.456349831314476</v>
      </c>
      <c r="AC1413" s="9">
        <v>22.456349831314476</v>
      </c>
      <c r="AD1413" s="9">
        <v>24.87984091164185</v>
      </c>
      <c r="AE1413" s="9">
        <v>27.427492221952345</v>
      </c>
      <c r="AF1413" s="9">
        <v>33.194804868730657</v>
      </c>
      <c r="AG1413" s="9">
        <v>33.194804868730657</v>
      </c>
      <c r="AH1413" s="9">
        <v>35.957808835828068</v>
      </c>
      <c r="AI1413" s="9">
        <v>38.646304092692077</v>
      </c>
      <c r="AJ1413" s="9">
        <v>3.0428788910505911</v>
      </c>
    </row>
    <row r="1414" spans="1:36" x14ac:dyDescent="0.25">
      <c r="A1414" t="s">
        <v>5411</v>
      </c>
      <c r="B1414" t="s">
        <v>16</v>
      </c>
      <c r="C1414" t="s">
        <v>17</v>
      </c>
      <c r="D1414">
        <v>37100000</v>
      </c>
      <c r="E1414">
        <v>37109999</v>
      </c>
      <c r="F1414" t="s">
        <v>1234</v>
      </c>
      <c r="G1414" t="str">
        <f t="shared" si="44"/>
        <v>MGI</v>
      </c>
      <c r="H1414" t="s">
        <v>851</v>
      </c>
      <c r="I1414" t="s">
        <v>20</v>
      </c>
      <c r="J1414" t="s">
        <v>62</v>
      </c>
      <c r="K1414" s="6">
        <v>0.03</v>
      </c>
      <c r="L1414" s="7">
        <f t="shared" si="45"/>
        <v>2E-3</v>
      </c>
      <c r="M1414" s="7">
        <v>3.0000000000000001E-3</v>
      </c>
      <c r="N1414">
        <v>6</v>
      </c>
      <c r="O1414" s="8">
        <v>13.880385281502075</v>
      </c>
      <c r="P1414" s="9">
        <v>13.880385281502075</v>
      </c>
      <c r="Q1414" s="9">
        <v>13.880385281502075</v>
      </c>
      <c r="R1414" s="9">
        <v>14.045989937445718</v>
      </c>
      <c r="S1414" s="9">
        <v>14.060876315369912</v>
      </c>
      <c r="T1414" s="9">
        <v>15.090338571208333</v>
      </c>
      <c r="U1414" s="9">
        <v>16.025407313902726</v>
      </c>
      <c r="V1414" s="9">
        <v>16.025407313902726</v>
      </c>
      <c r="W1414" s="9">
        <v>16.025407313902726</v>
      </c>
      <c r="X1414" s="9">
        <v>18.013895748167766</v>
      </c>
      <c r="Y1414" s="9">
        <v>18.013895748167766</v>
      </c>
      <c r="Z1414" s="9">
        <v>20.142868501532355</v>
      </c>
      <c r="AA1414" s="9">
        <v>20.142868501532355</v>
      </c>
      <c r="AB1414" s="9">
        <v>22.456349831314476</v>
      </c>
      <c r="AC1414" s="9">
        <v>22.456349831314476</v>
      </c>
      <c r="AD1414" s="9">
        <v>24.87984091164185</v>
      </c>
      <c r="AE1414" s="9">
        <v>27.427492221952345</v>
      </c>
      <c r="AF1414" s="9">
        <v>33.194804868730657</v>
      </c>
      <c r="AG1414" s="9">
        <v>33.194804868730657</v>
      </c>
      <c r="AH1414" s="9">
        <v>35.957808835828068</v>
      </c>
      <c r="AI1414" s="9">
        <v>38.646304092692077</v>
      </c>
      <c r="AJ1414" s="9">
        <v>3.0428788910505911</v>
      </c>
    </row>
    <row r="1415" spans="1:36" x14ac:dyDescent="0.25">
      <c r="A1415" t="s">
        <v>5411</v>
      </c>
      <c r="B1415" t="s">
        <v>16</v>
      </c>
      <c r="C1415" t="s">
        <v>17</v>
      </c>
      <c r="D1415">
        <v>37110000</v>
      </c>
      <c r="E1415">
        <v>37114999</v>
      </c>
      <c r="F1415" t="s">
        <v>1235</v>
      </c>
      <c r="G1415" t="str">
        <f t="shared" si="44"/>
        <v>MGI</v>
      </c>
      <c r="H1415" t="s">
        <v>851</v>
      </c>
      <c r="I1415" t="s">
        <v>20</v>
      </c>
      <c r="J1415" t="s">
        <v>62</v>
      </c>
      <c r="K1415" s="6">
        <v>0.03</v>
      </c>
      <c r="L1415" s="7">
        <f t="shared" si="45"/>
        <v>2E-3</v>
      </c>
      <c r="M1415" s="7">
        <v>3.0000000000000001E-3</v>
      </c>
      <c r="N1415">
        <v>7</v>
      </c>
      <c r="O1415" s="8">
        <v>13.880385281502075</v>
      </c>
      <c r="P1415" s="9">
        <v>13.880385281502075</v>
      </c>
      <c r="Q1415" s="9">
        <v>13.880385281502075</v>
      </c>
      <c r="R1415" s="9">
        <v>14.045989937445718</v>
      </c>
      <c r="S1415" s="9">
        <v>14.060876315369912</v>
      </c>
      <c r="T1415" s="9">
        <v>15.090338571208333</v>
      </c>
      <c r="U1415" s="9">
        <v>16.025407313902726</v>
      </c>
      <c r="V1415" s="9">
        <v>16.025407313902726</v>
      </c>
      <c r="W1415" s="9">
        <v>16.025407313902726</v>
      </c>
      <c r="X1415" s="9">
        <v>18.013895748167766</v>
      </c>
      <c r="Y1415" s="9">
        <v>18.013895748167766</v>
      </c>
      <c r="Z1415" s="9">
        <v>20.142868501532355</v>
      </c>
      <c r="AA1415" s="9">
        <v>20.142868501532355</v>
      </c>
      <c r="AB1415" s="9">
        <v>22.456349831314476</v>
      </c>
      <c r="AC1415" s="9">
        <v>22.456349831314476</v>
      </c>
      <c r="AD1415" s="9">
        <v>24.87984091164185</v>
      </c>
      <c r="AE1415" s="9">
        <v>27.427492221952345</v>
      </c>
      <c r="AF1415" s="9">
        <v>33.194804868730657</v>
      </c>
      <c r="AG1415" s="9">
        <v>33.194804868730657</v>
      </c>
      <c r="AH1415" s="9">
        <v>35.957808835828068</v>
      </c>
      <c r="AI1415" s="9">
        <v>38.646304092692077</v>
      </c>
      <c r="AJ1415" s="9">
        <v>3.0428788910505911</v>
      </c>
    </row>
    <row r="1416" spans="1:36" x14ac:dyDescent="0.25">
      <c r="A1416" t="s">
        <v>5411</v>
      </c>
      <c r="B1416" t="s">
        <v>16</v>
      </c>
      <c r="C1416" t="s">
        <v>17</v>
      </c>
      <c r="D1416">
        <v>37115000</v>
      </c>
      <c r="E1416">
        <v>37119999</v>
      </c>
      <c r="F1416" t="s">
        <v>1236</v>
      </c>
      <c r="G1416" t="str">
        <f t="shared" si="44"/>
        <v>MGI</v>
      </c>
      <c r="H1416" t="s">
        <v>851</v>
      </c>
      <c r="I1416" t="s">
        <v>20</v>
      </c>
      <c r="J1416" t="s">
        <v>62</v>
      </c>
      <c r="K1416" s="6">
        <v>0.03</v>
      </c>
      <c r="L1416" s="7">
        <f t="shared" si="45"/>
        <v>2E-3</v>
      </c>
      <c r="M1416" s="7">
        <v>3.0000000000000001E-3</v>
      </c>
      <c r="N1416">
        <v>7</v>
      </c>
      <c r="O1416" s="8">
        <v>13.880385281502075</v>
      </c>
      <c r="P1416" s="9">
        <v>13.880385281502075</v>
      </c>
      <c r="Q1416" s="9">
        <v>13.880385281502075</v>
      </c>
      <c r="R1416" s="9">
        <v>14.045989937445718</v>
      </c>
      <c r="S1416" s="9">
        <v>14.060876315369912</v>
      </c>
      <c r="T1416" s="9">
        <v>15.090338571208333</v>
      </c>
      <c r="U1416" s="9">
        <v>16.025407313902726</v>
      </c>
      <c r="V1416" s="9">
        <v>16.025407313902726</v>
      </c>
      <c r="W1416" s="9">
        <v>16.025407313902726</v>
      </c>
      <c r="X1416" s="9">
        <v>18.013895748167766</v>
      </c>
      <c r="Y1416" s="9">
        <v>18.013895748167766</v>
      </c>
      <c r="Z1416" s="9">
        <v>20.142868501532355</v>
      </c>
      <c r="AA1416" s="9">
        <v>20.142868501532355</v>
      </c>
      <c r="AB1416" s="9">
        <v>22.456349831314476</v>
      </c>
      <c r="AC1416" s="9">
        <v>22.456349831314476</v>
      </c>
      <c r="AD1416" s="9">
        <v>24.87984091164185</v>
      </c>
      <c r="AE1416" s="9">
        <v>27.427492221952345</v>
      </c>
      <c r="AF1416" s="9">
        <v>33.194804868730657</v>
      </c>
      <c r="AG1416" s="9">
        <v>33.194804868730657</v>
      </c>
      <c r="AH1416" s="9">
        <v>35.957808835828068</v>
      </c>
      <c r="AI1416" s="9">
        <v>38.646304092692077</v>
      </c>
      <c r="AJ1416" s="9">
        <v>3.0428788910505911</v>
      </c>
    </row>
    <row r="1417" spans="1:36" x14ac:dyDescent="0.25">
      <c r="A1417" t="s">
        <v>5411</v>
      </c>
      <c r="B1417" t="s">
        <v>16</v>
      </c>
      <c r="C1417" t="s">
        <v>17</v>
      </c>
      <c r="D1417">
        <v>37120000</v>
      </c>
      <c r="E1417">
        <v>37129999</v>
      </c>
      <c r="F1417" t="s">
        <v>1237</v>
      </c>
      <c r="G1417" t="str">
        <f t="shared" si="44"/>
        <v>MGI</v>
      </c>
      <c r="H1417" t="s">
        <v>851</v>
      </c>
      <c r="I1417" t="s">
        <v>20</v>
      </c>
      <c r="J1417" t="s">
        <v>62</v>
      </c>
      <c r="K1417" s="6">
        <v>0.03</v>
      </c>
      <c r="L1417" s="7">
        <f t="shared" si="45"/>
        <v>2E-3</v>
      </c>
      <c r="M1417" s="7">
        <v>3.0000000000000001E-3</v>
      </c>
      <c r="N1417">
        <v>7</v>
      </c>
      <c r="O1417" s="8">
        <v>13.880385281502075</v>
      </c>
      <c r="P1417" s="9">
        <v>13.880385281502075</v>
      </c>
      <c r="Q1417" s="9">
        <v>13.880385281502075</v>
      </c>
      <c r="R1417" s="9">
        <v>14.045989937445718</v>
      </c>
      <c r="S1417" s="9">
        <v>14.060876315369912</v>
      </c>
      <c r="T1417" s="9">
        <v>15.090338571208333</v>
      </c>
      <c r="U1417" s="9">
        <v>16.025407313902726</v>
      </c>
      <c r="V1417" s="9">
        <v>16.025407313902726</v>
      </c>
      <c r="W1417" s="9">
        <v>16.025407313902726</v>
      </c>
      <c r="X1417" s="9">
        <v>18.013895748167766</v>
      </c>
      <c r="Y1417" s="9">
        <v>18.013895748167766</v>
      </c>
      <c r="Z1417" s="9">
        <v>20.142868501532355</v>
      </c>
      <c r="AA1417" s="9">
        <v>20.142868501532355</v>
      </c>
      <c r="AB1417" s="9">
        <v>22.456349831314476</v>
      </c>
      <c r="AC1417" s="9">
        <v>22.456349831314476</v>
      </c>
      <c r="AD1417" s="9">
        <v>24.87984091164185</v>
      </c>
      <c r="AE1417" s="9">
        <v>27.427492221952345</v>
      </c>
      <c r="AF1417" s="9">
        <v>33.194804868730657</v>
      </c>
      <c r="AG1417" s="9">
        <v>33.194804868730657</v>
      </c>
      <c r="AH1417" s="9">
        <v>35.957808835828068</v>
      </c>
      <c r="AI1417" s="9">
        <v>38.646304092692077</v>
      </c>
      <c r="AJ1417" s="9">
        <v>3.0428788910505911</v>
      </c>
    </row>
    <row r="1418" spans="1:36" x14ac:dyDescent="0.25">
      <c r="A1418" t="s">
        <v>5411</v>
      </c>
      <c r="B1418" t="s">
        <v>16</v>
      </c>
      <c r="C1418" t="s">
        <v>17</v>
      </c>
      <c r="D1418">
        <v>37130000</v>
      </c>
      <c r="E1418">
        <v>37139999</v>
      </c>
      <c r="F1418" t="s">
        <v>1238</v>
      </c>
      <c r="G1418" t="str">
        <f t="shared" si="44"/>
        <v>MGI</v>
      </c>
      <c r="H1418" t="s">
        <v>851</v>
      </c>
      <c r="I1418" t="s">
        <v>20</v>
      </c>
      <c r="J1418" t="s">
        <v>62</v>
      </c>
      <c r="K1418" s="6">
        <v>0.03</v>
      </c>
      <c r="L1418" s="7">
        <f t="shared" si="45"/>
        <v>2E-3</v>
      </c>
      <c r="M1418" s="7">
        <v>3.0000000000000001E-3</v>
      </c>
      <c r="N1418">
        <v>7</v>
      </c>
      <c r="O1418" s="8">
        <v>13.880385281502075</v>
      </c>
      <c r="P1418" s="9">
        <v>13.880385281502075</v>
      </c>
      <c r="Q1418" s="9">
        <v>13.880385281502075</v>
      </c>
      <c r="R1418" s="9">
        <v>14.045989937445718</v>
      </c>
      <c r="S1418" s="9">
        <v>14.060876315369912</v>
      </c>
      <c r="T1418" s="9">
        <v>15.090338571208333</v>
      </c>
      <c r="U1418" s="9">
        <v>16.025407313902726</v>
      </c>
      <c r="V1418" s="9">
        <v>16.025407313902726</v>
      </c>
      <c r="W1418" s="9">
        <v>16.025407313902726</v>
      </c>
      <c r="X1418" s="9">
        <v>18.013895748167766</v>
      </c>
      <c r="Y1418" s="9">
        <v>18.013895748167766</v>
      </c>
      <c r="Z1418" s="9">
        <v>20.142868501532355</v>
      </c>
      <c r="AA1418" s="9">
        <v>20.142868501532355</v>
      </c>
      <c r="AB1418" s="9">
        <v>22.456349831314476</v>
      </c>
      <c r="AC1418" s="9">
        <v>22.456349831314476</v>
      </c>
      <c r="AD1418" s="9">
        <v>24.87984091164185</v>
      </c>
      <c r="AE1418" s="9">
        <v>27.427492221952345</v>
      </c>
      <c r="AF1418" s="9">
        <v>33.194804868730657</v>
      </c>
      <c r="AG1418" s="9">
        <v>33.194804868730657</v>
      </c>
      <c r="AH1418" s="9">
        <v>35.957808835828068</v>
      </c>
      <c r="AI1418" s="9">
        <v>38.646304092692077</v>
      </c>
      <c r="AJ1418" s="9">
        <v>3.0428788910505911</v>
      </c>
    </row>
    <row r="1419" spans="1:36" x14ac:dyDescent="0.25">
      <c r="A1419" t="s">
        <v>5411</v>
      </c>
      <c r="B1419" t="s">
        <v>16</v>
      </c>
      <c r="C1419" t="s">
        <v>17</v>
      </c>
      <c r="D1419">
        <v>37140000</v>
      </c>
      <c r="E1419">
        <v>37141999</v>
      </c>
      <c r="F1419" t="s">
        <v>1239</v>
      </c>
      <c r="G1419" t="str">
        <f t="shared" si="44"/>
        <v>MGI</v>
      </c>
      <c r="H1419" t="s">
        <v>851</v>
      </c>
      <c r="I1419" t="s">
        <v>20</v>
      </c>
      <c r="J1419" t="s">
        <v>62</v>
      </c>
      <c r="K1419" s="6">
        <v>0.03</v>
      </c>
      <c r="L1419" s="7">
        <f t="shared" si="45"/>
        <v>2E-3</v>
      </c>
      <c r="M1419" s="7">
        <v>3.0000000000000001E-3</v>
      </c>
      <c r="N1419">
        <v>8</v>
      </c>
      <c r="O1419" s="8">
        <v>13.880385281502075</v>
      </c>
      <c r="P1419" s="9">
        <v>13.880385281502075</v>
      </c>
      <c r="Q1419" s="9">
        <v>13.880385281502075</v>
      </c>
      <c r="R1419" s="9">
        <v>14.045989937445718</v>
      </c>
      <c r="S1419" s="9">
        <v>14.060876315369912</v>
      </c>
      <c r="T1419" s="9">
        <v>15.090338571208333</v>
      </c>
      <c r="U1419" s="9">
        <v>16.025407313902726</v>
      </c>
      <c r="V1419" s="9">
        <v>16.025407313902726</v>
      </c>
      <c r="W1419" s="9">
        <v>16.025407313902726</v>
      </c>
      <c r="X1419" s="9">
        <v>18.013895748167766</v>
      </c>
      <c r="Y1419" s="9">
        <v>18.013895748167766</v>
      </c>
      <c r="Z1419" s="9">
        <v>20.142868501532355</v>
      </c>
      <c r="AA1419" s="9">
        <v>20.142868501532355</v>
      </c>
      <c r="AB1419" s="9">
        <v>22.456349831314476</v>
      </c>
      <c r="AC1419" s="9">
        <v>22.456349831314476</v>
      </c>
      <c r="AD1419" s="9">
        <v>24.87984091164185</v>
      </c>
      <c r="AE1419" s="9">
        <v>27.427492221952345</v>
      </c>
      <c r="AF1419" s="9">
        <v>33.194804868730657</v>
      </c>
      <c r="AG1419" s="9">
        <v>33.194804868730657</v>
      </c>
      <c r="AH1419" s="9">
        <v>35.957808835828068</v>
      </c>
      <c r="AI1419" s="9">
        <v>38.646304092692077</v>
      </c>
      <c r="AJ1419" s="9">
        <v>3.0428788910505911</v>
      </c>
    </row>
    <row r="1420" spans="1:36" x14ac:dyDescent="0.25">
      <c r="A1420" t="s">
        <v>5411</v>
      </c>
      <c r="B1420" t="s">
        <v>16</v>
      </c>
      <c r="C1420" t="s">
        <v>17</v>
      </c>
      <c r="D1420">
        <v>37142000</v>
      </c>
      <c r="E1420">
        <v>37142999</v>
      </c>
      <c r="F1420" t="s">
        <v>1240</v>
      </c>
      <c r="G1420" t="str">
        <f t="shared" si="44"/>
        <v>MGI II</v>
      </c>
      <c r="H1420" t="s">
        <v>851</v>
      </c>
      <c r="I1420" t="s">
        <v>20</v>
      </c>
      <c r="J1420" t="s">
        <v>64</v>
      </c>
      <c r="K1420" s="6">
        <v>0.03</v>
      </c>
      <c r="L1420" s="7">
        <f t="shared" si="45"/>
        <v>2E-3</v>
      </c>
      <c r="M1420" s="7">
        <v>3.0000000000000001E-3</v>
      </c>
      <c r="N1420">
        <v>7</v>
      </c>
      <c r="O1420" s="8">
        <v>17.822306426995311</v>
      </c>
      <c r="P1420" s="9">
        <v>17.822306426995311</v>
      </c>
      <c r="Q1420" s="9">
        <v>17.822306426995311</v>
      </c>
      <c r="R1420" s="9">
        <v>18.237663306594719</v>
      </c>
      <c r="S1420" s="9">
        <v>18.48712920931133</v>
      </c>
      <c r="T1420" s="9">
        <v>19.201553596969877</v>
      </c>
      <c r="U1420" s="9">
        <v>20.562345482855957</v>
      </c>
      <c r="V1420" s="9">
        <v>20.562345482855957</v>
      </c>
      <c r="W1420" s="9">
        <v>20.562345482855957</v>
      </c>
      <c r="X1420" s="9">
        <v>22.391977691000818</v>
      </c>
      <c r="Y1420" s="9">
        <v>22.391977691000818</v>
      </c>
      <c r="Z1420" s="9">
        <v>24.28858708803979</v>
      </c>
      <c r="AA1420" s="9">
        <v>24.28858708803979</v>
      </c>
      <c r="AB1420" s="9">
        <v>25.117335532005217</v>
      </c>
      <c r="AC1420" s="9">
        <v>25.117335532005217</v>
      </c>
      <c r="AD1420" s="9">
        <v>29.039116491286865</v>
      </c>
      <c r="AE1420" s="9">
        <v>31.219251037281825</v>
      </c>
      <c r="AF1420" s="9">
        <v>33.487682081707895</v>
      </c>
      <c r="AG1420" s="9">
        <v>33.487682081707895</v>
      </c>
      <c r="AH1420" s="9">
        <v>36.427668170967245</v>
      </c>
      <c r="AI1420" s="9">
        <v>38.74455996597662</v>
      </c>
      <c r="AJ1420" s="9">
        <v>3.0428788910505911</v>
      </c>
    </row>
    <row r="1421" spans="1:36" x14ac:dyDescent="0.25">
      <c r="A1421" t="s">
        <v>5411</v>
      </c>
      <c r="B1421" t="s">
        <v>16</v>
      </c>
      <c r="C1421" t="s">
        <v>17</v>
      </c>
      <c r="D1421">
        <v>37143000</v>
      </c>
      <c r="E1421">
        <v>37143999</v>
      </c>
      <c r="F1421" t="s">
        <v>1241</v>
      </c>
      <c r="G1421" t="str">
        <f t="shared" si="44"/>
        <v>MGI II</v>
      </c>
      <c r="H1421" t="s">
        <v>851</v>
      </c>
      <c r="I1421" t="s">
        <v>20</v>
      </c>
      <c r="J1421" t="s">
        <v>64</v>
      </c>
      <c r="K1421" s="6">
        <v>0.03</v>
      </c>
      <c r="L1421" s="7">
        <f t="shared" si="45"/>
        <v>2E-3</v>
      </c>
      <c r="M1421" s="7">
        <v>3.0000000000000001E-3</v>
      </c>
      <c r="N1421">
        <v>7</v>
      </c>
      <c r="O1421" s="8">
        <v>17.822306426995311</v>
      </c>
      <c r="P1421" s="9">
        <v>17.822306426995311</v>
      </c>
      <c r="Q1421" s="9">
        <v>17.822306426995311</v>
      </c>
      <c r="R1421" s="9">
        <v>18.237663306594719</v>
      </c>
      <c r="S1421" s="9">
        <v>18.48712920931133</v>
      </c>
      <c r="T1421" s="9">
        <v>19.201553596969877</v>
      </c>
      <c r="U1421" s="9">
        <v>20.562345482855957</v>
      </c>
      <c r="V1421" s="9">
        <v>20.562345482855957</v>
      </c>
      <c r="W1421" s="9">
        <v>20.562345482855957</v>
      </c>
      <c r="X1421" s="9">
        <v>22.391977691000818</v>
      </c>
      <c r="Y1421" s="9">
        <v>22.391977691000818</v>
      </c>
      <c r="Z1421" s="9">
        <v>24.28858708803979</v>
      </c>
      <c r="AA1421" s="9">
        <v>24.28858708803979</v>
      </c>
      <c r="AB1421" s="9">
        <v>25.117335532005217</v>
      </c>
      <c r="AC1421" s="9">
        <v>25.117335532005217</v>
      </c>
      <c r="AD1421" s="9">
        <v>29.039116491286865</v>
      </c>
      <c r="AE1421" s="9">
        <v>31.219251037281825</v>
      </c>
      <c r="AF1421" s="9">
        <v>33.487682081707895</v>
      </c>
      <c r="AG1421" s="9">
        <v>33.487682081707895</v>
      </c>
      <c r="AH1421" s="9">
        <v>36.427668170967245</v>
      </c>
      <c r="AI1421" s="9">
        <v>38.74455996597662</v>
      </c>
      <c r="AJ1421" s="9">
        <v>3.0428788910505911</v>
      </c>
    </row>
    <row r="1422" spans="1:36" x14ac:dyDescent="0.25">
      <c r="A1422" t="s">
        <v>5411</v>
      </c>
      <c r="B1422" t="s">
        <v>16</v>
      </c>
      <c r="C1422" t="s">
        <v>17</v>
      </c>
      <c r="D1422">
        <v>37144000</v>
      </c>
      <c r="E1422">
        <v>37144999</v>
      </c>
      <c r="F1422" t="s">
        <v>1242</v>
      </c>
      <c r="G1422" t="str">
        <f t="shared" si="44"/>
        <v>MGI II</v>
      </c>
      <c r="H1422" t="s">
        <v>851</v>
      </c>
      <c r="I1422" t="s">
        <v>20</v>
      </c>
      <c r="J1422" t="s">
        <v>64</v>
      </c>
      <c r="K1422" s="6">
        <v>0.03</v>
      </c>
      <c r="L1422" s="7">
        <f t="shared" si="45"/>
        <v>2E-3</v>
      </c>
      <c r="M1422" s="7">
        <v>3.0000000000000001E-3</v>
      </c>
      <c r="N1422">
        <v>8</v>
      </c>
      <c r="O1422" s="8">
        <v>17.822306426995311</v>
      </c>
      <c r="P1422" s="9">
        <v>17.822306426995311</v>
      </c>
      <c r="Q1422" s="9">
        <v>17.822306426995311</v>
      </c>
      <c r="R1422" s="9">
        <v>18.237663306594719</v>
      </c>
      <c r="S1422" s="9">
        <v>18.48712920931133</v>
      </c>
      <c r="T1422" s="9">
        <v>19.201553596969877</v>
      </c>
      <c r="U1422" s="9">
        <v>20.562345482855957</v>
      </c>
      <c r="V1422" s="9">
        <v>20.562345482855957</v>
      </c>
      <c r="W1422" s="9">
        <v>20.562345482855957</v>
      </c>
      <c r="X1422" s="9">
        <v>22.391977691000818</v>
      </c>
      <c r="Y1422" s="9">
        <v>22.391977691000818</v>
      </c>
      <c r="Z1422" s="9">
        <v>24.28858708803979</v>
      </c>
      <c r="AA1422" s="9">
        <v>24.28858708803979</v>
      </c>
      <c r="AB1422" s="9">
        <v>25.117335532005217</v>
      </c>
      <c r="AC1422" s="9">
        <v>25.117335532005217</v>
      </c>
      <c r="AD1422" s="9">
        <v>29.039116491286865</v>
      </c>
      <c r="AE1422" s="9">
        <v>31.219251037281825</v>
      </c>
      <c r="AF1422" s="9">
        <v>33.487682081707895</v>
      </c>
      <c r="AG1422" s="9">
        <v>33.487682081707895</v>
      </c>
      <c r="AH1422" s="9">
        <v>36.427668170967245</v>
      </c>
      <c r="AI1422" s="9">
        <v>38.74455996597662</v>
      </c>
      <c r="AJ1422" s="9">
        <v>3.0428788910505911</v>
      </c>
    </row>
    <row r="1423" spans="1:36" x14ac:dyDescent="0.25">
      <c r="A1423" t="s">
        <v>5411</v>
      </c>
      <c r="B1423" t="s">
        <v>16</v>
      </c>
      <c r="C1423" t="s">
        <v>17</v>
      </c>
      <c r="D1423">
        <v>37145000</v>
      </c>
      <c r="E1423">
        <v>37147999</v>
      </c>
      <c r="F1423" t="s">
        <v>1243</v>
      </c>
      <c r="G1423" t="str">
        <f t="shared" si="44"/>
        <v>MGI</v>
      </c>
      <c r="H1423" t="s">
        <v>851</v>
      </c>
      <c r="I1423" t="s">
        <v>20</v>
      </c>
      <c r="J1423" t="s">
        <v>62</v>
      </c>
      <c r="K1423" s="6">
        <v>0.03</v>
      </c>
      <c r="L1423" s="7">
        <f t="shared" si="45"/>
        <v>2E-3</v>
      </c>
      <c r="M1423" s="7">
        <v>3.0000000000000001E-3</v>
      </c>
      <c r="N1423">
        <v>8</v>
      </c>
      <c r="O1423" s="8">
        <v>13.880385281502075</v>
      </c>
      <c r="P1423" s="9">
        <v>13.880385281502075</v>
      </c>
      <c r="Q1423" s="9">
        <v>13.880385281502075</v>
      </c>
      <c r="R1423" s="9">
        <v>14.045989937445718</v>
      </c>
      <c r="S1423" s="9">
        <v>14.060876315369912</v>
      </c>
      <c r="T1423" s="9">
        <v>15.090338571208333</v>
      </c>
      <c r="U1423" s="9">
        <v>16.025407313902726</v>
      </c>
      <c r="V1423" s="9">
        <v>16.025407313902726</v>
      </c>
      <c r="W1423" s="9">
        <v>16.025407313902726</v>
      </c>
      <c r="X1423" s="9">
        <v>18.013895748167766</v>
      </c>
      <c r="Y1423" s="9">
        <v>18.013895748167766</v>
      </c>
      <c r="Z1423" s="9">
        <v>20.142868501532355</v>
      </c>
      <c r="AA1423" s="9">
        <v>20.142868501532355</v>
      </c>
      <c r="AB1423" s="9">
        <v>22.456349831314476</v>
      </c>
      <c r="AC1423" s="9">
        <v>22.456349831314476</v>
      </c>
      <c r="AD1423" s="9">
        <v>24.87984091164185</v>
      </c>
      <c r="AE1423" s="9">
        <v>27.427492221952345</v>
      </c>
      <c r="AF1423" s="9">
        <v>33.194804868730657</v>
      </c>
      <c r="AG1423" s="9">
        <v>33.194804868730657</v>
      </c>
      <c r="AH1423" s="9">
        <v>35.957808835828068</v>
      </c>
      <c r="AI1423" s="9">
        <v>38.646304092692077</v>
      </c>
      <c r="AJ1423" s="9">
        <v>3.0428788910505911</v>
      </c>
    </row>
    <row r="1424" spans="1:36" x14ac:dyDescent="0.25">
      <c r="A1424" t="s">
        <v>5411</v>
      </c>
      <c r="B1424" t="s">
        <v>16</v>
      </c>
      <c r="C1424" t="s">
        <v>17</v>
      </c>
      <c r="D1424">
        <v>37148000</v>
      </c>
      <c r="E1424">
        <v>37149999</v>
      </c>
      <c r="F1424" t="s">
        <v>1244</v>
      </c>
      <c r="G1424" t="str">
        <f t="shared" si="44"/>
        <v>MGI</v>
      </c>
      <c r="H1424" t="s">
        <v>851</v>
      </c>
      <c r="I1424" t="s">
        <v>20</v>
      </c>
      <c r="J1424" t="s">
        <v>62</v>
      </c>
      <c r="K1424" s="6">
        <v>0.03</v>
      </c>
      <c r="L1424" s="7">
        <f t="shared" si="45"/>
        <v>2E-3</v>
      </c>
      <c r="M1424" s="7">
        <v>3.0000000000000001E-3</v>
      </c>
      <c r="N1424">
        <v>8</v>
      </c>
      <c r="O1424" s="8">
        <v>13.880385281502075</v>
      </c>
      <c r="P1424" s="9">
        <v>13.880385281502075</v>
      </c>
      <c r="Q1424" s="9">
        <v>13.880385281502075</v>
      </c>
      <c r="R1424" s="9">
        <v>14.045989937445718</v>
      </c>
      <c r="S1424" s="9">
        <v>14.060876315369912</v>
      </c>
      <c r="T1424" s="9">
        <v>15.090338571208333</v>
      </c>
      <c r="U1424" s="9">
        <v>16.025407313902726</v>
      </c>
      <c r="V1424" s="9">
        <v>16.025407313902726</v>
      </c>
      <c r="W1424" s="9">
        <v>16.025407313902726</v>
      </c>
      <c r="X1424" s="9">
        <v>18.013895748167766</v>
      </c>
      <c r="Y1424" s="9">
        <v>18.013895748167766</v>
      </c>
      <c r="Z1424" s="9">
        <v>20.142868501532355</v>
      </c>
      <c r="AA1424" s="9">
        <v>20.142868501532355</v>
      </c>
      <c r="AB1424" s="9">
        <v>22.456349831314476</v>
      </c>
      <c r="AC1424" s="9">
        <v>22.456349831314476</v>
      </c>
      <c r="AD1424" s="9">
        <v>24.87984091164185</v>
      </c>
      <c r="AE1424" s="9">
        <v>27.427492221952345</v>
      </c>
      <c r="AF1424" s="9">
        <v>33.194804868730657</v>
      </c>
      <c r="AG1424" s="9">
        <v>33.194804868730657</v>
      </c>
      <c r="AH1424" s="9">
        <v>35.957808835828068</v>
      </c>
      <c r="AI1424" s="9">
        <v>38.646304092692077</v>
      </c>
      <c r="AJ1424" s="9">
        <v>3.0428788910505911</v>
      </c>
    </row>
    <row r="1425" spans="1:36" x14ac:dyDescent="0.25">
      <c r="A1425" t="s">
        <v>5411</v>
      </c>
      <c r="B1425" t="s">
        <v>16</v>
      </c>
      <c r="C1425" t="s">
        <v>17</v>
      </c>
      <c r="D1425">
        <v>37150000</v>
      </c>
      <c r="E1425">
        <v>37159999</v>
      </c>
      <c r="F1425" t="s">
        <v>1245</v>
      </c>
      <c r="G1425" t="str">
        <f t="shared" si="44"/>
        <v>MGI</v>
      </c>
      <c r="H1425" t="s">
        <v>851</v>
      </c>
      <c r="I1425" t="s">
        <v>20</v>
      </c>
      <c r="J1425" t="s">
        <v>62</v>
      </c>
      <c r="K1425" s="6">
        <v>0.03</v>
      </c>
      <c r="L1425" s="7">
        <f t="shared" si="45"/>
        <v>2E-3</v>
      </c>
      <c r="M1425" s="7">
        <v>3.0000000000000001E-3</v>
      </c>
      <c r="N1425">
        <v>8</v>
      </c>
      <c r="O1425" s="8">
        <v>13.880385281502075</v>
      </c>
      <c r="P1425" s="9">
        <v>13.880385281502075</v>
      </c>
      <c r="Q1425" s="9">
        <v>13.880385281502075</v>
      </c>
      <c r="R1425" s="9">
        <v>14.045989937445718</v>
      </c>
      <c r="S1425" s="9">
        <v>14.060876315369912</v>
      </c>
      <c r="T1425" s="9">
        <v>15.090338571208333</v>
      </c>
      <c r="U1425" s="9">
        <v>16.025407313902726</v>
      </c>
      <c r="V1425" s="9">
        <v>16.025407313902726</v>
      </c>
      <c r="W1425" s="9">
        <v>16.025407313902726</v>
      </c>
      <c r="X1425" s="9">
        <v>18.013895748167766</v>
      </c>
      <c r="Y1425" s="9">
        <v>18.013895748167766</v>
      </c>
      <c r="Z1425" s="9">
        <v>20.142868501532355</v>
      </c>
      <c r="AA1425" s="9">
        <v>20.142868501532355</v>
      </c>
      <c r="AB1425" s="9">
        <v>22.456349831314476</v>
      </c>
      <c r="AC1425" s="9">
        <v>22.456349831314476</v>
      </c>
      <c r="AD1425" s="9">
        <v>24.87984091164185</v>
      </c>
      <c r="AE1425" s="9">
        <v>27.427492221952345</v>
      </c>
      <c r="AF1425" s="9">
        <v>33.194804868730657</v>
      </c>
      <c r="AG1425" s="9">
        <v>33.194804868730657</v>
      </c>
      <c r="AH1425" s="9">
        <v>35.957808835828068</v>
      </c>
      <c r="AI1425" s="9">
        <v>38.646304092692077</v>
      </c>
      <c r="AJ1425" s="9">
        <v>3.0428788910505911</v>
      </c>
    </row>
    <row r="1426" spans="1:36" x14ac:dyDescent="0.25">
      <c r="A1426" t="s">
        <v>5411</v>
      </c>
      <c r="B1426" t="s">
        <v>16</v>
      </c>
      <c r="C1426" t="s">
        <v>17</v>
      </c>
      <c r="D1426">
        <v>37160000</v>
      </c>
      <c r="E1426">
        <v>37164999</v>
      </c>
      <c r="F1426" t="s">
        <v>1246</v>
      </c>
      <c r="G1426" t="str">
        <f t="shared" si="44"/>
        <v>MGI</v>
      </c>
      <c r="H1426" t="s">
        <v>851</v>
      </c>
      <c r="I1426" t="s">
        <v>20</v>
      </c>
      <c r="J1426" t="s">
        <v>62</v>
      </c>
      <c r="K1426" s="6">
        <v>0.03</v>
      </c>
      <c r="L1426" s="7">
        <f t="shared" si="45"/>
        <v>2E-3</v>
      </c>
      <c r="M1426" s="7">
        <v>3.0000000000000001E-3</v>
      </c>
      <c r="N1426">
        <v>8</v>
      </c>
      <c r="O1426" s="8">
        <v>13.880385281502075</v>
      </c>
      <c r="P1426" s="9">
        <v>13.880385281502075</v>
      </c>
      <c r="Q1426" s="9">
        <v>13.880385281502075</v>
      </c>
      <c r="R1426" s="9">
        <v>14.045989937445718</v>
      </c>
      <c r="S1426" s="9">
        <v>14.060876315369912</v>
      </c>
      <c r="T1426" s="9">
        <v>15.090338571208333</v>
      </c>
      <c r="U1426" s="9">
        <v>16.025407313902726</v>
      </c>
      <c r="V1426" s="9">
        <v>16.025407313902726</v>
      </c>
      <c r="W1426" s="9">
        <v>16.025407313902726</v>
      </c>
      <c r="X1426" s="9">
        <v>18.013895748167766</v>
      </c>
      <c r="Y1426" s="9">
        <v>18.013895748167766</v>
      </c>
      <c r="Z1426" s="9">
        <v>20.142868501532355</v>
      </c>
      <c r="AA1426" s="9">
        <v>20.142868501532355</v>
      </c>
      <c r="AB1426" s="9">
        <v>22.456349831314476</v>
      </c>
      <c r="AC1426" s="9">
        <v>22.456349831314476</v>
      </c>
      <c r="AD1426" s="9">
        <v>24.87984091164185</v>
      </c>
      <c r="AE1426" s="9">
        <v>27.427492221952345</v>
      </c>
      <c r="AF1426" s="9">
        <v>33.194804868730657</v>
      </c>
      <c r="AG1426" s="9">
        <v>33.194804868730657</v>
      </c>
      <c r="AH1426" s="9">
        <v>35.957808835828068</v>
      </c>
      <c r="AI1426" s="9">
        <v>38.646304092692077</v>
      </c>
      <c r="AJ1426" s="9">
        <v>3.0428788910505911</v>
      </c>
    </row>
    <row r="1427" spans="1:36" x14ac:dyDescent="0.25">
      <c r="A1427" t="s">
        <v>5411</v>
      </c>
      <c r="B1427" t="s">
        <v>16</v>
      </c>
      <c r="C1427" t="s">
        <v>17</v>
      </c>
      <c r="D1427">
        <v>37165000</v>
      </c>
      <c r="E1427">
        <v>37169999</v>
      </c>
      <c r="F1427" t="s">
        <v>1247</v>
      </c>
      <c r="G1427" t="str">
        <f t="shared" si="44"/>
        <v>MGI</v>
      </c>
      <c r="H1427" t="s">
        <v>851</v>
      </c>
      <c r="I1427" t="s">
        <v>20</v>
      </c>
      <c r="J1427" t="s">
        <v>62</v>
      </c>
      <c r="K1427" s="6">
        <v>0.03</v>
      </c>
      <c r="L1427" s="7">
        <f t="shared" si="45"/>
        <v>2E-3</v>
      </c>
      <c r="M1427" s="7">
        <v>3.0000000000000001E-3</v>
      </c>
      <c r="N1427">
        <v>7</v>
      </c>
      <c r="O1427" s="8">
        <v>13.880385281502075</v>
      </c>
      <c r="P1427" s="9">
        <v>13.880385281502075</v>
      </c>
      <c r="Q1427" s="9">
        <v>13.880385281502075</v>
      </c>
      <c r="R1427" s="9">
        <v>14.045989937445718</v>
      </c>
      <c r="S1427" s="9">
        <v>14.060876315369912</v>
      </c>
      <c r="T1427" s="9">
        <v>15.090338571208333</v>
      </c>
      <c r="U1427" s="9">
        <v>16.025407313902726</v>
      </c>
      <c r="V1427" s="9">
        <v>16.025407313902726</v>
      </c>
      <c r="W1427" s="9">
        <v>16.025407313902726</v>
      </c>
      <c r="X1427" s="9">
        <v>18.013895748167766</v>
      </c>
      <c r="Y1427" s="9">
        <v>18.013895748167766</v>
      </c>
      <c r="Z1427" s="9">
        <v>20.142868501532355</v>
      </c>
      <c r="AA1427" s="9">
        <v>20.142868501532355</v>
      </c>
      <c r="AB1427" s="9">
        <v>22.456349831314476</v>
      </c>
      <c r="AC1427" s="9">
        <v>22.456349831314476</v>
      </c>
      <c r="AD1427" s="9">
        <v>24.87984091164185</v>
      </c>
      <c r="AE1427" s="9">
        <v>27.427492221952345</v>
      </c>
      <c r="AF1427" s="9">
        <v>33.194804868730657</v>
      </c>
      <c r="AG1427" s="9">
        <v>33.194804868730657</v>
      </c>
      <c r="AH1427" s="9">
        <v>35.957808835828068</v>
      </c>
      <c r="AI1427" s="9">
        <v>38.646304092692077</v>
      </c>
      <c r="AJ1427" s="9">
        <v>3.0428788910505911</v>
      </c>
    </row>
    <row r="1428" spans="1:36" x14ac:dyDescent="0.25">
      <c r="A1428" t="s">
        <v>5411</v>
      </c>
      <c r="B1428" t="s">
        <v>16</v>
      </c>
      <c r="C1428" t="s">
        <v>17</v>
      </c>
      <c r="D1428">
        <v>37170000</v>
      </c>
      <c r="E1428">
        <v>37174999</v>
      </c>
      <c r="F1428" t="s">
        <v>837</v>
      </c>
      <c r="G1428" t="str">
        <f t="shared" si="44"/>
        <v>MGI</v>
      </c>
      <c r="H1428" t="s">
        <v>851</v>
      </c>
      <c r="I1428" t="s">
        <v>20</v>
      </c>
      <c r="J1428" t="s">
        <v>62</v>
      </c>
      <c r="K1428" s="6">
        <v>0.03</v>
      </c>
      <c r="L1428" s="7">
        <f t="shared" si="45"/>
        <v>2E-3</v>
      </c>
      <c r="M1428" s="7">
        <v>3.0000000000000001E-3</v>
      </c>
      <c r="N1428">
        <v>8</v>
      </c>
      <c r="O1428" s="8">
        <v>13.880385281502075</v>
      </c>
      <c r="P1428" s="9">
        <v>13.880385281502075</v>
      </c>
      <c r="Q1428" s="9">
        <v>13.880385281502075</v>
      </c>
      <c r="R1428" s="9">
        <v>14.045989937445718</v>
      </c>
      <c r="S1428" s="9">
        <v>14.060876315369912</v>
      </c>
      <c r="T1428" s="9">
        <v>15.090338571208333</v>
      </c>
      <c r="U1428" s="9">
        <v>16.025407313902726</v>
      </c>
      <c r="V1428" s="9">
        <v>16.025407313902726</v>
      </c>
      <c r="W1428" s="9">
        <v>16.025407313902726</v>
      </c>
      <c r="X1428" s="9">
        <v>18.013895748167766</v>
      </c>
      <c r="Y1428" s="9">
        <v>18.013895748167766</v>
      </c>
      <c r="Z1428" s="9">
        <v>20.142868501532355</v>
      </c>
      <c r="AA1428" s="9">
        <v>20.142868501532355</v>
      </c>
      <c r="AB1428" s="9">
        <v>22.456349831314476</v>
      </c>
      <c r="AC1428" s="9">
        <v>22.456349831314476</v>
      </c>
      <c r="AD1428" s="9">
        <v>24.87984091164185</v>
      </c>
      <c r="AE1428" s="9">
        <v>27.427492221952345</v>
      </c>
      <c r="AF1428" s="9">
        <v>33.194804868730657</v>
      </c>
      <c r="AG1428" s="9">
        <v>33.194804868730657</v>
      </c>
      <c r="AH1428" s="9">
        <v>35.957808835828068</v>
      </c>
      <c r="AI1428" s="9">
        <v>38.646304092692077</v>
      </c>
      <c r="AJ1428" s="9">
        <v>3.0428788910505911</v>
      </c>
    </row>
    <row r="1429" spans="1:36" x14ac:dyDescent="0.25">
      <c r="A1429" t="s">
        <v>5411</v>
      </c>
      <c r="B1429" t="s">
        <v>16</v>
      </c>
      <c r="C1429" t="s">
        <v>17</v>
      </c>
      <c r="D1429">
        <v>37175000</v>
      </c>
      <c r="E1429">
        <v>37176999</v>
      </c>
      <c r="F1429" t="s">
        <v>1248</v>
      </c>
      <c r="G1429" t="str">
        <f t="shared" si="44"/>
        <v>MGI II</v>
      </c>
      <c r="H1429" t="s">
        <v>851</v>
      </c>
      <c r="I1429" t="s">
        <v>20</v>
      </c>
      <c r="J1429" t="s">
        <v>64</v>
      </c>
      <c r="K1429" s="6">
        <v>0.03</v>
      </c>
      <c r="L1429" s="7">
        <f t="shared" si="45"/>
        <v>2E-3</v>
      </c>
      <c r="M1429" s="7">
        <v>3.0000000000000001E-3</v>
      </c>
      <c r="N1429">
        <v>7</v>
      </c>
      <c r="O1429" s="8">
        <v>17.822306426995311</v>
      </c>
      <c r="P1429" s="9">
        <v>17.822306426995311</v>
      </c>
      <c r="Q1429" s="9">
        <v>17.822306426995311</v>
      </c>
      <c r="R1429" s="9">
        <v>18.237663306594719</v>
      </c>
      <c r="S1429" s="9">
        <v>18.48712920931133</v>
      </c>
      <c r="T1429" s="9">
        <v>19.201553596969877</v>
      </c>
      <c r="U1429" s="9">
        <v>20.562345482855957</v>
      </c>
      <c r="V1429" s="9">
        <v>20.562345482855957</v>
      </c>
      <c r="W1429" s="9">
        <v>20.562345482855957</v>
      </c>
      <c r="X1429" s="9">
        <v>22.391977691000818</v>
      </c>
      <c r="Y1429" s="9">
        <v>22.391977691000818</v>
      </c>
      <c r="Z1429" s="9">
        <v>24.28858708803979</v>
      </c>
      <c r="AA1429" s="9">
        <v>24.28858708803979</v>
      </c>
      <c r="AB1429" s="9">
        <v>25.117335532005217</v>
      </c>
      <c r="AC1429" s="9">
        <v>25.117335532005217</v>
      </c>
      <c r="AD1429" s="9">
        <v>29.039116491286865</v>
      </c>
      <c r="AE1429" s="9">
        <v>31.219251037281825</v>
      </c>
      <c r="AF1429" s="9">
        <v>33.487682081707895</v>
      </c>
      <c r="AG1429" s="9">
        <v>33.487682081707895</v>
      </c>
      <c r="AH1429" s="9">
        <v>36.427668170967245</v>
      </c>
      <c r="AI1429" s="9">
        <v>38.74455996597662</v>
      </c>
      <c r="AJ1429" s="9">
        <v>3.0428788910505911</v>
      </c>
    </row>
    <row r="1430" spans="1:36" x14ac:dyDescent="0.25">
      <c r="A1430" t="s">
        <v>5411</v>
      </c>
      <c r="B1430" t="s">
        <v>16</v>
      </c>
      <c r="C1430" t="s">
        <v>17</v>
      </c>
      <c r="D1430">
        <v>37177000</v>
      </c>
      <c r="E1430">
        <v>37189999</v>
      </c>
      <c r="F1430" t="s">
        <v>1249</v>
      </c>
      <c r="G1430" t="str">
        <f t="shared" si="44"/>
        <v>MGI II</v>
      </c>
      <c r="H1430" t="s">
        <v>851</v>
      </c>
      <c r="I1430" t="s">
        <v>20</v>
      </c>
      <c r="J1430" t="s">
        <v>64</v>
      </c>
      <c r="K1430" s="6">
        <v>0.03</v>
      </c>
      <c r="L1430" s="7">
        <f t="shared" si="45"/>
        <v>2E-3</v>
      </c>
      <c r="M1430" s="7">
        <v>3.0000000000000001E-3</v>
      </c>
      <c r="N1430">
        <v>7</v>
      </c>
      <c r="O1430" s="8">
        <v>17.822306426995311</v>
      </c>
      <c r="P1430" s="9">
        <v>17.822306426995311</v>
      </c>
      <c r="Q1430" s="9">
        <v>17.822306426995311</v>
      </c>
      <c r="R1430" s="9">
        <v>18.237663306594719</v>
      </c>
      <c r="S1430" s="9">
        <v>18.48712920931133</v>
      </c>
      <c r="T1430" s="9">
        <v>19.201553596969877</v>
      </c>
      <c r="U1430" s="9">
        <v>20.562345482855957</v>
      </c>
      <c r="V1430" s="9">
        <v>20.562345482855957</v>
      </c>
      <c r="W1430" s="9">
        <v>20.562345482855957</v>
      </c>
      <c r="X1430" s="9">
        <v>22.391977691000818</v>
      </c>
      <c r="Y1430" s="9">
        <v>22.391977691000818</v>
      </c>
      <c r="Z1430" s="9">
        <v>24.28858708803979</v>
      </c>
      <c r="AA1430" s="9">
        <v>24.28858708803979</v>
      </c>
      <c r="AB1430" s="9">
        <v>25.117335532005217</v>
      </c>
      <c r="AC1430" s="9">
        <v>25.117335532005217</v>
      </c>
      <c r="AD1430" s="9">
        <v>29.039116491286865</v>
      </c>
      <c r="AE1430" s="9">
        <v>31.219251037281825</v>
      </c>
      <c r="AF1430" s="9">
        <v>33.487682081707895</v>
      </c>
      <c r="AG1430" s="9">
        <v>33.487682081707895</v>
      </c>
      <c r="AH1430" s="9">
        <v>36.427668170967245</v>
      </c>
      <c r="AI1430" s="9">
        <v>38.74455996597662</v>
      </c>
      <c r="AJ1430" s="9">
        <v>3.0428788910505911</v>
      </c>
    </row>
    <row r="1431" spans="1:36" x14ac:dyDescent="0.25">
      <c r="A1431" t="s">
        <v>5411</v>
      </c>
      <c r="B1431" t="s">
        <v>16</v>
      </c>
      <c r="C1431" t="s">
        <v>17</v>
      </c>
      <c r="D1431">
        <v>37190000</v>
      </c>
      <c r="E1431">
        <v>37194999</v>
      </c>
      <c r="F1431" t="s">
        <v>1250</v>
      </c>
      <c r="G1431" t="str">
        <f t="shared" si="44"/>
        <v>MGI</v>
      </c>
      <c r="H1431" t="s">
        <v>851</v>
      </c>
      <c r="I1431" t="s">
        <v>20</v>
      </c>
      <c r="J1431" t="s">
        <v>62</v>
      </c>
      <c r="K1431" s="6">
        <v>0.03</v>
      </c>
      <c r="L1431" s="7">
        <f t="shared" si="45"/>
        <v>2E-3</v>
      </c>
      <c r="M1431" s="7">
        <v>3.0000000000000001E-3</v>
      </c>
      <c r="N1431">
        <v>7</v>
      </c>
      <c r="O1431" s="8">
        <v>13.880385281502075</v>
      </c>
      <c r="P1431" s="9">
        <v>13.880385281502075</v>
      </c>
      <c r="Q1431" s="9">
        <v>13.880385281502075</v>
      </c>
      <c r="R1431" s="9">
        <v>14.045989937445718</v>
      </c>
      <c r="S1431" s="9">
        <v>14.060876315369912</v>
      </c>
      <c r="T1431" s="9">
        <v>15.090338571208333</v>
      </c>
      <c r="U1431" s="9">
        <v>16.025407313902726</v>
      </c>
      <c r="V1431" s="9">
        <v>16.025407313902726</v>
      </c>
      <c r="W1431" s="9">
        <v>16.025407313902726</v>
      </c>
      <c r="X1431" s="9">
        <v>18.013895748167766</v>
      </c>
      <c r="Y1431" s="9">
        <v>18.013895748167766</v>
      </c>
      <c r="Z1431" s="9">
        <v>20.142868501532355</v>
      </c>
      <c r="AA1431" s="9">
        <v>20.142868501532355</v>
      </c>
      <c r="AB1431" s="9">
        <v>22.456349831314476</v>
      </c>
      <c r="AC1431" s="9">
        <v>22.456349831314476</v>
      </c>
      <c r="AD1431" s="9">
        <v>24.87984091164185</v>
      </c>
      <c r="AE1431" s="9">
        <v>27.427492221952345</v>
      </c>
      <c r="AF1431" s="9">
        <v>33.194804868730657</v>
      </c>
      <c r="AG1431" s="9">
        <v>33.194804868730657</v>
      </c>
      <c r="AH1431" s="9">
        <v>35.957808835828068</v>
      </c>
      <c r="AI1431" s="9">
        <v>38.646304092692077</v>
      </c>
      <c r="AJ1431" s="9">
        <v>3.0428788910505911</v>
      </c>
    </row>
    <row r="1432" spans="1:36" x14ac:dyDescent="0.25">
      <c r="A1432" t="s">
        <v>5411</v>
      </c>
      <c r="B1432" t="s">
        <v>16</v>
      </c>
      <c r="C1432" t="s">
        <v>17</v>
      </c>
      <c r="D1432">
        <v>37195000</v>
      </c>
      <c r="E1432">
        <v>37199999</v>
      </c>
      <c r="F1432" t="s">
        <v>1251</v>
      </c>
      <c r="G1432" t="str">
        <f t="shared" si="44"/>
        <v>MGI II</v>
      </c>
      <c r="H1432" t="s">
        <v>851</v>
      </c>
      <c r="I1432" t="s">
        <v>20</v>
      </c>
      <c r="J1432" t="s">
        <v>64</v>
      </c>
      <c r="K1432" s="6">
        <v>0.03</v>
      </c>
      <c r="L1432" s="7">
        <f t="shared" si="45"/>
        <v>2E-3</v>
      </c>
      <c r="M1432" s="7">
        <v>3.0000000000000001E-3</v>
      </c>
      <c r="N1432">
        <v>7</v>
      </c>
      <c r="O1432" s="8">
        <v>17.822306426995311</v>
      </c>
      <c r="P1432" s="9">
        <v>17.822306426995311</v>
      </c>
      <c r="Q1432" s="9">
        <v>17.822306426995311</v>
      </c>
      <c r="R1432" s="9">
        <v>18.237663306594719</v>
      </c>
      <c r="S1432" s="9">
        <v>18.48712920931133</v>
      </c>
      <c r="T1432" s="9">
        <v>19.201553596969877</v>
      </c>
      <c r="U1432" s="9">
        <v>20.562345482855957</v>
      </c>
      <c r="V1432" s="9">
        <v>20.562345482855957</v>
      </c>
      <c r="W1432" s="9">
        <v>20.562345482855957</v>
      </c>
      <c r="X1432" s="9">
        <v>22.391977691000818</v>
      </c>
      <c r="Y1432" s="9">
        <v>22.391977691000818</v>
      </c>
      <c r="Z1432" s="9">
        <v>24.28858708803979</v>
      </c>
      <c r="AA1432" s="9">
        <v>24.28858708803979</v>
      </c>
      <c r="AB1432" s="9">
        <v>25.117335532005217</v>
      </c>
      <c r="AC1432" s="9">
        <v>25.117335532005217</v>
      </c>
      <c r="AD1432" s="9">
        <v>29.039116491286865</v>
      </c>
      <c r="AE1432" s="9">
        <v>31.219251037281825</v>
      </c>
      <c r="AF1432" s="9">
        <v>33.487682081707895</v>
      </c>
      <c r="AG1432" s="9">
        <v>33.487682081707895</v>
      </c>
      <c r="AH1432" s="9">
        <v>36.427668170967245</v>
      </c>
      <c r="AI1432" s="9">
        <v>38.74455996597662</v>
      </c>
      <c r="AJ1432" s="9">
        <v>3.0428788910505911</v>
      </c>
    </row>
    <row r="1433" spans="1:36" x14ac:dyDescent="0.25">
      <c r="A1433" t="s">
        <v>5411</v>
      </c>
      <c r="B1433" t="s">
        <v>16</v>
      </c>
      <c r="C1433" t="s">
        <v>17</v>
      </c>
      <c r="D1433">
        <v>37200000</v>
      </c>
      <c r="E1433">
        <v>37209999</v>
      </c>
      <c r="F1433" t="s">
        <v>1252</v>
      </c>
      <c r="G1433" t="str">
        <f t="shared" si="44"/>
        <v>MGI</v>
      </c>
      <c r="H1433" t="s">
        <v>851</v>
      </c>
      <c r="I1433" t="s">
        <v>20</v>
      </c>
      <c r="J1433" t="s">
        <v>62</v>
      </c>
      <c r="K1433" s="6">
        <v>0.03</v>
      </c>
      <c r="L1433" s="7">
        <f t="shared" si="45"/>
        <v>2E-3</v>
      </c>
      <c r="M1433" s="7">
        <v>3.0000000000000001E-3</v>
      </c>
      <c r="N1433">
        <v>7</v>
      </c>
      <c r="O1433" s="8">
        <v>13.880385281502075</v>
      </c>
      <c r="P1433" s="9">
        <v>13.880385281502075</v>
      </c>
      <c r="Q1433" s="9">
        <v>13.880385281502075</v>
      </c>
      <c r="R1433" s="9">
        <v>14.045989937445718</v>
      </c>
      <c r="S1433" s="9">
        <v>14.060876315369912</v>
      </c>
      <c r="T1433" s="9">
        <v>15.090338571208333</v>
      </c>
      <c r="U1433" s="9">
        <v>16.025407313902726</v>
      </c>
      <c r="V1433" s="9">
        <v>16.025407313902726</v>
      </c>
      <c r="W1433" s="9">
        <v>16.025407313902726</v>
      </c>
      <c r="X1433" s="9">
        <v>18.013895748167766</v>
      </c>
      <c r="Y1433" s="9">
        <v>18.013895748167766</v>
      </c>
      <c r="Z1433" s="9">
        <v>20.142868501532355</v>
      </c>
      <c r="AA1433" s="9">
        <v>20.142868501532355</v>
      </c>
      <c r="AB1433" s="9">
        <v>22.456349831314476</v>
      </c>
      <c r="AC1433" s="9">
        <v>22.456349831314476</v>
      </c>
      <c r="AD1433" s="9">
        <v>24.87984091164185</v>
      </c>
      <c r="AE1433" s="9">
        <v>27.427492221952345</v>
      </c>
      <c r="AF1433" s="9">
        <v>33.194804868730657</v>
      </c>
      <c r="AG1433" s="9">
        <v>33.194804868730657</v>
      </c>
      <c r="AH1433" s="9">
        <v>35.957808835828068</v>
      </c>
      <c r="AI1433" s="9">
        <v>38.646304092692077</v>
      </c>
      <c r="AJ1433" s="9">
        <v>3.0428788910505911</v>
      </c>
    </row>
    <row r="1434" spans="1:36" x14ac:dyDescent="0.25">
      <c r="A1434" t="s">
        <v>5411</v>
      </c>
      <c r="B1434" t="s">
        <v>16</v>
      </c>
      <c r="C1434" t="s">
        <v>17</v>
      </c>
      <c r="D1434">
        <v>37210000</v>
      </c>
      <c r="E1434">
        <v>37214999</v>
      </c>
      <c r="F1434" t="s">
        <v>1253</v>
      </c>
      <c r="G1434" t="str">
        <f t="shared" si="44"/>
        <v>MGI II</v>
      </c>
      <c r="H1434" t="s">
        <v>851</v>
      </c>
      <c r="I1434" t="s">
        <v>20</v>
      </c>
      <c r="J1434" t="s">
        <v>64</v>
      </c>
      <c r="K1434" s="6">
        <v>0.03</v>
      </c>
      <c r="L1434" s="7">
        <f t="shared" si="45"/>
        <v>2E-3</v>
      </c>
      <c r="M1434" s="7">
        <v>3.0000000000000001E-3</v>
      </c>
      <c r="N1434">
        <v>8</v>
      </c>
      <c r="O1434" s="8">
        <v>17.822306426995311</v>
      </c>
      <c r="P1434" s="9">
        <v>17.822306426995311</v>
      </c>
      <c r="Q1434" s="9">
        <v>17.822306426995311</v>
      </c>
      <c r="R1434" s="9">
        <v>18.237663306594719</v>
      </c>
      <c r="S1434" s="9">
        <v>18.48712920931133</v>
      </c>
      <c r="T1434" s="9">
        <v>19.201553596969877</v>
      </c>
      <c r="U1434" s="9">
        <v>20.562345482855957</v>
      </c>
      <c r="V1434" s="9">
        <v>20.562345482855957</v>
      </c>
      <c r="W1434" s="9">
        <v>20.562345482855957</v>
      </c>
      <c r="X1434" s="9">
        <v>22.391977691000818</v>
      </c>
      <c r="Y1434" s="9">
        <v>22.391977691000818</v>
      </c>
      <c r="Z1434" s="9">
        <v>24.28858708803979</v>
      </c>
      <c r="AA1434" s="9">
        <v>24.28858708803979</v>
      </c>
      <c r="AB1434" s="9">
        <v>25.117335532005217</v>
      </c>
      <c r="AC1434" s="9">
        <v>25.117335532005217</v>
      </c>
      <c r="AD1434" s="9">
        <v>29.039116491286865</v>
      </c>
      <c r="AE1434" s="9">
        <v>31.219251037281825</v>
      </c>
      <c r="AF1434" s="9">
        <v>33.487682081707895</v>
      </c>
      <c r="AG1434" s="9">
        <v>33.487682081707895</v>
      </c>
      <c r="AH1434" s="9">
        <v>36.427668170967245</v>
      </c>
      <c r="AI1434" s="9">
        <v>38.74455996597662</v>
      </c>
      <c r="AJ1434" s="9">
        <v>3.0428788910505911</v>
      </c>
    </row>
    <row r="1435" spans="1:36" x14ac:dyDescent="0.25">
      <c r="A1435" t="s">
        <v>5411</v>
      </c>
      <c r="B1435" t="s">
        <v>16</v>
      </c>
      <c r="C1435" t="s">
        <v>17</v>
      </c>
      <c r="D1435">
        <v>37215000</v>
      </c>
      <c r="E1435">
        <v>37217999</v>
      </c>
      <c r="F1435" t="s">
        <v>1254</v>
      </c>
      <c r="G1435" t="str">
        <f t="shared" si="44"/>
        <v>MGI II</v>
      </c>
      <c r="H1435" t="s">
        <v>851</v>
      </c>
      <c r="I1435" t="s">
        <v>20</v>
      </c>
      <c r="J1435" t="s">
        <v>64</v>
      </c>
      <c r="K1435" s="6">
        <v>0.03</v>
      </c>
      <c r="L1435" s="7">
        <f t="shared" si="45"/>
        <v>2E-3</v>
      </c>
      <c r="M1435" s="7">
        <v>3.0000000000000001E-3</v>
      </c>
      <c r="N1435">
        <v>8</v>
      </c>
      <c r="O1435" s="8">
        <v>17.822306426995311</v>
      </c>
      <c r="P1435" s="9">
        <v>17.822306426995311</v>
      </c>
      <c r="Q1435" s="9">
        <v>17.822306426995311</v>
      </c>
      <c r="R1435" s="9">
        <v>18.237663306594719</v>
      </c>
      <c r="S1435" s="9">
        <v>18.48712920931133</v>
      </c>
      <c r="T1435" s="9">
        <v>19.201553596969877</v>
      </c>
      <c r="U1435" s="9">
        <v>20.562345482855957</v>
      </c>
      <c r="V1435" s="9">
        <v>20.562345482855957</v>
      </c>
      <c r="W1435" s="9">
        <v>20.562345482855957</v>
      </c>
      <c r="X1435" s="9">
        <v>22.391977691000818</v>
      </c>
      <c r="Y1435" s="9">
        <v>22.391977691000818</v>
      </c>
      <c r="Z1435" s="9">
        <v>24.28858708803979</v>
      </c>
      <c r="AA1435" s="9">
        <v>24.28858708803979</v>
      </c>
      <c r="AB1435" s="9">
        <v>25.117335532005217</v>
      </c>
      <c r="AC1435" s="9">
        <v>25.117335532005217</v>
      </c>
      <c r="AD1435" s="9">
        <v>29.039116491286865</v>
      </c>
      <c r="AE1435" s="9">
        <v>31.219251037281825</v>
      </c>
      <c r="AF1435" s="9">
        <v>33.487682081707895</v>
      </c>
      <c r="AG1435" s="9">
        <v>33.487682081707895</v>
      </c>
      <c r="AH1435" s="9">
        <v>36.427668170967245</v>
      </c>
      <c r="AI1435" s="9">
        <v>38.74455996597662</v>
      </c>
      <c r="AJ1435" s="9">
        <v>3.0428788910505911</v>
      </c>
    </row>
    <row r="1436" spans="1:36" x14ac:dyDescent="0.25">
      <c r="A1436" t="s">
        <v>5411</v>
      </c>
      <c r="B1436" t="s">
        <v>16</v>
      </c>
      <c r="C1436" t="s">
        <v>17</v>
      </c>
      <c r="D1436">
        <v>37218000</v>
      </c>
      <c r="E1436">
        <v>37219999</v>
      </c>
      <c r="F1436" t="s">
        <v>1255</v>
      </c>
      <c r="G1436" t="str">
        <f t="shared" si="44"/>
        <v>MGI II</v>
      </c>
      <c r="H1436" t="s">
        <v>851</v>
      </c>
      <c r="I1436" t="s">
        <v>20</v>
      </c>
      <c r="J1436" t="s">
        <v>64</v>
      </c>
      <c r="K1436" s="6">
        <v>0.03</v>
      </c>
      <c r="L1436" s="7">
        <f t="shared" si="45"/>
        <v>2E-3</v>
      </c>
      <c r="M1436" s="7">
        <v>3.0000000000000001E-3</v>
      </c>
      <c r="N1436">
        <v>8</v>
      </c>
      <c r="O1436" s="8">
        <v>17.822306426995311</v>
      </c>
      <c r="P1436" s="9">
        <v>17.822306426995311</v>
      </c>
      <c r="Q1436" s="9">
        <v>17.822306426995311</v>
      </c>
      <c r="R1436" s="9">
        <v>18.237663306594719</v>
      </c>
      <c r="S1436" s="9">
        <v>18.48712920931133</v>
      </c>
      <c r="T1436" s="9">
        <v>19.201553596969877</v>
      </c>
      <c r="U1436" s="9">
        <v>20.562345482855957</v>
      </c>
      <c r="V1436" s="9">
        <v>20.562345482855957</v>
      </c>
      <c r="W1436" s="9">
        <v>20.562345482855957</v>
      </c>
      <c r="X1436" s="9">
        <v>22.391977691000818</v>
      </c>
      <c r="Y1436" s="9">
        <v>22.391977691000818</v>
      </c>
      <c r="Z1436" s="9">
        <v>24.28858708803979</v>
      </c>
      <c r="AA1436" s="9">
        <v>24.28858708803979</v>
      </c>
      <c r="AB1436" s="9">
        <v>25.117335532005217</v>
      </c>
      <c r="AC1436" s="9">
        <v>25.117335532005217</v>
      </c>
      <c r="AD1436" s="9">
        <v>29.039116491286865</v>
      </c>
      <c r="AE1436" s="9">
        <v>31.219251037281825</v>
      </c>
      <c r="AF1436" s="9">
        <v>33.487682081707895</v>
      </c>
      <c r="AG1436" s="9">
        <v>33.487682081707895</v>
      </c>
      <c r="AH1436" s="9">
        <v>36.427668170967245</v>
      </c>
      <c r="AI1436" s="9">
        <v>38.74455996597662</v>
      </c>
      <c r="AJ1436" s="9">
        <v>3.0428788910505911</v>
      </c>
    </row>
    <row r="1437" spans="1:36" x14ac:dyDescent="0.25">
      <c r="A1437" t="s">
        <v>5411</v>
      </c>
      <c r="B1437" t="s">
        <v>16</v>
      </c>
      <c r="C1437" t="s">
        <v>17</v>
      </c>
      <c r="D1437">
        <v>37220000</v>
      </c>
      <c r="E1437">
        <v>37222999</v>
      </c>
      <c r="F1437" t="s">
        <v>1256</v>
      </c>
      <c r="G1437" t="str">
        <f t="shared" si="44"/>
        <v>MGI II</v>
      </c>
      <c r="H1437" t="s">
        <v>851</v>
      </c>
      <c r="I1437" t="s">
        <v>20</v>
      </c>
      <c r="J1437" t="s">
        <v>64</v>
      </c>
      <c r="K1437" s="6">
        <v>0.03</v>
      </c>
      <c r="L1437" s="7">
        <f t="shared" si="45"/>
        <v>2E-3</v>
      </c>
      <c r="M1437" s="7">
        <v>3.0000000000000001E-3</v>
      </c>
      <c r="N1437">
        <v>8</v>
      </c>
      <c r="O1437" s="8">
        <v>17.822306426995311</v>
      </c>
      <c r="P1437" s="9">
        <v>17.822306426995311</v>
      </c>
      <c r="Q1437" s="9">
        <v>17.822306426995311</v>
      </c>
      <c r="R1437" s="9">
        <v>18.237663306594719</v>
      </c>
      <c r="S1437" s="9">
        <v>18.48712920931133</v>
      </c>
      <c r="T1437" s="9">
        <v>19.201553596969877</v>
      </c>
      <c r="U1437" s="9">
        <v>20.562345482855957</v>
      </c>
      <c r="V1437" s="9">
        <v>20.562345482855957</v>
      </c>
      <c r="W1437" s="9">
        <v>20.562345482855957</v>
      </c>
      <c r="X1437" s="9">
        <v>22.391977691000818</v>
      </c>
      <c r="Y1437" s="9">
        <v>22.391977691000818</v>
      </c>
      <c r="Z1437" s="9">
        <v>24.28858708803979</v>
      </c>
      <c r="AA1437" s="9">
        <v>24.28858708803979</v>
      </c>
      <c r="AB1437" s="9">
        <v>25.117335532005217</v>
      </c>
      <c r="AC1437" s="9">
        <v>25.117335532005217</v>
      </c>
      <c r="AD1437" s="9">
        <v>29.039116491286865</v>
      </c>
      <c r="AE1437" s="9">
        <v>31.219251037281825</v>
      </c>
      <c r="AF1437" s="9">
        <v>33.487682081707895</v>
      </c>
      <c r="AG1437" s="9">
        <v>33.487682081707895</v>
      </c>
      <c r="AH1437" s="9">
        <v>36.427668170967245</v>
      </c>
      <c r="AI1437" s="9">
        <v>38.74455996597662</v>
      </c>
      <c r="AJ1437" s="9">
        <v>3.0428788910505911</v>
      </c>
    </row>
    <row r="1438" spans="1:36" x14ac:dyDescent="0.25">
      <c r="A1438" t="s">
        <v>5411</v>
      </c>
      <c r="B1438" t="s">
        <v>16</v>
      </c>
      <c r="C1438" t="s">
        <v>17</v>
      </c>
      <c r="D1438">
        <v>37223000</v>
      </c>
      <c r="E1438">
        <v>37224999</v>
      </c>
      <c r="F1438" t="s">
        <v>1257</v>
      </c>
      <c r="G1438" t="str">
        <f t="shared" si="44"/>
        <v>MGI II</v>
      </c>
      <c r="H1438" t="s">
        <v>851</v>
      </c>
      <c r="I1438" t="s">
        <v>20</v>
      </c>
      <c r="J1438" t="s">
        <v>64</v>
      </c>
      <c r="K1438" s="6">
        <v>0.03</v>
      </c>
      <c r="L1438" s="7">
        <f t="shared" si="45"/>
        <v>2E-3</v>
      </c>
      <c r="M1438" s="7">
        <v>3.0000000000000001E-3</v>
      </c>
      <c r="N1438">
        <v>8</v>
      </c>
      <c r="O1438" s="8">
        <v>17.822306426995311</v>
      </c>
      <c r="P1438" s="9">
        <v>17.822306426995311</v>
      </c>
      <c r="Q1438" s="9">
        <v>17.822306426995311</v>
      </c>
      <c r="R1438" s="9">
        <v>18.237663306594719</v>
      </c>
      <c r="S1438" s="9">
        <v>18.48712920931133</v>
      </c>
      <c r="T1438" s="9">
        <v>19.201553596969877</v>
      </c>
      <c r="U1438" s="9">
        <v>20.562345482855957</v>
      </c>
      <c r="V1438" s="9">
        <v>20.562345482855957</v>
      </c>
      <c r="W1438" s="9">
        <v>20.562345482855957</v>
      </c>
      <c r="X1438" s="9">
        <v>22.391977691000818</v>
      </c>
      <c r="Y1438" s="9">
        <v>22.391977691000818</v>
      </c>
      <c r="Z1438" s="9">
        <v>24.28858708803979</v>
      </c>
      <c r="AA1438" s="9">
        <v>24.28858708803979</v>
      </c>
      <c r="AB1438" s="9">
        <v>25.117335532005217</v>
      </c>
      <c r="AC1438" s="9">
        <v>25.117335532005217</v>
      </c>
      <c r="AD1438" s="9">
        <v>29.039116491286865</v>
      </c>
      <c r="AE1438" s="9">
        <v>31.219251037281825</v>
      </c>
      <c r="AF1438" s="9">
        <v>33.487682081707895</v>
      </c>
      <c r="AG1438" s="9">
        <v>33.487682081707895</v>
      </c>
      <c r="AH1438" s="9">
        <v>36.427668170967245</v>
      </c>
      <c r="AI1438" s="9">
        <v>38.74455996597662</v>
      </c>
      <c r="AJ1438" s="9">
        <v>3.0428788910505911</v>
      </c>
    </row>
    <row r="1439" spans="1:36" x14ac:dyDescent="0.25">
      <c r="A1439" t="s">
        <v>5411</v>
      </c>
      <c r="B1439" t="s">
        <v>16</v>
      </c>
      <c r="C1439" t="s">
        <v>17</v>
      </c>
      <c r="D1439">
        <v>37225000</v>
      </c>
      <c r="E1439">
        <v>37234999</v>
      </c>
      <c r="F1439" t="s">
        <v>1258</v>
      </c>
      <c r="G1439" t="str">
        <f t="shared" si="44"/>
        <v>MGI II</v>
      </c>
      <c r="H1439" t="s">
        <v>851</v>
      </c>
      <c r="I1439" t="s">
        <v>20</v>
      </c>
      <c r="J1439" t="s">
        <v>64</v>
      </c>
      <c r="K1439" s="6">
        <v>0.03</v>
      </c>
      <c r="L1439" s="7">
        <f t="shared" si="45"/>
        <v>2E-3</v>
      </c>
      <c r="M1439" s="7">
        <v>3.0000000000000001E-3</v>
      </c>
      <c r="N1439">
        <v>7</v>
      </c>
      <c r="O1439" s="8">
        <v>17.822306426995311</v>
      </c>
      <c r="P1439" s="9">
        <v>17.822306426995311</v>
      </c>
      <c r="Q1439" s="9">
        <v>17.822306426995311</v>
      </c>
      <c r="R1439" s="9">
        <v>18.237663306594719</v>
      </c>
      <c r="S1439" s="9">
        <v>18.48712920931133</v>
      </c>
      <c r="T1439" s="9">
        <v>19.201553596969877</v>
      </c>
      <c r="U1439" s="9">
        <v>20.562345482855957</v>
      </c>
      <c r="V1439" s="9">
        <v>20.562345482855957</v>
      </c>
      <c r="W1439" s="9">
        <v>20.562345482855957</v>
      </c>
      <c r="X1439" s="9">
        <v>22.391977691000818</v>
      </c>
      <c r="Y1439" s="9">
        <v>22.391977691000818</v>
      </c>
      <c r="Z1439" s="9">
        <v>24.28858708803979</v>
      </c>
      <c r="AA1439" s="9">
        <v>24.28858708803979</v>
      </c>
      <c r="AB1439" s="9">
        <v>25.117335532005217</v>
      </c>
      <c r="AC1439" s="9">
        <v>25.117335532005217</v>
      </c>
      <c r="AD1439" s="9">
        <v>29.039116491286865</v>
      </c>
      <c r="AE1439" s="9">
        <v>31.219251037281825</v>
      </c>
      <c r="AF1439" s="9">
        <v>33.487682081707895</v>
      </c>
      <c r="AG1439" s="9">
        <v>33.487682081707895</v>
      </c>
      <c r="AH1439" s="9">
        <v>36.427668170967245</v>
      </c>
      <c r="AI1439" s="9">
        <v>38.74455996597662</v>
      </c>
      <c r="AJ1439" s="9">
        <v>3.0428788910505911</v>
      </c>
    </row>
    <row r="1440" spans="1:36" x14ac:dyDescent="0.25">
      <c r="A1440" t="s">
        <v>5411</v>
      </c>
      <c r="B1440" t="s">
        <v>16</v>
      </c>
      <c r="C1440" t="s">
        <v>17</v>
      </c>
      <c r="D1440">
        <v>37235000</v>
      </c>
      <c r="E1440">
        <v>37239999</v>
      </c>
      <c r="F1440" t="s">
        <v>1259</v>
      </c>
      <c r="G1440" t="str">
        <f t="shared" si="44"/>
        <v>MGI II</v>
      </c>
      <c r="H1440" t="s">
        <v>851</v>
      </c>
      <c r="I1440" t="s">
        <v>20</v>
      </c>
      <c r="J1440" t="s">
        <v>64</v>
      </c>
      <c r="K1440" s="6">
        <v>0.03</v>
      </c>
      <c r="L1440" s="7">
        <f t="shared" si="45"/>
        <v>2E-3</v>
      </c>
      <c r="M1440" s="7">
        <v>3.0000000000000001E-3</v>
      </c>
      <c r="N1440">
        <v>7</v>
      </c>
      <c r="O1440" s="8">
        <v>17.822306426995311</v>
      </c>
      <c r="P1440" s="9">
        <v>17.822306426995311</v>
      </c>
      <c r="Q1440" s="9">
        <v>17.822306426995311</v>
      </c>
      <c r="R1440" s="9">
        <v>18.237663306594719</v>
      </c>
      <c r="S1440" s="9">
        <v>18.48712920931133</v>
      </c>
      <c r="T1440" s="9">
        <v>19.201553596969877</v>
      </c>
      <c r="U1440" s="9">
        <v>20.562345482855957</v>
      </c>
      <c r="V1440" s="9">
        <v>20.562345482855957</v>
      </c>
      <c r="W1440" s="9">
        <v>20.562345482855957</v>
      </c>
      <c r="X1440" s="9">
        <v>22.391977691000818</v>
      </c>
      <c r="Y1440" s="9">
        <v>22.391977691000818</v>
      </c>
      <c r="Z1440" s="9">
        <v>24.28858708803979</v>
      </c>
      <c r="AA1440" s="9">
        <v>24.28858708803979</v>
      </c>
      <c r="AB1440" s="9">
        <v>25.117335532005217</v>
      </c>
      <c r="AC1440" s="9">
        <v>25.117335532005217</v>
      </c>
      <c r="AD1440" s="9">
        <v>29.039116491286865</v>
      </c>
      <c r="AE1440" s="9">
        <v>31.219251037281825</v>
      </c>
      <c r="AF1440" s="9">
        <v>33.487682081707895</v>
      </c>
      <c r="AG1440" s="9">
        <v>33.487682081707895</v>
      </c>
      <c r="AH1440" s="9">
        <v>36.427668170967245</v>
      </c>
      <c r="AI1440" s="9">
        <v>38.74455996597662</v>
      </c>
      <c r="AJ1440" s="9">
        <v>3.0428788910505911</v>
      </c>
    </row>
    <row r="1441" spans="1:36" x14ac:dyDescent="0.25">
      <c r="A1441" t="s">
        <v>5411</v>
      </c>
      <c r="B1441" t="s">
        <v>16</v>
      </c>
      <c r="C1441" t="s">
        <v>17</v>
      </c>
      <c r="D1441">
        <v>37240000</v>
      </c>
      <c r="E1441">
        <v>37244999</v>
      </c>
      <c r="F1441" t="s">
        <v>1260</v>
      </c>
      <c r="G1441" t="str">
        <f t="shared" si="44"/>
        <v>MGI II</v>
      </c>
      <c r="H1441" t="s">
        <v>851</v>
      </c>
      <c r="I1441" t="s">
        <v>20</v>
      </c>
      <c r="J1441" t="s">
        <v>64</v>
      </c>
      <c r="K1441" s="6">
        <v>0.03</v>
      </c>
      <c r="L1441" s="7">
        <f t="shared" si="45"/>
        <v>2E-3</v>
      </c>
      <c r="M1441" s="7">
        <v>3.0000000000000001E-3</v>
      </c>
      <c r="N1441">
        <v>8</v>
      </c>
      <c r="O1441" s="8">
        <v>17.822306426995311</v>
      </c>
      <c r="P1441" s="9">
        <v>17.822306426995311</v>
      </c>
      <c r="Q1441" s="9">
        <v>17.822306426995311</v>
      </c>
      <c r="R1441" s="9">
        <v>18.237663306594719</v>
      </c>
      <c r="S1441" s="9">
        <v>18.48712920931133</v>
      </c>
      <c r="T1441" s="9">
        <v>19.201553596969877</v>
      </c>
      <c r="U1441" s="9">
        <v>20.562345482855957</v>
      </c>
      <c r="V1441" s="9">
        <v>20.562345482855957</v>
      </c>
      <c r="W1441" s="9">
        <v>20.562345482855957</v>
      </c>
      <c r="X1441" s="9">
        <v>22.391977691000818</v>
      </c>
      <c r="Y1441" s="9">
        <v>22.391977691000818</v>
      </c>
      <c r="Z1441" s="9">
        <v>24.28858708803979</v>
      </c>
      <c r="AA1441" s="9">
        <v>24.28858708803979</v>
      </c>
      <c r="AB1441" s="9">
        <v>25.117335532005217</v>
      </c>
      <c r="AC1441" s="9">
        <v>25.117335532005217</v>
      </c>
      <c r="AD1441" s="9">
        <v>29.039116491286865</v>
      </c>
      <c r="AE1441" s="9">
        <v>31.219251037281825</v>
      </c>
      <c r="AF1441" s="9">
        <v>33.487682081707895</v>
      </c>
      <c r="AG1441" s="9">
        <v>33.487682081707895</v>
      </c>
      <c r="AH1441" s="9">
        <v>36.427668170967245</v>
      </c>
      <c r="AI1441" s="9">
        <v>38.74455996597662</v>
      </c>
      <c r="AJ1441" s="9">
        <v>3.0428788910505911</v>
      </c>
    </row>
    <row r="1442" spans="1:36" x14ac:dyDescent="0.25">
      <c r="A1442" t="s">
        <v>5411</v>
      </c>
      <c r="B1442" t="s">
        <v>16</v>
      </c>
      <c r="C1442" t="s">
        <v>17</v>
      </c>
      <c r="D1442">
        <v>37245000</v>
      </c>
      <c r="E1442">
        <v>37249999</v>
      </c>
      <c r="F1442" t="s">
        <v>1261</v>
      </c>
      <c r="G1442" t="str">
        <f t="shared" si="44"/>
        <v>MGI II</v>
      </c>
      <c r="H1442" t="s">
        <v>851</v>
      </c>
      <c r="I1442" t="s">
        <v>20</v>
      </c>
      <c r="J1442" t="s">
        <v>64</v>
      </c>
      <c r="K1442" s="6">
        <v>0.03</v>
      </c>
      <c r="L1442" s="7">
        <f t="shared" si="45"/>
        <v>2E-3</v>
      </c>
      <c r="M1442" s="7">
        <v>3.0000000000000001E-3</v>
      </c>
      <c r="N1442">
        <v>8</v>
      </c>
      <c r="O1442" s="8">
        <v>17.822306426995311</v>
      </c>
      <c r="P1442" s="9">
        <v>17.822306426995311</v>
      </c>
      <c r="Q1442" s="9">
        <v>17.822306426995311</v>
      </c>
      <c r="R1442" s="9">
        <v>18.237663306594719</v>
      </c>
      <c r="S1442" s="9">
        <v>18.48712920931133</v>
      </c>
      <c r="T1442" s="9">
        <v>19.201553596969877</v>
      </c>
      <c r="U1442" s="9">
        <v>20.562345482855957</v>
      </c>
      <c r="V1442" s="9">
        <v>20.562345482855957</v>
      </c>
      <c r="W1442" s="9">
        <v>20.562345482855957</v>
      </c>
      <c r="X1442" s="9">
        <v>22.391977691000818</v>
      </c>
      <c r="Y1442" s="9">
        <v>22.391977691000818</v>
      </c>
      <c r="Z1442" s="9">
        <v>24.28858708803979</v>
      </c>
      <c r="AA1442" s="9">
        <v>24.28858708803979</v>
      </c>
      <c r="AB1442" s="9">
        <v>25.117335532005217</v>
      </c>
      <c r="AC1442" s="9">
        <v>25.117335532005217</v>
      </c>
      <c r="AD1442" s="9">
        <v>29.039116491286865</v>
      </c>
      <c r="AE1442" s="9">
        <v>31.219251037281825</v>
      </c>
      <c r="AF1442" s="9">
        <v>33.487682081707895</v>
      </c>
      <c r="AG1442" s="9">
        <v>33.487682081707895</v>
      </c>
      <c r="AH1442" s="9">
        <v>36.427668170967245</v>
      </c>
      <c r="AI1442" s="9">
        <v>38.74455996597662</v>
      </c>
      <c r="AJ1442" s="9">
        <v>3.0428788910505911</v>
      </c>
    </row>
    <row r="1443" spans="1:36" x14ac:dyDescent="0.25">
      <c r="A1443" t="s">
        <v>5411</v>
      </c>
      <c r="B1443" t="s">
        <v>16</v>
      </c>
      <c r="C1443" t="s">
        <v>17</v>
      </c>
      <c r="D1443">
        <v>37250000</v>
      </c>
      <c r="E1443">
        <v>37259999</v>
      </c>
      <c r="F1443" t="s">
        <v>1262</v>
      </c>
      <c r="G1443" t="str">
        <f t="shared" si="44"/>
        <v>MGI</v>
      </c>
      <c r="H1443" t="s">
        <v>851</v>
      </c>
      <c r="I1443" t="s">
        <v>20</v>
      </c>
      <c r="J1443" t="s">
        <v>62</v>
      </c>
      <c r="K1443" s="6">
        <v>0.03</v>
      </c>
      <c r="L1443" s="7">
        <f t="shared" si="45"/>
        <v>2E-3</v>
      </c>
      <c r="M1443" s="7">
        <v>3.0000000000000001E-3</v>
      </c>
      <c r="N1443">
        <v>8</v>
      </c>
      <c r="O1443" s="8">
        <v>13.880385281502075</v>
      </c>
      <c r="P1443" s="9">
        <v>13.880385281502075</v>
      </c>
      <c r="Q1443" s="9">
        <v>13.880385281502075</v>
      </c>
      <c r="R1443" s="9">
        <v>14.045989937445718</v>
      </c>
      <c r="S1443" s="9">
        <v>14.060876315369912</v>
      </c>
      <c r="T1443" s="9">
        <v>15.090338571208333</v>
      </c>
      <c r="U1443" s="9">
        <v>16.025407313902726</v>
      </c>
      <c r="V1443" s="9">
        <v>16.025407313902726</v>
      </c>
      <c r="W1443" s="9">
        <v>16.025407313902726</v>
      </c>
      <c r="X1443" s="9">
        <v>18.013895748167766</v>
      </c>
      <c r="Y1443" s="9">
        <v>18.013895748167766</v>
      </c>
      <c r="Z1443" s="9">
        <v>20.142868501532355</v>
      </c>
      <c r="AA1443" s="9">
        <v>20.142868501532355</v>
      </c>
      <c r="AB1443" s="9">
        <v>22.456349831314476</v>
      </c>
      <c r="AC1443" s="9">
        <v>22.456349831314476</v>
      </c>
      <c r="AD1443" s="9">
        <v>24.87984091164185</v>
      </c>
      <c r="AE1443" s="9">
        <v>27.427492221952345</v>
      </c>
      <c r="AF1443" s="9">
        <v>33.194804868730657</v>
      </c>
      <c r="AG1443" s="9">
        <v>33.194804868730657</v>
      </c>
      <c r="AH1443" s="9">
        <v>35.957808835828068</v>
      </c>
      <c r="AI1443" s="9">
        <v>38.646304092692077</v>
      </c>
      <c r="AJ1443" s="9">
        <v>3.0428788910505911</v>
      </c>
    </row>
    <row r="1444" spans="1:36" x14ac:dyDescent="0.25">
      <c r="A1444" t="s">
        <v>5411</v>
      </c>
      <c r="B1444" t="s">
        <v>16</v>
      </c>
      <c r="C1444" t="s">
        <v>17</v>
      </c>
      <c r="D1444">
        <v>37260000</v>
      </c>
      <c r="E1444">
        <v>37261999</v>
      </c>
      <c r="F1444" t="s">
        <v>1263</v>
      </c>
      <c r="G1444" t="str">
        <f t="shared" si="44"/>
        <v>MGI</v>
      </c>
      <c r="H1444" t="s">
        <v>851</v>
      </c>
      <c r="I1444" t="s">
        <v>20</v>
      </c>
      <c r="J1444" t="s">
        <v>62</v>
      </c>
      <c r="K1444" s="6">
        <v>0.03</v>
      </c>
      <c r="L1444" s="7">
        <f t="shared" si="45"/>
        <v>2E-3</v>
      </c>
      <c r="M1444" s="7">
        <v>3.0000000000000001E-3</v>
      </c>
      <c r="N1444">
        <v>8</v>
      </c>
      <c r="O1444" s="8">
        <v>13.880385281502075</v>
      </c>
      <c r="P1444" s="9">
        <v>13.880385281502075</v>
      </c>
      <c r="Q1444" s="9">
        <v>13.880385281502075</v>
      </c>
      <c r="R1444" s="9">
        <v>14.045989937445718</v>
      </c>
      <c r="S1444" s="9">
        <v>14.060876315369912</v>
      </c>
      <c r="T1444" s="9">
        <v>15.090338571208333</v>
      </c>
      <c r="U1444" s="9">
        <v>16.025407313902726</v>
      </c>
      <c r="V1444" s="9">
        <v>16.025407313902726</v>
      </c>
      <c r="W1444" s="9">
        <v>16.025407313902726</v>
      </c>
      <c r="X1444" s="9">
        <v>18.013895748167766</v>
      </c>
      <c r="Y1444" s="9">
        <v>18.013895748167766</v>
      </c>
      <c r="Z1444" s="9">
        <v>20.142868501532355</v>
      </c>
      <c r="AA1444" s="9">
        <v>20.142868501532355</v>
      </c>
      <c r="AB1444" s="9">
        <v>22.456349831314476</v>
      </c>
      <c r="AC1444" s="9">
        <v>22.456349831314476</v>
      </c>
      <c r="AD1444" s="9">
        <v>24.87984091164185</v>
      </c>
      <c r="AE1444" s="9">
        <v>27.427492221952345</v>
      </c>
      <c r="AF1444" s="9">
        <v>33.194804868730657</v>
      </c>
      <c r="AG1444" s="9">
        <v>33.194804868730657</v>
      </c>
      <c r="AH1444" s="9">
        <v>35.957808835828068</v>
      </c>
      <c r="AI1444" s="9">
        <v>38.646304092692077</v>
      </c>
      <c r="AJ1444" s="9">
        <v>3.0428788910505911</v>
      </c>
    </row>
    <row r="1445" spans="1:36" x14ac:dyDescent="0.25">
      <c r="A1445" t="s">
        <v>5411</v>
      </c>
      <c r="B1445" t="s">
        <v>16</v>
      </c>
      <c r="C1445" t="s">
        <v>17</v>
      </c>
      <c r="D1445">
        <v>37262000</v>
      </c>
      <c r="E1445">
        <v>37263999</v>
      </c>
      <c r="F1445" t="s">
        <v>1264</v>
      </c>
      <c r="G1445" t="str">
        <f t="shared" si="44"/>
        <v>MGI II</v>
      </c>
      <c r="H1445" t="s">
        <v>851</v>
      </c>
      <c r="I1445" t="s">
        <v>20</v>
      </c>
      <c r="J1445" t="s">
        <v>64</v>
      </c>
      <c r="K1445" s="6">
        <v>0.03</v>
      </c>
      <c r="L1445" s="7">
        <f t="shared" si="45"/>
        <v>2E-3</v>
      </c>
      <c r="M1445" s="7">
        <v>3.0000000000000001E-3</v>
      </c>
      <c r="N1445">
        <v>8</v>
      </c>
      <c r="O1445" s="8">
        <v>17.822306426995311</v>
      </c>
      <c r="P1445" s="9">
        <v>17.822306426995311</v>
      </c>
      <c r="Q1445" s="9">
        <v>17.822306426995311</v>
      </c>
      <c r="R1445" s="9">
        <v>18.237663306594719</v>
      </c>
      <c r="S1445" s="9">
        <v>18.48712920931133</v>
      </c>
      <c r="T1445" s="9">
        <v>19.201553596969877</v>
      </c>
      <c r="U1445" s="9">
        <v>20.562345482855957</v>
      </c>
      <c r="V1445" s="9">
        <v>20.562345482855957</v>
      </c>
      <c r="W1445" s="9">
        <v>20.562345482855957</v>
      </c>
      <c r="X1445" s="9">
        <v>22.391977691000818</v>
      </c>
      <c r="Y1445" s="9">
        <v>22.391977691000818</v>
      </c>
      <c r="Z1445" s="9">
        <v>24.28858708803979</v>
      </c>
      <c r="AA1445" s="9">
        <v>24.28858708803979</v>
      </c>
      <c r="AB1445" s="9">
        <v>25.117335532005217</v>
      </c>
      <c r="AC1445" s="9">
        <v>25.117335532005217</v>
      </c>
      <c r="AD1445" s="9">
        <v>29.039116491286865</v>
      </c>
      <c r="AE1445" s="9">
        <v>31.219251037281825</v>
      </c>
      <c r="AF1445" s="9">
        <v>33.487682081707895</v>
      </c>
      <c r="AG1445" s="9">
        <v>33.487682081707895</v>
      </c>
      <c r="AH1445" s="9">
        <v>36.427668170967245</v>
      </c>
      <c r="AI1445" s="9">
        <v>38.74455996597662</v>
      </c>
      <c r="AJ1445" s="9">
        <v>3.0428788910505911</v>
      </c>
    </row>
    <row r="1446" spans="1:36" x14ac:dyDescent="0.25">
      <c r="A1446" t="s">
        <v>5411</v>
      </c>
      <c r="B1446" t="s">
        <v>16</v>
      </c>
      <c r="C1446" t="s">
        <v>17</v>
      </c>
      <c r="D1446">
        <v>37264000</v>
      </c>
      <c r="E1446">
        <v>37266999</v>
      </c>
      <c r="F1446" t="s">
        <v>1265</v>
      </c>
      <c r="G1446" t="str">
        <f t="shared" si="44"/>
        <v>MGI II</v>
      </c>
      <c r="H1446" t="s">
        <v>851</v>
      </c>
      <c r="I1446" t="s">
        <v>20</v>
      </c>
      <c r="J1446" t="s">
        <v>64</v>
      </c>
      <c r="K1446" s="6">
        <v>0.03</v>
      </c>
      <c r="L1446" s="7">
        <f t="shared" si="45"/>
        <v>2E-3</v>
      </c>
      <c r="M1446" s="7">
        <v>3.0000000000000001E-3</v>
      </c>
      <c r="N1446">
        <v>7</v>
      </c>
      <c r="O1446" s="8">
        <v>17.822306426995311</v>
      </c>
      <c r="P1446" s="9">
        <v>17.822306426995311</v>
      </c>
      <c r="Q1446" s="9">
        <v>17.822306426995311</v>
      </c>
      <c r="R1446" s="9">
        <v>18.237663306594719</v>
      </c>
      <c r="S1446" s="9">
        <v>18.48712920931133</v>
      </c>
      <c r="T1446" s="9">
        <v>19.201553596969877</v>
      </c>
      <c r="U1446" s="9">
        <v>20.562345482855957</v>
      </c>
      <c r="V1446" s="9">
        <v>20.562345482855957</v>
      </c>
      <c r="W1446" s="9">
        <v>20.562345482855957</v>
      </c>
      <c r="X1446" s="9">
        <v>22.391977691000818</v>
      </c>
      <c r="Y1446" s="9">
        <v>22.391977691000818</v>
      </c>
      <c r="Z1446" s="9">
        <v>24.28858708803979</v>
      </c>
      <c r="AA1446" s="9">
        <v>24.28858708803979</v>
      </c>
      <c r="AB1446" s="9">
        <v>25.117335532005217</v>
      </c>
      <c r="AC1446" s="9">
        <v>25.117335532005217</v>
      </c>
      <c r="AD1446" s="9">
        <v>29.039116491286865</v>
      </c>
      <c r="AE1446" s="9">
        <v>31.219251037281825</v>
      </c>
      <c r="AF1446" s="9">
        <v>33.487682081707895</v>
      </c>
      <c r="AG1446" s="9">
        <v>33.487682081707895</v>
      </c>
      <c r="AH1446" s="9">
        <v>36.427668170967245</v>
      </c>
      <c r="AI1446" s="9">
        <v>38.74455996597662</v>
      </c>
      <c r="AJ1446" s="9">
        <v>3.0428788910505911</v>
      </c>
    </row>
    <row r="1447" spans="1:36" x14ac:dyDescent="0.25">
      <c r="A1447" t="s">
        <v>5411</v>
      </c>
      <c r="B1447" t="s">
        <v>16</v>
      </c>
      <c r="C1447" t="s">
        <v>17</v>
      </c>
      <c r="D1447">
        <v>37267000</v>
      </c>
      <c r="E1447">
        <v>37269999</v>
      </c>
      <c r="F1447" t="s">
        <v>1266</v>
      </c>
      <c r="G1447" t="str">
        <f t="shared" si="44"/>
        <v>MGI II</v>
      </c>
      <c r="H1447" t="s">
        <v>851</v>
      </c>
      <c r="I1447" t="s">
        <v>20</v>
      </c>
      <c r="J1447" t="s">
        <v>64</v>
      </c>
      <c r="K1447" s="6">
        <v>0.03</v>
      </c>
      <c r="L1447" s="7">
        <f t="shared" si="45"/>
        <v>2E-3</v>
      </c>
      <c r="M1447" s="7">
        <v>3.0000000000000001E-3</v>
      </c>
      <c r="N1447">
        <v>8</v>
      </c>
      <c r="O1447" s="8">
        <v>17.822306426995311</v>
      </c>
      <c r="P1447" s="9">
        <v>17.822306426995311</v>
      </c>
      <c r="Q1447" s="9">
        <v>17.822306426995311</v>
      </c>
      <c r="R1447" s="9">
        <v>18.237663306594719</v>
      </c>
      <c r="S1447" s="9">
        <v>18.48712920931133</v>
      </c>
      <c r="T1447" s="9">
        <v>19.201553596969877</v>
      </c>
      <c r="U1447" s="9">
        <v>20.562345482855957</v>
      </c>
      <c r="V1447" s="9">
        <v>20.562345482855957</v>
      </c>
      <c r="W1447" s="9">
        <v>20.562345482855957</v>
      </c>
      <c r="X1447" s="9">
        <v>22.391977691000818</v>
      </c>
      <c r="Y1447" s="9">
        <v>22.391977691000818</v>
      </c>
      <c r="Z1447" s="9">
        <v>24.28858708803979</v>
      </c>
      <c r="AA1447" s="9">
        <v>24.28858708803979</v>
      </c>
      <c r="AB1447" s="9">
        <v>25.117335532005217</v>
      </c>
      <c r="AC1447" s="9">
        <v>25.117335532005217</v>
      </c>
      <c r="AD1447" s="9">
        <v>29.039116491286865</v>
      </c>
      <c r="AE1447" s="9">
        <v>31.219251037281825</v>
      </c>
      <c r="AF1447" s="9">
        <v>33.487682081707895</v>
      </c>
      <c r="AG1447" s="9">
        <v>33.487682081707895</v>
      </c>
      <c r="AH1447" s="9">
        <v>36.427668170967245</v>
      </c>
      <c r="AI1447" s="9">
        <v>38.74455996597662</v>
      </c>
      <c r="AJ1447" s="9">
        <v>3.0428788910505911</v>
      </c>
    </row>
    <row r="1448" spans="1:36" x14ac:dyDescent="0.25">
      <c r="A1448" t="s">
        <v>5411</v>
      </c>
      <c r="B1448" t="s">
        <v>16</v>
      </c>
      <c r="C1448" t="s">
        <v>17</v>
      </c>
      <c r="D1448">
        <v>37270000</v>
      </c>
      <c r="E1448">
        <v>37272999</v>
      </c>
      <c r="F1448" t="s">
        <v>1267</v>
      </c>
      <c r="G1448" t="str">
        <f t="shared" si="44"/>
        <v>MGI</v>
      </c>
      <c r="H1448" t="s">
        <v>851</v>
      </c>
      <c r="I1448" t="s">
        <v>20</v>
      </c>
      <c r="J1448" t="s">
        <v>62</v>
      </c>
      <c r="K1448" s="6">
        <v>0.03</v>
      </c>
      <c r="L1448" s="7">
        <f t="shared" si="45"/>
        <v>2E-3</v>
      </c>
      <c r="M1448" s="7">
        <v>3.0000000000000001E-3</v>
      </c>
      <c r="N1448">
        <v>7</v>
      </c>
      <c r="O1448" s="8">
        <v>13.880385281502075</v>
      </c>
      <c r="P1448" s="9">
        <v>13.880385281502075</v>
      </c>
      <c r="Q1448" s="9">
        <v>13.880385281502075</v>
      </c>
      <c r="R1448" s="9">
        <v>14.045989937445718</v>
      </c>
      <c r="S1448" s="9">
        <v>14.060876315369912</v>
      </c>
      <c r="T1448" s="9">
        <v>15.090338571208333</v>
      </c>
      <c r="U1448" s="9">
        <v>16.025407313902726</v>
      </c>
      <c r="V1448" s="9">
        <v>16.025407313902726</v>
      </c>
      <c r="W1448" s="9">
        <v>16.025407313902726</v>
      </c>
      <c r="X1448" s="9">
        <v>18.013895748167766</v>
      </c>
      <c r="Y1448" s="9">
        <v>18.013895748167766</v>
      </c>
      <c r="Z1448" s="9">
        <v>20.142868501532355</v>
      </c>
      <c r="AA1448" s="9">
        <v>20.142868501532355</v>
      </c>
      <c r="AB1448" s="9">
        <v>22.456349831314476</v>
      </c>
      <c r="AC1448" s="9">
        <v>22.456349831314476</v>
      </c>
      <c r="AD1448" s="9">
        <v>24.87984091164185</v>
      </c>
      <c r="AE1448" s="9">
        <v>27.427492221952345</v>
      </c>
      <c r="AF1448" s="9">
        <v>33.194804868730657</v>
      </c>
      <c r="AG1448" s="9">
        <v>33.194804868730657</v>
      </c>
      <c r="AH1448" s="9">
        <v>35.957808835828068</v>
      </c>
      <c r="AI1448" s="9">
        <v>38.646304092692077</v>
      </c>
      <c r="AJ1448" s="9">
        <v>3.0428788910505911</v>
      </c>
    </row>
    <row r="1449" spans="1:36" x14ac:dyDescent="0.25">
      <c r="A1449" t="s">
        <v>5411</v>
      </c>
      <c r="B1449" t="s">
        <v>16</v>
      </c>
      <c r="C1449" t="s">
        <v>17</v>
      </c>
      <c r="D1449">
        <v>37273000</v>
      </c>
      <c r="E1449">
        <v>37274999</v>
      </c>
      <c r="F1449" t="s">
        <v>1268</v>
      </c>
      <c r="G1449" t="str">
        <f t="shared" si="44"/>
        <v>MGI II</v>
      </c>
      <c r="H1449" t="s">
        <v>851</v>
      </c>
      <c r="I1449" t="s">
        <v>20</v>
      </c>
      <c r="J1449" t="s">
        <v>64</v>
      </c>
      <c r="K1449" s="6">
        <v>0.03</v>
      </c>
      <c r="L1449" s="7">
        <f t="shared" si="45"/>
        <v>2E-3</v>
      </c>
      <c r="M1449" s="7">
        <v>3.0000000000000001E-3</v>
      </c>
      <c r="N1449">
        <v>8</v>
      </c>
      <c r="O1449" s="8">
        <v>17.822306426995311</v>
      </c>
      <c r="P1449" s="9">
        <v>17.822306426995311</v>
      </c>
      <c r="Q1449" s="9">
        <v>17.822306426995311</v>
      </c>
      <c r="R1449" s="9">
        <v>18.237663306594719</v>
      </c>
      <c r="S1449" s="9">
        <v>18.48712920931133</v>
      </c>
      <c r="T1449" s="9">
        <v>19.201553596969877</v>
      </c>
      <c r="U1449" s="9">
        <v>20.562345482855957</v>
      </c>
      <c r="V1449" s="9">
        <v>20.562345482855957</v>
      </c>
      <c r="W1449" s="9">
        <v>20.562345482855957</v>
      </c>
      <c r="X1449" s="9">
        <v>22.391977691000818</v>
      </c>
      <c r="Y1449" s="9">
        <v>22.391977691000818</v>
      </c>
      <c r="Z1449" s="9">
        <v>24.28858708803979</v>
      </c>
      <c r="AA1449" s="9">
        <v>24.28858708803979</v>
      </c>
      <c r="AB1449" s="9">
        <v>25.117335532005217</v>
      </c>
      <c r="AC1449" s="9">
        <v>25.117335532005217</v>
      </c>
      <c r="AD1449" s="9">
        <v>29.039116491286865</v>
      </c>
      <c r="AE1449" s="9">
        <v>31.219251037281825</v>
      </c>
      <c r="AF1449" s="9">
        <v>33.487682081707895</v>
      </c>
      <c r="AG1449" s="9">
        <v>33.487682081707895</v>
      </c>
      <c r="AH1449" s="9">
        <v>36.427668170967245</v>
      </c>
      <c r="AI1449" s="9">
        <v>38.74455996597662</v>
      </c>
      <c r="AJ1449" s="9">
        <v>3.0428788910505911</v>
      </c>
    </row>
    <row r="1450" spans="1:36" x14ac:dyDescent="0.25">
      <c r="A1450" t="s">
        <v>5411</v>
      </c>
      <c r="B1450" t="s">
        <v>16</v>
      </c>
      <c r="C1450" t="s">
        <v>17</v>
      </c>
      <c r="D1450">
        <v>37275000</v>
      </c>
      <c r="E1450">
        <v>37277999</v>
      </c>
      <c r="F1450" t="s">
        <v>1269</v>
      </c>
      <c r="G1450" t="str">
        <f t="shared" si="44"/>
        <v>MGI II</v>
      </c>
      <c r="H1450" t="s">
        <v>851</v>
      </c>
      <c r="I1450" t="s">
        <v>20</v>
      </c>
      <c r="J1450" t="s">
        <v>64</v>
      </c>
      <c r="K1450" s="6">
        <v>0.03</v>
      </c>
      <c r="L1450" s="7">
        <f t="shared" si="45"/>
        <v>2E-3</v>
      </c>
      <c r="M1450" s="7">
        <v>3.0000000000000001E-3</v>
      </c>
      <c r="N1450">
        <v>8</v>
      </c>
      <c r="O1450" s="8">
        <v>17.822306426995311</v>
      </c>
      <c r="P1450" s="9">
        <v>17.822306426995311</v>
      </c>
      <c r="Q1450" s="9">
        <v>17.822306426995311</v>
      </c>
      <c r="R1450" s="9">
        <v>18.237663306594719</v>
      </c>
      <c r="S1450" s="9">
        <v>18.48712920931133</v>
      </c>
      <c r="T1450" s="9">
        <v>19.201553596969877</v>
      </c>
      <c r="U1450" s="9">
        <v>20.562345482855957</v>
      </c>
      <c r="V1450" s="9">
        <v>20.562345482855957</v>
      </c>
      <c r="W1450" s="9">
        <v>20.562345482855957</v>
      </c>
      <c r="X1450" s="9">
        <v>22.391977691000818</v>
      </c>
      <c r="Y1450" s="9">
        <v>22.391977691000818</v>
      </c>
      <c r="Z1450" s="9">
        <v>24.28858708803979</v>
      </c>
      <c r="AA1450" s="9">
        <v>24.28858708803979</v>
      </c>
      <c r="AB1450" s="9">
        <v>25.117335532005217</v>
      </c>
      <c r="AC1450" s="9">
        <v>25.117335532005217</v>
      </c>
      <c r="AD1450" s="9">
        <v>29.039116491286865</v>
      </c>
      <c r="AE1450" s="9">
        <v>31.219251037281825</v>
      </c>
      <c r="AF1450" s="9">
        <v>33.487682081707895</v>
      </c>
      <c r="AG1450" s="9">
        <v>33.487682081707895</v>
      </c>
      <c r="AH1450" s="9">
        <v>36.427668170967245</v>
      </c>
      <c r="AI1450" s="9">
        <v>38.74455996597662</v>
      </c>
      <c r="AJ1450" s="9">
        <v>3.0428788910505911</v>
      </c>
    </row>
    <row r="1451" spans="1:36" x14ac:dyDescent="0.25">
      <c r="A1451" t="s">
        <v>5411</v>
      </c>
      <c r="B1451" t="s">
        <v>16</v>
      </c>
      <c r="C1451" t="s">
        <v>17</v>
      </c>
      <c r="D1451">
        <v>37278000</v>
      </c>
      <c r="E1451">
        <v>37279999</v>
      </c>
      <c r="F1451" t="s">
        <v>1270</v>
      </c>
      <c r="G1451" t="str">
        <f t="shared" si="44"/>
        <v>MGI II</v>
      </c>
      <c r="H1451" t="s">
        <v>851</v>
      </c>
      <c r="I1451" t="s">
        <v>20</v>
      </c>
      <c r="J1451" t="s">
        <v>64</v>
      </c>
      <c r="K1451" s="6">
        <v>0.03</v>
      </c>
      <c r="L1451" s="7">
        <f t="shared" si="45"/>
        <v>2E-3</v>
      </c>
      <c r="M1451" s="7">
        <v>3.0000000000000001E-3</v>
      </c>
      <c r="N1451">
        <v>8</v>
      </c>
      <c r="O1451" s="8">
        <v>17.822306426995311</v>
      </c>
      <c r="P1451" s="9">
        <v>17.822306426995311</v>
      </c>
      <c r="Q1451" s="9">
        <v>17.822306426995311</v>
      </c>
      <c r="R1451" s="9">
        <v>18.237663306594719</v>
      </c>
      <c r="S1451" s="9">
        <v>18.48712920931133</v>
      </c>
      <c r="T1451" s="9">
        <v>19.201553596969877</v>
      </c>
      <c r="U1451" s="9">
        <v>20.562345482855957</v>
      </c>
      <c r="V1451" s="9">
        <v>20.562345482855957</v>
      </c>
      <c r="W1451" s="9">
        <v>20.562345482855957</v>
      </c>
      <c r="X1451" s="9">
        <v>22.391977691000818</v>
      </c>
      <c r="Y1451" s="9">
        <v>22.391977691000818</v>
      </c>
      <c r="Z1451" s="9">
        <v>24.28858708803979</v>
      </c>
      <c r="AA1451" s="9">
        <v>24.28858708803979</v>
      </c>
      <c r="AB1451" s="9">
        <v>25.117335532005217</v>
      </c>
      <c r="AC1451" s="9">
        <v>25.117335532005217</v>
      </c>
      <c r="AD1451" s="9">
        <v>29.039116491286865</v>
      </c>
      <c r="AE1451" s="9">
        <v>31.219251037281825</v>
      </c>
      <c r="AF1451" s="9">
        <v>33.487682081707895</v>
      </c>
      <c r="AG1451" s="9">
        <v>33.487682081707895</v>
      </c>
      <c r="AH1451" s="9">
        <v>36.427668170967245</v>
      </c>
      <c r="AI1451" s="9">
        <v>38.74455996597662</v>
      </c>
      <c r="AJ1451" s="9">
        <v>3.0428788910505911</v>
      </c>
    </row>
    <row r="1452" spans="1:36" x14ac:dyDescent="0.25">
      <c r="A1452" t="s">
        <v>5411</v>
      </c>
      <c r="B1452" t="s">
        <v>16</v>
      </c>
      <c r="C1452" t="s">
        <v>17</v>
      </c>
      <c r="D1452">
        <v>37280000</v>
      </c>
      <c r="E1452">
        <v>37299999</v>
      </c>
      <c r="F1452" t="s">
        <v>1271</v>
      </c>
      <c r="G1452" t="str">
        <f t="shared" si="44"/>
        <v>MGI II</v>
      </c>
      <c r="H1452" t="s">
        <v>851</v>
      </c>
      <c r="I1452" t="s">
        <v>20</v>
      </c>
      <c r="J1452" t="s">
        <v>64</v>
      </c>
      <c r="K1452" s="6">
        <v>0.03</v>
      </c>
      <c r="L1452" s="7">
        <f t="shared" si="45"/>
        <v>2E-3</v>
      </c>
      <c r="M1452" s="7">
        <v>3.0000000000000001E-3</v>
      </c>
      <c r="N1452">
        <v>8</v>
      </c>
      <c r="O1452" s="8">
        <v>17.822306426995311</v>
      </c>
      <c r="P1452" s="9">
        <v>17.822306426995311</v>
      </c>
      <c r="Q1452" s="9">
        <v>17.822306426995311</v>
      </c>
      <c r="R1452" s="9">
        <v>18.237663306594719</v>
      </c>
      <c r="S1452" s="9">
        <v>18.48712920931133</v>
      </c>
      <c r="T1452" s="9">
        <v>19.201553596969877</v>
      </c>
      <c r="U1452" s="9">
        <v>20.562345482855957</v>
      </c>
      <c r="V1452" s="9">
        <v>20.562345482855957</v>
      </c>
      <c r="W1452" s="9">
        <v>20.562345482855957</v>
      </c>
      <c r="X1452" s="9">
        <v>22.391977691000818</v>
      </c>
      <c r="Y1452" s="9">
        <v>22.391977691000818</v>
      </c>
      <c r="Z1452" s="9">
        <v>24.28858708803979</v>
      </c>
      <c r="AA1452" s="9">
        <v>24.28858708803979</v>
      </c>
      <c r="AB1452" s="9">
        <v>25.117335532005217</v>
      </c>
      <c r="AC1452" s="9">
        <v>25.117335532005217</v>
      </c>
      <c r="AD1452" s="9">
        <v>29.039116491286865</v>
      </c>
      <c r="AE1452" s="9">
        <v>31.219251037281825</v>
      </c>
      <c r="AF1452" s="9">
        <v>33.487682081707895</v>
      </c>
      <c r="AG1452" s="9">
        <v>33.487682081707895</v>
      </c>
      <c r="AH1452" s="9">
        <v>36.427668170967245</v>
      </c>
      <c r="AI1452" s="9">
        <v>38.74455996597662</v>
      </c>
      <c r="AJ1452" s="9">
        <v>3.0428788910505911</v>
      </c>
    </row>
    <row r="1453" spans="1:36" x14ac:dyDescent="0.25">
      <c r="A1453" t="s">
        <v>5411</v>
      </c>
      <c r="B1453" t="s">
        <v>16</v>
      </c>
      <c r="C1453" t="s">
        <v>17</v>
      </c>
      <c r="D1453">
        <v>37300000</v>
      </c>
      <c r="E1453">
        <v>37304999</v>
      </c>
      <c r="F1453" t="s">
        <v>1272</v>
      </c>
      <c r="G1453" t="str">
        <f t="shared" si="44"/>
        <v>MGI II</v>
      </c>
      <c r="H1453" t="s">
        <v>851</v>
      </c>
      <c r="I1453" t="s">
        <v>20</v>
      </c>
      <c r="J1453" t="s">
        <v>64</v>
      </c>
      <c r="K1453" s="6">
        <v>0.03</v>
      </c>
      <c r="L1453" s="7">
        <f t="shared" si="45"/>
        <v>2E-3</v>
      </c>
      <c r="M1453" s="7">
        <v>3.0000000000000001E-3</v>
      </c>
      <c r="N1453">
        <v>7</v>
      </c>
      <c r="O1453" s="8">
        <v>17.822306426995311</v>
      </c>
      <c r="P1453" s="9">
        <v>17.822306426995311</v>
      </c>
      <c r="Q1453" s="9">
        <v>17.822306426995311</v>
      </c>
      <c r="R1453" s="9">
        <v>18.237663306594719</v>
      </c>
      <c r="S1453" s="9">
        <v>18.48712920931133</v>
      </c>
      <c r="T1453" s="9">
        <v>19.201553596969877</v>
      </c>
      <c r="U1453" s="9">
        <v>20.562345482855957</v>
      </c>
      <c r="V1453" s="9">
        <v>20.562345482855957</v>
      </c>
      <c r="W1453" s="9">
        <v>20.562345482855957</v>
      </c>
      <c r="X1453" s="9">
        <v>22.391977691000818</v>
      </c>
      <c r="Y1453" s="9">
        <v>22.391977691000818</v>
      </c>
      <c r="Z1453" s="9">
        <v>24.28858708803979</v>
      </c>
      <c r="AA1453" s="9">
        <v>24.28858708803979</v>
      </c>
      <c r="AB1453" s="9">
        <v>25.117335532005217</v>
      </c>
      <c r="AC1453" s="9">
        <v>25.117335532005217</v>
      </c>
      <c r="AD1453" s="9">
        <v>29.039116491286865</v>
      </c>
      <c r="AE1453" s="9">
        <v>31.219251037281825</v>
      </c>
      <c r="AF1453" s="9">
        <v>33.487682081707895</v>
      </c>
      <c r="AG1453" s="9">
        <v>33.487682081707895</v>
      </c>
      <c r="AH1453" s="9">
        <v>36.427668170967245</v>
      </c>
      <c r="AI1453" s="9">
        <v>38.74455996597662</v>
      </c>
      <c r="AJ1453" s="9">
        <v>3.0428788910505911</v>
      </c>
    </row>
    <row r="1454" spans="1:36" x14ac:dyDescent="0.25">
      <c r="A1454" t="s">
        <v>5411</v>
      </c>
      <c r="B1454" t="s">
        <v>16</v>
      </c>
      <c r="C1454" t="s">
        <v>17</v>
      </c>
      <c r="D1454">
        <v>37305000</v>
      </c>
      <c r="E1454">
        <v>37309999</v>
      </c>
      <c r="F1454" t="s">
        <v>1273</v>
      </c>
      <c r="G1454" t="str">
        <f t="shared" si="44"/>
        <v>MGI II</v>
      </c>
      <c r="H1454" t="s">
        <v>851</v>
      </c>
      <c r="I1454" t="s">
        <v>20</v>
      </c>
      <c r="J1454" t="s">
        <v>64</v>
      </c>
      <c r="K1454" s="6">
        <v>0.03</v>
      </c>
      <c r="L1454" s="7">
        <f t="shared" si="45"/>
        <v>2E-3</v>
      </c>
      <c r="M1454" s="7">
        <v>3.0000000000000001E-3</v>
      </c>
      <c r="N1454">
        <v>8</v>
      </c>
      <c r="O1454" s="8">
        <v>17.822306426995311</v>
      </c>
      <c r="P1454" s="9">
        <v>17.822306426995311</v>
      </c>
      <c r="Q1454" s="9">
        <v>17.822306426995311</v>
      </c>
      <c r="R1454" s="9">
        <v>18.237663306594719</v>
      </c>
      <c r="S1454" s="9">
        <v>18.48712920931133</v>
      </c>
      <c r="T1454" s="9">
        <v>19.201553596969877</v>
      </c>
      <c r="U1454" s="9">
        <v>20.562345482855957</v>
      </c>
      <c r="V1454" s="9">
        <v>20.562345482855957</v>
      </c>
      <c r="W1454" s="9">
        <v>20.562345482855957</v>
      </c>
      <c r="X1454" s="9">
        <v>22.391977691000818</v>
      </c>
      <c r="Y1454" s="9">
        <v>22.391977691000818</v>
      </c>
      <c r="Z1454" s="9">
        <v>24.28858708803979</v>
      </c>
      <c r="AA1454" s="9">
        <v>24.28858708803979</v>
      </c>
      <c r="AB1454" s="9">
        <v>25.117335532005217</v>
      </c>
      <c r="AC1454" s="9">
        <v>25.117335532005217</v>
      </c>
      <c r="AD1454" s="9">
        <v>29.039116491286865</v>
      </c>
      <c r="AE1454" s="9">
        <v>31.219251037281825</v>
      </c>
      <c r="AF1454" s="9">
        <v>33.487682081707895</v>
      </c>
      <c r="AG1454" s="9">
        <v>33.487682081707895</v>
      </c>
      <c r="AH1454" s="9">
        <v>36.427668170967245</v>
      </c>
      <c r="AI1454" s="9">
        <v>38.74455996597662</v>
      </c>
      <c r="AJ1454" s="9">
        <v>3.0428788910505911</v>
      </c>
    </row>
    <row r="1455" spans="1:36" x14ac:dyDescent="0.25">
      <c r="A1455" t="s">
        <v>5411</v>
      </c>
      <c r="B1455" t="s">
        <v>16</v>
      </c>
      <c r="C1455" t="s">
        <v>17</v>
      </c>
      <c r="D1455">
        <v>37310000</v>
      </c>
      <c r="E1455">
        <v>37329999</v>
      </c>
      <c r="F1455" t="s">
        <v>1274</v>
      </c>
      <c r="G1455" t="str">
        <f t="shared" si="44"/>
        <v>MGI II</v>
      </c>
      <c r="H1455" t="s">
        <v>851</v>
      </c>
      <c r="I1455" t="s">
        <v>20</v>
      </c>
      <c r="J1455" t="s">
        <v>64</v>
      </c>
      <c r="K1455" s="6">
        <v>0.03</v>
      </c>
      <c r="L1455" s="7">
        <f t="shared" si="45"/>
        <v>2E-3</v>
      </c>
      <c r="M1455" s="7">
        <v>3.0000000000000001E-3</v>
      </c>
      <c r="N1455">
        <v>8</v>
      </c>
      <c r="O1455" s="8">
        <v>17.822306426995311</v>
      </c>
      <c r="P1455" s="9">
        <v>17.822306426995311</v>
      </c>
      <c r="Q1455" s="9">
        <v>17.822306426995311</v>
      </c>
      <c r="R1455" s="9">
        <v>18.237663306594719</v>
      </c>
      <c r="S1455" s="9">
        <v>18.48712920931133</v>
      </c>
      <c r="T1455" s="9">
        <v>19.201553596969877</v>
      </c>
      <c r="U1455" s="9">
        <v>20.562345482855957</v>
      </c>
      <c r="V1455" s="9">
        <v>20.562345482855957</v>
      </c>
      <c r="W1455" s="9">
        <v>20.562345482855957</v>
      </c>
      <c r="X1455" s="9">
        <v>22.391977691000818</v>
      </c>
      <c r="Y1455" s="9">
        <v>22.391977691000818</v>
      </c>
      <c r="Z1455" s="9">
        <v>24.28858708803979</v>
      </c>
      <c r="AA1455" s="9">
        <v>24.28858708803979</v>
      </c>
      <c r="AB1455" s="9">
        <v>25.117335532005217</v>
      </c>
      <c r="AC1455" s="9">
        <v>25.117335532005217</v>
      </c>
      <c r="AD1455" s="9">
        <v>29.039116491286865</v>
      </c>
      <c r="AE1455" s="9">
        <v>31.219251037281825</v>
      </c>
      <c r="AF1455" s="9">
        <v>33.487682081707895</v>
      </c>
      <c r="AG1455" s="9">
        <v>33.487682081707895</v>
      </c>
      <c r="AH1455" s="9">
        <v>36.427668170967245</v>
      </c>
      <c r="AI1455" s="9">
        <v>38.74455996597662</v>
      </c>
      <c r="AJ1455" s="9">
        <v>3.0428788910505911</v>
      </c>
    </row>
    <row r="1456" spans="1:36" x14ac:dyDescent="0.25">
      <c r="A1456" t="s">
        <v>5411</v>
      </c>
      <c r="B1456" t="s">
        <v>16</v>
      </c>
      <c r="C1456" t="s">
        <v>17</v>
      </c>
      <c r="D1456">
        <v>37330000</v>
      </c>
      <c r="E1456">
        <v>37339999</v>
      </c>
      <c r="F1456" t="s">
        <v>1275</v>
      </c>
      <c r="G1456" t="str">
        <f t="shared" si="44"/>
        <v>MGI II</v>
      </c>
      <c r="H1456" t="s">
        <v>851</v>
      </c>
      <c r="I1456" t="s">
        <v>20</v>
      </c>
      <c r="J1456" t="s">
        <v>64</v>
      </c>
      <c r="K1456" s="6">
        <v>0.03</v>
      </c>
      <c r="L1456" s="7">
        <f t="shared" si="45"/>
        <v>2E-3</v>
      </c>
      <c r="M1456" s="7">
        <v>3.0000000000000001E-3</v>
      </c>
      <c r="N1456">
        <v>8</v>
      </c>
      <c r="O1456" s="8">
        <v>17.822306426995311</v>
      </c>
      <c r="P1456" s="9">
        <v>17.822306426995311</v>
      </c>
      <c r="Q1456" s="9">
        <v>17.822306426995311</v>
      </c>
      <c r="R1456" s="9">
        <v>18.237663306594719</v>
      </c>
      <c r="S1456" s="9">
        <v>18.48712920931133</v>
      </c>
      <c r="T1456" s="9">
        <v>19.201553596969877</v>
      </c>
      <c r="U1456" s="9">
        <v>20.562345482855957</v>
      </c>
      <c r="V1456" s="9">
        <v>20.562345482855957</v>
      </c>
      <c r="W1456" s="9">
        <v>20.562345482855957</v>
      </c>
      <c r="X1456" s="9">
        <v>22.391977691000818</v>
      </c>
      <c r="Y1456" s="9">
        <v>22.391977691000818</v>
      </c>
      <c r="Z1456" s="9">
        <v>24.28858708803979</v>
      </c>
      <c r="AA1456" s="9">
        <v>24.28858708803979</v>
      </c>
      <c r="AB1456" s="9">
        <v>25.117335532005217</v>
      </c>
      <c r="AC1456" s="9">
        <v>25.117335532005217</v>
      </c>
      <c r="AD1456" s="9">
        <v>29.039116491286865</v>
      </c>
      <c r="AE1456" s="9">
        <v>31.219251037281825</v>
      </c>
      <c r="AF1456" s="9">
        <v>33.487682081707895</v>
      </c>
      <c r="AG1456" s="9">
        <v>33.487682081707895</v>
      </c>
      <c r="AH1456" s="9">
        <v>36.427668170967245</v>
      </c>
      <c r="AI1456" s="9">
        <v>38.74455996597662</v>
      </c>
      <c r="AJ1456" s="9">
        <v>3.0428788910505911</v>
      </c>
    </row>
    <row r="1457" spans="1:36" x14ac:dyDescent="0.25">
      <c r="A1457" t="s">
        <v>5411</v>
      </c>
      <c r="B1457" t="s">
        <v>16</v>
      </c>
      <c r="C1457" t="s">
        <v>17</v>
      </c>
      <c r="D1457">
        <v>37340000</v>
      </c>
      <c r="E1457">
        <v>37349999</v>
      </c>
      <c r="F1457" t="s">
        <v>1276</v>
      </c>
      <c r="G1457" t="str">
        <f t="shared" si="44"/>
        <v>MGI II</v>
      </c>
      <c r="H1457" t="s">
        <v>851</v>
      </c>
      <c r="I1457" t="s">
        <v>20</v>
      </c>
      <c r="J1457" t="s">
        <v>64</v>
      </c>
      <c r="K1457" s="6">
        <v>0.03</v>
      </c>
      <c r="L1457" s="7">
        <f t="shared" si="45"/>
        <v>2E-3</v>
      </c>
      <c r="M1457" s="7">
        <v>3.0000000000000001E-3</v>
      </c>
      <c r="N1457">
        <v>8</v>
      </c>
      <c r="O1457" s="8">
        <v>17.822306426995311</v>
      </c>
      <c r="P1457" s="9">
        <v>17.822306426995311</v>
      </c>
      <c r="Q1457" s="9">
        <v>17.822306426995311</v>
      </c>
      <c r="R1457" s="9">
        <v>18.237663306594719</v>
      </c>
      <c r="S1457" s="9">
        <v>18.48712920931133</v>
      </c>
      <c r="T1457" s="9">
        <v>19.201553596969877</v>
      </c>
      <c r="U1457" s="9">
        <v>20.562345482855957</v>
      </c>
      <c r="V1457" s="9">
        <v>20.562345482855957</v>
      </c>
      <c r="W1457" s="9">
        <v>20.562345482855957</v>
      </c>
      <c r="X1457" s="9">
        <v>22.391977691000818</v>
      </c>
      <c r="Y1457" s="9">
        <v>22.391977691000818</v>
      </c>
      <c r="Z1457" s="9">
        <v>24.28858708803979</v>
      </c>
      <c r="AA1457" s="9">
        <v>24.28858708803979</v>
      </c>
      <c r="AB1457" s="9">
        <v>25.117335532005217</v>
      </c>
      <c r="AC1457" s="9">
        <v>25.117335532005217</v>
      </c>
      <c r="AD1457" s="9">
        <v>29.039116491286865</v>
      </c>
      <c r="AE1457" s="9">
        <v>31.219251037281825</v>
      </c>
      <c r="AF1457" s="9">
        <v>33.487682081707895</v>
      </c>
      <c r="AG1457" s="9">
        <v>33.487682081707895</v>
      </c>
      <c r="AH1457" s="9">
        <v>36.427668170967245</v>
      </c>
      <c r="AI1457" s="9">
        <v>38.74455996597662</v>
      </c>
      <c r="AJ1457" s="9">
        <v>3.0428788910505911</v>
      </c>
    </row>
    <row r="1458" spans="1:36" x14ac:dyDescent="0.25">
      <c r="A1458" t="s">
        <v>5411</v>
      </c>
      <c r="B1458" t="s">
        <v>16</v>
      </c>
      <c r="C1458" t="s">
        <v>17</v>
      </c>
      <c r="D1458">
        <v>37350000</v>
      </c>
      <c r="E1458">
        <v>37359999</v>
      </c>
      <c r="F1458" t="s">
        <v>1277</v>
      </c>
      <c r="G1458" t="str">
        <f t="shared" si="44"/>
        <v>MGI II</v>
      </c>
      <c r="H1458" t="s">
        <v>851</v>
      </c>
      <c r="I1458" t="s">
        <v>20</v>
      </c>
      <c r="J1458" t="s">
        <v>64</v>
      </c>
      <c r="K1458" s="6">
        <v>0.03</v>
      </c>
      <c r="L1458" s="7">
        <f t="shared" si="45"/>
        <v>2E-3</v>
      </c>
      <c r="M1458" s="7">
        <v>3.0000000000000001E-3</v>
      </c>
      <c r="N1458">
        <v>8</v>
      </c>
      <c r="O1458" s="8">
        <v>17.822306426995311</v>
      </c>
      <c r="P1458" s="9">
        <v>17.822306426995311</v>
      </c>
      <c r="Q1458" s="9">
        <v>17.822306426995311</v>
      </c>
      <c r="R1458" s="9">
        <v>18.237663306594719</v>
      </c>
      <c r="S1458" s="9">
        <v>18.48712920931133</v>
      </c>
      <c r="T1458" s="9">
        <v>19.201553596969877</v>
      </c>
      <c r="U1458" s="9">
        <v>20.562345482855957</v>
      </c>
      <c r="V1458" s="9">
        <v>20.562345482855957</v>
      </c>
      <c r="W1458" s="9">
        <v>20.562345482855957</v>
      </c>
      <c r="X1458" s="9">
        <v>22.391977691000818</v>
      </c>
      <c r="Y1458" s="9">
        <v>22.391977691000818</v>
      </c>
      <c r="Z1458" s="9">
        <v>24.28858708803979</v>
      </c>
      <c r="AA1458" s="9">
        <v>24.28858708803979</v>
      </c>
      <c r="AB1458" s="9">
        <v>25.117335532005217</v>
      </c>
      <c r="AC1458" s="9">
        <v>25.117335532005217</v>
      </c>
      <c r="AD1458" s="9">
        <v>29.039116491286865</v>
      </c>
      <c r="AE1458" s="9">
        <v>31.219251037281825</v>
      </c>
      <c r="AF1458" s="9">
        <v>33.487682081707895</v>
      </c>
      <c r="AG1458" s="9">
        <v>33.487682081707895</v>
      </c>
      <c r="AH1458" s="9">
        <v>36.427668170967245</v>
      </c>
      <c r="AI1458" s="9">
        <v>38.74455996597662</v>
      </c>
      <c r="AJ1458" s="9">
        <v>3.0428788910505911</v>
      </c>
    </row>
    <row r="1459" spans="1:36" x14ac:dyDescent="0.25">
      <c r="A1459" t="s">
        <v>5411</v>
      </c>
      <c r="B1459" t="s">
        <v>16</v>
      </c>
      <c r="C1459" t="s">
        <v>17</v>
      </c>
      <c r="D1459">
        <v>37360000</v>
      </c>
      <c r="E1459">
        <v>37369999</v>
      </c>
      <c r="F1459" t="s">
        <v>1278</v>
      </c>
      <c r="G1459" t="str">
        <f t="shared" si="44"/>
        <v>MGI II</v>
      </c>
      <c r="H1459" t="s">
        <v>851</v>
      </c>
      <c r="I1459" t="s">
        <v>20</v>
      </c>
      <c r="J1459" t="s">
        <v>64</v>
      </c>
      <c r="K1459" s="6">
        <v>0.03</v>
      </c>
      <c r="L1459" s="7">
        <f t="shared" si="45"/>
        <v>2E-3</v>
      </c>
      <c r="M1459" s="7">
        <v>3.0000000000000001E-3</v>
      </c>
      <c r="N1459">
        <v>8</v>
      </c>
      <c r="O1459" s="8">
        <v>17.822306426995311</v>
      </c>
      <c r="P1459" s="9">
        <v>17.822306426995311</v>
      </c>
      <c r="Q1459" s="9">
        <v>17.822306426995311</v>
      </c>
      <c r="R1459" s="9">
        <v>18.237663306594719</v>
      </c>
      <c r="S1459" s="9">
        <v>18.48712920931133</v>
      </c>
      <c r="T1459" s="9">
        <v>19.201553596969877</v>
      </c>
      <c r="U1459" s="9">
        <v>20.562345482855957</v>
      </c>
      <c r="V1459" s="9">
        <v>20.562345482855957</v>
      </c>
      <c r="W1459" s="9">
        <v>20.562345482855957</v>
      </c>
      <c r="X1459" s="9">
        <v>22.391977691000818</v>
      </c>
      <c r="Y1459" s="9">
        <v>22.391977691000818</v>
      </c>
      <c r="Z1459" s="9">
        <v>24.28858708803979</v>
      </c>
      <c r="AA1459" s="9">
        <v>24.28858708803979</v>
      </c>
      <c r="AB1459" s="9">
        <v>25.117335532005217</v>
      </c>
      <c r="AC1459" s="9">
        <v>25.117335532005217</v>
      </c>
      <c r="AD1459" s="9">
        <v>29.039116491286865</v>
      </c>
      <c r="AE1459" s="9">
        <v>31.219251037281825</v>
      </c>
      <c r="AF1459" s="9">
        <v>33.487682081707895</v>
      </c>
      <c r="AG1459" s="9">
        <v>33.487682081707895</v>
      </c>
      <c r="AH1459" s="9">
        <v>36.427668170967245</v>
      </c>
      <c r="AI1459" s="9">
        <v>38.74455996597662</v>
      </c>
      <c r="AJ1459" s="9">
        <v>3.0428788910505911</v>
      </c>
    </row>
    <row r="1460" spans="1:36" x14ac:dyDescent="0.25">
      <c r="A1460" t="s">
        <v>5411</v>
      </c>
      <c r="B1460" t="s">
        <v>16</v>
      </c>
      <c r="C1460" t="s">
        <v>17</v>
      </c>
      <c r="D1460">
        <v>37370000</v>
      </c>
      <c r="E1460">
        <v>37399999</v>
      </c>
      <c r="F1460" t="s">
        <v>1279</v>
      </c>
      <c r="G1460" t="str">
        <f t="shared" si="44"/>
        <v>MGI II</v>
      </c>
      <c r="H1460" t="s">
        <v>851</v>
      </c>
      <c r="I1460" t="s">
        <v>20</v>
      </c>
      <c r="J1460" t="s">
        <v>64</v>
      </c>
      <c r="K1460" s="6">
        <v>0.03</v>
      </c>
      <c r="L1460" s="7">
        <f t="shared" si="45"/>
        <v>2E-3</v>
      </c>
      <c r="M1460" s="7">
        <v>3.0000000000000001E-3</v>
      </c>
      <c r="N1460">
        <v>7</v>
      </c>
      <c r="O1460" s="8">
        <v>17.822306426995311</v>
      </c>
      <c r="P1460" s="9">
        <v>17.822306426995311</v>
      </c>
      <c r="Q1460" s="9">
        <v>17.822306426995311</v>
      </c>
      <c r="R1460" s="9">
        <v>18.237663306594719</v>
      </c>
      <c r="S1460" s="9">
        <v>18.48712920931133</v>
      </c>
      <c r="T1460" s="9">
        <v>19.201553596969877</v>
      </c>
      <c r="U1460" s="9">
        <v>20.562345482855957</v>
      </c>
      <c r="V1460" s="9">
        <v>20.562345482855957</v>
      </c>
      <c r="W1460" s="9">
        <v>20.562345482855957</v>
      </c>
      <c r="X1460" s="9">
        <v>22.391977691000818</v>
      </c>
      <c r="Y1460" s="9">
        <v>22.391977691000818</v>
      </c>
      <c r="Z1460" s="9">
        <v>24.28858708803979</v>
      </c>
      <c r="AA1460" s="9">
        <v>24.28858708803979</v>
      </c>
      <c r="AB1460" s="9">
        <v>25.117335532005217</v>
      </c>
      <c r="AC1460" s="9">
        <v>25.117335532005217</v>
      </c>
      <c r="AD1460" s="9">
        <v>29.039116491286865</v>
      </c>
      <c r="AE1460" s="9">
        <v>31.219251037281825</v>
      </c>
      <c r="AF1460" s="9">
        <v>33.487682081707895</v>
      </c>
      <c r="AG1460" s="9">
        <v>33.487682081707895</v>
      </c>
      <c r="AH1460" s="9">
        <v>36.427668170967245</v>
      </c>
      <c r="AI1460" s="9">
        <v>38.74455996597662</v>
      </c>
      <c r="AJ1460" s="9">
        <v>3.0428788910505911</v>
      </c>
    </row>
    <row r="1461" spans="1:36" x14ac:dyDescent="0.25">
      <c r="A1461" t="s">
        <v>5411</v>
      </c>
      <c r="B1461" t="s">
        <v>16</v>
      </c>
      <c r="C1461" t="s">
        <v>17</v>
      </c>
      <c r="D1461">
        <v>37400000</v>
      </c>
      <c r="E1461">
        <v>37404999</v>
      </c>
      <c r="F1461" t="s">
        <v>1280</v>
      </c>
      <c r="G1461" t="str">
        <f t="shared" si="44"/>
        <v>MGI</v>
      </c>
      <c r="H1461" t="s">
        <v>851</v>
      </c>
      <c r="I1461" t="s">
        <v>20</v>
      </c>
      <c r="J1461" t="s">
        <v>62</v>
      </c>
      <c r="K1461" s="6">
        <v>0.03</v>
      </c>
      <c r="L1461" s="7">
        <f t="shared" si="45"/>
        <v>2E-3</v>
      </c>
      <c r="M1461" s="7">
        <v>3.0000000000000001E-3</v>
      </c>
      <c r="N1461">
        <v>8</v>
      </c>
      <c r="O1461" s="8">
        <v>13.880385281502075</v>
      </c>
      <c r="P1461" s="9">
        <v>13.880385281502075</v>
      </c>
      <c r="Q1461" s="9">
        <v>13.880385281502075</v>
      </c>
      <c r="R1461" s="9">
        <v>14.045989937445718</v>
      </c>
      <c r="S1461" s="9">
        <v>14.060876315369912</v>
      </c>
      <c r="T1461" s="9">
        <v>15.090338571208333</v>
      </c>
      <c r="U1461" s="9">
        <v>16.025407313902726</v>
      </c>
      <c r="V1461" s="9">
        <v>16.025407313902726</v>
      </c>
      <c r="W1461" s="9">
        <v>16.025407313902726</v>
      </c>
      <c r="X1461" s="9">
        <v>18.013895748167766</v>
      </c>
      <c r="Y1461" s="9">
        <v>18.013895748167766</v>
      </c>
      <c r="Z1461" s="9">
        <v>20.142868501532355</v>
      </c>
      <c r="AA1461" s="9">
        <v>20.142868501532355</v>
      </c>
      <c r="AB1461" s="9">
        <v>22.456349831314476</v>
      </c>
      <c r="AC1461" s="9">
        <v>22.456349831314476</v>
      </c>
      <c r="AD1461" s="9">
        <v>24.87984091164185</v>
      </c>
      <c r="AE1461" s="9">
        <v>27.427492221952345</v>
      </c>
      <c r="AF1461" s="9">
        <v>33.194804868730657</v>
      </c>
      <c r="AG1461" s="9">
        <v>33.194804868730657</v>
      </c>
      <c r="AH1461" s="9">
        <v>35.957808835828068</v>
      </c>
      <c r="AI1461" s="9">
        <v>38.646304092692077</v>
      </c>
      <c r="AJ1461" s="9">
        <v>3.0428788910505911</v>
      </c>
    </row>
    <row r="1462" spans="1:36" x14ac:dyDescent="0.25">
      <c r="A1462" t="s">
        <v>5411</v>
      </c>
      <c r="B1462" t="s">
        <v>16</v>
      </c>
      <c r="C1462" t="s">
        <v>17</v>
      </c>
      <c r="D1462">
        <v>37405000</v>
      </c>
      <c r="E1462">
        <v>37406999</v>
      </c>
      <c r="F1462" t="s">
        <v>1281</v>
      </c>
      <c r="G1462" t="str">
        <f t="shared" si="44"/>
        <v>MGI II</v>
      </c>
      <c r="H1462" t="s">
        <v>851</v>
      </c>
      <c r="I1462" t="s">
        <v>20</v>
      </c>
      <c r="J1462" t="s">
        <v>64</v>
      </c>
      <c r="K1462" s="6">
        <v>0.03</v>
      </c>
      <c r="L1462" s="7">
        <f t="shared" si="45"/>
        <v>2E-3</v>
      </c>
      <c r="M1462" s="7">
        <v>3.0000000000000001E-3</v>
      </c>
      <c r="N1462">
        <v>7</v>
      </c>
      <c r="O1462" s="8">
        <v>17.822306426995311</v>
      </c>
      <c r="P1462" s="9">
        <v>17.822306426995311</v>
      </c>
      <c r="Q1462" s="9">
        <v>17.822306426995311</v>
      </c>
      <c r="R1462" s="9">
        <v>18.237663306594719</v>
      </c>
      <c r="S1462" s="9">
        <v>18.48712920931133</v>
      </c>
      <c r="T1462" s="9">
        <v>19.201553596969877</v>
      </c>
      <c r="U1462" s="9">
        <v>20.562345482855957</v>
      </c>
      <c r="V1462" s="9">
        <v>20.562345482855957</v>
      </c>
      <c r="W1462" s="9">
        <v>20.562345482855957</v>
      </c>
      <c r="X1462" s="9">
        <v>22.391977691000818</v>
      </c>
      <c r="Y1462" s="9">
        <v>22.391977691000818</v>
      </c>
      <c r="Z1462" s="9">
        <v>24.28858708803979</v>
      </c>
      <c r="AA1462" s="9">
        <v>24.28858708803979</v>
      </c>
      <c r="AB1462" s="9">
        <v>25.117335532005217</v>
      </c>
      <c r="AC1462" s="9">
        <v>25.117335532005217</v>
      </c>
      <c r="AD1462" s="9">
        <v>29.039116491286865</v>
      </c>
      <c r="AE1462" s="9">
        <v>31.219251037281825</v>
      </c>
      <c r="AF1462" s="9">
        <v>33.487682081707895</v>
      </c>
      <c r="AG1462" s="9">
        <v>33.487682081707895</v>
      </c>
      <c r="AH1462" s="9">
        <v>36.427668170967245</v>
      </c>
      <c r="AI1462" s="9">
        <v>38.74455996597662</v>
      </c>
      <c r="AJ1462" s="9">
        <v>3.0428788910505911</v>
      </c>
    </row>
    <row r="1463" spans="1:36" x14ac:dyDescent="0.25">
      <c r="A1463" t="s">
        <v>5411</v>
      </c>
      <c r="B1463" t="s">
        <v>16</v>
      </c>
      <c r="C1463" t="s">
        <v>17</v>
      </c>
      <c r="D1463">
        <v>37407000</v>
      </c>
      <c r="E1463">
        <v>37407999</v>
      </c>
      <c r="F1463" t="s">
        <v>1282</v>
      </c>
      <c r="G1463" t="str">
        <f t="shared" si="44"/>
        <v>MGI II</v>
      </c>
      <c r="H1463" t="s">
        <v>851</v>
      </c>
      <c r="I1463" t="s">
        <v>20</v>
      </c>
      <c r="J1463" t="s">
        <v>64</v>
      </c>
      <c r="K1463" s="6">
        <v>0.03</v>
      </c>
      <c r="L1463" s="7">
        <f t="shared" si="45"/>
        <v>2E-3</v>
      </c>
      <c r="M1463" s="7">
        <v>3.0000000000000001E-3</v>
      </c>
      <c r="N1463">
        <v>7</v>
      </c>
      <c r="O1463" s="8">
        <v>17.822306426995311</v>
      </c>
      <c r="P1463" s="9">
        <v>17.822306426995311</v>
      </c>
      <c r="Q1463" s="9">
        <v>17.822306426995311</v>
      </c>
      <c r="R1463" s="9">
        <v>18.237663306594719</v>
      </c>
      <c r="S1463" s="9">
        <v>18.48712920931133</v>
      </c>
      <c r="T1463" s="9">
        <v>19.201553596969877</v>
      </c>
      <c r="U1463" s="9">
        <v>20.562345482855957</v>
      </c>
      <c r="V1463" s="9">
        <v>20.562345482855957</v>
      </c>
      <c r="W1463" s="9">
        <v>20.562345482855957</v>
      </c>
      <c r="X1463" s="9">
        <v>22.391977691000818</v>
      </c>
      <c r="Y1463" s="9">
        <v>22.391977691000818</v>
      </c>
      <c r="Z1463" s="9">
        <v>24.28858708803979</v>
      </c>
      <c r="AA1463" s="9">
        <v>24.28858708803979</v>
      </c>
      <c r="AB1463" s="9">
        <v>25.117335532005217</v>
      </c>
      <c r="AC1463" s="9">
        <v>25.117335532005217</v>
      </c>
      <c r="AD1463" s="9">
        <v>29.039116491286865</v>
      </c>
      <c r="AE1463" s="9">
        <v>31.219251037281825</v>
      </c>
      <c r="AF1463" s="9">
        <v>33.487682081707895</v>
      </c>
      <c r="AG1463" s="9">
        <v>33.487682081707895</v>
      </c>
      <c r="AH1463" s="9">
        <v>36.427668170967245</v>
      </c>
      <c r="AI1463" s="9">
        <v>38.74455996597662</v>
      </c>
      <c r="AJ1463" s="9">
        <v>3.0428788910505911</v>
      </c>
    </row>
    <row r="1464" spans="1:36" x14ac:dyDescent="0.25">
      <c r="A1464" t="s">
        <v>5411</v>
      </c>
      <c r="B1464" t="s">
        <v>16</v>
      </c>
      <c r="C1464" t="s">
        <v>17</v>
      </c>
      <c r="D1464">
        <v>37408000</v>
      </c>
      <c r="E1464">
        <v>37409999</v>
      </c>
      <c r="F1464" t="s">
        <v>1283</v>
      </c>
      <c r="G1464" t="str">
        <f t="shared" si="44"/>
        <v>MGI II</v>
      </c>
      <c r="H1464" t="s">
        <v>851</v>
      </c>
      <c r="I1464" t="s">
        <v>20</v>
      </c>
      <c r="J1464" t="s">
        <v>64</v>
      </c>
      <c r="K1464" s="6">
        <v>0.03</v>
      </c>
      <c r="L1464" s="7">
        <f t="shared" si="45"/>
        <v>2E-3</v>
      </c>
      <c r="M1464" s="7">
        <v>3.0000000000000001E-3</v>
      </c>
      <c r="N1464">
        <v>7</v>
      </c>
      <c r="O1464" s="8">
        <v>17.822306426995311</v>
      </c>
      <c r="P1464" s="9">
        <v>17.822306426995311</v>
      </c>
      <c r="Q1464" s="9">
        <v>17.822306426995311</v>
      </c>
      <c r="R1464" s="9">
        <v>18.237663306594719</v>
      </c>
      <c r="S1464" s="9">
        <v>18.48712920931133</v>
      </c>
      <c r="T1464" s="9">
        <v>19.201553596969877</v>
      </c>
      <c r="U1464" s="9">
        <v>20.562345482855957</v>
      </c>
      <c r="V1464" s="9">
        <v>20.562345482855957</v>
      </c>
      <c r="W1464" s="9">
        <v>20.562345482855957</v>
      </c>
      <c r="X1464" s="9">
        <v>22.391977691000818</v>
      </c>
      <c r="Y1464" s="9">
        <v>22.391977691000818</v>
      </c>
      <c r="Z1464" s="9">
        <v>24.28858708803979</v>
      </c>
      <c r="AA1464" s="9">
        <v>24.28858708803979</v>
      </c>
      <c r="AB1464" s="9">
        <v>25.117335532005217</v>
      </c>
      <c r="AC1464" s="9">
        <v>25.117335532005217</v>
      </c>
      <c r="AD1464" s="9">
        <v>29.039116491286865</v>
      </c>
      <c r="AE1464" s="9">
        <v>31.219251037281825</v>
      </c>
      <c r="AF1464" s="9">
        <v>33.487682081707895</v>
      </c>
      <c r="AG1464" s="9">
        <v>33.487682081707895</v>
      </c>
      <c r="AH1464" s="9">
        <v>36.427668170967245</v>
      </c>
      <c r="AI1464" s="9">
        <v>38.74455996597662</v>
      </c>
      <c r="AJ1464" s="9">
        <v>3.0428788910505911</v>
      </c>
    </row>
    <row r="1465" spans="1:36" x14ac:dyDescent="0.25">
      <c r="A1465" t="s">
        <v>5411</v>
      </c>
      <c r="B1465" t="s">
        <v>16</v>
      </c>
      <c r="C1465" t="s">
        <v>17</v>
      </c>
      <c r="D1465">
        <v>37410000</v>
      </c>
      <c r="E1465">
        <v>37419999</v>
      </c>
      <c r="F1465" t="s">
        <v>1284</v>
      </c>
      <c r="G1465" t="str">
        <f t="shared" si="44"/>
        <v>MGI</v>
      </c>
      <c r="H1465" t="s">
        <v>851</v>
      </c>
      <c r="I1465" t="s">
        <v>20</v>
      </c>
      <c r="J1465" t="s">
        <v>62</v>
      </c>
      <c r="K1465" s="6">
        <v>0.03</v>
      </c>
      <c r="L1465" s="7">
        <f t="shared" si="45"/>
        <v>2E-3</v>
      </c>
      <c r="M1465" s="7">
        <v>3.0000000000000001E-3</v>
      </c>
      <c r="N1465">
        <v>6</v>
      </c>
      <c r="O1465" s="8">
        <v>13.880385281502075</v>
      </c>
      <c r="P1465" s="9">
        <v>13.880385281502075</v>
      </c>
      <c r="Q1465" s="9">
        <v>13.880385281502075</v>
      </c>
      <c r="R1465" s="9">
        <v>14.045989937445718</v>
      </c>
      <c r="S1465" s="9">
        <v>14.060876315369912</v>
      </c>
      <c r="T1465" s="9">
        <v>15.090338571208333</v>
      </c>
      <c r="U1465" s="9">
        <v>16.025407313902726</v>
      </c>
      <c r="V1465" s="9">
        <v>16.025407313902726</v>
      </c>
      <c r="W1465" s="9">
        <v>16.025407313902726</v>
      </c>
      <c r="X1465" s="9">
        <v>18.013895748167766</v>
      </c>
      <c r="Y1465" s="9">
        <v>18.013895748167766</v>
      </c>
      <c r="Z1465" s="9">
        <v>20.142868501532355</v>
      </c>
      <c r="AA1465" s="9">
        <v>20.142868501532355</v>
      </c>
      <c r="AB1465" s="9">
        <v>22.456349831314476</v>
      </c>
      <c r="AC1465" s="9">
        <v>22.456349831314476</v>
      </c>
      <c r="AD1465" s="9">
        <v>24.87984091164185</v>
      </c>
      <c r="AE1465" s="9">
        <v>27.427492221952345</v>
      </c>
      <c r="AF1465" s="9">
        <v>33.194804868730657</v>
      </c>
      <c r="AG1465" s="9">
        <v>33.194804868730657</v>
      </c>
      <c r="AH1465" s="9">
        <v>35.957808835828068</v>
      </c>
      <c r="AI1465" s="9">
        <v>38.646304092692077</v>
      </c>
      <c r="AJ1465" s="9">
        <v>3.0428788910505911</v>
      </c>
    </row>
    <row r="1466" spans="1:36" x14ac:dyDescent="0.25">
      <c r="A1466" t="s">
        <v>5411</v>
      </c>
      <c r="B1466" t="s">
        <v>16</v>
      </c>
      <c r="C1466" t="s">
        <v>17</v>
      </c>
      <c r="D1466">
        <v>37420000</v>
      </c>
      <c r="E1466">
        <v>37429999</v>
      </c>
      <c r="F1466" t="s">
        <v>1285</v>
      </c>
      <c r="G1466" t="str">
        <f t="shared" si="44"/>
        <v>MGI</v>
      </c>
      <c r="H1466" t="s">
        <v>851</v>
      </c>
      <c r="I1466" t="s">
        <v>20</v>
      </c>
      <c r="J1466" t="s">
        <v>62</v>
      </c>
      <c r="K1466" s="6">
        <v>0.03</v>
      </c>
      <c r="L1466" s="7">
        <f t="shared" si="45"/>
        <v>2E-3</v>
      </c>
      <c r="M1466" s="7">
        <v>3.0000000000000001E-3</v>
      </c>
      <c r="N1466">
        <v>8</v>
      </c>
      <c r="O1466" s="8">
        <v>13.880385281502075</v>
      </c>
      <c r="P1466" s="9">
        <v>13.880385281502075</v>
      </c>
      <c r="Q1466" s="9">
        <v>13.880385281502075</v>
      </c>
      <c r="R1466" s="9">
        <v>14.045989937445718</v>
      </c>
      <c r="S1466" s="9">
        <v>14.060876315369912</v>
      </c>
      <c r="T1466" s="9">
        <v>15.090338571208333</v>
      </c>
      <c r="U1466" s="9">
        <v>16.025407313902726</v>
      </c>
      <c r="V1466" s="9">
        <v>16.025407313902726</v>
      </c>
      <c r="W1466" s="9">
        <v>16.025407313902726</v>
      </c>
      <c r="X1466" s="9">
        <v>18.013895748167766</v>
      </c>
      <c r="Y1466" s="9">
        <v>18.013895748167766</v>
      </c>
      <c r="Z1466" s="9">
        <v>20.142868501532355</v>
      </c>
      <c r="AA1466" s="9">
        <v>20.142868501532355</v>
      </c>
      <c r="AB1466" s="9">
        <v>22.456349831314476</v>
      </c>
      <c r="AC1466" s="9">
        <v>22.456349831314476</v>
      </c>
      <c r="AD1466" s="9">
        <v>24.87984091164185</v>
      </c>
      <c r="AE1466" s="9">
        <v>27.427492221952345</v>
      </c>
      <c r="AF1466" s="9">
        <v>33.194804868730657</v>
      </c>
      <c r="AG1466" s="9">
        <v>33.194804868730657</v>
      </c>
      <c r="AH1466" s="9">
        <v>35.957808835828068</v>
      </c>
      <c r="AI1466" s="9">
        <v>38.646304092692077</v>
      </c>
      <c r="AJ1466" s="9">
        <v>3.0428788910505911</v>
      </c>
    </row>
    <row r="1467" spans="1:36" x14ac:dyDescent="0.25">
      <c r="A1467" t="s">
        <v>5411</v>
      </c>
      <c r="B1467" t="s">
        <v>16</v>
      </c>
      <c r="C1467" t="s">
        <v>17</v>
      </c>
      <c r="D1467">
        <v>37430000</v>
      </c>
      <c r="E1467">
        <v>37439999</v>
      </c>
      <c r="F1467" t="s">
        <v>1286</v>
      </c>
      <c r="G1467" t="str">
        <f t="shared" si="44"/>
        <v>MGI</v>
      </c>
      <c r="H1467" t="s">
        <v>851</v>
      </c>
      <c r="I1467" t="s">
        <v>20</v>
      </c>
      <c r="J1467" t="s">
        <v>62</v>
      </c>
      <c r="K1467" s="6">
        <v>0.03</v>
      </c>
      <c r="L1467" s="7">
        <f t="shared" si="45"/>
        <v>2E-3</v>
      </c>
      <c r="M1467" s="7">
        <v>3.0000000000000001E-3</v>
      </c>
      <c r="N1467">
        <v>8</v>
      </c>
      <c r="O1467" s="8">
        <v>13.880385281502075</v>
      </c>
      <c r="P1467" s="9">
        <v>13.880385281502075</v>
      </c>
      <c r="Q1467" s="9">
        <v>13.880385281502075</v>
      </c>
      <c r="R1467" s="9">
        <v>14.045989937445718</v>
      </c>
      <c r="S1467" s="9">
        <v>14.060876315369912</v>
      </c>
      <c r="T1467" s="9">
        <v>15.090338571208333</v>
      </c>
      <c r="U1467" s="9">
        <v>16.025407313902726</v>
      </c>
      <c r="V1467" s="9">
        <v>16.025407313902726</v>
      </c>
      <c r="W1467" s="9">
        <v>16.025407313902726</v>
      </c>
      <c r="X1467" s="9">
        <v>18.013895748167766</v>
      </c>
      <c r="Y1467" s="9">
        <v>18.013895748167766</v>
      </c>
      <c r="Z1467" s="9">
        <v>20.142868501532355</v>
      </c>
      <c r="AA1467" s="9">
        <v>20.142868501532355</v>
      </c>
      <c r="AB1467" s="9">
        <v>22.456349831314476</v>
      </c>
      <c r="AC1467" s="9">
        <v>22.456349831314476</v>
      </c>
      <c r="AD1467" s="9">
        <v>24.87984091164185</v>
      </c>
      <c r="AE1467" s="9">
        <v>27.427492221952345</v>
      </c>
      <c r="AF1467" s="9">
        <v>33.194804868730657</v>
      </c>
      <c r="AG1467" s="9">
        <v>33.194804868730657</v>
      </c>
      <c r="AH1467" s="9">
        <v>35.957808835828068</v>
      </c>
      <c r="AI1467" s="9">
        <v>38.646304092692077</v>
      </c>
      <c r="AJ1467" s="9">
        <v>3.0428788910505911</v>
      </c>
    </row>
    <row r="1468" spans="1:36" x14ac:dyDescent="0.25">
      <c r="A1468" t="s">
        <v>5411</v>
      </c>
      <c r="B1468" t="s">
        <v>16</v>
      </c>
      <c r="C1468" t="s">
        <v>17</v>
      </c>
      <c r="D1468">
        <v>37440000</v>
      </c>
      <c r="E1468">
        <v>37442999</v>
      </c>
      <c r="F1468" t="s">
        <v>1287</v>
      </c>
      <c r="G1468" t="str">
        <f t="shared" si="44"/>
        <v>MGI</v>
      </c>
      <c r="H1468" t="s">
        <v>851</v>
      </c>
      <c r="I1468" t="s">
        <v>20</v>
      </c>
      <c r="J1468" t="s">
        <v>62</v>
      </c>
      <c r="K1468" s="6">
        <v>0.03</v>
      </c>
      <c r="L1468" s="7">
        <f t="shared" si="45"/>
        <v>2E-3</v>
      </c>
      <c r="M1468" s="7">
        <v>3.0000000000000001E-3</v>
      </c>
      <c r="N1468">
        <v>7</v>
      </c>
      <c r="O1468" s="8">
        <v>13.880385281502075</v>
      </c>
      <c r="P1468" s="9">
        <v>13.880385281502075</v>
      </c>
      <c r="Q1468" s="9">
        <v>13.880385281502075</v>
      </c>
      <c r="R1468" s="9">
        <v>14.045989937445718</v>
      </c>
      <c r="S1468" s="9">
        <v>14.060876315369912</v>
      </c>
      <c r="T1468" s="9">
        <v>15.090338571208333</v>
      </c>
      <c r="U1468" s="9">
        <v>16.025407313902726</v>
      </c>
      <c r="V1468" s="9">
        <v>16.025407313902726</v>
      </c>
      <c r="W1468" s="9">
        <v>16.025407313902726</v>
      </c>
      <c r="X1468" s="9">
        <v>18.013895748167766</v>
      </c>
      <c r="Y1468" s="9">
        <v>18.013895748167766</v>
      </c>
      <c r="Z1468" s="9">
        <v>20.142868501532355</v>
      </c>
      <c r="AA1468" s="9">
        <v>20.142868501532355</v>
      </c>
      <c r="AB1468" s="9">
        <v>22.456349831314476</v>
      </c>
      <c r="AC1468" s="9">
        <v>22.456349831314476</v>
      </c>
      <c r="AD1468" s="9">
        <v>24.87984091164185</v>
      </c>
      <c r="AE1468" s="9">
        <v>27.427492221952345</v>
      </c>
      <c r="AF1468" s="9">
        <v>33.194804868730657</v>
      </c>
      <c r="AG1468" s="9">
        <v>33.194804868730657</v>
      </c>
      <c r="AH1468" s="9">
        <v>35.957808835828068</v>
      </c>
      <c r="AI1468" s="9">
        <v>38.646304092692077</v>
      </c>
      <c r="AJ1468" s="9">
        <v>3.0428788910505911</v>
      </c>
    </row>
    <row r="1469" spans="1:36" x14ac:dyDescent="0.25">
      <c r="A1469" t="s">
        <v>5411</v>
      </c>
      <c r="B1469" t="s">
        <v>16</v>
      </c>
      <c r="C1469" t="s">
        <v>17</v>
      </c>
      <c r="D1469">
        <v>37443000</v>
      </c>
      <c r="E1469">
        <v>37444999</v>
      </c>
      <c r="F1469" t="s">
        <v>1288</v>
      </c>
      <c r="G1469" t="str">
        <f t="shared" si="44"/>
        <v>MGI</v>
      </c>
      <c r="H1469" t="s">
        <v>851</v>
      </c>
      <c r="I1469" t="s">
        <v>20</v>
      </c>
      <c r="J1469" t="s">
        <v>62</v>
      </c>
      <c r="K1469" s="6">
        <v>0.03</v>
      </c>
      <c r="L1469" s="7">
        <f t="shared" si="45"/>
        <v>2E-3</v>
      </c>
      <c r="M1469" s="7">
        <v>3.0000000000000001E-3</v>
      </c>
      <c r="N1469">
        <v>8</v>
      </c>
      <c r="O1469" s="8">
        <v>13.880385281502075</v>
      </c>
      <c r="P1469" s="9">
        <v>13.880385281502075</v>
      </c>
      <c r="Q1469" s="9">
        <v>13.880385281502075</v>
      </c>
      <c r="R1469" s="9">
        <v>14.045989937445718</v>
      </c>
      <c r="S1469" s="9">
        <v>14.060876315369912</v>
      </c>
      <c r="T1469" s="9">
        <v>15.090338571208333</v>
      </c>
      <c r="U1469" s="9">
        <v>16.025407313902726</v>
      </c>
      <c r="V1469" s="9">
        <v>16.025407313902726</v>
      </c>
      <c r="W1469" s="9">
        <v>16.025407313902726</v>
      </c>
      <c r="X1469" s="9">
        <v>18.013895748167766</v>
      </c>
      <c r="Y1469" s="9">
        <v>18.013895748167766</v>
      </c>
      <c r="Z1469" s="9">
        <v>20.142868501532355</v>
      </c>
      <c r="AA1469" s="9">
        <v>20.142868501532355</v>
      </c>
      <c r="AB1469" s="9">
        <v>22.456349831314476</v>
      </c>
      <c r="AC1469" s="9">
        <v>22.456349831314476</v>
      </c>
      <c r="AD1469" s="9">
        <v>24.87984091164185</v>
      </c>
      <c r="AE1469" s="9">
        <v>27.427492221952345</v>
      </c>
      <c r="AF1469" s="9">
        <v>33.194804868730657</v>
      </c>
      <c r="AG1469" s="9">
        <v>33.194804868730657</v>
      </c>
      <c r="AH1469" s="9">
        <v>35.957808835828068</v>
      </c>
      <c r="AI1469" s="9">
        <v>38.646304092692077</v>
      </c>
      <c r="AJ1469" s="9">
        <v>3.0428788910505911</v>
      </c>
    </row>
    <row r="1470" spans="1:36" x14ac:dyDescent="0.25">
      <c r="A1470" t="s">
        <v>5411</v>
      </c>
      <c r="B1470" t="s">
        <v>16</v>
      </c>
      <c r="C1470" t="s">
        <v>17</v>
      </c>
      <c r="D1470">
        <v>37445000</v>
      </c>
      <c r="E1470">
        <v>37446999</v>
      </c>
      <c r="F1470" t="s">
        <v>1289</v>
      </c>
      <c r="G1470" t="str">
        <f t="shared" si="44"/>
        <v>MGI II</v>
      </c>
      <c r="H1470" t="s">
        <v>851</v>
      </c>
      <c r="I1470" t="s">
        <v>20</v>
      </c>
      <c r="J1470" t="s">
        <v>64</v>
      </c>
      <c r="K1470" s="6">
        <v>0.03</v>
      </c>
      <c r="L1470" s="7">
        <f t="shared" si="45"/>
        <v>2E-3</v>
      </c>
      <c r="M1470" s="7">
        <v>3.0000000000000001E-3</v>
      </c>
      <c r="N1470">
        <v>8</v>
      </c>
      <c r="O1470" s="8">
        <v>17.822306426995311</v>
      </c>
      <c r="P1470" s="9">
        <v>17.822306426995311</v>
      </c>
      <c r="Q1470" s="9">
        <v>17.822306426995311</v>
      </c>
      <c r="R1470" s="9">
        <v>18.237663306594719</v>
      </c>
      <c r="S1470" s="9">
        <v>18.48712920931133</v>
      </c>
      <c r="T1470" s="9">
        <v>19.201553596969877</v>
      </c>
      <c r="U1470" s="9">
        <v>20.562345482855957</v>
      </c>
      <c r="V1470" s="9">
        <v>20.562345482855957</v>
      </c>
      <c r="W1470" s="9">
        <v>20.562345482855957</v>
      </c>
      <c r="X1470" s="9">
        <v>22.391977691000818</v>
      </c>
      <c r="Y1470" s="9">
        <v>22.391977691000818</v>
      </c>
      <c r="Z1470" s="9">
        <v>24.28858708803979</v>
      </c>
      <c r="AA1470" s="9">
        <v>24.28858708803979</v>
      </c>
      <c r="AB1470" s="9">
        <v>25.117335532005217</v>
      </c>
      <c r="AC1470" s="9">
        <v>25.117335532005217</v>
      </c>
      <c r="AD1470" s="9">
        <v>29.039116491286865</v>
      </c>
      <c r="AE1470" s="9">
        <v>31.219251037281825</v>
      </c>
      <c r="AF1470" s="9">
        <v>33.487682081707895</v>
      </c>
      <c r="AG1470" s="9">
        <v>33.487682081707895</v>
      </c>
      <c r="AH1470" s="9">
        <v>36.427668170967245</v>
      </c>
      <c r="AI1470" s="9">
        <v>38.74455996597662</v>
      </c>
      <c r="AJ1470" s="9">
        <v>3.0428788910505911</v>
      </c>
    </row>
    <row r="1471" spans="1:36" x14ac:dyDescent="0.25">
      <c r="A1471" t="s">
        <v>5411</v>
      </c>
      <c r="B1471" t="s">
        <v>16</v>
      </c>
      <c r="C1471" t="s">
        <v>17</v>
      </c>
      <c r="D1471">
        <v>37447000</v>
      </c>
      <c r="E1471">
        <v>37449999</v>
      </c>
      <c r="F1471" t="s">
        <v>1290</v>
      </c>
      <c r="G1471" t="str">
        <f t="shared" si="44"/>
        <v>MGI II</v>
      </c>
      <c r="H1471" t="s">
        <v>851</v>
      </c>
      <c r="I1471" t="s">
        <v>20</v>
      </c>
      <c r="J1471" t="s">
        <v>64</v>
      </c>
      <c r="K1471" s="6">
        <v>0.03</v>
      </c>
      <c r="L1471" s="7">
        <f t="shared" si="45"/>
        <v>2E-3</v>
      </c>
      <c r="M1471" s="7">
        <v>3.0000000000000001E-3</v>
      </c>
      <c r="N1471">
        <v>8</v>
      </c>
      <c r="O1471" s="8">
        <v>17.822306426995311</v>
      </c>
      <c r="P1471" s="9">
        <v>17.822306426995311</v>
      </c>
      <c r="Q1471" s="9">
        <v>17.822306426995311</v>
      </c>
      <c r="R1471" s="9">
        <v>18.237663306594719</v>
      </c>
      <c r="S1471" s="9">
        <v>18.48712920931133</v>
      </c>
      <c r="T1471" s="9">
        <v>19.201553596969877</v>
      </c>
      <c r="U1471" s="9">
        <v>20.562345482855957</v>
      </c>
      <c r="V1471" s="9">
        <v>20.562345482855957</v>
      </c>
      <c r="W1471" s="9">
        <v>20.562345482855957</v>
      </c>
      <c r="X1471" s="9">
        <v>22.391977691000818</v>
      </c>
      <c r="Y1471" s="9">
        <v>22.391977691000818</v>
      </c>
      <c r="Z1471" s="9">
        <v>24.28858708803979</v>
      </c>
      <c r="AA1471" s="9">
        <v>24.28858708803979</v>
      </c>
      <c r="AB1471" s="9">
        <v>25.117335532005217</v>
      </c>
      <c r="AC1471" s="9">
        <v>25.117335532005217</v>
      </c>
      <c r="AD1471" s="9">
        <v>29.039116491286865</v>
      </c>
      <c r="AE1471" s="9">
        <v>31.219251037281825</v>
      </c>
      <c r="AF1471" s="9">
        <v>33.487682081707895</v>
      </c>
      <c r="AG1471" s="9">
        <v>33.487682081707895</v>
      </c>
      <c r="AH1471" s="9">
        <v>36.427668170967245</v>
      </c>
      <c r="AI1471" s="9">
        <v>38.74455996597662</v>
      </c>
      <c r="AJ1471" s="9">
        <v>3.0428788910505911</v>
      </c>
    </row>
    <row r="1472" spans="1:36" x14ac:dyDescent="0.25">
      <c r="A1472" t="s">
        <v>5411</v>
      </c>
      <c r="B1472" t="s">
        <v>16</v>
      </c>
      <c r="C1472" t="s">
        <v>17</v>
      </c>
      <c r="D1472">
        <v>37450000</v>
      </c>
      <c r="E1472">
        <v>37451999</v>
      </c>
      <c r="F1472" t="s">
        <v>1291</v>
      </c>
      <c r="G1472" t="str">
        <f t="shared" si="44"/>
        <v>MGI II</v>
      </c>
      <c r="H1472" t="s">
        <v>851</v>
      </c>
      <c r="I1472" t="s">
        <v>20</v>
      </c>
      <c r="J1472" t="s">
        <v>64</v>
      </c>
      <c r="K1472" s="6">
        <v>0.03</v>
      </c>
      <c r="L1472" s="7">
        <f t="shared" si="45"/>
        <v>2E-3</v>
      </c>
      <c r="M1472" s="7">
        <v>3.0000000000000001E-3</v>
      </c>
      <c r="N1472">
        <v>7</v>
      </c>
      <c r="O1472" s="8">
        <v>17.822306426995311</v>
      </c>
      <c r="P1472" s="9">
        <v>17.822306426995311</v>
      </c>
      <c r="Q1472" s="9">
        <v>17.822306426995311</v>
      </c>
      <c r="R1472" s="9">
        <v>18.237663306594719</v>
      </c>
      <c r="S1472" s="9">
        <v>18.48712920931133</v>
      </c>
      <c r="T1472" s="9">
        <v>19.201553596969877</v>
      </c>
      <c r="U1472" s="9">
        <v>20.562345482855957</v>
      </c>
      <c r="V1472" s="9">
        <v>20.562345482855957</v>
      </c>
      <c r="W1472" s="9">
        <v>20.562345482855957</v>
      </c>
      <c r="X1472" s="9">
        <v>22.391977691000818</v>
      </c>
      <c r="Y1472" s="9">
        <v>22.391977691000818</v>
      </c>
      <c r="Z1472" s="9">
        <v>24.28858708803979</v>
      </c>
      <c r="AA1472" s="9">
        <v>24.28858708803979</v>
      </c>
      <c r="AB1472" s="9">
        <v>25.117335532005217</v>
      </c>
      <c r="AC1472" s="9">
        <v>25.117335532005217</v>
      </c>
      <c r="AD1472" s="9">
        <v>29.039116491286865</v>
      </c>
      <c r="AE1472" s="9">
        <v>31.219251037281825</v>
      </c>
      <c r="AF1472" s="9">
        <v>33.487682081707895</v>
      </c>
      <c r="AG1472" s="9">
        <v>33.487682081707895</v>
      </c>
      <c r="AH1472" s="9">
        <v>36.427668170967245</v>
      </c>
      <c r="AI1472" s="9">
        <v>38.74455996597662</v>
      </c>
      <c r="AJ1472" s="9">
        <v>3.0428788910505911</v>
      </c>
    </row>
    <row r="1473" spans="1:36" x14ac:dyDescent="0.25">
      <c r="A1473" t="s">
        <v>5411</v>
      </c>
      <c r="B1473" t="s">
        <v>16</v>
      </c>
      <c r="C1473" t="s">
        <v>17</v>
      </c>
      <c r="D1473">
        <v>37452000</v>
      </c>
      <c r="E1473">
        <v>37453999</v>
      </c>
      <c r="F1473" t="s">
        <v>1292</v>
      </c>
      <c r="G1473" t="str">
        <f t="shared" si="44"/>
        <v>MGI II</v>
      </c>
      <c r="H1473" t="s">
        <v>851</v>
      </c>
      <c r="I1473" t="s">
        <v>20</v>
      </c>
      <c r="J1473" t="s">
        <v>64</v>
      </c>
      <c r="K1473" s="6">
        <v>0.03</v>
      </c>
      <c r="L1473" s="7">
        <f t="shared" si="45"/>
        <v>2E-3</v>
      </c>
      <c r="M1473" s="7">
        <v>3.0000000000000001E-3</v>
      </c>
      <c r="N1473">
        <v>8</v>
      </c>
      <c r="O1473" s="8">
        <v>17.822306426995311</v>
      </c>
      <c r="P1473" s="9">
        <v>17.822306426995311</v>
      </c>
      <c r="Q1473" s="9">
        <v>17.822306426995311</v>
      </c>
      <c r="R1473" s="9">
        <v>18.237663306594719</v>
      </c>
      <c r="S1473" s="9">
        <v>18.48712920931133</v>
      </c>
      <c r="T1473" s="9">
        <v>19.201553596969877</v>
      </c>
      <c r="U1473" s="9">
        <v>20.562345482855957</v>
      </c>
      <c r="V1473" s="9">
        <v>20.562345482855957</v>
      </c>
      <c r="W1473" s="9">
        <v>20.562345482855957</v>
      </c>
      <c r="X1473" s="9">
        <v>22.391977691000818</v>
      </c>
      <c r="Y1473" s="9">
        <v>22.391977691000818</v>
      </c>
      <c r="Z1473" s="9">
        <v>24.28858708803979</v>
      </c>
      <c r="AA1473" s="9">
        <v>24.28858708803979</v>
      </c>
      <c r="AB1473" s="9">
        <v>25.117335532005217</v>
      </c>
      <c r="AC1473" s="9">
        <v>25.117335532005217</v>
      </c>
      <c r="AD1473" s="9">
        <v>29.039116491286865</v>
      </c>
      <c r="AE1473" s="9">
        <v>31.219251037281825</v>
      </c>
      <c r="AF1473" s="9">
        <v>33.487682081707895</v>
      </c>
      <c r="AG1473" s="9">
        <v>33.487682081707895</v>
      </c>
      <c r="AH1473" s="9">
        <v>36.427668170967245</v>
      </c>
      <c r="AI1473" s="9">
        <v>38.74455996597662</v>
      </c>
      <c r="AJ1473" s="9">
        <v>3.0428788910505911</v>
      </c>
    </row>
    <row r="1474" spans="1:36" x14ac:dyDescent="0.25">
      <c r="A1474" t="s">
        <v>5411</v>
      </c>
      <c r="B1474" t="s">
        <v>16</v>
      </c>
      <c r="C1474" t="s">
        <v>17</v>
      </c>
      <c r="D1474">
        <v>37454000</v>
      </c>
      <c r="E1474">
        <v>37455999</v>
      </c>
      <c r="F1474" t="s">
        <v>1293</v>
      </c>
      <c r="G1474" t="str">
        <f t="shared" si="44"/>
        <v>MGI II</v>
      </c>
      <c r="H1474" t="s">
        <v>851</v>
      </c>
      <c r="I1474" t="s">
        <v>20</v>
      </c>
      <c r="J1474" t="s">
        <v>64</v>
      </c>
      <c r="K1474" s="6">
        <v>0.03</v>
      </c>
      <c r="L1474" s="7">
        <f t="shared" si="45"/>
        <v>2E-3</v>
      </c>
      <c r="M1474" s="7">
        <v>3.0000000000000001E-3</v>
      </c>
      <c r="N1474">
        <v>7</v>
      </c>
      <c r="O1474" s="8">
        <v>17.822306426995311</v>
      </c>
      <c r="P1474" s="9">
        <v>17.822306426995311</v>
      </c>
      <c r="Q1474" s="9">
        <v>17.822306426995311</v>
      </c>
      <c r="R1474" s="9">
        <v>18.237663306594719</v>
      </c>
      <c r="S1474" s="9">
        <v>18.48712920931133</v>
      </c>
      <c r="T1474" s="9">
        <v>19.201553596969877</v>
      </c>
      <c r="U1474" s="9">
        <v>20.562345482855957</v>
      </c>
      <c r="V1474" s="9">
        <v>20.562345482855957</v>
      </c>
      <c r="W1474" s="9">
        <v>20.562345482855957</v>
      </c>
      <c r="X1474" s="9">
        <v>22.391977691000818</v>
      </c>
      <c r="Y1474" s="9">
        <v>22.391977691000818</v>
      </c>
      <c r="Z1474" s="9">
        <v>24.28858708803979</v>
      </c>
      <c r="AA1474" s="9">
        <v>24.28858708803979</v>
      </c>
      <c r="AB1474" s="9">
        <v>25.117335532005217</v>
      </c>
      <c r="AC1474" s="9">
        <v>25.117335532005217</v>
      </c>
      <c r="AD1474" s="9">
        <v>29.039116491286865</v>
      </c>
      <c r="AE1474" s="9">
        <v>31.219251037281825</v>
      </c>
      <c r="AF1474" s="9">
        <v>33.487682081707895</v>
      </c>
      <c r="AG1474" s="9">
        <v>33.487682081707895</v>
      </c>
      <c r="AH1474" s="9">
        <v>36.427668170967245</v>
      </c>
      <c r="AI1474" s="9">
        <v>38.74455996597662</v>
      </c>
      <c r="AJ1474" s="9">
        <v>3.0428788910505911</v>
      </c>
    </row>
    <row r="1475" spans="1:36" x14ac:dyDescent="0.25">
      <c r="A1475" t="s">
        <v>5411</v>
      </c>
      <c r="B1475" t="s">
        <v>16</v>
      </c>
      <c r="C1475" t="s">
        <v>17</v>
      </c>
      <c r="D1475">
        <v>37456000</v>
      </c>
      <c r="E1475">
        <v>37457999</v>
      </c>
      <c r="F1475" t="s">
        <v>1294</v>
      </c>
      <c r="G1475" t="str">
        <f t="shared" si="44"/>
        <v>MGI II</v>
      </c>
      <c r="H1475" t="s">
        <v>851</v>
      </c>
      <c r="I1475" t="s">
        <v>20</v>
      </c>
      <c r="J1475" t="s">
        <v>64</v>
      </c>
      <c r="K1475" s="6">
        <v>0.03</v>
      </c>
      <c r="L1475" s="7">
        <f t="shared" si="45"/>
        <v>2E-3</v>
      </c>
      <c r="M1475" s="7">
        <v>3.0000000000000001E-3</v>
      </c>
      <c r="N1475">
        <v>8</v>
      </c>
      <c r="O1475" s="8">
        <v>17.822306426995311</v>
      </c>
      <c r="P1475" s="9">
        <v>17.822306426995311</v>
      </c>
      <c r="Q1475" s="9">
        <v>17.822306426995311</v>
      </c>
      <c r="R1475" s="9">
        <v>18.237663306594719</v>
      </c>
      <c r="S1475" s="9">
        <v>18.48712920931133</v>
      </c>
      <c r="T1475" s="9">
        <v>19.201553596969877</v>
      </c>
      <c r="U1475" s="9">
        <v>20.562345482855957</v>
      </c>
      <c r="V1475" s="9">
        <v>20.562345482855957</v>
      </c>
      <c r="W1475" s="9">
        <v>20.562345482855957</v>
      </c>
      <c r="X1475" s="9">
        <v>22.391977691000818</v>
      </c>
      <c r="Y1475" s="9">
        <v>22.391977691000818</v>
      </c>
      <c r="Z1475" s="9">
        <v>24.28858708803979</v>
      </c>
      <c r="AA1475" s="9">
        <v>24.28858708803979</v>
      </c>
      <c r="AB1475" s="9">
        <v>25.117335532005217</v>
      </c>
      <c r="AC1475" s="9">
        <v>25.117335532005217</v>
      </c>
      <c r="AD1475" s="9">
        <v>29.039116491286865</v>
      </c>
      <c r="AE1475" s="9">
        <v>31.219251037281825</v>
      </c>
      <c r="AF1475" s="9">
        <v>33.487682081707895</v>
      </c>
      <c r="AG1475" s="9">
        <v>33.487682081707895</v>
      </c>
      <c r="AH1475" s="9">
        <v>36.427668170967245</v>
      </c>
      <c r="AI1475" s="9">
        <v>38.74455996597662</v>
      </c>
      <c r="AJ1475" s="9">
        <v>3.0428788910505911</v>
      </c>
    </row>
    <row r="1476" spans="1:36" x14ac:dyDescent="0.25">
      <c r="A1476" t="s">
        <v>5411</v>
      </c>
      <c r="B1476" t="s">
        <v>16</v>
      </c>
      <c r="C1476" t="s">
        <v>17</v>
      </c>
      <c r="D1476">
        <v>37458000</v>
      </c>
      <c r="E1476">
        <v>37459999</v>
      </c>
      <c r="F1476" t="s">
        <v>1295</v>
      </c>
      <c r="G1476" t="str">
        <f t="shared" ref="G1476:G1539" si="46">H1476&amp;IF(J1476="CAPITAL","C",IF(J1476="INTERIOR","I",IF(J1476="INTERIOR II","I II","R")))</f>
        <v>MGI II</v>
      </c>
      <c r="H1476" t="s">
        <v>851</v>
      </c>
      <c r="I1476" t="s">
        <v>20</v>
      </c>
      <c r="J1476" t="s">
        <v>64</v>
      </c>
      <c r="K1476" s="6">
        <v>0.03</v>
      </c>
      <c r="L1476" s="7">
        <f t="shared" ref="L1476:L1539" si="47">IF(I1476="(0) Não",0.2%,3%)</f>
        <v>2E-3</v>
      </c>
      <c r="M1476" s="7">
        <v>3.0000000000000001E-3</v>
      </c>
      <c r="N1476">
        <v>7</v>
      </c>
      <c r="O1476" s="8">
        <v>17.822306426995311</v>
      </c>
      <c r="P1476" s="9">
        <v>17.822306426995311</v>
      </c>
      <c r="Q1476" s="9">
        <v>17.822306426995311</v>
      </c>
      <c r="R1476" s="9">
        <v>18.237663306594719</v>
      </c>
      <c r="S1476" s="9">
        <v>18.48712920931133</v>
      </c>
      <c r="T1476" s="9">
        <v>19.201553596969877</v>
      </c>
      <c r="U1476" s="9">
        <v>20.562345482855957</v>
      </c>
      <c r="V1476" s="9">
        <v>20.562345482855957</v>
      </c>
      <c r="W1476" s="9">
        <v>20.562345482855957</v>
      </c>
      <c r="X1476" s="9">
        <v>22.391977691000818</v>
      </c>
      <c r="Y1476" s="9">
        <v>22.391977691000818</v>
      </c>
      <c r="Z1476" s="9">
        <v>24.28858708803979</v>
      </c>
      <c r="AA1476" s="9">
        <v>24.28858708803979</v>
      </c>
      <c r="AB1476" s="9">
        <v>25.117335532005217</v>
      </c>
      <c r="AC1476" s="9">
        <v>25.117335532005217</v>
      </c>
      <c r="AD1476" s="9">
        <v>29.039116491286865</v>
      </c>
      <c r="AE1476" s="9">
        <v>31.219251037281825</v>
      </c>
      <c r="AF1476" s="9">
        <v>33.487682081707895</v>
      </c>
      <c r="AG1476" s="9">
        <v>33.487682081707895</v>
      </c>
      <c r="AH1476" s="9">
        <v>36.427668170967245</v>
      </c>
      <c r="AI1476" s="9">
        <v>38.74455996597662</v>
      </c>
      <c r="AJ1476" s="9">
        <v>3.0428788910505911</v>
      </c>
    </row>
    <row r="1477" spans="1:36" x14ac:dyDescent="0.25">
      <c r="A1477" t="s">
        <v>5411</v>
      </c>
      <c r="B1477" t="s">
        <v>16</v>
      </c>
      <c r="C1477" t="s">
        <v>17</v>
      </c>
      <c r="D1477">
        <v>37460000</v>
      </c>
      <c r="E1477">
        <v>37463999</v>
      </c>
      <c r="F1477" t="s">
        <v>1296</v>
      </c>
      <c r="G1477" t="str">
        <f t="shared" si="46"/>
        <v>MGI</v>
      </c>
      <c r="H1477" t="s">
        <v>851</v>
      </c>
      <c r="I1477" t="s">
        <v>20</v>
      </c>
      <c r="J1477" t="s">
        <v>62</v>
      </c>
      <c r="K1477" s="6">
        <v>0.03</v>
      </c>
      <c r="L1477" s="7">
        <f t="shared" si="47"/>
        <v>2E-3</v>
      </c>
      <c r="M1477" s="7">
        <v>3.0000000000000001E-3</v>
      </c>
      <c r="N1477">
        <v>8</v>
      </c>
      <c r="O1477" s="8">
        <v>13.880385281502075</v>
      </c>
      <c r="P1477" s="9">
        <v>13.880385281502075</v>
      </c>
      <c r="Q1477" s="9">
        <v>13.880385281502075</v>
      </c>
      <c r="R1477" s="9">
        <v>14.045989937445718</v>
      </c>
      <c r="S1477" s="9">
        <v>14.060876315369912</v>
      </c>
      <c r="T1477" s="9">
        <v>15.090338571208333</v>
      </c>
      <c r="U1477" s="9">
        <v>16.025407313902726</v>
      </c>
      <c r="V1477" s="9">
        <v>16.025407313902726</v>
      </c>
      <c r="W1477" s="9">
        <v>16.025407313902726</v>
      </c>
      <c r="X1477" s="9">
        <v>18.013895748167766</v>
      </c>
      <c r="Y1477" s="9">
        <v>18.013895748167766</v>
      </c>
      <c r="Z1477" s="9">
        <v>20.142868501532355</v>
      </c>
      <c r="AA1477" s="9">
        <v>20.142868501532355</v>
      </c>
      <c r="AB1477" s="9">
        <v>22.456349831314476</v>
      </c>
      <c r="AC1477" s="9">
        <v>22.456349831314476</v>
      </c>
      <c r="AD1477" s="9">
        <v>24.87984091164185</v>
      </c>
      <c r="AE1477" s="9">
        <v>27.427492221952345</v>
      </c>
      <c r="AF1477" s="9">
        <v>33.194804868730657</v>
      </c>
      <c r="AG1477" s="9">
        <v>33.194804868730657</v>
      </c>
      <c r="AH1477" s="9">
        <v>35.957808835828068</v>
      </c>
      <c r="AI1477" s="9">
        <v>38.646304092692077</v>
      </c>
      <c r="AJ1477" s="9">
        <v>3.0428788910505911</v>
      </c>
    </row>
    <row r="1478" spans="1:36" x14ac:dyDescent="0.25">
      <c r="A1478" t="s">
        <v>5411</v>
      </c>
      <c r="B1478" t="s">
        <v>16</v>
      </c>
      <c r="C1478" t="s">
        <v>17</v>
      </c>
      <c r="D1478">
        <v>37464000</v>
      </c>
      <c r="E1478">
        <v>37464999</v>
      </c>
      <c r="F1478" t="s">
        <v>1297</v>
      </c>
      <c r="G1478" t="str">
        <f t="shared" si="46"/>
        <v>MGI</v>
      </c>
      <c r="H1478" t="s">
        <v>851</v>
      </c>
      <c r="I1478" t="s">
        <v>20</v>
      </c>
      <c r="J1478" t="s">
        <v>62</v>
      </c>
      <c r="K1478" s="6">
        <v>0.03</v>
      </c>
      <c r="L1478" s="7">
        <f t="shared" si="47"/>
        <v>2E-3</v>
      </c>
      <c r="M1478" s="7">
        <v>3.0000000000000001E-3</v>
      </c>
      <c r="N1478">
        <v>8</v>
      </c>
      <c r="O1478" s="8">
        <v>13.880385281502075</v>
      </c>
      <c r="P1478" s="9">
        <v>13.880385281502075</v>
      </c>
      <c r="Q1478" s="9">
        <v>13.880385281502075</v>
      </c>
      <c r="R1478" s="9">
        <v>14.045989937445718</v>
      </c>
      <c r="S1478" s="9">
        <v>14.060876315369912</v>
      </c>
      <c r="T1478" s="9">
        <v>15.090338571208333</v>
      </c>
      <c r="U1478" s="9">
        <v>16.025407313902726</v>
      </c>
      <c r="V1478" s="9">
        <v>16.025407313902726</v>
      </c>
      <c r="W1478" s="9">
        <v>16.025407313902726</v>
      </c>
      <c r="X1478" s="9">
        <v>18.013895748167766</v>
      </c>
      <c r="Y1478" s="9">
        <v>18.013895748167766</v>
      </c>
      <c r="Z1478" s="9">
        <v>20.142868501532355</v>
      </c>
      <c r="AA1478" s="9">
        <v>20.142868501532355</v>
      </c>
      <c r="AB1478" s="9">
        <v>22.456349831314476</v>
      </c>
      <c r="AC1478" s="9">
        <v>22.456349831314476</v>
      </c>
      <c r="AD1478" s="9">
        <v>24.87984091164185</v>
      </c>
      <c r="AE1478" s="9">
        <v>27.427492221952345</v>
      </c>
      <c r="AF1478" s="9">
        <v>33.194804868730657</v>
      </c>
      <c r="AG1478" s="9">
        <v>33.194804868730657</v>
      </c>
      <c r="AH1478" s="9">
        <v>35.957808835828068</v>
      </c>
      <c r="AI1478" s="9">
        <v>38.646304092692077</v>
      </c>
      <c r="AJ1478" s="9">
        <v>3.0428788910505911</v>
      </c>
    </row>
    <row r="1479" spans="1:36" x14ac:dyDescent="0.25">
      <c r="A1479" t="s">
        <v>5411</v>
      </c>
      <c r="B1479" t="s">
        <v>16</v>
      </c>
      <c r="C1479" t="s">
        <v>17</v>
      </c>
      <c r="D1479">
        <v>37465000</v>
      </c>
      <c r="E1479">
        <v>37465999</v>
      </c>
      <c r="F1479" t="s">
        <v>1298</v>
      </c>
      <c r="G1479" t="str">
        <f t="shared" si="46"/>
        <v>MGI II</v>
      </c>
      <c r="H1479" t="s">
        <v>851</v>
      </c>
      <c r="I1479" t="s">
        <v>20</v>
      </c>
      <c r="J1479" t="s">
        <v>64</v>
      </c>
      <c r="K1479" s="6">
        <v>0.03</v>
      </c>
      <c r="L1479" s="7">
        <f t="shared" si="47"/>
        <v>2E-3</v>
      </c>
      <c r="M1479" s="7">
        <v>3.0000000000000001E-3</v>
      </c>
      <c r="N1479">
        <v>8</v>
      </c>
      <c r="O1479" s="8">
        <v>17.822306426995311</v>
      </c>
      <c r="P1479" s="9">
        <v>17.822306426995311</v>
      </c>
      <c r="Q1479" s="9">
        <v>17.822306426995311</v>
      </c>
      <c r="R1479" s="9">
        <v>18.237663306594719</v>
      </c>
      <c r="S1479" s="9">
        <v>18.48712920931133</v>
      </c>
      <c r="T1479" s="9">
        <v>19.201553596969877</v>
      </c>
      <c r="U1479" s="9">
        <v>20.562345482855957</v>
      </c>
      <c r="V1479" s="9">
        <v>20.562345482855957</v>
      </c>
      <c r="W1479" s="9">
        <v>20.562345482855957</v>
      </c>
      <c r="X1479" s="9">
        <v>22.391977691000818</v>
      </c>
      <c r="Y1479" s="9">
        <v>22.391977691000818</v>
      </c>
      <c r="Z1479" s="9">
        <v>24.28858708803979</v>
      </c>
      <c r="AA1479" s="9">
        <v>24.28858708803979</v>
      </c>
      <c r="AB1479" s="9">
        <v>25.117335532005217</v>
      </c>
      <c r="AC1479" s="9">
        <v>25.117335532005217</v>
      </c>
      <c r="AD1479" s="9">
        <v>29.039116491286865</v>
      </c>
      <c r="AE1479" s="9">
        <v>31.219251037281825</v>
      </c>
      <c r="AF1479" s="9">
        <v>33.487682081707895</v>
      </c>
      <c r="AG1479" s="9">
        <v>33.487682081707895</v>
      </c>
      <c r="AH1479" s="9">
        <v>36.427668170967245</v>
      </c>
      <c r="AI1479" s="9">
        <v>38.74455996597662</v>
      </c>
      <c r="AJ1479" s="9">
        <v>3.0428788910505911</v>
      </c>
    </row>
    <row r="1480" spans="1:36" x14ac:dyDescent="0.25">
      <c r="A1480" t="s">
        <v>5411</v>
      </c>
      <c r="B1480" t="s">
        <v>16</v>
      </c>
      <c r="C1480" t="s">
        <v>17</v>
      </c>
      <c r="D1480">
        <v>37466000</v>
      </c>
      <c r="E1480">
        <v>37466999</v>
      </c>
      <c r="F1480" t="s">
        <v>1299</v>
      </c>
      <c r="G1480" t="str">
        <f t="shared" si="46"/>
        <v>MGI</v>
      </c>
      <c r="H1480" t="s">
        <v>851</v>
      </c>
      <c r="I1480" t="s">
        <v>20</v>
      </c>
      <c r="J1480" t="s">
        <v>62</v>
      </c>
      <c r="K1480" s="6">
        <v>0.03</v>
      </c>
      <c r="L1480" s="7">
        <f t="shared" si="47"/>
        <v>2E-3</v>
      </c>
      <c r="M1480" s="7">
        <v>3.0000000000000001E-3</v>
      </c>
      <c r="N1480">
        <v>8</v>
      </c>
      <c r="O1480" s="8">
        <v>13.880385281502075</v>
      </c>
      <c r="P1480" s="9">
        <v>13.880385281502075</v>
      </c>
      <c r="Q1480" s="9">
        <v>13.880385281502075</v>
      </c>
      <c r="R1480" s="9">
        <v>14.045989937445718</v>
      </c>
      <c r="S1480" s="9">
        <v>14.060876315369912</v>
      </c>
      <c r="T1480" s="9">
        <v>15.090338571208333</v>
      </c>
      <c r="U1480" s="9">
        <v>16.025407313902726</v>
      </c>
      <c r="V1480" s="9">
        <v>16.025407313902726</v>
      </c>
      <c r="W1480" s="9">
        <v>16.025407313902726</v>
      </c>
      <c r="X1480" s="9">
        <v>18.013895748167766</v>
      </c>
      <c r="Y1480" s="9">
        <v>18.013895748167766</v>
      </c>
      <c r="Z1480" s="9">
        <v>20.142868501532355</v>
      </c>
      <c r="AA1480" s="9">
        <v>20.142868501532355</v>
      </c>
      <c r="AB1480" s="9">
        <v>22.456349831314476</v>
      </c>
      <c r="AC1480" s="9">
        <v>22.456349831314476</v>
      </c>
      <c r="AD1480" s="9">
        <v>24.87984091164185</v>
      </c>
      <c r="AE1480" s="9">
        <v>27.427492221952345</v>
      </c>
      <c r="AF1480" s="9">
        <v>33.194804868730657</v>
      </c>
      <c r="AG1480" s="9">
        <v>33.194804868730657</v>
      </c>
      <c r="AH1480" s="9">
        <v>35.957808835828068</v>
      </c>
      <c r="AI1480" s="9">
        <v>38.646304092692077</v>
      </c>
      <c r="AJ1480" s="9">
        <v>3.0428788910505911</v>
      </c>
    </row>
    <row r="1481" spans="1:36" x14ac:dyDescent="0.25">
      <c r="A1481" t="s">
        <v>5411</v>
      </c>
      <c r="B1481" t="s">
        <v>16</v>
      </c>
      <c r="C1481" t="s">
        <v>17</v>
      </c>
      <c r="D1481">
        <v>37467000</v>
      </c>
      <c r="E1481">
        <v>37467999</v>
      </c>
      <c r="F1481" t="s">
        <v>1300</v>
      </c>
      <c r="G1481" t="str">
        <f t="shared" si="46"/>
        <v>MGI II</v>
      </c>
      <c r="H1481" t="s">
        <v>851</v>
      </c>
      <c r="I1481" t="s">
        <v>20</v>
      </c>
      <c r="J1481" t="s">
        <v>64</v>
      </c>
      <c r="K1481" s="6">
        <v>0.03</v>
      </c>
      <c r="L1481" s="7">
        <f t="shared" si="47"/>
        <v>2E-3</v>
      </c>
      <c r="M1481" s="7">
        <v>3.0000000000000001E-3</v>
      </c>
      <c r="N1481">
        <v>7</v>
      </c>
      <c r="O1481" s="8">
        <v>17.822306426995311</v>
      </c>
      <c r="P1481" s="9">
        <v>17.822306426995311</v>
      </c>
      <c r="Q1481" s="9">
        <v>17.822306426995311</v>
      </c>
      <c r="R1481" s="9">
        <v>18.237663306594719</v>
      </c>
      <c r="S1481" s="9">
        <v>18.48712920931133</v>
      </c>
      <c r="T1481" s="9">
        <v>19.201553596969877</v>
      </c>
      <c r="U1481" s="9">
        <v>20.562345482855957</v>
      </c>
      <c r="V1481" s="9">
        <v>20.562345482855957</v>
      </c>
      <c r="W1481" s="9">
        <v>20.562345482855957</v>
      </c>
      <c r="X1481" s="9">
        <v>22.391977691000818</v>
      </c>
      <c r="Y1481" s="9">
        <v>22.391977691000818</v>
      </c>
      <c r="Z1481" s="9">
        <v>24.28858708803979</v>
      </c>
      <c r="AA1481" s="9">
        <v>24.28858708803979</v>
      </c>
      <c r="AB1481" s="9">
        <v>25.117335532005217</v>
      </c>
      <c r="AC1481" s="9">
        <v>25.117335532005217</v>
      </c>
      <c r="AD1481" s="9">
        <v>29.039116491286865</v>
      </c>
      <c r="AE1481" s="9">
        <v>31.219251037281825</v>
      </c>
      <c r="AF1481" s="9">
        <v>33.487682081707895</v>
      </c>
      <c r="AG1481" s="9">
        <v>33.487682081707895</v>
      </c>
      <c r="AH1481" s="9">
        <v>36.427668170967245</v>
      </c>
      <c r="AI1481" s="9">
        <v>38.74455996597662</v>
      </c>
      <c r="AJ1481" s="9">
        <v>3.0428788910505911</v>
      </c>
    </row>
    <row r="1482" spans="1:36" x14ac:dyDescent="0.25">
      <c r="A1482" t="s">
        <v>5411</v>
      </c>
      <c r="B1482" t="s">
        <v>16</v>
      </c>
      <c r="C1482" t="s">
        <v>17</v>
      </c>
      <c r="D1482">
        <v>37468000</v>
      </c>
      <c r="E1482">
        <v>37469999</v>
      </c>
      <c r="F1482" t="s">
        <v>1301</v>
      </c>
      <c r="G1482" t="str">
        <f t="shared" si="46"/>
        <v>MGI</v>
      </c>
      <c r="H1482" t="s">
        <v>851</v>
      </c>
      <c r="I1482" t="s">
        <v>20</v>
      </c>
      <c r="J1482" t="s">
        <v>62</v>
      </c>
      <c r="K1482" s="6">
        <v>0.03</v>
      </c>
      <c r="L1482" s="7">
        <f t="shared" si="47"/>
        <v>2E-3</v>
      </c>
      <c r="M1482" s="7">
        <v>3.0000000000000001E-3</v>
      </c>
      <c r="N1482">
        <v>8</v>
      </c>
      <c r="O1482" s="8">
        <v>13.880385281502075</v>
      </c>
      <c r="P1482" s="9">
        <v>13.880385281502075</v>
      </c>
      <c r="Q1482" s="9">
        <v>13.880385281502075</v>
      </c>
      <c r="R1482" s="9">
        <v>14.045989937445718</v>
      </c>
      <c r="S1482" s="9">
        <v>14.060876315369912</v>
      </c>
      <c r="T1482" s="9">
        <v>15.090338571208333</v>
      </c>
      <c r="U1482" s="9">
        <v>16.025407313902726</v>
      </c>
      <c r="V1482" s="9">
        <v>16.025407313902726</v>
      </c>
      <c r="W1482" s="9">
        <v>16.025407313902726</v>
      </c>
      <c r="X1482" s="9">
        <v>18.013895748167766</v>
      </c>
      <c r="Y1482" s="9">
        <v>18.013895748167766</v>
      </c>
      <c r="Z1482" s="9">
        <v>20.142868501532355</v>
      </c>
      <c r="AA1482" s="9">
        <v>20.142868501532355</v>
      </c>
      <c r="AB1482" s="9">
        <v>22.456349831314476</v>
      </c>
      <c r="AC1482" s="9">
        <v>22.456349831314476</v>
      </c>
      <c r="AD1482" s="9">
        <v>24.87984091164185</v>
      </c>
      <c r="AE1482" s="9">
        <v>27.427492221952345</v>
      </c>
      <c r="AF1482" s="9">
        <v>33.194804868730657</v>
      </c>
      <c r="AG1482" s="9">
        <v>33.194804868730657</v>
      </c>
      <c r="AH1482" s="9">
        <v>35.957808835828068</v>
      </c>
      <c r="AI1482" s="9">
        <v>38.646304092692077</v>
      </c>
      <c r="AJ1482" s="9">
        <v>3.0428788910505911</v>
      </c>
    </row>
    <row r="1483" spans="1:36" x14ac:dyDescent="0.25">
      <c r="A1483" t="s">
        <v>5411</v>
      </c>
      <c r="B1483" t="s">
        <v>16</v>
      </c>
      <c r="C1483" t="s">
        <v>17</v>
      </c>
      <c r="D1483">
        <v>37470000</v>
      </c>
      <c r="E1483">
        <v>37471999</v>
      </c>
      <c r="F1483" t="s">
        <v>1302</v>
      </c>
      <c r="G1483" t="str">
        <f t="shared" si="46"/>
        <v>MGI</v>
      </c>
      <c r="H1483" t="s">
        <v>851</v>
      </c>
      <c r="I1483" t="s">
        <v>20</v>
      </c>
      <c r="J1483" t="s">
        <v>62</v>
      </c>
      <c r="K1483" s="6">
        <v>0.03</v>
      </c>
      <c r="L1483" s="7">
        <f t="shared" si="47"/>
        <v>2E-3</v>
      </c>
      <c r="M1483" s="7">
        <v>3.0000000000000001E-3</v>
      </c>
      <c r="N1483">
        <v>7</v>
      </c>
      <c r="O1483" s="8">
        <v>13.880385281502075</v>
      </c>
      <c r="P1483" s="9">
        <v>13.880385281502075</v>
      </c>
      <c r="Q1483" s="9">
        <v>13.880385281502075</v>
      </c>
      <c r="R1483" s="9">
        <v>14.045989937445718</v>
      </c>
      <c r="S1483" s="9">
        <v>14.060876315369912</v>
      </c>
      <c r="T1483" s="9">
        <v>15.090338571208333</v>
      </c>
      <c r="U1483" s="9">
        <v>16.025407313902726</v>
      </c>
      <c r="V1483" s="9">
        <v>16.025407313902726</v>
      </c>
      <c r="W1483" s="9">
        <v>16.025407313902726</v>
      </c>
      <c r="X1483" s="9">
        <v>18.013895748167766</v>
      </c>
      <c r="Y1483" s="9">
        <v>18.013895748167766</v>
      </c>
      <c r="Z1483" s="9">
        <v>20.142868501532355</v>
      </c>
      <c r="AA1483" s="9">
        <v>20.142868501532355</v>
      </c>
      <c r="AB1483" s="9">
        <v>22.456349831314476</v>
      </c>
      <c r="AC1483" s="9">
        <v>22.456349831314476</v>
      </c>
      <c r="AD1483" s="9">
        <v>24.87984091164185</v>
      </c>
      <c r="AE1483" s="9">
        <v>27.427492221952345</v>
      </c>
      <c r="AF1483" s="9">
        <v>33.194804868730657</v>
      </c>
      <c r="AG1483" s="9">
        <v>33.194804868730657</v>
      </c>
      <c r="AH1483" s="9">
        <v>35.957808835828068</v>
      </c>
      <c r="AI1483" s="9">
        <v>38.646304092692077</v>
      </c>
      <c r="AJ1483" s="9">
        <v>3.0428788910505911</v>
      </c>
    </row>
    <row r="1484" spans="1:36" x14ac:dyDescent="0.25">
      <c r="A1484" t="s">
        <v>5411</v>
      </c>
      <c r="B1484" t="s">
        <v>16</v>
      </c>
      <c r="C1484" t="s">
        <v>17</v>
      </c>
      <c r="D1484">
        <v>37472000</v>
      </c>
      <c r="E1484">
        <v>37473999</v>
      </c>
      <c r="F1484" t="s">
        <v>1303</v>
      </c>
      <c r="G1484" t="str">
        <f t="shared" si="46"/>
        <v>MGI</v>
      </c>
      <c r="H1484" t="s">
        <v>851</v>
      </c>
      <c r="I1484" t="s">
        <v>20</v>
      </c>
      <c r="J1484" t="s">
        <v>62</v>
      </c>
      <c r="K1484" s="6">
        <v>0.03</v>
      </c>
      <c r="L1484" s="7">
        <f t="shared" si="47"/>
        <v>2E-3</v>
      </c>
      <c r="M1484" s="7">
        <v>3.0000000000000001E-3</v>
      </c>
      <c r="N1484">
        <v>8</v>
      </c>
      <c r="O1484" s="8">
        <v>13.880385281502075</v>
      </c>
      <c r="P1484" s="9">
        <v>13.880385281502075</v>
      </c>
      <c r="Q1484" s="9">
        <v>13.880385281502075</v>
      </c>
      <c r="R1484" s="9">
        <v>14.045989937445718</v>
      </c>
      <c r="S1484" s="9">
        <v>14.060876315369912</v>
      </c>
      <c r="T1484" s="9">
        <v>15.090338571208333</v>
      </c>
      <c r="U1484" s="9">
        <v>16.025407313902726</v>
      </c>
      <c r="V1484" s="9">
        <v>16.025407313902726</v>
      </c>
      <c r="W1484" s="9">
        <v>16.025407313902726</v>
      </c>
      <c r="X1484" s="9">
        <v>18.013895748167766</v>
      </c>
      <c r="Y1484" s="9">
        <v>18.013895748167766</v>
      </c>
      <c r="Z1484" s="9">
        <v>20.142868501532355</v>
      </c>
      <c r="AA1484" s="9">
        <v>20.142868501532355</v>
      </c>
      <c r="AB1484" s="9">
        <v>22.456349831314476</v>
      </c>
      <c r="AC1484" s="9">
        <v>22.456349831314476</v>
      </c>
      <c r="AD1484" s="9">
        <v>24.87984091164185</v>
      </c>
      <c r="AE1484" s="9">
        <v>27.427492221952345</v>
      </c>
      <c r="AF1484" s="9">
        <v>33.194804868730657</v>
      </c>
      <c r="AG1484" s="9">
        <v>33.194804868730657</v>
      </c>
      <c r="AH1484" s="9">
        <v>35.957808835828068</v>
      </c>
      <c r="AI1484" s="9">
        <v>38.646304092692077</v>
      </c>
      <c r="AJ1484" s="9">
        <v>3.0428788910505911</v>
      </c>
    </row>
    <row r="1485" spans="1:36" x14ac:dyDescent="0.25">
      <c r="A1485" t="s">
        <v>5411</v>
      </c>
      <c r="B1485" t="s">
        <v>16</v>
      </c>
      <c r="C1485" t="s">
        <v>17</v>
      </c>
      <c r="D1485">
        <v>37474000</v>
      </c>
      <c r="E1485">
        <v>37475999</v>
      </c>
      <c r="F1485" t="s">
        <v>1304</v>
      </c>
      <c r="G1485" t="str">
        <f t="shared" si="46"/>
        <v>MGI II</v>
      </c>
      <c r="H1485" t="s">
        <v>851</v>
      </c>
      <c r="I1485" t="s">
        <v>20</v>
      </c>
      <c r="J1485" t="s">
        <v>64</v>
      </c>
      <c r="K1485" s="6">
        <v>0.03</v>
      </c>
      <c r="L1485" s="7">
        <f t="shared" si="47"/>
        <v>2E-3</v>
      </c>
      <c r="M1485" s="7">
        <v>3.0000000000000001E-3</v>
      </c>
      <c r="N1485">
        <v>8</v>
      </c>
      <c r="O1485" s="8">
        <v>17.822306426995311</v>
      </c>
      <c r="P1485" s="9">
        <v>17.822306426995311</v>
      </c>
      <c r="Q1485" s="9">
        <v>17.822306426995311</v>
      </c>
      <c r="R1485" s="9">
        <v>18.237663306594719</v>
      </c>
      <c r="S1485" s="9">
        <v>18.48712920931133</v>
      </c>
      <c r="T1485" s="9">
        <v>19.201553596969877</v>
      </c>
      <c r="U1485" s="9">
        <v>20.562345482855957</v>
      </c>
      <c r="V1485" s="9">
        <v>20.562345482855957</v>
      </c>
      <c r="W1485" s="9">
        <v>20.562345482855957</v>
      </c>
      <c r="X1485" s="9">
        <v>22.391977691000818</v>
      </c>
      <c r="Y1485" s="9">
        <v>22.391977691000818</v>
      </c>
      <c r="Z1485" s="9">
        <v>24.28858708803979</v>
      </c>
      <c r="AA1485" s="9">
        <v>24.28858708803979</v>
      </c>
      <c r="AB1485" s="9">
        <v>25.117335532005217</v>
      </c>
      <c r="AC1485" s="9">
        <v>25.117335532005217</v>
      </c>
      <c r="AD1485" s="9">
        <v>29.039116491286865</v>
      </c>
      <c r="AE1485" s="9">
        <v>31.219251037281825</v>
      </c>
      <c r="AF1485" s="9">
        <v>33.487682081707895</v>
      </c>
      <c r="AG1485" s="9">
        <v>33.487682081707895</v>
      </c>
      <c r="AH1485" s="9">
        <v>36.427668170967245</v>
      </c>
      <c r="AI1485" s="9">
        <v>38.74455996597662</v>
      </c>
      <c r="AJ1485" s="9">
        <v>3.0428788910505911</v>
      </c>
    </row>
    <row r="1486" spans="1:36" x14ac:dyDescent="0.25">
      <c r="A1486" t="s">
        <v>5411</v>
      </c>
      <c r="B1486" t="s">
        <v>16</v>
      </c>
      <c r="C1486" t="s">
        <v>17</v>
      </c>
      <c r="D1486">
        <v>37476000</v>
      </c>
      <c r="E1486">
        <v>37477999</v>
      </c>
      <c r="F1486" t="s">
        <v>1305</v>
      </c>
      <c r="G1486" t="str">
        <f t="shared" si="46"/>
        <v>MGI II</v>
      </c>
      <c r="H1486" t="s">
        <v>851</v>
      </c>
      <c r="I1486" t="s">
        <v>20</v>
      </c>
      <c r="J1486" t="s">
        <v>64</v>
      </c>
      <c r="K1486" s="6">
        <v>0.03</v>
      </c>
      <c r="L1486" s="7">
        <f t="shared" si="47"/>
        <v>2E-3</v>
      </c>
      <c r="M1486" s="7">
        <v>3.0000000000000001E-3</v>
      </c>
      <c r="N1486">
        <v>7</v>
      </c>
      <c r="O1486" s="8">
        <v>17.822306426995311</v>
      </c>
      <c r="P1486" s="9">
        <v>17.822306426995311</v>
      </c>
      <c r="Q1486" s="9">
        <v>17.822306426995311</v>
      </c>
      <c r="R1486" s="9">
        <v>18.237663306594719</v>
      </c>
      <c r="S1486" s="9">
        <v>18.48712920931133</v>
      </c>
      <c r="T1486" s="9">
        <v>19.201553596969877</v>
      </c>
      <c r="U1486" s="9">
        <v>20.562345482855957</v>
      </c>
      <c r="V1486" s="9">
        <v>20.562345482855957</v>
      </c>
      <c r="W1486" s="9">
        <v>20.562345482855957</v>
      </c>
      <c r="X1486" s="9">
        <v>22.391977691000818</v>
      </c>
      <c r="Y1486" s="9">
        <v>22.391977691000818</v>
      </c>
      <c r="Z1486" s="9">
        <v>24.28858708803979</v>
      </c>
      <c r="AA1486" s="9">
        <v>24.28858708803979</v>
      </c>
      <c r="AB1486" s="9">
        <v>25.117335532005217</v>
      </c>
      <c r="AC1486" s="9">
        <v>25.117335532005217</v>
      </c>
      <c r="AD1486" s="9">
        <v>29.039116491286865</v>
      </c>
      <c r="AE1486" s="9">
        <v>31.219251037281825</v>
      </c>
      <c r="AF1486" s="9">
        <v>33.487682081707895</v>
      </c>
      <c r="AG1486" s="9">
        <v>33.487682081707895</v>
      </c>
      <c r="AH1486" s="9">
        <v>36.427668170967245</v>
      </c>
      <c r="AI1486" s="9">
        <v>38.74455996597662</v>
      </c>
      <c r="AJ1486" s="9">
        <v>3.0428788910505911</v>
      </c>
    </row>
    <row r="1487" spans="1:36" x14ac:dyDescent="0.25">
      <c r="A1487" t="s">
        <v>5411</v>
      </c>
      <c r="B1487" t="s">
        <v>16</v>
      </c>
      <c r="C1487" t="s">
        <v>17</v>
      </c>
      <c r="D1487">
        <v>37478000</v>
      </c>
      <c r="E1487">
        <v>37479999</v>
      </c>
      <c r="F1487" t="s">
        <v>1306</v>
      </c>
      <c r="G1487" t="str">
        <f t="shared" si="46"/>
        <v>MGI II</v>
      </c>
      <c r="H1487" t="s">
        <v>851</v>
      </c>
      <c r="I1487" t="s">
        <v>20</v>
      </c>
      <c r="J1487" t="s">
        <v>64</v>
      </c>
      <c r="K1487" s="6">
        <v>0.03</v>
      </c>
      <c r="L1487" s="7">
        <f t="shared" si="47"/>
        <v>2E-3</v>
      </c>
      <c r="M1487" s="7">
        <v>3.0000000000000001E-3</v>
      </c>
      <c r="N1487">
        <v>8</v>
      </c>
      <c r="O1487" s="8">
        <v>17.822306426995311</v>
      </c>
      <c r="P1487" s="9">
        <v>17.822306426995311</v>
      </c>
      <c r="Q1487" s="9">
        <v>17.822306426995311</v>
      </c>
      <c r="R1487" s="9">
        <v>18.237663306594719</v>
      </c>
      <c r="S1487" s="9">
        <v>18.48712920931133</v>
      </c>
      <c r="T1487" s="9">
        <v>19.201553596969877</v>
      </c>
      <c r="U1487" s="9">
        <v>20.562345482855957</v>
      </c>
      <c r="V1487" s="9">
        <v>20.562345482855957</v>
      </c>
      <c r="W1487" s="9">
        <v>20.562345482855957</v>
      </c>
      <c r="X1487" s="9">
        <v>22.391977691000818</v>
      </c>
      <c r="Y1487" s="9">
        <v>22.391977691000818</v>
      </c>
      <c r="Z1487" s="9">
        <v>24.28858708803979</v>
      </c>
      <c r="AA1487" s="9">
        <v>24.28858708803979</v>
      </c>
      <c r="AB1487" s="9">
        <v>25.117335532005217</v>
      </c>
      <c r="AC1487" s="9">
        <v>25.117335532005217</v>
      </c>
      <c r="AD1487" s="9">
        <v>29.039116491286865</v>
      </c>
      <c r="AE1487" s="9">
        <v>31.219251037281825</v>
      </c>
      <c r="AF1487" s="9">
        <v>33.487682081707895</v>
      </c>
      <c r="AG1487" s="9">
        <v>33.487682081707895</v>
      </c>
      <c r="AH1487" s="9">
        <v>36.427668170967245</v>
      </c>
      <c r="AI1487" s="9">
        <v>38.74455996597662</v>
      </c>
      <c r="AJ1487" s="9">
        <v>3.0428788910505911</v>
      </c>
    </row>
    <row r="1488" spans="1:36" x14ac:dyDescent="0.25">
      <c r="A1488" t="s">
        <v>5411</v>
      </c>
      <c r="B1488" t="s">
        <v>16</v>
      </c>
      <c r="C1488" t="s">
        <v>17</v>
      </c>
      <c r="D1488">
        <v>37480000</v>
      </c>
      <c r="E1488">
        <v>37483999</v>
      </c>
      <c r="F1488" t="s">
        <v>1307</v>
      </c>
      <c r="G1488" t="str">
        <f t="shared" si="46"/>
        <v>MGI</v>
      </c>
      <c r="H1488" t="s">
        <v>851</v>
      </c>
      <c r="I1488" t="s">
        <v>20</v>
      </c>
      <c r="J1488" t="s">
        <v>62</v>
      </c>
      <c r="K1488" s="6">
        <v>0.03</v>
      </c>
      <c r="L1488" s="7">
        <f t="shared" si="47"/>
        <v>2E-3</v>
      </c>
      <c r="M1488" s="7">
        <v>3.0000000000000001E-3</v>
      </c>
      <c r="N1488">
        <v>8</v>
      </c>
      <c r="O1488" s="8">
        <v>13.880385281502075</v>
      </c>
      <c r="P1488" s="9">
        <v>13.880385281502075</v>
      </c>
      <c r="Q1488" s="9">
        <v>13.880385281502075</v>
      </c>
      <c r="R1488" s="9">
        <v>14.045989937445718</v>
      </c>
      <c r="S1488" s="9">
        <v>14.060876315369912</v>
      </c>
      <c r="T1488" s="9">
        <v>15.090338571208333</v>
      </c>
      <c r="U1488" s="9">
        <v>16.025407313902726</v>
      </c>
      <c r="V1488" s="9">
        <v>16.025407313902726</v>
      </c>
      <c r="W1488" s="9">
        <v>16.025407313902726</v>
      </c>
      <c r="X1488" s="9">
        <v>18.013895748167766</v>
      </c>
      <c r="Y1488" s="9">
        <v>18.013895748167766</v>
      </c>
      <c r="Z1488" s="9">
        <v>20.142868501532355</v>
      </c>
      <c r="AA1488" s="9">
        <v>20.142868501532355</v>
      </c>
      <c r="AB1488" s="9">
        <v>22.456349831314476</v>
      </c>
      <c r="AC1488" s="9">
        <v>22.456349831314476</v>
      </c>
      <c r="AD1488" s="9">
        <v>24.87984091164185</v>
      </c>
      <c r="AE1488" s="9">
        <v>27.427492221952345</v>
      </c>
      <c r="AF1488" s="9">
        <v>33.194804868730657</v>
      </c>
      <c r="AG1488" s="9">
        <v>33.194804868730657</v>
      </c>
      <c r="AH1488" s="9">
        <v>35.957808835828068</v>
      </c>
      <c r="AI1488" s="9">
        <v>38.646304092692077</v>
      </c>
      <c r="AJ1488" s="9">
        <v>3.0428788910505911</v>
      </c>
    </row>
    <row r="1489" spans="1:36" x14ac:dyDescent="0.25">
      <c r="A1489" t="s">
        <v>5411</v>
      </c>
      <c r="B1489" t="s">
        <v>16</v>
      </c>
      <c r="C1489" t="s">
        <v>17</v>
      </c>
      <c r="D1489">
        <v>37484000</v>
      </c>
      <c r="E1489">
        <v>37484999</v>
      </c>
      <c r="F1489" t="s">
        <v>1308</v>
      </c>
      <c r="G1489" t="str">
        <f t="shared" si="46"/>
        <v>MGI II</v>
      </c>
      <c r="H1489" t="s">
        <v>851</v>
      </c>
      <c r="I1489" t="s">
        <v>20</v>
      </c>
      <c r="J1489" t="s">
        <v>64</v>
      </c>
      <c r="K1489" s="6">
        <v>0.03</v>
      </c>
      <c r="L1489" s="7">
        <f t="shared" si="47"/>
        <v>2E-3</v>
      </c>
      <c r="M1489" s="7">
        <v>3.0000000000000001E-3</v>
      </c>
      <c r="N1489">
        <v>7</v>
      </c>
      <c r="O1489" s="8">
        <v>17.822306426995311</v>
      </c>
      <c r="P1489" s="9">
        <v>17.822306426995311</v>
      </c>
      <c r="Q1489" s="9">
        <v>17.822306426995311</v>
      </c>
      <c r="R1489" s="9">
        <v>18.237663306594719</v>
      </c>
      <c r="S1489" s="9">
        <v>18.48712920931133</v>
      </c>
      <c r="T1489" s="9">
        <v>19.201553596969877</v>
      </c>
      <c r="U1489" s="9">
        <v>20.562345482855957</v>
      </c>
      <c r="V1489" s="9">
        <v>20.562345482855957</v>
      </c>
      <c r="W1489" s="9">
        <v>20.562345482855957</v>
      </c>
      <c r="X1489" s="9">
        <v>22.391977691000818</v>
      </c>
      <c r="Y1489" s="9">
        <v>22.391977691000818</v>
      </c>
      <c r="Z1489" s="9">
        <v>24.28858708803979</v>
      </c>
      <c r="AA1489" s="9">
        <v>24.28858708803979</v>
      </c>
      <c r="AB1489" s="9">
        <v>25.117335532005217</v>
      </c>
      <c r="AC1489" s="9">
        <v>25.117335532005217</v>
      </c>
      <c r="AD1489" s="9">
        <v>29.039116491286865</v>
      </c>
      <c r="AE1489" s="9">
        <v>31.219251037281825</v>
      </c>
      <c r="AF1489" s="9">
        <v>33.487682081707895</v>
      </c>
      <c r="AG1489" s="9">
        <v>33.487682081707895</v>
      </c>
      <c r="AH1489" s="9">
        <v>36.427668170967245</v>
      </c>
      <c r="AI1489" s="9">
        <v>38.74455996597662</v>
      </c>
      <c r="AJ1489" s="9">
        <v>3.0428788910505911</v>
      </c>
    </row>
    <row r="1490" spans="1:36" x14ac:dyDescent="0.25">
      <c r="A1490" t="s">
        <v>5411</v>
      </c>
      <c r="B1490" t="s">
        <v>16</v>
      </c>
      <c r="C1490" t="s">
        <v>17</v>
      </c>
      <c r="D1490">
        <v>37485000</v>
      </c>
      <c r="E1490">
        <v>37487999</v>
      </c>
      <c r="F1490" t="s">
        <v>1309</v>
      </c>
      <c r="G1490" t="str">
        <f t="shared" si="46"/>
        <v>MGI II</v>
      </c>
      <c r="H1490" t="s">
        <v>851</v>
      </c>
      <c r="I1490" t="s">
        <v>20</v>
      </c>
      <c r="J1490" t="s">
        <v>64</v>
      </c>
      <c r="K1490" s="6">
        <v>0.03</v>
      </c>
      <c r="L1490" s="7">
        <f t="shared" si="47"/>
        <v>2E-3</v>
      </c>
      <c r="M1490" s="7">
        <v>3.0000000000000001E-3</v>
      </c>
      <c r="N1490">
        <v>7</v>
      </c>
      <c r="O1490" s="8">
        <v>17.822306426995311</v>
      </c>
      <c r="P1490" s="9">
        <v>17.822306426995311</v>
      </c>
      <c r="Q1490" s="9">
        <v>17.822306426995311</v>
      </c>
      <c r="R1490" s="9">
        <v>18.237663306594719</v>
      </c>
      <c r="S1490" s="9">
        <v>18.48712920931133</v>
      </c>
      <c r="T1490" s="9">
        <v>19.201553596969877</v>
      </c>
      <c r="U1490" s="9">
        <v>20.562345482855957</v>
      </c>
      <c r="V1490" s="9">
        <v>20.562345482855957</v>
      </c>
      <c r="W1490" s="9">
        <v>20.562345482855957</v>
      </c>
      <c r="X1490" s="9">
        <v>22.391977691000818</v>
      </c>
      <c r="Y1490" s="9">
        <v>22.391977691000818</v>
      </c>
      <c r="Z1490" s="9">
        <v>24.28858708803979</v>
      </c>
      <c r="AA1490" s="9">
        <v>24.28858708803979</v>
      </c>
      <c r="AB1490" s="9">
        <v>25.117335532005217</v>
      </c>
      <c r="AC1490" s="9">
        <v>25.117335532005217</v>
      </c>
      <c r="AD1490" s="9">
        <v>29.039116491286865</v>
      </c>
      <c r="AE1490" s="9">
        <v>31.219251037281825</v>
      </c>
      <c r="AF1490" s="9">
        <v>33.487682081707895</v>
      </c>
      <c r="AG1490" s="9">
        <v>33.487682081707895</v>
      </c>
      <c r="AH1490" s="9">
        <v>36.427668170967245</v>
      </c>
      <c r="AI1490" s="9">
        <v>38.74455996597662</v>
      </c>
      <c r="AJ1490" s="9">
        <v>3.0428788910505911</v>
      </c>
    </row>
    <row r="1491" spans="1:36" x14ac:dyDescent="0.25">
      <c r="A1491" t="s">
        <v>5411</v>
      </c>
      <c r="B1491" t="s">
        <v>16</v>
      </c>
      <c r="C1491" t="s">
        <v>17</v>
      </c>
      <c r="D1491">
        <v>37488000</v>
      </c>
      <c r="E1491">
        <v>37489999</v>
      </c>
      <c r="F1491" t="s">
        <v>1310</v>
      </c>
      <c r="G1491" t="str">
        <f t="shared" si="46"/>
        <v>MGI II</v>
      </c>
      <c r="H1491" t="s">
        <v>851</v>
      </c>
      <c r="I1491" t="s">
        <v>20</v>
      </c>
      <c r="J1491" t="s">
        <v>64</v>
      </c>
      <c r="K1491" s="6">
        <v>0.03</v>
      </c>
      <c r="L1491" s="7">
        <f t="shared" si="47"/>
        <v>2E-3</v>
      </c>
      <c r="M1491" s="7">
        <v>3.0000000000000001E-3</v>
      </c>
      <c r="N1491">
        <v>8</v>
      </c>
      <c r="O1491" s="8">
        <v>17.822306426995311</v>
      </c>
      <c r="P1491" s="9">
        <v>17.822306426995311</v>
      </c>
      <c r="Q1491" s="9">
        <v>17.822306426995311</v>
      </c>
      <c r="R1491" s="9">
        <v>18.237663306594719</v>
      </c>
      <c r="S1491" s="9">
        <v>18.48712920931133</v>
      </c>
      <c r="T1491" s="9">
        <v>19.201553596969877</v>
      </c>
      <c r="U1491" s="9">
        <v>20.562345482855957</v>
      </c>
      <c r="V1491" s="9">
        <v>20.562345482855957</v>
      </c>
      <c r="W1491" s="9">
        <v>20.562345482855957</v>
      </c>
      <c r="X1491" s="9">
        <v>22.391977691000818</v>
      </c>
      <c r="Y1491" s="9">
        <v>22.391977691000818</v>
      </c>
      <c r="Z1491" s="9">
        <v>24.28858708803979</v>
      </c>
      <c r="AA1491" s="9">
        <v>24.28858708803979</v>
      </c>
      <c r="AB1491" s="9">
        <v>25.117335532005217</v>
      </c>
      <c r="AC1491" s="9">
        <v>25.117335532005217</v>
      </c>
      <c r="AD1491" s="9">
        <v>29.039116491286865</v>
      </c>
      <c r="AE1491" s="9">
        <v>31.219251037281825</v>
      </c>
      <c r="AF1491" s="9">
        <v>33.487682081707895</v>
      </c>
      <c r="AG1491" s="9">
        <v>33.487682081707895</v>
      </c>
      <c r="AH1491" s="9">
        <v>36.427668170967245</v>
      </c>
      <c r="AI1491" s="9">
        <v>38.74455996597662</v>
      </c>
      <c r="AJ1491" s="9">
        <v>3.0428788910505911</v>
      </c>
    </row>
    <row r="1492" spans="1:36" x14ac:dyDescent="0.25">
      <c r="A1492" t="s">
        <v>5411</v>
      </c>
      <c r="B1492" t="s">
        <v>16</v>
      </c>
      <c r="C1492" t="s">
        <v>17</v>
      </c>
      <c r="D1492">
        <v>37490000</v>
      </c>
      <c r="E1492">
        <v>37495999</v>
      </c>
      <c r="F1492" t="s">
        <v>1311</v>
      </c>
      <c r="G1492" t="str">
        <f t="shared" si="46"/>
        <v>MGI</v>
      </c>
      <c r="H1492" t="s">
        <v>851</v>
      </c>
      <c r="I1492" t="s">
        <v>20</v>
      </c>
      <c r="J1492" t="s">
        <v>62</v>
      </c>
      <c r="K1492" s="6">
        <v>0.03</v>
      </c>
      <c r="L1492" s="7">
        <f t="shared" si="47"/>
        <v>2E-3</v>
      </c>
      <c r="M1492" s="7">
        <v>3.0000000000000001E-3</v>
      </c>
      <c r="N1492">
        <v>8</v>
      </c>
      <c r="O1492" s="8">
        <v>13.880385281502075</v>
      </c>
      <c r="P1492" s="9">
        <v>13.880385281502075</v>
      </c>
      <c r="Q1492" s="9">
        <v>13.880385281502075</v>
      </c>
      <c r="R1492" s="9">
        <v>14.045989937445718</v>
      </c>
      <c r="S1492" s="9">
        <v>14.060876315369912</v>
      </c>
      <c r="T1492" s="9">
        <v>15.090338571208333</v>
      </c>
      <c r="U1492" s="9">
        <v>16.025407313902726</v>
      </c>
      <c r="V1492" s="9">
        <v>16.025407313902726</v>
      </c>
      <c r="W1492" s="9">
        <v>16.025407313902726</v>
      </c>
      <c r="X1492" s="9">
        <v>18.013895748167766</v>
      </c>
      <c r="Y1492" s="9">
        <v>18.013895748167766</v>
      </c>
      <c r="Z1492" s="9">
        <v>20.142868501532355</v>
      </c>
      <c r="AA1492" s="9">
        <v>20.142868501532355</v>
      </c>
      <c r="AB1492" s="9">
        <v>22.456349831314476</v>
      </c>
      <c r="AC1492" s="9">
        <v>22.456349831314476</v>
      </c>
      <c r="AD1492" s="9">
        <v>24.87984091164185</v>
      </c>
      <c r="AE1492" s="9">
        <v>27.427492221952345</v>
      </c>
      <c r="AF1492" s="9">
        <v>33.194804868730657</v>
      </c>
      <c r="AG1492" s="9">
        <v>33.194804868730657</v>
      </c>
      <c r="AH1492" s="9">
        <v>35.957808835828068</v>
      </c>
      <c r="AI1492" s="9">
        <v>38.646304092692077</v>
      </c>
      <c r="AJ1492" s="9">
        <v>3.0428788910505911</v>
      </c>
    </row>
    <row r="1493" spans="1:36" x14ac:dyDescent="0.25">
      <c r="A1493" t="s">
        <v>5411</v>
      </c>
      <c r="B1493" t="s">
        <v>16</v>
      </c>
      <c r="C1493" t="s">
        <v>17</v>
      </c>
      <c r="D1493">
        <v>37496000</v>
      </c>
      <c r="E1493">
        <v>37497999</v>
      </c>
      <c r="F1493" t="s">
        <v>1312</v>
      </c>
      <c r="G1493" t="str">
        <f t="shared" si="46"/>
        <v>MGI II</v>
      </c>
      <c r="H1493" t="s">
        <v>851</v>
      </c>
      <c r="I1493" t="s">
        <v>20</v>
      </c>
      <c r="J1493" t="s">
        <v>64</v>
      </c>
      <c r="K1493" s="6">
        <v>0.03</v>
      </c>
      <c r="L1493" s="7">
        <f t="shared" si="47"/>
        <v>2E-3</v>
      </c>
      <c r="M1493" s="7">
        <v>3.0000000000000001E-3</v>
      </c>
      <c r="N1493">
        <v>8</v>
      </c>
      <c r="O1493" s="8">
        <v>17.822306426995311</v>
      </c>
      <c r="P1493" s="9">
        <v>17.822306426995311</v>
      </c>
      <c r="Q1493" s="9">
        <v>17.822306426995311</v>
      </c>
      <c r="R1493" s="9">
        <v>18.237663306594719</v>
      </c>
      <c r="S1493" s="9">
        <v>18.48712920931133</v>
      </c>
      <c r="T1493" s="9">
        <v>19.201553596969877</v>
      </c>
      <c r="U1493" s="9">
        <v>20.562345482855957</v>
      </c>
      <c r="V1493" s="9">
        <v>20.562345482855957</v>
      </c>
      <c r="W1493" s="9">
        <v>20.562345482855957</v>
      </c>
      <c r="X1493" s="9">
        <v>22.391977691000818</v>
      </c>
      <c r="Y1493" s="9">
        <v>22.391977691000818</v>
      </c>
      <c r="Z1493" s="9">
        <v>24.28858708803979</v>
      </c>
      <c r="AA1493" s="9">
        <v>24.28858708803979</v>
      </c>
      <c r="AB1493" s="9">
        <v>25.117335532005217</v>
      </c>
      <c r="AC1493" s="9">
        <v>25.117335532005217</v>
      </c>
      <c r="AD1493" s="9">
        <v>29.039116491286865</v>
      </c>
      <c r="AE1493" s="9">
        <v>31.219251037281825</v>
      </c>
      <c r="AF1493" s="9">
        <v>33.487682081707895</v>
      </c>
      <c r="AG1493" s="9">
        <v>33.487682081707895</v>
      </c>
      <c r="AH1493" s="9">
        <v>36.427668170967245</v>
      </c>
      <c r="AI1493" s="9">
        <v>38.74455996597662</v>
      </c>
      <c r="AJ1493" s="9">
        <v>3.0428788910505911</v>
      </c>
    </row>
    <row r="1494" spans="1:36" x14ac:dyDescent="0.25">
      <c r="A1494" t="s">
        <v>5411</v>
      </c>
      <c r="B1494" t="s">
        <v>16</v>
      </c>
      <c r="C1494" t="s">
        <v>17</v>
      </c>
      <c r="D1494">
        <v>37498000</v>
      </c>
      <c r="E1494">
        <v>37499999</v>
      </c>
      <c r="F1494" t="s">
        <v>1313</v>
      </c>
      <c r="G1494" t="str">
        <f t="shared" si="46"/>
        <v>MGI II</v>
      </c>
      <c r="H1494" t="s">
        <v>851</v>
      </c>
      <c r="I1494" t="s">
        <v>20</v>
      </c>
      <c r="J1494" t="s">
        <v>64</v>
      </c>
      <c r="K1494" s="6">
        <v>0.03</v>
      </c>
      <c r="L1494" s="7">
        <f t="shared" si="47"/>
        <v>2E-3</v>
      </c>
      <c r="M1494" s="7">
        <v>3.0000000000000001E-3</v>
      </c>
      <c r="N1494">
        <v>7</v>
      </c>
      <c r="O1494" s="8">
        <v>17.822306426995311</v>
      </c>
      <c r="P1494" s="9">
        <v>17.822306426995311</v>
      </c>
      <c r="Q1494" s="9">
        <v>17.822306426995311</v>
      </c>
      <c r="R1494" s="9">
        <v>18.237663306594719</v>
      </c>
      <c r="S1494" s="9">
        <v>18.48712920931133</v>
      </c>
      <c r="T1494" s="9">
        <v>19.201553596969877</v>
      </c>
      <c r="U1494" s="9">
        <v>20.562345482855957</v>
      </c>
      <c r="V1494" s="9">
        <v>20.562345482855957</v>
      </c>
      <c r="W1494" s="9">
        <v>20.562345482855957</v>
      </c>
      <c r="X1494" s="9">
        <v>22.391977691000818</v>
      </c>
      <c r="Y1494" s="9">
        <v>22.391977691000818</v>
      </c>
      <c r="Z1494" s="9">
        <v>24.28858708803979</v>
      </c>
      <c r="AA1494" s="9">
        <v>24.28858708803979</v>
      </c>
      <c r="AB1494" s="9">
        <v>25.117335532005217</v>
      </c>
      <c r="AC1494" s="9">
        <v>25.117335532005217</v>
      </c>
      <c r="AD1494" s="9">
        <v>29.039116491286865</v>
      </c>
      <c r="AE1494" s="9">
        <v>31.219251037281825</v>
      </c>
      <c r="AF1494" s="9">
        <v>33.487682081707895</v>
      </c>
      <c r="AG1494" s="9">
        <v>33.487682081707895</v>
      </c>
      <c r="AH1494" s="9">
        <v>36.427668170967245</v>
      </c>
      <c r="AI1494" s="9">
        <v>38.74455996597662</v>
      </c>
      <c r="AJ1494" s="9">
        <v>3.0428788910505911</v>
      </c>
    </row>
    <row r="1495" spans="1:36" x14ac:dyDescent="0.25">
      <c r="A1495" t="s">
        <v>5411</v>
      </c>
      <c r="B1495" t="s">
        <v>16</v>
      </c>
      <c r="C1495" t="s">
        <v>17</v>
      </c>
      <c r="D1495">
        <v>37500000</v>
      </c>
      <c r="E1495">
        <v>37507999</v>
      </c>
      <c r="F1495" t="s">
        <v>1314</v>
      </c>
      <c r="G1495" t="str">
        <f t="shared" si="46"/>
        <v>MGI</v>
      </c>
      <c r="H1495" t="s">
        <v>851</v>
      </c>
      <c r="I1495" t="s">
        <v>20</v>
      </c>
      <c r="J1495" t="s">
        <v>62</v>
      </c>
      <c r="K1495" s="6">
        <v>0.03</v>
      </c>
      <c r="L1495" s="7">
        <f t="shared" si="47"/>
        <v>2E-3</v>
      </c>
      <c r="M1495" s="7">
        <v>3.0000000000000001E-3</v>
      </c>
      <c r="N1495">
        <v>6</v>
      </c>
      <c r="O1495" s="8">
        <v>13.880385281502075</v>
      </c>
      <c r="P1495" s="9">
        <v>13.880385281502075</v>
      </c>
      <c r="Q1495" s="9">
        <v>13.880385281502075</v>
      </c>
      <c r="R1495" s="9">
        <v>14.045989937445718</v>
      </c>
      <c r="S1495" s="9">
        <v>14.060876315369912</v>
      </c>
      <c r="T1495" s="9">
        <v>15.090338571208333</v>
      </c>
      <c r="U1495" s="9">
        <v>16.025407313902726</v>
      </c>
      <c r="V1495" s="9">
        <v>16.025407313902726</v>
      </c>
      <c r="W1495" s="9">
        <v>16.025407313902726</v>
      </c>
      <c r="X1495" s="9">
        <v>18.013895748167766</v>
      </c>
      <c r="Y1495" s="9">
        <v>18.013895748167766</v>
      </c>
      <c r="Z1495" s="9">
        <v>20.142868501532355</v>
      </c>
      <c r="AA1495" s="9">
        <v>20.142868501532355</v>
      </c>
      <c r="AB1495" s="9">
        <v>22.456349831314476</v>
      </c>
      <c r="AC1495" s="9">
        <v>22.456349831314476</v>
      </c>
      <c r="AD1495" s="9">
        <v>24.87984091164185</v>
      </c>
      <c r="AE1495" s="9">
        <v>27.427492221952345</v>
      </c>
      <c r="AF1495" s="9">
        <v>33.194804868730657</v>
      </c>
      <c r="AG1495" s="9">
        <v>33.194804868730657</v>
      </c>
      <c r="AH1495" s="9">
        <v>35.957808835828068</v>
      </c>
      <c r="AI1495" s="9">
        <v>38.646304092692077</v>
      </c>
      <c r="AJ1495" s="9">
        <v>3.0428788910505911</v>
      </c>
    </row>
    <row r="1496" spans="1:36" x14ac:dyDescent="0.25">
      <c r="A1496" t="s">
        <v>5411</v>
      </c>
      <c r="B1496" t="s">
        <v>16</v>
      </c>
      <c r="C1496" t="s">
        <v>17</v>
      </c>
      <c r="D1496">
        <v>37508000</v>
      </c>
      <c r="E1496">
        <v>37509999</v>
      </c>
      <c r="F1496" t="s">
        <v>1315</v>
      </c>
      <c r="G1496" t="str">
        <f t="shared" si="46"/>
        <v>MGI II</v>
      </c>
      <c r="H1496" t="s">
        <v>851</v>
      </c>
      <c r="I1496" t="s">
        <v>20</v>
      </c>
      <c r="J1496" t="s">
        <v>64</v>
      </c>
      <c r="K1496" s="6">
        <v>0.03</v>
      </c>
      <c r="L1496" s="7">
        <f t="shared" si="47"/>
        <v>2E-3</v>
      </c>
      <c r="M1496" s="7">
        <v>3.0000000000000001E-3</v>
      </c>
      <c r="N1496">
        <v>8</v>
      </c>
      <c r="O1496" s="8">
        <v>17.822306426995311</v>
      </c>
      <c r="P1496" s="9">
        <v>17.822306426995311</v>
      </c>
      <c r="Q1496" s="9">
        <v>17.822306426995311</v>
      </c>
      <c r="R1496" s="9">
        <v>18.237663306594719</v>
      </c>
      <c r="S1496" s="9">
        <v>18.48712920931133</v>
      </c>
      <c r="T1496" s="9">
        <v>19.201553596969877</v>
      </c>
      <c r="U1496" s="9">
        <v>20.562345482855957</v>
      </c>
      <c r="V1496" s="9">
        <v>20.562345482855957</v>
      </c>
      <c r="W1496" s="9">
        <v>20.562345482855957</v>
      </c>
      <c r="X1496" s="9">
        <v>22.391977691000818</v>
      </c>
      <c r="Y1496" s="9">
        <v>22.391977691000818</v>
      </c>
      <c r="Z1496" s="9">
        <v>24.28858708803979</v>
      </c>
      <c r="AA1496" s="9">
        <v>24.28858708803979</v>
      </c>
      <c r="AB1496" s="9">
        <v>25.117335532005217</v>
      </c>
      <c r="AC1496" s="9">
        <v>25.117335532005217</v>
      </c>
      <c r="AD1496" s="9">
        <v>29.039116491286865</v>
      </c>
      <c r="AE1496" s="9">
        <v>31.219251037281825</v>
      </c>
      <c r="AF1496" s="9">
        <v>33.487682081707895</v>
      </c>
      <c r="AG1496" s="9">
        <v>33.487682081707895</v>
      </c>
      <c r="AH1496" s="9">
        <v>36.427668170967245</v>
      </c>
      <c r="AI1496" s="9">
        <v>38.74455996597662</v>
      </c>
      <c r="AJ1496" s="9">
        <v>3.0428788910505911</v>
      </c>
    </row>
    <row r="1497" spans="1:36" x14ac:dyDescent="0.25">
      <c r="A1497" t="s">
        <v>5411</v>
      </c>
      <c r="B1497" t="s">
        <v>16</v>
      </c>
      <c r="C1497" t="s">
        <v>17</v>
      </c>
      <c r="D1497">
        <v>37510000</v>
      </c>
      <c r="E1497">
        <v>37510999</v>
      </c>
      <c r="F1497" t="s">
        <v>1316</v>
      </c>
      <c r="G1497" t="str">
        <f t="shared" si="46"/>
        <v>MGI II</v>
      </c>
      <c r="H1497" t="s">
        <v>851</v>
      </c>
      <c r="I1497" t="s">
        <v>20</v>
      </c>
      <c r="J1497" t="s">
        <v>64</v>
      </c>
      <c r="K1497" s="6">
        <v>0.03</v>
      </c>
      <c r="L1497" s="7">
        <f t="shared" si="47"/>
        <v>2E-3</v>
      </c>
      <c r="M1497" s="7">
        <v>3.0000000000000001E-3</v>
      </c>
      <c r="N1497">
        <v>7</v>
      </c>
      <c r="O1497" s="8">
        <v>17.822306426995311</v>
      </c>
      <c r="P1497" s="9">
        <v>17.822306426995311</v>
      </c>
      <c r="Q1497" s="9">
        <v>17.822306426995311</v>
      </c>
      <c r="R1497" s="9">
        <v>18.237663306594719</v>
      </c>
      <c r="S1497" s="9">
        <v>18.48712920931133</v>
      </c>
      <c r="T1497" s="9">
        <v>19.201553596969877</v>
      </c>
      <c r="U1497" s="9">
        <v>20.562345482855957</v>
      </c>
      <c r="V1497" s="9">
        <v>20.562345482855957</v>
      </c>
      <c r="W1497" s="9">
        <v>20.562345482855957</v>
      </c>
      <c r="X1497" s="9">
        <v>22.391977691000818</v>
      </c>
      <c r="Y1497" s="9">
        <v>22.391977691000818</v>
      </c>
      <c r="Z1497" s="9">
        <v>24.28858708803979</v>
      </c>
      <c r="AA1497" s="9">
        <v>24.28858708803979</v>
      </c>
      <c r="AB1497" s="9">
        <v>25.117335532005217</v>
      </c>
      <c r="AC1497" s="9">
        <v>25.117335532005217</v>
      </c>
      <c r="AD1497" s="9">
        <v>29.039116491286865</v>
      </c>
      <c r="AE1497" s="9">
        <v>31.219251037281825</v>
      </c>
      <c r="AF1497" s="9">
        <v>33.487682081707895</v>
      </c>
      <c r="AG1497" s="9">
        <v>33.487682081707895</v>
      </c>
      <c r="AH1497" s="9">
        <v>36.427668170967245</v>
      </c>
      <c r="AI1497" s="9">
        <v>38.74455996597662</v>
      </c>
      <c r="AJ1497" s="9">
        <v>3.0428788910505911</v>
      </c>
    </row>
    <row r="1498" spans="1:36" x14ac:dyDescent="0.25">
      <c r="A1498" t="s">
        <v>5411</v>
      </c>
      <c r="B1498" t="s">
        <v>16</v>
      </c>
      <c r="C1498" t="s">
        <v>17</v>
      </c>
      <c r="D1498">
        <v>37511000</v>
      </c>
      <c r="E1498">
        <v>37511999</v>
      </c>
      <c r="F1498" t="s">
        <v>1317</v>
      </c>
      <c r="G1498" t="str">
        <f t="shared" si="46"/>
        <v>MGI II</v>
      </c>
      <c r="H1498" t="s">
        <v>851</v>
      </c>
      <c r="I1498" t="s">
        <v>20</v>
      </c>
      <c r="J1498" t="s">
        <v>64</v>
      </c>
      <c r="K1498" s="6">
        <v>0.03</v>
      </c>
      <c r="L1498" s="7">
        <f t="shared" si="47"/>
        <v>2E-3</v>
      </c>
      <c r="M1498" s="7">
        <v>3.0000000000000001E-3</v>
      </c>
      <c r="N1498">
        <v>8</v>
      </c>
      <c r="O1498" s="8">
        <v>17.822306426995311</v>
      </c>
      <c r="P1498" s="9">
        <v>17.822306426995311</v>
      </c>
      <c r="Q1498" s="9">
        <v>17.822306426995311</v>
      </c>
      <c r="R1498" s="9">
        <v>18.237663306594719</v>
      </c>
      <c r="S1498" s="9">
        <v>18.48712920931133</v>
      </c>
      <c r="T1498" s="9">
        <v>19.201553596969877</v>
      </c>
      <c r="U1498" s="9">
        <v>20.562345482855957</v>
      </c>
      <c r="V1498" s="9">
        <v>20.562345482855957</v>
      </c>
      <c r="W1498" s="9">
        <v>20.562345482855957</v>
      </c>
      <c r="X1498" s="9">
        <v>22.391977691000818</v>
      </c>
      <c r="Y1498" s="9">
        <v>22.391977691000818</v>
      </c>
      <c r="Z1498" s="9">
        <v>24.28858708803979</v>
      </c>
      <c r="AA1498" s="9">
        <v>24.28858708803979</v>
      </c>
      <c r="AB1498" s="9">
        <v>25.117335532005217</v>
      </c>
      <c r="AC1498" s="9">
        <v>25.117335532005217</v>
      </c>
      <c r="AD1498" s="9">
        <v>29.039116491286865</v>
      </c>
      <c r="AE1498" s="9">
        <v>31.219251037281825</v>
      </c>
      <c r="AF1498" s="9">
        <v>33.487682081707895</v>
      </c>
      <c r="AG1498" s="9">
        <v>33.487682081707895</v>
      </c>
      <c r="AH1498" s="9">
        <v>36.427668170967245</v>
      </c>
      <c r="AI1498" s="9">
        <v>38.74455996597662</v>
      </c>
      <c r="AJ1498" s="9">
        <v>3.0428788910505911</v>
      </c>
    </row>
    <row r="1499" spans="1:36" x14ac:dyDescent="0.25">
      <c r="A1499" t="s">
        <v>5411</v>
      </c>
      <c r="B1499" t="s">
        <v>16</v>
      </c>
      <c r="C1499" t="s">
        <v>17</v>
      </c>
      <c r="D1499">
        <v>37512000</v>
      </c>
      <c r="E1499">
        <v>37513999</v>
      </c>
      <c r="F1499" t="s">
        <v>1318</v>
      </c>
      <c r="G1499" t="str">
        <f t="shared" si="46"/>
        <v>MGI II</v>
      </c>
      <c r="H1499" t="s">
        <v>851</v>
      </c>
      <c r="I1499" t="s">
        <v>20</v>
      </c>
      <c r="J1499" t="s">
        <v>64</v>
      </c>
      <c r="K1499" s="6">
        <v>0.03</v>
      </c>
      <c r="L1499" s="7">
        <f t="shared" si="47"/>
        <v>2E-3</v>
      </c>
      <c r="M1499" s="7">
        <v>3.0000000000000001E-3</v>
      </c>
      <c r="N1499">
        <v>8</v>
      </c>
      <c r="O1499" s="8">
        <v>17.822306426995311</v>
      </c>
      <c r="P1499" s="9">
        <v>17.822306426995311</v>
      </c>
      <c r="Q1499" s="9">
        <v>17.822306426995311</v>
      </c>
      <c r="R1499" s="9">
        <v>18.237663306594719</v>
      </c>
      <c r="S1499" s="9">
        <v>18.48712920931133</v>
      </c>
      <c r="T1499" s="9">
        <v>19.201553596969877</v>
      </c>
      <c r="U1499" s="9">
        <v>20.562345482855957</v>
      </c>
      <c r="V1499" s="9">
        <v>20.562345482855957</v>
      </c>
      <c r="W1499" s="9">
        <v>20.562345482855957</v>
      </c>
      <c r="X1499" s="9">
        <v>22.391977691000818</v>
      </c>
      <c r="Y1499" s="9">
        <v>22.391977691000818</v>
      </c>
      <c r="Z1499" s="9">
        <v>24.28858708803979</v>
      </c>
      <c r="AA1499" s="9">
        <v>24.28858708803979</v>
      </c>
      <c r="AB1499" s="9">
        <v>25.117335532005217</v>
      </c>
      <c r="AC1499" s="9">
        <v>25.117335532005217</v>
      </c>
      <c r="AD1499" s="9">
        <v>29.039116491286865</v>
      </c>
      <c r="AE1499" s="9">
        <v>31.219251037281825</v>
      </c>
      <c r="AF1499" s="9">
        <v>33.487682081707895</v>
      </c>
      <c r="AG1499" s="9">
        <v>33.487682081707895</v>
      </c>
      <c r="AH1499" s="9">
        <v>36.427668170967245</v>
      </c>
      <c r="AI1499" s="9">
        <v>38.74455996597662</v>
      </c>
      <c r="AJ1499" s="9">
        <v>3.0428788910505911</v>
      </c>
    </row>
    <row r="1500" spans="1:36" x14ac:dyDescent="0.25">
      <c r="A1500" t="s">
        <v>5411</v>
      </c>
      <c r="B1500" t="s">
        <v>16</v>
      </c>
      <c r="C1500" t="s">
        <v>17</v>
      </c>
      <c r="D1500">
        <v>37514000</v>
      </c>
      <c r="E1500">
        <v>37515999</v>
      </c>
      <c r="F1500" t="s">
        <v>1319</v>
      </c>
      <c r="G1500" t="str">
        <f t="shared" si="46"/>
        <v>MGI II</v>
      </c>
      <c r="H1500" t="s">
        <v>851</v>
      </c>
      <c r="I1500" t="s">
        <v>20</v>
      </c>
      <c r="J1500" t="s">
        <v>64</v>
      </c>
      <c r="K1500" s="6">
        <v>0.03</v>
      </c>
      <c r="L1500" s="7">
        <f t="shared" si="47"/>
        <v>2E-3</v>
      </c>
      <c r="M1500" s="7">
        <v>3.0000000000000001E-3</v>
      </c>
      <c r="N1500">
        <v>8</v>
      </c>
      <c r="O1500" s="8">
        <v>17.822306426995311</v>
      </c>
      <c r="P1500" s="9">
        <v>17.822306426995311</v>
      </c>
      <c r="Q1500" s="9">
        <v>17.822306426995311</v>
      </c>
      <c r="R1500" s="9">
        <v>18.237663306594719</v>
      </c>
      <c r="S1500" s="9">
        <v>18.48712920931133</v>
      </c>
      <c r="T1500" s="9">
        <v>19.201553596969877</v>
      </c>
      <c r="U1500" s="9">
        <v>20.562345482855957</v>
      </c>
      <c r="V1500" s="9">
        <v>20.562345482855957</v>
      </c>
      <c r="W1500" s="9">
        <v>20.562345482855957</v>
      </c>
      <c r="X1500" s="9">
        <v>22.391977691000818</v>
      </c>
      <c r="Y1500" s="9">
        <v>22.391977691000818</v>
      </c>
      <c r="Z1500" s="9">
        <v>24.28858708803979</v>
      </c>
      <c r="AA1500" s="9">
        <v>24.28858708803979</v>
      </c>
      <c r="AB1500" s="9">
        <v>25.117335532005217</v>
      </c>
      <c r="AC1500" s="9">
        <v>25.117335532005217</v>
      </c>
      <c r="AD1500" s="9">
        <v>29.039116491286865</v>
      </c>
      <c r="AE1500" s="9">
        <v>31.219251037281825</v>
      </c>
      <c r="AF1500" s="9">
        <v>33.487682081707895</v>
      </c>
      <c r="AG1500" s="9">
        <v>33.487682081707895</v>
      </c>
      <c r="AH1500" s="9">
        <v>36.427668170967245</v>
      </c>
      <c r="AI1500" s="9">
        <v>38.74455996597662</v>
      </c>
      <c r="AJ1500" s="9">
        <v>3.0428788910505911</v>
      </c>
    </row>
    <row r="1501" spans="1:36" x14ac:dyDescent="0.25">
      <c r="A1501" t="s">
        <v>5411</v>
      </c>
      <c r="B1501" t="s">
        <v>16</v>
      </c>
      <c r="C1501" t="s">
        <v>17</v>
      </c>
      <c r="D1501">
        <v>37516000</v>
      </c>
      <c r="E1501">
        <v>37516999</v>
      </c>
      <c r="F1501" t="s">
        <v>1320</v>
      </c>
      <c r="G1501" t="str">
        <f t="shared" si="46"/>
        <v>MGI II</v>
      </c>
      <c r="H1501" t="s">
        <v>851</v>
      </c>
      <c r="I1501" t="s">
        <v>20</v>
      </c>
      <c r="J1501" t="s">
        <v>64</v>
      </c>
      <c r="K1501" s="6">
        <v>0.03</v>
      </c>
      <c r="L1501" s="7">
        <f t="shared" si="47"/>
        <v>2E-3</v>
      </c>
      <c r="M1501" s="7">
        <v>3.0000000000000001E-3</v>
      </c>
      <c r="N1501">
        <v>8</v>
      </c>
      <c r="O1501" s="8">
        <v>17.822306426995311</v>
      </c>
      <c r="P1501" s="9">
        <v>17.822306426995311</v>
      </c>
      <c r="Q1501" s="9">
        <v>17.822306426995311</v>
      </c>
      <c r="R1501" s="9">
        <v>18.237663306594719</v>
      </c>
      <c r="S1501" s="9">
        <v>18.48712920931133</v>
      </c>
      <c r="T1501" s="9">
        <v>19.201553596969877</v>
      </c>
      <c r="U1501" s="9">
        <v>20.562345482855957</v>
      </c>
      <c r="V1501" s="9">
        <v>20.562345482855957</v>
      </c>
      <c r="W1501" s="9">
        <v>20.562345482855957</v>
      </c>
      <c r="X1501" s="9">
        <v>22.391977691000818</v>
      </c>
      <c r="Y1501" s="9">
        <v>22.391977691000818</v>
      </c>
      <c r="Z1501" s="9">
        <v>24.28858708803979</v>
      </c>
      <c r="AA1501" s="9">
        <v>24.28858708803979</v>
      </c>
      <c r="AB1501" s="9">
        <v>25.117335532005217</v>
      </c>
      <c r="AC1501" s="9">
        <v>25.117335532005217</v>
      </c>
      <c r="AD1501" s="9">
        <v>29.039116491286865</v>
      </c>
      <c r="AE1501" s="9">
        <v>31.219251037281825</v>
      </c>
      <c r="AF1501" s="9">
        <v>33.487682081707895</v>
      </c>
      <c r="AG1501" s="9">
        <v>33.487682081707895</v>
      </c>
      <c r="AH1501" s="9">
        <v>36.427668170967245</v>
      </c>
      <c r="AI1501" s="9">
        <v>38.74455996597662</v>
      </c>
      <c r="AJ1501" s="9">
        <v>3.0428788910505911</v>
      </c>
    </row>
    <row r="1502" spans="1:36" x14ac:dyDescent="0.25">
      <c r="A1502" t="s">
        <v>5411</v>
      </c>
      <c r="B1502" t="s">
        <v>16</v>
      </c>
      <c r="C1502" t="s">
        <v>17</v>
      </c>
      <c r="D1502">
        <v>37517000</v>
      </c>
      <c r="E1502">
        <v>37519999</v>
      </c>
      <c r="F1502" t="s">
        <v>1321</v>
      </c>
      <c r="G1502" t="str">
        <f t="shared" si="46"/>
        <v>MGI II</v>
      </c>
      <c r="H1502" t="s">
        <v>851</v>
      </c>
      <c r="I1502" t="s">
        <v>20</v>
      </c>
      <c r="J1502" t="s">
        <v>64</v>
      </c>
      <c r="K1502" s="6">
        <v>0.03</v>
      </c>
      <c r="L1502" s="7">
        <f t="shared" si="47"/>
        <v>2E-3</v>
      </c>
      <c r="M1502" s="7">
        <v>3.0000000000000001E-3</v>
      </c>
      <c r="N1502">
        <v>7</v>
      </c>
      <c r="O1502" s="8">
        <v>17.822306426995311</v>
      </c>
      <c r="P1502" s="9">
        <v>17.822306426995311</v>
      </c>
      <c r="Q1502" s="9">
        <v>17.822306426995311</v>
      </c>
      <c r="R1502" s="9">
        <v>18.237663306594719</v>
      </c>
      <c r="S1502" s="9">
        <v>18.48712920931133</v>
      </c>
      <c r="T1502" s="9">
        <v>19.201553596969877</v>
      </c>
      <c r="U1502" s="9">
        <v>20.562345482855957</v>
      </c>
      <c r="V1502" s="9">
        <v>20.562345482855957</v>
      </c>
      <c r="W1502" s="9">
        <v>20.562345482855957</v>
      </c>
      <c r="X1502" s="9">
        <v>22.391977691000818</v>
      </c>
      <c r="Y1502" s="9">
        <v>22.391977691000818</v>
      </c>
      <c r="Z1502" s="9">
        <v>24.28858708803979</v>
      </c>
      <c r="AA1502" s="9">
        <v>24.28858708803979</v>
      </c>
      <c r="AB1502" s="9">
        <v>25.117335532005217</v>
      </c>
      <c r="AC1502" s="9">
        <v>25.117335532005217</v>
      </c>
      <c r="AD1502" s="9">
        <v>29.039116491286865</v>
      </c>
      <c r="AE1502" s="9">
        <v>31.219251037281825</v>
      </c>
      <c r="AF1502" s="9">
        <v>33.487682081707895</v>
      </c>
      <c r="AG1502" s="9">
        <v>33.487682081707895</v>
      </c>
      <c r="AH1502" s="9">
        <v>36.427668170967245</v>
      </c>
      <c r="AI1502" s="9">
        <v>38.74455996597662</v>
      </c>
      <c r="AJ1502" s="9">
        <v>3.0428788910505911</v>
      </c>
    </row>
    <row r="1503" spans="1:36" x14ac:dyDescent="0.25">
      <c r="A1503" t="s">
        <v>5411</v>
      </c>
      <c r="B1503" t="s">
        <v>16</v>
      </c>
      <c r="C1503" t="s">
        <v>17</v>
      </c>
      <c r="D1503">
        <v>37520000</v>
      </c>
      <c r="E1503">
        <v>37523999</v>
      </c>
      <c r="F1503" t="s">
        <v>1322</v>
      </c>
      <c r="G1503" t="str">
        <f t="shared" si="46"/>
        <v>MGI II</v>
      </c>
      <c r="H1503" t="s">
        <v>851</v>
      </c>
      <c r="I1503" t="s">
        <v>20</v>
      </c>
      <c r="J1503" t="s">
        <v>64</v>
      </c>
      <c r="K1503" s="6">
        <v>0.03</v>
      </c>
      <c r="L1503" s="7">
        <f t="shared" si="47"/>
        <v>2E-3</v>
      </c>
      <c r="M1503" s="7">
        <v>3.0000000000000001E-3</v>
      </c>
      <c r="N1503">
        <v>7</v>
      </c>
      <c r="O1503" s="8">
        <v>17.822306426995311</v>
      </c>
      <c r="P1503" s="9">
        <v>17.822306426995311</v>
      </c>
      <c r="Q1503" s="9">
        <v>17.822306426995311</v>
      </c>
      <c r="R1503" s="9">
        <v>18.237663306594719</v>
      </c>
      <c r="S1503" s="9">
        <v>18.48712920931133</v>
      </c>
      <c r="T1503" s="9">
        <v>19.201553596969877</v>
      </c>
      <c r="U1503" s="9">
        <v>20.562345482855957</v>
      </c>
      <c r="V1503" s="9">
        <v>20.562345482855957</v>
      </c>
      <c r="W1503" s="9">
        <v>20.562345482855957</v>
      </c>
      <c r="X1503" s="9">
        <v>22.391977691000818</v>
      </c>
      <c r="Y1503" s="9">
        <v>22.391977691000818</v>
      </c>
      <c r="Z1503" s="9">
        <v>24.28858708803979</v>
      </c>
      <c r="AA1503" s="9">
        <v>24.28858708803979</v>
      </c>
      <c r="AB1503" s="9">
        <v>25.117335532005217</v>
      </c>
      <c r="AC1503" s="9">
        <v>25.117335532005217</v>
      </c>
      <c r="AD1503" s="9">
        <v>29.039116491286865</v>
      </c>
      <c r="AE1503" s="9">
        <v>31.219251037281825</v>
      </c>
      <c r="AF1503" s="9">
        <v>33.487682081707895</v>
      </c>
      <c r="AG1503" s="9">
        <v>33.487682081707895</v>
      </c>
      <c r="AH1503" s="9">
        <v>36.427668170967245</v>
      </c>
      <c r="AI1503" s="9">
        <v>38.74455996597662</v>
      </c>
      <c r="AJ1503" s="9">
        <v>3.0428788910505911</v>
      </c>
    </row>
    <row r="1504" spans="1:36" x14ac:dyDescent="0.25">
      <c r="A1504" t="s">
        <v>5411</v>
      </c>
      <c r="B1504" t="s">
        <v>16</v>
      </c>
      <c r="C1504" t="s">
        <v>17</v>
      </c>
      <c r="D1504">
        <v>37524000</v>
      </c>
      <c r="E1504">
        <v>37526999</v>
      </c>
      <c r="F1504" t="s">
        <v>1323</v>
      </c>
      <c r="G1504" t="str">
        <f t="shared" si="46"/>
        <v>MGI II</v>
      </c>
      <c r="H1504" t="s">
        <v>851</v>
      </c>
      <c r="I1504" t="s">
        <v>20</v>
      </c>
      <c r="J1504" t="s">
        <v>64</v>
      </c>
      <c r="K1504" s="6">
        <v>0.03</v>
      </c>
      <c r="L1504" s="7">
        <f t="shared" si="47"/>
        <v>2E-3</v>
      </c>
      <c r="M1504" s="7">
        <v>3.0000000000000001E-3</v>
      </c>
      <c r="N1504">
        <v>7</v>
      </c>
      <c r="O1504" s="8">
        <v>17.822306426995311</v>
      </c>
      <c r="P1504" s="9">
        <v>17.822306426995311</v>
      </c>
      <c r="Q1504" s="9">
        <v>17.822306426995311</v>
      </c>
      <c r="R1504" s="9">
        <v>18.237663306594719</v>
      </c>
      <c r="S1504" s="9">
        <v>18.48712920931133</v>
      </c>
      <c r="T1504" s="9">
        <v>19.201553596969877</v>
      </c>
      <c r="U1504" s="9">
        <v>20.562345482855957</v>
      </c>
      <c r="V1504" s="9">
        <v>20.562345482855957</v>
      </c>
      <c r="W1504" s="9">
        <v>20.562345482855957</v>
      </c>
      <c r="X1504" s="9">
        <v>22.391977691000818</v>
      </c>
      <c r="Y1504" s="9">
        <v>22.391977691000818</v>
      </c>
      <c r="Z1504" s="9">
        <v>24.28858708803979</v>
      </c>
      <c r="AA1504" s="9">
        <v>24.28858708803979</v>
      </c>
      <c r="AB1504" s="9">
        <v>25.117335532005217</v>
      </c>
      <c r="AC1504" s="9">
        <v>25.117335532005217</v>
      </c>
      <c r="AD1504" s="9">
        <v>29.039116491286865</v>
      </c>
      <c r="AE1504" s="9">
        <v>31.219251037281825</v>
      </c>
      <c r="AF1504" s="9">
        <v>33.487682081707895</v>
      </c>
      <c r="AG1504" s="9">
        <v>33.487682081707895</v>
      </c>
      <c r="AH1504" s="9">
        <v>36.427668170967245</v>
      </c>
      <c r="AI1504" s="9">
        <v>38.74455996597662</v>
      </c>
      <c r="AJ1504" s="9">
        <v>3.0428788910505911</v>
      </c>
    </row>
    <row r="1505" spans="1:36" x14ac:dyDescent="0.25">
      <c r="A1505" t="s">
        <v>5411</v>
      </c>
      <c r="B1505" t="s">
        <v>16</v>
      </c>
      <c r="C1505" t="s">
        <v>17</v>
      </c>
      <c r="D1505">
        <v>37527000</v>
      </c>
      <c r="E1505">
        <v>37529999</v>
      </c>
      <c r="F1505" t="s">
        <v>1324</v>
      </c>
      <c r="G1505" t="str">
        <f t="shared" si="46"/>
        <v>MGI II</v>
      </c>
      <c r="H1505" t="s">
        <v>851</v>
      </c>
      <c r="I1505" t="s">
        <v>20</v>
      </c>
      <c r="J1505" t="s">
        <v>64</v>
      </c>
      <c r="K1505" s="6">
        <v>0.03</v>
      </c>
      <c r="L1505" s="7">
        <f t="shared" si="47"/>
        <v>2E-3</v>
      </c>
      <c r="M1505" s="7">
        <v>3.0000000000000001E-3</v>
      </c>
      <c r="N1505">
        <v>7</v>
      </c>
      <c r="O1505" s="8">
        <v>17.822306426995311</v>
      </c>
      <c r="P1505" s="9">
        <v>17.822306426995311</v>
      </c>
      <c r="Q1505" s="9">
        <v>17.822306426995311</v>
      </c>
      <c r="R1505" s="9">
        <v>18.237663306594719</v>
      </c>
      <c r="S1505" s="9">
        <v>18.48712920931133</v>
      </c>
      <c r="T1505" s="9">
        <v>19.201553596969877</v>
      </c>
      <c r="U1505" s="9">
        <v>20.562345482855957</v>
      </c>
      <c r="V1505" s="9">
        <v>20.562345482855957</v>
      </c>
      <c r="W1505" s="9">
        <v>20.562345482855957</v>
      </c>
      <c r="X1505" s="9">
        <v>22.391977691000818</v>
      </c>
      <c r="Y1505" s="9">
        <v>22.391977691000818</v>
      </c>
      <c r="Z1505" s="9">
        <v>24.28858708803979</v>
      </c>
      <c r="AA1505" s="9">
        <v>24.28858708803979</v>
      </c>
      <c r="AB1505" s="9">
        <v>25.117335532005217</v>
      </c>
      <c r="AC1505" s="9">
        <v>25.117335532005217</v>
      </c>
      <c r="AD1505" s="9">
        <v>29.039116491286865</v>
      </c>
      <c r="AE1505" s="9">
        <v>31.219251037281825</v>
      </c>
      <c r="AF1505" s="9">
        <v>33.487682081707895</v>
      </c>
      <c r="AG1505" s="9">
        <v>33.487682081707895</v>
      </c>
      <c r="AH1505" s="9">
        <v>36.427668170967245</v>
      </c>
      <c r="AI1505" s="9">
        <v>38.74455996597662</v>
      </c>
      <c r="AJ1505" s="9">
        <v>3.0428788910505911</v>
      </c>
    </row>
    <row r="1506" spans="1:36" x14ac:dyDescent="0.25">
      <c r="A1506" t="s">
        <v>5411</v>
      </c>
      <c r="B1506" t="s">
        <v>16</v>
      </c>
      <c r="C1506" t="s">
        <v>17</v>
      </c>
      <c r="D1506">
        <v>37530000</v>
      </c>
      <c r="E1506">
        <v>37539999</v>
      </c>
      <c r="F1506" t="s">
        <v>1325</v>
      </c>
      <c r="G1506" t="str">
        <f t="shared" si="46"/>
        <v>MGI</v>
      </c>
      <c r="H1506" t="s">
        <v>851</v>
      </c>
      <c r="I1506" t="s">
        <v>20</v>
      </c>
      <c r="J1506" t="s">
        <v>62</v>
      </c>
      <c r="K1506" s="6">
        <v>0.03</v>
      </c>
      <c r="L1506" s="7">
        <f t="shared" si="47"/>
        <v>2E-3</v>
      </c>
      <c r="M1506" s="7">
        <v>3.0000000000000001E-3</v>
      </c>
      <c r="N1506">
        <v>7</v>
      </c>
      <c r="O1506" s="8">
        <v>13.880385281502075</v>
      </c>
      <c r="P1506" s="9">
        <v>13.880385281502075</v>
      </c>
      <c r="Q1506" s="9">
        <v>13.880385281502075</v>
      </c>
      <c r="R1506" s="9">
        <v>14.045989937445718</v>
      </c>
      <c r="S1506" s="9">
        <v>14.060876315369912</v>
      </c>
      <c r="T1506" s="9">
        <v>15.090338571208333</v>
      </c>
      <c r="U1506" s="9">
        <v>16.025407313902726</v>
      </c>
      <c r="V1506" s="9">
        <v>16.025407313902726</v>
      </c>
      <c r="W1506" s="9">
        <v>16.025407313902726</v>
      </c>
      <c r="X1506" s="9">
        <v>18.013895748167766</v>
      </c>
      <c r="Y1506" s="9">
        <v>18.013895748167766</v>
      </c>
      <c r="Z1506" s="9">
        <v>20.142868501532355</v>
      </c>
      <c r="AA1506" s="9">
        <v>20.142868501532355</v>
      </c>
      <c r="AB1506" s="9">
        <v>22.456349831314476</v>
      </c>
      <c r="AC1506" s="9">
        <v>22.456349831314476</v>
      </c>
      <c r="AD1506" s="9">
        <v>24.87984091164185</v>
      </c>
      <c r="AE1506" s="9">
        <v>27.427492221952345</v>
      </c>
      <c r="AF1506" s="9">
        <v>33.194804868730657</v>
      </c>
      <c r="AG1506" s="9">
        <v>33.194804868730657</v>
      </c>
      <c r="AH1506" s="9">
        <v>35.957808835828068</v>
      </c>
      <c r="AI1506" s="9">
        <v>38.646304092692077</v>
      </c>
      <c r="AJ1506" s="9">
        <v>3.0428788910505911</v>
      </c>
    </row>
    <row r="1507" spans="1:36" x14ac:dyDescent="0.25">
      <c r="A1507" t="s">
        <v>5411</v>
      </c>
      <c r="B1507" t="s">
        <v>16</v>
      </c>
      <c r="C1507" t="s">
        <v>17</v>
      </c>
      <c r="D1507">
        <v>37540000</v>
      </c>
      <c r="E1507">
        <v>37541999</v>
      </c>
      <c r="F1507" t="s">
        <v>1326</v>
      </c>
      <c r="G1507" t="str">
        <f t="shared" si="46"/>
        <v>MGI</v>
      </c>
      <c r="H1507" t="s">
        <v>851</v>
      </c>
      <c r="I1507" t="s">
        <v>20</v>
      </c>
      <c r="J1507" t="s">
        <v>62</v>
      </c>
      <c r="K1507" s="6">
        <v>0.03</v>
      </c>
      <c r="L1507" s="7">
        <f t="shared" si="47"/>
        <v>2E-3</v>
      </c>
      <c r="M1507" s="7">
        <v>3.0000000000000001E-3</v>
      </c>
      <c r="N1507">
        <v>7</v>
      </c>
      <c r="O1507" s="8">
        <v>13.880385281502075</v>
      </c>
      <c r="P1507" s="9">
        <v>13.880385281502075</v>
      </c>
      <c r="Q1507" s="9">
        <v>13.880385281502075</v>
      </c>
      <c r="R1507" s="9">
        <v>14.045989937445718</v>
      </c>
      <c r="S1507" s="9">
        <v>14.060876315369912</v>
      </c>
      <c r="T1507" s="9">
        <v>15.090338571208333</v>
      </c>
      <c r="U1507" s="9">
        <v>16.025407313902726</v>
      </c>
      <c r="V1507" s="9">
        <v>16.025407313902726</v>
      </c>
      <c r="W1507" s="9">
        <v>16.025407313902726</v>
      </c>
      <c r="X1507" s="9">
        <v>18.013895748167766</v>
      </c>
      <c r="Y1507" s="9">
        <v>18.013895748167766</v>
      </c>
      <c r="Z1507" s="9">
        <v>20.142868501532355</v>
      </c>
      <c r="AA1507" s="9">
        <v>20.142868501532355</v>
      </c>
      <c r="AB1507" s="9">
        <v>22.456349831314476</v>
      </c>
      <c r="AC1507" s="9">
        <v>22.456349831314476</v>
      </c>
      <c r="AD1507" s="9">
        <v>24.87984091164185</v>
      </c>
      <c r="AE1507" s="9">
        <v>27.427492221952345</v>
      </c>
      <c r="AF1507" s="9">
        <v>33.194804868730657</v>
      </c>
      <c r="AG1507" s="9">
        <v>33.194804868730657</v>
      </c>
      <c r="AH1507" s="9">
        <v>35.957808835828068</v>
      </c>
      <c r="AI1507" s="9">
        <v>38.646304092692077</v>
      </c>
      <c r="AJ1507" s="9">
        <v>3.0428788910505911</v>
      </c>
    </row>
    <row r="1508" spans="1:36" x14ac:dyDescent="0.25">
      <c r="A1508" t="s">
        <v>5411</v>
      </c>
      <c r="B1508" t="s">
        <v>16</v>
      </c>
      <c r="C1508" t="s">
        <v>17</v>
      </c>
      <c r="D1508">
        <v>37542000</v>
      </c>
      <c r="E1508">
        <v>37544999</v>
      </c>
      <c r="F1508" t="s">
        <v>1327</v>
      </c>
      <c r="G1508" t="str">
        <f t="shared" si="46"/>
        <v>MGI II</v>
      </c>
      <c r="H1508" t="s">
        <v>851</v>
      </c>
      <c r="I1508" t="s">
        <v>20</v>
      </c>
      <c r="J1508" t="s">
        <v>64</v>
      </c>
      <c r="K1508" s="6">
        <v>0.03</v>
      </c>
      <c r="L1508" s="7">
        <f t="shared" si="47"/>
        <v>2E-3</v>
      </c>
      <c r="M1508" s="7">
        <v>3.0000000000000001E-3</v>
      </c>
      <c r="N1508">
        <v>7</v>
      </c>
      <c r="O1508" s="8">
        <v>17.822306426995311</v>
      </c>
      <c r="P1508" s="9">
        <v>17.822306426995311</v>
      </c>
      <c r="Q1508" s="9">
        <v>17.822306426995311</v>
      </c>
      <c r="R1508" s="9">
        <v>18.237663306594719</v>
      </c>
      <c r="S1508" s="9">
        <v>18.48712920931133</v>
      </c>
      <c r="T1508" s="9">
        <v>19.201553596969877</v>
      </c>
      <c r="U1508" s="9">
        <v>20.562345482855957</v>
      </c>
      <c r="V1508" s="9">
        <v>20.562345482855957</v>
      </c>
      <c r="W1508" s="9">
        <v>20.562345482855957</v>
      </c>
      <c r="X1508" s="9">
        <v>22.391977691000818</v>
      </c>
      <c r="Y1508" s="9">
        <v>22.391977691000818</v>
      </c>
      <c r="Z1508" s="9">
        <v>24.28858708803979</v>
      </c>
      <c r="AA1508" s="9">
        <v>24.28858708803979</v>
      </c>
      <c r="AB1508" s="9">
        <v>25.117335532005217</v>
      </c>
      <c r="AC1508" s="9">
        <v>25.117335532005217</v>
      </c>
      <c r="AD1508" s="9">
        <v>29.039116491286865</v>
      </c>
      <c r="AE1508" s="9">
        <v>31.219251037281825</v>
      </c>
      <c r="AF1508" s="9">
        <v>33.487682081707895</v>
      </c>
      <c r="AG1508" s="9">
        <v>33.487682081707895</v>
      </c>
      <c r="AH1508" s="9">
        <v>36.427668170967245</v>
      </c>
      <c r="AI1508" s="9">
        <v>38.74455996597662</v>
      </c>
      <c r="AJ1508" s="9">
        <v>3.0428788910505911</v>
      </c>
    </row>
    <row r="1509" spans="1:36" x14ac:dyDescent="0.25">
      <c r="A1509" t="s">
        <v>5411</v>
      </c>
      <c r="B1509" t="s">
        <v>16</v>
      </c>
      <c r="C1509" t="s">
        <v>17</v>
      </c>
      <c r="D1509">
        <v>37545000</v>
      </c>
      <c r="E1509">
        <v>37547999</v>
      </c>
      <c r="F1509" t="s">
        <v>1328</v>
      </c>
      <c r="G1509" t="str">
        <f t="shared" si="46"/>
        <v>MGI</v>
      </c>
      <c r="H1509" t="s">
        <v>851</v>
      </c>
      <c r="I1509" t="s">
        <v>20</v>
      </c>
      <c r="J1509" t="s">
        <v>62</v>
      </c>
      <c r="K1509" s="6">
        <v>0.03</v>
      </c>
      <c r="L1509" s="7">
        <f t="shared" si="47"/>
        <v>2E-3</v>
      </c>
      <c r="M1509" s="7">
        <v>3.0000000000000001E-3</v>
      </c>
      <c r="N1509">
        <v>7</v>
      </c>
      <c r="O1509" s="8">
        <v>13.880385281502075</v>
      </c>
      <c r="P1509" s="9">
        <v>13.880385281502075</v>
      </c>
      <c r="Q1509" s="9">
        <v>13.880385281502075</v>
      </c>
      <c r="R1509" s="9">
        <v>14.045989937445718</v>
      </c>
      <c r="S1509" s="9">
        <v>14.060876315369912</v>
      </c>
      <c r="T1509" s="9">
        <v>15.090338571208333</v>
      </c>
      <c r="U1509" s="9">
        <v>16.025407313902726</v>
      </c>
      <c r="V1509" s="9">
        <v>16.025407313902726</v>
      </c>
      <c r="W1509" s="9">
        <v>16.025407313902726</v>
      </c>
      <c r="X1509" s="9">
        <v>18.013895748167766</v>
      </c>
      <c r="Y1509" s="9">
        <v>18.013895748167766</v>
      </c>
      <c r="Z1509" s="9">
        <v>20.142868501532355</v>
      </c>
      <c r="AA1509" s="9">
        <v>20.142868501532355</v>
      </c>
      <c r="AB1509" s="9">
        <v>22.456349831314476</v>
      </c>
      <c r="AC1509" s="9">
        <v>22.456349831314476</v>
      </c>
      <c r="AD1509" s="9">
        <v>24.87984091164185</v>
      </c>
      <c r="AE1509" s="9">
        <v>27.427492221952345</v>
      </c>
      <c r="AF1509" s="9">
        <v>33.194804868730657</v>
      </c>
      <c r="AG1509" s="9">
        <v>33.194804868730657</v>
      </c>
      <c r="AH1509" s="9">
        <v>35.957808835828068</v>
      </c>
      <c r="AI1509" s="9">
        <v>38.646304092692077</v>
      </c>
      <c r="AJ1509" s="9">
        <v>3.0428788910505911</v>
      </c>
    </row>
    <row r="1510" spans="1:36" x14ac:dyDescent="0.25">
      <c r="A1510" t="s">
        <v>5411</v>
      </c>
      <c r="B1510" t="s">
        <v>16</v>
      </c>
      <c r="C1510" t="s">
        <v>17</v>
      </c>
      <c r="D1510">
        <v>37548000</v>
      </c>
      <c r="E1510">
        <v>37549999</v>
      </c>
      <c r="F1510" t="s">
        <v>1329</v>
      </c>
      <c r="G1510" t="str">
        <f t="shared" si="46"/>
        <v>MGI</v>
      </c>
      <c r="H1510" t="s">
        <v>851</v>
      </c>
      <c r="I1510" t="s">
        <v>20</v>
      </c>
      <c r="J1510" t="s">
        <v>62</v>
      </c>
      <c r="K1510" s="6">
        <v>0.03</v>
      </c>
      <c r="L1510" s="7">
        <f t="shared" si="47"/>
        <v>2E-3</v>
      </c>
      <c r="M1510" s="7">
        <v>3.0000000000000001E-3</v>
      </c>
      <c r="N1510">
        <v>7</v>
      </c>
      <c r="O1510" s="8">
        <v>13.880385281502075</v>
      </c>
      <c r="P1510" s="9">
        <v>13.880385281502075</v>
      </c>
      <c r="Q1510" s="9">
        <v>13.880385281502075</v>
      </c>
      <c r="R1510" s="9">
        <v>14.045989937445718</v>
      </c>
      <c r="S1510" s="9">
        <v>14.060876315369912</v>
      </c>
      <c r="T1510" s="9">
        <v>15.090338571208333</v>
      </c>
      <c r="U1510" s="9">
        <v>16.025407313902726</v>
      </c>
      <c r="V1510" s="9">
        <v>16.025407313902726</v>
      </c>
      <c r="W1510" s="9">
        <v>16.025407313902726</v>
      </c>
      <c r="X1510" s="9">
        <v>18.013895748167766</v>
      </c>
      <c r="Y1510" s="9">
        <v>18.013895748167766</v>
      </c>
      <c r="Z1510" s="9">
        <v>20.142868501532355</v>
      </c>
      <c r="AA1510" s="9">
        <v>20.142868501532355</v>
      </c>
      <c r="AB1510" s="9">
        <v>22.456349831314476</v>
      </c>
      <c r="AC1510" s="9">
        <v>22.456349831314476</v>
      </c>
      <c r="AD1510" s="9">
        <v>24.87984091164185</v>
      </c>
      <c r="AE1510" s="9">
        <v>27.427492221952345</v>
      </c>
      <c r="AF1510" s="9">
        <v>33.194804868730657</v>
      </c>
      <c r="AG1510" s="9">
        <v>33.194804868730657</v>
      </c>
      <c r="AH1510" s="9">
        <v>35.957808835828068</v>
      </c>
      <c r="AI1510" s="9">
        <v>38.646304092692077</v>
      </c>
      <c r="AJ1510" s="9">
        <v>3.0428788910505911</v>
      </c>
    </row>
    <row r="1511" spans="1:36" x14ac:dyDescent="0.25">
      <c r="A1511" t="s">
        <v>5411</v>
      </c>
      <c r="B1511" t="s">
        <v>16</v>
      </c>
      <c r="C1511" t="s">
        <v>17</v>
      </c>
      <c r="D1511">
        <v>37550000</v>
      </c>
      <c r="E1511">
        <v>37562999</v>
      </c>
      <c r="F1511" t="s">
        <v>1330</v>
      </c>
      <c r="G1511" t="str">
        <f t="shared" si="46"/>
        <v>MGI</v>
      </c>
      <c r="H1511" t="s">
        <v>851</v>
      </c>
      <c r="I1511" t="s">
        <v>20</v>
      </c>
      <c r="J1511" t="s">
        <v>62</v>
      </c>
      <c r="K1511" s="6">
        <v>0.03</v>
      </c>
      <c r="L1511" s="7">
        <f t="shared" si="47"/>
        <v>2E-3</v>
      </c>
      <c r="M1511" s="7">
        <v>3.0000000000000001E-3</v>
      </c>
      <c r="N1511">
        <v>6</v>
      </c>
      <c r="O1511" s="8">
        <v>13.880385281502075</v>
      </c>
      <c r="P1511" s="9">
        <v>13.880385281502075</v>
      </c>
      <c r="Q1511" s="9">
        <v>13.880385281502075</v>
      </c>
      <c r="R1511" s="9">
        <v>14.045989937445718</v>
      </c>
      <c r="S1511" s="9">
        <v>14.060876315369912</v>
      </c>
      <c r="T1511" s="9">
        <v>15.090338571208333</v>
      </c>
      <c r="U1511" s="9">
        <v>16.025407313902726</v>
      </c>
      <c r="V1511" s="9">
        <v>16.025407313902726</v>
      </c>
      <c r="W1511" s="9">
        <v>16.025407313902726</v>
      </c>
      <c r="X1511" s="9">
        <v>18.013895748167766</v>
      </c>
      <c r="Y1511" s="9">
        <v>18.013895748167766</v>
      </c>
      <c r="Z1511" s="9">
        <v>20.142868501532355</v>
      </c>
      <c r="AA1511" s="9">
        <v>20.142868501532355</v>
      </c>
      <c r="AB1511" s="9">
        <v>22.456349831314476</v>
      </c>
      <c r="AC1511" s="9">
        <v>22.456349831314476</v>
      </c>
      <c r="AD1511" s="9">
        <v>24.87984091164185</v>
      </c>
      <c r="AE1511" s="9">
        <v>27.427492221952345</v>
      </c>
      <c r="AF1511" s="9">
        <v>33.194804868730657</v>
      </c>
      <c r="AG1511" s="9">
        <v>33.194804868730657</v>
      </c>
      <c r="AH1511" s="9">
        <v>35.957808835828068</v>
      </c>
      <c r="AI1511" s="9">
        <v>38.646304092692077</v>
      </c>
      <c r="AJ1511" s="9">
        <v>3.0428788910505911</v>
      </c>
    </row>
    <row r="1512" spans="1:36" x14ac:dyDescent="0.25">
      <c r="A1512" t="s">
        <v>5411</v>
      </c>
      <c r="B1512" t="s">
        <v>16</v>
      </c>
      <c r="C1512" t="s">
        <v>17</v>
      </c>
      <c r="D1512">
        <v>37563000</v>
      </c>
      <c r="E1512">
        <v>37563999</v>
      </c>
      <c r="F1512" t="s">
        <v>1331</v>
      </c>
      <c r="G1512" t="str">
        <f t="shared" si="46"/>
        <v>MGI II</v>
      </c>
      <c r="H1512" t="s">
        <v>851</v>
      </c>
      <c r="I1512" t="s">
        <v>20</v>
      </c>
      <c r="J1512" t="s">
        <v>64</v>
      </c>
      <c r="K1512" s="6">
        <v>0.03</v>
      </c>
      <c r="L1512" s="7">
        <f t="shared" si="47"/>
        <v>2E-3</v>
      </c>
      <c r="M1512" s="7">
        <v>3.0000000000000001E-3</v>
      </c>
      <c r="N1512">
        <v>7</v>
      </c>
      <c r="O1512" s="8">
        <v>17.822306426995311</v>
      </c>
      <c r="P1512" s="9">
        <v>17.822306426995311</v>
      </c>
      <c r="Q1512" s="9">
        <v>17.822306426995311</v>
      </c>
      <c r="R1512" s="9">
        <v>18.237663306594719</v>
      </c>
      <c r="S1512" s="9">
        <v>18.48712920931133</v>
      </c>
      <c r="T1512" s="9">
        <v>19.201553596969877</v>
      </c>
      <c r="U1512" s="9">
        <v>20.562345482855957</v>
      </c>
      <c r="V1512" s="9">
        <v>20.562345482855957</v>
      </c>
      <c r="W1512" s="9">
        <v>20.562345482855957</v>
      </c>
      <c r="X1512" s="9">
        <v>22.391977691000818</v>
      </c>
      <c r="Y1512" s="9">
        <v>22.391977691000818</v>
      </c>
      <c r="Z1512" s="9">
        <v>24.28858708803979</v>
      </c>
      <c r="AA1512" s="9">
        <v>24.28858708803979</v>
      </c>
      <c r="AB1512" s="9">
        <v>25.117335532005217</v>
      </c>
      <c r="AC1512" s="9">
        <v>25.117335532005217</v>
      </c>
      <c r="AD1512" s="9">
        <v>29.039116491286865</v>
      </c>
      <c r="AE1512" s="9">
        <v>31.219251037281825</v>
      </c>
      <c r="AF1512" s="9">
        <v>33.487682081707895</v>
      </c>
      <c r="AG1512" s="9">
        <v>33.487682081707895</v>
      </c>
      <c r="AH1512" s="9">
        <v>36.427668170967245</v>
      </c>
      <c r="AI1512" s="9">
        <v>38.74455996597662</v>
      </c>
      <c r="AJ1512" s="9">
        <v>3.0428788910505911</v>
      </c>
    </row>
    <row r="1513" spans="1:36" x14ac:dyDescent="0.25">
      <c r="A1513" t="s">
        <v>5411</v>
      </c>
      <c r="B1513" t="s">
        <v>16</v>
      </c>
      <c r="C1513" t="s">
        <v>17</v>
      </c>
      <c r="D1513">
        <v>37564000</v>
      </c>
      <c r="E1513">
        <v>37565999</v>
      </c>
      <c r="F1513" t="s">
        <v>1332</v>
      </c>
      <c r="G1513" t="str">
        <f t="shared" si="46"/>
        <v>MGI</v>
      </c>
      <c r="H1513" t="s">
        <v>851</v>
      </c>
      <c r="I1513" t="s">
        <v>20</v>
      </c>
      <c r="J1513" t="s">
        <v>62</v>
      </c>
      <c r="K1513" s="6">
        <v>0.03</v>
      </c>
      <c r="L1513" s="7">
        <f t="shared" si="47"/>
        <v>2E-3</v>
      </c>
      <c r="M1513" s="7">
        <v>3.0000000000000001E-3</v>
      </c>
      <c r="N1513">
        <v>7</v>
      </c>
      <c r="O1513" s="8">
        <v>13.880385281502075</v>
      </c>
      <c r="P1513" s="9">
        <v>13.880385281502075</v>
      </c>
      <c r="Q1513" s="9">
        <v>13.880385281502075</v>
      </c>
      <c r="R1513" s="9">
        <v>14.045989937445718</v>
      </c>
      <c r="S1513" s="9">
        <v>14.060876315369912</v>
      </c>
      <c r="T1513" s="9">
        <v>15.090338571208333</v>
      </c>
      <c r="U1513" s="9">
        <v>16.025407313902726</v>
      </c>
      <c r="V1513" s="9">
        <v>16.025407313902726</v>
      </c>
      <c r="W1513" s="9">
        <v>16.025407313902726</v>
      </c>
      <c r="X1513" s="9">
        <v>18.013895748167766</v>
      </c>
      <c r="Y1513" s="9">
        <v>18.013895748167766</v>
      </c>
      <c r="Z1513" s="9">
        <v>20.142868501532355</v>
      </c>
      <c r="AA1513" s="9">
        <v>20.142868501532355</v>
      </c>
      <c r="AB1513" s="9">
        <v>22.456349831314476</v>
      </c>
      <c r="AC1513" s="9">
        <v>22.456349831314476</v>
      </c>
      <c r="AD1513" s="9">
        <v>24.87984091164185</v>
      </c>
      <c r="AE1513" s="9">
        <v>27.427492221952345</v>
      </c>
      <c r="AF1513" s="9">
        <v>33.194804868730657</v>
      </c>
      <c r="AG1513" s="9">
        <v>33.194804868730657</v>
      </c>
      <c r="AH1513" s="9">
        <v>35.957808835828068</v>
      </c>
      <c r="AI1513" s="9">
        <v>38.646304092692077</v>
      </c>
      <c r="AJ1513" s="9">
        <v>3.0428788910505911</v>
      </c>
    </row>
    <row r="1514" spans="1:36" x14ac:dyDescent="0.25">
      <c r="A1514" t="s">
        <v>5411</v>
      </c>
      <c r="B1514" t="s">
        <v>16</v>
      </c>
      <c r="C1514" t="s">
        <v>17</v>
      </c>
      <c r="D1514">
        <v>37566000</v>
      </c>
      <c r="E1514">
        <v>37566999</v>
      </c>
      <c r="F1514" t="s">
        <v>1333</v>
      </c>
      <c r="G1514" t="str">
        <f t="shared" si="46"/>
        <v>MGI II</v>
      </c>
      <c r="H1514" t="s">
        <v>851</v>
      </c>
      <c r="I1514" t="s">
        <v>20</v>
      </c>
      <c r="J1514" t="s">
        <v>64</v>
      </c>
      <c r="K1514" s="6">
        <v>0.03</v>
      </c>
      <c r="L1514" s="7">
        <f t="shared" si="47"/>
        <v>2E-3</v>
      </c>
      <c r="M1514" s="7">
        <v>3.0000000000000001E-3</v>
      </c>
      <c r="N1514">
        <v>7</v>
      </c>
      <c r="O1514" s="8">
        <v>17.822306426995311</v>
      </c>
      <c r="P1514" s="9">
        <v>17.822306426995311</v>
      </c>
      <c r="Q1514" s="9">
        <v>17.822306426995311</v>
      </c>
      <c r="R1514" s="9">
        <v>18.237663306594719</v>
      </c>
      <c r="S1514" s="9">
        <v>18.48712920931133</v>
      </c>
      <c r="T1514" s="9">
        <v>19.201553596969877</v>
      </c>
      <c r="U1514" s="9">
        <v>20.562345482855957</v>
      </c>
      <c r="V1514" s="9">
        <v>20.562345482855957</v>
      </c>
      <c r="W1514" s="9">
        <v>20.562345482855957</v>
      </c>
      <c r="X1514" s="9">
        <v>22.391977691000818</v>
      </c>
      <c r="Y1514" s="9">
        <v>22.391977691000818</v>
      </c>
      <c r="Z1514" s="9">
        <v>24.28858708803979</v>
      </c>
      <c r="AA1514" s="9">
        <v>24.28858708803979</v>
      </c>
      <c r="AB1514" s="9">
        <v>25.117335532005217</v>
      </c>
      <c r="AC1514" s="9">
        <v>25.117335532005217</v>
      </c>
      <c r="AD1514" s="9">
        <v>29.039116491286865</v>
      </c>
      <c r="AE1514" s="9">
        <v>31.219251037281825</v>
      </c>
      <c r="AF1514" s="9">
        <v>33.487682081707895</v>
      </c>
      <c r="AG1514" s="9">
        <v>33.487682081707895</v>
      </c>
      <c r="AH1514" s="9">
        <v>36.427668170967245</v>
      </c>
      <c r="AI1514" s="9">
        <v>38.74455996597662</v>
      </c>
      <c r="AJ1514" s="9">
        <v>3.0428788910505911</v>
      </c>
    </row>
    <row r="1515" spans="1:36" x14ac:dyDescent="0.25">
      <c r="A1515" t="s">
        <v>5411</v>
      </c>
      <c r="B1515" t="s">
        <v>16</v>
      </c>
      <c r="C1515" t="s">
        <v>17</v>
      </c>
      <c r="D1515">
        <v>37567000</v>
      </c>
      <c r="E1515">
        <v>37567999</v>
      </c>
      <c r="F1515" t="s">
        <v>1334</v>
      </c>
      <c r="G1515" t="str">
        <f t="shared" si="46"/>
        <v>MGI II</v>
      </c>
      <c r="H1515" t="s">
        <v>851</v>
      </c>
      <c r="I1515" t="s">
        <v>20</v>
      </c>
      <c r="J1515" t="s">
        <v>64</v>
      </c>
      <c r="K1515" s="6">
        <v>0.03</v>
      </c>
      <c r="L1515" s="7">
        <f t="shared" si="47"/>
        <v>2E-3</v>
      </c>
      <c r="M1515" s="7">
        <v>3.0000000000000001E-3</v>
      </c>
      <c r="N1515">
        <v>7</v>
      </c>
      <c r="O1515" s="8">
        <v>17.822306426995311</v>
      </c>
      <c r="P1515" s="9">
        <v>17.822306426995311</v>
      </c>
      <c r="Q1515" s="9">
        <v>17.822306426995311</v>
      </c>
      <c r="R1515" s="9">
        <v>18.237663306594719</v>
      </c>
      <c r="S1515" s="9">
        <v>18.48712920931133</v>
      </c>
      <c r="T1515" s="9">
        <v>19.201553596969877</v>
      </c>
      <c r="U1515" s="9">
        <v>20.562345482855957</v>
      </c>
      <c r="V1515" s="9">
        <v>20.562345482855957</v>
      </c>
      <c r="W1515" s="9">
        <v>20.562345482855957</v>
      </c>
      <c r="X1515" s="9">
        <v>22.391977691000818</v>
      </c>
      <c r="Y1515" s="9">
        <v>22.391977691000818</v>
      </c>
      <c r="Z1515" s="9">
        <v>24.28858708803979</v>
      </c>
      <c r="AA1515" s="9">
        <v>24.28858708803979</v>
      </c>
      <c r="AB1515" s="9">
        <v>25.117335532005217</v>
      </c>
      <c r="AC1515" s="9">
        <v>25.117335532005217</v>
      </c>
      <c r="AD1515" s="9">
        <v>29.039116491286865</v>
      </c>
      <c r="AE1515" s="9">
        <v>31.219251037281825</v>
      </c>
      <c r="AF1515" s="9">
        <v>33.487682081707895</v>
      </c>
      <c r="AG1515" s="9">
        <v>33.487682081707895</v>
      </c>
      <c r="AH1515" s="9">
        <v>36.427668170967245</v>
      </c>
      <c r="AI1515" s="9">
        <v>38.74455996597662</v>
      </c>
      <c r="AJ1515" s="9">
        <v>3.0428788910505911</v>
      </c>
    </row>
    <row r="1516" spans="1:36" x14ac:dyDescent="0.25">
      <c r="A1516" t="s">
        <v>5411</v>
      </c>
      <c r="B1516" t="s">
        <v>16</v>
      </c>
      <c r="C1516" t="s">
        <v>17</v>
      </c>
      <c r="D1516">
        <v>37568000</v>
      </c>
      <c r="E1516">
        <v>37569999</v>
      </c>
      <c r="F1516" t="s">
        <v>1335</v>
      </c>
      <c r="G1516" t="str">
        <f t="shared" si="46"/>
        <v>MGI II</v>
      </c>
      <c r="H1516" t="s">
        <v>851</v>
      </c>
      <c r="I1516" t="s">
        <v>20</v>
      </c>
      <c r="J1516" t="s">
        <v>64</v>
      </c>
      <c r="K1516" s="6">
        <v>0.03</v>
      </c>
      <c r="L1516" s="7">
        <f t="shared" si="47"/>
        <v>2E-3</v>
      </c>
      <c r="M1516" s="7">
        <v>3.0000000000000001E-3</v>
      </c>
      <c r="N1516">
        <v>8</v>
      </c>
      <c r="O1516" s="8">
        <v>17.822306426995311</v>
      </c>
      <c r="P1516" s="9">
        <v>17.822306426995311</v>
      </c>
      <c r="Q1516" s="9">
        <v>17.822306426995311</v>
      </c>
      <c r="R1516" s="9">
        <v>18.237663306594719</v>
      </c>
      <c r="S1516" s="9">
        <v>18.48712920931133</v>
      </c>
      <c r="T1516" s="9">
        <v>19.201553596969877</v>
      </c>
      <c r="U1516" s="9">
        <v>20.562345482855957</v>
      </c>
      <c r="V1516" s="9">
        <v>20.562345482855957</v>
      </c>
      <c r="W1516" s="9">
        <v>20.562345482855957</v>
      </c>
      <c r="X1516" s="9">
        <v>22.391977691000818</v>
      </c>
      <c r="Y1516" s="9">
        <v>22.391977691000818</v>
      </c>
      <c r="Z1516" s="9">
        <v>24.28858708803979</v>
      </c>
      <c r="AA1516" s="9">
        <v>24.28858708803979</v>
      </c>
      <c r="AB1516" s="9">
        <v>25.117335532005217</v>
      </c>
      <c r="AC1516" s="9">
        <v>25.117335532005217</v>
      </c>
      <c r="AD1516" s="9">
        <v>29.039116491286865</v>
      </c>
      <c r="AE1516" s="9">
        <v>31.219251037281825</v>
      </c>
      <c r="AF1516" s="9">
        <v>33.487682081707895</v>
      </c>
      <c r="AG1516" s="9">
        <v>33.487682081707895</v>
      </c>
      <c r="AH1516" s="9">
        <v>36.427668170967245</v>
      </c>
      <c r="AI1516" s="9">
        <v>38.74455996597662</v>
      </c>
      <c r="AJ1516" s="9">
        <v>3.0428788910505911</v>
      </c>
    </row>
    <row r="1517" spans="1:36" x14ac:dyDescent="0.25">
      <c r="A1517" t="s">
        <v>5411</v>
      </c>
      <c r="B1517" t="s">
        <v>16</v>
      </c>
      <c r="C1517" t="s">
        <v>17</v>
      </c>
      <c r="D1517">
        <v>37570000</v>
      </c>
      <c r="E1517">
        <v>37575999</v>
      </c>
      <c r="F1517" t="s">
        <v>1336</v>
      </c>
      <c r="G1517" t="str">
        <f t="shared" si="46"/>
        <v>MGI</v>
      </c>
      <c r="H1517" t="s">
        <v>851</v>
      </c>
      <c r="I1517" t="s">
        <v>20</v>
      </c>
      <c r="J1517" t="s">
        <v>62</v>
      </c>
      <c r="K1517" s="6">
        <v>0.03</v>
      </c>
      <c r="L1517" s="7">
        <f t="shared" si="47"/>
        <v>2E-3</v>
      </c>
      <c r="M1517" s="7">
        <v>3.0000000000000001E-3</v>
      </c>
      <c r="N1517">
        <v>7</v>
      </c>
      <c r="O1517" s="8">
        <v>13.880385281502075</v>
      </c>
      <c r="P1517" s="9">
        <v>13.880385281502075</v>
      </c>
      <c r="Q1517" s="9">
        <v>13.880385281502075</v>
      </c>
      <c r="R1517" s="9">
        <v>14.045989937445718</v>
      </c>
      <c r="S1517" s="9">
        <v>14.060876315369912</v>
      </c>
      <c r="T1517" s="9">
        <v>15.090338571208333</v>
      </c>
      <c r="U1517" s="9">
        <v>16.025407313902726</v>
      </c>
      <c r="V1517" s="9">
        <v>16.025407313902726</v>
      </c>
      <c r="W1517" s="9">
        <v>16.025407313902726</v>
      </c>
      <c r="X1517" s="9">
        <v>18.013895748167766</v>
      </c>
      <c r="Y1517" s="9">
        <v>18.013895748167766</v>
      </c>
      <c r="Z1517" s="9">
        <v>20.142868501532355</v>
      </c>
      <c r="AA1517" s="9">
        <v>20.142868501532355</v>
      </c>
      <c r="AB1517" s="9">
        <v>22.456349831314476</v>
      </c>
      <c r="AC1517" s="9">
        <v>22.456349831314476</v>
      </c>
      <c r="AD1517" s="9">
        <v>24.87984091164185</v>
      </c>
      <c r="AE1517" s="9">
        <v>27.427492221952345</v>
      </c>
      <c r="AF1517" s="9">
        <v>33.194804868730657</v>
      </c>
      <c r="AG1517" s="9">
        <v>33.194804868730657</v>
      </c>
      <c r="AH1517" s="9">
        <v>35.957808835828068</v>
      </c>
      <c r="AI1517" s="9">
        <v>38.646304092692077</v>
      </c>
      <c r="AJ1517" s="9">
        <v>3.0428788910505911</v>
      </c>
    </row>
    <row r="1518" spans="1:36" x14ac:dyDescent="0.25">
      <c r="A1518" t="s">
        <v>5411</v>
      </c>
      <c r="B1518" t="s">
        <v>16</v>
      </c>
      <c r="C1518" t="s">
        <v>17</v>
      </c>
      <c r="D1518">
        <v>37576000</v>
      </c>
      <c r="E1518">
        <v>37577999</v>
      </c>
      <c r="F1518" t="s">
        <v>1337</v>
      </c>
      <c r="G1518" t="str">
        <f t="shared" si="46"/>
        <v>MGI II</v>
      </c>
      <c r="H1518" t="s">
        <v>851</v>
      </c>
      <c r="I1518" t="s">
        <v>20</v>
      </c>
      <c r="J1518" t="s">
        <v>64</v>
      </c>
      <c r="K1518" s="6">
        <v>0.03</v>
      </c>
      <c r="L1518" s="7">
        <f t="shared" si="47"/>
        <v>2E-3</v>
      </c>
      <c r="M1518" s="7">
        <v>3.0000000000000001E-3</v>
      </c>
      <c r="N1518">
        <v>8</v>
      </c>
      <c r="O1518" s="8">
        <v>17.822306426995311</v>
      </c>
      <c r="P1518" s="9">
        <v>17.822306426995311</v>
      </c>
      <c r="Q1518" s="9">
        <v>17.822306426995311</v>
      </c>
      <c r="R1518" s="9">
        <v>18.237663306594719</v>
      </c>
      <c r="S1518" s="9">
        <v>18.48712920931133</v>
      </c>
      <c r="T1518" s="9">
        <v>19.201553596969877</v>
      </c>
      <c r="U1518" s="9">
        <v>20.562345482855957</v>
      </c>
      <c r="V1518" s="9">
        <v>20.562345482855957</v>
      </c>
      <c r="W1518" s="9">
        <v>20.562345482855957</v>
      </c>
      <c r="X1518" s="9">
        <v>22.391977691000818</v>
      </c>
      <c r="Y1518" s="9">
        <v>22.391977691000818</v>
      </c>
      <c r="Z1518" s="9">
        <v>24.28858708803979</v>
      </c>
      <c r="AA1518" s="9">
        <v>24.28858708803979</v>
      </c>
      <c r="AB1518" s="9">
        <v>25.117335532005217</v>
      </c>
      <c r="AC1518" s="9">
        <v>25.117335532005217</v>
      </c>
      <c r="AD1518" s="9">
        <v>29.039116491286865</v>
      </c>
      <c r="AE1518" s="9">
        <v>31.219251037281825</v>
      </c>
      <c r="AF1518" s="9">
        <v>33.487682081707895</v>
      </c>
      <c r="AG1518" s="9">
        <v>33.487682081707895</v>
      </c>
      <c r="AH1518" s="9">
        <v>36.427668170967245</v>
      </c>
      <c r="AI1518" s="9">
        <v>38.74455996597662</v>
      </c>
      <c r="AJ1518" s="9">
        <v>3.0428788910505911</v>
      </c>
    </row>
    <row r="1519" spans="1:36" x14ac:dyDescent="0.25">
      <c r="A1519" t="s">
        <v>5411</v>
      </c>
      <c r="B1519" t="s">
        <v>16</v>
      </c>
      <c r="C1519" t="s">
        <v>17</v>
      </c>
      <c r="D1519">
        <v>37578000</v>
      </c>
      <c r="E1519">
        <v>37579999</v>
      </c>
      <c r="F1519" t="s">
        <v>1338</v>
      </c>
      <c r="G1519" t="str">
        <f t="shared" si="46"/>
        <v>MGI II</v>
      </c>
      <c r="H1519" t="s">
        <v>851</v>
      </c>
      <c r="I1519" t="s">
        <v>20</v>
      </c>
      <c r="J1519" t="s">
        <v>64</v>
      </c>
      <c r="K1519" s="6">
        <v>0.03</v>
      </c>
      <c r="L1519" s="7">
        <f t="shared" si="47"/>
        <v>2E-3</v>
      </c>
      <c r="M1519" s="7">
        <v>3.0000000000000001E-3</v>
      </c>
      <c r="N1519">
        <v>8</v>
      </c>
      <c r="O1519" s="8">
        <v>17.822306426995311</v>
      </c>
      <c r="P1519" s="9">
        <v>17.822306426995311</v>
      </c>
      <c r="Q1519" s="9">
        <v>17.822306426995311</v>
      </c>
      <c r="R1519" s="9">
        <v>18.237663306594719</v>
      </c>
      <c r="S1519" s="9">
        <v>18.48712920931133</v>
      </c>
      <c r="T1519" s="9">
        <v>19.201553596969877</v>
      </c>
      <c r="U1519" s="9">
        <v>20.562345482855957</v>
      </c>
      <c r="V1519" s="9">
        <v>20.562345482855957</v>
      </c>
      <c r="W1519" s="9">
        <v>20.562345482855957</v>
      </c>
      <c r="X1519" s="9">
        <v>22.391977691000818</v>
      </c>
      <c r="Y1519" s="9">
        <v>22.391977691000818</v>
      </c>
      <c r="Z1519" s="9">
        <v>24.28858708803979</v>
      </c>
      <c r="AA1519" s="9">
        <v>24.28858708803979</v>
      </c>
      <c r="AB1519" s="9">
        <v>25.117335532005217</v>
      </c>
      <c r="AC1519" s="9">
        <v>25.117335532005217</v>
      </c>
      <c r="AD1519" s="9">
        <v>29.039116491286865</v>
      </c>
      <c r="AE1519" s="9">
        <v>31.219251037281825</v>
      </c>
      <c r="AF1519" s="9">
        <v>33.487682081707895</v>
      </c>
      <c r="AG1519" s="9">
        <v>33.487682081707895</v>
      </c>
      <c r="AH1519" s="9">
        <v>36.427668170967245</v>
      </c>
      <c r="AI1519" s="9">
        <v>38.74455996597662</v>
      </c>
      <c r="AJ1519" s="9">
        <v>3.0428788910505911</v>
      </c>
    </row>
    <row r="1520" spans="1:36" x14ac:dyDescent="0.25">
      <c r="A1520" t="s">
        <v>5411</v>
      </c>
      <c r="B1520" t="s">
        <v>16</v>
      </c>
      <c r="C1520" t="s">
        <v>17</v>
      </c>
      <c r="D1520">
        <v>37580000</v>
      </c>
      <c r="E1520">
        <v>37581999</v>
      </c>
      <c r="F1520" t="s">
        <v>1339</v>
      </c>
      <c r="G1520" t="str">
        <f t="shared" si="46"/>
        <v>MGI</v>
      </c>
      <c r="H1520" t="s">
        <v>851</v>
      </c>
      <c r="I1520" t="s">
        <v>20</v>
      </c>
      <c r="J1520" t="s">
        <v>62</v>
      </c>
      <c r="K1520" s="6">
        <v>0.03</v>
      </c>
      <c r="L1520" s="7">
        <f t="shared" si="47"/>
        <v>2E-3</v>
      </c>
      <c r="M1520" s="7">
        <v>3.0000000000000001E-3</v>
      </c>
      <c r="N1520">
        <v>7</v>
      </c>
      <c r="O1520" s="8">
        <v>13.880385281502075</v>
      </c>
      <c r="P1520" s="9">
        <v>13.880385281502075</v>
      </c>
      <c r="Q1520" s="9">
        <v>13.880385281502075</v>
      </c>
      <c r="R1520" s="9">
        <v>14.045989937445718</v>
      </c>
      <c r="S1520" s="9">
        <v>14.060876315369912</v>
      </c>
      <c r="T1520" s="9">
        <v>15.090338571208333</v>
      </c>
      <c r="U1520" s="9">
        <v>16.025407313902726</v>
      </c>
      <c r="V1520" s="9">
        <v>16.025407313902726</v>
      </c>
      <c r="W1520" s="9">
        <v>16.025407313902726</v>
      </c>
      <c r="X1520" s="9">
        <v>18.013895748167766</v>
      </c>
      <c r="Y1520" s="9">
        <v>18.013895748167766</v>
      </c>
      <c r="Z1520" s="9">
        <v>20.142868501532355</v>
      </c>
      <c r="AA1520" s="9">
        <v>20.142868501532355</v>
      </c>
      <c r="AB1520" s="9">
        <v>22.456349831314476</v>
      </c>
      <c r="AC1520" s="9">
        <v>22.456349831314476</v>
      </c>
      <c r="AD1520" s="9">
        <v>24.87984091164185</v>
      </c>
      <c r="AE1520" s="9">
        <v>27.427492221952345</v>
      </c>
      <c r="AF1520" s="9">
        <v>33.194804868730657</v>
      </c>
      <c r="AG1520" s="9">
        <v>33.194804868730657</v>
      </c>
      <c r="AH1520" s="9">
        <v>35.957808835828068</v>
      </c>
      <c r="AI1520" s="9">
        <v>38.646304092692077</v>
      </c>
      <c r="AJ1520" s="9">
        <v>3.0428788910505911</v>
      </c>
    </row>
    <row r="1521" spans="1:36" x14ac:dyDescent="0.25">
      <c r="A1521" t="s">
        <v>5411</v>
      </c>
      <c r="B1521" t="s">
        <v>16</v>
      </c>
      <c r="C1521" t="s">
        <v>17</v>
      </c>
      <c r="D1521">
        <v>37582000</v>
      </c>
      <c r="E1521">
        <v>37583999</v>
      </c>
      <c r="F1521" t="s">
        <v>1340</v>
      </c>
      <c r="G1521" t="str">
        <f t="shared" si="46"/>
        <v>MGI II</v>
      </c>
      <c r="H1521" t="s">
        <v>851</v>
      </c>
      <c r="I1521" t="s">
        <v>20</v>
      </c>
      <c r="J1521" t="s">
        <v>64</v>
      </c>
      <c r="K1521" s="6">
        <v>0.03</v>
      </c>
      <c r="L1521" s="7">
        <f t="shared" si="47"/>
        <v>2E-3</v>
      </c>
      <c r="M1521" s="7">
        <v>3.0000000000000001E-3</v>
      </c>
      <c r="N1521">
        <v>7</v>
      </c>
      <c r="O1521" s="8">
        <v>17.822306426995311</v>
      </c>
      <c r="P1521" s="9">
        <v>17.822306426995311</v>
      </c>
      <c r="Q1521" s="9">
        <v>17.822306426995311</v>
      </c>
      <c r="R1521" s="9">
        <v>18.237663306594719</v>
      </c>
      <c r="S1521" s="9">
        <v>18.48712920931133</v>
      </c>
      <c r="T1521" s="9">
        <v>19.201553596969877</v>
      </c>
      <c r="U1521" s="9">
        <v>20.562345482855957</v>
      </c>
      <c r="V1521" s="9">
        <v>20.562345482855957</v>
      </c>
      <c r="W1521" s="9">
        <v>20.562345482855957</v>
      </c>
      <c r="X1521" s="9">
        <v>22.391977691000818</v>
      </c>
      <c r="Y1521" s="9">
        <v>22.391977691000818</v>
      </c>
      <c r="Z1521" s="9">
        <v>24.28858708803979</v>
      </c>
      <c r="AA1521" s="9">
        <v>24.28858708803979</v>
      </c>
      <c r="AB1521" s="9">
        <v>25.117335532005217</v>
      </c>
      <c r="AC1521" s="9">
        <v>25.117335532005217</v>
      </c>
      <c r="AD1521" s="9">
        <v>29.039116491286865</v>
      </c>
      <c r="AE1521" s="9">
        <v>31.219251037281825</v>
      </c>
      <c r="AF1521" s="9">
        <v>33.487682081707895</v>
      </c>
      <c r="AG1521" s="9">
        <v>33.487682081707895</v>
      </c>
      <c r="AH1521" s="9">
        <v>36.427668170967245</v>
      </c>
      <c r="AI1521" s="9">
        <v>38.74455996597662</v>
      </c>
      <c r="AJ1521" s="9">
        <v>3.0428788910505911</v>
      </c>
    </row>
    <row r="1522" spans="1:36" x14ac:dyDescent="0.25">
      <c r="A1522" t="s">
        <v>5411</v>
      </c>
      <c r="B1522" t="s">
        <v>16</v>
      </c>
      <c r="C1522" t="s">
        <v>17</v>
      </c>
      <c r="D1522">
        <v>37584000</v>
      </c>
      <c r="E1522">
        <v>37585999</v>
      </c>
      <c r="F1522" t="s">
        <v>1341</v>
      </c>
      <c r="G1522" t="str">
        <f t="shared" si="46"/>
        <v>MGI</v>
      </c>
      <c r="H1522" t="s">
        <v>851</v>
      </c>
      <c r="I1522" t="s">
        <v>20</v>
      </c>
      <c r="J1522" t="s">
        <v>62</v>
      </c>
      <c r="K1522" s="6">
        <v>0.03</v>
      </c>
      <c r="L1522" s="7">
        <f t="shared" si="47"/>
        <v>2E-3</v>
      </c>
      <c r="M1522" s="7">
        <v>3.0000000000000001E-3</v>
      </c>
      <c r="N1522">
        <v>7</v>
      </c>
      <c r="O1522" s="8">
        <v>13.880385281502075</v>
      </c>
      <c r="P1522" s="9">
        <v>13.880385281502075</v>
      </c>
      <c r="Q1522" s="9">
        <v>13.880385281502075</v>
      </c>
      <c r="R1522" s="9">
        <v>14.045989937445718</v>
      </c>
      <c r="S1522" s="9">
        <v>14.060876315369912</v>
      </c>
      <c r="T1522" s="9">
        <v>15.090338571208333</v>
      </c>
      <c r="U1522" s="9">
        <v>16.025407313902726</v>
      </c>
      <c r="V1522" s="9">
        <v>16.025407313902726</v>
      </c>
      <c r="W1522" s="9">
        <v>16.025407313902726</v>
      </c>
      <c r="X1522" s="9">
        <v>18.013895748167766</v>
      </c>
      <c r="Y1522" s="9">
        <v>18.013895748167766</v>
      </c>
      <c r="Z1522" s="9">
        <v>20.142868501532355</v>
      </c>
      <c r="AA1522" s="9">
        <v>20.142868501532355</v>
      </c>
      <c r="AB1522" s="9">
        <v>22.456349831314476</v>
      </c>
      <c r="AC1522" s="9">
        <v>22.456349831314476</v>
      </c>
      <c r="AD1522" s="9">
        <v>24.87984091164185</v>
      </c>
      <c r="AE1522" s="9">
        <v>27.427492221952345</v>
      </c>
      <c r="AF1522" s="9">
        <v>33.194804868730657</v>
      </c>
      <c r="AG1522" s="9">
        <v>33.194804868730657</v>
      </c>
      <c r="AH1522" s="9">
        <v>35.957808835828068</v>
      </c>
      <c r="AI1522" s="9">
        <v>38.646304092692077</v>
      </c>
      <c r="AJ1522" s="9">
        <v>3.0428788910505911</v>
      </c>
    </row>
    <row r="1523" spans="1:36" x14ac:dyDescent="0.25">
      <c r="A1523" t="s">
        <v>5411</v>
      </c>
      <c r="B1523" t="s">
        <v>16</v>
      </c>
      <c r="C1523" t="s">
        <v>17</v>
      </c>
      <c r="D1523">
        <v>37586000</v>
      </c>
      <c r="E1523">
        <v>37587999</v>
      </c>
      <c r="F1523" t="s">
        <v>1342</v>
      </c>
      <c r="G1523" t="str">
        <f t="shared" si="46"/>
        <v>MGI II</v>
      </c>
      <c r="H1523" t="s">
        <v>851</v>
      </c>
      <c r="I1523" t="s">
        <v>20</v>
      </c>
      <c r="J1523" t="s">
        <v>64</v>
      </c>
      <c r="K1523" s="6">
        <v>0.03</v>
      </c>
      <c r="L1523" s="7">
        <f t="shared" si="47"/>
        <v>2E-3</v>
      </c>
      <c r="M1523" s="7">
        <v>3.0000000000000001E-3</v>
      </c>
      <c r="N1523">
        <v>7</v>
      </c>
      <c r="O1523" s="8">
        <v>17.822306426995311</v>
      </c>
      <c r="P1523" s="9">
        <v>17.822306426995311</v>
      </c>
      <c r="Q1523" s="9">
        <v>17.822306426995311</v>
      </c>
      <c r="R1523" s="9">
        <v>18.237663306594719</v>
      </c>
      <c r="S1523" s="9">
        <v>18.48712920931133</v>
      </c>
      <c r="T1523" s="9">
        <v>19.201553596969877</v>
      </c>
      <c r="U1523" s="9">
        <v>20.562345482855957</v>
      </c>
      <c r="V1523" s="9">
        <v>20.562345482855957</v>
      </c>
      <c r="W1523" s="9">
        <v>20.562345482855957</v>
      </c>
      <c r="X1523" s="9">
        <v>22.391977691000818</v>
      </c>
      <c r="Y1523" s="9">
        <v>22.391977691000818</v>
      </c>
      <c r="Z1523" s="9">
        <v>24.28858708803979</v>
      </c>
      <c r="AA1523" s="9">
        <v>24.28858708803979</v>
      </c>
      <c r="AB1523" s="9">
        <v>25.117335532005217</v>
      </c>
      <c r="AC1523" s="9">
        <v>25.117335532005217</v>
      </c>
      <c r="AD1523" s="9">
        <v>29.039116491286865</v>
      </c>
      <c r="AE1523" s="9">
        <v>31.219251037281825</v>
      </c>
      <c r="AF1523" s="9">
        <v>33.487682081707895</v>
      </c>
      <c r="AG1523" s="9">
        <v>33.487682081707895</v>
      </c>
      <c r="AH1523" s="9">
        <v>36.427668170967245</v>
      </c>
      <c r="AI1523" s="9">
        <v>38.74455996597662</v>
      </c>
      <c r="AJ1523" s="9">
        <v>3.0428788910505911</v>
      </c>
    </row>
    <row r="1524" spans="1:36" x14ac:dyDescent="0.25">
      <c r="A1524" t="s">
        <v>5411</v>
      </c>
      <c r="B1524" t="s">
        <v>16</v>
      </c>
      <c r="C1524" t="s">
        <v>17</v>
      </c>
      <c r="D1524">
        <v>37588000</v>
      </c>
      <c r="E1524">
        <v>37588999</v>
      </c>
      <c r="F1524" t="s">
        <v>1343</v>
      </c>
      <c r="G1524" t="str">
        <f t="shared" si="46"/>
        <v>MGI II</v>
      </c>
      <c r="H1524" t="s">
        <v>851</v>
      </c>
      <c r="I1524" t="s">
        <v>20</v>
      </c>
      <c r="J1524" t="s">
        <v>64</v>
      </c>
      <c r="K1524" s="6">
        <v>0.03</v>
      </c>
      <c r="L1524" s="7">
        <f t="shared" si="47"/>
        <v>2E-3</v>
      </c>
      <c r="M1524" s="7">
        <v>3.0000000000000001E-3</v>
      </c>
      <c r="N1524">
        <v>7</v>
      </c>
      <c r="O1524" s="8">
        <v>17.822306426995311</v>
      </c>
      <c r="P1524" s="9">
        <v>17.822306426995311</v>
      </c>
      <c r="Q1524" s="9">
        <v>17.822306426995311</v>
      </c>
      <c r="R1524" s="9">
        <v>18.237663306594719</v>
      </c>
      <c r="S1524" s="9">
        <v>18.48712920931133</v>
      </c>
      <c r="T1524" s="9">
        <v>19.201553596969877</v>
      </c>
      <c r="U1524" s="9">
        <v>20.562345482855957</v>
      </c>
      <c r="V1524" s="9">
        <v>20.562345482855957</v>
      </c>
      <c r="W1524" s="9">
        <v>20.562345482855957</v>
      </c>
      <c r="X1524" s="9">
        <v>22.391977691000818</v>
      </c>
      <c r="Y1524" s="9">
        <v>22.391977691000818</v>
      </c>
      <c r="Z1524" s="9">
        <v>24.28858708803979</v>
      </c>
      <c r="AA1524" s="9">
        <v>24.28858708803979</v>
      </c>
      <c r="AB1524" s="9">
        <v>25.117335532005217</v>
      </c>
      <c r="AC1524" s="9">
        <v>25.117335532005217</v>
      </c>
      <c r="AD1524" s="9">
        <v>29.039116491286865</v>
      </c>
      <c r="AE1524" s="9">
        <v>31.219251037281825</v>
      </c>
      <c r="AF1524" s="9">
        <v>33.487682081707895</v>
      </c>
      <c r="AG1524" s="9">
        <v>33.487682081707895</v>
      </c>
      <c r="AH1524" s="9">
        <v>36.427668170967245</v>
      </c>
      <c r="AI1524" s="9">
        <v>38.74455996597662</v>
      </c>
      <c r="AJ1524" s="9">
        <v>3.0428788910505911</v>
      </c>
    </row>
    <row r="1525" spans="1:36" x14ac:dyDescent="0.25">
      <c r="A1525" t="s">
        <v>5411</v>
      </c>
      <c r="B1525" t="s">
        <v>16</v>
      </c>
      <c r="C1525" t="s">
        <v>17</v>
      </c>
      <c r="D1525">
        <v>37589000</v>
      </c>
      <c r="E1525">
        <v>37589999</v>
      </c>
      <c r="F1525" t="s">
        <v>1344</v>
      </c>
      <c r="G1525" t="str">
        <f t="shared" si="46"/>
        <v>MGI II</v>
      </c>
      <c r="H1525" t="s">
        <v>851</v>
      </c>
      <c r="I1525" t="s">
        <v>20</v>
      </c>
      <c r="J1525" t="s">
        <v>64</v>
      </c>
      <c r="K1525" s="6">
        <v>0.03</v>
      </c>
      <c r="L1525" s="7">
        <f t="shared" si="47"/>
        <v>2E-3</v>
      </c>
      <c r="M1525" s="7">
        <v>3.0000000000000001E-3</v>
      </c>
      <c r="N1525">
        <v>7</v>
      </c>
      <c r="O1525" s="8">
        <v>17.822306426995311</v>
      </c>
      <c r="P1525" s="9">
        <v>17.822306426995311</v>
      </c>
      <c r="Q1525" s="9">
        <v>17.822306426995311</v>
      </c>
      <c r="R1525" s="9">
        <v>18.237663306594719</v>
      </c>
      <c r="S1525" s="9">
        <v>18.48712920931133</v>
      </c>
      <c r="T1525" s="9">
        <v>19.201553596969877</v>
      </c>
      <c r="U1525" s="9">
        <v>20.562345482855957</v>
      </c>
      <c r="V1525" s="9">
        <v>20.562345482855957</v>
      </c>
      <c r="W1525" s="9">
        <v>20.562345482855957</v>
      </c>
      <c r="X1525" s="9">
        <v>22.391977691000818</v>
      </c>
      <c r="Y1525" s="9">
        <v>22.391977691000818</v>
      </c>
      <c r="Z1525" s="9">
        <v>24.28858708803979</v>
      </c>
      <c r="AA1525" s="9">
        <v>24.28858708803979</v>
      </c>
      <c r="AB1525" s="9">
        <v>25.117335532005217</v>
      </c>
      <c r="AC1525" s="9">
        <v>25.117335532005217</v>
      </c>
      <c r="AD1525" s="9">
        <v>29.039116491286865</v>
      </c>
      <c r="AE1525" s="9">
        <v>31.219251037281825</v>
      </c>
      <c r="AF1525" s="9">
        <v>33.487682081707895</v>
      </c>
      <c r="AG1525" s="9">
        <v>33.487682081707895</v>
      </c>
      <c r="AH1525" s="9">
        <v>36.427668170967245</v>
      </c>
      <c r="AI1525" s="9">
        <v>38.74455996597662</v>
      </c>
      <c r="AJ1525" s="9">
        <v>3.0428788910505911</v>
      </c>
    </row>
    <row r="1526" spans="1:36" x14ac:dyDescent="0.25">
      <c r="A1526" t="s">
        <v>5411</v>
      </c>
      <c r="B1526" t="s">
        <v>16</v>
      </c>
      <c r="C1526" t="s">
        <v>17</v>
      </c>
      <c r="D1526">
        <v>37590000</v>
      </c>
      <c r="E1526">
        <v>37595999</v>
      </c>
      <c r="F1526" t="s">
        <v>1345</v>
      </c>
      <c r="G1526" t="str">
        <f t="shared" si="46"/>
        <v>MGI</v>
      </c>
      <c r="H1526" t="s">
        <v>851</v>
      </c>
      <c r="I1526" t="s">
        <v>20</v>
      </c>
      <c r="J1526" t="s">
        <v>62</v>
      </c>
      <c r="K1526" s="6">
        <v>0.03</v>
      </c>
      <c r="L1526" s="7">
        <f t="shared" si="47"/>
        <v>2E-3</v>
      </c>
      <c r="M1526" s="7">
        <v>3.0000000000000001E-3</v>
      </c>
      <c r="N1526">
        <v>7</v>
      </c>
      <c r="O1526" s="8">
        <v>13.880385281502075</v>
      </c>
      <c r="P1526" s="9">
        <v>13.880385281502075</v>
      </c>
      <c r="Q1526" s="9">
        <v>13.880385281502075</v>
      </c>
      <c r="R1526" s="9">
        <v>14.045989937445718</v>
      </c>
      <c r="S1526" s="9">
        <v>14.060876315369912</v>
      </c>
      <c r="T1526" s="9">
        <v>15.090338571208333</v>
      </c>
      <c r="U1526" s="9">
        <v>16.025407313902726</v>
      </c>
      <c r="V1526" s="9">
        <v>16.025407313902726</v>
      </c>
      <c r="W1526" s="9">
        <v>16.025407313902726</v>
      </c>
      <c r="X1526" s="9">
        <v>18.013895748167766</v>
      </c>
      <c r="Y1526" s="9">
        <v>18.013895748167766</v>
      </c>
      <c r="Z1526" s="9">
        <v>20.142868501532355</v>
      </c>
      <c r="AA1526" s="9">
        <v>20.142868501532355</v>
      </c>
      <c r="AB1526" s="9">
        <v>22.456349831314476</v>
      </c>
      <c r="AC1526" s="9">
        <v>22.456349831314476</v>
      </c>
      <c r="AD1526" s="9">
        <v>24.87984091164185</v>
      </c>
      <c r="AE1526" s="9">
        <v>27.427492221952345</v>
      </c>
      <c r="AF1526" s="9">
        <v>33.194804868730657</v>
      </c>
      <c r="AG1526" s="9">
        <v>33.194804868730657</v>
      </c>
      <c r="AH1526" s="9">
        <v>35.957808835828068</v>
      </c>
      <c r="AI1526" s="9">
        <v>38.646304092692077</v>
      </c>
      <c r="AJ1526" s="9">
        <v>3.0428788910505911</v>
      </c>
    </row>
    <row r="1527" spans="1:36" x14ac:dyDescent="0.25">
      <c r="A1527" t="s">
        <v>5411</v>
      </c>
      <c r="B1527" t="s">
        <v>16</v>
      </c>
      <c r="C1527" t="s">
        <v>17</v>
      </c>
      <c r="D1527">
        <v>37596000</v>
      </c>
      <c r="E1527">
        <v>37599999</v>
      </c>
      <c r="F1527" t="s">
        <v>1346</v>
      </c>
      <c r="G1527" t="str">
        <f t="shared" si="46"/>
        <v>MGI II</v>
      </c>
      <c r="H1527" t="s">
        <v>851</v>
      </c>
      <c r="I1527" t="s">
        <v>20</v>
      </c>
      <c r="J1527" t="s">
        <v>64</v>
      </c>
      <c r="K1527" s="6">
        <v>0.03</v>
      </c>
      <c r="L1527" s="7">
        <f t="shared" si="47"/>
        <v>2E-3</v>
      </c>
      <c r="M1527" s="7">
        <v>3.0000000000000001E-3</v>
      </c>
      <c r="N1527">
        <v>7</v>
      </c>
      <c r="O1527" s="8">
        <v>17.822306426995311</v>
      </c>
      <c r="P1527" s="9">
        <v>17.822306426995311</v>
      </c>
      <c r="Q1527" s="9">
        <v>17.822306426995311</v>
      </c>
      <c r="R1527" s="9">
        <v>18.237663306594719</v>
      </c>
      <c r="S1527" s="9">
        <v>18.48712920931133</v>
      </c>
      <c r="T1527" s="9">
        <v>19.201553596969877</v>
      </c>
      <c r="U1527" s="9">
        <v>20.562345482855957</v>
      </c>
      <c r="V1527" s="9">
        <v>20.562345482855957</v>
      </c>
      <c r="W1527" s="9">
        <v>20.562345482855957</v>
      </c>
      <c r="X1527" s="9">
        <v>22.391977691000818</v>
      </c>
      <c r="Y1527" s="9">
        <v>22.391977691000818</v>
      </c>
      <c r="Z1527" s="9">
        <v>24.28858708803979</v>
      </c>
      <c r="AA1527" s="9">
        <v>24.28858708803979</v>
      </c>
      <c r="AB1527" s="9">
        <v>25.117335532005217</v>
      </c>
      <c r="AC1527" s="9">
        <v>25.117335532005217</v>
      </c>
      <c r="AD1527" s="9">
        <v>29.039116491286865</v>
      </c>
      <c r="AE1527" s="9">
        <v>31.219251037281825</v>
      </c>
      <c r="AF1527" s="9">
        <v>33.487682081707895</v>
      </c>
      <c r="AG1527" s="9">
        <v>33.487682081707895</v>
      </c>
      <c r="AH1527" s="9">
        <v>36.427668170967245</v>
      </c>
      <c r="AI1527" s="9">
        <v>38.74455996597662</v>
      </c>
      <c r="AJ1527" s="9">
        <v>3.0428788910505911</v>
      </c>
    </row>
    <row r="1528" spans="1:36" x14ac:dyDescent="0.25">
      <c r="A1528" t="s">
        <v>5411</v>
      </c>
      <c r="B1528" t="s">
        <v>16</v>
      </c>
      <c r="C1528" t="s">
        <v>17</v>
      </c>
      <c r="D1528">
        <v>37600000</v>
      </c>
      <c r="E1528">
        <v>37604999</v>
      </c>
      <c r="F1528" t="s">
        <v>1347</v>
      </c>
      <c r="G1528" t="str">
        <f t="shared" si="46"/>
        <v>MGI</v>
      </c>
      <c r="H1528" t="s">
        <v>851</v>
      </c>
      <c r="I1528" t="s">
        <v>20</v>
      </c>
      <c r="J1528" t="s">
        <v>62</v>
      </c>
      <c r="K1528" s="6">
        <v>0.03</v>
      </c>
      <c r="L1528" s="7">
        <f t="shared" si="47"/>
        <v>2E-3</v>
      </c>
      <c r="M1528" s="7">
        <v>3.0000000000000001E-3</v>
      </c>
      <c r="N1528">
        <v>8</v>
      </c>
      <c r="O1528" s="8">
        <v>13.880385281502075</v>
      </c>
      <c r="P1528" s="9">
        <v>13.880385281502075</v>
      </c>
      <c r="Q1528" s="9">
        <v>13.880385281502075</v>
      </c>
      <c r="R1528" s="9">
        <v>14.045989937445718</v>
      </c>
      <c r="S1528" s="9">
        <v>14.060876315369912</v>
      </c>
      <c r="T1528" s="9">
        <v>15.090338571208333</v>
      </c>
      <c r="U1528" s="9">
        <v>16.025407313902726</v>
      </c>
      <c r="V1528" s="9">
        <v>16.025407313902726</v>
      </c>
      <c r="W1528" s="9">
        <v>16.025407313902726</v>
      </c>
      <c r="X1528" s="9">
        <v>18.013895748167766</v>
      </c>
      <c r="Y1528" s="9">
        <v>18.013895748167766</v>
      </c>
      <c r="Z1528" s="9">
        <v>20.142868501532355</v>
      </c>
      <c r="AA1528" s="9">
        <v>20.142868501532355</v>
      </c>
      <c r="AB1528" s="9">
        <v>22.456349831314476</v>
      </c>
      <c r="AC1528" s="9">
        <v>22.456349831314476</v>
      </c>
      <c r="AD1528" s="9">
        <v>24.87984091164185</v>
      </c>
      <c r="AE1528" s="9">
        <v>27.427492221952345</v>
      </c>
      <c r="AF1528" s="9">
        <v>33.194804868730657</v>
      </c>
      <c r="AG1528" s="9">
        <v>33.194804868730657</v>
      </c>
      <c r="AH1528" s="9">
        <v>35.957808835828068</v>
      </c>
      <c r="AI1528" s="9">
        <v>38.646304092692077</v>
      </c>
      <c r="AJ1528" s="9">
        <v>3.0428788910505911</v>
      </c>
    </row>
    <row r="1529" spans="1:36" x14ac:dyDescent="0.25">
      <c r="A1529" t="s">
        <v>5411</v>
      </c>
      <c r="B1529" t="s">
        <v>16</v>
      </c>
      <c r="C1529" t="s">
        <v>17</v>
      </c>
      <c r="D1529">
        <v>37605000</v>
      </c>
      <c r="E1529">
        <v>37609999</v>
      </c>
      <c r="F1529" t="s">
        <v>1348</v>
      </c>
      <c r="G1529" t="str">
        <f t="shared" si="46"/>
        <v>MGI II</v>
      </c>
      <c r="H1529" t="s">
        <v>851</v>
      </c>
      <c r="I1529" t="s">
        <v>20</v>
      </c>
      <c r="J1529" t="s">
        <v>64</v>
      </c>
      <c r="K1529" s="6">
        <v>0.03</v>
      </c>
      <c r="L1529" s="7">
        <f t="shared" si="47"/>
        <v>2E-3</v>
      </c>
      <c r="M1529" s="7">
        <v>3.0000000000000001E-3</v>
      </c>
      <c r="N1529">
        <v>8</v>
      </c>
      <c r="O1529" s="8">
        <v>17.822306426995311</v>
      </c>
      <c r="P1529" s="9">
        <v>17.822306426995311</v>
      </c>
      <c r="Q1529" s="9">
        <v>17.822306426995311</v>
      </c>
      <c r="R1529" s="9">
        <v>18.237663306594719</v>
      </c>
      <c r="S1529" s="9">
        <v>18.48712920931133</v>
      </c>
      <c r="T1529" s="9">
        <v>19.201553596969877</v>
      </c>
      <c r="U1529" s="9">
        <v>20.562345482855957</v>
      </c>
      <c r="V1529" s="9">
        <v>20.562345482855957</v>
      </c>
      <c r="W1529" s="9">
        <v>20.562345482855957</v>
      </c>
      <c r="X1529" s="9">
        <v>22.391977691000818</v>
      </c>
      <c r="Y1529" s="9">
        <v>22.391977691000818</v>
      </c>
      <c r="Z1529" s="9">
        <v>24.28858708803979</v>
      </c>
      <c r="AA1529" s="9">
        <v>24.28858708803979</v>
      </c>
      <c r="AB1529" s="9">
        <v>25.117335532005217</v>
      </c>
      <c r="AC1529" s="9">
        <v>25.117335532005217</v>
      </c>
      <c r="AD1529" s="9">
        <v>29.039116491286865</v>
      </c>
      <c r="AE1529" s="9">
        <v>31.219251037281825</v>
      </c>
      <c r="AF1529" s="9">
        <v>33.487682081707895</v>
      </c>
      <c r="AG1529" s="9">
        <v>33.487682081707895</v>
      </c>
      <c r="AH1529" s="9">
        <v>36.427668170967245</v>
      </c>
      <c r="AI1529" s="9">
        <v>38.74455996597662</v>
      </c>
      <c r="AJ1529" s="9">
        <v>3.0428788910505911</v>
      </c>
    </row>
    <row r="1530" spans="1:36" x14ac:dyDescent="0.25">
      <c r="A1530" t="s">
        <v>5411</v>
      </c>
      <c r="B1530" t="s">
        <v>16</v>
      </c>
      <c r="C1530" t="s">
        <v>17</v>
      </c>
      <c r="D1530">
        <v>37610000</v>
      </c>
      <c r="E1530">
        <v>37614999</v>
      </c>
      <c r="F1530" t="s">
        <v>1349</v>
      </c>
      <c r="G1530" t="str">
        <f t="shared" si="46"/>
        <v>MGI II</v>
      </c>
      <c r="H1530" t="s">
        <v>851</v>
      </c>
      <c r="I1530" t="s">
        <v>20</v>
      </c>
      <c r="J1530" t="s">
        <v>64</v>
      </c>
      <c r="K1530" s="6">
        <v>0.03</v>
      </c>
      <c r="L1530" s="7">
        <f t="shared" si="47"/>
        <v>2E-3</v>
      </c>
      <c r="M1530" s="7">
        <v>3.0000000000000001E-3</v>
      </c>
      <c r="N1530">
        <v>8</v>
      </c>
      <c r="O1530" s="8">
        <v>17.822306426995311</v>
      </c>
      <c r="P1530" s="9">
        <v>17.822306426995311</v>
      </c>
      <c r="Q1530" s="9">
        <v>17.822306426995311</v>
      </c>
      <c r="R1530" s="9">
        <v>18.237663306594719</v>
      </c>
      <c r="S1530" s="9">
        <v>18.48712920931133</v>
      </c>
      <c r="T1530" s="9">
        <v>19.201553596969877</v>
      </c>
      <c r="U1530" s="9">
        <v>20.562345482855957</v>
      </c>
      <c r="V1530" s="9">
        <v>20.562345482855957</v>
      </c>
      <c r="W1530" s="9">
        <v>20.562345482855957</v>
      </c>
      <c r="X1530" s="9">
        <v>22.391977691000818</v>
      </c>
      <c r="Y1530" s="9">
        <v>22.391977691000818</v>
      </c>
      <c r="Z1530" s="9">
        <v>24.28858708803979</v>
      </c>
      <c r="AA1530" s="9">
        <v>24.28858708803979</v>
      </c>
      <c r="AB1530" s="9">
        <v>25.117335532005217</v>
      </c>
      <c r="AC1530" s="9">
        <v>25.117335532005217</v>
      </c>
      <c r="AD1530" s="9">
        <v>29.039116491286865</v>
      </c>
      <c r="AE1530" s="9">
        <v>31.219251037281825</v>
      </c>
      <c r="AF1530" s="9">
        <v>33.487682081707895</v>
      </c>
      <c r="AG1530" s="9">
        <v>33.487682081707895</v>
      </c>
      <c r="AH1530" s="9">
        <v>36.427668170967245</v>
      </c>
      <c r="AI1530" s="9">
        <v>38.74455996597662</v>
      </c>
      <c r="AJ1530" s="9">
        <v>3.0428788910505911</v>
      </c>
    </row>
    <row r="1531" spans="1:36" x14ac:dyDescent="0.25">
      <c r="A1531" t="s">
        <v>5411</v>
      </c>
      <c r="B1531" t="s">
        <v>16</v>
      </c>
      <c r="C1531" t="s">
        <v>17</v>
      </c>
      <c r="D1531">
        <v>37615000</v>
      </c>
      <c r="E1531">
        <v>37619999</v>
      </c>
      <c r="F1531" t="s">
        <v>1350</v>
      </c>
      <c r="G1531" t="str">
        <f t="shared" si="46"/>
        <v>MGI II</v>
      </c>
      <c r="H1531" t="s">
        <v>851</v>
      </c>
      <c r="I1531" t="s">
        <v>20</v>
      </c>
      <c r="J1531" t="s">
        <v>64</v>
      </c>
      <c r="K1531" s="6">
        <v>0.03</v>
      </c>
      <c r="L1531" s="7">
        <f t="shared" si="47"/>
        <v>2E-3</v>
      </c>
      <c r="M1531" s="7">
        <v>3.0000000000000001E-3</v>
      </c>
      <c r="N1531">
        <v>8</v>
      </c>
      <c r="O1531" s="8">
        <v>17.822306426995311</v>
      </c>
      <c r="P1531" s="9">
        <v>17.822306426995311</v>
      </c>
      <c r="Q1531" s="9">
        <v>17.822306426995311</v>
      </c>
      <c r="R1531" s="9">
        <v>18.237663306594719</v>
      </c>
      <c r="S1531" s="9">
        <v>18.48712920931133</v>
      </c>
      <c r="T1531" s="9">
        <v>19.201553596969877</v>
      </c>
      <c r="U1531" s="9">
        <v>20.562345482855957</v>
      </c>
      <c r="V1531" s="9">
        <v>20.562345482855957</v>
      </c>
      <c r="W1531" s="9">
        <v>20.562345482855957</v>
      </c>
      <c r="X1531" s="9">
        <v>22.391977691000818</v>
      </c>
      <c r="Y1531" s="9">
        <v>22.391977691000818</v>
      </c>
      <c r="Z1531" s="9">
        <v>24.28858708803979</v>
      </c>
      <c r="AA1531" s="9">
        <v>24.28858708803979</v>
      </c>
      <c r="AB1531" s="9">
        <v>25.117335532005217</v>
      </c>
      <c r="AC1531" s="9">
        <v>25.117335532005217</v>
      </c>
      <c r="AD1531" s="9">
        <v>29.039116491286865</v>
      </c>
      <c r="AE1531" s="9">
        <v>31.219251037281825</v>
      </c>
      <c r="AF1531" s="9">
        <v>33.487682081707895</v>
      </c>
      <c r="AG1531" s="9">
        <v>33.487682081707895</v>
      </c>
      <c r="AH1531" s="9">
        <v>36.427668170967245</v>
      </c>
      <c r="AI1531" s="9">
        <v>38.74455996597662</v>
      </c>
      <c r="AJ1531" s="9">
        <v>3.0428788910505911</v>
      </c>
    </row>
    <row r="1532" spans="1:36" x14ac:dyDescent="0.25">
      <c r="A1532" t="s">
        <v>5411</v>
      </c>
      <c r="B1532" t="s">
        <v>16</v>
      </c>
      <c r="C1532" t="s">
        <v>17</v>
      </c>
      <c r="D1532">
        <v>37620000</v>
      </c>
      <c r="E1532">
        <v>37629999</v>
      </c>
      <c r="F1532" t="s">
        <v>1351</v>
      </c>
      <c r="G1532" t="str">
        <f t="shared" si="46"/>
        <v>MGI II</v>
      </c>
      <c r="H1532" t="s">
        <v>851</v>
      </c>
      <c r="I1532" t="s">
        <v>20</v>
      </c>
      <c r="J1532" t="s">
        <v>64</v>
      </c>
      <c r="K1532" s="6">
        <v>0.03</v>
      </c>
      <c r="L1532" s="7">
        <f t="shared" si="47"/>
        <v>2E-3</v>
      </c>
      <c r="M1532" s="7">
        <v>3.0000000000000001E-3</v>
      </c>
      <c r="N1532">
        <v>8</v>
      </c>
      <c r="O1532" s="8">
        <v>17.822306426995311</v>
      </c>
      <c r="P1532" s="9">
        <v>17.822306426995311</v>
      </c>
      <c r="Q1532" s="9">
        <v>17.822306426995311</v>
      </c>
      <c r="R1532" s="9">
        <v>18.237663306594719</v>
      </c>
      <c r="S1532" s="9">
        <v>18.48712920931133</v>
      </c>
      <c r="T1532" s="9">
        <v>19.201553596969877</v>
      </c>
      <c r="U1532" s="9">
        <v>20.562345482855957</v>
      </c>
      <c r="V1532" s="9">
        <v>20.562345482855957</v>
      </c>
      <c r="W1532" s="9">
        <v>20.562345482855957</v>
      </c>
      <c r="X1532" s="9">
        <v>22.391977691000818</v>
      </c>
      <c r="Y1532" s="9">
        <v>22.391977691000818</v>
      </c>
      <c r="Z1532" s="9">
        <v>24.28858708803979</v>
      </c>
      <c r="AA1532" s="9">
        <v>24.28858708803979</v>
      </c>
      <c r="AB1532" s="9">
        <v>25.117335532005217</v>
      </c>
      <c r="AC1532" s="9">
        <v>25.117335532005217</v>
      </c>
      <c r="AD1532" s="9">
        <v>29.039116491286865</v>
      </c>
      <c r="AE1532" s="9">
        <v>31.219251037281825</v>
      </c>
      <c r="AF1532" s="9">
        <v>33.487682081707895</v>
      </c>
      <c r="AG1532" s="9">
        <v>33.487682081707895</v>
      </c>
      <c r="AH1532" s="9">
        <v>36.427668170967245</v>
      </c>
      <c r="AI1532" s="9">
        <v>38.74455996597662</v>
      </c>
      <c r="AJ1532" s="9">
        <v>3.0428788910505911</v>
      </c>
    </row>
    <row r="1533" spans="1:36" x14ac:dyDescent="0.25">
      <c r="A1533" t="s">
        <v>5411</v>
      </c>
      <c r="B1533" t="s">
        <v>16</v>
      </c>
      <c r="C1533" t="s">
        <v>17</v>
      </c>
      <c r="D1533">
        <v>37630000</v>
      </c>
      <c r="E1533">
        <v>37639999</v>
      </c>
      <c r="F1533" t="s">
        <v>1352</v>
      </c>
      <c r="G1533" t="str">
        <f t="shared" si="46"/>
        <v>MGI II</v>
      </c>
      <c r="H1533" t="s">
        <v>851</v>
      </c>
      <c r="I1533" t="s">
        <v>20</v>
      </c>
      <c r="J1533" t="s">
        <v>64</v>
      </c>
      <c r="K1533" s="6">
        <v>0.03</v>
      </c>
      <c r="L1533" s="7">
        <f t="shared" si="47"/>
        <v>2E-3</v>
      </c>
      <c r="M1533" s="7">
        <v>3.0000000000000001E-3</v>
      </c>
      <c r="N1533">
        <v>8</v>
      </c>
      <c r="O1533" s="8">
        <v>17.822306426995311</v>
      </c>
      <c r="P1533" s="9">
        <v>17.822306426995311</v>
      </c>
      <c r="Q1533" s="9">
        <v>17.822306426995311</v>
      </c>
      <c r="R1533" s="9">
        <v>18.237663306594719</v>
      </c>
      <c r="S1533" s="9">
        <v>18.48712920931133</v>
      </c>
      <c r="T1533" s="9">
        <v>19.201553596969877</v>
      </c>
      <c r="U1533" s="9">
        <v>20.562345482855957</v>
      </c>
      <c r="V1533" s="9">
        <v>20.562345482855957</v>
      </c>
      <c r="W1533" s="9">
        <v>20.562345482855957</v>
      </c>
      <c r="X1533" s="9">
        <v>22.391977691000818</v>
      </c>
      <c r="Y1533" s="9">
        <v>22.391977691000818</v>
      </c>
      <c r="Z1533" s="9">
        <v>24.28858708803979</v>
      </c>
      <c r="AA1533" s="9">
        <v>24.28858708803979</v>
      </c>
      <c r="AB1533" s="9">
        <v>25.117335532005217</v>
      </c>
      <c r="AC1533" s="9">
        <v>25.117335532005217</v>
      </c>
      <c r="AD1533" s="9">
        <v>29.039116491286865</v>
      </c>
      <c r="AE1533" s="9">
        <v>31.219251037281825</v>
      </c>
      <c r="AF1533" s="9">
        <v>33.487682081707895</v>
      </c>
      <c r="AG1533" s="9">
        <v>33.487682081707895</v>
      </c>
      <c r="AH1533" s="9">
        <v>36.427668170967245</v>
      </c>
      <c r="AI1533" s="9">
        <v>38.74455996597662</v>
      </c>
      <c r="AJ1533" s="9">
        <v>3.0428788910505911</v>
      </c>
    </row>
    <row r="1534" spans="1:36" x14ac:dyDescent="0.25">
      <c r="A1534" t="s">
        <v>5411</v>
      </c>
      <c r="B1534" t="s">
        <v>16</v>
      </c>
      <c r="C1534" t="s">
        <v>17</v>
      </c>
      <c r="D1534">
        <v>37640000</v>
      </c>
      <c r="E1534">
        <v>37649999</v>
      </c>
      <c r="F1534" t="s">
        <v>1353</v>
      </c>
      <c r="G1534" t="str">
        <f t="shared" si="46"/>
        <v>MGI</v>
      </c>
      <c r="H1534" t="s">
        <v>851</v>
      </c>
      <c r="I1534" t="s">
        <v>20</v>
      </c>
      <c r="J1534" t="s">
        <v>62</v>
      </c>
      <c r="K1534" s="6">
        <v>0.03</v>
      </c>
      <c r="L1534" s="7">
        <f t="shared" si="47"/>
        <v>2E-3</v>
      </c>
      <c r="M1534" s="7">
        <v>3.0000000000000001E-3</v>
      </c>
      <c r="N1534">
        <v>6</v>
      </c>
      <c r="O1534" s="8">
        <v>13.880385281502075</v>
      </c>
      <c r="P1534" s="9">
        <v>13.880385281502075</v>
      </c>
      <c r="Q1534" s="9">
        <v>13.880385281502075</v>
      </c>
      <c r="R1534" s="9">
        <v>14.045989937445718</v>
      </c>
      <c r="S1534" s="9">
        <v>14.060876315369912</v>
      </c>
      <c r="T1534" s="9">
        <v>15.090338571208333</v>
      </c>
      <c r="U1534" s="9">
        <v>16.025407313902726</v>
      </c>
      <c r="V1534" s="9">
        <v>16.025407313902726</v>
      </c>
      <c r="W1534" s="9">
        <v>16.025407313902726</v>
      </c>
      <c r="X1534" s="9">
        <v>18.013895748167766</v>
      </c>
      <c r="Y1534" s="9">
        <v>18.013895748167766</v>
      </c>
      <c r="Z1534" s="9">
        <v>20.142868501532355</v>
      </c>
      <c r="AA1534" s="9">
        <v>20.142868501532355</v>
      </c>
      <c r="AB1534" s="9">
        <v>22.456349831314476</v>
      </c>
      <c r="AC1534" s="9">
        <v>22.456349831314476</v>
      </c>
      <c r="AD1534" s="9">
        <v>24.87984091164185</v>
      </c>
      <c r="AE1534" s="9">
        <v>27.427492221952345</v>
      </c>
      <c r="AF1534" s="9">
        <v>33.194804868730657</v>
      </c>
      <c r="AG1534" s="9">
        <v>33.194804868730657</v>
      </c>
      <c r="AH1534" s="9">
        <v>35.957808835828068</v>
      </c>
      <c r="AI1534" s="9">
        <v>38.646304092692077</v>
      </c>
      <c r="AJ1534" s="9">
        <v>3.0428788910505911</v>
      </c>
    </row>
    <row r="1535" spans="1:36" x14ac:dyDescent="0.25">
      <c r="A1535" t="s">
        <v>5411</v>
      </c>
      <c r="B1535" t="s">
        <v>16</v>
      </c>
      <c r="C1535" t="s">
        <v>17</v>
      </c>
      <c r="D1535">
        <v>37650000</v>
      </c>
      <c r="E1535">
        <v>37654999</v>
      </c>
      <c r="F1535" t="s">
        <v>1354</v>
      </c>
      <c r="G1535" t="str">
        <f t="shared" si="46"/>
        <v>MGI</v>
      </c>
      <c r="H1535" t="s">
        <v>851</v>
      </c>
      <c r="I1535" t="s">
        <v>20</v>
      </c>
      <c r="J1535" t="s">
        <v>62</v>
      </c>
      <c r="K1535" s="6">
        <v>0.03</v>
      </c>
      <c r="L1535" s="7">
        <f t="shared" si="47"/>
        <v>2E-3</v>
      </c>
      <c r="M1535" s="7">
        <v>3.0000000000000001E-3</v>
      </c>
      <c r="N1535">
        <v>6</v>
      </c>
      <c r="O1535" s="8">
        <v>13.880385281502075</v>
      </c>
      <c r="P1535" s="9">
        <v>13.880385281502075</v>
      </c>
      <c r="Q1535" s="9">
        <v>13.880385281502075</v>
      </c>
      <c r="R1535" s="9">
        <v>14.045989937445718</v>
      </c>
      <c r="S1535" s="9">
        <v>14.060876315369912</v>
      </c>
      <c r="T1535" s="9">
        <v>15.090338571208333</v>
      </c>
      <c r="U1535" s="9">
        <v>16.025407313902726</v>
      </c>
      <c r="V1535" s="9">
        <v>16.025407313902726</v>
      </c>
      <c r="W1535" s="9">
        <v>16.025407313902726</v>
      </c>
      <c r="X1535" s="9">
        <v>18.013895748167766</v>
      </c>
      <c r="Y1535" s="9">
        <v>18.013895748167766</v>
      </c>
      <c r="Z1535" s="9">
        <v>20.142868501532355</v>
      </c>
      <c r="AA1535" s="9">
        <v>20.142868501532355</v>
      </c>
      <c r="AB1535" s="9">
        <v>22.456349831314476</v>
      </c>
      <c r="AC1535" s="9">
        <v>22.456349831314476</v>
      </c>
      <c r="AD1535" s="9">
        <v>24.87984091164185</v>
      </c>
      <c r="AE1535" s="9">
        <v>27.427492221952345</v>
      </c>
      <c r="AF1535" s="9">
        <v>33.194804868730657</v>
      </c>
      <c r="AG1535" s="9">
        <v>33.194804868730657</v>
      </c>
      <c r="AH1535" s="9">
        <v>35.957808835828068</v>
      </c>
      <c r="AI1535" s="9">
        <v>38.646304092692077</v>
      </c>
      <c r="AJ1535" s="9">
        <v>3.0428788910505911</v>
      </c>
    </row>
    <row r="1536" spans="1:36" x14ac:dyDescent="0.25">
      <c r="A1536" t="s">
        <v>5411</v>
      </c>
      <c r="B1536" t="s">
        <v>16</v>
      </c>
      <c r="C1536" t="s">
        <v>17</v>
      </c>
      <c r="D1536">
        <v>37655000</v>
      </c>
      <c r="E1536">
        <v>37659999</v>
      </c>
      <c r="F1536" t="s">
        <v>1355</v>
      </c>
      <c r="G1536" t="str">
        <f t="shared" si="46"/>
        <v>MGI</v>
      </c>
      <c r="H1536" t="s">
        <v>851</v>
      </c>
      <c r="I1536" t="s">
        <v>20</v>
      </c>
      <c r="J1536" t="s">
        <v>62</v>
      </c>
      <c r="K1536" s="6">
        <v>0.03</v>
      </c>
      <c r="L1536" s="7">
        <f t="shared" si="47"/>
        <v>2E-3</v>
      </c>
      <c r="M1536" s="7">
        <v>3.0000000000000001E-3</v>
      </c>
      <c r="N1536">
        <v>7</v>
      </c>
      <c r="O1536" s="8">
        <v>13.880385281502075</v>
      </c>
      <c r="P1536" s="9">
        <v>13.880385281502075</v>
      </c>
      <c r="Q1536" s="9">
        <v>13.880385281502075</v>
      </c>
      <c r="R1536" s="9">
        <v>14.045989937445718</v>
      </c>
      <c r="S1536" s="9">
        <v>14.060876315369912</v>
      </c>
      <c r="T1536" s="9">
        <v>15.090338571208333</v>
      </c>
      <c r="U1536" s="9">
        <v>16.025407313902726</v>
      </c>
      <c r="V1536" s="9">
        <v>16.025407313902726</v>
      </c>
      <c r="W1536" s="9">
        <v>16.025407313902726</v>
      </c>
      <c r="X1536" s="9">
        <v>18.013895748167766</v>
      </c>
      <c r="Y1536" s="9">
        <v>18.013895748167766</v>
      </c>
      <c r="Z1536" s="9">
        <v>20.142868501532355</v>
      </c>
      <c r="AA1536" s="9">
        <v>20.142868501532355</v>
      </c>
      <c r="AB1536" s="9">
        <v>22.456349831314476</v>
      </c>
      <c r="AC1536" s="9">
        <v>22.456349831314476</v>
      </c>
      <c r="AD1536" s="9">
        <v>24.87984091164185</v>
      </c>
      <c r="AE1536" s="9">
        <v>27.427492221952345</v>
      </c>
      <c r="AF1536" s="9">
        <v>33.194804868730657</v>
      </c>
      <c r="AG1536" s="9">
        <v>33.194804868730657</v>
      </c>
      <c r="AH1536" s="9">
        <v>35.957808835828068</v>
      </c>
      <c r="AI1536" s="9">
        <v>38.646304092692077</v>
      </c>
      <c r="AJ1536" s="9">
        <v>3.0428788910505911</v>
      </c>
    </row>
    <row r="1537" spans="1:36" x14ac:dyDescent="0.25">
      <c r="A1537" t="s">
        <v>5411</v>
      </c>
      <c r="B1537" t="s">
        <v>16</v>
      </c>
      <c r="C1537" t="s">
        <v>17</v>
      </c>
      <c r="D1537">
        <v>37660000</v>
      </c>
      <c r="E1537">
        <v>37669999</v>
      </c>
      <c r="F1537" t="s">
        <v>1356</v>
      </c>
      <c r="G1537" t="str">
        <f t="shared" si="46"/>
        <v>MGI</v>
      </c>
      <c r="H1537" t="s">
        <v>851</v>
      </c>
      <c r="I1537" t="s">
        <v>20</v>
      </c>
      <c r="J1537" t="s">
        <v>62</v>
      </c>
      <c r="K1537" s="6">
        <v>0.03</v>
      </c>
      <c r="L1537" s="7">
        <f t="shared" si="47"/>
        <v>2E-3</v>
      </c>
      <c r="M1537" s="7">
        <v>3.0000000000000001E-3</v>
      </c>
      <c r="N1537">
        <v>7</v>
      </c>
      <c r="O1537" s="8">
        <v>13.880385281502075</v>
      </c>
      <c r="P1537" s="9">
        <v>13.880385281502075</v>
      </c>
      <c r="Q1537" s="9">
        <v>13.880385281502075</v>
      </c>
      <c r="R1537" s="9">
        <v>14.045989937445718</v>
      </c>
      <c r="S1537" s="9">
        <v>14.060876315369912</v>
      </c>
      <c r="T1537" s="9">
        <v>15.090338571208333</v>
      </c>
      <c r="U1537" s="9">
        <v>16.025407313902726</v>
      </c>
      <c r="V1537" s="9">
        <v>16.025407313902726</v>
      </c>
      <c r="W1537" s="9">
        <v>16.025407313902726</v>
      </c>
      <c r="X1537" s="9">
        <v>18.013895748167766</v>
      </c>
      <c r="Y1537" s="9">
        <v>18.013895748167766</v>
      </c>
      <c r="Z1537" s="9">
        <v>20.142868501532355</v>
      </c>
      <c r="AA1537" s="9">
        <v>20.142868501532355</v>
      </c>
      <c r="AB1537" s="9">
        <v>22.456349831314476</v>
      </c>
      <c r="AC1537" s="9">
        <v>22.456349831314476</v>
      </c>
      <c r="AD1537" s="9">
        <v>24.87984091164185</v>
      </c>
      <c r="AE1537" s="9">
        <v>27.427492221952345</v>
      </c>
      <c r="AF1537" s="9">
        <v>33.194804868730657</v>
      </c>
      <c r="AG1537" s="9">
        <v>33.194804868730657</v>
      </c>
      <c r="AH1537" s="9">
        <v>35.957808835828068</v>
      </c>
      <c r="AI1537" s="9">
        <v>38.646304092692077</v>
      </c>
      <c r="AJ1537" s="9">
        <v>3.0428788910505911</v>
      </c>
    </row>
    <row r="1538" spans="1:36" x14ac:dyDescent="0.25">
      <c r="A1538" t="s">
        <v>5411</v>
      </c>
      <c r="B1538" t="s">
        <v>16</v>
      </c>
      <c r="C1538" t="s">
        <v>17</v>
      </c>
      <c r="D1538">
        <v>37670000</v>
      </c>
      <c r="E1538">
        <v>37679999</v>
      </c>
      <c r="F1538" t="s">
        <v>1357</v>
      </c>
      <c r="G1538" t="str">
        <f t="shared" si="46"/>
        <v>MGI II</v>
      </c>
      <c r="H1538" t="s">
        <v>851</v>
      </c>
      <c r="I1538" t="s">
        <v>20</v>
      </c>
      <c r="J1538" t="s">
        <v>64</v>
      </c>
      <c r="K1538" s="6">
        <v>0.03</v>
      </c>
      <c r="L1538" s="7">
        <f t="shared" si="47"/>
        <v>2E-3</v>
      </c>
      <c r="M1538" s="7">
        <v>3.0000000000000001E-3</v>
      </c>
      <c r="N1538">
        <v>8</v>
      </c>
      <c r="O1538" s="8">
        <v>17.822306426995311</v>
      </c>
      <c r="P1538" s="9">
        <v>17.822306426995311</v>
      </c>
      <c r="Q1538" s="9">
        <v>17.822306426995311</v>
      </c>
      <c r="R1538" s="9">
        <v>18.237663306594719</v>
      </c>
      <c r="S1538" s="9">
        <v>18.48712920931133</v>
      </c>
      <c r="T1538" s="9">
        <v>19.201553596969877</v>
      </c>
      <c r="U1538" s="9">
        <v>20.562345482855957</v>
      </c>
      <c r="V1538" s="9">
        <v>20.562345482855957</v>
      </c>
      <c r="W1538" s="9">
        <v>20.562345482855957</v>
      </c>
      <c r="X1538" s="9">
        <v>22.391977691000818</v>
      </c>
      <c r="Y1538" s="9">
        <v>22.391977691000818</v>
      </c>
      <c r="Z1538" s="9">
        <v>24.28858708803979</v>
      </c>
      <c r="AA1538" s="9">
        <v>24.28858708803979</v>
      </c>
      <c r="AB1538" s="9">
        <v>25.117335532005217</v>
      </c>
      <c r="AC1538" s="9">
        <v>25.117335532005217</v>
      </c>
      <c r="AD1538" s="9">
        <v>29.039116491286865</v>
      </c>
      <c r="AE1538" s="9">
        <v>31.219251037281825</v>
      </c>
      <c r="AF1538" s="9">
        <v>33.487682081707895</v>
      </c>
      <c r="AG1538" s="9">
        <v>33.487682081707895</v>
      </c>
      <c r="AH1538" s="9">
        <v>36.427668170967245</v>
      </c>
      <c r="AI1538" s="9">
        <v>38.74455996597662</v>
      </c>
      <c r="AJ1538" s="9">
        <v>3.0428788910505911</v>
      </c>
    </row>
    <row r="1539" spans="1:36" x14ac:dyDescent="0.25">
      <c r="A1539" t="s">
        <v>5411</v>
      </c>
      <c r="B1539" t="s">
        <v>16</v>
      </c>
      <c r="C1539" t="s">
        <v>17</v>
      </c>
      <c r="D1539">
        <v>37680000</v>
      </c>
      <c r="E1539">
        <v>37689999</v>
      </c>
      <c r="F1539" t="s">
        <v>1358</v>
      </c>
      <c r="G1539" t="str">
        <f t="shared" si="46"/>
        <v>MGI II</v>
      </c>
      <c r="H1539" t="s">
        <v>851</v>
      </c>
      <c r="I1539" t="s">
        <v>20</v>
      </c>
      <c r="J1539" t="s">
        <v>64</v>
      </c>
      <c r="K1539" s="6">
        <v>0.03</v>
      </c>
      <c r="L1539" s="7">
        <f t="shared" si="47"/>
        <v>2E-3</v>
      </c>
      <c r="M1539" s="7">
        <v>3.0000000000000001E-3</v>
      </c>
      <c r="N1539">
        <v>8</v>
      </c>
      <c r="O1539" s="8">
        <v>17.822306426995311</v>
      </c>
      <c r="P1539" s="9">
        <v>17.822306426995311</v>
      </c>
      <c r="Q1539" s="9">
        <v>17.822306426995311</v>
      </c>
      <c r="R1539" s="9">
        <v>18.237663306594719</v>
      </c>
      <c r="S1539" s="9">
        <v>18.48712920931133</v>
      </c>
      <c r="T1539" s="9">
        <v>19.201553596969877</v>
      </c>
      <c r="U1539" s="9">
        <v>20.562345482855957</v>
      </c>
      <c r="V1539" s="9">
        <v>20.562345482855957</v>
      </c>
      <c r="W1539" s="9">
        <v>20.562345482855957</v>
      </c>
      <c r="X1539" s="9">
        <v>22.391977691000818</v>
      </c>
      <c r="Y1539" s="9">
        <v>22.391977691000818</v>
      </c>
      <c r="Z1539" s="9">
        <v>24.28858708803979</v>
      </c>
      <c r="AA1539" s="9">
        <v>24.28858708803979</v>
      </c>
      <c r="AB1539" s="9">
        <v>25.117335532005217</v>
      </c>
      <c r="AC1539" s="9">
        <v>25.117335532005217</v>
      </c>
      <c r="AD1539" s="9">
        <v>29.039116491286865</v>
      </c>
      <c r="AE1539" s="9">
        <v>31.219251037281825</v>
      </c>
      <c r="AF1539" s="9">
        <v>33.487682081707895</v>
      </c>
      <c r="AG1539" s="9">
        <v>33.487682081707895</v>
      </c>
      <c r="AH1539" s="9">
        <v>36.427668170967245</v>
      </c>
      <c r="AI1539" s="9">
        <v>38.74455996597662</v>
      </c>
      <c r="AJ1539" s="9">
        <v>3.0428788910505911</v>
      </c>
    </row>
    <row r="1540" spans="1:36" x14ac:dyDescent="0.25">
      <c r="A1540" t="s">
        <v>5411</v>
      </c>
      <c r="B1540" t="s">
        <v>16</v>
      </c>
      <c r="C1540" t="s">
        <v>17</v>
      </c>
      <c r="D1540">
        <v>37690000</v>
      </c>
      <c r="E1540">
        <v>37699999</v>
      </c>
      <c r="F1540" t="s">
        <v>1359</v>
      </c>
      <c r="G1540" t="str">
        <f t="shared" ref="G1540:G1603" si="48">H1540&amp;IF(J1540="CAPITAL","C",IF(J1540="INTERIOR","I",IF(J1540="INTERIOR II","I II","R")))</f>
        <v>MGI II</v>
      </c>
      <c r="H1540" t="s">
        <v>851</v>
      </c>
      <c r="I1540" t="s">
        <v>20</v>
      </c>
      <c r="J1540" t="s">
        <v>64</v>
      </c>
      <c r="K1540" s="6">
        <v>0.03</v>
      </c>
      <c r="L1540" s="7">
        <f t="shared" ref="L1540:L1603" si="49">IF(I1540="(0) Não",0.2%,3%)</f>
        <v>2E-3</v>
      </c>
      <c r="M1540" s="7">
        <v>3.0000000000000001E-3</v>
      </c>
      <c r="N1540">
        <v>8</v>
      </c>
      <c r="O1540" s="8">
        <v>17.822306426995311</v>
      </c>
      <c r="P1540" s="9">
        <v>17.822306426995311</v>
      </c>
      <c r="Q1540" s="9">
        <v>17.822306426995311</v>
      </c>
      <c r="R1540" s="9">
        <v>18.237663306594719</v>
      </c>
      <c r="S1540" s="9">
        <v>18.48712920931133</v>
      </c>
      <c r="T1540" s="9">
        <v>19.201553596969877</v>
      </c>
      <c r="U1540" s="9">
        <v>20.562345482855957</v>
      </c>
      <c r="V1540" s="9">
        <v>20.562345482855957</v>
      </c>
      <c r="W1540" s="9">
        <v>20.562345482855957</v>
      </c>
      <c r="X1540" s="9">
        <v>22.391977691000818</v>
      </c>
      <c r="Y1540" s="9">
        <v>22.391977691000818</v>
      </c>
      <c r="Z1540" s="9">
        <v>24.28858708803979</v>
      </c>
      <c r="AA1540" s="9">
        <v>24.28858708803979</v>
      </c>
      <c r="AB1540" s="9">
        <v>25.117335532005217</v>
      </c>
      <c r="AC1540" s="9">
        <v>25.117335532005217</v>
      </c>
      <c r="AD1540" s="9">
        <v>29.039116491286865</v>
      </c>
      <c r="AE1540" s="9">
        <v>31.219251037281825</v>
      </c>
      <c r="AF1540" s="9">
        <v>33.487682081707895</v>
      </c>
      <c r="AG1540" s="9">
        <v>33.487682081707895</v>
      </c>
      <c r="AH1540" s="9">
        <v>36.427668170967245</v>
      </c>
      <c r="AI1540" s="9">
        <v>38.74455996597662</v>
      </c>
      <c r="AJ1540" s="9">
        <v>3.0428788910505911</v>
      </c>
    </row>
    <row r="1541" spans="1:36" x14ac:dyDescent="0.25">
      <c r="A1541" t="s">
        <v>5411</v>
      </c>
      <c r="B1541" t="s">
        <v>16</v>
      </c>
      <c r="C1541" t="s">
        <v>17</v>
      </c>
      <c r="D1541">
        <v>37700000</v>
      </c>
      <c r="E1541">
        <v>37719999</v>
      </c>
      <c r="F1541" t="s">
        <v>1360</v>
      </c>
      <c r="G1541" t="str">
        <f t="shared" si="48"/>
        <v>MGI</v>
      </c>
      <c r="H1541" t="s">
        <v>851</v>
      </c>
      <c r="I1541" t="s">
        <v>20</v>
      </c>
      <c r="J1541" t="s">
        <v>62</v>
      </c>
      <c r="K1541" s="6">
        <v>0.03</v>
      </c>
      <c r="L1541" s="7">
        <f t="shared" si="49"/>
        <v>2E-3</v>
      </c>
      <c r="M1541" s="7">
        <v>3.0000000000000001E-3</v>
      </c>
      <c r="N1541">
        <v>6</v>
      </c>
      <c r="O1541" s="8">
        <v>13.880385281502075</v>
      </c>
      <c r="P1541" s="9">
        <v>13.880385281502075</v>
      </c>
      <c r="Q1541" s="9">
        <v>13.880385281502075</v>
      </c>
      <c r="R1541" s="9">
        <v>14.045989937445718</v>
      </c>
      <c r="S1541" s="9">
        <v>14.060876315369912</v>
      </c>
      <c r="T1541" s="9">
        <v>15.090338571208333</v>
      </c>
      <c r="U1541" s="9">
        <v>16.025407313902726</v>
      </c>
      <c r="V1541" s="9">
        <v>16.025407313902726</v>
      </c>
      <c r="W1541" s="9">
        <v>16.025407313902726</v>
      </c>
      <c r="X1541" s="9">
        <v>18.013895748167766</v>
      </c>
      <c r="Y1541" s="9">
        <v>18.013895748167766</v>
      </c>
      <c r="Z1541" s="9">
        <v>20.142868501532355</v>
      </c>
      <c r="AA1541" s="9">
        <v>20.142868501532355</v>
      </c>
      <c r="AB1541" s="9">
        <v>22.456349831314476</v>
      </c>
      <c r="AC1541" s="9">
        <v>22.456349831314476</v>
      </c>
      <c r="AD1541" s="9">
        <v>24.87984091164185</v>
      </c>
      <c r="AE1541" s="9">
        <v>27.427492221952345</v>
      </c>
      <c r="AF1541" s="9">
        <v>33.194804868730657</v>
      </c>
      <c r="AG1541" s="9">
        <v>33.194804868730657</v>
      </c>
      <c r="AH1541" s="9">
        <v>35.957808835828068</v>
      </c>
      <c r="AI1541" s="9">
        <v>38.646304092692077</v>
      </c>
      <c r="AJ1541" s="9">
        <v>3.0428788910505911</v>
      </c>
    </row>
    <row r="1542" spans="1:36" x14ac:dyDescent="0.25">
      <c r="A1542" t="s">
        <v>5411</v>
      </c>
      <c r="B1542" t="s">
        <v>16</v>
      </c>
      <c r="C1542" t="s">
        <v>17</v>
      </c>
      <c r="D1542">
        <v>37720000</v>
      </c>
      <c r="E1542">
        <v>37729999</v>
      </c>
      <c r="F1542" t="s">
        <v>1361</v>
      </c>
      <c r="G1542" t="str">
        <f t="shared" si="48"/>
        <v>MGI</v>
      </c>
      <c r="H1542" t="s">
        <v>851</v>
      </c>
      <c r="I1542" t="s">
        <v>20</v>
      </c>
      <c r="J1542" t="s">
        <v>62</v>
      </c>
      <c r="K1542" s="6">
        <v>0.03</v>
      </c>
      <c r="L1542" s="7">
        <f t="shared" si="49"/>
        <v>2E-3</v>
      </c>
      <c r="M1542" s="7">
        <v>3.0000000000000001E-3</v>
      </c>
      <c r="N1542">
        <v>7</v>
      </c>
      <c r="O1542" s="8">
        <v>13.880385281502075</v>
      </c>
      <c r="P1542" s="9">
        <v>13.880385281502075</v>
      </c>
      <c r="Q1542" s="9">
        <v>13.880385281502075</v>
      </c>
      <c r="R1542" s="9">
        <v>14.045989937445718</v>
      </c>
      <c r="S1542" s="9">
        <v>14.060876315369912</v>
      </c>
      <c r="T1542" s="9">
        <v>15.090338571208333</v>
      </c>
      <c r="U1542" s="9">
        <v>16.025407313902726</v>
      </c>
      <c r="V1542" s="9">
        <v>16.025407313902726</v>
      </c>
      <c r="W1542" s="9">
        <v>16.025407313902726</v>
      </c>
      <c r="X1542" s="9">
        <v>18.013895748167766</v>
      </c>
      <c r="Y1542" s="9">
        <v>18.013895748167766</v>
      </c>
      <c r="Z1542" s="9">
        <v>20.142868501532355</v>
      </c>
      <c r="AA1542" s="9">
        <v>20.142868501532355</v>
      </c>
      <c r="AB1542" s="9">
        <v>22.456349831314476</v>
      </c>
      <c r="AC1542" s="9">
        <v>22.456349831314476</v>
      </c>
      <c r="AD1542" s="9">
        <v>24.87984091164185</v>
      </c>
      <c r="AE1542" s="9">
        <v>27.427492221952345</v>
      </c>
      <c r="AF1542" s="9">
        <v>33.194804868730657</v>
      </c>
      <c r="AG1542" s="9">
        <v>33.194804868730657</v>
      </c>
      <c r="AH1542" s="9">
        <v>35.957808835828068</v>
      </c>
      <c r="AI1542" s="9">
        <v>38.646304092692077</v>
      </c>
      <c r="AJ1542" s="9">
        <v>3.0428788910505911</v>
      </c>
    </row>
    <row r="1543" spans="1:36" x14ac:dyDescent="0.25">
      <c r="A1543" t="s">
        <v>5411</v>
      </c>
      <c r="B1543" t="s">
        <v>16</v>
      </c>
      <c r="C1543" t="s">
        <v>17</v>
      </c>
      <c r="D1543">
        <v>37730000</v>
      </c>
      <c r="E1543">
        <v>37739999</v>
      </c>
      <c r="F1543" t="s">
        <v>1362</v>
      </c>
      <c r="G1543" t="str">
        <f t="shared" si="48"/>
        <v>MGI</v>
      </c>
      <c r="H1543" t="s">
        <v>851</v>
      </c>
      <c r="I1543" t="s">
        <v>20</v>
      </c>
      <c r="J1543" t="s">
        <v>62</v>
      </c>
      <c r="K1543" s="6">
        <v>0.03</v>
      </c>
      <c r="L1543" s="7">
        <f t="shared" si="49"/>
        <v>2E-3</v>
      </c>
      <c r="M1543" s="7">
        <v>3.0000000000000001E-3</v>
      </c>
      <c r="N1543">
        <v>7</v>
      </c>
      <c r="O1543" s="8">
        <v>13.880385281502075</v>
      </c>
      <c r="P1543" s="9">
        <v>13.880385281502075</v>
      </c>
      <c r="Q1543" s="9">
        <v>13.880385281502075</v>
      </c>
      <c r="R1543" s="9">
        <v>14.045989937445718</v>
      </c>
      <c r="S1543" s="9">
        <v>14.060876315369912</v>
      </c>
      <c r="T1543" s="9">
        <v>15.090338571208333</v>
      </c>
      <c r="U1543" s="9">
        <v>16.025407313902726</v>
      </c>
      <c r="V1543" s="9">
        <v>16.025407313902726</v>
      </c>
      <c r="W1543" s="9">
        <v>16.025407313902726</v>
      </c>
      <c r="X1543" s="9">
        <v>18.013895748167766</v>
      </c>
      <c r="Y1543" s="9">
        <v>18.013895748167766</v>
      </c>
      <c r="Z1543" s="9">
        <v>20.142868501532355</v>
      </c>
      <c r="AA1543" s="9">
        <v>20.142868501532355</v>
      </c>
      <c r="AB1543" s="9">
        <v>22.456349831314476</v>
      </c>
      <c r="AC1543" s="9">
        <v>22.456349831314476</v>
      </c>
      <c r="AD1543" s="9">
        <v>24.87984091164185</v>
      </c>
      <c r="AE1543" s="9">
        <v>27.427492221952345</v>
      </c>
      <c r="AF1543" s="9">
        <v>33.194804868730657</v>
      </c>
      <c r="AG1543" s="9">
        <v>33.194804868730657</v>
      </c>
      <c r="AH1543" s="9">
        <v>35.957808835828068</v>
      </c>
      <c r="AI1543" s="9">
        <v>38.646304092692077</v>
      </c>
      <c r="AJ1543" s="9">
        <v>3.0428788910505911</v>
      </c>
    </row>
    <row r="1544" spans="1:36" x14ac:dyDescent="0.25">
      <c r="A1544" t="s">
        <v>5411</v>
      </c>
      <c r="B1544" t="s">
        <v>16</v>
      </c>
      <c r="C1544" t="s">
        <v>17</v>
      </c>
      <c r="D1544">
        <v>37740000</v>
      </c>
      <c r="E1544">
        <v>37749999</v>
      </c>
      <c r="F1544" t="s">
        <v>1363</v>
      </c>
      <c r="G1544" t="str">
        <f t="shared" si="48"/>
        <v>MGI II</v>
      </c>
      <c r="H1544" t="s">
        <v>851</v>
      </c>
      <c r="I1544" t="s">
        <v>20</v>
      </c>
      <c r="J1544" t="s">
        <v>64</v>
      </c>
      <c r="K1544" s="6">
        <v>0.03</v>
      </c>
      <c r="L1544" s="7">
        <f t="shared" si="49"/>
        <v>2E-3</v>
      </c>
      <c r="M1544" s="7">
        <v>3.0000000000000001E-3</v>
      </c>
      <c r="N1544">
        <v>6</v>
      </c>
      <c r="O1544" s="8">
        <v>17.822306426995311</v>
      </c>
      <c r="P1544" s="9">
        <v>17.822306426995311</v>
      </c>
      <c r="Q1544" s="9">
        <v>17.822306426995311</v>
      </c>
      <c r="R1544" s="9">
        <v>18.237663306594719</v>
      </c>
      <c r="S1544" s="9">
        <v>18.48712920931133</v>
      </c>
      <c r="T1544" s="9">
        <v>19.201553596969877</v>
      </c>
      <c r="U1544" s="9">
        <v>20.562345482855957</v>
      </c>
      <c r="V1544" s="9">
        <v>20.562345482855957</v>
      </c>
      <c r="W1544" s="9">
        <v>20.562345482855957</v>
      </c>
      <c r="X1544" s="9">
        <v>22.391977691000818</v>
      </c>
      <c r="Y1544" s="9">
        <v>22.391977691000818</v>
      </c>
      <c r="Z1544" s="9">
        <v>24.28858708803979</v>
      </c>
      <c r="AA1544" s="9">
        <v>24.28858708803979</v>
      </c>
      <c r="AB1544" s="9">
        <v>25.117335532005217</v>
      </c>
      <c r="AC1544" s="9">
        <v>25.117335532005217</v>
      </c>
      <c r="AD1544" s="9">
        <v>29.039116491286865</v>
      </c>
      <c r="AE1544" s="9">
        <v>31.219251037281825</v>
      </c>
      <c r="AF1544" s="9">
        <v>33.487682081707895</v>
      </c>
      <c r="AG1544" s="9">
        <v>33.487682081707895</v>
      </c>
      <c r="AH1544" s="9">
        <v>36.427668170967245</v>
      </c>
      <c r="AI1544" s="9">
        <v>38.74455996597662</v>
      </c>
      <c r="AJ1544" s="9">
        <v>3.0428788910505911</v>
      </c>
    </row>
    <row r="1545" spans="1:36" x14ac:dyDescent="0.25">
      <c r="A1545" t="s">
        <v>5411</v>
      </c>
      <c r="B1545" t="s">
        <v>16</v>
      </c>
      <c r="C1545" t="s">
        <v>17</v>
      </c>
      <c r="D1545">
        <v>37750000</v>
      </c>
      <c r="E1545">
        <v>37756999</v>
      </c>
      <c r="F1545" t="s">
        <v>1364</v>
      </c>
      <c r="G1545" t="str">
        <f t="shared" si="48"/>
        <v>MGI</v>
      </c>
      <c r="H1545" t="s">
        <v>851</v>
      </c>
      <c r="I1545" t="s">
        <v>20</v>
      </c>
      <c r="J1545" t="s">
        <v>62</v>
      </c>
      <c r="K1545" s="6">
        <v>0.03</v>
      </c>
      <c r="L1545" s="7">
        <f t="shared" si="49"/>
        <v>2E-3</v>
      </c>
      <c r="M1545" s="7">
        <v>3.0000000000000001E-3</v>
      </c>
      <c r="N1545">
        <v>8</v>
      </c>
      <c r="O1545" s="8">
        <v>13.880385281502075</v>
      </c>
      <c r="P1545" s="9">
        <v>13.880385281502075</v>
      </c>
      <c r="Q1545" s="9">
        <v>13.880385281502075</v>
      </c>
      <c r="R1545" s="9">
        <v>14.045989937445718</v>
      </c>
      <c r="S1545" s="9">
        <v>14.060876315369912</v>
      </c>
      <c r="T1545" s="9">
        <v>15.090338571208333</v>
      </c>
      <c r="U1545" s="9">
        <v>16.025407313902726</v>
      </c>
      <c r="V1545" s="9">
        <v>16.025407313902726</v>
      </c>
      <c r="W1545" s="9">
        <v>16.025407313902726</v>
      </c>
      <c r="X1545" s="9">
        <v>18.013895748167766</v>
      </c>
      <c r="Y1545" s="9">
        <v>18.013895748167766</v>
      </c>
      <c r="Z1545" s="9">
        <v>20.142868501532355</v>
      </c>
      <c r="AA1545" s="9">
        <v>20.142868501532355</v>
      </c>
      <c r="AB1545" s="9">
        <v>22.456349831314476</v>
      </c>
      <c r="AC1545" s="9">
        <v>22.456349831314476</v>
      </c>
      <c r="AD1545" s="9">
        <v>24.87984091164185</v>
      </c>
      <c r="AE1545" s="9">
        <v>27.427492221952345</v>
      </c>
      <c r="AF1545" s="9">
        <v>33.194804868730657</v>
      </c>
      <c r="AG1545" s="9">
        <v>33.194804868730657</v>
      </c>
      <c r="AH1545" s="9">
        <v>35.957808835828068</v>
      </c>
      <c r="AI1545" s="9">
        <v>38.646304092692077</v>
      </c>
      <c r="AJ1545" s="9">
        <v>3.0428788910505911</v>
      </c>
    </row>
    <row r="1546" spans="1:36" x14ac:dyDescent="0.25">
      <c r="A1546" t="s">
        <v>5411</v>
      </c>
      <c r="B1546" t="s">
        <v>16</v>
      </c>
      <c r="C1546" t="s">
        <v>17</v>
      </c>
      <c r="D1546">
        <v>37757000</v>
      </c>
      <c r="E1546">
        <v>37759999</v>
      </c>
      <c r="F1546" t="s">
        <v>1365</v>
      </c>
      <c r="G1546" t="str">
        <f t="shared" si="48"/>
        <v>MGI</v>
      </c>
      <c r="H1546" t="s">
        <v>851</v>
      </c>
      <c r="I1546" t="s">
        <v>20</v>
      </c>
      <c r="J1546" t="s">
        <v>62</v>
      </c>
      <c r="K1546" s="6">
        <v>0.03</v>
      </c>
      <c r="L1546" s="7">
        <f t="shared" si="49"/>
        <v>2E-3</v>
      </c>
      <c r="M1546" s="7">
        <v>3.0000000000000001E-3</v>
      </c>
      <c r="N1546">
        <v>7</v>
      </c>
      <c r="O1546" s="8">
        <v>13.880385281502075</v>
      </c>
      <c r="P1546" s="9">
        <v>13.880385281502075</v>
      </c>
      <c r="Q1546" s="9">
        <v>13.880385281502075</v>
      </c>
      <c r="R1546" s="9">
        <v>14.045989937445718</v>
      </c>
      <c r="S1546" s="9">
        <v>14.060876315369912</v>
      </c>
      <c r="T1546" s="9">
        <v>15.090338571208333</v>
      </c>
      <c r="U1546" s="9">
        <v>16.025407313902726</v>
      </c>
      <c r="V1546" s="9">
        <v>16.025407313902726</v>
      </c>
      <c r="W1546" s="9">
        <v>16.025407313902726</v>
      </c>
      <c r="X1546" s="9">
        <v>18.013895748167766</v>
      </c>
      <c r="Y1546" s="9">
        <v>18.013895748167766</v>
      </c>
      <c r="Z1546" s="9">
        <v>20.142868501532355</v>
      </c>
      <c r="AA1546" s="9">
        <v>20.142868501532355</v>
      </c>
      <c r="AB1546" s="9">
        <v>22.456349831314476</v>
      </c>
      <c r="AC1546" s="9">
        <v>22.456349831314476</v>
      </c>
      <c r="AD1546" s="9">
        <v>24.87984091164185</v>
      </c>
      <c r="AE1546" s="9">
        <v>27.427492221952345</v>
      </c>
      <c r="AF1546" s="9">
        <v>33.194804868730657</v>
      </c>
      <c r="AG1546" s="9">
        <v>33.194804868730657</v>
      </c>
      <c r="AH1546" s="9">
        <v>35.957808835828068</v>
      </c>
      <c r="AI1546" s="9">
        <v>38.646304092692077</v>
      </c>
      <c r="AJ1546" s="9">
        <v>3.0428788910505911</v>
      </c>
    </row>
    <row r="1547" spans="1:36" x14ac:dyDescent="0.25">
      <c r="A1547" t="s">
        <v>5411</v>
      </c>
      <c r="B1547" t="s">
        <v>16</v>
      </c>
      <c r="C1547" t="s">
        <v>17</v>
      </c>
      <c r="D1547">
        <v>37760000</v>
      </c>
      <c r="E1547">
        <v>37774999</v>
      </c>
      <c r="F1547" t="s">
        <v>1366</v>
      </c>
      <c r="G1547" t="str">
        <f t="shared" si="48"/>
        <v>MGI II</v>
      </c>
      <c r="H1547" t="s">
        <v>851</v>
      </c>
      <c r="I1547" t="s">
        <v>20</v>
      </c>
      <c r="J1547" t="s">
        <v>64</v>
      </c>
      <c r="K1547" s="6">
        <v>0.03</v>
      </c>
      <c r="L1547" s="7">
        <f t="shared" si="49"/>
        <v>2E-3</v>
      </c>
      <c r="M1547" s="7">
        <v>3.0000000000000001E-3</v>
      </c>
      <c r="N1547">
        <v>8</v>
      </c>
      <c r="O1547" s="8">
        <v>17.822306426995311</v>
      </c>
      <c r="P1547" s="9">
        <v>17.822306426995311</v>
      </c>
      <c r="Q1547" s="9">
        <v>17.822306426995311</v>
      </c>
      <c r="R1547" s="9">
        <v>18.237663306594719</v>
      </c>
      <c r="S1547" s="9">
        <v>18.48712920931133</v>
      </c>
      <c r="T1547" s="9">
        <v>19.201553596969877</v>
      </c>
      <c r="U1547" s="9">
        <v>20.562345482855957</v>
      </c>
      <c r="V1547" s="9">
        <v>20.562345482855957</v>
      </c>
      <c r="W1547" s="9">
        <v>20.562345482855957</v>
      </c>
      <c r="X1547" s="9">
        <v>22.391977691000818</v>
      </c>
      <c r="Y1547" s="9">
        <v>22.391977691000818</v>
      </c>
      <c r="Z1547" s="9">
        <v>24.28858708803979</v>
      </c>
      <c r="AA1547" s="9">
        <v>24.28858708803979</v>
      </c>
      <c r="AB1547" s="9">
        <v>25.117335532005217</v>
      </c>
      <c r="AC1547" s="9">
        <v>25.117335532005217</v>
      </c>
      <c r="AD1547" s="9">
        <v>29.039116491286865</v>
      </c>
      <c r="AE1547" s="9">
        <v>31.219251037281825</v>
      </c>
      <c r="AF1547" s="9">
        <v>33.487682081707895</v>
      </c>
      <c r="AG1547" s="9">
        <v>33.487682081707895</v>
      </c>
      <c r="AH1547" s="9">
        <v>36.427668170967245</v>
      </c>
      <c r="AI1547" s="9">
        <v>38.74455996597662</v>
      </c>
      <c r="AJ1547" s="9">
        <v>3.0428788910505911</v>
      </c>
    </row>
    <row r="1548" spans="1:36" x14ac:dyDescent="0.25">
      <c r="A1548" t="s">
        <v>5411</v>
      </c>
      <c r="B1548" t="s">
        <v>16</v>
      </c>
      <c r="C1548" t="s">
        <v>17</v>
      </c>
      <c r="D1548">
        <v>37775000</v>
      </c>
      <c r="E1548">
        <v>37779999</v>
      </c>
      <c r="F1548" t="s">
        <v>1367</v>
      </c>
      <c r="G1548" t="str">
        <f t="shared" si="48"/>
        <v>MGI II</v>
      </c>
      <c r="H1548" t="s">
        <v>851</v>
      </c>
      <c r="I1548" t="s">
        <v>20</v>
      </c>
      <c r="J1548" t="s">
        <v>64</v>
      </c>
      <c r="K1548" s="6">
        <v>0.03</v>
      </c>
      <c r="L1548" s="7">
        <f t="shared" si="49"/>
        <v>2E-3</v>
      </c>
      <c r="M1548" s="7">
        <v>3.0000000000000001E-3</v>
      </c>
      <c r="N1548">
        <v>7</v>
      </c>
      <c r="O1548" s="8">
        <v>17.822306426995311</v>
      </c>
      <c r="P1548" s="9">
        <v>17.822306426995311</v>
      </c>
      <c r="Q1548" s="9">
        <v>17.822306426995311</v>
      </c>
      <c r="R1548" s="9">
        <v>18.237663306594719</v>
      </c>
      <c r="S1548" s="9">
        <v>18.48712920931133</v>
      </c>
      <c r="T1548" s="9">
        <v>19.201553596969877</v>
      </c>
      <c r="U1548" s="9">
        <v>20.562345482855957</v>
      </c>
      <c r="V1548" s="9">
        <v>20.562345482855957</v>
      </c>
      <c r="W1548" s="9">
        <v>20.562345482855957</v>
      </c>
      <c r="X1548" s="9">
        <v>22.391977691000818</v>
      </c>
      <c r="Y1548" s="9">
        <v>22.391977691000818</v>
      </c>
      <c r="Z1548" s="9">
        <v>24.28858708803979</v>
      </c>
      <c r="AA1548" s="9">
        <v>24.28858708803979</v>
      </c>
      <c r="AB1548" s="9">
        <v>25.117335532005217</v>
      </c>
      <c r="AC1548" s="9">
        <v>25.117335532005217</v>
      </c>
      <c r="AD1548" s="9">
        <v>29.039116491286865</v>
      </c>
      <c r="AE1548" s="9">
        <v>31.219251037281825</v>
      </c>
      <c r="AF1548" s="9">
        <v>33.487682081707895</v>
      </c>
      <c r="AG1548" s="9">
        <v>33.487682081707895</v>
      </c>
      <c r="AH1548" s="9">
        <v>36.427668170967245</v>
      </c>
      <c r="AI1548" s="9">
        <v>38.74455996597662</v>
      </c>
      <c r="AJ1548" s="9">
        <v>3.0428788910505911</v>
      </c>
    </row>
    <row r="1549" spans="1:36" x14ac:dyDescent="0.25">
      <c r="A1549" t="s">
        <v>5411</v>
      </c>
      <c r="B1549" t="s">
        <v>16</v>
      </c>
      <c r="C1549" t="s">
        <v>17</v>
      </c>
      <c r="D1549">
        <v>37780000</v>
      </c>
      <c r="E1549">
        <v>37789999</v>
      </c>
      <c r="F1549" t="s">
        <v>1368</v>
      </c>
      <c r="G1549" t="str">
        <f t="shared" si="48"/>
        <v>MGI II</v>
      </c>
      <c r="H1549" t="s">
        <v>851</v>
      </c>
      <c r="I1549" t="s">
        <v>20</v>
      </c>
      <c r="J1549" t="s">
        <v>64</v>
      </c>
      <c r="K1549" s="6">
        <v>0.03</v>
      </c>
      <c r="L1549" s="7">
        <f t="shared" si="49"/>
        <v>2E-3</v>
      </c>
      <c r="M1549" s="7">
        <v>3.0000000000000001E-3</v>
      </c>
      <c r="N1549">
        <v>7</v>
      </c>
      <c r="O1549" s="8">
        <v>17.822306426995311</v>
      </c>
      <c r="P1549" s="9">
        <v>17.822306426995311</v>
      </c>
      <c r="Q1549" s="9">
        <v>17.822306426995311</v>
      </c>
      <c r="R1549" s="9">
        <v>18.237663306594719</v>
      </c>
      <c r="S1549" s="9">
        <v>18.48712920931133</v>
      </c>
      <c r="T1549" s="9">
        <v>19.201553596969877</v>
      </c>
      <c r="U1549" s="9">
        <v>20.562345482855957</v>
      </c>
      <c r="V1549" s="9">
        <v>20.562345482855957</v>
      </c>
      <c r="W1549" s="9">
        <v>20.562345482855957</v>
      </c>
      <c r="X1549" s="9">
        <v>22.391977691000818</v>
      </c>
      <c r="Y1549" s="9">
        <v>22.391977691000818</v>
      </c>
      <c r="Z1549" s="9">
        <v>24.28858708803979</v>
      </c>
      <c r="AA1549" s="9">
        <v>24.28858708803979</v>
      </c>
      <c r="AB1549" s="9">
        <v>25.117335532005217</v>
      </c>
      <c r="AC1549" s="9">
        <v>25.117335532005217</v>
      </c>
      <c r="AD1549" s="9">
        <v>29.039116491286865</v>
      </c>
      <c r="AE1549" s="9">
        <v>31.219251037281825</v>
      </c>
      <c r="AF1549" s="9">
        <v>33.487682081707895</v>
      </c>
      <c r="AG1549" s="9">
        <v>33.487682081707895</v>
      </c>
      <c r="AH1549" s="9">
        <v>36.427668170967245</v>
      </c>
      <c r="AI1549" s="9">
        <v>38.74455996597662</v>
      </c>
      <c r="AJ1549" s="9">
        <v>3.0428788910505911</v>
      </c>
    </row>
    <row r="1550" spans="1:36" x14ac:dyDescent="0.25">
      <c r="A1550" t="s">
        <v>5411</v>
      </c>
      <c r="B1550" t="s">
        <v>16</v>
      </c>
      <c r="C1550" t="s">
        <v>17</v>
      </c>
      <c r="D1550">
        <v>37790000</v>
      </c>
      <c r="E1550">
        <v>37794999</v>
      </c>
      <c r="F1550" t="s">
        <v>1369</v>
      </c>
      <c r="G1550" t="str">
        <f t="shared" si="48"/>
        <v>MGI II</v>
      </c>
      <c r="H1550" t="s">
        <v>851</v>
      </c>
      <c r="I1550" t="s">
        <v>20</v>
      </c>
      <c r="J1550" t="s">
        <v>64</v>
      </c>
      <c r="K1550" s="6">
        <v>0.03</v>
      </c>
      <c r="L1550" s="7">
        <f t="shared" si="49"/>
        <v>2E-3</v>
      </c>
      <c r="M1550" s="7">
        <v>3.0000000000000001E-3</v>
      </c>
      <c r="N1550">
        <v>7</v>
      </c>
      <c r="O1550" s="8">
        <v>17.822306426995311</v>
      </c>
      <c r="P1550" s="9">
        <v>17.822306426995311</v>
      </c>
      <c r="Q1550" s="9">
        <v>17.822306426995311</v>
      </c>
      <c r="R1550" s="9">
        <v>18.237663306594719</v>
      </c>
      <c r="S1550" s="9">
        <v>18.48712920931133</v>
      </c>
      <c r="T1550" s="9">
        <v>19.201553596969877</v>
      </c>
      <c r="U1550" s="9">
        <v>20.562345482855957</v>
      </c>
      <c r="V1550" s="9">
        <v>20.562345482855957</v>
      </c>
      <c r="W1550" s="9">
        <v>20.562345482855957</v>
      </c>
      <c r="X1550" s="9">
        <v>22.391977691000818</v>
      </c>
      <c r="Y1550" s="9">
        <v>22.391977691000818</v>
      </c>
      <c r="Z1550" s="9">
        <v>24.28858708803979</v>
      </c>
      <c r="AA1550" s="9">
        <v>24.28858708803979</v>
      </c>
      <c r="AB1550" s="9">
        <v>25.117335532005217</v>
      </c>
      <c r="AC1550" s="9">
        <v>25.117335532005217</v>
      </c>
      <c r="AD1550" s="9">
        <v>29.039116491286865</v>
      </c>
      <c r="AE1550" s="9">
        <v>31.219251037281825</v>
      </c>
      <c r="AF1550" s="9">
        <v>33.487682081707895</v>
      </c>
      <c r="AG1550" s="9">
        <v>33.487682081707895</v>
      </c>
      <c r="AH1550" s="9">
        <v>36.427668170967245</v>
      </c>
      <c r="AI1550" s="9">
        <v>38.74455996597662</v>
      </c>
      <c r="AJ1550" s="9">
        <v>3.0428788910505911</v>
      </c>
    </row>
    <row r="1551" spans="1:36" x14ac:dyDescent="0.25">
      <c r="A1551" t="s">
        <v>5411</v>
      </c>
      <c r="B1551" t="s">
        <v>16</v>
      </c>
      <c r="C1551" t="s">
        <v>17</v>
      </c>
      <c r="D1551">
        <v>37795000</v>
      </c>
      <c r="E1551">
        <v>37799999</v>
      </c>
      <c r="F1551" t="s">
        <v>1370</v>
      </c>
      <c r="G1551" t="str">
        <f t="shared" si="48"/>
        <v>MGI II</v>
      </c>
      <c r="H1551" t="s">
        <v>851</v>
      </c>
      <c r="I1551" t="s">
        <v>20</v>
      </c>
      <c r="J1551" t="s">
        <v>64</v>
      </c>
      <c r="K1551" s="6">
        <v>0.03</v>
      </c>
      <c r="L1551" s="7">
        <f t="shared" si="49"/>
        <v>2E-3</v>
      </c>
      <c r="M1551" s="7">
        <v>3.0000000000000001E-3</v>
      </c>
      <c r="N1551">
        <v>7</v>
      </c>
      <c r="O1551" s="8">
        <v>17.822306426995311</v>
      </c>
      <c r="P1551" s="9">
        <v>17.822306426995311</v>
      </c>
      <c r="Q1551" s="9">
        <v>17.822306426995311</v>
      </c>
      <c r="R1551" s="9">
        <v>18.237663306594719</v>
      </c>
      <c r="S1551" s="9">
        <v>18.48712920931133</v>
      </c>
      <c r="T1551" s="9">
        <v>19.201553596969877</v>
      </c>
      <c r="U1551" s="9">
        <v>20.562345482855957</v>
      </c>
      <c r="V1551" s="9">
        <v>20.562345482855957</v>
      </c>
      <c r="W1551" s="9">
        <v>20.562345482855957</v>
      </c>
      <c r="X1551" s="9">
        <v>22.391977691000818</v>
      </c>
      <c r="Y1551" s="9">
        <v>22.391977691000818</v>
      </c>
      <c r="Z1551" s="9">
        <v>24.28858708803979</v>
      </c>
      <c r="AA1551" s="9">
        <v>24.28858708803979</v>
      </c>
      <c r="AB1551" s="9">
        <v>25.117335532005217</v>
      </c>
      <c r="AC1551" s="9">
        <v>25.117335532005217</v>
      </c>
      <c r="AD1551" s="9">
        <v>29.039116491286865</v>
      </c>
      <c r="AE1551" s="9">
        <v>31.219251037281825</v>
      </c>
      <c r="AF1551" s="9">
        <v>33.487682081707895</v>
      </c>
      <c r="AG1551" s="9">
        <v>33.487682081707895</v>
      </c>
      <c r="AH1551" s="9">
        <v>36.427668170967245</v>
      </c>
      <c r="AI1551" s="9">
        <v>38.74455996597662</v>
      </c>
      <c r="AJ1551" s="9">
        <v>3.0428788910505911</v>
      </c>
    </row>
    <row r="1552" spans="1:36" x14ac:dyDescent="0.25">
      <c r="A1552" t="s">
        <v>5411</v>
      </c>
      <c r="B1552" t="s">
        <v>16</v>
      </c>
      <c r="C1552" t="s">
        <v>17</v>
      </c>
      <c r="D1552">
        <v>37800000</v>
      </c>
      <c r="E1552">
        <v>37804999</v>
      </c>
      <c r="F1552" t="s">
        <v>1371</v>
      </c>
      <c r="G1552" t="str">
        <f t="shared" si="48"/>
        <v>MGI</v>
      </c>
      <c r="H1552" t="s">
        <v>851</v>
      </c>
      <c r="I1552" t="s">
        <v>20</v>
      </c>
      <c r="J1552" t="s">
        <v>62</v>
      </c>
      <c r="K1552" s="6">
        <v>0.03</v>
      </c>
      <c r="L1552" s="7">
        <f t="shared" si="49"/>
        <v>2E-3</v>
      </c>
      <c r="M1552" s="7">
        <v>3.0000000000000001E-3</v>
      </c>
      <c r="N1552">
        <v>6</v>
      </c>
      <c r="O1552" s="8">
        <v>13.880385281502075</v>
      </c>
      <c r="P1552" s="9">
        <v>13.880385281502075</v>
      </c>
      <c r="Q1552" s="9">
        <v>13.880385281502075</v>
      </c>
      <c r="R1552" s="9">
        <v>14.045989937445718</v>
      </c>
      <c r="S1552" s="9">
        <v>14.060876315369912</v>
      </c>
      <c r="T1552" s="9">
        <v>15.090338571208333</v>
      </c>
      <c r="U1552" s="9">
        <v>16.025407313902726</v>
      </c>
      <c r="V1552" s="9">
        <v>16.025407313902726</v>
      </c>
      <c r="W1552" s="9">
        <v>16.025407313902726</v>
      </c>
      <c r="X1552" s="9">
        <v>18.013895748167766</v>
      </c>
      <c r="Y1552" s="9">
        <v>18.013895748167766</v>
      </c>
      <c r="Z1552" s="9">
        <v>20.142868501532355</v>
      </c>
      <c r="AA1552" s="9">
        <v>20.142868501532355</v>
      </c>
      <c r="AB1552" s="9">
        <v>22.456349831314476</v>
      </c>
      <c r="AC1552" s="9">
        <v>22.456349831314476</v>
      </c>
      <c r="AD1552" s="9">
        <v>24.87984091164185</v>
      </c>
      <c r="AE1552" s="9">
        <v>27.427492221952345</v>
      </c>
      <c r="AF1552" s="9">
        <v>33.194804868730657</v>
      </c>
      <c r="AG1552" s="9">
        <v>33.194804868730657</v>
      </c>
      <c r="AH1552" s="9">
        <v>35.957808835828068</v>
      </c>
      <c r="AI1552" s="9">
        <v>38.646304092692077</v>
      </c>
      <c r="AJ1552" s="9">
        <v>3.0428788910505911</v>
      </c>
    </row>
    <row r="1553" spans="1:36" x14ac:dyDescent="0.25">
      <c r="A1553" t="s">
        <v>5411</v>
      </c>
      <c r="B1553" t="s">
        <v>16</v>
      </c>
      <c r="C1553" t="s">
        <v>17</v>
      </c>
      <c r="D1553">
        <v>37805000</v>
      </c>
      <c r="E1553">
        <v>37809999</v>
      </c>
      <c r="F1553" t="s">
        <v>1372</v>
      </c>
      <c r="G1553" t="str">
        <f t="shared" si="48"/>
        <v>MGI</v>
      </c>
      <c r="H1553" t="s">
        <v>851</v>
      </c>
      <c r="I1553" t="s">
        <v>20</v>
      </c>
      <c r="J1553" t="s">
        <v>62</v>
      </c>
      <c r="K1553" s="6">
        <v>0.03</v>
      </c>
      <c r="L1553" s="7">
        <f t="shared" si="49"/>
        <v>2E-3</v>
      </c>
      <c r="M1553" s="7">
        <v>3.0000000000000001E-3</v>
      </c>
      <c r="N1553">
        <v>7</v>
      </c>
      <c r="O1553" s="8">
        <v>13.880385281502075</v>
      </c>
      <c r="P1553" s="9">
        <v>13.880385281502075</v>
      </c>
      <c r="Q1553" s="9">
        <v>13.880385281502075</v>
      </c>
      <c r="R1553" s="9">
        <v>14.045989937445718</v>
      </c>
      <c r="S1553" s="9">
        <v>14.060876315369912</v>
      </c>
      <c r="T1553" s="9">
        <v>15.090338571208333</v>
      </c>
      <c r="U1553" s="9">
        <v>16.025407313902726</v>
      </c>
      <c r="V1553" s="9">
        <v>16.025407313902726</v>
      </c>
      <c r="W1553" s="9">
        <v>16.025407313902726</v>
      </c>
      <c r="X1553" s="9">
        <v>18.013895748167766</v>
      </c>
      <c r="Y1553" s="9">
        <v>18.013895748167766</v>
      </c>
      <c r="Z1553" s="9">
        <v>20.142868501532355</v>
      </c>
      <c r="AA1553" s="9">
        <v>20.142868501532355</v>
      </c>
      <c r="AB1553" s="9">
        <v>22.456349831314476</v>
      </c>
      <c r="AC1553" s="9">
        <v>22.456349831314476</v>
      </c>
      <c r="AD1553" s="9">
        <v>24.87984091164185</v>
      </c>
      <c r="AE1553" s="9">
        <v>27.427492221952345</v>
      </c>
      <c r="AF1553" s="9">
        <v>33.194804868730657</v>
      </c>
      <c r="AG1553" s="9">
        <v>33.194804868730657</v>
      </c>
      <c r="AH1553" s="9">
        <v>35.957808835828068</v>
      </c>
      <c r="AI1553" s="9">
        <v>38.646304092692077</v>
      </c>
      <c r="AJ1553" s="9">
        <v>3.0428788910505911</v>
      </c>
    </row>
    <row r="1554" spans="1:36" x14ac:dyDescent="0.25">
      <c r="A1554" t="s">
        <v>5411</v>
      </c>
      <c r="B1554" t="s">
        <v>16</v>
      </c>
      <c r="C1554" t="s">
        <v>17</v>
      </c>
      <c r="D1554">
        <v>37810000</v>
      </c>
      <c r="E1554">
        <v>37814999</v>
      </c>
      <c r="F1554" t="s">
        <v>1373</v>
      </c>
      <c r="G1554" t="str">
        <f t="shared" si="48"/>
        <v>MGI</v>
      </c>
      <c r="H1554" t="s">
        <v>851</v>
      </c>
      <c r="I1554" t="s">
        <v>20</v>
      </c>
      <c r="J1554" t="s">
        <v>62</v>
      </c>
      <c r="K1554" s="6">
        <v>0.03</v>
      </c>
      <c r="L1554" s="7">
        <f t="shared" si="49"/>
        <v>2E-3</v>
      </c>
      <c r="M1554" s="7">
        <v>3.0000000000000001E-3</v>
      </c>
      <c r="N1554">
        <v>7</v>
      </c>
      <c r="O1554" s="8">
        <v>13.880385281502075</v>
      </c>
      <c r="P1554" s="9">
        <v>13.880385281502075</v>
      </c>
      <c r="Q1554" s="9">
        <v>13.880385281502075</v>
      </c>
      <c r="R1554" s="9">
        <v>14.045989937445718</v>
      </c>
      <c r="S1554" s="9">
        <v>14.060876315369912</v>
      </c>
      <c r="T1554" s="9">
        <v>15.090338571208333</v>
      </c>
      <c r="U1554" s="9">
        <v>16.025407313902726</v>
      </c>
      <c r="V1554" s="9">
        <v>16.025407313902726</v>
      </c>
      <c r="W1554" s="9">
        <v>16.025407313902726</v>
      </c>
      <c r="X1554" s="9">
        <v>18.013895748167766</v>
      </c>
      <c r="Y1554" s="9">
        <v>18.013895748167766</v>
      </c>
      <c r="Z1554" s="9">
        <v>20.142868501532355</v>
      </c>
      <c r="AA1554" s="9">
        <v>20.142868501532355</v>
      </c>
      <c r="AB1554" s="9">
        <v>22.456349831314476</v>
      </c>
      <c r="AC1554" s="9">
        <v>22.456349831314476</v>
      </c>
      <c r="AD1554" s="9">
        <v>24.87984091164185</v>
      </c>
      <c r="AE1554" s="9">
        <v>27.427492221952345</v>
      </c>
      <c r="AF1554" s="9">
        <v>33.194804868730657</v>
      </c>
      <c r="AG1554" s="9">
        <v>33.194804868730657</v>
      </c>
      <c r="AH1554" s="9">
        <v>35.957808835828068</v>
      </c>
      <c r="AI1554" s="9">
        <v>38.646304092692077</v>
      </c>
      <c r="AJ1554" s="9">
        <v>3.0428788910505911</v>
      </c>
    </row>
    <row r="1555" spans="1:36" x14ac:dyDescent="0.25">
      <c r="A1555" t="s">
        <v>5411</v>
      </c>
      <c r="B1555" t="s">
        <v>16</v>
      </c>
      <c r="C1555" t="s">
        <v>17</v>
      </c>
      <c r="D1555">
        <v>37815000</v>
      </c>
      <c r="E1555">
        <v>37819999</v>
      </c>
      <c r="F1555" t="s">
        <v>1374</v>
      </c>
      <c r="G1555" t="str">
        <f t="shared" si="48"/>
        <v>MGI II</v>
      </c>
      <c r="H1555" t="s">
        <v>851</v>
      </c>
      <c r="I1555" t="s">
        <v>20</v>
      </c>
      <c r="J1555" t="s">
        <v>64</v>
      </c>
      <c r="K1555" s="6">
        <v>0.03</v>
      </c>
      <c r="L1555" s="7">
        <f t="shared" si="49"/>
        <v>2E-3</v>
      </c>
      <c r="M1555" s="7">
        <v>3.0000000000000001E-3</v>
      </c>
      <c r="N1555">
        <v>7</v>
      </c>
      <c r="O1555" s="8">
        <v>17.822306426995311</v>
      </c>
      <c r="P1555" s="9">
        <v>17.822306426995311</v>
      </c>
      <c r="Q1555" s="9">
        <v>17.822306426995311</v>
      </c>
      <c r="R1555" s="9">
        <v>18.237663306594719</v>
      </c>
      <c r="S1555" s="9">
        <v>18.48712920931133</v>
      </c>
      <c r="T1555" s="9">
        <v>19.201553596969877</v>
      </c>
      <c r="U1555" s="9">
        <v>20.562345482855957</v>
      </c>
      <c r="V1555" s="9">
        <v>20.562345482855957</v>
      </c>
      <c r="W1555" s="9">
        <v>20.562345482855957</v>
      </c>
      <c r="X1555" s="9">
        <v>22.391977691000818</v>
      </c>
      <c r="Y1555" s="9">
        <v>22.391977691000818</v>
      </c>
      <c r="Z1555" s="9">
        <v>24.28858708803979</v>
      </c>
      <c r="AA1555" s="9">
        <v>24.28858708803979</v>
      </c>
      <c r="AB1555" s="9">
        <v>25.117335532005217</v>
      </c>
      <c r="AC1555" s="9">
        <v>25.117335532005217</v>
      </c>
      <c r="AD1555" s="9">
        <v>29.039116491286865</v>
      </c>
      <c r="AE1555" s="9">
        <v>31.219251037281825</v>
      </c>
      <c r="AF1555" s="9">
        <v>33.487682081707895</v>
      </c>
      <c r="AG1555" s="9">
        <v>33.487682081707895</v>
      </c>
      <c r="AH1555" s="9">
        <v>36.427668170967245</v>
      </c>
      <c r="AI1555" s="9">
        <v>38.74455996597662</v>
      </c>
      <c r="AJ1555" s="9">
        <v>3.0428788910505911</v>
      </c>
    </row>
    <row r="1556" spans="1:36" x14ac:dyDescent="0.25">
      <c r="A1556" t="s">
        <v>5411</v>
      </c>
      <c r="B1556" t="s">
        <v>16</v>
      </c>
      <c r="C1556" t="s">
        <v>17</v>
      </c>
      <c r="D1556">
        <v>37820000</v>
      </c>
      <c r="E1556">
        <v>37854999</v>
      </c>
      <c r="F1556" t="s">
        <v>1375</v>
      </c>
      <c r="G1556" t="str">
        <f t="shared" si="48"/>
        <v>MGI</v>
      </c>
      <c r="H1556" t="s">
        <v>851</v>
      </c>
      <c r="I1556" t="s">
        <v>20</v>
      </c>
      <c r="J1556" t="s">
        <v>62</v>
      </c>
      <c r="K1556" s="6">
        <v>0.03</v>
      </c>
      <c r="L1556" s="7">
        <f t="shared" si="49"/>
        <v>2E-3</v>
      </c>
      <c r="M1556" s="7">
        <v>3.0000000000000001E-3</v>
      </c>
      <c r="N1556">
        <v>7</v>
      </c>
      <c r="O1556" s="8">
        <v>13.880385281502075</v>
      </c>
      <c r="P1556" s="9">
        <v>13.880385281502075</v>
      </c>
      <c r="Q1556" s="9">
        <v>13.880385281502075</v>
      </c>
      <c r="R1556" s="9">
        <v>14.045989937445718</v>
      </c>
      <c r="S1556" s="9">
        <v>14.060876315369912</v>
      </c>
      <c r="T1556" s="9">
        <v>15.090338571208333</v>
      </c>
      <c r="U1556" s="9">
        <v>16.025407313902726</v>
      </c>
      <c r="V1556" s="9">
        <v>16.025407313902726</v>
      </c>
      <c r="W1556" s="9">
        <v>16.025407313902726</v>
      </c>
      <c r="X1556" s="9">
        <v>18.013895748167766</v>
      </c>
      <c r="Y1556" s="9">
        <v>18.013895748167766</v>
      </c>
      <c r="Z1556" s="9">
        <v>20.142868501532355</v>
      </c>
      <c r="AA1556" s="9">
        <v>20.142868501532355</v>
      </c>
      <c r="AB1556" s="9">
        <v>22.456349831314476</v>
      </c>
      <c r="AC1556" s="9">
        <v>22.456349831314476</v>
      </c>
      <c r="AD1556" s="9">
        <v>24.87984091164185</v>
      </c>
      <c r="AE1556" s="9">
        <v>27.427492221952345</v>
      </c>
      <c r="AF1556" s="9">
        <v>33.194804868730657</v>
      </c>
      <c r="AG1556" s="9">
        <v>33.194804868730657</v>
      </c>
      <c r="AH1556" s="9">
        <v>35.957808835828068</v>
      </c>
      <c r="AI1556" s="9">
        <v>38.646304092692077</v>
      </c>
      <c r="AJ1556" s="9">
        <v>3.0428788910505911</v>
      </c>
    </row>
    <row r="1557" spans="1:36" x14ac:dyDescent="0.25">
      <c r="A1557" t="s">
        <v>5411</v>
      </c>
      <c r="B1557" t="s">
        <v>16</v>
      </c>
      <c r="C1557" t="s">
        <v>17</v>
      </c>
      <c r="D1557">
        <v>37855000</v>
      </c>
      <c r="E1557">
        <v>37859999</v>
      </c>
      <c r="F1557" t="s">
        <v>1376</v>
      </c>
      <c r="G1557" t="str">
        <f t="shared" si="48"/>
        <v>MGI</v>
      </c>
      <c r="H1557" t="s">
        <v>851</v>
      </c>
      <c r="I1557" t="s">
        <v>20</v>
      </c>
      <c r="J1557" t="s">
        <v>62</v>
      </c>
      <c r="K1557" s="6">
        <v>0.03</v>
      </c>
      <c r="L1557" s="7">
        <f t="shared" si="49"/>
        <v>2E-3</v>
      </c>
      <c r="M1557" s="7">
        <v>3.0000000000000001E-3</v>
      </c>
      <c r="N1557">
        <v>7</v>
      </c>
      <c r="O1557" s="8">
        <v>13.880385281502075</v>
      </c>
      <c r="P1557" s="9">
        <v>13.880385281502075</v>
      </c>
      <c r="Q1557" s="9">
        <v>13.880385281502075</v>
      </c>
      <c r="R1557" s="9">
        <v>14.045989937445718</v>
      </c>
      <c r="S1557" s="9">
        <v>14.060876315369912</v>
      </c>
      <c r="T1557" s="9">
        <v>15.090338571208333</v>
      </c>
      <c r="U1557" s="9">
        <v>16.025407313902726</v>
      </c>
      <c r="V1557" s="9">
        <v>16.025407313902726</v>
      </c>
      <c r="W1557" s="9">
        <v>16.025407313902726</v>
      </c>
      <c r="X1557" s="9">
        <v>18.013895748167766</v>
      </c>
      <c r="Y1557" s="9">
        <v>18.013895748167766</v>
      </c>
      <c r="Z1557" s="9">
        <v>20.142868501532355</v>
      </c>
      <c r="AA1557" s="9">
        <v>20.142868501532355</v>
      </c>
      <c r="AB1557" s="9">
        <v>22.456349831314476</v>
      </c>
      <c r="AC1557" s="9">
        <v>22.456349831314476</v>
      </c>
      <c r="AD1557" s="9">
        <v>24.87984091164185</v>
      </c>
      <c r="AE1557" s="9">
        <v>27.427492221952345</v>
      </c>
      <c r="AF1557" s="9">
        <v>33.194804868730657</v>
      </c>
      <c r="AG1557" s="9">
        <v>33.194804868730657</v>
      </c>
      <c r="AH1557" s="9">
        <v>35.957808835828068</v>
      </c>
      <c r="AI1557" s="9">
        <v>38.646304092692077</v>
      </c>
      <c r="AJ1557" s="9">
        <v>3.0428788910505911</v>
      </c>
    </row>
    <row r="1558" spans="1:36" x14ac:dyDescent="0.25">
      <c r="A1558" t="s">
        <v>5411</v>
      </c>
      <c r="B1558" t="s">
        <v>16</v>
      </c>
      <c r="C1558" t="s">
        <v>17</v>
      </c>
      <c r="D1558">
        <v>37860000</v>
      </c>
      <c r="E1558">
        <v>37879999</v>
      </c>
      <c r="F1558" t="s">
        <v>1377</v>
      </c>
      <c r="G1558" t="str">
        <f t="shared" si="48"/>
        <v>MGI</v>
      </c>
      <c r="H1558" t="s">
        <v>851</v>
      </c>
      <c r="I1558" t="s">
        <v>20</v>
      </c>
      <c r="J1558" t="s">
        <v>62</v>
      </c>
      <c r="K1558" s="6">
        <v>0.03</v>
      </c>
      <c r="L1558" s="7">
        <f t="shared" si="49"/>
        <v>2E-3</v>
      </c>
      <c r="M1558" s="7">
        <v>3.0000000000000001E-3</v>
      </c>
      <c r="N1558">
        <v>7</v>
      </c>
      <c r="O1558" s="8">
        <v>13.880385281502075</v>
      </c>
      <c r="P1558" s="9">
        <v>13.880385281502075</v>
      </c>
      <c r="Q1558" s="9">
        <v>13.880385281502075</v>
      </c>
      <c r="R1558" s="9">
        <v>14.045989937445718</v>
      </c>
      <c r="S1558" s="9">
        <v>14.060876315369912</v>
      </c>
      <c r="T1558" s="9">
        <v>15.090338571208333</v>
      </c>
      <c r="U1558" s="9">
        <v>16.025407313902726</v>
      </c>
      <c r="V1558" s="9">
        <v>16.025407313902726</v>
      </c>
      <c r="W1558" s="9">
        <v>16.025407313902726</v>
      </c>
      <c r="X1558" s="9">
        <v>18.013895748167766</v>
      </c>
      <c r="Y1558" s="9">
        <v>18.013895748167766</v>
      </c>
      <c r="Z1558" s="9">
        <v>20.142868501532355</v>
      </c>
      <c r="AA1558" s="9">
        <v>20.142868501532355</v>
      </c>
      <c r="AB1558" s="9">
        <v>22.456349831314476</v>
      </c>
      <c r="AC1558" s="9">
        <v>22.456349831314476</v>
      </c>
      <c r="AD1558" s="9">
        <v>24.87984091164185</v>
      </c>
      <c r="AE1558" s="9">
        <v>27.427492221952345</v>
      </c>
      <c r="AF1558" s="9">
        <v>33.194804868730657</v>
      </c>
      <c r="AG1558" s="9">
        <v>33.194804868730657</v>
      </c>
      <c r="AH1558" s="9">
        <v>35.957808835828068</v>
      </c>
      <c r="AI1558" s="9">
        <v>38.646304092692077</v>
      </c>
      <c r="AJ1558" s="9">
        <v>3.0428788910505911</v>
      </c>
    </row>
    <row r="1559" spans="1:36" x14ac:dyDescent="0.25">
      <c r="A1559" t="s">
        <v>5411</v>
      </c>
      <c r="B1559" t="s">
        <v>16</v>
      </c>
      <c r="C1559" t="s">
        <v>17</v>
      </c>
      <c r="D1559">
        <v>37880000</v>
      </c>
      <c r="E1559">
        <v>37889999</v>
      </c>
      <c r="F1559" t="s">
        <v>1378</v>
      </c>
      <c r="G1559" t="str">
        <f t="shared" si="48"/>
        <v>MGI</v>
      </c>
      <c r="H1559" t="s">
        <v>851</v>
      </c>
      <c r="I1559" t="s">
        <v>20</v>
      </c>
      <c r="J1559" t="s">
        <v>62</v>
      </c>
      <c r="K1559" s="6">
        <v>0.03</v>
      </c>
      <c r="L1559" s="7">
        <f t="shared" si="49"/>
        <v>2E-3</v>
      </c>
      <c r="M1559" s="7">
        <v>3.0000000000000001E-3</v>
      </c>
      <c r="N1559">
        <v>8</v>
      </c>
      <c r="O1559" s="8">
        <v>13.880385281502075</v>
      </c>
      <c r="P1559" s="9">
        <v>13.880385281502075</v>
      </c>
      <c r="Q1559" s="9">
        <v>13.880385281502075</v>
      </c>
      <c r="R1559" s="9">
        <v>14.045989937445718</v>
      </c>
      <c r="S1559" s="9">
        <v>14.060876315369912</v>
      </c>
      <c r="T1559" s="9">
        <v>15.090338571208333</v>
      </c>
      <c r="U1559" s="9">
        <v>16.025407313902726</v>
      </c>
      <c r="V1559" s="9">
        <v>16.025407313902726</v>
      </c>
      <c r="W1559" s="9">
        <v>16.025407313902726</v>
      </c>
      <c r="X1559" s="9">
        <v>18.013895748167766</v>
      </c>
      <c r="Y1559" s="9">
        <v>18.013895748167766</v>
      </c>
      <c r="Z1559" s="9">
        <v>20.142868501532355</v>
      </c>
      <c r="AA1559" s="9">
        <v>20.142868501532355</v>
      </c>
      <c r="AB1559" s="9">
        <v>22.456349831314476</v>
      </c>
      <c r="AC1559" s="9">
        <v>22.456349831314476</v>
      </c>
      <c r="AD1559" s="9">
        <v>24.87984091164185</v>
      </c>
      <c r="AE1559" s="9">
        <v>27.427492221952345</v>
      </c>
      <c r="AF1559" s="9">
        <v>33.194804868730657</v>
      </c>
      <c r="AG1559" s="9">
        <v>33.194804868730657</v>
      </c>
      <c r="AH1559" s="9">
        <v>35.957808835828068</v>
      </c>
      <c r="AI1559" s="9">
        <v>38.646304092692077</v>
      </c>
      <c r="AJ1559" s="9">
        <v>3.0428788910505911</v>
      </c>
    </row>
    <row r="1560" spans="1:36" x14ac:dyDescent="0.25">
      <c r="A1560" t="s">
        <v>5411</v>
      </c>
      <c r="B1560" t="s">
        <v>16</v>
      </c>
      <c r="C1560" t="s">
        <v>17</v>
      </c>
      <c r="D1560">
        <v>37890000</v>
      </c>
      <c r="E1560">
        <v>37899999</v>
      </c>
      <c r="F1560" t="s">
        <v>1379</v>
      </c>
      <c r="G1560" t="str">
        <f t="shared" si="48"/>
        <v>MGI</v>
      </c>
      <c r="H1560" t="s">
        <v>851</v>
      </c>
      <c r="I1560" t="s">
        <v>20</v>
      </c>
      <c r="J1560" t="s">
        <v>62</v>
      </c>
      <c r="K1560" s="6">
        <v>0.03</v>
      </c>
      <c r="L1560" s="7">
        <f t="shared" si="49"/>
        <v>2E-3</v>
      </c>
      <c r="M1560" s="7">
        <v>3.0000000000000001E-3</v>
      </c>
      <c r="N1560">
        <v>7</v>
      </c>
      <c r="O1560" s="8">
        <v>13.880385281502075</v>
      </c>
      <c r="P1560" s="9">
        <v>13.880385281502075</v>
      </c>
      <c r="Q1560" s="9">
        <v>13.880385281502075</v>
      </c>
      <c r="R1560" s="9">
        <v>14.045989937445718</v>
      </c>
      <c r="S1560" s="9">
        <v>14.060876315369912</v>
      </c>
      <c r="T1560" s="9">
        <v>15.090338571208333</v>
      </c>
      <c r="U1560" s="9">
        <v>16.025407313902726</v>
      </c>
      <c r="V1560" s="9">
        <v>16.025407313902726</v>
      </c>
      <c r="W1560" s="9">
        <v>16.025407313902726</v>
      </c>
      <c r="X1560" s="9">
        <v>18.013895748167766</v>
      </c>
      <c r="Y1560" s="9">
        <v>18.013895748167766</v>
      </c>
      <c r="Z1560" s="9">
        <v>20.142868501532355</v>
      </c>
      <c r="AA1560" s="9">
        <v>20.142868501532355</v>
      </c>
      <c r="AB1560" s="9">
        <v>22.456349831314476</v>
      </c>
      <c r="AC1560" s="9">
        <v>22.456349831314476</v>
      </c>
      <c r="AD1560" s="9">
        <v>24.87984091164185</v>
      </c>
      <c r="AE1560" s="9">
        <v>27.427492221952345</v>
      </c>
      <c r="AF1560" s="9">
        <v>33.194804868730657</v>
      </c>
      <c r="AG1560" s="9">
        <v>33.194804868730657</v>
      </c>
      <c r="AH1560" s="9">
        <v>35.957808835828068</v>
      </c>
      <c r="AI1560" s="9">
        <v>38.646304092692077</v>
      </c>
      <c r="AJ1560" s="9">
        <v>3.0428788910505911</v>
      </c>
    </row>
    <row r="1561" spans="1:36" x14ac:dyDescent="0.25">
      <c r="A1561" t="s">
        <v>5411</v>
      </c>
      <c r="B1561" t="s">
        <v>16</v>
      </c>
      <c r="C1561" t="s">
        <v>17</v>
      </c>
      <c r="D1561">
        <v>37900000</v>
      </c>
      <c r="E1561">
        <v>37904999</v>
      </c>
      <c r="F1561" t="s">
        <v>1380</v>
      </c>
      <c r="G1561" t="str">
        <f t="shared" si="48"/>
        <v>MGI</v>
      </c>
      <c r="H1561" t="s">
        <v>851</v>
      </c>
      <c r="I1561" t="s">
        <v>20</v>
      </c>
      <c r="J1561" t="s">
        <v>62</v>
      </c>
      <c r="K1561" s="6">
        <v>0.03</v>
      </c>
      <c r="L1561" s="7">
        <f t="shared" si="49"/>
        <v>2E-3</v>
      </c>
      <c r="M1561" s="7">
        <v>3.0000000000000001E-3</v>
      </c>
      <c r="N1561">
        <v>7</v>
      </c>
      <c r="O1561" s="8">
        <v>13.880385281502075</v>
      </c>
      <c r="P1561" s="9">
        <v>13.880385281502075</v>
      </c>
      <c r="Q1561" s="9">
        <v>13.880385281502075</v>
      </c>
      <c r="R1561" s="9">
        <v>14.045989937445718</v>
      </c>
      <c r="S1561" s="9">
        <v>14.060876315369912</v>
      </c>
      <c r="T1561" s="9">
        <v>15.090338571208333</v>
      </c>
      <c r="U1561" s="9">
        <v>16.025407313902726</v>
      </c>
      <c r="V1561" s="9">
        <v>16.025407313902726</v>
      </c>
      <c r="W1561" s="9">
        <v>16.025407313902726</v>
      </c>
      <c r="X1561" s="9">
        <v>18.013895748167766</v>
      </c>
      <c r="Y1561" s="9">
        <v>18.013895748167766</v>
      </c>
      <c r="Z1561" s="9">
        <v>20.142868501532355</v>
      </c>
      <c r="AA1561" s="9">
        <v>20.142868501532355</v>
      </c>
      <c r="AB1561" s="9">
        <v>22.456349831314476</v>
      </c>
      <c r="AC1561" s="9">
        <v>22.456349831314476</v>
      </c>
      <c r="AD1561" s="9">
        <v>24.87984091164185</v>
      </c>
      <c r="AE1561" s="9">
        <v>27.427492221952345</v>
      </c>
      <c r="AF1561" s="9">
        <v>33.194804868730657</v>
      </c>
      <c r="AG1561" s="9">
        <v>33.194804868730657</v>
      </c>
      <c r="AH1561" s="9">
        <v>35.957808835828068</v>
      </c>
      <c r="AI1561" s="9">
        <v>38.646304092692077</v>
      </c>
      <c r="AJ1561" s="9">
        <v>3.0428788910505911</v>
      </c>
    </row>
    <row r="1562" spans="1:36" x14ac:dyDescent="0.25">
      <c r="A1562" t="s">
        <v>5411</v>
      </c>
      <c r="B1562" t="s">
        <v>16</v>
      </c>
      <c r="C1562" t="s">
        <v>17</v>
      </c>
      <c r="D1562">
        <v>37905000</v>
      </c>
      <c r="E1562">
        <v>37909999</v>
      </c>
      <c r="F1562" t="s">
        <v>1381</v>
      </c>
      <c r="G1562" t="str">
        <f t="shared" si="48"/>
        <v>MGI II</v>
      </c>
      <c r="H1562" t="s">
        <v>851</v>
      </c>
      <c r="I1562" t="s">
        <v>20</v>
      </c>
      <c r="J1562" t="s">
        <v>64</v>
      </c>
      <c r="K1562" s="6">
        <v>0.03</v>
      </c>
      <c r="L1562" s="7">
        <f t="shared" si="49"/>
        <v>2E-3</v>
      </c>
      <c r="M1562" s="7">
        <v>3.0000000000000001E-3</v>
      </c>
      <c r="N1562">
        <v>8</v>
      </c>
      <c r="O1562" s="8">
        <v>17.822306426995311</v>
      </c>
      <c r="P1562" s="9">
        <v>17.822306426995311</v>
      </c>
      <c r="Q1562" s="9">
        <v>17.822306426995311</v>
      </c>
      <c r="R1562" s="9">
        <v>18.237663306594719</v>
      </c>
      <c r="S1562" s="9">
        <v>18.48712920931133</v>
      </c>
      <c r="T1562" s="9">
        <v>19.201553596969877</v>
      </c>
      <c r="U1562" s="9">
        <v>20.562345482855957</v>
      </c>
      <c r="V1562" s="9">
        <v>20.562345482855957</v>
      </c>
      <c r="W1562" s="9">
        <v>20.562345482855957</v>
      </c>
      <c r="X1562" s="9">
        <v>22.391977691000818</v>
      </c>
      <c r="Y1562" s="9">
        <v>22.391977691000818</v>
      </c>
      <c r="Z1562" s="9">
        <v>24.28858708803979</v>
      </c>
      <c r="AA1562" s="9">
        <v>24.28858708803979</v>
      </c>
      <c r="AB1562" s="9">
        <v>25.117335532005217</v>
      </c>
      <c r="AC1562" s="9">
        <v>25.117335532005217</v>
      </c>
      <c r="AD1562" s="9">
        <v>29.039116491286865</v>
      </c>
      <c r="AE1562" s="9">
        <v>31.219251037281825</v>
      </c>
      <c r="AF1562" s="9">
        <v>33.487682081707895</v>
      </c>
      <c r="AG1562" s="9">
        <v>33.487682081707895</v>
      </c>
      <c r="AH1562" s="9">
        <v>36.427668170967245</v>
      </c>
      <c r="AI1562" s="9">
        <v>38.74455996597662</v>
      </c>
      <c r="AJ1562" s="9">
        <v>3.0428788910505911</v>
      </c>
    </row>
    <row r="1563" spans="1:36" x14ac:dyDescent="0.25">
      <c r="A1563" t="s">
        <v>5411</v>
      </c>
      <c r="B1563" t="s">
        <v>16</v>
      </c>
      <c r="C1563" t="s">
        <v>17</v>
      </c>
      <c r="D1563">
        <v>37910000</v>
      </c>
      <c r="E1563">
        <v>37919999</v>
      </c>
      <c r="F1563" t="s">
        <v>1382</v>
      </c>
      <c r="G1563" t="str">
        <f t="shared" si="48"/>
        <v>MGI II</v>
      </c>
      <c r="H1563" t="s">
        <v>851</v>
      </c>
      <c r="I1563" t="s">
        <v>20</v>
      </c>
      <c r="J1563" t="s">
        <v>64</v>
      </c>
      <c r="K1563" s="6">
        <v>0.03</v>
      </c>
      <c r="L1563" s="7">
        <f t="shared" si="49"/>
        <v>2E-3</v>
      </c>
      <c r="M1563" s="7">
        <v>3.0000000000000001E-3</v>
      </c>
      <c r="N1563">
        <v>7</v>
      </c>
      <c r="O1563" s="8">
        <v>17.822306426995311</v>
      </c>
      <c r="P1563" s="9">
        <v>17.822306426995311</v>
      </c>
      <c r="Q1563" s="9">
        <v>17.822306426995311</v>
      </c>
      <c r="R1563" s="9">
        <v>18.237663306594719</v>
      </c>
      <c r="S1563" s="9">
        <v>18.48712920931133</v>
      </c>
      <c r="T1563" s="9">
        <v>19.201553596969877</v>
      </c>
      <c r="U1563" s="9">
        <v>20.562345482855957</v>
      </c>
      <c r="V1563" s="9">
        <v>20.562345482855957</v>
      </c>
      <c r="W1563" s="9">
        <v>20.562345482855957</v>
      </c>
      <c r="X1563" s="9">
        <v>22.391977691000818</v>
      </c>
      <c r="Y1563" s="9">
        <v>22.391977691000818</v>
      </c>
      <c r="Z1563" s="9">
        <v>24.28858708803979</v>
      </c>
      <c r="AA1563" s="9">
        <v>24.28858708803979</v>
      </c>
      <c r="AB1563" s="9">
        <v>25.117335532005217</v>
      </c>
      <c r="AC1563" s="9">
        <v>25.117335532005217</v>
      </c>
      <c r="AD1563" s="9">
        <v>29.039116491286865</v>
      </c>
      <c r="AE1563" s="9">
        <v>31.219251037281825</v>
      </c>
      <c r="AF1563" s="9">
        <v>33.487682081707895</v>
      </c>
      <c r="AG1563" s="9">
        <v>33.487682081707895</v>
      </c>
      <c r="AH1563" s="9">
        <v>36.427668170967245</v>
      </c>
      <c r="AI1563" s="9">
        <v>38.74455996597662</v>
      </c>
      <c r="AJ1563" s="9">
        <v>3.0428788910505911</v>
      </c>
    </row>
    <row r="1564" spans="1:36" x14ac:dyDescent="0.25">
      <c r="A1564" t="s">
        <v>5411</v>
      </c>
      <c r="B1564" t="s">
        <v>16</v>
      </c>
      <c r="C1564" t="s">
        <v>17</v>
      </c>
      <c r="D1564">
        <v>37920000</v>
      </c>
      <c r="E1564">
        <v>37921999</v>
      </c>
      <c r="F1564" t="s">
        <v>1383</v>
      </c>
      <c r="G1564" t="str">
        <f t="shared" si="48"/>
        <v>MGI II</v>
      </c>
      <c r="H1564" t="s">
        <v>851</v>
      </c>
      <c r="I1564" t="s">
        <v>20</v>
      </c>
      <c r="J1564" t="s">
        <v>64</v>
      </c>
      <c r="K1564" s="6">
        <v>0.03</v>
      </c>
      <c r="L1564" s="7">
        <f t="shared" si="49"/>
        <v>2E-3</v>
      </c>
      <c r="M1564" s="7">
        <v>3.0000000000000001E-3</v>
      </c>
      <c r="N1564">
        <v>8</v>
      </c>
      <c r="O1564" s="8">
        <v>17.822306426995311</v>
      </c>
      <c r="P1564" s="9">
        <v>17.822306426995311</v>
      </c>
      <c r="Q1564" s="9">
        <v>17.822306426995311</v>
      </c>
      <c r="R1564" s="9">
        <v>18.237663306594719</v>
      </c>
      <c r="S1564" s="9">
        <v>18.48712920931133</v>
      </c>
      <c r="T1564" s="9">
        <v>19.201553596969877</v>
      </c>
      <c r="U1564" s="9">
        <v>20.562345482855957</v>
      </c>
      <c r="V1564" s="9">
        <v>20.562345482855957</v>
      </c>
      <c r="W1564" s="9">
        <v>20.562345482855957</v>
      </c>
      <c r="X1564" s="9">
        <v>22.391977691000818</v>
      </c>
      <c r="Y1564" s="9">
        <v>22.391977691000818</v>
      </c>
      <c r="Z1564" s="9">
        <v>24.28858708803979</v>
      </c>
      <c r="AA1564" s="9">
        <v>24.28858708803979</v>
      </c>
      <c r="AB1564" s="9">
        <v>25.117335532005217</v>
      </c>
      <c r="AC1564" s="9">
        <v>25.117335532005217</v>
      </c>
      <c r="AD1564" s="9">
        <v>29.039116491286865</v>
      </c>
      <c r="AE1564" s="9">
        <v>31.219251037281825</v>
      </c>
      <c r="AF1564" s="9">
        <v>33.487682081707895</v>
      </c>
      <c r="AG1564" s="9">
        <v>33.487682081707895</v>
      </c>
      <c r="AH1564" s="9">
        <v>36.427668170967245</v>
      </c>
      <c r="AI1564" s="9">
        <v>38.74455996597662</v>
      </c>
      <c r="AJ1564" s="9">
        <v>3.0428788910505911</v>
      </c>
    </row>
    <row r="1565" spans="1:36" x14ac:dyDescent="0.25">
      <c r="A1565" t="s">
        <v>5411</v>
      </c>
      <c r="B1565" t="s">
        <v>16</v>
      </c>
      <c r="C1565" t="s">
        <v>17</v>
      </c>
      <c r="D1565">
        <v>37922000</v>
      </c>
      <c r="E1565">
        <v>37924999</v>
      </c>
      <c r="F1565" t="s">
        <v>1384</v>
      </c>
      <c r="G1565" t="str">
        <f t="shared" si="48"/>
        <v>MGI II</v>
      </c>
      <c r="H1565" t="s">
        <v>851</v>
      </c>
      <c r="I1565" t="s">
        <v>20</v>
      </c>
      <c r="J1565" t="s">
        <v>64</v>
      </c>
      <c r="K1565" s="6">
        <v>0.03</v>
      </c>
      <c r="L1565" s="7">
        <f t="shared" si="49"/>
        <v>2E-3</v>
      </c>
      <c r="M1565" s="7">
        <v>3.0000000000000001E-3</v>
      </c>
      <c r="N1565">
        <v>8</v>
      </c>
      <c r="O1565" s="8">
        <v>17.822306426995311</v>
      </c>
      <c r="P1565" s="9">
        <v>17.822306426995311</v>
      </c>
      <c r="Q1565" s="9">
        <v>17.822306426995311</v>
      </c>
      <c r="R1565" s="9">
        <v>18.237663306594719</v>
      </c>
      <c r="S1565" s="9">
        <v>18.48712920931133</v>
      </c>
      <c r="T1565" s="9">
        <v>19.201553596969877</v>
      </c>
      <c r="U1565" s="9">
        <v>20.562345482855957</v>
      </c>
      <c r="V1565" s="9">
        <v>20.562345482855957</v>
      </c>
      <c r="W1565" s="9">
        <v>20.562345482855957</v>
      </c>
      <c r="X1565" s="9">
        <v>22.391977691000818</v>
      </c>
      <c r="Y1565" s="9">
        <v>22.391977691000818</v>
      </c>
      <c r="Z1565" s="9">
        <v>24.28858708803979</v>
      </c>
      <c r="AA1565" s="9">
        <v>24.28858708803979</v>
      </c>
      <c r="AB1565" s="9">
        <v>25.117335532005217</v>
      </c>
      <c r="AC1565" s="9">
        <v>25.117335532005217</v>
      </c>
      <c r="AD1565" s="9">
        <v>29.039116491286865</v>
      </c>
      <c r="AE1565" s="9">
        <v>31.219251037281825</v>
      </c>
      <c r="AF1565" s="9">
        <v>33.487682081707895</v>
      </c>
      <c r="AG1565" s="9">
        <v>33.487682081707895</v>
      </c>
      <c r="AH1565" s="9">
        <v>36.427668170967245</v>
      </c>
      <c r="AI1565" s="9">
        <v>38.74455996597662</v>
      </c>
      <c r="AJ1565" s="9">
        <v>3.0428788910505911</v>
      </c>
    </row>
    <row r="1566" spans="1:36" x14ac:dyDescent="0.25">
      <c r="A1566" t="s">
        <v>5411</v>
      </c>
      <c r="B1566" t="s">
        <v>16</v>
      </c>
      <c r="C1566" t="s">
        <v>17</v>
      </c>
      <c r="D1566">
        <v>37925000</v>
      </c>
      <c r="E1566">
        <v>37925999</v>
      </c>
      <c r="F1566" t="s">
        <v>1385</v>
      </c>
      <c r="G1566" t="str">
        <f t="shared" si="48"/>
        <v>MGI II</v>
      </c>
      <c r="H1566" t="s">
        <v>851</v>
      </c>
      <c r="I1566" t="s">
        <v>20</v>
      </c>
      <c r="J1566" t="s">
        <v>64</v>
      </c>
      <c r="K1566" s="6">
        <v>0.03</v>
      </c>
      <c r="L1566" s="7">
        <f t="shared" si="49"/>
        <v>2E-3</v>
      </c>
      <c r="M1566" s="7">
        <v>3.0000000000000001E-3</v>
      </c>
      <c r="N1566">
        <v>8</v>
      </c>
      <c r="O1566" s="8">
        <v>17.822306426995311</v>
      </c>
      <c r="P1566" s="9">
        <v>17.822306426995311</v>
      </c>
      <c r="Q1566" s="9">
        <v>17.822306426995311</v>
      </c>
      <c r="R1566" s="9">
        <v>18.237663306594719</v>
      </c>
      <c r="S1566" s="9">
        <v>18.48712920931133</v>
      </c>
      <c r="T1566" s="9">
        <v>19.201553596969877</v>
      </c>
      <c r="U1566" s="9">
        <v>20.562345482855957</v>
      </c>
      <c r="V1566" s="9">
        <v>20.562345482855957</v>
      </c>
      <c r="W1566" s="9">
        <v>20.562345482855957</v>
      </c>
      <c r="X1566" s="9">
        <v>22.391977691000818</v>
      </c>
      <c r="Y1566" s="9">
        <v>22.391977691000818</v>
      </c>
      <c r="Z1566" s="9">
        <v>24.28858708803979</v>
      </c>
      <c r="AA1566" s="9">
        <v>24.28858708803979</v>
      </c>
      <c r="AB1566" s="9">
        <v>25.117335532005217</v>
      </c>
      <c r="AC1566" s="9">
        <v>25.117335532005217</v>
      </c>
      <c r="AD1566" s="9">
        <v>29.039116491286865</v>
      </c>
      <c r="AE1566" s="9">
        <v>31.219251037281825</v>
      </c>
      <c r="AF1566" s="9">
        <v>33.487682081707895</v>
      </c>
      <c r="AG1566" s="9">
        <v>33.487682081707895</v>
      </c>
      <c r="AH1566" s="9">
        <v>36.427668170967245</v>
      </c>
      <c r="AI1566" s="9">
        <v>38.74455996597662</v>
      </c>
      <c r="AJ1566" s="9">
        <v>3.0428788910505911</v>
      </c>
    </row>
    <row r="1567" spans="1:36" x14ac:dyDescent="0.25">
      <c r="A1567" t="s">
        <v>5411</v>
      </c>
      <c r="B1567" t="s">
        <v>16</v>
      </c>
      <c r="C1567" t="s">
        <v>17</v>
      </c>
      <c r="D1567">
        <v>37926000</v>
      </c>
      <c r="E1567">
        <v>37926999</v>
      </c>
      <c r="F1567" t="s">
        <v>1386</v>
      </c>
      <c r="G1567" t="str">
        <f t="shared" si="48"/>
        <v>MGI II</v>
      </c>
      <c r="H1567" t="s">
        <v>851</v>
      </c>
      <c r="I1567" t="s">
        <v>20</v>
      </c>
      <c r="J1567" t="s">
        <v>64</v>
      </c>
      <c r="K1567" s="6">
        <v>0.03</v>
      </c>
      <c r="L1567" s="7">
        <f t="shared" si="49"/>
        <v>2E-3</v>
      </c>
      <c r="M1567" s="7">
        <v>3.0000000000000001E-3</v>
      </c>
      <c r="N1567">
        <v>8</v>
      </c>
      <c r="O1567" s="8">
        <v>17.822306426995311</v>
      </c>
      <c r="P1567" s="9">
        <v>17.822306426995311</v>
      </c>
      <c r="Q1567" s="9">
        <v>17.822306426995311</v>
      </c>
      <c r="R1567" s="9">
        <v>18.237663306594719</v>
      </c>
      <c r="S1567" s="9">
        <v>18.48712920931133</v>
      </c>
      <c r="T1567" s="9">
        <v>19.201553596969877</v>
      </c>
      <c r="U1567" s="9">
        <v>20.562345482855957</v>
      </c>
      <c r="V1567" s="9">
        <v>20.562345482855957</v>
      </c>
      <c r="W1567" s="9">
        <v>20.562345482855957</v>
      </c>
      <c r="X1567" s="9">
        <v>22.391977691000818</v>
      </c>
      <c r="Y1567" s="9">
        <v>22.391977691000818</v>
      </c>
      <c r="Z1567" s="9">
        <v>24.28858708803979</v>
      </c>
      <c r="AA1567" s="9">
        <v>24.28858708803979</v>
      </c>
      <c r="AB1567" s="9">
        <v>25.117335532005217</v>
      </c>
      <c r="AC1567" s="9">
        <v>25.117335532005217</v>
      </c>
      <c r="AD1567" s="9">
        <v>29.039116491286865</v>
      </c>
      <c r="AE1567" s="9">
        <v>31.219251037281825</v>
      </c>
      <c r="AF1567" s="9">
        <v>33.487682081707895</v>
      </c>
      <c r="AG1567" s="9">
        <v>33.487682081707895</v>
      </c>
      <c r="AH1567" s="9">
        <v>36.427668170967245</v>
      </c>
      <c r="AI1567" s="9">
        <v>38.74455996597662</v>
      </c>
      <c r="AJ1567" s="9">
        <v>3.0428788910505911</v>
      </c>
    </row>
    <row r="1568" spans="1:36" x14ac:dyDescent="0.25">
      <c r="A1568" t="s">
        <v>5411</v>
      </c>
      <c r="B1568" t="s">
        <v>16</v>
      </c>
      <c r="C1568" t="s">
        <v>17</v>
      </c>
      <c r="D1568">
        <v>37927000</v>
      </c>
      <c r="E1568">
        <v>37929999</v>
      </c>
      <c r="F1568" t="s">
        <v>1387</v>
      </c>
      <c r="G1568" t="str">
        <f t="shared" si="48"/>
        <v>MGI II</v>
      </c>
      <c r="H1568" t="s">
        <v>851</v>
      </c>
      <c r="I1568" t="s">
        <v>20</v>
      </c>
      <c r="J1568" t="s">
        <v>64</v>
      </c>
      <c r="K1568" s="6">
        <v>0.03</v>
      </c>
      <c r="L1568" s="7">
        <f t="shared" si="49"/>
        <v>2E-3</v>
      </c>
      <c r="M1568" s="7">
        <v>3.0000000000000001E-3</v>
      </c>
      <c r="N1568">
        <v>7</v>
      </c>
      <c r="O1568" s="8">
        <v>17.822306426995311</v>
      </c>
      <c r="P1568" s="9">
        <v>17.822306426995311</v>
      </c>
      <c r="Q1568" s="9">
        <v>17.822306426995311</v>
      </c>
      <c r="R1568" s="9">
        <v>18.237663306594719</v>
      </c>
      <c r="S1568" s="9">
        <v>18.48712920931133</v>
      </c>
      <c r="T1568" s="9">
        <v>19.201553596969877</v>
      </c>
      <c r="U1568" s="9">
        <v>20.562345482855957</v>
      </c>
      <c r="V1568" s="9">
        <v>20.562345482855957</v>
      </c>
      <c r="W1568" s="9">
        <v>20.562345482855957</v>
      </c>
      <c r="X1568" s="9">
        <v>22.391977691000818</v>
      </c>
      <c r="Y1568" s="9">
        <v>22.391977691000818</v>
      </c>
      <c r="Z1568" s="9">
        <v>24.28858708803979</v>
      </c>
      <c r="AA1568" s="9">
        <v>24.28858708803979</v>
      </c>
      <c r="AB1568" s="9">
        <v>25.117335532005217</v>
      </c>
      <c r="AC1568" s="9">
        <v>25.117335532005217</v>
      </c>
      <c r="AD1568" s="9">
        <v>29.039116491286865</v>
      </c>
      <c r="AE1568" s="9">
        <v>31.219251037281825</v>
      </c>
      <c r="AF1568" s="9">
        <v>33.487682081707895</v>
      </c>
      <c r="AG1568" s="9">
        <v>33.487682081707895</v>
      </c>
      <c r="AH1568" s="9">
        <v>36.427668170967245</v>
      </c>
      <c r="AI1568" s="9">
        <v>38.74455996597662</v>
      </c>
      <c r="AJ1568" s="9">
        <v>3.0428788910505911</v>
      </c>
    </row>
    <row r="1569" spans="1:36" x14ac:dyDescent="0.25">
      <c r="A1569" t="s">
        <v>5411</v>
      </c>
      <c r="B1569" t="s">
        <v>16</v>
      </c>
      <c r="C1569" t="s">
        <v>17</v>
      </c>
      <c r="D1569">
        <v>37930000</v>
      </c>
      <c r="E1569">
        <v>37939999</v>
      </c>
      <c r="F1569" t="s">
        <v>1388</v>
      </c>
      <c r="G1569" t="str">
        <f t="shared" si="48"/>
        <v>MGI II</v>
      </c>
      <c r="H1569" t="s">
        <v>851</v>
      </c>
      <c r="I1569" t="s">
        <v>20</v>
      </c>
      <c r="J1569" t="s">
        <v>64</v>
      </c>
      <c r="K1569" s="6">
        <v>0.03</v>
      </c>
      <c r="L1569" s="7">
        <f t="shared" si="49"/>
        <v>2E-3</v>
      </c>
      <c r="M1569" s="7">
        <v>3.0000000000000001E-3</v>
      </c>
      <c r="N1569">
        <v>8</v>
      </c>
      <c r="O1569" s="8">
        <v>17.822306426995311</v>
      </c>
      <c r="P1569" s="9">
        <v>17.822306426995311</v>
      </c>
      <c r="Q1569" s="9">
        <v>17.822306426995311</v>
      </c>
      <c r="R1569" s="9">
        <v>18.237663306594719</v>
      </c>
      <c r="S1569" s="9">
        <v>18.48712920931133</v>
      </c>
      <c r="T1569" s="9">
        <v>19.201553596969877</v>
      </c>
      <c r="U1569" s="9">
        <v>20.562345482855957</v>
      </c>
      <c r="V1569" s="9">
        <v>20.562345482855957</v>
      </c>
      <c r="W1569" s="9">
        <v>20.562345482855957</v>
      </c>
      <c r="X1569" s="9">
        <v>22.391977691000818</v>
      </c>
      <c r="Y1569" s="9">
        <v>22.391977691000818</v>
      </c>
      <c r="Z1569" s="9">
        <v>24.28858708803979</v>
      </c>
      <c r="AA1569" s="9">
        <v>24.28858708803979</v>
      </c>
      <c r="AB1569" s="9">
        <v>25.117335532005217</v>
      </c>
      <c r="AC1569" s="9">
        <v>25.117335532005217</v>
      </c>
      <c r="AD1569" s="9">
        <v>29.039116491286865</v>
      </c>
      <c r="AE1569" s="9">
        <v>31.219251037281825</v>
      </c>
      <c r="AF1569" s="9">
        <v>33.487682081707895</v>
      </c>
      <c r="AG1569" s="9">
        <v>33.487682081707895</v>
      </c>
      <c r="AH1569" s="9">
        <v>36.427668170967245</v>
      </c>
      <c r="AI1569" s="9">
        <v>38.74455996597662</v>
      </c>
      <c r="AJ1569" s="9">
        <v>3.0428788910505911</v>
      </c>
    </row>
    <row r="1570" spans="1:36" x14ac:dyDescent="0.25">
      <c r="A1570" t="s">
        <v>5411</v>
      </c>
      <c r="B1570" t="s">
        <v>16</v>
      </c>
      <c r="C1570" t="s">
        <v>17</v>
      </c>
      <c r="D1570">
        <v>37940000</v>
      </c>
      <c r="E1570">
        <v>37944999</v>
      </c>
      <c r="F1570" t="s">
        <v>1389</v>
      </c>
      <c r="G1570" t="str">
        <f t="shared" si="48"/>
        <v>MGI</v>
      </c>
      <c r="H1570" t="s">
        <v>851</v>
      </c>
      <c r="I1570" t="s">
        <v>20</v>
      </c>
      <c r="J1570" t="s">
        <v>62</v>
      </c>
      <c r="K1570" s="6">
        <v>0.03</v>
      </c>
      <c r="L1570" s="7">
        <f t="shared" si="49"/>
        <v>2E-3</v>
      </c>
      <c r="M1570" s="7">
        <v>3.0000000000000001E-3</v>
      </c>
      <c r="N1570">
        <v>8</v>
      </c>
      <c r="O1570" s="8">
        <v>13.880385281502075</v>
      </c>
      <c r="P1570" s="9">
        <v>13.880385281502075</v>
      </c>
      <c r="Q1570" s="9">
        <v>13.880385281502075</v>
      </c>
      <c r="R1570" s="9">
        <v>14.045989937445718</v>
      </c>
      <c r="S1570" s="9">
        <v>14.060876315369912</v>
      </c>
      <c r="T1570" s="9">
        <v>15.090338571208333</v>
      </c>
      <c r="U1570" s="9">
        <v>16.025407313902726</v>
      </c>
      <c r="V1570" s="9">
        <v>16.025407313902726</v>
      </c>
      <c r="W1570" s="9">
        <v>16.025407313902726</v>
      </c>
      <c r="X1570" s="9">
        <v>18.013895748167766</v>
      </c>
      <c r="Y1570" s="9">
        <v>18.013895748167766</v>
      </c>
      <c r="Z1570" s="9">
        <v>20.142868501532355</v>
      </c>
      <c r="AA1570" s="9">
        <v>20.142868501532355</v>
      </c>
      <c r="AB1570" s="9">
        <v>22.456349831314476</v>
      </c>
      <c r="AC1570" s="9">
        <v>22.456349831314476</v>
      </c>
      <c r="AD1570" s="9">
        <v>24.87984091164185</v>
      </c>
      <c r="AE1570" s="9">
        <v>27.427492221952345</v>
      </c>
      <c r="AF1570" s="9">
        <v>33.194804868730657</v>
      </c>
      <c r="AG1570" s="9">
        <v>33.194804868730657</v>
      </c>
      <c r="AH1570" s="9">
        <v>35.957808835828068</v>
      </c>
      <c r="AI1570" s="9">
        <v>38.646304092692077</v>
      </c>
      <c r="AJ1570" s="9">
        <v>3.0428788910505911</v>
      </c>
    </row>
    <row r="1571" spans="1:36" x14ac:dyDescent="0.25">
      <c r="A1571" t="s">
        <v>5411</v>
      </c>
      <c r="B1571" t="s">
        <v>16</v>
      </c>
      <c r="C1571" t="s">
        <v>17</v>
      </c>
      <c r="D1571">
        <v>37945000</v>
      </c>
      <c r="E1571">
        <v>37947999</v>
      </c>
      <c r="F1571" t="s">
        <v>1390</v>
      </c>
      <c r="G1571" t="str">
        <f t="shared" si="48"/>
        <v>MGI II</v>
      </c>
      <c r="H1571" t="s">
        <v>851</v>
      </c>
      <c r="I1571" t="s">
        <v>20</v>
      </c>
      <c r="J1571" t="s">
        <v>64</v>
      </c>
      <c r="K1571" s="6">
        <v>0.03</v>
      </c>
      <c r="L1571" s="7">
        <f t="shared" si="49"/>
        <v>2E-3</v>
      </c>
      <c r="M1571" s="7">
        <v>3.0000000000000001E-3</v>
      </c>
      <c r="N1571">
        <v>7</v>
      </c>
      <c r="O1571" s="8">
        <v>17.822306426995311</v>
      </c>
      <c r="P1571" s="9">
        <v>17.822306426995311</v>
      </c>
      <c r="Q1571" s="9">
        <v>17.822306426995311</v>
      </c>
      <c r="R1571" s="9">
        <v>18.237663306594719</v>
      </c>
      <c r="S1571" s="9">
        <v>18.48712920931133</v>
      </c>
      <c r="T1571" s="9">
        <v>19.201553596969877</v>
      </c>
      <c r="U1571" s="9">
        <v>20.562345482855957</v>
      </c>
      <c r="V1571" s="9">
        <v>20.562345482855957</v>
      </c>
      <c r="W1571" s="9">
        <v>20.562345482855957</v>
      </c>
      <c r="X1571" s="9">
        <v>22.391977691000818</v>
      </c>
      <c r="Y1571" s="9">
        <v>22.391977691000818</v>
      </c>
      <c r="Z1571" s="9">
        <v>24.28858708803979</v>
      </c>
      <c r="AA1571" s="9">
        <v>24.28858708803979</v>
      </c>
      <c r="AB1571" s="9">
        <v>25.117335532005217</v>
      </c>
      <c r="AC1571" s="9">
        <v>25.117335532005217</v>
      </c>
      <c r="AD1571" s="9">
        <v>29.039116491286865</v>
      </c>
      <c r="AE1571" s="9">
        <v>31.219251037281825</v>
      </c>
      <c r="AF1571" s="9">
        <v>33.487682081707895</v>
      </c>
      <c r="AG1571" s="9">
        <v>33.487682081707895</v>
      </c>
      <c r="AH1571" s="9">
        <v>36.427668170967245</v>
      </c>
      <c r="AI1571" s="9">
        <v>38.74455996597662</v>
      </c>
      <c r="AJ1571" s="9">
        <v>3.0428788910505911</v>
      </c>
    </row>
    <row r="1572" spans="1:36" x14ac:dyDescent="0.25">
      <c r="A1572" t="s">
        <v>5411</v>
      </c>
      <c r="B1572" t="s">
        <v>16</v>
      </c>
      <c r="C1572" t="s">
        <v>17</v>
      </c>
      <c r="D1572">
        <v>37948000</v>
      </c>
      <c r="E1572">
        <v>37949999</v>
      </c>
      <c r="F1572" t="s">
        <v>1391</v>
      </c>
      <c r="G1572" t="str">
        <f t="shared" si="48"/>
        <v>MGI</v>
      </c>
      <c r="H1572" t="s">
        <v>851</v>
      </c>
      <c r="I1572" t="s">
        <v>20</v>
      </c>
      <c r="J1572" t="s">
        <v>62</v>
      </c>
      <c r="K1572" s="6">
        <v>0.03</v>
      </c>
      <c r="L1572" s="7">
        <f t="shared" si="49"/>
        <v>2E-3</v>
      </c>
      <c r="M1572" s="7">
        <v>3.0000000000000001E-3</v>
      </c>
      <c r="N1572">
        <v>8</v>
      </c>
      <c r="O1572" s="8">
        <v>13.880385281502075</v>
      </c>
      <c r="P1572" s="9">
        <v>13.880385281502075</v>
      </c>
      <c r="Q1572" s="9">
        <v>13.880385281502075</v>
      </c>
      <c r="R1572" s="9">
        <v>14.045989937445718</v>
      </c>
      <c r="S1572" s="9">
        <v>14.060876315369912</v>
      </c>
      <c r="T1572" s="9">
        <v>15.090338571208333</v>
      </c>
      <c r="U1572" s="9">
        <v>16.025407313902726</v>
      </c>
      <c r="V1572" s="9">
        <v>16.025407313902726</v>
      </c>
      <c r="W1572" s="9">
        <v>16.025407313902726</v>
      </c>
      <c r="X1572" s="9">
        <v>18.013895748167766</v>
      </c>
      <c r="Y1572" s="9">
        <v>18.013895748167766</v>
      </c>
      <c r="Z1572" s="9">
        <v>20.142868501532355</v>
      </c>
      <c r="AA1572" s="9">
        <v>20.142868501532355</v>
      </c>
      <c r="AB1572" s="9">
        <v>22.456349831314476</v>
      </c>
      <c r="AC1572" s="9">
        <v>22.456349831314476</v>
      </c>
      <c r="AD1572" s="9">
        <v>24.87984091164185</v>
      </c>
      <c r="AE1572" s="9">
        <v>27.427492221952345</v>
      </c>
      <c r="AF1572" s="9">
        <v>33.194804868730657</v>
      </c>
      <c r="AG1572" s="9">
        <v>33.194804868730657</v>
      </c>
      <c r="AH1572" s="9">
        <v>35.957808835828068</v>
      </c>
      <c r="AI1572" s="9">
        <v>38.646304092692077</v>
      </c>
      <c r="AJ1572" s="9">
        <v>3.0428788910505911</v>
      </c>
    </row>
    <row r="1573" spans="1:36" x14ac:dyDescent="0.25">
      <c r="A1573" t="s">
        <v>5411</v>
      </c>
      <c r="B1573" t="s">
        <v>16</v>
      </c>
      <c r="C1573" t="s">
        <v>17</v>
      </c>
      <c r="D1573">
        <v>37950000</v>
      </c>
      <c r="E1573">
        <v>37959999</v>
      </c>
      <c r="F1573" t="s">
        <v>1392</v>
      </c>
      <c r="G1573" t="str">
        <f t="shared" si="48"/>
        <v>MGI</v>
      </c>
      <c r="H1573" t="s">
        <v>851</v>
      </c>
      <c r="I1573" t="s">
        <v>20</v>
      </c>
      <c r="J1573" t="s">
        <v>62</v>
      </c>
      <c r="K1573" s="6">
        <v>0.03</v>
      </c>
      <c r="L1573" s="7">
        <f t="shared" si="49"/>
        <v>2E-3</v>
      </c>
      <c r="M1573" s="7">
        <v>3.0000000000000001E-3</v>
      </c>
      <c r="N1573">
        <v>7</v>
      </c>
      <c r="O1573" s="8">
        <v>13.880385281502075</v>
      </c>
      <c r="P1573" s="9">
        <v>13.880385281502075</v>
      </c>
      <c r="Q1573" s="9">
        <v>13.880385281502075</v>
      </c>
      <c r="R1573" s="9">
        <v>14.045989937445718</v>
      </c>
      <c r="S1573" s="9">
        <v>14.060876315369912</v>
      </c>
      <c r="T1573" s="9">
        <v>15.090338571208333</v>
      </c>
      <c r="U1573" s="9">
        <v>16.025407313902726</v>
      </c>
      <c r="V1573" s="9">
        <v>16.025407313902726</v>
      </c>
      <c r="W1573" s="9">
        <v>16.025407313902726</v>
      </c>
      <c r="X1573" s="9">
        <v>18.013895748167766</v>
      </c>
      <c r="Y1573" s="9">
        <v>18.013895748167766</v>
      </c>
      <c r="Z1573" s="9">
        <v>20.142868501532355</v>
      </c>
      <c r="AA1573" s="9">
        <v>20.142868501532355</v>
      </c>
      <c r="AB1573" s="9">
        <v>22.456349831314476</v>
      </c>
      <c r="AC1573" s="9">
        <v>22.456349831314476</v>
      </c>
      <c r="AD1573" s="9">
        <v>24.87984091164185</v>
      </c>
      <c r="AE1573" s="9">
        <v>27.427492221952345</v>
      </c>
      <c r="AF1573" s="9">
        <v>33.194804868730657</v>
      </c>
      <c r="AG1573" s="9">
        <v>33.194804868730657</v>
      </c>
      <c r="AH1573" s="9">
        <v>35.957808835828068</v>
      </c>
      <c r="AI1573" s="9">
        <v>38.646304092692077</v>
      </c>
      <c r="AJ1573" s="9">
        <v>3.0428788910505911</v>
      </c>
    </row>
    <row r="1574" spans="1:36" x14ac:dyDescent="0.25">
      <c r="A1574" t="s">
        <v>5411</v>
      </c>
      <c r="B1574" t="s">
        <v>16</v>
      </c>
      <c r="C1574" t="s">
        <v>17</v>
      </c>
      <c r="D1574">
        <v>37960000</v>
      </c>
      <c r="E1574">
        <v>37964999</v>
      </c>
      <c r="F1574" t="s">
        <v>1393</v>
      </c>
      <c r="G1574" t="str">
        <f t="shared" si="48"/>
        <v>MGI II</v>
      </c>
      <c r="H1574" t="s">
        <v>851</v>
      </c>
      <c r="I1574" t="s">
        <v>20</v>
      </c>
      <c r="J1574" t="s">
        <v>64</v>
      </c>
      <c r="K1574" s="6">
        <v>0.03</v>
      </c>
      <c r="L1574" s="7">
        <f t="shared" si="49"/>
        <v>2E-3</v>
      </c>
      <c r="M1574" s="7">
        <v>3.0000000000000001E-3</v>
      </c>
      <c r="N1574">
        <v>7</v>
      </c>
      <c r="O1574" s="8">
        <v>17.822306426995311</v>
      </c>
      <c r="P1574" s="9">
        <v>17.822306426995311</v>
      </c>
      <c r="Q1574" s="9">
        <v>17.822306426995311</v>
      </c>
      <c r="R1574" s="9">
        <v>18.237663306594719</v>
      </c>
      <c r="S1574" s="9">
        <v>18.48712920931133</v>
      </c>
      <c r="T1574" s="9">
        <v>19.201553596969877</v>
      </c>
      <c r="U1574" s="9">
        <v>20.562345482855957</v>
      </c>
      <c r="V1574" s="9">
        <v>20.562345482855957</v>
      </c>
      <c r="W1574" s="9">
        <v>20.562345482855957</v>
      </c>
      <c r="X1574" s="9">
        <v>22.391977691000818</v>
      </c>
      <c r="Y1574" s="9">
        <v>22.391977691000818</v>
      </c>
      <c r="Z1574" s="9">
        <v>24.28858708803979</v>
      </c>
      <c r="AA1574" s="9">
        <v>24.28858708803979</v>
      </c>
      <c r="AB1574" s="9">
        <v>25.117335532005217</v>
      </c>
      <c r="AC1574" s="9">
        <v>25.117335532005217</v>
      </c>
      <c r="AD1574" s="9">
        <v>29.039116491286865</v>
      </c>
      <c r="AE1574" s="9">
        <v>31.219251037281825</v>
      </c>
      <c r="AF1574" s="9">
        <v>33.487682081707895</v>
      </c>
      <c r="AG1574" s="9">
        <v>33.487682081707895</v>
      </c>
      <c r="AH1574" s="9">
        <v>36.427668170967245</v>
      </c>
      <c r="AI1574" s="9">
        <v>38.74455996597662</v>
      </c>
      <c r="AJ1574" s="9">
        <v>3.0428788910505911</v>
      </c>
    </row>
    <row r="1575" spans="1:36" x14ac:dyDescent="0.25">
      <c r="A1575" t="s">
        <v>5411</v>
      </c>
      <c r="B1575" t="s">
        <v>16</v>
      </c>
      <c r="C1575" t="s">
        <v>17</v>
      </c>
      <c r="D1575">
        <v>37965000</v>
      </c>
      <c r="E1575">
        <v>37967999</v>
      </c>
      <c r="F1575" t="s">
        <v>1394</v>
      </c>
      <c r="G1575" t="str">
        <f t="shared" si="48"/>
        <v>MGI</v>
      </c>
      <c r="H1575" t="s">
        <v>851</v>
      </c>
      <c r="I1575" t="s">
        <v>20</v>
      </c>
      <c r="J1575" t="s">
        <v>62</v>
      </c>
      <c r="K1575" s="6">
        <v>0.03</v>
      </c>
      <c r="L1575" s="7">
        <f t="shared" si="49"/>
        <v>2E-3</v>
      </c>
      <c r="M1575" s="7">
        <v>3.0000000000000001E-3</v>
      </c>
      <c r="N1575">
        <v>7</v>
      </c>
      <c r="O1575" s="8">
        <v>13.880385281502075</v>
      </c>
      <c r="P1575" s="9">
        <v>13.880385281502075</v>
      </c>
      <c r="Q1575" s="9">
        <v>13.880385281502075</v>
      </c>
      <c r="R1575" s="9">
        <v>14.045989937445718</v>
      </c>
      <c r="S1575" s="9">
        <v>14.060876315369912</v>
      </c>
      <c r="T1575" s="9">
        <v>15.090338571208333</v>
      </c>
      <c r="U1575" s="9">
        <v>16.025407313902726</v>
      </c>
      <c r="V1575" s="9">
        <v>16.025407313902726</v>
      </c>
      <c r="W1575" s="9">
        <v>16.025407313902726</v>
      </c>
      <c r="X1575" s="9">
        <v>18.013895748167766</v>
      </c>
      <c r="Y1575" s="9">
        <v>18.013895748167766</v>
      </c>
      <c r="Z1575" s="9">
        <v>20.142868501532355</v>
      </c>
      <c r="AA1575" s="9">
        <v>20.142868501532355</v>
      </c>
      <c r="AB1575" s="9">
        <v>22.456349831314476</v>
      </c>
      <c r="AC1575" s="9">
        <v>22.456349831314476</v>
      </c>
      <c r="AD1575" s="9">
        <v>24.87984091164185</v>
      </c>
      <c r="AE1575" s="9">
        <v>27.427492221952345</v>
      </c>
      <c r="AF1575" s="9">
        <v>33.194804868730657</v>
      </c>
      <c r="AG1575" s="9">
        <v>33.194804868730657</v>
      </c>
      <c r="AH1575" s="9">
        <v>35.957808835828068</v>
      </c>
      <c r="AI1575" s="9">
        <v>38.646304092692077</v>
      </c>
      <c r="AJ1575" s="9">
        <v>3.0428788910505911</v>
      </c>
    </row>
    <row r="1576" spans="1:36" x14ac:dyDescent="0.25">
      <c r="A1576" t="s">
        <v>5411</v>
      </c>
      <c r="B1576" t="s">
        <v>16</v>
      </c>
      <c r="C1576" t="s">
        <v>17</v>
      </c>
      <c r="D1576">
        <v>37968000</v>
      </c>
      <c r="E1576">
        <v>37969999</v>
      </c>
      <c r="F1576" t="s">
        <v>1395</v>
      </c>
      <c r="G1576" t="str">
        <f t="shared" si="48"/>
        <v>MGI</v>
      </c>
      <c r="H1576" t="s">
        <v>851</v>
      </c>
      <c r="I1576" t="s">
        <v>20</v>
      </c>
      <c r="J1576" t="s">
        <v>62</v>
      </c>
      <c r="K1576" s="6">
        <v>0.03</v>
      </c>
      <c r="L1576" s="7">
        <f t="shared" si="49"/>
        <v>2E-3</v>
      </c>
      <c r="M1576" s="7">
        <v>3.0000000000000001E-3</v>
      </c>
      <c r="N1576">
        <v>7</v>
      </c>
      <c r="O1576" s="8">
        <v>13.880385281502075</v>
      </c>
      <c r="P1576" s="9">
        <v>13.880385281502075</v>
      </c>
      <c r="Q1576" s="9">
        <v>13.880385281502075</v>
      </c>
      <c r="R1576" s="9">
        <v>14.045989937445718</v>
      </c>
      <c r="S1576" s="9">
        <v>14.060876315369912</v>
      </c>
      <c r="T1576" s="9">
        <v>15.090338571208333</v>
      </c>
      <c r="U1576" s="9">
        <v>16.025407313902726</v>
      </c>
      <c r="V1576" s="9">
        <v>16.025407313902726</v>
      </c>
      <c r="W1576" s="9">
        <v>16.025407313902726</v>
      </c>
      <c r="X1576" s="9">
        <v>18.013895748167766</v>
      </c>
      <c r="Y1576" s="9">
        <v>18.013895748167766</v>
      </c>
      <c r="Z1576" s="9">
        <v>20.142868501532355</v>
      </c>
      <c r="AA1576" s="9">
        <v>20.142868501532355</v>
      </c>
      <c r="AB1576" s="9">
        <v>22.456349831314476</v>
      </c>
      <c r="AC1576" s="9">
        <v>22.456349831314476</v>
      </c>
      <c r="AD1576" s="9">
        <v>24.87984091164185</v>
      </c>
      <c r="AE1576" s="9">
        <v>27.427492221952345</v>
      </c>
      <c r="AF1576" s="9">
        <v>33.194804868730657</v>
      </c>
      <c r="AG1576" s="9">
        <v>33.194804868730657</v>
      </c>
      <c r="AH1576" s="9">
        <v>35.957808835828068</v>
      </c>
      <c r="AI1576" s="9">
        <v>38.646304092692077</v>
      </c>
      <c r="AJ1576" s="9">
        <v>3.0428788910505911</v>
      </c>
    </row>
    <row r="1577" spans="1:36" x14ac:dyDescent="0.25">
      <c r="A1577" t="s">
        <v>5411</v>
      </c>
      <c r="B1577" t="s">
        <v>16</v>
      </c>
      <c r="C1577" t="s">
        <v>17</v>
      </c>
      <c r="D1577">
        <v>37970000</v>
      </c>
      <c r="E1577">
        <v>37972999</v>
      </c>
      <c r="F1577" t="s">
        <v>1396</v>
      </c>
      <c r="G1577" t="str">
        <f t="shared" si="48"/>
        <v>MGI</v>
      </c>
      <c r="H1577" t="s">
        <v>851</v>
      </c>
      <c r="I1577" t="s">
        <v>20</v>
      </c>
      <c r="J1577" t="s">
        <v>62</v>
      </c>
      <c r="K1577" s="6">
        <v>0.03</v>
      </c>
      <c r="L1577" s="7">
        <f t="shared" si="49"/>
        <v>2E-3</v>
      </c>
      <c r="M1577" s="7">
        <v>3.0000000000000001E-3</v>
      </c>
      <c r="N1577">
        <v>8</v>
      </c>
      <c r="O1577" s="8">
        <v>13.880385281502075</v>
      </c>
      <c r="P1577" s="9">
        <v>13.880385281502075</v>
      </c>
      <c r="Q1577" s="9">
        <v>13.880385281502075</v>
      </c>
      <c r="R1577" s="9">
        <v>14.045989937445718</v>
      </c>
      <c r="S1577" s="9">
        <v>14.060876315369912</v>
      </c>
      <c r="T1577" s="9">
        <v>15.090338571208333</v>
      </c>
      <c r="U1577" s="9">
        <v>16.025407313902726</v>
      </c>
      <c r="V1577" s="9">
        <v>16.025407313902726</v>
      </c>
      <c r="W1577" s="9">
        <v>16.025407313902726</v>
      </c>
      <c r="X1577" s="9">
        <v>18.013895748167766</v>
      </c>
      <c r="Y1577" s="9">
        <v>18.013895748167766</v>
      </c>
      <c r="Z1577" s="9">
        <v>20.142868501532355</v>
      </c>
      <c r="AA1577" s="9">
        <v>20.142868501532355</v>
      </c>
      <c r="AB1577" s="9">
        <v>22.456349831314476</v>
      </c>
      <c r="AC1577" s="9">
        <v>22.456349831314476</v>
      </c>
      <c r="AD1577" s="9">
        <v>24.87984091164185</v>
      </c>
      <c r="AE1577" s="9">
        <v>27.427492221952345</v>
      </c>
      <c r="AF1577" s="9">
        <v>33.194804868730657</v>
      </c>
      <c r="AG1577" s="9">
        <v>33.194804868730657</v>
      </c>
      <c r="AH1577" s="9">
        <v>35.957808835828068</v>
      </c>
      <c r="AI1577" s="9">
        <v>38.646304092692077</v>
      </c>
      <c r="AJ1577" s="9">
        <v>3.0428788910505911</v>
      </c>
    </row>
    <row r="1578" spans="1:36" x14ac:dyDescent="0.25">
      <c r="A1578" t="s">
        <v>5411</v>
      </c>
      <c r="B1578" t="s">
        <v>16</v>
      </c>
      <c r="C1578" t="s">
        <v>17</v>
      </c>
      <c r="D1578">
        <v>37973000</v>
      </c>
      <c r="E1578">
        <v>37974999</v>
      </c>
      <c r="F1578" t="s">
        <v>1397</v>
      </c>
      <c r="G1578" t="str">
        <f t="shared" si="48"/>
        <v>MGI II</v>
      </c>
      <c r="H1578" t="s">
        <v>851</v>
      </c>
      <c r="I1578" t="s">
        <v>20</v>
      </c>
      <c r="J1578" t="s">
        <v>64</v>
      </c>
      <c r="K1578" s="6">
        <v>0.03</v>
      </c>
      <c r="L1578" s="7">
        <f t="shared" si="49"/>
        <v>2E-3</v>
      </c>
      <c r="M1578" s="7">
        <v>3.0000000000000001E-3</v>
      </c>
      <c r="N1578">
        <v>8</v>
      </c>
      <c r="O1578" s="8">
        <v>17.822306426995311</v>
      </c>
      <c r="P1578" s="9">
        <v>17.822306426995311</v>
      </c>
      <c r="Q1578" s="9">
        <v>17.822306426995311</v>
      </c>
      <c r="R1578" s="9">
        <v>18.237663306594719</v>
      </c>
      <c r="S1578" s="9">
        <v>18.48712920931133</v>
      </c>
      <c r="T1578" s="9">
        <v>19.201553596969877</v>
      </c>
      <c r="U1578" s="9">
        <v>20.562345482855957</v>
      </c>
      <c r="V1578" s="9">
        <v>20.562345482855957</v>
      </c>
      <c r="W1578" s="9">
        <v>20.562345482855957</v>
      </c>
      <c r="X1578" s="9">
        <v>22.391977691000818</v>
      </c>
      <c r="Y1578" s="9">
        <v>22.391977691000818</v>
      </c>
      <c r="Z1578" s="9">
        <v>24.28858708803979</v>
      </c>
      <c r="AA1578" s="9">
        <v>24.28858708803979</v>
      </c>
      <c r="AB1578" s="9">
        <v>25.117335532005217</v>
      </c>
      <c r="AC1578" s="9">
        <v>25.117335532005217</v>
      </c>
      <c r="AD1578" s="9">
        <v>29.039116491286865</v>
      </c>
      <c r="AE1578" s="9">
        <v>31.219251037281825</v>
      </c>
      <c r="AF1578" s="9">
        <v>33.487682081707895</v>
      </c>
      <c r="AG1578" s="9">
        <v>33.487682081707895</v>
      </c>
      <c r="AH1578" s="9">
        <v>36.427668170967245</v>
      </c>
      <c r="AI1578" s="9">
        <v>38.74455996597662</v>
      </c>
      <c r="AJ1578" s="9">
        <v>3.0428788910505911</v>
      </c>
    </row>
    <row r="1579" spans="1:36" x14ac:dyDescent="0.25">
      <c r="A1579" t="s">
        <v>5411</v>
      </c>
      <c r="B1579" t="s">
        <v>16</v>
      </c>
      <c r="C1579" t="s">
        <v>17</v>
      </c>
      <c r="D1579">
        <v>37975000</v>
      </c>
      <c r="E1579">
        <v>37979999</v>
      </c>
      <c r="F1579" t="s">
        <v>1398</v>
      </c>
      <c r="G1579" t="str">
        <f t="shared" si="48"/>
        <v>MGI</v>
      </c>
      <c r="H1579" t="s">
        <v>851</v>
      </c>
      <c r="I1579" t="s">
        <v>20</v>
      </c>
      <c r="J1579" t="s">
        <v>62</v>
      </c>
      <c r="K1579" s="6">
        <v>0.03</v>
      </c>
      <c r="L1579" s="7">
        <f t="shared" si="49"/>
        <v>2E-3</v>
      </c>
      <c r="M1579" s="7">
        <v>3.0000000000000001E-3</v>
      </c>
      <c r="N1579">
        <v>7</v>
      </c>
      <c r="O1579" s="8">
        <v>13.880385281502075</v>
      </c>
      <c r="P1579" s="9">
        <v>13.880385281502075</v>
      </c>
      <c r="Q1579" s="9">
        <v>13.880385281502075</v>
      </c>
      <c r="R1579" s="9">
        <v>14.045989937445718</v>
      </c>
      <c r="S1579" s="9">
        <v>14.060876315369912</v>
      </c>
      <c r="T1579" s="9">
        <v>15.090338571208333</v>
      </c>
      <c r="U1579" s="9">
        <v>16.025407313902726</v>
      </c>
      <c r="V1579" s="9">
        <v>16.025407313902726</v>
      </c>
      <c r="W1579" s="9">
        <v>16.025407313902726</v>
      </c>
      <c r="X1579" s="9">
        <v>18.013895748167766</v>
      </c>
      <c r="Y1579" s="9">
        <v>18.013895748167766</v>
      </c>
      <c r="Z1579" s="9">
        <v>20.142868501532355</v>
      </c>
      <c r="AA1579" s="9">
        <v>20.142868501532355</v>
      </c>
      <c r="AB1579" s="9">
        <v>22.456349831314476</v>
      </c>
      <c r="AC1579" s="9">
        <v>22.456349831314476</v>
      </c>
      <c r="AD1579" s="9">
        <v>24.87984091164185</v>
      </c>
      <c r="AE1579" s="9">
        <v>27.427492221952345</v>
      </c>
      <c r="AF1579" s="9">
        <v>33.194804868730657</v>
      </c>
      <c r="AG1579" s="9">
        <v>33.194804868730657</v>
      </c>
      <c r="AH1579" s="9">
        <v>35.957808835828068</v>
      </c>
      <c r="AI1579" s="9">
        <v>38.646304092692077</v>
      </c>
      <c r="AJ1579" s="9">
        <v>3.0428788910505911</v>
      </c>
    </row>
    <row r="1580" spans="1:36" x14ac:dyDescent="0.25">
      <c r="A1580" t="s">
        <v>5411</v>
      </c>
      <c r="B1580" t="s">
        <v>16</v>
      </c>
      <c r="C1580" t="s">
        <v>17</v>
      </c>
      <c r="D1580">
        <v>37980000</v>
      </c>
      <c r="E1580">
        <v>37989999</v>
      </c>
      <c r="F1580" t="s">
        <v>1399</v>
      </c>
      <c r="G1580" t="str">
        <f t="shared" si="48"/>
        <v>MGI</v>
      </c>
      <c r="H1580" t="s">
        <v>851</v>
      </c>
      <c r="I1580" t="s">
        <v>20</v>
      </c>
      <c r="J1580" t="s">
        <v>62</v>
      </c>
      <c r="K1580" s="6">
        <v>0.03</v>
      </c>
      <c r="L1580" s="7">
        <f t="shared" si="49"/>
        <v>2E-3</v>
      </c>
      <c r="M1580" s="7">
        <v>3.0000000000000001E-3</v>
      </c>
      <c r="N1580">
        <v>7</v>
      </c>
      <c r="O1580" s="8">
        <v>13.880385281502075</v>
      </c>
      <c r="P1580" s="9">
        <v>13.880385281502075</v>
      </c>
      <c r="Q1580" s="9">
        <v>13.880385281502075</v>
      </c>
      <c r="R1580" s="9">
        <v>14.045989937445718</v>
      </c>
      <c r="S1580" s="9">
        <v>14.060876315369912</v>
      </c>
      <c r="T1580" s="9">
        <v>15.090338571208333</v>
      </c>
      <c r="U1580" s="9">
        <v>16.025407313902726</v>
      </c>
      <c r="V1580" s="9">
        <v>16.025407313902726</v>
      </c>
      <c r="W1580" s="9">
        <v>16.025407313902726</v>
      </c>
      <c r="X1580" s="9">
        <v>18.013895748167766</v>
      </c>
      <c r="Y1580" s="9">
        <v>18.013895748167766</v>
      </c>
      <c r="Z1580" s="9">
        <v>20.142868501532355</v>
      </c>
      <c r="AA1580" s="9">
        <v>20.142868501532355</v>
      </c>
      <c r="AB1580" s="9">
        <v>22.456349831314476</v>
      </c>
      <c r="AC1580" s="9">
        <v>22.456349831314476</v>
      </c>
      <c r="AD1580" s="9">
        <v>24.87984091164185</v>
      </c>
      <c r="AE1580" s="9">
        <v>27.427492221952345</v>
      </c>
      <c r="AF1580" s="9">
        <v>33.194804868730657</v>
      </c>
      <c r="AG1580" s="9">
        <v>33.194804868730657</v>
      </c>
      <c r="AH1580" s="9">
        <v>35.957808835828068</v>
      </c>
      <c r="AI1580" s="9">
        <v>38.646304092692077</v>
      </c>
      <c r="AJ1580" s="9">
        <v>3.0428788910505911</v>
      </c>
    </row>
    <row r="1581" spans="1:36" x14ac:dyDescent="0.25">
      <c r="A1581" t="s">
        <v>5411</v>
      </c>
      <c r="B1581" t="s">
        <v>16</v>
      </c>
      <c r="C1581" t="s">
        <v>17</v>
      </c>
      <c r="D1581">
        <v>37990000</v>
      </c>
      <c r="E1581">
        <v>37992999</v>
      </c>
      <c r="F1581" t="s">
        <v>1400</v>
      </c>
      <c r="G1581" t="str">
        <f t="shared" si="48"/>
        <v>MGI II</v>
      </c>
      <c r="H1581" t="s">
        <v>851</v>
      </c>
      <c r="I1581" t="s">
        <v>20</v>
      </c>
      <c r="J1581" t="s">
        <v>64</v>
      </c>
      <c r="K1581" s="6">
        <v>0.03</v>
      </c>
      <c r="L1581" s="7">
        <f t="shared" si="49"/>
        <v>2E-3</v>
      </c>
      <c r="M1581" s="7">
        <v>3.0000000000000001E-3</v>
      </c>
      <c r="N1581">
        <v>7</v>
      </c>
      <c r="O1581" s="8">
        <v>17.822306426995311</v>
      </c>
      <c r="P1581" s="9">
        <v>17.822306426995311</v>
      </c>
      <c r="Q1581" s="9">
        <v>17.822306426995311</v>
      </c>
      <c r="R1581" s="9">
        <v>18.237663306594719</v>
      </c>
      <c r="S1581" s="9">
        <v>18.48712920931133</v>
      </c>
      <c r="T1581" s="9">
        <v>19.201553596969877</v>
      </c>
      <c r="U1581" s="9">
        <v>20.562345482855957</v>
      </c>
      <c r="V1581" s="9">
        <v>20.562345482855957</v>
      </c>
      <c r="W1581" s="9">
        <v>20.562345482855957</v>
      </c>
      <c r="X1581" s="9">
        <v>22.391977691000818</v>
      </c>
      <c r="Y1581" s="9">
        <v>22.391977691000818</v>
      </c>
      <c r="Z1581" s="9">
        <v>24.28858708803979</v>
      </c>
      <c r="AA1581" s="9">
        <v>24.28858708803979</v>
      </c>
      <c r="AB1581" s="9">
        <v>25.117335532005217</v>
      </c>
      <c r="AC1581" s="9">
        <v>25.117335532005217</v>
      </c>
      <c r="AD1581" s="9">
        <v>29.039116491286865</v>
      </c>
      <c r="AE1581" s="9">
        <v>31.219251037281825</v>
      </c>
      <c r="AF1581" s="9">
        <v>33.487682081707895</v>
      </c>
      <c r="AG1581" s="9">
        <v>33.487682081707895</v>
      </c>
      <c r="AH1581" s="9">
        <v>36.427668170967245</v>
      </c>
      <c r="AI1581" s="9">
        <v>38.74455996597662</v>
      </c>
      <c r="AJ1581" s="9">
        <v>3.0428788910505911</v>
      </c>
    </row>
    <row r="1582" spans="1:36" x14ac:dyDescent="0.25">
      <c r="A1582" t="s">
        <v>5411</v>
      </c>
      <c r="B1582" t="s">
        <v>16</v>
      </c>
      <c r="C1582" t="s">
        <v>17</v>
      </c>
      <c r="D1582">
        <v>37993000</v>
      </c>
      <c r="E1582">
        <v>37996999</v>
      </c>
      <c r="F1582" t="s">
        <v>1401</v>
      </c>
      <c r="G1582" t="str">
        <f t="shared" si="48"/>
        <v>MGI II</v>
      </c>
      <c r="H1582" t="s">
        <v>851</v>
      </c>
      <c r="I1582" t="s">
        <v>20</v>
      </c>
      <c r="J1582" t="s">
        <v>64</v>
      </c>
      <c r="K1582" s="6">
        <v>0.03</v>
      </c>
      <c r="L1582" s="7">
        <f t="shared" si="49"/>
        <v>2E-3</v>
      </c>
      <c r="M1582" s="7">
        <v>3.0000000000000001E-3</v>
      </c>
      <c r="N1582">
        <v>7</v>
      </c>
      <c r="O1582" s="8">
        <v>17.822306426995311</v>
      </c>
      <c r="P1582" s="9">
        <v>17.822306426995311</v>
      </c>
      <c r="Q1582" s="9">
        <v>17.822306426995311</v>
      </c>
      <c r="R1582" s="9">
        <v>18.237663306594719</v>
      </c>
      <c r="S1582" s="9">
        <v>18.48712920931133</v>
      </c>
      <c r="T1582" s="9">
        <v>19.201553596969877</v>
      </c>
      <c r="U1582" s="9">
        <v>20.562345482855957</v>
      </c>
      <c r="V1582" s="9">
        <v>20.562345482855957</v>
      </c>
      <c r="W1582" s="9">
        <v>20.562345482855957</v>
      </c>
      <c r="X1582" s="9">
        <v>22.391977691000818</v>
      </c>
      <c r="Y1582" s="9">
        <v>22.391977691000818</v>
      </c>
      <c r="Z1582" s="9">
        <v>24.28858708803979</v>
      </c>
      <c r="AA1582" s="9">
        <v>24.28858708803979</v>
      </c>
      <c r="AB1582" s="9">
        <v>25.117335532005217</v>
      </c>
      <c r="AC1582" s="9">
        <v>25.117335532005217</v>
      </c>
      <c r="AD1582" s="9">
        <v>29.039116491286865</v>
      </c>
      <c r="AE1582" s="9">
        <v>31.219251037281825</v>
      </c>
      <c r="AF1582" s="9">
        <v>33.487682081707895</v>
      </c>
      <c r="AG1582" s="9">
        <v>33.487682081707895</v>
      </c>
      <c r="AH1582" s="9">
        <v>36.427668170967245</v>
      </c>
      <c r="AI1582" s="9">
        <v>38.74455996597662</v>
      </c>
      <c r="AJ1582" s="9">
        <v>3.0428788910505911</v>
      </c>
    </row>
    <row r="1583" spans="1:36" x14ac:dyDescent="0.25">
      <c r="A1583" t="s">
        <v>5411</v>
      </c>
      <c r="B1583" t="s">
        <v>16</v>
      </c>
      <c r="C1583" t="s">
        <v>17</v>
      </c>
      <c r="D1583">
        <v>37997000</v>
      </c>
      <c r="E1583">
        <v>37999999</v>
      </c>
      <c r="F1583" t="s">
        <v>1402</v>
      </c>
      <c r="G1583" t="str">
        <f t="shared" si="48"/>
        <v>MGI II</v>
      </c>
      <c r="H1583" t="s">
        <v>851</v>
      </c>
      <c r="I1583" t="s">
        <v>20</v>
      </c>
      <c r="J1583" t="s">
        <v>64</v>
      </c>
      <c r="K1583" s="6">
        <v>0.03</v>
      </c>
      <c r="L1583" s="7">
        <f t="shared" si="49"/>
        <v>2E-3</v>
      </c>
      <c r="M1583" s="7">
        <v>3.0000000000000001E-3</v>
      </c>
      <c r="N1583">
        <v>7</v>
      </c>
      <c r="O1583" s="8">
        <v>17.822306426995311</v>
      </c>
      <c r="P1583" s="9">
        <v>17.822306426995311</v>
      </c>
      <c r="Q1583" s="9">
        <v>17.822306426995311</v>
      </c>
      <c r="R1583" s="9">
        <v>18.237663306594719</v>
      </c>
      <c r="S1583" s="9">
        <v>18.48712920931133</v>
      </c>
      <c r="T1583" s="9">
        <v>19.201553596969877</v>
      </c>
      <c r="U1583" s="9">
        <v>20.562345482855957</v>
      </c>
      <c r="V1583" s="9">
        <v>20.562345482855957</v>
      </c>
      <c r="W1583" s="9">
        <v>20.562345482855957</v>
      </c>
      <c r="X1583" s="9">
        <v>22.391977691000818</v>
      </c>
      <c r="Y1583" s="9">
        <v>22.391977691000818</v>
      </c>
      <c r="Z1583" s="9">
        <v>24.28858708803979</v>
      </c>
      <c r="AA1583" s="9">
        <v>24.28858708803979</v>
      </c>
      <c r="AB1583" s="9">
        <v>25.117335532005217</v>
      </c>
      <c r="AC1583" s="9">
        <v>25.117335532005217</v>
      </c>
      <c r="AD1583" s="9">
        <v>29.039116491286865</v>
      </c>
      <c r="AE1583" s="9">
        <v>31.219251037281825</v>
      </c>
      <c r="AF1583" s="9">
        <v>33.487682081707895</v>
      </c>
      <c r="AG1583" s="9">
        <v>33.487682081707895</v>
      </c>
      <c r="AH1583" s="9">
        <v>36.427668170967245</v>
      </c>
      <c r="AI1583" s="9">
        <v>38.74455996597662</v>
      </c>
      <c r="AJ1583" s="9">
        <v>3.0428788910505911</v>
      </c>
    </row>
    <row r="1584" spans="1:36" x14ac:dyDescent="0.25">
      <c r="A1584" t="s">
        <v>5411</v>
      </c>
      <c r="B1584" t="s">
        <v>16</v>
      </c>
      <c r="C1584" t="s">
        <v>17</v>
      </c>
      <c r="D1584">
        <v>38000000</v>
      </c>
      <c r="E1584">
        <v>38107999</v>
      </c>
      <c r="F1584" t="s">
        <v>1403</v>
      </c>
      <c r="G1584" t="str">
        <f t="shared" si="48"/>
        <v>MGI</v>
      </c>
      <c r="H1584" t="s">
        <v>851</v>
      </c>
      <c r="I1584" t="s">
        <v>20</v>
      </c>
      <c r="J1584" t="s">
        <v>62</v>
      </c>
      <c r="K1584" s="6">
        <v>0.03</v>
      </c>
      <c r="L1584" s="7">
        <f t="shared" si="49"/>
        <v>2E-3</v>
      </c>
      <c r="M1584" s="7">
        <v>3.0000000000000001E-3</v>
      </c>
      <c r="N1584">
        <v>5</v>
      </c>
      <c r="O1584" s="8">
        <v>13.880385281502075</v>
      </c>
      <c r="P1584" s="9">
        <v>13.880385281502075</v>
      </c>
      <c r="Q1584" s="9">
        <v>13.880385281502075</v>
      </c>
      <c r="R1584" s="9">
        <v>14.045989937445718</v>
      </c>
      <c r="S1584" s="9">
        <v>14.060876315369912</v>
      </c>
      <c r="T1584" s="9">
        <v>15.090338571208333</v>
      </c>
      <c r="U1584" s="9">
        <v>16.025407313902726</v>
      </c>
      <c r="V1584" s="9">
        <v>16.025407313902726</v>
      </c>
      <c r="W1584" s="9">
        <v>16.025407313902726</v>
      </c>
      <c r="X1584" s="9">
        <v>18.013895748167766</v>
      </c>
      <c r="Y1584" s="9">
        <v>18.013895748167766</v>
      </c>
      <c r="Z1584" s="9">
        <v>20.142868501532355</v>
      </c>
      <c r="AA1584" s="9">
        <v>20.142868501532355</v>
      </c>
      <c r="AB1584" s="9">
        <v>22.456349831314476</v>
      </c>
      <c r="AC1584" s="9">
        <v>22.456349831314476</v>
      </c>
      <c r="AD1584" s="9">
        <v>24.87984091164185</v>
      </c>
      <c r="AE1584" s="9">
        <v>27.427492221952345</v>
      </c>
      <c r="AF1584" s="9">
        <v>33.194804868730657</v>
      </c>
      <c r="AG1584" s="9">
        <v>33.194804868730657</v>
      </c>
      <c r="AH1584" s="9">
        <v>35.957808835828068</v>
      </c>
      <c r="AI1584" s="9">
        <v>38.646304092692077</v>
      </c>
      <c r="AJ1584" s="9">
        <v>3.0428788910505911</v>
      </c>
    </row>
    <row r="1585" spans="1:36" x14ac:dyDescent="0.25">
      <c r="A1585" t="s">
        <v>5411</v>
      </c>
      <c r="B1585" t="s">
        <v>16</v>
      </c>
      <c r="C1585" t="s">
        <v>17</v>
      </c>
      <c r="D1585">
        <v>38108000</v>
      </c>
      <c r="E1585">
        <v>38109999</v>
      </c>
      <c r="F1585" t="s">
        <v>1404</v>
      </c>
      <c r="G1585" t="str">
        <f t="shared" si="48"/>
        <v>MGI II</v>
      </c>
      <c r="H1585" t="s">
        <v>851</v>
      </c>
      <c r="I1585" t="s">
        <v>20</v>
      </c>
      <c r="J1585" t="s">
        <v>64</v>
      </c>
      <c r="K1585" s="6">
        <v>0.03</v>
      </c>
      <c r="L1585" s="7">
        <f t="shared" si="49"/>
        <v>2E-3</v>
      </c>
      <c r="M1585" s="7">
        <v>3.0000000000000001E-3</v>
      </c>
      <c r="N1585">
        <v>7</v>
      </c>
      <c r="O1585" s="8">
        <v>17.822306426995311</v>
      </c>
      <c r="P1585" s="9">
        <v>17.822306426995311</v>
      </c>
      <c r="Q1585" s="9">
        <v>17.822306426995311</v>
      </c>
      <c r="R1585" s="9">
        <v>18.237663306594719</v>
      </c>
      <c r="S1585" s="9">
        <v>18.48712920931133</v>
      </c>
      <c r="T1585" s="9">
        <v>19.201553596969877</v>
      </c>
      <c r="U1585" s="9">
        <v>20.562345482855957</v>
      </c>
      <c r="V1585" s="9">
        <v>20.562345482855957</v>
      </c>
      <c r="W1585" s="9">
        <v>20.562345482855957</v>
      </c>
      <c r="X1585" s="9">
        <v>22.391977691000818</v>
      </c>
      <c r="Y1585" s="9">
        <v>22.391977691000818</v>
      </c>
      <c r="Z1585" s="9">
        <v>24.28858708803979</v>
      </c>
      <c r="AA1585" s="9">
        <v>24.28858708803979</v>
      </c>
      <c r="AB1585" s="9">
        <v>25.117335532005217</v>
      </c>
      <c r="AC1585" s="9">
        <v>25.117335532005217</v>
      </c>
      <c r="AD1585" s="9">
        <v>29.039116491286865</v>
      </c>
      <c r="AE1585" s="9">
        <v>31.219251037281825</v>
      </c>
      <c r="AF1585" s="9">
        <v>33.487682081707895</v>
      </c>
      <c r="AG1585" s="9">
        <v>33.487682081707895</v>
      </c>
      <c r="AH1585" s="9">
        <v>36.427668170967245</v>
      </c>
      <c r="AI1585" s="9">
        <v>38.74455996597662</v>
      </c>
      <c r="AJ1585" s="9">
        <v>3.0428788910505911</v>
      </c>
    </row>
    <row r="1586" spans="1:36" x14ac:dyDescent="0.25">
      <c r="A1586" t="s">
        <v>5411</v>
      </c>
      <c r="B1586" t="s">
        <v>16</v>
      </c>
      <c r="C1586" t="s">
        <v>17</v>
      </c>
      <c r="D1586">
        <v>38110000</v>
      </c>
      <c r="E1586">
        <v>38119999</v>
      </c>
      <c r="F1586" t="s">
        <v>1405</v>
      </c>
      <c r="G1586" t="str">
        <f t="shared" si="48"/>
        <v>MGI II</v>
      </c>
      <c r="H1586" t="s">
        <v>851</v>
      </c>
      <c r="I1586" t="s">
        <v>20</v>
      </c>
      <c r="J1586" t="s">
        <v>64</v>
      </c>
      <c r="K1586" s="6">
        <v>0.03</v>
      </c>
      <c r="L1586" s="7">
        <f t="shared" si="49"/>
        <v>2E-3</v>
      </c>
      <c r="M1586" s="7">
        <v>3.0000000000000001E-3</v>
      </c>
      <c r="N1586">
        <v>7</v>
      </c>
      <c r="O1586" s="8">
        <v>17.822306426995311</v>
      </c>
      <c r="P1586" s="9">
        <v>17.822306426995311</v>
      </c>
      <c r="Q1586" s="9">
        <v>17.822306426995311</v>
      </c>
      <c r="R1586" s="9">
        <v>18.237663306594719</v>
      </c>
      <c r="S1586" s="9">
        <v>18.48712920931133</v>
      </c>
      <c r="T1586" s="9">
        <v>19.201553596969877</v>
      </c>
      <c r="U1586" s="9">
        <v>20.562345482855957</v>
      </c>
      <c r="V1586" s="9">
        <v>20.562345482855957</v>
      </c>
      <c r="W1586" s="9">
        <v>20.562345482855957</v>
      </c>
      <c r="X1586" s="9">
        <v>22.391977691000818</v>
      </c>
      <c r="Y1586" s="9">
        <v>22.391977691000818</v>
      </c>
      <c r="Z1586" s="9">
        <v>24.28858708803979</v>
      </c>
      <c r="AA1586" s="9">
        <v>24.28858708803979</v>
      </c>
      <c r="AB1586" s="9">
        <v>25.117335532005217</v>
      </c>
      <c r="AC1586" s="9">
        <v>25.117335532005217</v>
      </c>
      <c r="AD1586" s="9">
        <v>29.039116491286865</v>
      </c>
      <c r="AE1586" s="9">
        <v>31.219251037281825</v>
      </c>
      <c r="AF1586" s="9">
        <v>33.487682081707895</v>
      </c>
      <c r="AG1586" s="9">
        <v>33.487682081707895</v>
      </c>
      <c r="AH1586" s="9">
        <v>36.427668170967245</v>
      </c>
      <c r="AI1586" s="9">
        <v>38.74455996597662</v>
      </c>
      <c r="AJ1586" s="9">
        <v>3.0428788910505911</v>
      </c>
    </row>
    <row r="1587" spans="1:36" x14ac:dyDescent="0.25">
      <c r="A1587" t="s">
        <v>5411</v>
      </c>
      <c r="B1587" t="s">
        <v>16</v>
      </c>
      <c r="C1587" t="s">
        <v>17</v>
      </c>
      <c r="D1587">
        <v>38120000</v>
      </c>
      <c r="E1587">
        <v>38129999</v>
      </c>
      <c r="F1587" t="s">
        <v>1406</v>
      </c>
      <c r="G1587" t="str">
        <f t="shared" si="48"/>
        <v>MGI II</v>
      </c>
      <c r="H1587" t="s">
        <v>851</v>
      </c>
      <c r="I1587" t="s">
        <v>20</v>
      </c>
      <c r="J1587" t="s">
        <v>64</v>
      </c>
      <c r="K1587" s="6">
        <v>0.03</v>
      </c>
      <c r="L1587" s="7">
        <f t="shared" si="49"/>
        <v>2E-3</v>
      </c>
      <c r="M1587" s="7">
        <v>3.0000000000000001E-3</v>
      </c>
      <c r="N1587">
        <v>7</v>
      </c>
      <c r="O1587" s="8">
        <v>17.822306426995311</v>
      </c>
      <c r="P1587" s="9">
        <v>17.822306426995311</v>
      </c>
      <c r="Q1587" s="9">
        <v>17.822306426995311</v>
      </c>
      <c r="R1587" s="9">
        <v>18.237663306594719</v>
      </c>
      <c r="S1587" s="9">
        <v>18.48712920931133</v>
      </c>
      <c r="T1587" s="9">
        <v>19.201553596969877</v>
      </c>
      <c r="U1587" s="9">
        <v>20.562345482855957</v>
      </c>
      <c r="V1587" s="9">
        <v>20.562345482855957</v>
      </c>
      <c r="W1587" s="9">
        <v>20.562345482855957</v>
      </c>
      <c r="X1587" s="9">
        <v>22.391977691000818</v>
      </c>
      <c r="Y1587" s="9">
        <v>22.391977691000818</v>
      </c>
      <c r="Z1587" s="9">
        <v>24.28858708803979</v>
      </c>
      <c r="AA1587" s="9">
        <v>24.28858708803979</v>
      </c>
      <c r="AB1587" s="9">
        <v>25.117335532005217</v>
      </c>
      <c r="AC1587" s="9">
        <v>25.117335532005217</v>
      </c>
      <c r="AD1587" s="9">
        <v>29.039116491286865</v>
      </c>
      <c r="AE1587" s="9">
        <v>31.219251037281825</v>
      </c>
      <c r="AF1587" s="9">
        <v>33.487682081707895</v>
      </c>
      <c r="AG1587" s="9">
        <v>33.487682081707895</v>
      </c>
      <c r="AH1587" s="9">
        <v>36.427668170967245</v>
      </c>
      <c r="AI1587" s="9">
        <v>38.74455996597662</v>
      </c>
      <c r="AJ1587" s="9">
        <v>3.0428788910505911</v>
      </c>
    </row>
    <row r="1588" spans="1:36" x14ac:dyDescent="0.25">
      <c r="A1588" t="s">
        <v>5411</v>
      </c>
      <c r="B1588" t="s">
        <v>16</v>
      </c>
      <c r="C1588" t="s">
        <v>17</v>
      </c>
      <c r="D1588">
        <v>38130000</v>
      </c>
      <c r="E1588">
        <v>38139999</v>
      </c>
      <c r="F1588" t="s">
        <v>1407</v>
      </c>
      <c r="G1588" t="str">
        <f t="shared" si="48"/>
        <v>MGI II</v>
      </c>
      <c r="H1588" t="s">
        <v>851</v>
      </c>
      <c r="I1588" t="s">
        <v>20</v>
      </c>
      <c r="J1588" t="s">
        <v>64</v>
      </c>
      <c r="K1588" s="6">
        <v>0.03</v>
      </c>
      <c r="L1588" s="7">
        <f t="shared" si="49"/>
        <v>2E-3</v>
      </c>
      <c r="M1588" s="7">
        <v>3.0000000000000001E-3</v>
      </c>
      <c r="N1588">
        <v>7</v>
      </c>
      <c r="O1588" s="8">
        <v>17.822306426995311</v>
      </c>
      <c r="P1588" s="9">
        <v>17.822306426995311</v>
      </c>
      <c r="Q1588" s="9">
        <v>17.822306426995311</v>
      </c>
      <c r="R1588" s="9">
        <v>18.237663306594719</v>
      </c>
      <c r="S1588" s="9">
        <v>18.48712920931133</v>
      </c>
      <c r="T1588" s="9">
        <v>19.201553596969877</v>
      </c>
      <c r="U1588" s="9">
        <v>20.562345482855957</v>
      </c>
      <c r="V1588" s="9">
        <v>20.562345482855957</v>
      </c>
      <c r="W1588" s="9">
        <v>20.562345482855957</v>
      </c>
      <c r="X1588" s="9">
        <v>22.391977691000818</v>
      </c>
      <c r="Y1588" s="9">
        <v>22.391977691000818</v>
      </c>
      <c r="Z1588" s="9">
        <v>24.28858708803979</v>
      </c>
      <c r="AA1588" s="9">
        <v>24.28858708803979</v>
      </c>
      <c r="AB1588" s="9">
        <v>25.117335532005217</v>
      </c>
      <c r="AC1588" s="9">
        <v>25.117335532005217</v>
      </c>
      <c r="AD1588" s="9">
        <v>29.039116491286865</v>
      </c>
      <c r="AE1588" s="9">
        <v>31.219251037281825</v>
      </c>
      <c r="AF1588" s="9">
        <v>33.487682081707895</v>
      </c>
      <c r="AG1588" s="9">
        <v>33.487682081707895</v>
      </c>
      <c r="AH1588" s="9">
        <v>36.427668170967245</v>
      </c>
      <c r="AI1588" s="9">
        <v>38.74455996597662</v>
      </c>
      <c r="AJ1588" s="9">
        <v>3.0428788910505911</v>
      </c>
    </row>
    <row r="1589" spans="1:36" x14ac:dyDescent="0.25">
      <c r="A1589" t="s">
        <v>5411</v>
      </c>
      <c r="B1589" t="s">
        <v>16</v>
      </c>
      <c r="C1589" t="s">
        <v>17</v>
      </c>
      <c r="D1589">
        <v>38140000</v>
      </c>
      <c r="E1589">
        <v>38149999</v>
      </c>
      <c r="F1589" t="s">
        <v>1408</v>
      </c>
      <c r="G1589" t="str">
        <f t="shared" si="48"/>
        <v>MGI II</v>
      </c>
      <c r="H1589" t="s">
        <v>851</v>
      </c>
      <c r="I1589" t="s">
        <v>20</v>
      </c>
      <c r="J1589" t="s">
        <v>64</v>
      </c>
      <c r="K1589" s="6">
        <v>0.03</v>
      </c>
      <c r="L1589" s="7">
        <f t="shared" si="49"/>
        <v>2E-3</v>
      </c>
      <c r="M1589" s="7">
        <v>3.0000000000000001E-3</v>
      </c>
      <c r="N1589">
        <v>8</v>
      </c>
      <c r="O1589" s="8">
        <v>17.822306426995311</v>
      </c>
      <c r="P1589" s="9">
        <v>17.822306426995311</v>
      </c>
      <c r="Q1589" s="9">
        <v>17.822306426995311</v>
      </c>
      <c r="R1589" s="9">
        <v>18.237663306594719</v>
      </c>
      <c r="S1589" s="9">
        <v>18.48712920931133</v>
      </c>
      <c r="T1589" s="9">
        <v>19.201553596969877</v>
      </c>
      <c r="U1589" s="9">
        <v>20.562345482855957</v>
      </c>
      <c r="V1589" s="9">
        <v>20.562345482855957</v>
      </c>
      <c r="W1589" s="9">
        <v>20.562345482855957</v>
      </c>
      <c r="X1589" s="9">
        <v>22.391977691000818</v>
      </c>
      <c r="Y1589" s="9">
        <v>22.391977691000818</v>
      </c>
      <c r="Z1589" s="9">
        <v>24.28858708803979</v>
      </c>
      <c r="AA1589" s="9">
        <v>24.28858708803979</v>
      </c>
      <c r="AB1589" s="9">
        <v>25.117335532005217</v>
      </c>
      <c r="AC1589" s="9">
        <v>25.117335532005217</v>
      </c>
      <c r="AD1589" s="9">
        <v>29.039116491286865</v>
      </c>
      <c r="AE1589" s="9">
        <v>31.219251037281825</v>
      </c>
      <c r="AF1589" s="9">
        <v>33.487682081707895</v>
      </c>
      <c r="AG1589" s="9">
        <v>33.487682081707895</v>
      </c>
      <c r="AH1589" s="9">
        <v>36.427668170967245</v>
      </c>
      <c r="AI1589" s="9">
        <v>38.74455996597662</v>
      </c>
      <c r="AJ1589" s="9">
        <v>3.0428788910505911</v>
      </c>
    </row>
    <row r="1590" spans="1:36" x14ac:dyDescent="0.25">
      <c r="A1590" t="s">
        <v>5411</v>
      </c>
      <c r="B1590" t="s">
        <v>16</v>
      </c>
      <c r="C1590" t="s">
        <v>17</v>
      </c>
      <c r="D1590">
        <v>38150000</v>
      </c>
      <c r="E1590">
        <v>38159999</v>
      </c>
      <c r="F1590" t="s">
        <v>1409</v>
      </c>
      <c r="G1590" t="str">
        <f t="shared" si="48"/>
        <v>MGI II</v>
      </c>
      <c r="H1590" t="s">
        <v>851</v>
      </c>
      <c r="I1590" t="s">
        <v>20</v>
      </c>
      <c r="J1590" t="s">
        <v>64</v>
      </c>
      <c r="K1590" s="6">
        <v>0.03</v>
      </c>
      <c r="L1590" s="7">
        <f t="shared" si="49"/>
        <v>2E-3</v>
      </c>
      <c r="M1590" s="7">
        <v>3.0000000000000001E-3</v>
      </c>
      <c r="N1590">
        <v>7</v>
      </c>
      <c r="O1590" s="8">
        <v>17.822306426995311</v>
      </c>
      <c r="P1590" s="9">
        <v>17.822306426995311</v>
      </c>
      <c r="Q1590" s="9">
        <v>17.822306426995311</v>
      </c>
      <c r="R1590" s="9">
        <v>18.237663306594719</v>
      </c>
      <c r="S1590" s="9">
        <v>18.48712920931133</v>
      </c>
      <c r="T1590" s="9">
        <v>19.201553596969877</v>
      </c>
      <c r="U1590" s="9">
        <v>20.562345482855957</v>
      </c>
      <c r="V1590" s="9">
        <v>20.562345482855957</v>
      </c>
      <c r="W1590" s="9">
        <v>20.562345482855957</v>
      </c>
      <c r="X1590" s="9">
        <v>22.391977691000818</v>
      </c>
      <c r="Y1590" s="9">
        <v>22.391977691000818</v>
      </c>
      <c r="Z1590" s="9">
        <v>24.28858708803979</v>
      </c>
      <c r="AA1590" s="9">
        <v>24.28858708803979</v>
      </c>
      <c r="AB1590" s="9">
        <v>25.117335532005217</v>
      </c>
      <c r="AC1590" s="9">
        <v>25.117335532005217</v>
      </c>
      <c r="AD1590" s="9">
        <v>29.039116491286865</v>
      </c>
      <c r="AE1590" s="9">
        <v>31.219251037281825</v>
      </c>
      <c r="AF1590" s="9">
        <v>33.487682081707895</v>
      </c>
      <c r="AG1590" s="9">
        <v>33.487682081707895</v>
      </c>
      <c r="AH1590" s="9">
        <v>36.427668170967245</v>
      </c>
      <c r="AI1590" s="9">
        <v>38.74455996597662</v>
      </c>
      <c r="AJ1590" s="9">
        <v>3.0428788910505911</v>
      </c>
    </row>
    <row r="1591" spans="1:36" x14ac:dyDescent="0.25">
      <c r="A1591" t="s">
        <v>5411</v>
      </c>
      <c r="B1591" t="s">
        <v>16</v>
      </c>
      <c r="C1591" t="s">
        <v>17</v>
      </c>
      <c r="D1591">
        <v>38160000</v>
      </c>
      <c r="E1591">
        <v>38169999</v>
      </c>
      <c r="F1591" t="s">
        <v>1410</v>
      </c>
      <c r="G1591" t="str">
        <f t="shared" si="48"/>
        <v>MGI II</v>
      </c>
      <c r="H1591" t="s">
        <v>851</v>
      </c>
      <c r="I1591" t="s">
        <v>20</v>
      </c>
      <c r="J1591" t="s">
        <v>64</v>
      </c>
      <c r="K1591" s="6">
        <v>0.03</v>
      </c>
      <c r="L1591" s="7">
        <f t="shared" si="49"/>
        <v>2E-3</v>
      </c>
      <c r="M1591" s="7">
        <v>3.0000000000000001E-3</v>
      </c>
      <c r="N1591">
        <v>7</v>
      </c>
      <c r="O1591" s="8">
        <v>17.822306426995311</v>
      </c>
      <c r="P1591" s="9">
        <v>17.822306426995311</v>
      </c>
      <c r="Q1591" s="9">
        <v>17.822306426995311</v>
      </c>
      <c r="R1591" s="9">
        <v>18.237663306594719</v>
      </c>
      <c r="S1591" s="9">
        <v>18.48712920931133</v>
      </c>
      <c r="T1591" s="9">
        <v>19.201553596969877</v>
      </c>
      <c r="U1591" s="9">
        <v>20.562345482855957</v>
      </c>
      <c r="V1591" s="9">
        <v>20.562345482855957</v>
      </c>
      <c r="W1591" s="9">
        <v>20.562345482855957</v>
      </c>
      <c r="X1591" s="9">
        <v>22.391977691000818</v>
      </c>
      <c r="Y1591" s="9">
        <v>22.391977691000818</v>
      </c>
      <c r="Z1591" s="9">
        <v>24.28858708803979</v>
      </c>
      <c r="AA1591" s="9">
        <v>24.28858708803979</v>
      </c>
      <c r="AB1591" s="9">
        <v>25.117335532005217</v>
      </c>
      <c r="AC1591" s="9">
        <v>25.117335532005217</v>
      </c>
      <c r="AD1591" s="9">
        <v>29.039116491286865</v>
      </c>
      <c r="AE1591" s="9">
        <v>31.219251037281825</v>
      </c>
      <c r="AF1591" s="9">
        <v>33.487682081707895</v>
      </c>
      <c r="AG1591" s="9">
        <v>33.487682081707895</v>
      </c>
      <c r="AH1591" s="9">
        <v>36.427668170967245</v>
      </c>
      <c r="AI1591" s="9">
        <v>38.74455996597662</v>
      </c>
      <c r="AJ1591" s="9">
        <v>3.0428788910505911</v>
      </c>
    </row>
    <row r="1592" spans="1:36" x14ac:dyDescent="0.25">
      <c r="A1592" t="s">
        <v>5411</v>
      </c>
      <c r="B1592" t="s">
        <v>16</v>
      </c>
      <c r="C1592" t="s">
        <v>17</v>
      </c>
      <c r="D1592">
        <v>38170000</v>
      </c>
      <c r="E1592">
        <v>38174999</v>
      </c>
      <c r="F1592" t="s">
        <v>1411</v>
      </c>
      <c r="G1592" t="str">
        <f t="shared" si="48"/>
        <v>MGI II</v>
      </c>
      <c r="H1592" t="s">
        <v>851</v>
      </c>
      <c r="I1592" t="s">
        <v>20</v>
      </c>
      <c r="J1592" t="s">
        <v>64</v>
      </c>
      <c r="K1592" s="6">
        <v>0.03</v>
      </c>
      <c r="L1592" s="7">
        <f t="shared" si="49"/>
        <v>2E-3</v>
      </c>
      <c r="M1592" s="7">
        <v>3.0000000000000001E-3</v>
      </c>
      <c r="N1592">
        <v>7</v>
      </c>
      <c r="O1592" s="8">
        <v>17.822306426995311</v>
      </c>
      <c r="P1592" s="9">
        <v>17.822306426995311</v>
      </c>
      <c r="Q1592" s="9">
        <v>17.822306426995311</v>
      </c>
      <c r="R1592" s="9">
        <v>18.237663306594719</v>
      </c>
      <c r="S1592" s="9">
        <v>18.48712920931133</v>
      </c>
      <c r="T1592" s="9">
        <v>19.201553596969877</v>
      </c>
      <c r="U1592" s="9">
        <v>20.562345482855957</v>
      </c>
      <c r="V1592" s="9">
        <v>20.562345482855957</v>
      </c>
      <c r="W1592" s="9">
        <v>20.562345482855957</v>
      </c>
      <c r="X1592" s="9">
        <v>22.391977691000818</v>
      </c>
      <c r="Y1592" s="9">
        <v>22.391977691000818</v>
      </c>
      <c r="Z1592" s="9">
        <v>24.28858708803979</v>
      </c>
      <c r="AA1592" s="9">
        <v>24.28858708803979</v>
      </c>
      <c r="AB1592" s="9">
        <v>25.117335532005217</v>
      </c>
      <c r="AC1592" s="9">
        <v>25.117335532005217</v>
      </c>
      <c r="AD1592" s="9">
        <v>29.039116491286865</v>
      </c>
      <c r="AE1592" s="9">
        <v>31.219251037281825</v>
      </c>
      <c r="AF1592" s="9">
        <v>33.487682081707895</v>
      </c>
      <c r="AG1592" s="9">
        <v>33.487682081707895</v>
      </c>
      <c r="AH1592" s="9">
        <v>36.427668170967245</v>
      </c>
      <c r="AI1592" s="9">
        <v>38.74455996597662</v>
      </c>
      <c r="AJ1592" s="9">
        <v>3.0428788910505911</v>
      </c>
    </row>
    <row r="1593" spans="1:36" x14ac:dyDescent="0.25">
      <c r="A1593" t="s">
        <v>5411</v>
      </c>
      <c r="B1593" t="s">
        <v>16</v>
      </c>
      <c r="C1593" t="s">
        <v>17</v>
      </c>
      <c r="D1593">
        <v>38175000</v>
      </c>
      <c r="E1593">
        <v>38177999</v>
      </c>
      <c r="F1593" t="s">
        <v>1412</v>
      </c>
      <c r="G1593" t="str">
        <f t="shared" si="48"/>
        <v>MGI II</v>
      </c>
      <c r="H1593" t="s">
        <v>851</v>
      </c>
      <c r="I1593" t="s">
        <v>20</v>
      </c>
      <c r="J1593" t="s">
        <v>64</v>
      </c>
      <c r="K1593" s="6">
        <v>0.03</v>
      </c>
      <c r="L1593" s="7">
        <f t="shared" si="49"/>
        <v>2E-3</v>
      </c>
      <c r="M1593" s="7">
        <v>3.0000000000000001E-3</v>
      </c>
      <c r="N1593">
        <v>7</v>
      </c>
      <c r="O1593" s="8">
        <v>17.822306426995311</v>
      </c>
      <c r="P1593" s="9">
        <v>17.822306426995311</v>
      </c>
      <c r="Q1593" s="9">
        <v>17.822306426995311</v>
      </c>
      <c r="R1593" s="9">
        <v>18.237663306594719</v>
      </c>
      <c r="S1593" s="9">
        <v>18.48712920931133</v>
      </c>
      <c r="T1593" s="9">
        <v>19.201553596969877</v>
      </c>
      <c r="U1593" s="9">
        <v>20.562345482855957</v>
      </c>
      <c r="V1593" s="9">
        <v>20.562345482855957</v>
      </c>
      <c r="W1593" s="9">
        <v>20.562345482855957</v>
      </c>
      <c r="X1593" s="9">
        <v>22.391977691000818</v>
      </c>
      <c r="Y1593" s="9">
        <v>22.391977691000818</v>
      </c>
      <c r="Z1593" s="9">
        <v>24.28858708803979</v>
      </c>
      <c r="AA1593" s="9">
        <v>24.28858708803979</v>
      </c>
      <c r="AB1593" s="9">
        <v>25.117335532005217</v>
      </c>
      <c r="AC1593" s="9">
        <v>25.117335532005217</v>
      </c>
      <c r="AD1593" s="9">
        <v>29.039116491286865</v>
      </c>
      <c r="AE1593" s="9">
        <v>31.219251037281825</v>
      </c>
      <c r="AF1593" s="9">
        <v>33.487682081707895</v>
      </c>
      <c r="AG1593" s="9">
        <v>33.487682081707895</v>
      </c>
      <c r="AH1593" s="9">
        <v>36.427668170967245</v>
      </c>
      <c r="AI1593" s="9">
        <v>38.74455996597662</v>
      </c>
      <c r="AJ1593" s="9">
        <v>3.0428788910505911</v>
      </c>
    </row>
    <row r="1594" spans="1:36" x14ac:dyDescent="0.25">
      <c r="A1594" t="s">
        <v>5411</v>
      </c>
      <c r="B1594" t="s">
        <v>16</v>
      </c>
      <c r="C1594" t="s">
        <v>17</v>
      </c>
      <c r="D1594">
        <v>38178000</v>
      </c>
      <c r="E1594">
        <v>38179999</v>
      </c>
      <c r="F1594" t="s">
        <v>1413</v>
      </c>
      <c r="G1594" t="str">
        <f t="shared" si="48"/>
        <v>MGI II</v>
      </c>
      <c r="H1594" t="s">
        <v>851</v>
      </c>
      <c r="I1594" t="s">
        <v>20</v>
      </c>
      <c r="J1594" t="s">
        <v>64</v>
      </c>
      <c r="K1594" s="6">
        <v>0.03</v>
      </c>
      <c r="L1594" s="7">
        <f t="shared" si="49"/>
        <v>2E-3</v>
      </c>
      <c r="M1594" s="7">
        <v>3.0000000000000001E-3</v>
      </c>
      <c r="N1594">
        <v>7</v>
      </c>
      <c r="O1594" s="8">
        <v>17.822306426995311</v>
      </c>
      <c r="P1594" s="9">
        <v>17.822306426995311</v>
      </c>
      <c r="Q1594" s="9">
        <v>17.822306426995311</v>
      </c>
      <c r="R1594" s="9">
        <v>18.237663306594719</v>
      </c>
      <c r="S1594" s="9">
        <v>18.48712920931133</v>
      </c>
      <c r="T1594" s="9">
        <v>19.201553596969877</v>
      </c>
      <c r="U1594" s="9">
        <v>20.562345482855957</v>
      </c>
      <c r="V1594" s="9">
        <v>20.562345482855957</v>
      </c>
      <c r="W1594" s="9">
        <v>20.562345482855957</v>
      </c>
      <c r="X1594" s="9">
        <v>22.391977691000818</v>
      </c>
      <c r="Y1594" s="9">
        <v>22.391977691000818</v>
      </c>
      <c r="Z1594" s="9">
        <v>24.28858708803979</v>
      </c>
      <c r="AA1594" s="9">
        <v>24.28858708803979</v>
      </c>
      <c r="AB1594" s="9">
        <v>25.117335532005217</v>
      </c>
      <c r="AC1594" s="9">
        <v>25.117335532005217</v>
      </c>
      <c r="AD1594" s="9">
        <v>29.039116491286865</v>
      </c>
      <c r="AE1594" s="9">
        <v>31.219251037281825</v>
      </c>
      <c r="AF1594" s="9">
        <v>33.487682081707895</v>
      </c>
      <c r="AG1594" s="9">
        <v>33.487682081707895</v>
      </c>
      <c r="AH1594" s="9">
        <v>36.427668170967245</v>
      </c>
      <c r="AI1594" s="9">
        <v>38.74455996597662</v>
      </c>
      <c r="AJ1594" s="9">
        <v>3.0428788910505911</v>
      </c>
    </row>
    <row r="1595" spans="1:36" x14ac:dyDescent="0.25">
      <c r="A1595" t="s">
        <v>5411</v>
      </c>
      <c r="B1595" t="s">
        <v>16</v>
      </c>
      <c r="C1595" t="s">
        <v>17</v>
      </c>
      <c r="D1595">
        <v>38180000</v>
      </c>
      <c r="E1595">
        <v>38184999</v>
      </c>
      <c r="F1595" t="s">
        <v>1414</v>
      </c>
      <c r="G1595" t="str">
        <f t="shared" si="48"/>
        <v>MGI</v>
      </c>
      <c r="H1595" t="s">
        <v>851</v>
      </c>
      <c r="I1595" t="s">
        <v>20</v>
      </c>
      <c r="J1595" t="s">
        <v>62</v>
      </c>
      <c r="K1595" s="6">
        <v>0.03</v>
      </c>
      <c r="L1595" s="7">
        <f t="shared" si="49"/>
        <v>2E-3</v>
      </c>
      <c r="M1595" s="7">
        <v>3.0000000000000001E-3</v>
      </c>
      <c r="N1595">
        <v>6</v>
      </c>
      <c r="O1595" s="8">
        <v>13.880385281502075</v>
      </c>
      <c r="P1595" s="9">
        <v>13.880385281502075</v>
      </c>
      <c r="Q1595" s="9">
        <v>13.880385281502075</v>
      </c>
      <c r="R1595" s="9">
        <v>14.045989937445718</v>
      </c>
      <c r="S1595" s="9">
        <v>14.060876315369912</v>
      </c>
      <c r="T1595" s="9">
        <v>15.090338571208333</v>
      </c>
      <c r="U1595" s="9">
        <v>16.025407313902726</v>
      </c>
      <c r="V1595" s="9">
        <v>16.025407313902726</v>
      </c>
      <c r="W1595" s="9">
        <v>16.025407313902726</v>
      </c>
      <c r="X1595" s="9">
        <v>18.013895748167766</v>
      </c>
      <c r="Y1595" s="9">
        <v>18.013895748167766</v>
      </c>
      <c r="Z1595" s="9">
        <v>20.142868501532355</v>
      </c>
      <c r="AA1595" s="9">
        <v>20.142868501532355</v>
      </c>
      <c r="AB1595" s="9">
        <v>22.456349831314476</v>
      </c>
      <c r="AC1595" s="9">
        <v>22.456349831314476</v>
      </c>
      <c r="AD1595" s="9">
        <v>24.87984091164185</v>
      </c>
      <c r="AE1595" s="9">
        <v>27.427492221952345</v>
      </c>
      <c r="AF1595" s="9">
        <v>33.194804868730657</v>
      </c>
      <c r="AG1595" s="9">
        <v>33.194804868730657</v>
      </c>
      <c r="AH1595" s="9">
        <v>35.957808835828068</v>
      </c>
      <c r="AI1595" s="9">
        <v>38.646304092692077</v>
      </c>
      <c r="AJ1595" s="9">
        <v>3.0428788910505911</v>
      </c>
    </row>
    <row r="1596" spans="1:36" x14ac:dyDescent="0.25">
      <c r="A1596" t="s">
        <v>5411</v>
      </c>
      <c r="B1596" t="s">
        <v>16</v>
      </c>
      <c r="C1596" t="s">
        <v>17</v>
      </c>
      <c r="D1596">
        <v>38185000</v>
      </c>
      <c r="E1596">
        <v>38189999</v>
      </c>
      <c r="F1596" t="s">
        <v>1415</v>
      </c>
      <c r="G1596" t="str">
        <f t="shared" si="48"/>
        <v>MGI II</v>
      </c>
      <c r="H1596" t="s">
        <v>851</v>
      </c>
      <c r="I1596" t="s">
        <v>20</v>
      </c>
      <c r="J1596" t="s">
        <v>64</v>
      </c>
      <c r="K1596" s="6">
        <v>0.03</v>
      </c>
      <c r="L1596" s="7">
        <f t="shared" si="49"/>
        <v>2E-3</v>
      </c>
      <c r="M1596" s="7">
        <v>3.0000000000000001E-3</v>
      </c>
      <c r="N1596">
        <v>7</v>
      </c>
      <c r="O1596" s="8">
        <v>17.822306426995311</v>
      </c>
      <c r="P1596" s="9">
        <v>17.822306426995311</v>
      </c>
      <c r="Q1596" s="9">
        <v>17.822306426995311</v>
      </c>
      <c r="R1596" s="9">
        <v>18.237663306594719</v>
      </c>
      <c r="S1596" s="9">
        <v>18.48712920931133</v>
      </c>
      <c r="T1596" s="9">
        <v>19.201553596969877</v>
      </c>
      <c r="U1596" s="9">
        <v>20.562345482855957</v>
      </c>
      <c r="V1596" s="9">
        <v>20.562345482855957</v>
      </c>
      <c r="W1596" s="9">
        <v>20.562345482855957</v>
      </c>
      <c r="X1596" s="9">
        <v>22.391977691000818</v>
      </c>
      <c r="Y1596" s="9">
        <v>22.391977691000818</v>
      </c>
      <c r="Z1596" s="9">
        <v>24.28858708803979</v>
      </c>
      <c r="AA1596" s="9">
        <v>24.28858708803979</v>
      </c>
      <c r="AB1596" s="9">
        <v>25.117335532005217</v>
      </c>
      <c r="AC1596" s="9">
        <v>25.117335532005217</v>
      </c>
      <c r="AD1596" s="9">
        <v>29.039116491286865</v>
      </c>
      <c r="AE1596" s="9">
        <v>31.219251037281825</v>
      </c>
      <c r="AF1596" s="9">
        <v>33.487682081707895</v>
      </c>
      <c r="AG1596" s="9">
        <v>33.487682081707895</v>
      </c>
      <c r="AH1596" s="9">
        <v>36.427668170967245</v>
      </c>
      <c r="AI1596" s="9">
        <v>38.74455996597662</v>
      </c>
      <c r="AJ1596" s="9">
        <v>3.0428788910505911</v>
      </c>
    </row>
    <row r="1597" spans="1:36" x14ac:dyDescent="0.25">
      <c r="A1597" t="s">
        <v>5411</v>
      </c>
      <c r="B1597" t="s">
        <v>16</v>
      </c>
      <c r="C1597" t="s">
        <v>17</v>
      </c>
      <c r="D1597">
        <v>38190000</v>
      </c>
      <c r="E1597">
        <v>38194999</v>
      </c>
      <c r="F1597" t="s">
        <v>1416</v>
      </c>
      <c r="G1597" t="str">
        <f t="shared" si="48"/>
        <v>MGI II</v>
      </c>
      <c r="H1597" t="s">
        <v>851</v>
      </c>
      <c r="I1597" t="s">
        <v>20</v>
      </c>
      <c r="J1597" t="s">
        <v>64</v>
      </c>
      <c r="K1597" s="6">
        <v>0.03</v>
      </c>
      <c r="L1597" s="7">
        <f t="shared" si="49"/>
        <v>2E-3</v>
      </c>
      <c r="M1597" s="7">
        <v>3.0000000000000001E-3</v>
      </c>
      <c r="N1597">
        <v>6</v>
      </c>
      <c r="O1597" s="8">
        <v>17.822306426995311</v>
      </c>
      <c r="P1597" s="9">
        <v>17.822306426995311</v>
      </c>
      <c r="Q1597" s="9">
        <v>17.822306426995311</v>
      </c>
      <c r="R1597" s="9">
        <v>18.237663306594719</v>
      </c>
      <c r="S1597" s="9">
        <v>18.48712920931133</v>
      </c>
      <c r="T1597" s="9">
        <v>19.201553596969877</v>
      </c>
      <c r="U1597" s="9">
        <v>20.562345482855957</v>
      </c>
      <c r="V1597" s="9">
        <v>20.562345482855957</v>
      </c>
      <c r="W1597" s="9">
        <v>20.562345482855957</v>
      </c>
      <c r="X1597" s="9">
        <v>22.391977691000818</v>
      </c>
      <c r="Y1597" s="9">
        <v>22.391977691000818</v>
      </c>
      <c r="Z1597" s="9">
        <v>24.28858708803979</v>
      </c>
      <c r="AA1597" s="9">
        <v>24.28858708803979</v>
      </c>
      <c r="AB1597" s="9">
        <v>25.117335532005217</v>
      </c>
      <c r="AC1597" s="9">
        <v>25.117335532005217</v>
      </c>
      <c r="AD1597" s="9">
        <v>29.039116491286865</v>
      </c>
      <c r="AE1597" s="9">
        <v>31.219251037281825</v>
      </c>
      <c r="AF1597" s="9">
        <v>33.487682081707895</v>
      </c>
      <c r="AG1597" s="9">
        <v>33.487682081707895</v>
      </c>
      <c r="AH1597" s="9">
        <v>36.427668170967245</v>
      </c>
      <c r="AI1597" s="9">
        <v>38.74455996597662</v>
      </c>
      <c r="AJ1597" s="9">
        <v>3.0428788910505911</v>
      </c>
    </row>
    <row r="1598" spans="1:36" x14ac:dyDescent="0.25">
      <c r="A1598" t="s">
        <v>5411</v>
      </c>
      <c r="B1598" t="s">
        <v>16</v>
      </c>
      <c r="C1598" t="s">
        <v>17</v>
      </c>
      <c r="D1598">
        <v>38195000</v>
      </c>
      <c r="E1598">
        <v>38199999</v>
      </c>
      <c r="F1598" t="s">
        <v>1417</v>
      </c>
      <c r="G1598" t="str">
        <f t="shared" si="48"/>
        <v>MGI II</v>
      </c>
      <c r="H1598" t="s">
        <v>851</v>
      </c>
      <c r="I1598" t="s">
        <v>20</v>
      </c>
      <c r="J1598" t="s">
        <v>64</v>
      </c>
      <c r="K1598" s="6">
        <v>0.03</v>
      </c>
      <c r="L1598" s="7">
        <f t="shared" si="49"/>
        <v>2E-3</v>
      </c>
      <c r="M1598" s="7">
        <v>3.0000000000000001E-3</v>
      </c>
      <c r="N1598">
        <v>7</v>
      </c>
      <c r="O1598" s="8">
        <v>17.822306426995311</v>
      </c>
      <c r="P1598" s="9">
        <v>17.822306426995311</v>
      </c>
      <c r="Q1598" s="9">
        <v>17.822306426995311</v>
      </c>
      <c r="R1598" s="9">
        <v>18.237663306594719</v>
      </c>
      <c r="S1598" s="9">
        <v>18.48712920931133</v>
      </c>
      <c r="T1598" s="9">
        <v>19.201553596969877</v>
      </c>
      <c r="U1598" s="9">
        <v>20.562345482855957</v>
      </c>
      <c r="V1598" s="9">
        <v>20.562345482855957</v>
      </c>
      <c r="W1598" s="9">
        <v>20.562345482855957</v>
      </c>
      <c r="X1598" s="9">
        <v>22.391977691000818</v>
      </c>
      <c r="Y1598" s="9">
        <v>22.391977691000818</v>
      </c>
      <c r="Z1598" s="9">
        <v>24.28858708803979</v>
      </c>
      <c r="AA1598" s="9">
        <v>24.28858708803979</v>
      </c>
      <c r="AB1598" s="9">
        <v>25.117335532005217</v>
      </c>
      <c r="AC1598" s="9">
        <v>25.117335532005217</v>
      </c>
      <c r="AD1598" s="9">
        <v>29.039116491286865</v>
      </c>
      <c r="AE1598" s="9">
        <v>31.219251037281825</v>
      </c>
      <c r="AF1598" s="9">
        <v>33.487682081707895</v>
      </c>
      <c r="AG1598" s="9">
        <v>33.487682081707895</v>
      </c>
      <c r="AH1598" s="9">
        <v>36.427668170967245</v>
      </c>
      <c r="AI1598" s="9">
        <v>38.74455996597662</v>
      </c>
      <c r="AJ1598" s="9">
        <v>3.0428788910505911</v>
      </c>
    </row>
    <row r="1599" spans="1:36" x14ac:dyDescent="0.25">
      <c r="A1599" t="s">
        <v>5411</v>
      </c>
      <c r="B1599" t="s">
        <v>16</v>
      </c>
      <c r="C1599" t="s">
        <v>17</v>
      </c>
      <c r="D1599">
        <v>38200000</v>
      </c>
      <c r="E1599">
        <v>38209999</v>
      </c>
      <c r="F1599" t="s">
        <v>1418</v>
      </c>
      <c r="G1599" t="str">
        <f t="shared" si="48"/>
        <v>MGI II</v>
      </c>
      <c r="H1599" t="s">
        <v>851</v>
      </c>
      <c r="I1599" t="s">
        <v>20</v>
      </c>
      <c r="J1599" t="s">
        <v>64</v>
      </c>
      <c r="K1599" s="6">
        <v>0.03</v>
      </c>
      <c r="L1599" s="7">
        <f t="shared" si="49"/>
        <v>2E-3</v>
      </c>
      <c r="M1599" s="7">
        <v>3.0000000000000001E-3</v>
      </c>
      <c r="N1599">
        <v>7</v>
      </c>
      <c r="O1599" s="8">
        <v>17.822306426995311</v>
      </c>
      <c r="P1599" s="9">
        <v>17.822306426995311</v>
      </c>
      <c r="Q1599" s="9">
        <v>17.822306426995311</v>
      </c>
      <c r="R1599" s="9">
        <v>18.237663306594719</v>
      </c>
      <c r="S1599" s="9">
        <v>18.48712920931133</v>
      </c>
      <c r="T1599" s="9">
        <v>19.201553596969877</v>
      </c>
      <c r="U1599" s="9">
        <v>20.562345482855957</v>
      </c>
      <c r="V1599" s="9">
        <v>20.562345482855957</v>
      </c>
      <c r="W1599" s="9">
        <v>20.562345482855957</v>
      </c>
      <c r="X1599" s="9">
        <v>22.391977691000818</v>
      </c>
      <c r="Y1599" s="9">
        <v>22.391977691000818</v>
      </c>
      <c r="Z1599" s="9">
        <v>24.28858708803979</v>
      </c>
      <c r="AA1599" s="9">
        <v>24.28858708803979</v>
      </c>
      <c r="AB1599" s="9">
        <v>25.117335532005217</v>
      </c>
      <c r="AC1599" s="9">
        <v>25.117335532005217</v>
      </c>
      <c r="AD1599" s="9">
        <v>29.039116491286865</v>
      </c>
      <c r="AE1599" s="9">
        <v>31.219251037281825</v>
      </c>
      <c r="AF1599" s="9">
        <v>33.487682081707895</v>
      </c>
      <c r="AG1599" s="9">
        <v>33.487682081707895</v>
      </c>
      <c r="AH1599" s="9">
        <v>36.427668170967245</v>
      </c>
      <c r="AI1599" s="9">
        <v>38.74455996597662</v>
      </c>
      <c r="AJ1599" s="9">
        <v>3.0428788910505911</v>
      </c>
    </row>
    <row r="1600" spans="1:36" x14ac:dyDescent="0.25">
      <c r="A1600" t="s">
        <v>5411</v>
      </c>
      <c r="B1600" t="s">
        <v>16</v>
      </c>
      <c r="C1600" t="s">
        <v>17</v>
      </c>
      <c r="D1600">
        <v>38210000</v>
      </c>
      <c r="E1600">
        <v>38219999</v>
      </c>
      <c r="F1600" t="s">
        <v>1419</v>
      </c>
      <c r="G1600" t="str">
        <f t="shared" si="48"/>
        <v>MGI II</v>
      </c>
      <c r="H1600" t="s">
        <v>851</v>
      </c>
      <c r="I1600" t="s">
        <v>20</v>
      </c>
      <c r="J1600" t="s">
        <v>64</v>
      </c>
      <c r="K1600" s="6">
        <v>0.03</v>
      </c>
      <c r="L1600" s="7">
        <f t="shared" si="49"/>
        <v>2E-3</v>
      </c>
      <c r="M1600" s="7">
        <v>3.0000000000000001E-3</v>
      </c>
      <c r="N1600">
        <v>7</v>
      </c>
      <c r="O1600" s="8">
        <v>17.822306426995311</v>
      </c>
      <c r="P1600" s="9">
        <v>17.822306426995311</v>
      </c>
      <c r="Q1600" s="9">
        <v>17.822306426995311</v>
      </c>
      <c r="R1600" s="9">
        <v>18.237663306594719</v>
      </c>
      <c r="S1600" s="9">
        <v>18.48712920931133</v>
      </c>
      <c r="T1600" s="9">
        <v>19.201553596969877</v>
      </c>
      <c r="U1600" s="9">
        <v>20.562345482855957</v>
      </c>
      <c r="V1600" s="9">
        <v>20.562345482855957</v>
      </c>
      <c r="W1600" s="9">
        <v>20.562345482855957</v>
      </c>
      <c r="X1600" s="9">
        <v>22.391977691000818</v>
      </c>
      <c r="Y1600" s="9">
        <v>22.391977691000818</v>
      </c>
      <c r="Z1600" s="9">
        <v>24.28858708803979</v>
      </c>
      <c r="AA1600" s="9">
        <v>24.28858708803979</v>
      </c>
      <c r="AB1600" s="9">
        <v>25.117335532005217</v>
      </c>
      <c r="AC1600" s="9">
        <v>25.117335532005217</v>
      </c>
      <c r="AD1600" s="9">
        <v>29.039116491286865</v>
      </c>
      <c r="AE1600" s="9">
        <v>31.219251037281825</v>
      </c>
      <c r="AF1600" s="9">
        <v>33.487682081707895</v>
      </c>
      <c r="AG1600" s="9">
        <v>33.487682081707895</v>
      </c>
      <c r="AH1600" s="9">
        <v>36.427668170967245</v>
      </c>
      <c r="AI1600" s="9">
        <v>38.74455996597662</v>
      </c>
      <c r="AJ1600" s="9">
        <v>3.0428788910505911</v>
      </c>
    </row>
    <row r="1601" spans="1:36" x14ac:dyDescent="0.25">
      <c r="A1601" t="s">
        <v>5411</v>
      </c>
      <c r="B1601" t="s">
        <v>16</v>
      </c>
      <c r="C1601" t="s">
        <v>17</v>
      </c>
      <c r="D1601">
        <v>38220000</v>
      </c>
      <c r="E1601">
        <v>38229999</v>
      </c>
      <c r="F1601" t="s">
        <v>1420</v>
      </c>
      <c r="G1601" t="str">
        <f t="shared" si="48"/>
        <v>MGI II</v>
      </c>
      <c r="H1601" t="s">
        <v>851</v>
      </c>
      <c r="I1601" t="s">
        <v>20</v>
      </c>
      <c r="J1601" t="s">
        <v>64</v>
      </c>
      <c r="K1601" s="6">
        <v>0.03</v>
      </c>
      <c r="L1601" s="7">
        <f t="shared" si="49"/>
        <v>2E-3</v>
      </c>
      <c r="M1601" s="7">
        <v>3.0000000000000001E-3</v>
      </c>
      <c r="N1601">
        <v>7</v>
      </c>
      <c r="O1601" s="8">
        <v>17.822306426995311</v>
      </c>
      <c r="P1601" s="9">
        <v>17.822306426995311</v>
      </c>
      <c r="Q1601" s="9">
        <v>17.822306426995311</v>
      </c>
      <c r="R1601" s="9">
        <v>18.237663306594719</v>
      </c>
      <c r="S1601" s="9">
        <v>18.48712920931133</v>
      </c>
      <c r="T1601" s="9">
        <v>19.201553596969877</v>
      </c>
      <c r="U1601" s="9">
        <v>20.562345482855957</v>
      </c>
      <c r="V1601" s="9">
        <v>20.562345482855957</v>
      </c>
      <c r="W1601" s="9">
        <v>20.562345482855957</v>
      </c>
      <c r="X1601" s="9">
        <v>22.391977691000818</v>
      </c>
      <c r="Y1601" s="9">
        <v>22.391977691000818</v>
      </c>
      <c r="Z1601" s="9">
        <v>24.28858708803979</v>
      </c>
      <c r="AA1601" s="9">
        <v>24.28858708803979</v>
      </c>
      <c r="AB1601" s="9">
        <v>25.117335532005217</v>
      </c>
      <c r="AC1601" s="9">
        <v>25.117335532005217</v>
      </c>
      <c r="AD1601" s="9">
        <v>29.039116491286865</v>
      </c>
      <c r="AE1601" s="9">
        <v>31.219251037281825</v>
      </c>
      <c r="AF1601" s="9">
        <v>33.487682081707895</v>
      </c>
      <c r="AG1601" s="9">
        <v>33.487682081707895</v>
      </c>
      <c r="AH1601" s="9">
        <v>36.427668170967245</v>
      </c>
      <c r="AI1601" s="9">
        <v>38.74455996597662</v>
      </c>
      <c r="AJ1601" s="9">
        <v>3.0428788910505911</v>
      </c>
    </row>
    <row r="1602" spans="1:36" x14ac:dyDescent="0.25">
      <c r="A1602" t="s">
        <v>5411</v>
      </c>
      <c r="B1602" t="s">
        <v>16</v>
      </c>
      <c r="C1602" t="s">
        <v>17</v>
      </c>
      <c r="D1602">
        <v>38230000</v>
      </c>
      <c r="E1602">
        <v>38239999</v>
      </c>
      <c r="F1602" t="s">
        <v>1421</v>
      </c>
      <c r="G1602" t="str">
        <f t="shared" si="48"/>
        <v>MGI II</v>
      </c>
      <c r="H1602" t="s">
        <v>851</v>
      </c>
      <c r="I1602" t="s">
        <v>20</v>
      </c>
      <c r="J1602" t="s">
        <v>64</v>
      </c>
      <c r="K1602" s="6">
        <v>0.03</v>
      </c>
      <c r="L1602" s="7">
        <f t="shared" si="49"/>
        <v>2E-3</v>
      </c>
      <c r="M1602" s="7">
        <v>3.0000000000000001E-3</v>
      </c>
      <c r="N1602">
        <v>7</v>
      </c>
      <c r="O1602" s="8">
        <v>17.822306426995311</v>
      </c>
      <c r="P1602" s="9">
        <v>17.822306426995311</v>
      </c>
      <c r="Q1602" s="9">
        <v>17.822306426995311</v>
      </c>
      <c r="R1602" s="9">
        <v>18.237663306594719</v>
      </c>
      <c r="S1602" s="9">
        <v>18.48712920931133</v>
      </c>
      <c r="T1602" s="9">
        <v>19.201553596969877</v>
      </c>
      <c r="U1602" s="9">
        <v>20.562345482855957</v>
      </c>
      <c r="V1602" s="9">
        <v>20.562345482855957</v>
      </c>
      <c r="W1602" s="9">
        <v>20.562345482855957</v>
      </c>
      <c r="X1602" s="9">
        <v>22.391977691000818</v>
      </c>
      <c r="Y1602" s="9">
        <v>22.391977691000818</v>
      </c>
      <c r="Z1602" s="9">
        <v>24.28858708803979</v>
      </c>
      <c r="AA1602" s="9">
        <v>24.28858708803979</v>
      </c>
      <c r="AB1602" s="9">
        <v>25.117335532005217</v>
      </c>
      <c r="AC1602" s="9">
        <v>25.117335532005217</v>
      </c>
      <c r="AD1602" s="9">
        <v>29.039116491286865</v>
      </c>
      <c r="AE1602" s="9">
        <v>31.219251037281825</v>
      </c>
      <c r="AF1602" s="9">
        <v>33.487682081707895</v>
      </c>
      <c r="AG1602" s="9">
        <v>33.487682081707895</v>
      </c>
      <c r="AH1602" s="9">
        <v>36.427668170967245</v>
      </c>
      <c r="AI1602" s="9">
        <v>38.74455996597662</v>
      </c>
      <c r="AJ1602" s="9">
        <v>3.0428788910505911</v>
      </c>
    </row>
    <row r="1603" spans="1:36" x14ac:dyDescent="0.25">
      <c r="A1603" t="s">
        <v>5411</v>
      </c>
      <c r="B1603" t="s">
        <v>16</v>
      </c>
      <c r="C1603" t="s">
        <v>17</v>
      </c>
      <c r="D1603">
        <v>38240000</v>
      </c>
      <c r="E1603">
        <v>38249999</v>
      </c>
      <c r="F1603" t="s">
        <v>1422</v>
      </c>
      <c r="G1603" t="str">
        <f t="shared" si="48"/>
        <v>MGI II</v>
      </c>
      <c r="H1603" t="s">
        <v>851</v>
      </c>
      <c r="I1603" t="s">
        <v>20</v>
      </c>
      <c r="J1603" t="s">
        <v>64</v>
      </c>
      <c r="K1603" s="6">
        <v>0.03</v>
      </c>
      <c r="L1603" s="7">
        <f t="shared" si="49"/>
        <v>2E-3</v>
      </c>
      <c r="M1603" s="7">
        <v>3.0000000000000001E-3</v>
      </c>
      <c r="N1603">
        <v>7</v>
      </c>
      <c r="O1603" s="8">
        <v>17.822306426995311</v>
      </c>
      <c r="P1603" s="9">
        <v>17.822306426995311</v>
      </c>
      <c r="Q1603" s="9">
        <v>17.822306426995311</v>
      </c>
      <c r="R1603" s="9">
        <v>18.237663306594719</v>
      </c>
      <c r="S1603" s="9">
        <v>18.48712920931133</v>
      </c>
      <c r="T1603" s="9">
        <v>19.201553596969877</v>
      </c>
      <c r="U1603" s="9">
        <v>20.562345482855957</v>
      </c>
      <c r="V1603" s="9">
        <v>20.562345482855957</v>
      </c>
      <c r="W1603" s="9">
        <v>20.562345482855957</v>
      </c>
      <c r="X1603" s="9">
        <v>22.391977691000818</v>
      </c>
      <c r="Y1603" s="9">
        <v>22.391977691000818</v>
      </c>
      <c r="Z1603" s="9">
        <v>24.28858708803979</v>
      </c>
      <c r="AA1603" s="9">
        <v>24.28858708803979</v>
      </c>
      <c r="AB1603" s="9">
        <v>25.117335532005217</v>
      </c>
      <c r="AC1603" s="9">
        <v>25.117335532005217</v>
      </c>
      <c r="AD1603" s="9">
        <v>29.039116491286865</v>
      </c>
      <c r="AE1603" s="9">
        <v>31.219251037281825</v>
      </c>
      <c r="AF1603" s="9">
        <v>33.487682081707895</v>
      </c>
      <c r="AG1603" s="9">
        <v>33.487682081707895</v>
      </c>
      <c r="AH1603" s="9">
        <v>36.427668170967245</v>
      </c>
      <c r="AI1603" s="9">
        <v>38.74455996597662</v>
      </c>
      <c r="AJ1603" s="9">
        <v>3.0428788910505911</v>
      </c>
    </row>
    <row r="1604" spans="1:36" x14ac:dyDescent="0.25">
      <c r="A1604" t="s">
        <v>5411</v>
      </c>
      <c r="B1604" t="s">
        <v>16</v>
      </c>
      <c r="C1604" t="s">
        <v>17</v>
      </c>
      <c r="D1604">
        <v>38250000</v>
      </c>
      <c r="E1604">
        <v>38259999</v>
      </c>
      <c r="F1604" t="s">
        <v>1423</v>
      </c>
      <c r="G1604" t="str">
        <f t="shared" ref="G1604:G1667" si="50">H1604&amp;IF(J1604="CAPITAL","C",IF(J1604="INTERIOR","I",IF(J1604="INTERIOR II","I II","R")))</f>
        <v>MGI II</v>
      </c>
      <c r="H1604" t="s">
        <v>851</v>
      </c>
      <c r="I1604" t="s">
        <v>20</v>
      </c>
      <c r="J1604" t="s">
        <v>64</v>
      </c>
      <c r="K1604" s="6">
        <v>0.03</v>
      </c>
      <c r="L1604" s="7">
        <f t="shared" ref="L1604:L1667" si="51">IF(I1604="(0) Não",0.2%,3%)</f>
        <v>2E-3</v>
      </c>
      <c r="M1604" s="7">
        <v>3.0000000000000001E-3</v>
      </c>
      <c r="N1604">
        <v>7</v>
      </c>
      <c r="O1604" s="8">
        <v>17.822306426995311</v>
      </c>
      <c r="P1604" s="9">
        <v>17.822306426995311</v>
      </c>
      <c r="Q1604" s="9">
        <v>17.822306426995311</v>
      </c>
      <c r="R1604" s="9">
        <v>18.237663306594719</v>
      </c>
      <c r="S1604" s="9">
        <v>18.48712920931133</v>
      </c>
      <c r="T1604" s="9">
        <v>19.201553596969877</v>
      </c>
      <c r="U1604" s="9">
        <v>20.562345482855957</v>
      </c>
      <c r="V1604" s="9">
        <v>20.562345482855957</v>
      </c>
      <c r="W1604" s="9">
        <v>20.562345482855957</v>
      </c>
      <c r="X1604" s="9">
        <v>22.391977691000818</v>
      </c>
      <c r="Y1604" s="9">
        <v>22.391977691000818</v>
      </c>
      <c r="Z1604" s="9">
        <v>24.28858708803979</v>
      </c>
      <c r="AA1604" s="9">
        <v>24.28858708803979</v>
      </c>
      <c r="AB1604" s="9">
        <v>25.117335532005217</v>
      </c>
      <c r="AC1604" s="9">
        <v>25.117335532005217</v>
      </c>
      <c r="AD1604" s="9">
        <v>29.039116491286865</v>
      </c>
      <c r="AE1604" s="9">
        <v>31.219251037281825</v>
      </c>
      <c r="AF1604" s="9">
        <v>33.487682081707895</v>
      </c>
      <c r="AG1604" s="9">
        <v>33.487682081707895</v>
      </c>
      <c r="AH1604" s="9">
        <v>36.427668170967245</v>
      </c>
      <c r="AI1604" s="9">
        <v>38.74455996597662</v>
      </c>
      <c r="AJ1604" s="9">
        <v>3.0428788910505911</v>
      </c>
    </row>
    <row r="1605" spans="1:36" x14ac:dyDescent="0.25">
      <c r="A1605" t="s">
        <v>5411</v>
      </c>
      <c r="B1605" t="s">
        <v>16</v>
      </c>
      <c r="C1605" t="s">
        <v>17</v>
      </c>
      <c r="D1605">
        <v>38260000</v>
      </c>
      <c r="E1605">
        <v>38269999</v>
      </c>
      <c r="F1605" t="s">
        <v>1424</v>
      </c>
      <c r="G1605" t="str">
        <f t="shared" si="50"/>
        <v>MGI II</v>
      </c>
      <c r="H1605" t="s">
        <v>851</v>
      </c>
      <c r="I1605" t="s">
        <v>20</v>
      </c>
      <c r="J1605" t="s">
        <v>64</v>
      </c>
      <c r="K1605" s="6">
        <v>0.03</v>
      </c>
      <c r="L1605" s="7">
        <f t="shared" si="51"/>
        <v>2E-3</v>
      </c>
      <c r="M1605" s="7">
        <v>3.0000000000000001E-3</v>
      </c>
      <c r="N1605">
        <v>10</v>
      </c>
      <c r="O1605" s="8">
        <v>17.822306426995311</v>
      </c>
      <c r="P1605" s="9">
        <v>17.822306426995311</v>
      </c>
      <c r="Q1605" s="9">
        <v>17.822306426995311</v>
      </c>
      <c r="R1605" s="9">
        <v>18.237663306594719</v>
      </c>
      <c r="S1605" s="9">
        <v>18.48712920931133</v>
      </c>
      <c r="T1605" s="9">
        <v>19.201553596969877</v>
      </c>
      <c r="U1605" s="9">
        <v>20.562345482855957</v>
      </c>
      <c r="V1605" s="9">
        <v>20.562345482855957</v>
      </c>
      <c r="W1605" s="9">
        <v>20.562345482855957</v>
      </c>
      <c r="X1605" s="9">
        <v>22.391977691000818</v>
      </c>
      <c r="Y1605" s="9">
        <v>22.391977691000818</v>
      </c>
      <c r="Z1605" s="9">
        <v>24.28858708803979</v>
      </c>
      <c r="AA1605" s="9">
        <v>24.28858708803979</v>
      </c>
      <c r="AB1605" s="9">
        <v>25.117335532005217</v>
      </c>
      <c r="AC1605" s="9">
        <v>25.117335532005217</v>
      </c>
      <c r="AD1605" s="9">
        <v>29.039116491286865</v>
      </c>
      <c r="AE1605" s="9">
        <v>31.219251037281825</v>
      </c>
      <c r="AF1605" s="9">
        <v>33.487682081707895</v>
      </c>
      <c r="AG1605" s="9">
        <v>33.487682081707895</v>
      </c>
      <c r="AH1605" s="9">
        <v>36.427668170967245</v>
      </c>
      <c r="AI1605" s="9">
        <v>38.74455996597662</v>
      </c>
      <c r="AJ1605" s="9">
        <v>3.0428788910505911</v>
      </c>
    </row>
    <row r="1606" spans="1:36" x14ac:dyDescent="0.25">
      <c r="A1606" t="s">
        <v>5411</v>
      </c>
      <c r="B1606" t="s">
        <v>16</v>
      </c>
      <c r="C1606" t="s">
        <v>17</v>
      </c>
      <c r="D1606">
        <v>38270000</v>
      </c>
      <c r="E1606">
        <v>38279999</v>
      </c>
      <c r="F1606" t="s">
        <v>1425</v>
      </c>
      <c r="G1606" t="str">
        <f t="shared" si="50"/>
        <v>MGI II</v>
      </c>
      <c r="H1606" t="s">
        <v>851</v>
      </c>
      <c r="I1606" t="s">
        <v>20</v>
      </c>
      <c r="J1606" t="s">
        <v>64</v>
      </c>
      <c r="K1606" s="6">
        <v>0.03</v>
      </c>
      <c r="L1606" s="7">
        <f t="shared" si="51"/>
        <v>2E-3</v>
      </c>
      <c r="M1606" s="7">
        <v>3.0000000000000001E-3</v>
      </c>
      <c r="N1606">
        <v>10</v>
      </c>
      <c r="O1606" s="8">
        <v>17.822306426995311</v>
      </c>
      <c r="P1606" s="9">
        <v>17.822306426995311</v>
      </c>
      <c r="Q1606" s="9">
        <v>17.822306426995311</v>
      </c>
      <c r="R1606" s="9">
        <v>18.237663306594719</v>
      </c>
      <c r="S1606" s="9">
        <v>18.48712920931133</v>
      </c>
      <c r="T1606" s="9">
        <v>19.201553596969877</v>
      </c>
      <c r="U1606" s="9">
        <v>20.562345482855957</v>
      </c>
      <c r="V1606" s="9">
        <v>20.562345482855957</v>
      </c>
      <c r="W1606" s="9">
        <v>20.562345482855957</v>
      </c>
      <c r="X1606" s="9">
        <v>22.391977691000818</v>
      </c>
      <c r="Y1606" s="9">
        <v>22.391977691000818</v>
      </c>
      <c r="Z1606" s="9">
        <v>24.28858708803979</v>
      </c>
      <c r="AA1606" s="9">
        <v>24.28858708803979</v>
      </c>
      <c r="AB1606" s="9">
        <v>25.117335532005217</v>
      </c>
      <c r="AC1606" s="9">
        <v>25.117335532005217</v>
      </c>
      <c r="AD1606" s="9">
        <v>29.039116491286865</v>
      </c>
      <c r="AE1606" s="9">
        <v>31.219251037281825</v>
      </c>
      <c r="AF1606" s="9">
        <v>33.487682081707895</v>
      </c>
      <c r="AG1606" s="9">
        <v>33.487682081707895</v>
      </c>
      <c r="AH1606" s="9">
        <v>36.427668170967245</v>
      </c>
      <c r="AI1606" s="9">
        <v>38.74455996597662</v>
      </c>
      <c r="AJ1606" s="9">
        <v>3.0428788910505911</v>
      </c>
    </row>
    <row r="1607" spans="1:36" x14ac:dyDescent="0.25">
      <c r="A1607" t="s">
        <v>5411</v>
      </c>
      <c r="B1607" t="s">
        <v>16</v>
      </c>
      <c r="C1607" t="s">
        <v>17</v>
      </c>
      <c r="D1607">
        <v>38280000</v>
      </c>
      <c r="E1607">
        <v>38287999</v>
      </c>
      <c r="F1607" t="s">
        <v>1426</v>
      </c>
      <c r="G1607" t="str">
        <f t="shared" si="50"/>
        <v>MGI II</v>
      </c>
      <c r="H1607" t="s">
        <v>851</v>
      </c>
      <c r="I1607" t="s">
        <v>20</v>
      </c>
      <c r="J1607" t="s">
        <v>64</v>
      </c>
      <c r="K1607" s="6">
        <v>0.03</v>
      </c>
      <c r="L1607" s="7">
        <f t="shared" si="51"/>
        <v>2E-3</v>
      </c>
      <c r="M1607" s="7">
        <v>3.0000000000000001E-3</v>
      </c>
      <c r="N1607">
        <v>10</v>
      </c>
      <c r="O1607" s="8">
        <v>17.822306426995311</v>
      </c>
      <c r="P1607" s="9">
        <v>17.822306426995311</v>
      </c>
      <c r="Q1607" s="9">
        <v>17.822306426995311</v>
      </c>
      <c r="R1607" s="9">
        <v>18.237663306594719</v>
      </c>
      <c r="S1607" s="9">
        <v>18.48712920931133</v>
      </c>
      <c r="T1607" s="9">
        <v>19.201553596969877</v>
      </c>
      <c r="U1607" s="9">
        <v>20.562345482855957</v>
      </c>
      <c r="V1607" s="9">
        <v>20.562345482855957</v>
      </c>
      <c r="W1607" s="9">
        <v>20.562345482855957</v>
      </c>
      <c r="X1607" s="9">
        <v>22.391977691000818</v>
      </c>
      <c r="Y1607" s="9">
        <v>22.391977691000818</v>
      </c>
      <c r="Z1607" s="9">
        <v>24.28858708803979</v>
      </c>
      <c r="AA1607" s="9">
        <v>24.28858708803979</v>
      </c>
      <c r="AB1607" s="9">
        <v>25.117335532005217</v>
      </c>
      <c r="AC1607" s="9">
        <v>25.117335532005217</v>
      </c>
      <c r="AD1607" s="9">
        <v>29.039116491286865</v>
      </c>
      <c r="AE1607" s="9">
        <v>31.219251037281825</v>
      </c>
      <c r="AF1607" s="9">
        <v>33.487682081707895</v>
      </c>
      <c r="AG1607" s="9">
        <v>33.487682081707895</v>
      </c>
      <c r="AH1607" s="9">
        <v>36.427668170967245</v>
      </c>
      <c r="AI1607" s="9">
        <v>38.74455996597662</v>
      </c>
      <c r="AJ1607" s="9">
        <v>3.0428788910505911</v>
      </c>
    </row>
    <row r="1608" spans="1:36" x14ac:dyDescent="0.25">
      <c r="A1608" t="s">
        <v>5411</v>
      </c>
      <c r="B1608" t="s">
        <v>16</v>
      </c>
      <c r="C1608" t="s">
        <v>17</v>
      </c>
      <c r="D1608">
        <v>38288000</v>
      </c>
      <c r="E1608">
        <v>38289999</v>
      </c>
      <c r="F1608" t="s">
        <v>1427</v>
      </c>
      <c r="G1608" t="str">
        <f t="shared" si="50"/>
        <v>MGI II</v>
      </c>
      <c r="H1608" t="s">
        <v>851</v>
      </c>
      <c r="I1608" t="s">
        <v>20</v>
      </c>
      <c r="J1608" t="s">
        <v>64</v>
      </c>
      <c r="K1608" s="6">
        <v>0.03</v>
      </c>
      <c r="L1608" s="7">
        <f t="shared" si="51"/>
        <v>2E-3</v>
      </c>
      <c r="M1608" s="7">
        <v>3.0000000000000001E-3</v>
      </c>
      <c r="N1608">
        <v>10</v>
      </c>
      <c r="O1608" s="8">
        <v>17.822306426995311</v>
      </c>
      <c r="P1608" s="9">
        <v>17.822306426995311</v>
      </c>
      <c r="Q1608" s="9">
        <v>17.822306426995311</v>
      </c>
      <c r="R1608" s="9">
        <v>18.237663306594719</v>
      </c>
      <c r="S1608" s="9">
        <v>18.48712920931133</v>
      </c>
      <c r="T1608" s="9">
        <v>19.201553596969877</v>
      </c>
      <c r="U1608" s="9">
        <v>20.562345482855957</v>
      </c>
      <c r="V1608" s="9">
        <v>20.562345482855957</v>
      </c>
      <c r="W1608" s="9">
        <v>20.562345482855957</v>
      </c>
      <c r="X1608" s="9">
        <v>22.391977691000818</v>
      </c>
      <c r="Y1608" s="9">
        <v>22.391977691000818</v>
      </c>
      <c r="Z1608" s="9">
        <v>24.28858708803979</v>
      </c>
      <c r="AA1608" s="9">
        <v>24.28858708803979</v>
      </c>
      <c r="AB1608" s="9">
        <v>25.117335532005217</v>
      </c>
      <c r="AC1608" s="9">
        <v>25.117335532005217</v>
      </c>
      <c r="AD1608" s="9">
        <v>29.039116491286865</v>
      </c>
      <c r="AE1608" s="9">
        <v>31.219251037281825</v>
      </c>
      <c r="AF1608" s="9">
        <v>33.487682081707895</v>
      </c>
      <c r="AG1608" s="9">
        <v>33.487682081707895</v>
      </c>
      <c r="AH1608" s="9">
        <v>36.427668170967245</v>
      </c>
      <c r="AI1608" s="9">
        <v>38.74455996597662</v>
      </c>
      <c r="AJ1608" s="9">
        <v>3.0428788910505911</v>
      </c>
    </row>
    <row r="1609" spans="1:36" x14ac:dyDescent="0.25">
      <c r="A1609" t="s">
        <v>5411</v>
      </c>
      <c r="B1609" t="s">
        <v>16</v>
      </c>
      <c r="C1609" t="s">
        <v>17</v>
      </c>
      <c r="D1609">
        <v>38290000</v>
      </c>
      <c r="E1609">
        <v>38294999</v>
      </c>
      <c r="F1609" t="s">
        <v>1428</v>
      </c>
      <c r="G1609" t="str">
        <f t="shared" si="50"/>
        <v>MGI II</v>
      </c>
      <c r="H1609" t="s">
        <v>851</v>
      </c>
      <c r="I1609" t="s">
        <v>20</v>
      </c>
      <c r="J1609" t="s">
        <v>64</v>
      </c>
      <c r="K1609" s="6">
        <v>0.03</v>
      </c>
      <c r="L1609" s="7">
        <f t="shared" si="51"/>
        <v>2E-3</v>
      </c>
      <c r="M1609" s="7">
        <v>3.0000000000000001E-3</v>
      </c>
      <c r="N1609">
        <v>10</v>
      </c>
      <c r="O1609" s="8">
        <v>17.822306426995311</v>
      </c>
      <c r="P1609" s="9">
        <v>17.822306426995311</v>
      </c>
      <c r="Q1609" s="9">
        <v>17.822306426995311</v>
      </c>
      <c r="R1609" s="9">
        <v>18.237663306594719</v>
      </c>
      <c r="S1609" s="9">
        <v>18.48712920931133</v>
      </c>
      <c r="T1609" s="9">
        <v>19.201553596969877</v>
      </c>
      <c r="U1609" s="9">
        <v>20.562345482855957</v>
      </c>
      <c r="V1609" s="9">
        <v>20.562345482855957</v>
      </c>
      <c r="W1609" s="9">
        <v>20.562345482855957</v>
      </c>
      <c r="X1609" s="9">
        <v>22.391977691000818</v>
      </c>
      <c r="Y1609" s="9">
        <v>22.391977691000818</v>
      </c>
      <c r="Z1609" s="9">
        <v>24.28858708803979</v>
      </c>
      <c r="AA1609" s="9">
        <v>24.28858708803979</v>
      </c>
      <c r="AB1609" s="9">
        <v>25.117335532005217</v>
      </c>
      <c r="AC1609" s="9">
        <v>25.117335532005217</v>
      </c>
      <c r="AD1609" s="9">
        <v>29.039116491286865</v>
      </c>
      <c r="AE1609" s="9">
        <v>31.219251037281825</v>
      </c>
      <c r="AF1609" s="9">
        <v>33.487682081707895</v>
      </c>
      <c r="AG1609" s="9">
        <v>33.487682081707895</v>
      </c>
      <c r="AH1609" s="9">
        <v>36.427668170967245</v>
      </c>
      <c r="AI1609" s="9">
        <v>38.74455996597662</v>
      </c>
      <c r="AJ1609" s="9">
        <v>3.0428788910505911</v>
      </c>
    </row>
    <row r="1610" spans="1:36" x14ac:dyDescent="0.25">
      <c r="A1610" t="s">
        <v>5411</v>
      </c>
      <c r="B1610" t="s">
        <v>16</v>
      </c>
      <c r="C1610" t="s">
        <v>17</v>
      </c>
      <c r="D1610">
        <v>38295000</v>
      </c>
      <c r="E1610">
        <v>38299999</v>
      </c>
      <c r="F1610" t="s">
        <v>1429</v>
      </c>
      <c r="G1610" t="str">
        <f t="shared" si="50"/>
        <v>MGI II</v>
      </c>
      <c r="H1610" t="s">
        <v>851</v>
      </c>
      <c r="I1610" t="s">
        <v>20</v>
      </c>
      <c r="J1610" t="s">
        <v>64</v>
      </c>
      <c r="K1610" s="6">
        <v>0.03</v>
      </c>
      <c r="L1610" s="7">
        <f t="shared" si="51"/>
        <v>2E-3</v>
      </c>
      <c r="M1610" s="7">
        <v>3.0000000000000001E-3</v>
      </c>
      <c r="N1610">
        <v>10</v>
      </c>
      <c r="O1610" s="8">
        <v>17.822306426995311</v>
      </c>
      <c r="P1610" s="9">
        <v>17.822306426995311</v>
      </c>
      <c r="Q1610" s="9">
        <v>17.822306426995311</v>
      </c>
      <c r="R1610" s="9">
        <v>18.237663306594719</v>
      </c>
      <c r="S1610" s="9">
        <v>18.48712920931133</v>
      </c>
      <c r="T1610" s="9">
        <v>19.201553596969877</v>
      </c>
      <c r="U1610" s="9">
        <v>20.562345482855957</v>
      </c>
      <c r="V1610" s="9">
        <v>20.562345482855957</v>
      </c>
      <c r="W1610" s="9">
        <v>20.562345482855957</v>
      </c>
      <c r="X1610" s="9">
        <v>22.391977691000818</v>
      </c>
      <c r="Y1610" s="9">
        <v>22.391977691000818</v>
      </c>
      <c r="Z1610" s="9">
        <v>24.28858708803979</v>
      </c>
      <c r="AA1610" s="9">
        <v>24.28858708803979</v>
      </c>
      <c r="AB1610" s="9">
        <v>25.117335532005217</v>
      </c>
      <c r="AC1610" s="9">
        <v>25.117335532005217</v>
      </c>
      <c r="AD1610" s="9">
        <v>29.039116491286865</v>
      </c>
      <c r="AE1610" s="9">
        <v>31.219251037281825</v>
      </c>
      <c r="AF1610" s="9">
        <v>33.487682081707895</v>
      </c>
      <c r="AG1610" s="9">
        <v>33.487682081707895</v>
      </c>
      <c r="AH1610" s="9">
        <v>36.427668170967245</v>
      </c>
      <c r="AI1610" s="9">
        <v>38.74455996597662</v>
      </c>
      <c r="AJ1610" s="9">
        <v>3.0428788910505911</v>
      </c>
    </row>
    <row r="1611" spans="1:36" x14ac:dyDescent="0.25">
      <c r="A1611" t="s">
        <v>5411</v>
      </c>
      <c r="B1611" t="s">
        <v>16</v>
      </c>
      <c r="C1611" t="s">
        <v>17</v>
      </c>
      <c r="D1611">
        <v>38300000</v>
      </c>
      <c r="E1611">
        <v>38309999</v>
      </c>
      <c r="F1611" t="s">
        <v>1430</v>
      </c>
      <c r="G1611" t="str">
        <f t="shared" si="50"/>
        <v>MGI</v>
      </c>
      <c r="H1611" t="s">
        <v>851</v>
      </c>
      <c r="I1611" t="s">
        <v>20</v>
      </c>
      <c r="J1611" t="s">
        <v>62</v>
      </c>
      <c r="K1611" s="6">
        <v>0.03</v>
      </c>
      <c r="L1611" s="7">
        <f t="shared" si="51"/>
        <v>2E-3</v>
      </c>
      <c r="M1611" s="7">
        <v>3.0000000000000001E-3</v>
      </c>
      <c r="N1611">
        <v>7</v>
      </c>
      <c r="O1611" s="8">
        <v>13.880385281502075</v>
      </c>
      <c r="P1611" s="9">
        <v>13.880385281502075</v>
      </c>
      <c r="Q1611" s="9">
        <v>13.880385281502075</v>
      </c>
      <c r="R1611" s="9">
        <v>14.045989937445718</v>
      </c>
      <c r="S1611" s="9">
        <v>14.060876315369912</v>
      </c>
      <c r="T1611" s="9">
        <v>15.090338571208333</v>
      </c>
      <c r="U1611" s="9">
        <v>16.025407313902726</v>
      </c>
      <c r="V1611" s="9">
        <v>16.025407313902726</v>
      </c>
      <c r="W1611" s="9">
        <v>16.025407313902726</v>
      </c>
      <c r="X1611" s="9">
        <v>18.013895748167766</v>
      </c>
      <c r="Y1611" s="9">
        <v>18.013895748167766</v>
      </c>
      <c r="Z1611" s="9">
        <v>20.142868501532355</v>
      </c>
      <c r="AA1611" s="9">
        <v>20.142868501532355</v>
      </c>
      <c r="AB1611" s="9">
        <v>22.456349831314476</v>
      </c>
      <c r="AC1611" s="9">
        <v>22.456349831314476</v>
      </c>
      <c r="AD1611" s="9">
        <v>24.87984091164185</v>
      </c>
      <c r="AE1611" s="9">
        <v>27.427492221952345</v>
      </c>
      <c r="AF1611" s="9">
        <v>33.194804868730657</v>
      </c>
      <c r="AG1611" s="9">
        <v>33.194804868730657</v>
      </c>
      <c r="AH1611" s="9">
        <v>35.957808835828068</v>
      </c>
      <c r="AI1611" s="9">
        <v>38.646304092692077</v>
      </c>
      <c r="AJ1611" s="9">
        <v>3.0428788910505911</v>
      </c>
    </row>
    <row r="1612" spans="1:36" x14ac:dyDescent="0.25">
      <c r="A1612" t="s">
        <v>5411</v>
      </c>
      <c r="B1612" t="s">
        <v>16</v>
      </c>
      <c r="C1612" t="s">
        <v>17</v>
      </c>
      <c r="D1612">
        <v>38310000</v>
      </c>
      <c r="E1612">
        <v>38319999</v>
      </c>
      <c r="F1612" t="s">
        <v>1431</v>
      </c>
      <c r="G1612" t="str">
        <f t="shared" si="50"/>
        <v>MGI II</v>
      </c>
      <c r="H1612" t="s">
        <v>851</v>
      </c>
      <c r="I1612" t="s">
        <v>20</v>
      </c>
      <c r="J1612" t="s">
        <v>64</v>
      </c>
      <c r="K1612" s="6">
        <v>0.03</v>
      </c>
      <c r="L1612" s="7">
        <f t="shared" si="51"/>
        <v>2E-3</v>
      </c>
      <c r="M1612" s="7">
        <v>3.0000000000000001E-3</v>
      </c>
      <c r="N1612">
        <v>10</v>
      </c>
      <c r="O1612" s="8">
        <v>17.822306426995311</v>
      </c>
      <c r="P1612" s="9">
        <v>17.822306426995311</v>
      </c>
      <c r="Q1612" s="9">
        <v>17.822306426995311</v>
      </c>
      <c r="R1612" s="9">
        <v>18.237663306594719</v>
      </c>
      <c r="S1612" s="9">
        <v>18.48712920931133</v>
      </c>
      <c r="T1612" s="9">
        <v>19.201553596969877</v>
      </c>
      <c r="U1612" s="9">
        <v>20.562345482855957</v>
      </c>
      <c r="V1612" s="9">
        <v>20.562345482855957</v>
      </c>
      <c r="W1612" s="9">
        <v>20.562345482855957</v>
      </c>
      <c r="X1612" s="9">
        <v>22.391977691000818</v>
      </c>
      <c r="Y1612" s="9">
        <v>22.391977691000818</v>
      </c>
      <c r="Z1612" s="9">
        <v>24.28858708803979</v>
      </c>
      <c r="AA1612" s="9">
        <v>24.28858708803979</v>
      </c>
      <c r="AB1612" s="9">
        <v>25.117335532005217</v>
      </c>
      <c r="AC1612" s="9">
        <v>25.117335532005217</v>
      </c>
      <c r="AD1612" s="9">
        <v>29.039116491286865</v>
      </c>
      <c r="AE1612" s="9">
        <v>31.219251037281825</v>
      </c>
      <c r="AF1612" s="9">
        <v>33.487682081707895</v>
      </c>
      <c r="AG1612" s="9">
        <v>33.487682081707895</v>
      </c>
      <c r="AH1612" s="9">
        <v>36.427668170967245</v>
      </c>
      <c r="AI1612" s="9">
        <v>38.74455996597662</v>
      </c>
      <c r="AJ1612" s="9">
        <v>3.0428788910505911</v>
      </c>
    </row>
    <row r="1613" spans="1:36" x14ac:dyDescent="0.25">
      <c r="A1613" t="s">
        <v>5411</v>
      </c>
      <c r="B1613" t="s">
        <v>16</v>
      </c>
      <c r="C1613" t="s">
        <v>17</v>
      </c>
      <c r="D1613">
        <v>38320000</v>
      </c>
      <c r="E1613">
        <v>38349999</v>
      </c>
      <c r="F1613" t="s">
        <v>1432</v>
      </c>
      <c r="G1613" t="str">
        <f t="shared" si="50"/>
        <v>MGI II</v>
      </c>
      <c r="H1613" t="s">
        <v>851</v>
      </c>
      <c r="I1613" t="s">
        <v>20</v>
      </c>
      <c r="J1613" t="s">
        <v>64</v>
      </c>
      <c r="K1613" s="6">
        <v>0.03</v>
      </c>
      <c r="L1613" s="7">
        <f t="shared" si="51"/>
        <v>2E-3</v>
      </c>
      <c r="M1613" s="7">
        <v>3.0000000000000001E-3</v>
      </c>
      <c r="N1613">
        <v>10</v>
      </c>
      <c r="O1613" s="8">
        <v>17.822306426995311</v>
      </c>
      <c r="P1613" s="9">
        <v>17.822306426995311</v>
      </c>
      <c r="Q1613" s="9">
        <v>17.822306426995311</v>
      </c>
      <c r="R1613" s="9">
        <v>18.237663306594719</v>
      </c>
      <c r="S1613" s="9">
        <v>18.48712920931133</v>
      </c>
      <c r="T1613" s="9">
        <v>19.201553596969877</v>
      </c>
      <c r="U1613" s="9">
        <v>20.562345482855957</v>
      </c>
      <c r="V1613" s="9">
        <v>20.562345482855957</v>
      </c>
      <c r="W1613" s="9">
        <v>20.562345482855957</v>
      </c>
      <c r="X1613" s="9">
        <v>22.391977691000818</v>
      </c>
      <c r="Y1613" s="9">
        <v>22.391977691000818</v>
      </c>
      <c r="Z1613" s="9">
        <v>24.28858708803979</v>
      </c>
      <c r="AA1613" s="9">
        <v>24.28858708803979</v>
      </c>
      <c r="AB1613" s="9">
        <v>25.117335532005217</v>
      </c>
      <c r="AC1613" s="9">
        <v>25.117335532005217</v>
      </c>
      <c r="AD1613" s="9">
        <v>29.039116491286865</v>
      </c>
      <c r="AE1613" s="9">
        <v>31.219251037281825</v>
      </c>
      <c r="AF1613" s="9">
        <v>33.487682081707895</v>
      </c>
      <c r="AG1613" s="9">
        <v>33.487682081707895</v>
      </c>
      <c r="AH1613" s="9">
        <v>36.427668170967245</v>
      </c>
      <c r="AI1613" s="9">
        <v>38.74455996597662</v>
      </c>
      <c r="AJ1613" s="9">
        <v>3.0428788910505911</v>
      </c>
    </row>
    <row r="1614" spans="1:36" x14ac:dyDescent="0.25">
      <c r="A1614" t="s">
        <v>5411</v>
      </c>
      <c r="B1614" t="s">
        <v>16</v>
      </c>
      <c r="C1614" t="s">
        <v>17</v>
      </c>
      <c r="D1614">
        <v>38350000</v>
      </c>
      <c r="E1614">
        <v>38359999</v>
      </c>
      <c r="F1614" t="s">
        <v>1433</v>
      </c>
      <c r="G1614" t="str">
        <f t="shared" si="50"/>
        <v>MGI II</v>
      </c>
      <c r="H1614" t="s">
        <v>851</v>
      </c>
      <c r="I1614" t="s">
        <v>20</v>
      </c>
      <c r="J1614" t="s">
        <v>64</v>
      </c>
      <c r="K1614" s="6">
        <v>0.03</v>
      </c>
      <c r="L1614" s="7">
        <f t="shared" si="51"/>
        <v>2E-3</v>
      </c>
      <c r="M1614" s="7">
        <v>3.0000000000000001E-3</v>
      </c>
      <c r="N1614">
        <v>10</v>
      </c>
      <c r="O1614" s="8">
        <v>17.822306426995311</v>
      </c>
      <c r="P1614" s="9">
        <v>17.822306426995311</v>
      </c>
      <c r="Q1614" s="9">
        <v>17.822306426995311</v>
      </c>
      <c r="R1614" s="9">
        <v>18.237663306594719</v>
      </c>
      <c r="S1614" s="9">
        <v>18.48712920931133</v>
      </c>
      <c r="T1614" s="9">
        <v>19.201553596969877</v>
      </c>
      <c r="U1614" s="9">
        <v>20.562345482855957</v>
      </c>
      <c r="V1614" s="9">
        <v>20.562345482855957</v>
      </c>
      <c r="W1614" s="9">
        <v>20.562345482855957</v>
      </c>
      <c r="X1614" s="9">
        <v>22.391977691000818</v>
      </c>
      <c r="Y1614" s="9">
        <v>22.391977691000818</v>
      </c>
      <c r="Z1614" s="9">
        <v>24.28858708803979</v>
      </c>
      <c r="AA1614" s="9">
        <v>24.28858708803979</v>
      </c>
      <c r="AB1614" s="9">
        <v>25.117335532005217</v>
      </c>
      <c r="AC1614" s="9">
        <v>25.117335532005217</v>
      </c>
      <c r="AD1614" s="9">
        <v>29.039116491286865</v>
      </c>
      <c r="AE1614" s="9">
        <v>31.219251037281825</v>
      </c>
      <c r="AF1614" s="9">
        <v>33.487682081707895</v>
      </c>
      <c r="AG1614" s="9">
        <v>33.487682081707895</v>
      </c>
      <c r="AH1614" s="9">
        <v>36.427668170967245</v>
      </c>
      <c r="AI1614" s="9">
        <v>38.74455996597662</v>
      </c>
      <c r="AJ1614" s="9">
        <v>3.0428788910505911</v>
      </c>
    </row>
    <row r="1615" spans="1:36" x14ac:dyDescent="0.25">
      <c r="A1615" t="s">
        <v>5411</v>
      </c>
      <c r="B1615" t="s">
        <v>16</v>
      </c>
      <c r="C1615" t="s">
        <v>17</v>
      </c>
      <c r="D1615">
        <v>38360000</v>
      </c>
      <c r="E1615">
        <v>38369999</v>
      </c>
      <c r="F1615" t="s">
        <v>1434</v>
      </c>
      <c r="G1615" t="str">
        <f t="shared" si="50"/>
        <v>MGI II</v>
      </c>
      <c r="H1615" t="s">
        <v>851</v>
      </c>
      <c r="I1615" t="s">
        <v>20</v>
      </c>
      <c r="J1615" t="s">
        <v>64</v>
      </c>
      <c r="K1615" s="6">
        <v>0.03</v>
      </c>
      <c r="L1615" s="7">
        <f t="shared" si="51"/>
        <v>2E-3</v>
      </c>
      <c r="M1615" s="7">
        <v>3.0000000000000001E-3</v>
      </c>
      <c r="N1615">
        <v>8</v>
      </c>
      <c r="O1615" s="8">
        <v>17.822306426995311</v>
      </c>
      <c r="P1615" s="9">
        <v>17.822306426995311</v>
      </c>
      <c r="Q1615" s="9">
        <v>17.822306426995311</v>
      </c>
      <c r="R1615" s="9">
        <v>18.237663306594719</v>
      </c>
      <c r="S1615" s="9">
        <v>18.48712920931133</v>
      </c>
      <c r="T1615" s="9">
        <v>19.201553596969877</v>
      </c>
      <c r="U1615" s="9">
        <v>20.562345482855957</v>
      </c>
      <c r="V1615" s="9">
        <v>20.562345482855957</v>
      </c>
      <c r="W1615" s="9">
        <v>20.562345482855957</v>
      </c>
      <c r="X1615" s="9">
        <v>22.391977691000818</v>
      </c>
      <c r="Y1615" s="9">
        <v>22.391977691000818</v>
      </c>
      <c r="Z1615" s="9">
        <v>24.28858708803979</v>
      </c>
      <c r="AA1615" s="9">
        <v>24.28858708803979</v>
      </c>
      <c r="AB1615" s="9">
        <v>25.117335532005217</v>
      </c>
      <c r="AC1615" s="9">
        <v>25.117335532005217</v>
      </c>
      <c r="AD1615" s="9">
        <v>29.039116491286865</v>
      </c>
      <c r="AE1615" s="9">
        <v>31.219251037281825</v>
      </c>
      <c r="AF1615" s="9">
        <v>33.487682081707895</v>
      </c>
      <c r="AG1615" s="9">
        <v>33.487682081707895</v>
      </c>
      <c r="AH1615" s="9">
        <v>36.427668170967245</v>
      </c>
      <c r="AI1615" s="9">
        <v>38.74455996597662</v>
      </c>
      <c r="AJ1615" s="9">
        <v>3.0428788910505911</v>
      </c>
    </row>
    <row r="1616" spans="1:36" x14ac:dyDescent="0.25">
      <c r="A1616" t="s">
        <v>5411</v>
      </c>
      <c r="B1616" t="s">
        <v>16</v>
      </c>
      <c r="C1616" t="s">
        <v>17</v>
      </c>
      <c r="D1616">
        <v>38370000</v>
      </c>
      <c r="E1616">
        <v>38379999</v>
      </c>
      <c r="F1616" t="s">
        <v>1435</v>
      </c>
      <c r="G1616" t="str">
        <f t="shared" si="50"/>
        <v>MGI II</v>
      </c>
      <c r="H1616" t="s">
        <v>851</v>
      </c>
      <c r="I1616" t="s">
        <v>20</v>
      </c>
      <c r="J1616" t="s">
        <v>64</v>
      </c>
      <c r="K1616" s="6">
        <v>0.03</v>
      </c>
      <c r="L1616" s="7">
        <f t="shared" si="51"/>
        <v>2E-3</v>
      </c>
      <c r="M1616" s="7">
        <v>3.0000000000000001E-3</v>
      </c>
      <c r="N1616">
        <v>7</v>
      </c>
      <c r="O1616" s="8">
        <v>17.822306426995311</v>
      </c>
      <c r="P1616" s="9">
        <v>17.822306426995311</v>
      </c>
      <c r="Q1616" s="9">
        <v>17.822306426995311</v>
      </c>
      <c r="R1616" s="9">
        <v>18.237663306594719</v>
      </c>
      <c r="S1616" s="9">
        <v>18.48712920931133</v>
      </c>
      <c r="T1616" s="9">
        <v>19.201553596969877</v>
      </c>
      <c r="U1616" s="9">
        <v>20.562345482855957</v>
      </c>
      <c r="V1616" s="9">
        <v>20.562345482855957</v>
      </c>
      <c r="W1616" s="9">
        <v>20.562345482855957</v>
      </c>
      <c r="X1616" s="9">
        <v>22.391977691000818</v>
      </c>
      <c r="Y1616" s="9">
        <v>22.391977691000818</v>
      </c>
      <c r="Z1616" s="9">
        <v>24.28858708803979</v>
      </c>
      <c r="AA1616" s="9">
        <v>24.28858708803979</v>
      </c>
      <c r="AB1616" s="9">
        <v>25.117335532005217</v>
      </c>
      <c r="AC1616" s="9">
        <v>25.117335532005217</v>
      </c>
      <c r="AD1616" s="9">
        <v>29.039116491286865</v>
      </c>
      <c r="AE1616" s="9">
        <v>31.219251037281825</v>
      </c>
      <c r="AF1616" s="9">
        <v>33.487682081707895</v>
      </c>
      <c r="AG1616" s="9">
        <v>33.487682081707895</v>
      </c>
      <c r="AH1616" s="9">
        <v>36.427668170967245</v>
      </c>
      <c r="AI1616" s="9">
        <v>38.74455996597662</v>
      </c>
      <c r="AJ1616" s="9">
        <v>3.0428788910505911</v>
      </c>
    </row>
    <row r="1617" spans="1:36" x14ac:dyDescent="0.25">
      <c r="A1617" t="s">
        <v>5411</v>
      </c>
      <c r="B1617" t="s">
        <v>16</v>
      </c>
      <c r="C1617" t="s">
        <v>17</v>
      </c>
      <c r="D1617">
        <v>38380000</v>
      </c>
      <c r="E1617">
        <v>38389999</v>
      </c>
      <c r="F1617" t="s">
        <v>1436</v>
      </c>
      <c r="G1617" t="str">
        <f t="shared" si="50"/>
        <v>MGI II</v>
      </c>
      <c r="H1617" t="s">
        <v>851</v>
      </c>
      <c r="I1617" t="s">
        <v>20</v>
      </c>
      <c r="J1617" t="s">
        <v>64</v>
      </c>
      <c r="K1617" s="6">
        <v>0.03</v>
      </c>
      <c r="L1617" s="7">
        <f t="shared" si="51"/>
        <v>2E-3</v>
      </c>
      <c r="M1617" s="7">
        <v>3.0000000000000001E-3</v>
      </c>
      <c r="N1617">
        <v>7</v>
      </c>
      <c r="O1617" s="8">
        <v>17.822306426995311</v>
      </c>
      <c r="P1617" s="9">
        <v>17.822306426995311</v>
      </c>
      <c r="Q1617" s="9">
        <v>17.822306426995311</v>
      </c>
      <c r="R1617" s="9">
        <v>18.237663306594719</v>
      </c>
      <c r="S1617" s="9">
        <v>18.48712920931133</v>
      </c>
      <c r="T1617" s="9">
        <v>19.201553596969877</v>
      </c>
      <c r="U1617" s="9">
        <v>20.562345482855957</v>
      </c>
      <c r="V1617" s="9">
        <v>20.562345482855957</v>
      </c>
      <c r="W1617" s="9">
        <v>20.562345482855957</v>
      </c>
      <c r="X1617" s="9">
        <v>22.391977691000818</v>
      </c>
      <c r="Y1617" s="9">
        <v>22.391977691000818</v>
      </c>
      <c r="Z1617" s="9">
        <v>24.28858708803979</v>
      </c>
      <c r="AA1617" s="9">
        <v>24.28858708803979</v>
      </c>
      <c r="AB1617" s="9">
        <v>25.117335532005217</v>
      </c>
      <c r="AC1617" s="9">
        <v>25.117335532005217</v>
      </c>
      <c r="AD1617" s="9">
        <v>29.039116491286865</v>
      </c>
      <c r="AE1617" s="9">
        <v>31.219251037281825</v>
      </c>
      <c r="AF1617" s="9">
        <v>33.487682081707895</v>
      </c>
      <c r="AG1617" s="9">
        <v>33.487682081707895</v>
      </c>
      <c r="AH1617" s="9">
        <v>36.427668170967245</v>
      </c>
      <c r="AI1617" s="9">
        <v>38.74455996597662</v>
      </c>
      <c r="AJ1617" s="9">
        <v>3.0428788910505911</v>
      </c>
    </row>
    <row r="1618" spans="1:36" x14ac:dyDescent="0.25">
      <c r="A1618" t="s">
        <v>5411</v>
      </c>
      <c r="B1618" t="s">
        <v>16</v>
      </c>
      <c r="C1618" t="s">
        <v>17</v>
      </c>
      <c r="D1618">
        <v>38390000</v>
      </c>
      <c r="E1618">
        <v>38399999</v>
      </c>
      <c r="F1618" t="s">
        <v>1437</v>
      </c>
      <c r="G1618" t="str">
        <f t="shared" si="50"/>
        <v>MGI II</v>
      </c>
      <c r="H1618" t="s">
        <v>851</v>
      </c>
      <c r="I1618" t="s">
        <v>20</v>
      </c>
      <c r="J1618" t="s">
        <v>64</v>
      </c>
      <c r="K1618" s="6">
        <v>0.03</v>
      </c>
      <c r="L1618" s="7">
        <f t="shared" si="51"/>
        <v>2E-3</v>
      </c>
      <c r="M1618" s="7">
        <v>3.0000000000000001E-3</v>
      </c>
      <c r="N1618">
        <v>7</v>
      </c>
      <c r="O1618" s="8">
        <v>17.822306426995311</v>
      </c>
      <c r="P1618" s="9">
        <v>17.822306426995311</v>
      </c>
      <c r="Q1618" s="9">
        <v>17.822306426995311</v>
      </c>
      <c r="R1618" s="9">
        <v>18.237663306594719</v>
      </c>
      <c r="S1618" s="9">
        <v>18.48712920931133</v>
      </c>
      <c r="T1618" s="9">
        <v>19.201553596969877</v>
      </c>
      <c r="U1618" s="9">
        <v>20.562345482855957</v>
      </c>
      <c r="V1618" s="9">
        <v>20.562345482855957</v>
      </c>
      <c r="W1618" s="9">
        <v>20.562345482855957</v>
      </c>
      <c r="X1618" s="9">
        <v>22.391977691000818</v>
      </c>
      <c r="Y1618" s="9">
        <v>22.391977691000818</v>
      </c>
      <c r="Z1618" s="9">
        <v>24.28858708803979</v>
      </c>
      <c r="AA1618" s="9">
        <v>24.28858708803979</v>
      </c>
      <c r="AB1618" s="9">
        <v>25.117335532005217</v>
      </c>
      <c r="AC1618" s="9">
        <v>25.117335532005217</v>
      </c>
      <c r="AD1618" s="9">
        <v>29.039116491286865</v>
      </c>
      <c r="AE1618" s="9">
        <v>31.219251037281825</v>
      </c>
      <c r="AF1618" s="9">
        <v>33.487682081707895</v>
      </c>
      <c r="AG1618" s="9">
        <v>33.487682081707895</v>
      </c>
      <c r="AH1618" s="9">
        <v>36.427668170967245</v>
      </c>
      <c r="AI1618" s="9">
        <v>38.74455996597662</v>
      </c>
      <c r="AJ1618" s="9">
        <v>3.0428788910505911</v>
      </c>
    </row>
    <row r="1619" spans="1:36" x14ac:dyDescent="0.25">
      <c r="A1619" t="s">
        <v>5411</v>
      </c>
      <c r="B1619" t="s">
        <v>16</v>
      </c>
      <c r="C1619" t="s">
        <v>17</v>
      </c>
      <c r="D1619">
        <v>38400000</v>
      </c>
      <c r="E1619">
        <v>38439999</v>
      </c>
      <c r="F1619" t="s">
        <v>1438</v>
      </c>
      <c r="G1619" t="str">
        <f t="shared" si="50"/>
        <v>MGI</v>
      </c>
      <c r="H1619" t="s">
        <v>851</v>
      </c>
      <c r="I1619" t="s">
        <v>20</v>
      </c>
      <c r="J1619" t="s">
        <v>62</v>
      </c>
      <c r="K1619" s="6">
        <v>0.03</v>
      </c>
      <c r="L1619" s="7">
        <f t="shared" si="51"/>
        <v>2E-3</v>
      </c>
      <c r="M1619" s="7">
        <v>3.0000000000000001E-3</v>
      </c>
      <c r="N1619">
        <v>6</v>
      </c>
      <c r="O1619" s="8">
        <v>13.880385281502075</v>
      </c>
      <c r="P1619" s="9">
        <v>13.880385281502075</v>
      </c>
      <c r="Q1619" s="9">
        <v>13.880385281502075</v>
      </c>
      <c r="R1619" s="9">
        <v>14.045989937445718</v>
      </c>
      <c r="S1619" s="9">
        <v>14.060876315369912</v>
      </c>
      <c r="T1619" s="9">
        <v>15.090338571208333</v>
      </c>
      <c r="U1619" s="9">
        <v>16.025407313902726</v>
      </c>
      <c r="V1619" s="9">
        <v>16.025407313902726</v>
      </c>
      <c r="W1619" s="9">
        <v>16.025407313902726</v>
      </c>
      <c r="X1619" s="9">
        <v>18.013895748167766</v>
      </c>
      <c r="Y1619" s="9">
        <v>18.013895748167766</v>
      </c>
      <c r="Z1619" s="9">
        <v>20.142868501532355</v>
      </c>
      <c r="AA1619" s="9">
        <v>20.142868501532355</v>
      </c>
      <c r="AB1619" s="9">
        <v>22.456349831314476</v>
      </c>
      <c r="AC1619" s="9">
        <v>22.456349831314476</v>
      </c>
      <c r="AD1619" s="9">
        <v>24.87984091164185</v>
      </c>
      <c r="AE1619" s="9">
        <v>27.427492221952345</v>
      </c>
      <c r="AF1619" s="9">
        <v>33.194804868730657</v>
      </c>
      <c r="AG1619" s="9">
        <v>33.194804868730657</v>
      </c>
      <c r="AH1619" s="9">
        <v>35.957808835828068</v>
      </c>
      <c r="AI1619" s="9">
        <v>38.646304092692077</v>
      </c>
      <c r="AJ1619" s="9">
        <v>3.0428788910505911</v>
      </c>
    </row>
    <row r="1620" spans="1:36" x14ac:dyDescent="0.25">
      <c r="A1620" t="s">
        <v>5411</v>
      </c>
      <c r="B1620" t="s">
        <v>16</v>
      </c>
      <c r="C1620" t="s">
        <v>17</v>
      </c>
      <c r="D1620">
        <v>38440000</v>
      </c>
      <c r="E1620">
        <v>38459999</v>
      </c>
      <c r="F1620" t="s">
        <v>1439</v>
      </c>
      <c r="G1620" t="str">
        <f t="shared" si="50"/>
        <v>MGI</v>
      </c>
      <c r="H1620" t="s">
        <v>851</v>
      </c>
      <c r="I1620" t="s">
        <v>20</v>
      </c>
      <c r="J1620" t="s">
        <v>62</v>
      </c>
      <c r="K1620" s="6">
        <v>0.03</v>
      </c>
      <c r="L1620" s="7">
        <f t="shared" si="51"/>
        <v>2E-3</v>
      </c>
      <c r="M1620" s="7">
        <v>3.0000000000000001E-3</v>
      </c>
      <c r="N1620">
        <v>7</v>
      </c>
      <c r="O1620" s="8">
        <v>13.880385281502075</v>
      </c>
      <c r="P1620" s="9">
        <v>13.880385281502075</v>
      </c>
      <c r="Q1620" s="9">
        <v>13.880385281502075</v>
      </c>
      <c r="R1620" s="9">
        <v>14.045989937445718</v>
      </c>
      <c r="S1620" s="9">
        <v>14.060876315369912</v>
      </c>
      <c r="T1620" s="9">
        <v>15.090338571208333</v>
      </c>
      <c r="U1620" s="9">
        <v>16.025407313902726</v>
      </c>
      <c r="V1620" s="9">
        <v>16.025407313902726</v>
      </c>
      <c r="W1620" s="9">
        <v>16.025407313902726</v>
      </c>
      <c r="X1620" s="9">
        <v>18.013895748167766</v>
      </c>
      <c r="Y1620" s="9">
        <v>18.013895748167766</v>
      </c>
      <c r="Z1620" s="9">
        <v>20.142868501532355</v>
      </c>
      <c r="AA1620" s="9">
        <v>20.142868501532355</v>
      </c>
      <c r="AB1620" s="9">
        <v>22.456349831314476</v>
      </c>
      <c r="AC1620" s="9">
        <v>22.456349831314476</v>
      </c>
      <c r="AD1620" s="9">
        <v>24.87984091164185</v>
      </c>
      <c r="AE1620" s="9">
        <v>27.427492221952345</v>
      </c>
      <c r="AF1620" s="9">
        <v>33.194804868730657</v>
      </c>
      <c r="AG1620" s="9">
        <v>33.194804868730657</v>
      </c>
      <c r="AH1620" s="9">
        <v>35.957808835828068</v>
      </c>
      <c r="AI1620" s="9">
        <v>38.646304092692077</v>
      </c>
      <c r="AJ1620" s="9">
        <v>3.0428788910505911</v>
      </c>
    </row>
    <row r="1621" spans="1:36" x14ac:dyDescent="0.25">
      <c r="A1621" t="s">
        <v>5411</v>
      </c>
      <c r="B1621" t="s">
        <v>16</v>
      </c>
      <c r="C1621" t="s">
        <v>17</v>
      </c>
      <c r="D1621">
        <v>38460000</v>
      </c>
      <c r="E1621">
        <v>38464999</v>
      </c>
      <c r="F1621" t="s">
        <v>1440</v>
      </c>
      <c r="G1621" t="str">
        <f t="shared" si="50"/>
        <v>MGI II</v>
      </c>
      <c r="H1621" t="s">
        <v>851</v>
      </c>
      <c r="I1621" t="s">
        <v>20</v>
      </c>
      <c r="J1621" t="s">
        <v>64</v>
      </c>
      <c r="K1621" s="6">
        <v>0.03</v>
      </c>
      <c r="L1621" s="7">
        <f t="shared" si="51"/>
        <v>2E-3</v>
      </c>
      <c r="M1621" s="7">
        <v>3.0000000000000001E-3</v>
      </c>
      <c r="N1621">
        <v>8</v>
      </c>
      <c r="O1621" s="8">
        <v>17.822306426995311</v>
      </c>
      <c r="P1621" s="9">
        <v>17.822306426995311</v>
      </c>
      <c r="Q1621" s="9">
        <v>17.822306426995311</v>
      </c>
      <c r="R1621" s="9">
        <v>18.237663306594719</v>
      </c>
      <c r="S1621" s="9">
        <v>18.48712920931133</v>
      </c>
      <c r="T1621" s="9">
        <v>19.201553596969877</v>
      </c>
      <c r="U1621" s="9">
        <v>20.562345482855957</v>
      </c>
      <c r="V1621" s="9">
        <v>20.562345482855957</v>
      </c>
      <c r="W1621" s="9">
        <v>20.562345482855957</v>
      </c>
      <c r="X1621" s="9">
        <v>22.391977691000818</v>
      </c>
      <c r="Y1621" s="9">
        <v>22.391977691000818</v>
      </c>
      <c r="Z1621" s="9">
        <v>24.28858708803979</v>
      </c>
      <c r="AA1621" s="9">
        <v>24.28858708803979</v>
      </c>
      <c r="AB1621" s="9">
        <v>25.117335532005217</v>
      </c>
      <c r="AC1621" s="9">
        <v>25.117335532005217</v>
      </c>
      <c r="AD1621" s="9">
        <v>29.039116491286865</v>
      </c>
      <c r="AE1621" s="9">
        <v>31.219251037281825</v>
      </c>
      <c r="AF1621" s="9">
        <v>33.487682081707895</v>
      </c>
      <c r="AG1621" s="9">
        <v>33.487682081707895</v>
      </c>
      <c r="AH1621" s="9">
        <v>36.427668170967245</v>
      </c>
      <c r="AI1621" s="9">
        <v>38.74455996597662</v>
      </c>
      <c r="AJ1621" s="9">
        <v>3.0428788910505911</v>
      </c>
    </row>
    <row r="1622" spans="1:36" x14ac:dyDescent="0.25">
      <c r="A1622" t="s">
        <v>5411</v>
      </c>
      <c r="B1622" t="s">
        <v>16</v>
      </c>
      <c r="C1622" t="s">
        <v>17</v>
      </c>
      <c r="D1622">
        <v>38465000</v>
      </c>
      <c r="E1622">
        <v>38469999</v>
      </c>
      <c r="F1622" t="s">
        <v>1441</v>
      </c>
      <c r="G1622" t="str">
        <f t="shared" si="50"/>
        <v>MGI II</v>
      </c>
      <c r="H1622" t="s">
        <v>851</v>
      </c>
      <c r="I1622" t="s">
        <v>20</v>
      </c>
      <c r="J1622" t="s">
        <v>64</v>
      </c>
      <c r="K1622" s="6">
        <v>0.03</v>
      </c>
      <c r="L1622" s="7">
        <f t="shared" si="51"/>
        <v>2E-3</v>
      </c>
      <c r="M1622" s="7">
        <v>3.0000000000000001E-3</v>
      </c>
      <c r="N1622">
        <v>7</v>
      </c>
      <c r="O1622" s="8">
        <v>17.822306426995311</v>
      </c>
      <c r="P1622" s="9">
        <v>17.822306426995311</v>
      </c>
      <c r="Q1622" s="9">
        <v>17.822306426995311</v>
      </c>
      <c r="R1622" s="9">
        <v>18.237663306594719</v>
      </c>
      <c r="S1622" s="9">
        <v>18.48712920931133</v>
      </c>
      <c r="T1622" s="9">
        <v>19.201553596969877</v>
      </c>
      <c r="U1622" s="9">
        <v>20.562345482855957</v>
      </c>
      <c r="V1622" s="9">
        <v>20.562345482855957</v>
      </c>
      <c r="W1622" s="9">
        <v>20.562345482855957</v>
      </c>
      <c r="X1622" s="9">
        <v>22.391977691000818</v>
      </c>
      <c r="Y1622" s="9">
        <v>22.391977691000818</v>
      </c>
      <c r="Z1622" s="9">
        <v>24.28858708803979</v>
      </c>
      <c r="AA1622" s="9">
        <v>24.28858708803979</v>
      </c>
      <c r="AB1622" s="9">
        <v>25.117335532005217</v>
      </c>
      <c r="AC1622" s="9">
        <v>25.117335532005217</v>
      </c>
      <c r="AD1622" s="9">
        <v>29.039116491286865</v>
      </c>
      <c r="AE1622" s="9">
        <v>31.219251037281825</v>
      </c>
      <c r="AF1622" s="9">
        <v>33.487682081707895</v>
      </c>
      <c r="AG1622" s="9">
        <v>33.487682081707895</v>
      </c>
      <c r="AH1622" s="9">
        <v>36.427668170967245</v>
      </c>
      <c r="AI1622" s="9">
        <v>38.74455996597662</v>
      </c>
      <c r="AJ1622" s="9">
        <v>3.0428788910505911</v>
      </c>
    </row>
    <row r="1623" spans="1:36" x14ac:dyDescent="0.25">
      <c r="A1623" t="s">
        <v>5411</v>
      </c>
      <c r="B1623" t="s">
        <v>16</v>
      </c>
      <c r="C1623" t="s">
        <v>17</v>
      </c>
      <c r="D1623">
        <v>38470000</v>
      </c>
      <c r="E1623">
        <v>38474999</v>
      </c>
      <c r="F1623" t="s">
        <v>1442</v>
      </c>
      <c r="G1623" t="str">
        <f t="shared" si="50"/>
        <v>MGI II</v>
      </c>
      <c r="H1623" t="s">
        <v>851</v>
      </c>
      <c r="I1623" t="s">
        <v>20</v>
      </c>
      <c r="J1623" t="s">
        <v>64</v>
      </c>
      <c r="K1623" s="6">
        <v>0.03</v>
      </c>
      <c r="L1623" s="7">
        <f t="shared" si="51"/>
        <v>2E-3</v>
      </c>
      <c r="M1623" s="7">
        <v>3.0000000000000001E-3</v>
      </c>
      <c r="N1623">
        <v>7</v>
      </c>
      <c r="O1623" s="8">
        <v>17.822306426995311</v>
      </c>
      <c r="P1623" s="9">
        <v>17.822306426995311</v>
      </c>
      <c r="Q1623" s="9">
        <v>17.822306426995311</v>
      </c>
      <c r="R1623" s="9">
        <v>18.237663306594719</v>
      </c>
      <c r="S1623" s="9">
        <v>18.48712920931133</v>
      </c>
      <c r="T1623" s="9">
        <v>19.201553596969877</v>
      </c>
      <c r="U1623" s="9">
        <v>20.562345482855957</v>
      </c>
      <c r="V1623" s="9">
        <v>20.562345482855957</v>
      </c>
      <c r="W1623" s="9">
        <v>20.562345482855957</v>
      </c>
      <c r="X1623" s="9">
        <v>22.391977691000818</v>
      </c>
      <c r="Y1623" s="9">
        <v>22.391977691000818</v>
      </c>
      <c r="Z1623" s="9">
        <v>24.28858708803979</v>
      </c>
      <c r="AA1623" s="9">
        <v>24.28858708803979</v>
      </c>
      <c r="AB1623" s="9">
        <v>25.117335532005217</v>
      </c>
      <c r="AC1623" s="9">
        <v>25.117335532005217</v>
      </c>
      <c r="AD1623" s="9">
        <v>29.039116491286865</v>
      </c>
      <c r="AE1623" s="9">
        <v>31.219251037281825</v>
      </c>
      <c r="AF1623" s="9">
        <v>33.487682081707895</v>
      </c>
      <c r="AG1623" s="9">
        <v>33.487682081707895</v>
      </c>
      <c r="AH1623" s="9">
        <v>36.427668170967245</v>
      </c>
      <c r="AI1623" s="9">
        <v>38.74455996597662</v>
      </c>
      <c r="AJ1623" s="9">
        <v>3.0428788910505911</v>
      </c>
    </row>
    <row r="1624" spans="1:36" x14ac:dyDescent="0.25">
      <c r="A1624" t="s">
        <v>5411</v>
      </c>
      <c r="B1624" t="s">
        <v>16</v>
      </c>
      <c r="C1624" t="s">
        <v>17</v>
      </c>
      <c r="D1624">
        <v>38475000</v>
      </c>
      <c r="E1624">
        <v>38479999</v>
      </c>
      <c r="F1624" t="s">
        <v>1443</v>
      </c>
      <c r="G1624" t="str">
        <f t="shared" si="50"/>
        <v>MGI II</v>
      </c>
      <c r="H1624" t="s">
        <v>851</v>
      </c>
      <c r="I1624" t="s">
        <v>20</v>
      </c>
      <c r="J1624" t="s">
        <v>64</v>
      </c>
      <c r="K1624" s="6">
        <v>0.03</v>
      </c>
      <c r="L1624" s="7">
        <f t="shared" si="51"/>
        <v>2E-3</v>
      </c>
      <c r="M1624" s="7">
        <v>3.0000000000000001E-3</v>
      </c>
      <c r="N1624">
        <v>7</v>
      </c>
      <c r="O1624" s="8">
        <v>17.822306426995311</v>
      </c>
      <c r="P1624" s="9">
        <v>17.822306426995311</v>
      </c>
      <c r="Q1624" s="9">
        <v>17.822306426995311</v>
      </c>
      <c r="R1624" s="9">
        <v>18.237663306594719</v>
      </c>
      <c r="S1624" s="9">
        <v>18.48712920931133</v>
      </c>
      <c r="T1624" s="9">
        <v>19.201553596969877</v>
      </c>
      <c r="U1624" s="9">
        <v>20.562345482855957</v>
      </c>
      <c r="V1624" s="9">
        <v>20.562345482855957</v>
      </c>
      <c r="W1624" s="9">
        <v>20.562345482855957</v>
      </c>
      <c r="X1624" s="9">
        <v>22.391977691000818</v>
      </c>
      <c r="Y1624" s="9">
        <v>22.391977691000818</v>
      </c>
      <c r="Z1624" s="9">
        <v>24.28858708803979</v>
      </c>
      <c r="AA1624" s="9">
        <v>24.28858708803979</v>
      </c>
      <c r="AB1624" s="9">
        <v>25.117335532005217</v>
      </c>
      <c r="AC1624" s="9">
        <v>25.117335532005217</v>
      </c>
      <c r="AD1624" s="9">
        <v>29.039116491286865</v>
      </c>
      <c r="AE1624" s="9">
        <v>31.219251037281825</v>
      </c>
      <c r="AF1624" s="9">
        <v>33.487682081707895</v>
      </c>
      <c r="AG1624" s="9">
        <v>33.487682081707895</v>
      </c>
      <c r="AH1624" s="9">
        <v>36.427668170967245</v>
      </c>
      <c r="AI1624" s="9">
        <v>38.74455996597662</v>
      </c>
      <c r="AJ1624" s="9">
        <v>3.0428788910505911</v>
      </c>
    </row>
    <row r="1625" spans="1:36" x14ac:dyDescent="0.25">
      <c r="A1625" t="s">
        <v>5411</v>
      </c>
      <c r="B1625" t="s">
        <v>16</v>
      </c>
      <c r="C1625" t="s">
        <v>17</v>
      </c>
      <c r="D1625">
        <v>38480000</v>
      </c>
      <c r="E1625">
        <v>38489999</v>
      </c>
      <c r="F1625" t="s">
        <v>1444</v>
      </c>
      <c r="G1625" t="str">
        <f t="shared" si="50"/>
        <v>MGI II</v>
      </c>
      <c r="H1625" t="s">
        <v>851</v>
      </c>
      <c r="I1625" t="s">
        <v>20</v>
      </c>
      <c r="J1625" t="s">
        <v>64</v>
      </c>
      <c r="K1625" s="6">
        <v>0.03</v>
      </c>
      <c r="L1625" s="7">
        <f t="shared" si="51"/>
        <v>2E-3</v>
      </c>
      <c r="M1625" s="7">
        <v>3.0000000000000001E-3</v>
      </c>
      <c r="N1625">
        <v>7</v>
      </c>
      <c r="O1625" s="8">
        <v>17.822306426995311</v>
      </c>
      <c r="P1625" s="9">
        <v>17.822306426995311</v>
      </c>
      <c r="Q1625" s="9">
        <v>17.822306426995311</v>
      </c>
      <c r="R1625" s="9">
        <v>18.237663306594719</v>
      </c>
      <c r="S1625" s="9">
        <v>18.48712920931133</v>
      </c>
      <c r="T1625" s="9">
        <v>19.201553596969877</v>
      </c>
      <c r="U1625" s="9">
        <v>20.562345482855957</v>
      </c>
      <c r="V1625" s="9">
        <v>20.562345482855957</v>
      </c>
      <c r="W1625" s="9">
        <v>20.562345482855957</v>
      </c>
      <c r="X1625" s="9">
        <v>22.391977691000818</v>
      </c>
      <c r="Y1625" s="9">
        <v>22.391977691000818</v>
      </c>
      <c r="Z1625" s="9">
        <v>24.28858708803979</v>
      </c>
      <c r="AA1625" s="9">
        <v>24.28858708803979</v>
      </c>
      <c r="AB1625" s="9">
        <v>25.117335532005217</v>
      </c>
      <c r="AC1625" s="9">
        <v>25.117335532005217</v>
      </c>
      <c r="AD1625" s="9">
        <v>29.039116491286865</v>
      </c>
      <c r="AE1625" s="9">
        <v>31.219251037281825</v>
      </c>
      <c r="AF1625" s="9">
        <v>33.487682081707895</v>
      </c>
      <c r="AG1625" s="9">
        <v>33.487682081707895</v>
      </c>
      <c r="AH1625" s="9">
        <v>36.427668170967245</v>
      </c>
      <c r="AI1625" s="9">
        <v>38.74455996597662</v>
      </c>
      <c r="AJ1625" s="9">
        <v>3.0428788910505911</v>
      </c>
    </row>
    <row r="1626" spans="1:36" x14ac:dyDescent="0.25">
      <c r="A1626" t="s">
        <v>5411</v>
      </c>
      <c r="B1626" t="s">
        <v>16</v>
      </c>
      <c r="C1626" t="s">
        <v>17</v>
      </c>
      <c r="D1626">
        <v>38490000</v>
      </c>
      <c r="E1626">
        <v>38499999</v>
      </c>
      <c r="F1626" t="s">
        <v>1445</v>
      </c>
      <c r="G1626" t="str">
        <f t="shared" si="50"/>
        <v>MGI II</v>
      </c>
      <c r="H1626" t="s">
        <v>851</v>
      </c>
      <c r="I1626" t="s">
        <v>20</v>
      </c>
      <c r="J1626" t="s">
        <v>64</v>
      </c>
      <c r="K1626" s="6">
        <v>0.03</v>
      </c>
      <c r="L1626" s="7">
        <f t="shared" si="51"/>
        <v>2E-3</v>
      </c>
      <c r="M1626" s="7">
        <v>3.0000000000000001E-3</v>
      </c>
      <c r="N1626">
        <v>8</v>
      </c>
      <c r="O1626" s="8">
        <v>17.822306426995311</v>
      </c>
      <c r="P1626" s="9">
        <v>17.822306426995311</v>
      </c>
      <c r="Q1626" s="9">
        <v>17.822306426995311</v>
      </c>
      <c r="R1626" s="9">
        <v>18.237663306594719</v>
      </c>
      <c r="S1626" s="9">
        <v>18.48712920931133</v>
      </c>
      <c r="T1626" s="9">
        <v>19.201553596969877</v>
      </c>
      <c r="U1626" s="9">
        <v>20.562345482855957</v>
      </c>
      <c r="V1626" s="9">
        <v>20.562345482855957</v>
      </c>
      <c r="W1626" s="9">
        <v>20.562345482855957</v>
      </c>
      <c r="X1626" s="9">
        <v>22.391977691000818</v>
      </c>
      <c r="Y1626" s="9">
        <v>22.391977691000818</v>
      </c>
      <c r="Z1626" s="9">
        <v>24.28858708803979</v>
      </c>
      <c r="AA1626" s="9">
        <v>24.28858708803979</v>
      </c>
      <c r="AB1626" s="9">
        <v>25.117335532005217</v>
      </c>
      <c r="AC1626" s="9">
        <v>25.117335532005217</v>
      </c>
      <c r="AD1626" s="9">
        <v>29.039116491286865</v>
      </c>
      <c r="AE1626" s="9">
        <v>31.219251037281825</v>
      </c>
      <c r="AF1626" s="9">
        <v>33.487682081707895</v>
      </c>
      <c r="AG1626" s="9">
        <v>33.487682081707895</v>
      </c>
      <c r="AH1626" s="9">
        <v>36.427668170967245</v>
      </c>
      <c r="AI1626" s="9">
        <v>38.74455996597662</v>
      </c>
      <c r="AJ1626" s="9">
        <v>3.0428788910505911</v>
      </c>
    </row>
    <row r="1627" spans="1:36" x14ac:dyDescent="0.25">
      <c r="A1627" t="s">
        <v>5411</v>
      </c>
      <c r="B1627" t="s">
        <v>16</v>
      </c>
      <c r="C1627" t="s">
        <v>17</v>
      </c>
      <c r="D1627">
        <v>38500000</v>
      </c>
      <c r="E1627">
        <v>38509999</v>
      </c>
      <c r="F1627" t="s">
        <v>1446</v>
      </c>
      <c r="G1627" t="str">
        <f t="shared" si="50"/>
        <v>MGI II</v>
      </c>
      <c r="H1627" t="s">
        <v>851</v>
      </c>
      <c r="I1627" t="s">
        <v>20</v>
      </c>
      <c r="J1627" t="s">
        <v>64</v>
      </c>
      <c r="K1627" s="6">
        <v>0.03</v>
      </c>
      <c r="L1627" s="7">
        <f t="shared" si="51"/>
        <v>2E-3</v>
      </c>
      <c r="M1627" s="7">
        <v>3.0000000000000001E-3</v>
      </c>
      <c r="N1627">
        <v>8</v>
      </c>
      <c r="O1627" s="8">
        <v>17.822306426995311</v>
      </c>
      <c r="P1627" s="9">
        <v>17.822306426995311</v>
      </c>
      <c r="Q1627" s="9">
        <v>17.822306426995311</v>
      </c>
      <c r="R1627" s="9">
        <v>18.237663306594719</v>
      </c>
      <c r="S1627" s="9">
        <v>18.48712920931133</v>
      </c>
      <c r="T1627" s="9">
        <v>19.201553596969877</v>
      </c>
      <c r="U1627" s="9">
        <v>20.562345482855957</v>
      </c>
      <c r="V1627" s="9">
        <v>20.562345482855957</v>
      </c>
      <c r="W1627" s="9">
        <v>20.562345482855957</v>
      </c>
      <c r="X1627" s="9">
        <v>22.391977691000818</v>
      </c>
      <c r="Y1627" s="9">
        <v>22.391977691000818</v>
      </c>
      <c r="Z1627" s="9">
        <v>24.28858708803979</v>
      </c>
      <c r="AA1627" s="9">
        <v>24.28858708803979</v>
      </c>
      <c r="AB1627" s="9">
        <v>25.117335532005217</v>
      </c>
      <c r="AC1627" s="9">
        <v>25.117335532005217</v>
      </c>
      <c r="AD1627" s="9">
        <v>29.039116491286865</v>
      </c>
      <c r="AE1627" s="9">
        <v>31.219251037281825</v>
      </c>
      <c r="AF1627" s="9">
        <v>33.487682081707895</v>
      </c>
      <c r="AG1627" s="9">
        <v>33.487682081707895</v>
      </c>
      <c r="AH1627" s="9">
        <v>36.427668170967245</v>
      </c>
      <c r="AI1627" s="9">
        <v>38.74455996597662</v>
      </c>
      <c r="AJ1627" s="9">
        <v>3.0428788910505911</v>
      </c>
    </row>
    <row r="1628" spans="1:36" x14ac:dyDescent="0.25">
      <c r="A1628" t="s">
        <v>5411</v>
      </c>
      <c r="B1628" t="s">
        <v>16</v>
      </c>
      <c r="C1628" t="s">
        <v>17</v>
      </c>
      <c r="D1628">
        <v>38510000</v>
      </c>
      <c r="E1628">
        <v>38519999</v>
      </c>
      <c r="F1628" t="s">
        <v>1447</v>
      </c>
      <c r="G1628" t="str">
        <f t="shared" si="50"/>
        <v>MGI II</v>
      </c>
      <c r="H1628" t="s">
        <v>851</v>
      </c>
      <c r="I1628" t="s">
        <v>20</v>
      </c>
      <c r="J1628" t="s">
        <v>64</v>
      </c>
      <c r="K1628" s="6">
        <v>0.03</v>
      </c>
      <c r="L1628" s="7">
        <f t="shared" si="51"/>
        <v>2E-3</v>
      </c>
      <c r="M1628" s="7">
        <v>3.0000000000000001E-3</v>
      </c>
      <c r="N1628">
        <v>7</v>
      </c>
      <c r="O1628" s="8">
        <v>17.822306426995311</v>
      </c>
      <c r="P1628" s="9">
        <v>17.822306426995311</v>
      </c>
      <c r="Q1628" s="9">
        <v>17.822306426995311</v>
      </c>
      <c r="R1628" s="9">
        <v>18.237663306594719</v>
      </c>
      <c r="S1628" s="9">
        <v>18.48712920931133</v>
      </c>
      <c r="T1628" s="9">
        <v>19.201553596969877</v>
      </c>
      <c r="U1628" s="9">
        <v>20.562345482855957</v>
      </c>
      <c r="V1628" s="9">
        <v>20.562345482855957</v>
      </c>
      <c r="W1628" s="9">
        <v>20.562345482855957</v>
      </c>
      <c r="X1628" s="9">
        <v>22.391977691000818</v>
      </c>
      <c r="Y1628" s="9">
        <v>22.391977691000818</v>
      </c>
      <c r="Z1628" s="9">
        <v>24.28858708803979</v>
      </c>
      <c r="AA1628" s="9">
        <v>24.28858708803979</v>
      </c>
      <c r="AB1628" s="9">
        <v>25.117335532005217</v>
      </c>
      <c r="AC1628" s="9">
        <v>25.117335532005217</v>
      </c>
      <c r="AD1628" s="9">
        <v>29.039116491286865</v>
      </c>
      <c r="AE1628" s="9">
        <v>31.219251037281825</v>
      </c>
      <c r="AF1628" s="9">
        <v>33.487682081707895</v>
      </c>
      <c r="AG1628" s="9">
        <v>33.487682081707895</v>
      </c>
      <c r="AH1628" s="9">
        <v>36.427668170967245</v>
      </c>
      <c r="AI1628" s="9">
        <v>38.74455996597662</v>
      </c>
      <c r="AJ1628" s="9">
        <v>3.0428788910505911</v>
      </c>
    </row>
    <row r="1629" spans="1:36" x14ac:dyDescent="0.25">
      <c r="A1629" t="s">
        <v>5411</v>
      </c>
      <c r="B1629" t="s">
        <v>16</v>
      </c>
      <c r="C1629" t="s">
        <v>17</v>
      </c>
      <c r="D1629">
        <v>38520000</v>
      </c>
      <c r="E1629">
        <v>38524999</v>
      </c>
      <c r="F1629" t="s">
        <v>1448</v>
      </c>
      <c r="G1629" t="str">
        <f t="shared" si="50"/>
        <v>MGI II</v>
      </c>
      <c r="H1629" t="s">
        <v>851</v>
      </c>
      <c r="I1629" t="s">
        <v>20</v>
      </c>
      <c r="J1629" t="s">
        <v>64</v>
      </c>
      <c r="K1629" s="6">
        <v>0.03</v>
      </c>
      <c r="L1629" s="7">
        <f t="shared" si="51"/>
        <v>2E-3</v>
      </c>
      <c r="M1629" s="7">
        <v>3.0000000000000001E-3</v>
      </c>
      <c r="N1629">
        <v>7</v>
      </c>
      <c r="O1629" s="8">
        <v>17.822306426995311</v>
      </c>
      <c r="P1629" s="9">
        <v>17.822306426995311</v>
      </c>
      <c r="Q1629" s="9">
        <v>17.822306426995311</v>
      </c>
      <c r="R1629" s="9">
        <v>18.237663306594719</v>
      </c>
      <c r="S1629" s="9">
        <v>18.48712920931133</v>
      </c>
      <c r="T1629" s="9">
        <v>19.201553596969877</v>
      </c>
      <c r="U1629" s="9">
        <v>20.562345482855957</v>
      </c>
      <c r="V1629" s="9">
        <v>20.562345482855957</v>
      </c>
      <c r="W1629" s="9">
        <v>20.562345482855957</v>
      </c>
      <c r="X1629" s="9">
        <v>22.391977691000818</v>
      </c>
      <c r="Y1629" s="9">
        <v>22.391977691000818</v>
      </c>
      <c r="Z1629" s="9">
        <v>24.28858708803979</v>
      </c>
      <c r="AA1629" s="9">
        <v>24.28858708803979</v>
      </c>
      <c r="AB1629" s="9">
        <v>25.117335532005217</v>
      </c>
      <c r="AC1629" s="9">
        <v>25.117335532005217</v>
      </c>
      <c r="AD1629" s="9">
        <v>29.039116491286865</v>
      </c>
      <c r="AE1629" s="9">
        <v>31.219251037281825</v>
      </c>
      <c r="AF1629" s="9">
        <v>33.487682081707895</v>
      </c>
      <c r="AG1629" s="9">
        <v>33.487682081707895</v>
      </c>
      <c r="AH1629" s="9">
        <v>36.427668170967245</v>
      </c>
      <c r="AI1629" s="9">
        <v>38.74455996597662</v>
      </c>
      <c r="AJ1629" s="9">
        <v>3.0428788910505911</v>
      </c>
    </row>
    <row r="1630" spans="1:36" x14ac:dyDescent="0.25">
      <c r="A1630" t="s">
        <v>5411</v>
      </c>
      <c r="B1630" t="s">
        <v>16</v>
      </c>
      <c r="C1630" t="s">
        <v>17</v>
      </c>
      <c r="D1630">
        <v>38525000</v>
      </c>
      <c r="E1630">
        <v>38529999</v>
      </c>
      <c r="F1630" t="s">
        <v>1449</v>
      </c>
      <c r="G1630" t="str">
        <f t="shared" si="50"/>
        <v>MGI II</v>
      </c>
      <c r="H1630" t="s">
        <v>851</v>
      </c>
      <c r="I1630" t="s">
        <v>20</v>
      </c>
      <c r="J1630" t="s">
        <v>64</v>
      </c>
      <c r="K1630" s="6">
        <v>0.03</v>
      </c>
      <c r="L1630" s="7">
        <f t="shared" si="51"/>
        <v>2E-3</v>
      </c>
      <c r="M1630" s="7">
        <v>3.0000000000000001E-3</v>
      </c>
      <c r="N1630">
        <v>8</v>
      </c>
      <c r="O1630" s="8">
        <v>17.822306426995311</v>
      </c>
      <c r="P1630" s="9">
        <v>17.822306426995311</v>
      </c>
      <c r="Q1630" s="9">
        <v>17.822306426995311</v>
      </c>
      <c r="R1630" s="9">
        <v>18.237663306594719</v>
      </c>
      <c r="S1630" s="9">
        <v>18.48712920931133</v>
      </c>
      <c r="T1630" s="9">
        <v>19.201553596969877</v>
      </c>
      <c r="U1630" s="9">
        <v>20.562345482855957</v>
      </c>
      <c r="V1630" s="9">
        <v>20.562345482855957</v>
      </c>
      <c r="W1630" s="9">
        <v>20.562345482855957</v>
      </c>
      <c r="X1630" s="9">
        <v>22.391977691000818</v>
      </c>
      <c r="Y1630" s="9">
        <v>22.391977691000818</v>
      </c>
      <c r="Z1630" s="9">
        <v>24.28858708803979</v>
      </c>
      <c r="AA1630" s="9">
        <v>24.28858708803979</v>
      </c>
      <c r="AB1630" s="9">
        <v>25.117335532005217</v>
      </c>
      <c r="AC1630" s="9">
        <v>25.117335532005217</v>
      </c>
      <c r="AD1630" s="9">
        <v>29.039116491286865</v>
      </c>
      <c r="AE1630" s="9">
        <v>31.219251037281825</v>
      </c>
      <c r="AF1630" s="9">
        <v>33.487682081707895</v>
      </c>
      <c r="AG1630" s="9">
        <v>33.487682081707895</v>
      </c>
      <c r="AH1630" s="9">
        <v>36.427668170967245</v>
      </c>
      <c r="AI1630" s="9">
        <v>38.74455996597662</v>
      </c>
      <c r="AJ1630" s="9">
        <v>3.0428788910505911</v>
      </c>
    </row>
    <row r="1631" spans="1:36" x14ac:dyDescent="0.25">
      <c r="A1631" t="s">
        <v>5411</v>
      </c>
      <c r="B1631" t="s">
        <v>16</v>
      </c>
      <c r="C1631" t="s">
        <v>17</v>
      </c>
      <c r="D1631">
        <v>38530000</v>
      </c>
      <c r="E1631">
        <v>38539999</v>
      </c>
      <c r="F1631" t="s">
        <v>1450</v>
      </c>
      <c r="G1631" t="str">
        <f t="shared" si="50"/>
        <v>MGI II</v>
      </c>
      <c r="H1631" t="s">
        <v>851</v>
      </c>
      <c r="I1631" t="s">
        <v>20</v>
      </c>
      <c r="J1631" t="s">
        <v>64</v>
      </c>
      <c r="K1631" s="6">
        <v>0.03</v>
      </c>
      <c r="L1631" s="7">
        <f t="shared" si="51"/>
        <v>2E-3</v>
      </c>
      <c r="M1631" s="7">
        <v>3.0000000000000001E-3</v>
      </c>
      <c r="N1631">
        <v>8</v>
      </c>
      <c r="O1631" s="8">
        <v>17.822306426995311</v>
      </c>
      <c r="P1631" s="9">
        <v>17.822306426995311</v>
      </c>
      <c r="Q1631" s="9">
        <v>17.822306426995311</v>
      </c>
      <c r="R1631" s="9">
        <v>18.237663306594719</v>
      </c>
      <c r="S1631" s="9">
        <v>18.48712920931133</v>
      </c>
      <c r="T1631" s="9">
        <v>19.201553596969877</v>
      </c>
      <c r="U1631" s="9">
        <v>20.562345482855957</v>
      </c>
      <c r="V1631" s="9">
        <v>20.562345482855957</v>
      </c>
      <c r="W1631" s="9">
        <v>20.562345482855957</v>
      </c>
      <c r="X1631" s="9">
        <v>22.391977691000818</v>
      </c>
      <c r="Y1631" s="9">
        <v>22.391977691000818</v>
      </c>
      <c r="Z1631" s="9">
        <v>24.28858708803979</v>
      </c>
      <c r="AA1631" s="9">
        <v>24.28858708803979</v>
      </c>
      <c r="AB1631" s="9">
        <v>25.117335532005217</v>
      </c>
      <c r="AC1631" s="9">
        <v>25.117335532005217</v>
      </c>
      <c r="AD1631" s="9">
        <v>29.039116491286865</v>
      </c>
      <c r="AE1631" s="9">
        <v>31.219251037281825</v>
      </c>
      <c r="AF1631" s="9">
        <v>33.487682081707895</v>
      </c>
      <c r="AG1631" s="9">
        <v>33.487682081707895</v>
      </c>
      <c r="AH1631" s="9">
        <v>36.427668170967245</v>
      </c>
      <c r="AI1631" s="9">
        <v>38.74455996597662</v>
      </c>
      <c r="AJ1631" s="9">
        <v>3.0428788910505911</v>
      </c>
    </row>
    <row r="1632" spans="1:36" x14ac:dyDescent="0.25">
      <c r="A1632" t="s">
        <v>5411</v>
      </c>
      <c r="B1632" t="s">
        <v>16</v>
      </c>
      <c r="C1632" t="s">
        <v>17</v>
      </c>
      <c r="D1632">
        <v>38540000</v>
      </c>
      <c r="E1632">
        <v>38549999</v>
      </c>
      <c r="F1632" t="s">
        <v>1451</v>
      </c>
      <c r="G1632" t="str">
        <f t="shared" si="50"/>
        <v>MGI II</v>
      </c>
      <c r="H1632" t="s">
        <v>851</v>
      </c>
      <c r="I1632" t="s">
        <v>20</v>
      </c>
      <c r="J1632" t="s">
        <v>64</v>
      </c>
      <c r="K1632" s="6">
        <v>0.03</v>
      </c>
      <c r="L1632" s="7">
        <f t="shared" si="51"/>
        <v>2E-3</v>
      </c>
      <c r="M1632" s="7">
        <v>3.0000000000000001E-3</v>
      </c>
      <c r="N1632">
        <v>8</v>
      </c>
      <c r="O1632" s="8">
        <v>17.822306426995311</v>
      </c>
      <c r="P1632" s="9">
        <v>17.822306426995311</v>
      </c>
      <c r="Q1632" s="9">
        <v>17.822306426995311</v>
      </c>
      <c r="R1632" s="9">
        <v>18.237663306594719</v>
      </c>
      <c r="S1632" s="9">
        <v>18.48712920931133</v>
      </c>
      <c r="T1632" s="9">
        <v>19.201553596969877</v>
      </c>
      <c r="U1632" s="9">
        <v>20.562345482855957</v>
      </c>
      <c r="V1632" s="9">
        <v>20.562345482855957</v>
      </c>
      <c r="W1632" s="9">
        <v>20.562345482855957</v>
      </c>
      <c r="X1632" s="9">
        <v>22.391977691000818</v>
      </c>
      <c r="Y1632" s="9">
        <v>22.391977691000818</v>
      </c>
      <c r="Z1632" s="9">
        <v>24.28858708803979</v>
      </c>
      <c r="AA1632" s="9">
        <v>24.28858708803979</v>
      </c>
      <c r="AB1632" s="9">
        <v>25.117335532005217</v>
      </c>
      <c r="AC1632" s="9">
        <v>25.117335532005217</v>
      </c>
      <c r="AD1632" s="9">
        <v>29.039116491286865</v>
      </c>
      <c r="AE1632" s="9">
        <v>31.219251037281825</v>
      </c>
      <c r="AF1632" s="9">
        <v>33.487682081707895</v>
      </c>
      <c r="AG1632" s="9">
        <v>33.487682081707895</v>
      </c>
      <c r="AH1632" s="9">
        <v>36.427668170967245</v>
      </c>
      <c r="AI1632" s="9">
        <v>38.74455996597662</v>
      </c>
      <c r="AJ1632" s="9">
        <v>3.0428788910505911</v>
      </c>
    </row>
    <row r="1633" spans="1:36" x14ac:dyDescent="0.25">
      <c r="A1633" t="s">
        <v>5411</v>
      </c>
      <c r="B1633" t="s">
        <v>16</v>
      </c>
      <c r="C1633" t="s">
        <v>17</v>
      </c>
      <c r="D1633">
        <v>38550000</v>
      </c>
      <c r="E1633">
        <v>38569999</v>
      </c>
      <c r="F1633" t="s">
        <v>1452</v>
      </c>
      <c r="G1633" t="str">
        <f t="shared" si="50"/>
        <v>MGI II</v>
      </c>
      <c r="H1633" t="s">
        <v>851</v>
      </c>
      <c r="I1633" t="s">
        <v>20</v>
      </c>
      <c r="J1633" t="s">
        <v>64</v>
      </c>
      <c r="K1633" s="6">
        <v>0.03</v>
      </c>
      <c r="L1633" s="7">
        <f t="shared" si="51"/>
        <v>2E-3</v>
      </c>
      <c r="M1633" s="7">
        <v>3.0000000000000001E-3</v>
      </c>
      <c r="N1633">
        <v>8</v>
      </c>
      <c r="O1633" s="8">
        <v>17.822306426995311</v>
      </c>
      <c r="P1633" s="9">
        <v>17.822306426995311</v>
      </c>
      <c r="Q1633" s="9">
        <v>17.822306426995311</v>
      </c>
      <c r="R1633" s="9">
        <v>18.237663306594719</v>
      </c>
      <c r="S1633" s="9">
        <v>18.48712920931133</v>
      </c>
      <c r="T1633" s="9">
        <v>19.201553596969877</v>
      </c>
      <c r="U1633" s="9">
        <v>20.562345482855957</v>
      </c>
      <c r="V1633" s="9">
        <v>20.562345482855957</v>
      </c>
      <c r="W1633" s="9">
        <v>20.562345482855957</v>
      </c>
      <c r="X1633" s="9">
        <v>22.391977691000818</v>
      </c>
      <c r="Y1633" s="9">
        <v>22.391977691000818</v>
      </c>
      <c r="Z1633" s="9">
        <v>24.28858708803979</v>
      </c>
      <c r="AA1633" s="9">
        <v>24.28858708803979</v>
      </c>
      <c r="AB1633" s="9">
        <v>25.117335532005217</v>
      </c>
      <c r="AC1633" s="9">
        <v>25.117335532005217</v>
      </c>
      <c r="AD1633" s="9">
        <v>29.039116491286865</v>
      </c>
      <c r="AE1633" s="9">
        <v>31.219251037281825</v>
      </c>
      <c r="AF1633" s="9">
        <v>33.487682081707895</v>
      </c>
      <c r="AG1633" s="9">
        <v>33.487682081707895</v>
      </c>
      <c r="AH1633" s="9">
        <v>36.427668170967245</v>
      </c>
      <c r="AI1633" s="9">
        <v>38.74455996597662</v>
      </c>
      <c r="AJ1633" s="9">
        <v>3.0428788910505911</v>
      </c>
    </row>
    <row r="1634" spans="1:36" x14ac:dyDescent="0.25">
      <c r="A1634" t="s">
        <v>5411</v>
      </c>
      <c r="B1634" t="s">
        <v>16</v>
      </c>
      <c r="C1634" t="s">
        <v>17</v>
      </c>
      <c r="D1634">
        <v>38570000</v>
      </c>
      <c r="E1634">
        <v>38599999</v>
      </c>
      <c r="F1634" t="s">
        <v>1453</v>
      </c>
      <c r="G1634" t="str">
        <f t="shared" si="50"/>
        <v>MGI II</v>
      </c>
      <c r="H1634" t="s">
        <v>851</v>
      </c>
      <c r="I1634" t="s">
        <v>20</v>
      </c>
      <c r="J1634" t="s">
        <v>64</v>
      </c>
      <c r="K1634" s="6">
        <v>0.03</v>
      </c>
      <c r="L1634" s="7">
        <f t="shared" si="51"/>
        <v>2E-3</v>
      </c>
      <c r="M1634" s="7">
        <v>3.0000000000000001E-3</v>
      </c>
      <c r="N1634">
        <v>6</v>
      </c>
      <c r="O1634" s="8">
        <v>17.822306426995311</v>
      </c>
      <c r="P1634" s="9">
        <v>17.822306426995311</v>
      </c>
      <c r="Q1634" s="9">
        <v>17.822306426995311</v>
      </c>
      <c r="R1634" s="9">
        <v>18.237663306594719</v>
      </c>
      <c r="S1634" s="9">
        <v>18.48712920931133</v>
      </c>
      <c r="T1634" s="9">
        <v>19.201553596969877</v>
      </c>
      <c r="U1634" s="9">
        <v>20.562345482855957</v>
      </c>
      <c r="V1634" s="9">
        <v>20.562345482855957</v>
      </c>
      <c r="W1634" s="9">
        <v>20.562345482855957</v>
      </c>
      <c r="X1634" s="9">
        <v>22.391977691000818</v>
      </c>
      <c r="Y1634" s="9">
        <v>22.391977691000818</v>
      </c>
      <c r="Z1634" s="9">
        <v>24.28858708803979</v>
      </c>
      <c r="AA1634" s="9">
        <v>24.28858708803979</v>
      </c>
      <c r="AB1634" s="9">
        <v>25.117335532005217</v>
      </c>
      <c r="AC1634" s="9">
        <v>25.117335532005217</v>
      </c>
      <c r="AD1634" s="9">
        <v>29.039116491286865</v>
      </c>
      <c r="AE1634" s="9">
        <v>31.219251037281825</v>
      </c>
      <c r="AF1634" s="9">
        <v>33.487682081707895</v>
      </c>
      <c r="AG1634" s="9">
        <v>33.487682081707895</v>
      </c>
      <c r="AH1634" s="9">
        <v>36.427668170967245</v>
      </c>
      <c r="AI1634" s="9">
        <v>38.74455996597662</v>
      </c>
      <c r="AJ1634" s="9">
        <v>3.0428788910505911</v>
      </c>
    </row>
    <row r="1635" spans="1:36" x14ac:dyDescent="0.25">
      <c r="A1635" t="s">
        <v>5411</v>
      </c>
      <c r="B1635" t="s">
        <v>16</v>
      </c>
      <c r="C1635" t="s">
        <v>17</v>
      </c>
      <c r="D1635">
        <v>38600000</v>
      </c>
      <c r="E1635">
        <v>38609999</v>
      </c>
      <c r="F1635" t="s">
        <v>1454</v>
      </c>
      <c r="G1635" t="str">
        <f t="shared" si="50"/>
        <v>MGI II</v>
      </c>
      <c r="H1635" t="s">
        <v>851</v>
      </c>
      <c r="I1635" t="s">
        <v>20</v>
      </c>
      <c r="J1635" t="s">
        <v>64</v>
      </c>
      <c r="K1635" s="6">
        <v>0.03</v>
      </c>
      <c r="L1635" s="7">
        <f t="shared" si="51"/>
        <v>2E-3</v>
      </c>
      <c r="M1635" s="7">
        <v>3.0000000000000001E-3</v>
      </c>
      <c r="N1635">
        <v>7</v>
      </c>
      <c r="O1635" s="8">
        <v>17.822306426995311</v>
      </c>
      <c r="P1635" s="9">
        <v>17.822306426995311</v>
      </c>
      <c r="Q1635" s="9">
        <v>17.822306426995311</v>
      </c>
      <c r="R1635" s="9">
        <v>18.237663306594719</v>
      </c>
      <c r="S1635" s="9">
        <v>18.48712920931133</v>
      </c>
      <c r="T1635" s="9">
        <v>19.201553596969877</v>
      </c>
      <c r="U1635" s="9">
        <v>20.562345482855957</v>
      </c>
      <c r="V1635" s="9">
        <v>20.562345482855957</v>
      </c>
      <c r="W1635" s="9">
        <v>20.562345482855957</v>
      </c>
      <c r="X1635" s="9">
        <v>22.391977691000818</v>
      </c>
      <c r="Y1635" s="9">
        <v>22.391977691000818</v>
      </c>
      <c r="Z1635" s="9">
        <v>24.28858708803979</v>
      </c>
      <c r="AA1635" s="9">
        <v>24.28858708803979</v>
      </c>
      <c r="AB1635" s="9">
        <v>25.117335532005217</v>
      </c>
      <c r="AC1635" s="9">
        <v>25.117335532005217</v>
      </c>
      <c r="AD1635" s="9">
        <v>29.039116491286865</v>
      </c>
      <c r="AE1635" s="9">
        <v>31.219251037281825</v>
      </c>
      <c r="AF1635" s="9">
        <v>33.487682081707895</v>
      </c>
      <c r="AG1635" s="9">
        <v>33.487682081707895</v>
      </c>
      <c r="AH1635" s="9">
        <v>36.427668170967245</v>
      </c>
      <c r="AI1635" s="9">
        <v>38.74455996597662</v>
      </c>
      <c r="AJ1635" s="9">
        <v>3.0428788910505911</v>
      </c>
    </row>
    <row r="1636" spans="1:36" x14ac:dyDescent="0.25">
      <c r="A1636" t="s">
        <v>5411</v>
      </c>
      <c r="B1636" t="s">
        <v>16</v>
      </c>
      <c r="C1636" t="s">
        <v>17</v>
      </c>
      <c r="D1636">
        <v>38610000</v>
      </c>
      <c r="E1636">
        <v>38624999</v>
      </c>
      <c r="F1636" t="s">
        <v>1455</v>
      </c>
      <c r="G1636" t="str">
        <f t="shared" si="50"/>
        <v>MGI II</v>
      </c>
      <c r="H1636" t="s">
        <v>851</v>
      </c>
      <c r="I1636" t="s">
        <v>20</v>
      </c>
      <c r="J1636" t="s">
        <v>64</v>
      </c>
      <c r="K1636" s="6">
        <v>0.03</v>
      </c>
      <c r="L1636" s="7">
        <f t="shared" si="51"/>
        <v>2E-3</v>
      </c>
      <c r="M1636" s="7">
        <v>3.0000000000000001E-3</v>
      </c>
      <c r="N1636">
        <v>7</v>
      </c>
      <c r="O1636" s="8">
        <v>17.822306426995311</v>
      </c>
      <c r="P1636" s="9">
        <v>17.822306426995311</v>
      </c>
      <c r="Q1636" s="9">
        <v>17.822306426995311</v>
      </c>
      <c r="R1636" s="9">
        <v>18.237663306594719</v>
      </c>
      <c r="S1636" s="9">
        <v>18.48712920931133</v>
      </c>
      <c r="T1636" s="9">
        <v>19.201553596969877</v>
      </c>
      <c r="U1636" s="9">
        <v>20.562345482855957</v>
      </c>
      <c r="V1636" s="9">
        <v>20.562345482855957</v>
      </c>
      <c r="W1636" s="9">
        <v>20.562345482855957</v>
      </c>
      <c r="X1636" s="9">
        <v>22.391977691000818</v>
      </c>
      <c r="Y1636" s="9">
        <v>22.391977691000818</v>
      </c>
      <c r="Z1636" s="9">
        <v>24.28858708803979</v>
      </c>
      <c r="AA1636" s="9">
        <v>24.28858708803979</v>
      </c>
      <c r="AB1636" s="9">
        <v>25.117335532005217</v>
      </c>
      <c r="AC1636" s="9">
        <v>25.117335532005217</v>
      </c>
      <c r="AD1636" s="9">
        <v>29.039116491286865</v>
      </c>
      <c r="AE1636" s="9">
        <v>31.219251037281825</v>
      </c>
      <c r="AF1636" s="9">
        <v>33.487682081707895</v>
      </c>
      <c r="AG1636" s="9">
        <v>33.487682081707895</v>
      </c>
      <c r="AH1636" s="9">
        <v>36.427668170967245</v>
      </c>
      <c r="AI1636" s="9">
        <v>38.74455996597662</v>
      </c>
      <c r="AJ1636" s="9">
        <v>3.0428788910505911</v>
      </c>
    </row>
    <row r="1637" spans="1:36" x14ac:dyDescent="0.25">
      <c r="A1637" t="s">
        <v>5411</v>
      </c>
      <c r="B1637" t="s">
        <v>16</v>
      </c>
      <c r="C1637" t="s">
        <v>17</v>
      </c>
      <c r="D1637">
        <v>38625000</v>
      </c>
      <c r="E1637">
        <v>38629999</v>
      </c>
      <c r="F1637" t="s">
        <v>1456</v>
      </c>
      <c r="G1637" t="str">
        <f t="shared" si="50"/>
        <v>MGI II</v>
      </c>
      <c r="H1637" t="s">
        <v>851</v>
      </c>
      <c r="I1637" t="s">
        <v>20</v>
      </c>
      <c r="J1637" t="s">
        <v>64</v>
      </c>
      <c r="K1637" s="6">
        <v>0.03</v>
      </c>
      <c r="L1637" s="7">
        <f t="shared" si="51"/>
        <v>2E-3</v>
      </c>
      <c r="M1637" s="7">
        <v>3.0000000000000001E-3</v>
      </c>
      <c r="N1637">
        <v>7</v>
      </c>
      <c r="O1637" s="8">
        <v>17.822306426995311</v>
      </c>
      <c r="P1637" s="9">
        <v>17.822306426995311</v>
      </c>
      <c r="Q1637" s="9">
        <v>17.822306426995311</v>
      </c>
      <c r="R1637" s="9">
        <v>18.237663306594719</v>
      </c>
      <c r="S1637" s="9">
        <v>18.48712920931133</v>
      </c>
      <c r="T1637" s="9">
        <v>19.201553596969877</v>
      </c>
      <c r="U1637" s="9">
        <v>20.562345482855957</v>
      </c>
      <c r="V1637" s="9">
        <v>20.562345482855957</v>
      </c>
      <c r="W1637" s="9">
        <v>20.562345482855957</v>
      </c>
      <c r="X1637" s="9">
        <v>22.391977691000818</v>
      </c>
      <c r="Y1637" s="9">
        <v>22.391977691000818</v>
      </c>
      <c r="Z1637" s="9">
        <v>24.28858708803979</v>
      </c>
      <c r="AA1637" s="9">
        <v>24.28858708803979</v>
      </c>
      <c r="AB1637" s="9">
        <v>25.117335532005217</v>
      </c>
      <c r="AC1637" s="9">
        <v>25.117335532005217</v>
      </c>
      <c r="AD1637" s="9">
        <v>29.039116491286865</v>
      </c>
      <c r="AE1637" s="9">
        <v>31.219251037281825</v>
      </c>
      <c r="AF1637" s="9">
        <v>33.487682081707895</v>
      </c>
      <c r="AG1637" s="9">
        <v>33.487682081707895</v>
      </c>
      <c r="AH1637" s="9">
        <v>36.427668170967245</v>
      </c>
      <c r="AI1637" s="9">
        <v>38.74455996597662</v>
      </c>
      <c r="AJ1637" s="9">
        <v>3.0428788910505911</v>
      </c>
    </row>
    <row r="1638" spans="1:36" x14ac:dyDescent="0.25">
      <c r="A1638" t="s">
        <v>5411</v>
      </c>
      <c r="B1638" t="s">
        <v>16</v>
      </c>
      <c r="C1638" t="s">
        <v>17</v>
      </c>
      <c r="D1638">
        <v>38630000</v>
      </c>
      <c r="E1638">
        <v>38639999</v>
      </c>
      <c r="F1638" t="s">
        <v>1457</v>
      </c>
      <c r="G1638" t="str">
        <f t="shared" si="50"/>
        <v>MGI II</v>
      </c>
      <c r="H1638" t="s">
        <v>851</v>
      </c>
      <c r="I1638" t="s">
        <v>20</v>
      </c>
      <c r="J1638" t="s">
        <v>64</v>
      </c>
      <c r="K1638" s="6">
        <v>0.03</v>
      </c>
      <c r="L1638" s="7">
        <f t="shared" si="51"/>
        <v>2E-3</v>
      </c>
      <c r="M1638" s="7">
        <v>3.0000000000000001E-3</v>
      </c>
      <c r="N1638">
        <v>7</v>
      </c>
      <c r="O1638" s="8">
        <v>17.822306426995311</v>
      </c>
      <c r="P1638" s="9">
        <v>17.822306426995311</v>
      </c>
      <c r="Q1638" s="9">
        <v>17.822306426995311</v>
      </c>
      <c r="R1638" s="9">
        <v>18.237663306594719</v>
      </c>
      <c r="S1638" s="9">
        <v>18.48712920931133</v>
      </c>
      <c r="T1638" s="9">
        <v>19.201553596969877</v>
      </c>
      <c r="U1638" s="9">
        <v>20.562345482855957</v>
      </c>
      <c r="V1638" s="9">
        <v>20.562345482855957</v>
      </c>
      <c r="W1638" s="9">
        <v>20.562345482855957</v>
      </c>
      <c r="X1638" s="9">
        <v>22.391977691000818</v>
      </c>
      <c r="Y1638" s="9">
        <v>22.391977691000818</v>
      </c>
      <c r="Z1638" s="9">
        <v>24.28858708803979</v>
      </c>
      <c r="AA1638" s="9">
        <v>24.28858708803979</v>
      </c>
      <c r="AB1638" s="9">
        <v>25.117335532005217</v>
      </c>
      <c r="AC1638" s="9">
        <v>25.117335532005217</v>
      </c>
      <c r="AD1638" s="9">
        <v>29.039116491286865</v>
      </c>
      <c r="AE1638" s="9">
        <v>31.219251037281825</v>
      </c>
      <c r="AF1638" s="9">
        <v>33.487682081707895</v>
      </c>
      <c r="AG1638" s="9">
        <v>33.487682081707895</v>
      </c>
      <c r="AH1638" s="9">
        <v>36.427668170967245</v>
      </c>
      <c r="AI1638" s="9">
        <v>38.74455996597662</v>
      </c>
      <c r="AJ1638" s="9">
        <v>3.0428788910505911</v>
      </c>
    </row>
    <row r="1639" spans="1:36" x14ac:dyDescent="0.25">
      <c r="A1639" t="s">
        <v>5411</v>
      </c>
      <c r="B1639" t="s">
        <v>16</v>
      </c>
      <c r="C1639" t="s">
        <v>17</v>
      </c>
      <c r="D1639">
        <v>38640000</v>
      </c>
      <c r="E1639">
        <v>38648999</v>
      </c>
      <c r="F1639" t="s">
        <v>1458</v>
      </c>
      <c r="G1639" t="str">
        <f t="shared" si="50"/>
        <v>MGI II</v>
      </c>
      <c r="H1639" t="s">
        <v>851</v>
      </c>
      <c r="I1639" t="s">
        <v>20</v>
      </c>
      <c r="J1639" t="s">
        <v>64</v>
      </c>
      <c r="K1639" s="6">
        <v>0.03</v>
      </c>
      <c r="L1639" s="7">
        <f t="shared" si="51"/>
        <v>2E-3</v>
      </c>
      <c r="M1639" s="7">
        <v>3.0000000000000001E-3</v>
      </c>
      <c r="N1639">
        <v>8</v>
      </c>
      <c r="O1639" s="8">
        <v>17.822306426995311</v>
      </c>
      <c r="P1639" s="9">
        <v>17.822306426995311</v>
      </c>
      <c r="Q1639" s="9">
        <v>17.822306426995311</v>
      </c>
      <c r="R1639" s="9">
        <v>18.237663306594719</v>
      </c>
      <c r="S1639" s="9">
        <v>18.48712920931133</v>
      </c>
      <c r="T1639" s="9">
        <v>19.201553596969877</v>
      </c>
      <c r="U1639" s="9">
        <v>20.562345482855957</v>
      </c>
      <c r="V1639" s="9">
        <v>20.562345482855957</v>
      </c>
      <c r="W1639" s="9">
        <v>20.562345482855957</v>
      </c>
      <c r="X1639" s="9">
        <v>22.391977691000818</v>
      </c>
      <c r="Y1639" s="9">
        <v>22.391977691000818</v>
      </c>
      <c r="Z1639" s="9">
        <v>24.28858708803979</v>
      </c>
      <c r="AA1639" s="9">
        <v>24.28858708803979</v>
      </c>
      <c r="AB1639" s="9">
        <v>25.117335532005217</v>
      </c>
      <c r="AC1639" s="9">
        <v>25.117335532005217</v>
      </c>
      <c r="AD1639" s="9">
        <v>29.039116491286865</v>
      </c>
      <c r="AE1639" s="9">
        <v>31.219251037281825</v>
      </c>
      <c r="AF1639" s="9">
        <v>33.487682081707895</v>
      </c>
      <c r="AG1639" s="9">
        <v>33.487682081707895</v>
      </c>
      <c r="AH1639" s="9">
        <v>36.427668170967245</v>
      </c>
      <c r="AI1639" s="9">
        <v>38.74455996597662</v>
      </c>
      <c r="AJ1639" s="9">
        <v>3.0428788910505911</v>
      </c>
    </row>
    <row r="1640" spans="1:36" x14ac:dyDescent="0.25">
      <c r="A1640" t="s">
        <v>5411</v>
      </c>
      <c r="B1640" t="s">
        <v>16</v>
      </c>
      <c r="C1640" t="s">
        <v>17</v>
      </c>
      <c r="D1640">
        <v>38649000</v>
      </c>
      <c r="E1640">
        <v>38649999</v>
      </c>
      <c r="F1640" t="s">
        <v>1459</v>
      </c>
      <c r="G1640" t="str">
        <f t="shared" si="50"/>
        <v>MGI II</v>
      </c>
      <c r="H1640" t="s">
        <v>851</v>
      </c>
      <c r="I1640" t="s">
        <v>20</v>
      </c>
      <c r="J1640" t="s">
        <v>64</v>
      </c>
      <c r="K1640" s="6">
        <v>0.03</v>
      </c>
      <c r="L1640" s="7">
        <f t="shared" si="51"/>
        <v>2E-3</v>
      </c>
      <c r="M1640" s="7">
        <v>3.0000000000000001E-3</v>
      </c>
      <c r="N1640">
        <v>8</v>
      </c>
      <c r="O1640" s="8">
        <v>17.822306426995311</v>
      </c>
      <c r="P1640" s="9">
        <v>17.822306426995311</v>
      </c>
      <c r="Q1640" s="9">
        <v>17.822306426995311</v>
      </c>
      <c r="R1640" s="9">
        <v>18.237663306594719</v>
      </c>
      <c r="S1640" s="9">
        <v>18.48712920931133</v>
      </c>
      <c r="T1640" s="9">
        <v>19.201553596969877</v>
      </c>
      <c r="U1640" s="9">
        <v>20.562345482855957</v>
      </c>
      <c r="V1640" s="9">
        <v>20.562345482855957</v>
      </c>
      <c r="W1640" s="9">
        <v>20.562345482855957</v>
      </c>
      <c r="X1640" s="9">
        <v>22.391977691000818</v>
      </c>
      <c r="Y1640" s="9">
        <v>22.391977691000818</v>
      </c>
      <c r="Z1640" s="9">
        <v>24.28858708803979</v>
      </c>
      <c r="AA1640" s="9">
        <v>24.28858708803979</v>
      </c>
      <c r="AB1640" s="9">
        <v>25.117335532005217</v>
      </c>
      <c r="AC1640" s="9">
        <v>25.117335532005217</v>
      </c>
      <c r="AD1640" s="9">
        <v>29.039116491286865</v>
      </c>
      <c r="AE1640" s="9">
        <v>31.219251037281825</v>
      </c>
      <c r="AF1640" s="9">
        <v>33.487682081707895</v>
      </c>
      <c r="AG1640" s="9">
        <v>33.487682081707895</v>
      </c>
      <c r="AH1640" s="9">
        <v>36.427668170967245</v>
      </c>
      <c r="AI1640" s="9">
        <v>38.74455996597662</v>
      </c>
      <c r="AJ1640" s="9">
        <v>3.0428788910505911</v>
      </c>
    </row>
    <row r="1641" spans="1:36" x14ac:dyDescent="0.25">
      <c r="A1641" t="s">
        <v>5411</v>
      </c>
      <c r="B1641" t="s">
        <v>16</v>
      </c>
      <c r="C1641" t="s">
        <v>17</v>
      </c>
      <c r="D1641">
        <v>38650000</v>
      </c>
      <c r="E1641">
        <v>38653999</v>
      </c>
      <c r="F1641" t="s">
        <v>1460</v>
      </c>
      <c r="G1641" t="str">
        <f t="shared" si="50"/>
        <v>MGI II</v>
      </c>
      <c r="H1641" t="s">
        <v>851</v>
      </c>
      <c r="I1641" t="s">
        <v>20</v>
      </c>
      <c r="J1641" t="s">
        <v>64</v>
      </c>
      <c r="K1641" s="6">
        <v>0.03</v>
      </c>
      <c r="L1641" s="7">
        <f t="shared" si="51"/>
        <v>2E-3</v>
      </c>
      <c r="M1641" s="7">
        <v>3.0000000000000001E-3</v>
      </c>
      <c r="N1641">
        <v>8</v>
      </c>
      <c r="O1641" s="8">
        <v>17.822306426995311</v>
      </c>
      <c r="P1641" s="9">
        <v>17.822306426995311</v>
      </c>
      <c r="Q1641" s="9">
        <v>17.822306426995311</v>
      </c>
      <c r="R1641" s="9">
        <v>18.237663306594719</v>
      </c>
      <c r="S1641" s="9">
        <v>18.48712920931133</v>
      </c>
      <c r="T1641" s="9">
        <v>19.201553596969877</v>
      </c>
      <c r="U1641" s="9">
        <v>20.562345482855957</v>
      </c>
      <c r="V1641" s="9">
        <v>20.562345482855957</v>
      </c>
      <c r="W1641" s="9">
        <v>20.562345482855957</v>
      </c>
      <c r="X1641" s="9">
        <v>22.391977691000818</v>
      </c>
      <c r="Y1641" s="9">
        <v>22.391977691000818</v>
      </c>
      <c r="Z1641" s="9">
        <v>24.28858708803979</v>
      </c>
      <c r="AA1641" s="9">
        <v>24.28858708803979</v>
      </c>
      <c r="AB1641" s="9">
        <v>25.117335532005217</v>
      </c>
      <c r="AC1641" s="9">
        <v>25.117335532005217</v>
      </c>
      <c r="AD1641" s="9">
        <v>29.039116491286865</v>
      </c>
      <c r="AE1641" s="9">
        <v>31.219251037281825</v>
      </c>
      <c r="AF1641" s="9">
        <v>33.487682081707895</v>
      </c>
      <c r="AG1641" s="9">
        <v>33.487682081707895</v>
      </c>
      <c r="AH1641" s="9">
        <v>36.427668170967245</v>
      </c>
      <c r="AI1641" s="9">
        <v>38.74455996597662</v>
      </c>
      <c r="AJ1641" s="9">
        <v>3.0428788910505911</v>
      </c>
    </row>
    <row r="1642" spans="1:36" x14ac:dyDescent="0.25">
      <c r="A1642" t="s">
        <v>5411</v>
      </c>
      <c r="B1642" t="s">
        <v>16</v>
      </c>
      <c r="C1642" t="s">
        <v>17</v>
      </c>
      <c r="D1642">
        <v>38654000</v>
      </c>
      <c r="E1642">
        <v>38657999</v>
      </c>
      <c r="F1642" t="s">
        <v>1461</v>
      </c>
      <c r="G1642" t="str">
        <f t="shared" si="50"/>
        <v>MGI II</v>
      </c>
      <c r="H1642" t="s">
        <v>851</v>
      </c>
      <c r="I1642" t="s">
        <v>20</v>
      </c>
      <c r="J1642" t="s">
        <v>64</v>
      </c>
      <c r="K1642" s="6">
        <v>0.03</v>
      </c>
      <c r="L1642" s="7">
        <f t="shared" si="51"/>
        <v>2E-3</v>
      </c>
      <c r="M1642" s="7">
        <v>3.0000000000000001E-3</v>
      </c>
      <c r="N1642">
        <v>8</v>
      </c>
      <c r="O1642" s="8">
        <v>17.822306426995311</v>
      </c>
      <c r="P1642" s="9">
        <v>17.822306426995311</v>
      </c>
      <c r="Q1642" s="9">
        <v>17.822306426995311</v>
      </c>
      <c r="R1642" s="9">
        <v>18.237663306594719</v>
      </c>
      <c r="S1642" s="9">
        <v>18.48712920931133</v>
      </c>
      <c r="T1642" s="9">
        <v>19.201553596969877</v>
      </c>
      <c r="U1642" s="9">
        <v>20.562345482855957</v>
      </c>
      <c r="V1642" s="9">
        <v>20.562345482855957</v>
      </c>
      <c r="W1642" s="9">
        <v>20.562345482855957</v>
      </c>
      <c r="X1642" s="9">
        <v>22.391977691000818</v>
      </c>
      <c r="Y1642" s="9">
        <v>22.391977691000818</v>
      </c>
      <c r="Z1642" s="9">
        <v>24.28858708803979</v>
      </c>
      <c r="AA1642" s="9">
        <v>24.28858708803979</v>
      </c>
      <c r="AB1642" s="9">
        <v>25.117335532005217</v>
      </c>
      <c r="AC1642" s="9">
        <v>25.117335532005217</v>
      </c>
      <c r="AD1642" s="9">
        <v>29.039116491286865</v>
      </c>
      <c r="AE1642" s="9">
        <v>31.219251037281825</v>
      </c>
      <c r="AF1642" s="9">
        <v>33.487682081707895</v>
      </c>
      <c r="AG1642" s="9">
        <v>33.487682081707895</v>
      </c>
      <c r="AH1642" s="9">
        <v>36.427668170967245</v>
      </c>
      <c r="AI1642" s="9">
        <v>38.74455996597662</v>
      </c>
      <c r="AJ1642" s="9">
        <v>3.0428788910505911</v>
      </c>
    </row>
    <row r="1643" spans="1:36" x14ac:dyDescent="0.25">
      <c r="A1643" t="s">
        <v>5411</v>
      </c>
      <c r="B1643" t="s">
        <v>16</v>
      </c>
      <c r="C1643" t="s">
        <v>17</v>
      </c>
      <c r="D1643">
        <v>38658000</v>
      </c>
      <c r="E1643">
        <v>38659999</v>
      </c>
      <c r="F1643" t="s">
        <v>1462</v>
      </c>
      <c r="G1643" t="str">
        <f t="shared" si="50"/>
        <v>MGI II</v>
      </c>
      <c r="H1643" t="s">
        <v>851</v>
      </c>
      <c r="I1643" t="s">
        <v>20</v>
      </c>
      <c r="J1643" t="s">
        <v>64</v>
      </c>
      <c r="K1643" s="6">
        <v>0.03</v>
      </c>
      <c r="L1643" s="7">
        <f t="shared" si="51"/>
        <v>2E-3</v>
      </c>
      <c r="M1643" s="7">
        <v>3.0000000000000001E-3</v>
      </c>
      <c r="N1643">
        <v>7</v>
      </c>
      <c r="O1643" s="8">
        <v>17.822306426995311</v>
      </c>
      <c r="P1643" s="9">
        <v>17.822306426995311</v>
      </c>
      <c r="Q1643" s="9">
        <v>17.822306426995311</v>
      </c>
      <c r="R1643" s="9">
        <v>18.237663306594719</v>
      </c>
      <c r="S1643" s="9">
        <v>18.48712920931133</v>
      </c>
      <c r="T1643" s="9">
        <v>19.201553596969877</v>
      </c>
      <c r="U1643" s="9">
        <v>20.562345482855957</v>
      </c>
      <c r="V1643" s="9">
        <v>20.562345482855957</v>
      </c>
      <c r="W1643" s="9">
        <v>20.562345482855957</v>
      </c>
      <c r="X1643" s="9">
        <v>22.391977691000818</v>
      </c>
      <c r="Y1643" s="9">
        <v>22.391977691000818</v>
      </c>
      <c r="Z1643" s="9">
        <v>24.28858708803979</v>
      </c>
      <c r="AA1643" s="9">
        <v>24.28858708803979</v>
      </c>
      <c r="AB1643" s="9">
        <v>25.117335532005217</v>
      </c>
      <c r="AC1643" s="9">
        <v>25.117335532005217</v>
      </c>
      <c r="AD1643" s="9">
        <v>29.039116491286865</v>
      </c>
      <c r="AE1643" s="9">
        <v>31.219251037281825</v>
      </c>
      <c r="AF1643" s="9">
        <v>33.487682081707895</v>
      </c>
      <c r="AG1643" s="9">
        <v>33.487682081707895</v>
      </c>
      <c r="AH1643" s="9">
        <v>36.427668170967245</v>
      </c>
      <c r="AI1643" s="9">
        <v>38.74455996597662</v>
      </c>
      <c r="AJ1643" s="9">
        <v>3.0428788910505911</v>
      </c>
    </row>
    <row r="1644" spans="1:36" x14ac:dyDescent="0.25">
      <c r="A1644" t="s">
        <v>5411</v>
      </c>
      <c r="B1644" t="s">
        <v>16</v>
      </c>
      <c r="C1644" t="s">
        <v>17</v>
      </c>
      <c r="D1644">
        <v>38660000</v>
      </c>
      <c r="E1644">
        <v>38679999</v>
      </c>
      <c r="F1644" t="s">
        <v>1463</v>
      </c>
      <c r="G1644" t="str">
        <f t="shared" si="50"/>
        <v>MGI II</v>
      </c>
      <c r="H1644" t="s">
        <v>851</v>
      </c>
      <c r="I1644" t="s">
        <v>20</v>
      </c>
      <c r="J1644" t="s">
        <v>64</v>
      </c>
      <c r="K1644" s="6">
        <v>0.03</v>
      </c>
      <c r="L1644" s="7">
        <f t="shared" si="51"/>
        <v>2E-3</v>
      </c>
      <c r="M1644" s="7">
        <v>3.0000000000000001E-3</v>
      </c>
      <c r="N1644">
        <v>7</v>
      </c>
      <c r="O1644" s="8">
        <v>17.822306426995311</v>
      </c>
      <c r="P1644" s="9">
        <v>17.822306426995311</v>
      </c>
      <c r="Q1644" s="9">
        <v>17.822306426995311</v>
      </c>
      <c r="R1644" s="9">
        <v>18.237663306594719</v>
      </c>
      <c r="S1644" s="9">
        <v>18.48712920931133</v>
      </c>
      <c r="T1644" s="9">
        <v>19.201553596969877</v>
      </c>
      <c r="U1644" s="9">
        <v>20.562345482855957</v>
      </c>
      <c r="V1644" s="9">
        <v>20.562345482855957</v>
      </c>
      <c r="W1644" s="9">
        <v>20.562345482855957</v>
      </c>
      <c r="X1644" s="9">
        <v>22.391977691000818</v>
      </c>
      <c r="Y1644" s="9">
        <v>22.391977691000818</v>
      </c>
      <c r="Z1644" s="9">
        <v>24.28858708803979</v>
      </c>
      <c r="AA1644" s="9">
        <v>24.28858708803979</v>
      </c>
      <c r="AB1644" s="9">
        <v>25.117335532005217</v>
      </c>
      <c r="AC1644" s="9">
        <v>25.117335532005217</v>
      </c>
      <c r="AD1644" s="9">
        <v>29.039116491286865</v>
      </c>
      <c r="AE1644" s="9">
        <v>31.219251037281825</v>
      </c>
      <c r="AF1644" s="9">
        <v>33.487682081707895</v>
      </c>
      <c r="AG1644" s="9">
        <v>33.487682081707895</v>
      </c>
      <c r="AH1644" s="9">
        <v>36.427668170967245</v>
      </c>
      <c r="AI1644" s="9">
        <v>38.74455996597662</v>
      </c>
      <c r="AJ1644" s="9">
        <v>3.0428788910505911</v>
      </c>
    </row>
    <row r="1645" spans="1:36" x14ac:dyDescent="0.25">
      <c r="A1645" t="s">
        <v>5411</v>
      </c>
      <c r="B1645" t="s">
        <v>16</v>
      </c>
      <c r="C1645" t="s">
        <v>17</v>
      </c>
      <c r="D1645">
        <v>38680000</v>
      </c>
      <c r="E1645">
        <v>38688999</v>
      </c>
      <c r="F1645" t="s">
        <v>1464</v>
      </c>
      <c r="G1645" t="str">
        <f t="shared" si="50"/>
        <v>MGI II</v>
      </c>
      <c r="H1645" t="s">
        <v>851</v>
      </c>
      <c r="I1645" t="s">
        <v>20</v>
      </c>
      <c r="J1645" t="s">
        <v>64</v>
      </c>
      <c r="K1645" s="6">
        <v>0.03</v>
      </c>
      <c r="L1645" s="7">
        <f t="shared" si="51"/>
        <v>2E-3</v>
      </c>
      <c r="M1645" s="7">
        <v>3.0000000000000001E-3</v>
      </c>
      <c r="N1645">
        <v>8</v>
      </c>
      <c r="O1645" s="8">
        <v>17.822306426995311</v>
      </c>
      <c r="P1645" s="9">
        <v>17.822306426995311</v>
      </c>
      <c r="Q1645" s="9">
        <v>17.822306426995311</v>
      </c>
      <c r="R1645" s="9">
        <v>18.237663306594719</v>
      </c>
      <c r="S1645" s="9">
        <v>18.48712920931133</v>
      </c>
      <c r="T1645" s="9">
        <v>19.201553596969877</v>
      </c>
      <c r="U1645" s="9">
        <v>20.562345482855957</v>
      </c>
      <c r="V1645" s="9">
        <v>20.562345482855957</v>
      </c>
      <c r="W1645" s="9">
        <v>20.562345482855957</v>
      </c>
      <c r="X1645" s="9">
        <v>22.391977691000818</v>
      </c>
      <c r="Y1645" s="9">
        <v>22.391977691000818</v>
      </c>
      <c r="Z1645" s="9">
        <v>24.28858708803979</v>
      </c>
      <c r="AA1645" s="9">
        <v>24.28858708803979</v>
      </c>
      <c r="AB1645" s="9">
        <v>25.117335532005217</v>
      </c>
      <c r="AC1645" s="9">
        <v>25.117335532005217</v>
      </c>
      <c r="AD1645" s="9">
        <v>29.039116491286865</v>
      </c>
      <c r="AE1645" s="9">
        <v>31.219251037281825</v>
      </c>
      <c r="AF1645" s="9">
        <v>33.487682081707895</v>
      </c>
      <c r="AG1645" s="9">
        <v>33.487682081707895</v>
      </c>
      <c r="AH1645" s="9">
        <v>36.427668170967245</v>
      </c>
      <c r="AI1645" s="9">
        <v>38.74455996597662</v>
      </c>
      <c r="AJ1645" s="9">
        <v>3.0428788910505911</v>
      </c>
    </row>
    <row r="1646" spans="1:36" x14ac:dyDescent="0.25">
      <c r="A1646" t="s">
        <v>5411</v>
      </c>
      <c r="B1646" t="s">
        <v>16</v>
      </c>
      <c r="C1646" t="s">
        <v>17</v>
      </c>
      <c r="D1646">
        <v>38689000</v>
      </c>
      <c r="E1646">
        <v>38689999</v>
      </c>
      <c r="F1646" t="s">
        <v>1465</v>
      </c>
      <c r="G1646" t="str">
        <f t="shared" si="50"/>
        <v>MGI II</v>
      </c>
      <c r="H1646" t="s">
        <v>851</v>
      </c>
      <c r="I1646" t="s">
        <v>20</v>
      </c>
      <c r="J1646" t="s">
        <v>64</v>
      </c>
      <c r="K1646" s="6">
        <v>0.03</v>
      </c>
      <c r="L1646" s="7">
        <f t="shared" si="51"/>
        <v>2E-3</v>
      </c>
      <c r="M1646" s="7">
        <v>3.0000000000000001E-3</v>
      </c>
      <c r="N1646">
        <v>8</v>
      </c>
      <c r="O1646" s="8">
        <v>17.822306426995311</v>
      </c>
      <c r="P1646" s="9">
        <v>17.822306426995311</v>
      </c>
      <c r="Q1646" s="9">
        <v>17.822306426995311</v>
      </c>
      <c r="R1646" s="9">
        <v>18.237663306594719</v>
      </c>
      <c r="S1646" s="9">
        <v>18.48712920931133</v>
      </c>
      <c r="T1646" s="9">
        <v>19.201553596969877</v>
      </c>
      <c r="U1646" s="9">
        <v>20.562345482855957</v>
      </c>
      <c r="V1646" s="9">
        <v>20.562345482855957</v>
      </c>
      <c r="W1646" s="9">
        <v>20.562345482855957</v>
      </c>
      <c r="X1646" s="9">
        <v>22.391977691000818</v>
      </c>
      <c r="Y1646" s="9">
        <v>22.391977691000818</v>
      </c>
      <c r="Z1646" s="9">
        <v>24.28858708803979</v>
      </c>
      <c r="AA1646" s="9">
        <v>24.28858708803979</v>
      </c>
      <c r="AB1646" s="9">
        <v>25.117335532005217</v>
      </c>
      <c r="AC1646" s="9">
        <v>25.117335532005217</v>
      </c>
      <c r="AD1646" s="9">
        <v>29.039116491286865</v>
      </c>
      <c r="AE1646" s="9">
        <v>31.219251037281825</v>
      </c>
      <c r="AF1646" s="9">
        <v>33.487682081707895</v>
      </c>
      <c r="AG1646" s="9">
        <v>33.487682081707895</v>
      </c>
      <c r="AH1646" s="9">
        <v>36.427668170967245</v>
      </c>
      <c r="AI1646" s="9">
        <v>38.74455996597662</v>
      </c>
      <c r="AJ1646" s="9">
        <v>3.0428788910505911</v>
      </c>
    </row>
    <row r="1647" spans="1:36" x14ac:dyDescent="0.25">
      <c r="A1647" t="s">
        <v>5411</v>
      </c>
      <c r="B1647" t="s">
        <v>16</v>
      </c>
      <c r="C1647" t="s">
        <v>17</v>
      </c>
      <c r="D1647">
        <v>38690000</v>
      </c>
      <c r="E1647">
        <v>38699999</v>
      </c>
      <c r="F1647" t="s">
        <v>1466</v>
      </c>
      <c r="G1647" t="str">
        <f t="shared" si="50"/>
        <v>MGI II</v>
      </c>
      <c r="H1647" t="s">
        <v>851</v>
      </c>
      <c r="I1647" t="s">
        <v>20</v>
      </c>
      <c r="J1647" t="s">
        <v>64</v>
      </c>
      <c r="K1647" s="6">
        <v>0.03</v>
      </c>
      <c r="L1647" s="7">
        <f t="shared" si="51"/>
        <v>2E-3</v>
      </c>
      <c r="M1647" s="7">
        <v>3.0000000000000001E-3</v>
      </c>
      <c r="N1647">
        <v>8</v>
      </c>
      <c r="O1647" s="8">
        <v>17.822306426995311</v>
      </c>
      <c r="P1647" s="9">
        <v>17.822306426995311</v>
      </c>
      <c r="Q1647" s="9">
        <v>17.822306426995311</v>
      </c>
      <c r="R1647" s="9">
        <v>18.237663306594719</v>
      </c>
      <c r="S1647" s="9">
        <v>18.48712920931133</v>
      </c>
      <c r="T1647" s="9">
        <v>19.201553596969877</v>
      </c>
      <c r="U1647" s="9">
        <v>20.562345482855957</v>
      </c>
      <c r="V1647" s="9">
        <v>20.562345482855957</v>
      </c>
      <c r="W1647" s="9">
        <v>20.562345482855957</v>
      </c>
      <c r="X1647" s="9">
        <v>22.391977691000818</v>
      </c>
      <c r="Y1647" s="9">
        <v>22.391977691000818</v>
      </c>
      <c r="Z1647" s="9">
        <v>24.28858708803979</v>
      </c>
      <c r="AA1647" s="9">
        <v>24.28858708803979</v>
      </c>
      <c r="AB1647" s="9">
        <v>25.117335532005217</v>
      </c>
      <c r="AC1647" s="9">
        <v>25.117335532005217</v>
      </c>
      <c r="AD1647" s="9">
        <v>29.039116491286865</v>
      </c>
      <c r="AE1647" s="9">
        <v>31.219251037281825</v>
      </c>
      <c r="AF1647" s="9">
        <v>33.487682081707895</v>
      </c>
      <c r="AG1647" s="9">
        <v>33.487682081707895</v>
      </c>
      <c r="AH1647" s="9">
        <v>36.427668170967245</v>
      </c>
      <c r="AI1647" s="9">
        <v>38.74455996597662</v>
      </c>
      <c r="AJ1647" s="9">
        <v>3.0428788910505911</v>
      </c>
    </row>
    <row r="1648" spans="1:36" x14ac:dyDescent="0.25">
      <c r="A1648" t="s">
        <v>5411</v>
      </c>
      <c r="B1648" t="s">
        <v>16</v>
      </c>
      <c r="C1648" t="s">
        <v>17</v>
      </c>
      <c r="D1648">
        <v>38700000</v>
      </c>
      <c r="E1648">
        <v>38719999</v>
      </c>
      <c r="F1648" t="s">
        <v>1467</v>
      </c>
      <c r="G1648" t="str">
        <f t="shared" si="50"/>
        <v>MGI</v>
      </c>
      <c r="H1648" t="s">
        <v>851</v>
      </c>
      <c r="I1648" t="s">
        <v>20</v>
      </c>
      <c r="J1648" t="s">
        <v>62</v>
      </c>
      <c r="K1648" s="6">
        <v>0.03</v>
      </c>
      <c r="L1648" s="7">
        <f t="shared" si="51"/>
        <v>2E-3</v>
      </c>
      <c r="M1648" s="7">
        <v>3.0000000000000001E-3</v>
      </c>
      <c r="N1648">
        <v>6</v>
      </c>
      <c r="O1648" s="8">
        <v>13.880385281502075</v>
      </c>
      <c r="P1648" s="9">
        <v>13.880385281502075</v>
      </c>
      <c r="Q1648" s="9">
        <v>13.880385281502075</v>
      </c>
      <c r="R1648" s="9">
        <v>14.045989937445718</v>
      </c>
      <c r="S1648" s="9">
        <v>14.060876315369912</v>
      </c>
      <c r="T1648" s="9">
        <v>15.090338571208333</v>
      </c>
      <c r="U1648" s="9">
        <v>16.025407313902726</v>
      </c>
      <c r="V1648" s="9">
        <v>16.025407313902726</v>
      </c>
      <c r="W1648" s="9">
        <v>16.025407313902726</v>
      </c>
      <c r="X1648" s="9">
        <v>18.013895748167766</v>
      </c>
      <c r="Y1648" s="9">
        <v>18.013895748167766</v>
      </c>
      <c r="Z1648" s="9">
        <v>20.142868501532355</v>
      </c>
      <c r="AA1648" s="9">
        <v>20.142868501532355</v>
      </c>
      <c r="AB1648" s="9">
        <v>22.456349831314476</v>
      </c>
      <c r="AC1648" s="9">
        <v>22.456349831314476</v>
      </c>
      <c r="AD1648" s="9">
        <v>24.87984091164185</v>
      </c>
      <c r="AE1648" s="9">
        <v>27.427492221952345</v>
      </c>
      <c r="AF1648" s="9">
        <v>33.194804868730657</v>
      </c>
      <c r="AG1648" s="9">
        <v>33.194804868730657</v>
      </c>
      <c r="AH1648" s="9">
        <v>35.957808835828068</v>
      </c>
      <c r="AI1648" s="9">
        <v>38.646304092692077</v>
      </c>
      <c r="AJ1648" s="9">
        <v>3.0428788910505911</v>
      </c>
    </row>
    <row r="1649" spans="1:36" x14ac:dyDescent="0.25">
      <c r="A1649" t="s">
        <v>5411</v>
      </c>
      <c r="B1649" t="s">
        <v>16</v>
      </c>
      <c r="C1649" t="s">
        <v>17</v>
      </c>
      <c r="D1649">
        <v>38720000</v>
      </c>
      <c r="E1649">
        <v>38729999</v>
      </c>
      <c r="F1649" t="s">
        <v>1468</v>
      </c>
      <c r="G1649" t="str">
        <f t="shared" si="50"/>
        <v>MGI II</v>
      </c>
      <c r="H1649" t="s">
        <v>851</v>
      </c>
      <c r="I1649" t="s">
        <v>20</v>
      </c>
      <c r="J1649" t="s">
        <v>64</v>
      </c>
      <c r="K1649" s="6">
        <v>0.03</v>
      </c>
      <c r="L1649" s="7">
        <f t="shared" si="51"/>
        <v>2E-3</v>
      </c>
      <c r="M1649" s="7">
        <v>3.0000000000000001E-3</v>
      </c>
      <c r="N1649">
        <v>7</v>
      </c>
      <c r="O1649" s="8">
        <v>17.822306426995311</v>
      </c>
      <c r="P1649" s="9">
        <v>17.822306426995311</v>
      </c>
      <c r="Q1649" s="9">
        <v>17.822306426995311</v>
      </c>
      <c r="R1649" s="9">
        <v>18.237663306594719</v>
      </c>
      <c r="S1649" s="9">
        <v>18.48712920931133</v>
      </c>
      <c r="T1649" s="9">
        <v>19.201553596969877</v>
      </c>
      <c r="U1649" s="9">
        <v>20.562345482855957</v>
      </c>
      <c r="V1649" s="9">
        <v>20.562345482855957</v>
      </c>
      <c r="W1649" s="9">
        <v>20.562345482855957</v>
      </c>
      <c r="X1649" s="9">
        <v>22.391977691000818</v>
      </c>
      <c r="Y1649" s="9">
        <v>22.391977691000818</v>
      </c>
      <c r="Z1649" s="9">
        <v>24.28858708803979</v>
      </c>
      <c r="AA1649" s="9">
        <v>24.28858708803979</v>
      </c>
      <c r="AB1649" s="9">
        <v>25.117335532005217</v>
      </c>
      <c r="AC1649" s="9">
        <v>25.117335532005217</v>
      </c>
      <c r="AD1649" s="9">
        <v>29.039116491286865</v>
      </c>
      <c r="AE1649" s="9">
        <v>31.219251037281825</v>
      </c>
      <c r="AF1649" s="9">
        <v>33.487682081707895</v>
      </c>
      <c r="AG1649" s="9">
        <v>33.487682081707895</v>
      </c>
      <c r="AH1649" s="9">
        <v>36.427668170967245</v>
      </c>
      <c r="AI1649" s="9">
        <v>38.74455996597662</v>
      </c>
      <c r="AJ1649" s="9">
        <v>3.0428788910505911</v>
      </c>
    </row>
    <row r="1650" spans="1:36" x14ac:dyDescent="0.25">
      <c r="A1650" t="s">
        <v>5411</v>
      </c>
      <c r="B1650" t="s">
        <v>16</v>
      </c>
      <c r="C1650" t="s">
        <v>17</v>
      </c>
      <c r="D1650">
        <v>38730000</v>
      </c>
      <c r="E1650">
        <v>38734999</v>
      </c>
      <c r="F1650" t="s">
        <v>1469</v>
      </c>
      <c r="G1650" t="str">
        <f t="shared" si="50"/>
        <v>MGI II</v>
      </c>
      <c r="H1650" t="s">
        <v>851</v>
      </c>
      <c r="I1650" t="s">
        <v>20</v>
      </c>
      <c r="J1650" t="s">
        <v>64</v>
      </c>
      <c r="K1650" s="6">
        <v>0.03</v>
      </c>
      <c r="L1650" s="7">
        <f t="shared" si="51"/>
        <v>2E-3</v>
      </c>
      <c r="M1650" s="7">
        <v>3.0000000000000001E-3</v>
      </c>
      <c r="N1650">
        <v>7</v>
      </c>
      <c r="O1650" s="8">
        <v>17.822306426995311</v>
      </c>
      <c r="P1650" s="9">
        <v>17.822306426995311</v>
      </c>
      <c r="Q1650" s="9">
        <v>17.822306426995311</v>
      </c>
      <c r="R1650" s="9">
        <v>18.237663306594719</v>
      </c>
      <c r="S1650" s="9">
        <v>18.48712920931133</v>
      </c>
      <c r="T1650" s="9">
        <v>19.201553596969877</v>
      </c>
      <c r="U1650" s="9">
        <v>20.562345482855957</v>
      </c>
      <c r="V1650" s="9">
        <v>20.562345482855957</v>
      </c>
      <c r="W1650" s="9">
        <v>20.562345482855957</v>
      </c>
      <c r="X1650" s="9">
        <v>22.391977691000818</v>
      </c>
      <c r="Y1650" s="9">
        <v>22.391977691000818</v>
      </c>
      <c r="Z1650" s="9">
        <v>24.28858708803979</v>
      </c>
      <c r="AA1650" s="9">
        <v>24.28858708803979</v>
      </c>
      <c r="AB1650" s="9">
        <v>25.117335532005217</v>
      </c>
      <c r="AC1650" s="9">
        <v>25.117335532005217</v>
      </c>
      <c r="AD1650" s="9">
        <v>29.039116491286865</v>
      </c>
      <c r="AE1650" s="9">
        <v>31.219251037281825</v>
      </c>
      <c r="AF1650" s="9">
        <v>33.487682081707895</v>
      </c>
      <c r="AG1650" s="9">
        <v>33.487682081707895</v>
      </c>
      <c r="AH1650" s="9">
        <v>36.427668170967245</v>
      </c>
      <c r="AI1650" s="9">
        <v>38.74455996597662</v>
      </c>
      <c r="AJ1650" s="9">
        <v>3.0428788910505911</v>
      </c>
    </row>
    <row r="1651" spans="1:36" x14ac:dyDescent="0.25">
      <c r="A1651" t="s">
        <v>5411</v>
      </c>
      <c r="B1651" t="s">
        <v>16</v>
      </c>
      <c r="C1651" t="s">
        <v>17</v>
      </c>
      <c r="D1651">
        <v>38735000</v>
      </c>
      <c r="E1651">
        <v>38739999</v>
      </c>
      <c r="F1651" t="s">
        <v>1470</v>
      </c>
      <c r="G1651" t="str">
        <f t="shared" si="50"/>
        <v>MGI II</v>
      </c>
      <c r="H1651" t="s">
        <v>851</v>
      </c>
      <c r="I1651" t="s">
        <v>20</v>
      </c>
      <c r="J1651" t="s">
        <v>64</v>
      </c>
      <c r="K1651" s="6">
        <v>0.03</v>
      </c>
      <c r="L1651" s="7">
        <f t="shared" si="51"/>
        <v>2E-3</v>
      </c>
      <c r="M1651" s="7">
        <v>3.0000000000000001E-3</v>
      </c>
      <c r="N1651">
        <v>7</v>
      </c>
      <c r="O1651" s="8">
        <v>17.822306426995311</v>
      </c>
      <c r="P1651" s="9">
        <v>17.822306426995311</v>
      </c>
      <c r="Q1651" s="9">
        <v>17.822306426995311</v>
      </c>
      <c r="R1651" s="9">
        <v>18.237663306594719</v>
      </c>
      <c r="S1651" s="9">
        <v>18.48712920931133</v>
      </c>
      <c r="T1651" s="9">
        <v>19.201553596969877</v>
      </c>
      <c r="U1651" s="9">
        <v>20.562345482855957</v>
      </c>
      <c r="V1651" s="9">
        <v>20.562345482855957</v>
      </c>
      <c r="W1651" s="9">
        <v>20.562345482855957</v>
      </c>
      <c r="X1651" s="9">
        <v>22.391977691000818</v>
      </c>
      <c r="Y1651" s="9">
        <v>22.391977691000818</v>
      </c>
      <c r="Z1651" s="9">
        <v>24.28858708803979</v>
      </c>
      <c r="AA1651" s="9">
        <v>24.28858708803979</v>
      </c>
      <c r="AB1651" s="9">
        <v>25.117335532005217</v>
      </c>
      <c r="AC1651" s="9">
        <v>25.117335532005217</v>
      </c>
      <c r="AD1651" s="9">
        <v>29.039116491286865</v>
      </c>
      <c r="AE1651" s="9">
        <v>31.219251037281825</v>
      </c>
      <c r="AF1651" s="9">
        <v>33.487682081707895</v>
      </c>
      <c r="AG1651" s="9">
        <v>33.487682081707895</v>
      </c>
      <c r="AH1651" s="9">
        <v>36.427668170967245</v>
      </c>
      <c r="AI1651" s="9">
        <v>38.74455996597662</v>
      </c>
      <c r="AJ1651" s="9">
        <v>3.0428788910505911</v>
      </c>
    </row>
    <row r="1652" spans="1:36" x14ac:dyDescent="0.25">
      <c r="A1652" t="s">
        <v>5411</v>
      </c>
      <c r="B1652" t="s">
        <v>16</v>
      </c>
      <c r="C1652" t="s">
        <v>17</v>
      </c>
      <c r="D1652">
        <v>38740000</v>
      </c>
      <c r="E1652">
        <v>38749999</v>
      </c>
      <c r="F1652" t="s">
        <v>1471</v>
      </c>
      <c r="G1652" t="str">
        <f t="shared" si="50"/>
        <v>MGI II</v>
      </c>
      <c r="H1652" t="s">
        <v>851</v>
      </c>
      <c r="I1652" t="s">
        <v>20</v>
      </c>
      <c r="J1652" t="s">
        <v>64</v>
      </c>
      <c r="K1652" s="6">
        <v>0.03</v>
      </c>
      <c r="L1652" s="7">
        <f t="shared" si="51"/>
        <v>2E-3</v>
      </c>
      <c r="M1652" s="7">
        <v>3.0000000000000001E-3</v>
      </c>
      <c r="N1652">
        <v>8</v>
      </c>
      <c r="O1652" s="8">
        <v>17.822306426995311</v>
      </c>
      <c r="P1652" s="9">
        <v>17.822306426995311</v>
      </c>
      <c r="Q1652" s="9">
        <v>17.822306426995311</v>
      </c>
      <c r="R1652" s="9">
        <v>18.237663306594719</v>
      </c>
      <c r="S1652" s="9">
        <v>18.48712920931133</v>
      </c>
      <c r="T1652" s="9">
        <v>19.201553596969877</v>
      </c>
      <c r="U1652" s="9">
        <v>20.562345482855957</v>
      </c>
      <c r="V1652" s="9">
        <v>20.562345482855957</v>
      </c>
      <c r="W1652" s="9">
        <v>20.562345482855957</v>
      </c>
      <c r="X1652" s="9">
        <v>22.391977691000818</v>
      </c>
      <c r="Y1652" s="9">
        <v>22.391977691000818</v>
      </c>
      <c r="Z1652" s="9">
        <v>24.28858708803979</v>
      </c>
      <c r="AA1652" s="9">
        <v>24.28858708803979</v>
      </c>
      <c r="AB1652" s="9">
        <v>25.117335532005217</v>
      </c>
      <c r="AC1652" s="9">
        <v>25.117335532005217</v>
      </c>
      <c r="AD1652" s="9">
        <v>29.039116491286865</v>
      </c>
      <c r="AE1652" s="9">
        <v>31.219251037281825</v>
      </c>
      <c r="AF1652" s="9">
        <v>33.487682081707895</v>
      </c>
      <c r="AG1652" s="9">
        <v>33.487682081707895</v>
      </c>
      <c r="AH1652" s="9">
        <v>36.427668170967245</v>
      </c>
      <c r="AI1652" s="9">
        <v>38.74455996597662</v>
      </c>
      <c r="AJ1652" s="9">
        <v>3.0428788910505911</v>
      </c>
    </row>
    <row r="1653" spans="1:36" x14ac:dyDescent="0.25">
      <c r="A1653" t="s">
        <v>5411</v>
      </c>
      <c r="B1653" t="s">
        <v>16</v>
      </c>
      <c r="C1653" t="s">
        <v>17</v>
      </c>
      <c r="D1653">
        <v>38750000</v>
      </c>
      <c r="E1653">
        <v>38754999</v>
      </c>
      <c r="F1653" t="s">
        <v>1472</v>
      </c>
      <c r="G1653" t="str">
        <f t="shared" si="50"/>
        <v>MGI II</v>
      </c>
      <c r="H1653" t="s">
        <v>851</v>
      </c>
      <c r="I1653" t="s">
        <v>20</v>
      </c>
      <c r="J1653" t="s">
        <v>64</v>
      </c>
      <c r="K1653" s="6">
        <v>0.03</v>
      </c>
      <c r="L1653" s="7">
        <f t="shared" si="51"/>
        <v>2E-3</v>
      </c>
      <c r="M1653" s="7">
        <v>3.0000000000000001E-3</v>
      </c>
      <c r="N1653">
        <v>6</v>
      </c>
      <c r="O1653" s="8">
        <v>17.822306426995311</v>
      </c>
      <c r="P1653" s="9">
        <v>17.822306426995311</v>
      </c>
      <c r="Q1653" s="9">
        <v>17.822306426995311</v>
      </c>
      <c r="R1653" s="9">
        <v>18.237663306594719</v>
      </c>
      <c r="S1653" s="9">
        <v>18.48712920931133</v>
      </c>
      <c r="T1653" s="9">
        <v>19.201553596969877</v>
      </c>
      <c r="U1653" s="9">
        <v>20.562345482855957</v>
      </c>
      <c r="V1653" s="9">
        <v>20.562345482855957</v>
      </c>
      <c r="W1653" s="9">
        <v>20.562345482855957</v>
      </c>
      <c r="X1653" s="9">
        <v>22.391977691000818</v>
      </c>
      <c r="Y1653" s="9">
        <v>22.391977691000818</v>
      </c>
      <c r="Z1653" s="9">
        <v>24.28858708803979</v>
      </c>
      <c r="AA1653" s="9">
        <v>24.28858708803979</v>
      </c>
      <c r="AB1653" s="9">
        <v>25.117335532005217</v>
      </c>
      <c r="AC1653" s="9">
        <v>25.117335532005217</v>
      </c>
      <c r="AD1653" s="9">
        <v>29.039116491286865</v>
      </c>
      <c r="AE1653" s="9">
        <v>31.219251037281825</v>
      </c>
      <c r="AF1653" s="9">
        <v>33.487682081707895</v>
      </c>
      <c r="AG1653" s="9">
        <v>33.487682081707895</v>
      </c>
      <c r="AH1653" s="9">
        <v>36.427668170967245</v>
      </c>
      <c r="AI1653" s="9">
        <v>38.74455996597662</v>
      </c>
      <c r="AJ1653" s="9">
        <v>3.0428788910505911</v>
      </c>
    </row>
    <row r="1654" spans="1:36" x14ac:dyDescent="0.25">
      <c r="A1654" t="s">
        <v>5411</v>
      </c>
      <c r="B1654" t="s">
        <v>16</v>
      </c>
      <c r="C1654" t="s">
        <v>17</v>
      </c>
      <c r="D1654">
        <v>38755000</v>
      </c>
      <c r="E1654">
        <v>38759999</v>
      </c>
      <c r="F1654" t="s">
        <v>1473</v>
      </c>
      <c r="G1654" t="str">
        <f t="shared" si="50"/>
        <v>MGI II</v>
      </c>
      <c r="H1654" t="s">
        <v>851</v>
      </c>
      <c r="I1654" t="s">
        <v>20</v>
      </c>
      <c r="J1654" t="s">
        <v>64</v>
      </c>
      <c r="K1654" s="6">
        <v>0.03</v>
      </c>
      <c r="L1654" s="7">
        <f t="shared" si="51"/>
        <v>2E-3</v>
      </c>
      <c r="M1654" s="7">
        <v>3.0000000000000001E-3</v>
      </c>
      <c r="N1654">
        <v>7</v>
      </c>
      <c r="O1654" s="8">
        <v>17.822306426995311</v>
      </c>
      <c r="P1654" s="9">
        <v>17.822306426995311</v>
      </c>
      <c r="Q1654" s="9">
        <v>17.822306426995311</v>
      </c>
      <c r="R1654" s="9">
        <v>18.237663306594719</v>
      </c>
      <c r="S1654" s="9">
        <v>18.48712920931133</v>
      </c>
      <c r="T1654" s="9">
        <v>19.201553596969877</v>
      </c>
      <c r="U1654" s="9">
        <v>20.562345482855957</v>
      </c>
      <c r="V1654" s="9">
        <v>20.562345482855957</v>
      </c>
      <c r="W1654" s="9">
        <v>20.562345482855957</v>
      </c>
      <c r="X1654" s="9">
        <v>22.391977691000818</v>
      </c>
      <c r="Y1654" s="9">
        <v>22.391977691000818</v>
      </c>
      <c r="Z1654" s="9">
        <v>24.28858708803979</v>
      </c>
      <c r="AA1654" s="9">
        <v>24.28858708803979</v>
      </c>
      <c r="AB1654" s="9">
        <v>25.117335532005217</v>
      </c>
      <c r="AC1654" s="9">
        <v>25.117335532005217</v>
      </c>
      <c r="AD1654" s="9">
        <v>29.039116491286865</v>
      </c>
      <c r="AE1654" s="9">
        <v>31.219251037281825</v>
      </c>
      <c r="AF1654" s="9">
        <v>33.487682081707895</v>
      </c>
      <c r="AG1654" s="9">
        <v>33.487682081707895</v>
      </c>
      <c r="AH1654" s="9">
        <v>36.427668170967245</v>
      </c>
      <c r="AI1654" s="9">
        <v>38.74455996597662</v>
      </c>
      <c r="AJ1654" s="9">
        <v>3.0428788910505911</v>
      </c>
    </row>
    <row r="1655" spans="1:36" x14ac:dyDescent="0.25">
      <c r="A1655" t="s">
        <v>5411</v>
      </c>
      <c r="B1655" t="s">
        <v>16</v>
      </c>
      <c r="C1655" t="s">
        <v>17</v>
      </c>
      <c r="D1655">
        <v>38760000</v>
      </c>
      <c r="E1655">
        <v>38769999</v>
      </c>
      <c r="F1655" t="s">
        <v>1474</v>
      </c>
      <c r="G1655" t="str">
        <f t="shared" si="50"/>
        <v>MGI II</v>
      </c>
      <c r="H1655" t="s">
        <v>851</v>
      </c>
      <c r="I1655" t="s">
        <v>20</v>
      </c>
      <c r="J1655" t="s">
        <v>64</v>
      </c>
      <c r="K1655" s="6">
        <v>0.03</v>
      </c>
      <c r="L1655" s="7">
        <f t="shared" si="51"/>
        <v>2E-3</v>
      </c>
      <c r="M1655" s="7">
        <v>3.0000000000000001E-3</v>
      </c>
      <c r="N1655">
        <v>8</v>
      </c>
      <c r="O1655" s="8">
        <v>17.822306426995311</v>
      </c>
      <c r="P1655" s="9">
        <v>17.822306426995311</v>
      </c>
      <c r="Q1655" s="9">
        <v>17.822306426995311</v>
      </c>
      <c r="R1655" s="9">
        <v>18.237663306594719</v>
      </c>
      <c r="S1655" s="9">
        <v>18.48712920931133</v>
      </c>
      <c r="T1655" s="9">
        <v>19.201553596969877</v>
      </c>
      <c r="U1655" s="9">
        <v>20.562345482855957</v>
      </c>
      <c r="V1655" s="9">
        <v>20.562345482855957</v>
      </c>
      <c r="W1655" s="9">
        <v>20.562345482855957</v>
      </c>
      <c r="X1655" s="9">
        <v>22.391977691000818</v>
      </c>
      <c r="Y1655" s="9">
        <v>22.391977691000818</v>
      </c>
      <c r="Z1655" s="9">
        <v>24.28858708803979</v>
      </c>
      <c r="AA1655" s="9">
        <v>24.28858708803979</v>
      </c>
      <c r="AB1655" s="9">
        <v>25.117335532005217</v>
      </c>
      <c r="AC1655" s="9">
        <v>25.117335532005217</v>
      </c>
      <c r="AD1655" s="9">
        <v>29.039116491286865</v>
      </c>
      <c r="AE1655" s="9">
        <v>31.219251037281825</v>
      </c>
      <c r="AF1655" s="9">
        <v>33.487682081707895</v>
      </c>
      <c r="AG1655" s="9">
        <v>33.487682081707895</v>
      </c>
      <c r="AH1655" s="9">
        <v>36.427668170967245</v>
      </c>
      <c r="AI1655" s="9">
        <v>38.74455996597662</v>
      </c>
      <c r="AJ1655" s="9">
        <v>3.0428788910505911</v>
      </c>
    </row>
    <row r="1656" spans="1:36" x14ac:dyDescent="0.25">
      <c r="A1656" t="s">
        <v>5411</v>
      </c>
      <c r="B1656" t="s">
        <v>16</v>
      </c>
      <c r="C1656" t="s">
        <v>17</v>
      </c>
      <c r="D1656">
        <v>38770000</v>
      </c>
      <c r="E1656">
        <v>38778999</v>
      </c>
      <c r="F1656" t="s">
        <v>1475</v>
      </c>
      <c r="G1656" t="str">
        <f t="shared" si="50"/>
        <v>MGI II</v>
      </c>
      <c r="H1656" t="s">
        <v>851</v>
      </c>
      <c r="I1656" t="s">
        <v>20</v>
      </c>
      <c r="J1656" t="s">
        <v>64</v>
      </c>
      <c r="K1656" s="6">
        <v>0.03</v>
      </c>
      <c r="L1656" s="7">
        <f t="shared" si="51"/>
        <v>2E-3</v>
      </c>
      <c r="M1656" s="7">
        <v>3.0000000000000001E-3</v>
      </c>
      <c r="N1656">
        <v>8</v>
      </c>
      <c r="O1656" s="8">
        <v>17.822306426995311</v>
      </c>
      <c r="P1656" s="9">
        <v>17.822306426995311</v>
      </c>
      <c r="Q1656" s="9">
        <v>17.822306426995311</v>
      </c>
      <c r="R1656" s="9">
        <v>18.237663306594719</v>
      </c>
      <c r="S1656" s="9">
        <v>18.48712920931133</v>
      </c>
      <c r="T1656" s="9">
        <v>19.201553596969877</v>
      </c>
      <c r="U1656" s="9">
        <v>20.562345482855957</v>
      </c>
      <c r="V1656" s="9">
        <v>20.562345482855957</v>
      </c>
      <c r="W1656" s="9">
        <v>20.562345482855957</v>
      </c>
      <c r="X1656" s="9">
        <v>22.391977691000818</v>
      </c>
      <c r="Y1656" s="9">
        <v>22.391977691000818</v>
      </c>
      <c r="Z1656" s="9">
        <v>24.28858708803979</v>
      </c>
      <c r="AA1656" s="9">
        <v>24.28858708803979</v>
      </c>
      <c r="AB1656" s="9">
        <v>25.117335532005217</v>
      </c>
      <c r="AC1656" s="9">
        <v>25.117335532005217</v>
      </c>
      <c r="AD1656" s="9">
        <v>29.039116491286865</v>
      </c>
      <c r="AE1656" s="9">
        <v>31.219251037281825</v>
      </c>
      <c r="AF1656" s="9">
        <v>33.487682081707895</v>
      </c>
      <c r="AG1656" s="9">
        <v>33.487682081707895</v>
      </c>
      <c r="AH1656" s="9">
        <v>36.427668170967245</v>
      </c>
      <c r="AI1656" s="9">
        <v>38.74455996597662</v>
      </c>
      <c r="AJ1656" s="9">
        <v>3.0428788910505911</v>
      </c>
    </row>
    <row r="1657" spans="1:36" x14ac:dyDescent="0.25">
      <c r="A1657" t="s">
        <v>5411</v>
      </c>
      <c r="B1657" t="s">
        <v>16</v>
      </c>
      <c r="C1657" t="s">
        <v>17</v>
      </c>
      <c r="D1657">
        <v>38779000</v>
      </c>
      <c r="E1657">
        <v>38779999</v>
      </c>
      <c r="F1657" t="s">
        <v>1476</v>
      </c>
      <c r="G1657" t="str">
        <f t="shared" si="50"/>
        <v>MGI II</v>
      </c>
      <c r="H1657" t="s">
        <v>851</v>
      </c>
      <c r="I1657" t="s">
        <v>20</v>
      </c>
      <c r="J1657" t="s">
        <v>64</v>
      </c>
      <c r="K1657" s="6">
        <v>0.03</v>
      </c>
      <c r="L1657" s="7">
        <f t="shared" si="51"/>
        <v>2E-3</v>
      </c>
      <c r="M1657" s="7">
        <v>3.0000000000000001E-3</v>
      </c>
      <c r="N1657">
        <v>7</v>
      </c>
      <c r="O1657" s="8">
        <v>17.822306426995311</v>
      </c>
      <c r="P1657" s="9">
        <v>17.822306426995311</v>
      </c>
      <c r="Q1657" s="9">
        <v>17.822306426995311</v>
      </c>
      <c r="R1657" s="9">
        <v>18.237663306594719</v>
      </c>
      <c r="S1657" s="9">
        <v>18.48712920931133</v>
      </c>
      <c r="T1657" s="9">
        <v>19.201553596969877</v>
      </c>
      <c r="U1657" s="9">
        <v>20.562345482855957</v>
      </c>
      <c r="V1657" s="9">
        <v>20.562345482855957</v>
      </c>
      <c r="W1657" s="9">
        <v>20.562345482855957</v>
      </c>
      <c r="X1657" s="9">
        <v>22.391977691000818</v>
      </c>
      <c r="Y1657" s="9">
        <v>22.391977691000818</v>
      </c>
      <c r="Z1657" s="9">
        <v>24.28858708803979</v>
      </c>
      <c r="AA1657" s="9">
        <v>24.28858708803979</v>
      </c>
      <c r="AB1657" s="9">
        <v>25.117335532005217</v>
      </c>
      <c r="AC1657" s="9">
        <v>25.117335532005217</v>
      </c>
      <c r="AD1657" s="9">
        <v>29.039116491286865</v>
      </c>
      <c r="AE1657" s="9">
        <v>31.219251037281825</v>
      </c>
      <c r="AF1657" s="9">
        <v>33.487682081707895</v>
      </c>
      <c r="AG1657" s="9">
        <v>33.487682081707895</v>
      </c>
      <c r="AH1657" s="9">
        <v>36.427668170967245</v>
      </c>
      <c r="AI1657" s="9">
        <v>38.74455996597662</v>
      </c>
      <c r="AJ1657" s="9">
        <v>3.0428788910505911</v>
      </c>
    </row>
    <row r="1658" spans="1:36" x14ac:dyDescent="0.25">
      <c r="A1658" t="s">
        <v>5411</v>
      </c>
      <c r="B1658" t="s">
        <v>16</v>
      </c>
      <c r="C1658" t="s">
        <v>17</v>
      </c>
      <c r="D1658">
        <v>38780000</v>
      </c>
      <c r="E1658">
        <v>38784999</v>
      </c>
      <c r="F1658" t="s">
        <v>1477</v>
      </c>
      <c r="G1658" t="str">
        <f t="shared" si="50"/>
        <v>MGI II</v>
      </c>
      <c r="H1658" t="s">
        <v>851</v>
      </c>
      <c r="I1658" t="s">
        <v>20</v>
      </c>
      <c r="J1658" t="s">
        <v>64</v>
      </c>
      <c r="K1658" s="6">
        <v>0.03</v>
      </c>
      <c r="L1658" s="7">
        <f t="shared" si="51"/>
        <v>2E-3</v>
      </c>
      <c r="M1658" s="7">
        <v>3.0000000000000001E-3</v>
      </c>
      <c r="N1658">
        <v>6</v>
      </c>
      <c r="O1658" s="8">
        <v>17.822306426995311</v>
      </c>
      <c r="P1658" s="9">
        <v>17.822306426995311</v>
      </c>
      <c r="Q1658" s="9">
        <v>17.822306426995311</v>
      </c>
      <c r="R1658" s="9">
        <v>18.237663306594719</v>
      </c>
      <c r="S1658" s="9">
        <v>18.48712920931133</v>
      </c>
      <c r="T1658" s="9">
        <v>19.201553596969877</v>
      </c>
      <c r="U1658" s="9">
        <v>20.562345482855957</v>
      </c>
      <c r="V1658" s="9">
        <v>20.562345482855957</v>
      </c>
      <c r="W1658" s="9">
        <v>20.562345482855957</v>
      </c>
      <c r="X1658" s="9">
        <v>22.391977691000818</v>
      </c>
      <c r="Y1658" s="9">
        <v>22.391977691000818</v>
      </c>
      <c r="Z1658" s="9">
        <v>24.28858708803979</v>
      </c>
      <c r="AA1658" s="9">
        <v>24.28858708803979</v>
      </c>
      <c r="AB1658" s="9">
        <v>25.117335532005217</v>
      </c>
      <c r="AC1658" s="9">
        <v>25.117335532005217</v>
      </c>
      <c r="AD1658" s="9">
        <v>29.039116491286865</v>
      </c>
      <c r="AE1658" s="9">
        <v>31.219251037281825</v>
      </c>
      <c r="AF1658" s="9">
        <v>33.487682081707895</v>
      </c>
      <c r="AG1658" s="9">
        <v>33.487682081707895</v>
      </c>
      <c r="AH1658" s="9">
        <v>36.427668170967245</v>
      </c>
      <c r="AI1658" s="9">
        <v>38.74455996597662</v>
      </c>
      <c r="AJ1658" s="9">
        <v>3.0428788910505911</v>
      </c>
    </row>
    <row r="1659" spans="1:36" x14ac:dyDescent="0.25">
      <c r="A1659" t="s">
        <v>5411</v>
      </c>
      <c r="B1659" t="s">
        <v>16</v>
      </c>
      <c r="C1659" t="s">
        <v>17</v>
      </c>
      <c r="D1659">
        <v>38785000</v>
      </c>
      <c r="E1659">
        <v>38789999</v>
      </c>
      <c r="F1659" t="s">
        <v>1478</v>
      </c>
      <c r="G1659" t="str">
        <f t="shared" si="50"/>
        <v>MGI II</v>
      </c>
      <c r="H1659" t="s">
        <v>851</v>
      </c>
      <c r="I1659" t="s">
        <v>20</v>
      </c>
      <c r="J1659" t="s">
        <v>64</v>
      </c>
      <c r="K1659" s="6">
        <v>0.03</v>
      </c>
      <c r="L1659" s="7">
        <f t="shared" si="51"/>
        <v>2E-3</v>
      </c>
      <c r="M1659" s="7">
        <v>3.0000000000000001E-3</v>
      </c>
      <c r="N1659">
        <v>6</v>
      </c>
      <c r="O1659" s="8">
        <v>17.822306426995311</v>
      </c>
      <c r="P1659" s="9">
        <v>17.822306426995311</v>
      </c>
      <c r="Q1659" s="9">
        <v>17.822306426995311</v>
      </c>
      <c r="R1659" s="9">
        <v>18.237663306594719</v>
      </c>
      <c r="S1659" s="9">
        <v>18.48712920931133</v>
      </c>
      <c r="T1659" s="9">
        <v>19.201553596969877</v>
      </c>
      <c r="U1659" s="9">
        <v>20.562345482855957</v>
      </c>
      <c r="V1659" s="9">
        <v>20.562345482855957</v>
      </c>
      <c r="W1659" s="9">
        <v>20.562345482855957</v>
      </c>
      <c r="X1659" s="9">
        <v>22.391977691000818</v>
      </c>
      <c r="Y1659" s="9">
        <v>22.391977691000818</v>
      </c>
      <c r="Z1659" s="9">
        <v>24.28858708803979</v>
      </c>
      <c r="AA1659" s="9">
        <v>24.28858708803979</v>
      </c>
      <c r="AB1659" s="9">
        <v>25.117335532005217</v>
      </c>
      <c r="AC1659" s="9">
        <v>25.117335532005217</v>
      </c>
      <c r="AD1659" s="9">
        <v>29.039116491286865</v>
      </c>
      <c r="AE1659" s="9">
        <v>31.219251037281825</v>
      </c>
      <c r="AF1659" s="9">
        <v>33.487682081707895</v>
      </c>
      <c r="AG1659" s="9">
        <v>33.487682081707895</v>
      </c>
      <c r="AH1659" s="9">
        <v>36.427668170967245</v>
      </c>
      <c r="AI1659" s="9">
        <v>38.74455996597662</v>
      </c>
      <c r="AJ1659" s="9">
        <v>3.0428788910505911</v>
      </c>
    </row>
    <row r="1660" spans="1:36" x14ac:dyDescent="0.25">
      <c r="A1660" t="s">
        <v>5411</v>
      </c>
      <c r="B1660" t="s">
        <v>16</v>
      </c>
      <c r="C1660" t="s">
        <v>17</v>
      </c>
      <c r="D1660">
        <v>38790000</v>
      </c>
      <c r="E1660">
        <v>38793999</v>
      </c>
      <c r="F1660" t="s">
        <v>1479</v>
      </c>
      <c r="G1660" t="str">
        <f t="shared" si="50"/>
        <v>MGI II</v>
      </c>
      <c r="H1660" t="s">
        <v>851</v>
      </c>
      <c r="I1660" t="s">
        <v>20</v>
      </c>
      <c r="J1660" t="s">
        <v>64</v>
      </c>
      <c r="K1660" s="6">
        <v>0.03</v>
      </c>
      <c r="L1660" s="7">
        <f t="shared" si="51"/>
        <v>2E-3</v>
      </c>
      <c r="M1660" s="7">
        <v>3.0000000000000001E-3</v>
      </c>
      <c r="N1660">
        <v>6</v>
      </c>
      <c r="O1660" s="8">
        <v>17.822306426995311</v>
      </c>
      <c r="P1660" s="9">
        <v>17.822306426995311</v>
      </c>
      <c r="Q1660" s="9">
        <v>17.822306426995311</v>
      </c>
      <c r="R1660" s="9">
        <v>18.237663306594719</v>
      </c>
      <c r="S1660" s="9">
        <v>18.48712920931133</v>
      </c>
      <c r="T1660" s="9">
        <v>19.201553596969877</v>
      </c>
      <c r="U1660" s="9">
        <v>20.562345482855957</v>
      </c>
      <c r="V1660" s="9">
        <v>20.562345482855957</v>
      </c>
      <c r="W1660" s="9">
        <v>20.562345482855957</v>
      </c>
      <c r="X1660" s="9">
        <v>22.391977691000818</v>
      </c>
      <c r="Y1660" s="9">
        <v>22.391977691000818</v>
      </c>
      <c r="Z1660" s="9">
        <v>24.28858708803979</v>
      </c>
      <c r="AA1660" s="9">
        <v>24.28858708803979</v>
      </c>
      <c r="AB1660" s="9">
        <v>25.117335532005217</v>
      </c>
      <c r="AC1660" s="9">
        <v>25.117335532005217</v>
      </c>
      <c r="AD1660" s="9">
        <v>29.039116491286865</v>
      </c>
      <c r="AE1660" s="9">
        <v>31.219251037281825</v>
      </c>
      <c r="AF1660" s="9">
        <v>33.487682081707895</v>
      </c>
      <c r="AG1660" s="9">
        <v>33.487682081707895</v>
      </c>
      <c r="AH1660" s="9">
        <v>36.427668170967245</v>
      </c>
      <c r="AI1660" s="9">
        <v>38.74455996597662</v>
      </c>
      <c r="AJ1660" s="9">
        <v>3.0428788910505911</v>
      </c>
    </row>
    <row r="1661" spans="1:36" x14ac:dyDescent="0.25">
      <c r="A1661" t="s">
        <v>5411</v>
      </c>
      <c r="B1661" t="s">
        <v>16</v>
      </c>
      <c r="C1661" t="s">
        <v>17</v>
      </c>
      <c r="D1661">
        <v>38794000</v>
      </c>
      <c r="E1661">
        <v>38799999</v>
      </c>
      <c r="F1661" t="s">
        <v>1480</v>
      </c>
      <c r="G1661" t="str">
        <f t="shared" si="50"/>
        <v>MGI II</v>
      </c>
      <c r="H1661" t="s">
        <v>851</v>
      </c>
      <c r="I1661" t="s">
        <v>20</v>
      </c>
      <c r="J1661" t="s">
        <v>64</v>
      </c>
      <c r="K1661" s="6">
        <v>0.03</v>
      </c>
      <c r="L1661" s="7">
        <f t="shared" si="51"/>
        <v>2E-3</v>
      </c>
      <c r="M1661" s="7">
        <v>3.0000000000000001E-3</v>
      </c>
      <c r="N1661">
        <v>7</v>
      </c>
      <c r="O1661" s="8">
        <v>17.822306426995311</v>
      </c>
      <c r="P1661" s="9">
        <v>17.822306426995311</v>
      </c>
      <c r="Q1661" s="9">
        <v>17.822306426995311</v>
      </c>
      <c r="R1661" s="9">
        <v>18.237663306594719</v>
      </c>
      <c r="S1661" s="9">
        <v>18.48712920931133</v>
      </c>
      <c r="T1661" s="9">
        <v>19.201553596969877</v>
      </c>
      <c r="U1661" s="9">
        <v>20.562345482855957</v>
      </c>
      <c r="V1661" s="9">
        <v>20.562345482855957</v>
      </c>
      <c r="W1661" s="9">
        <v>20.562345482855957</v>
      </c>
      <c r="X1661" s="9">
        <v>22.391977691000818</v>
      </c>
      <c r="Y1661" s="9">
        <v>22.391977691000818</v>
      </c>
      <c r="Z1661" s="9">
        <v>24.28858708803979</v>
      </c>
      <c r="AA1661" s="9">
        <v>24.28858708803979</v>
      </c>
      <c r="AB1661" s="9">
        <v>25.117335532005217</v>
      </c>
      <c r="AC1661" s="9">
        <v>25.117335532005217</v>
      </c>
      <c r="AD1661" s="9">
        <v>29.039116491286865</v>
      </c>
      <c r="AE1661" s="9">
        <v>31.219251037281825</v>
      </c>
      <c r="AF1661" s="9">
        <v>33.487682081707895</v>
      </c>
      <c r="AG1661" s="9">
        <v>33.487682081707895</v>
      </c>
      <c r="AH1661" s="9">
        <v>36.427668170967245</v>
      </c>
      <c r="AI1661" s="9">
        <v>38.74455996597662</v>
      </c>
      <c r="AJ1661" s="9">
        <v>3.0428788910505911</v>
      </c>
    </row>
    <row r="1662" spans="1:36" x14ac:dyDescent="0.25">
      <c r="A1662" t="s">
        <v>5411</v>
      </c>
      <c r="B1662" t="s">
        <v>16</v>
      </c>
      <c r="C1662" t="s">
        <v>17</v>
      </c>
      <c r="D1662">
        <v>38800000</v>
      </c>
      <c r="E1662">
        <v>38804999</v>
      </c>
      <c r="F1662" t="s">
        <v>1481</v>
      </c>
      <c r="G1662" t="str">
        <f t="shared" si="50"/>
        <v>MGI II</v>
      </c>
      <c r="H1662" t="s">
        <v>851</v>
      </c>
      <c r="I1662" t="s">
        <v>20</v>
      </c>
      <c r="J1662" t="s">
        <v>64</v>
      </c>
      <c r="K1662" s="6">
        <v>0.03</v>
      </c>
      <c r="L1662" s="7">
        <f t="shared" si="51"/>
        <v>2E-3</v>
      </c>
      <c r="M1662" s="7">
        <v>3.0000000000000001E-3</v>
      </c>
      <c r="N1662">
        <v>7</v>
      </c>
      <c r="O1662" s="8">
        <v>17.822306426995311</v>
      </c>
      <c r="P1662" s="9">
        <v>17.822306426995311</v>
      </c>
      <c r="Q1662" s="9">
        <v>17.822306426995311</v>
      </c>
      <c r="R1662" s="9">
        <v>18.237663306594719</v>
      </c>
      <c r="S1662" s="9">
        <v>18.48712920931133</v>
      </c>
      <c r="T1662" s="9">
        <v>19.201553596969877</v>
      </c>
      <c r="U1662" s="9">
        <v>20.562345482855957</v>
      </c>
      <c r="V1662" s="9">
        <v>20.562345482855957</v>
      </c>
      <c r="W1662" s="9">
        <v>20.562345482855957</v>
      </c>
      <c r="X1662" s="9">
        <v>22.391977691000818</v>
      </c>
      <c r="Y1662" s="9">
        <v>22.391977691000818</v>
      </c>
      <c r="Z1662" s="9">
        <v>24.28858708803979</v>
      </c>
      <c r="AA1662" s="9">
        <v>24.28858708803979</v>
      </c>
      <c r="AB1662" s="9">
        <v>25.117335532005217</v>
      </c>
      <c r="AC1662" s="9">
        <v>25.117335532005217</v>
      </c>
      <c r="AD1662" s="9">
        <v>29.039116491286865</v>
      </c>
      <c r="AE1662" s="9">
        <v>31.219251037281825</v>
      </c>
      <c r="AF1662" s="9">
        <v>33.487682081707895</v>
      </c>
      <c r="AG1662" s="9">
        <v>33.487682081707895</v>
      </c>
      <c r="AH1662" s="9">
        <v>36.427668170967245</v>
      </c>
      <c r="AI1662" s="9">
        <v>38.74455996597662</v>
      </c>
      <c r="AJ1662" s="9">
        <v>3.0428788910505911</v>
      </c>
    </row>
    <row r="1663" spans="1:36" x14ac:dyDescent="0.25">
      <c r="A1663" t="s">
        <v>5411</v>
      </c>
      <c r="B1663" t="s">
        <v>16</v>
      </c>
      <c r="C1663" t="s">
        <v>17</v>
      </c>
      <c r="D1663">
        <v>38805000</v>
      </c>
      <c r="E1663">
        <v>38809999</v>
      </c>
      <c r="F1663" t="s">
        <v>1482</v>
      </c>
      <c r="G1663" t="str">
        <f t="shared" si="50"/>
        <v>MGI II</v>
      </c>
      <c r="H1663" t="s">
        <v>851</v>
      </c>
      <c r="I1663" t="s">
        <v>20</v>
      </c>
      <c r="J1663" t="s">
        <v>64</v>
      </c>
      <c r="K1663" s="6">
        <v>0.03</v>
      </c>
      <c r="L1663" s="7">
        <f t="shared" si="51"/>
        <v>2E-3</v>
      </c>
      <c r="M1663" s="7">
        <v>3.0000000000000001E-3</v>
      </c>
      <c r="N1663">
        <v>7</v>
      </c>
      <c r="O1663" s="8">
        <v>17.822306426995311</v>
      </c>
      <c r="P1663" s="9">
        <v>17.822306426995311</v>
      </c>
      <c r="Q1663" s="9">
        <v>17.822306426995311</v>
      </c>
      <c r="R1663" s="9">
        <v>18.237663306594719</v>
      </c>
      <c r="S1663" s="9">
        <v>18.48712920931133</v>
      </c>
      <c r="T1663" s="9">
        <v>19.201553596969877</v>
      </c>
      <c r="U1663" s="9">
        <v>20.562345482855957</v>
      </c>
      <c r="V1663" s="9">
        <v>20.562345482855957</v>
      </c>
      <c r="W1663" s="9">
        <v>20.562345482855957</v>
      </c>
      <c r="X1663" s="9">
        <v>22.391977691000818</v>
      </c>
      <c r="Y1663" s="9">
        <v>22.391977691000818</v>
      </c>
      <c r="Z1663" s="9">
        <v>24.28858708803979</v>
      </c>
      <c r="AA1663" s="9">
        <v>24.28858708803979</v>
      </c>
      <c r="AB1663" s="9">
        <v>25.117335532005217</v>
      </c>
      <c r="AC1663" s="9">
        <v>25.117335532005217</v>
      </c>
      <c r="AD1663" s="9">
        <v>29.039116491286865</v>
      </c>
      <c r="AE1663" s="9">
        <v>31.219251037281825</v>
      </c>
      <c r="AF1663" s="9">
        <v>33.487682081707895</v>
      </c>
      <c r="AG1663" s="9">
        <v>33.487682081707895</v>
      </c>
      <c r="AH1663" s="9">
        <v>36.427668170967245</v>
      </c>
      <c r="AI1663" s="9">
        <v>38.74455996597662</v>
      </c>
      <c r="AJ1663" s="9">
        <v>3.0428788910505911</v>
      </c>
    </row>
    <row r="1664" spans="1:36" x14ac:dyDescent="0.25">
      <c r="A1664" t="s">
        <v>5411</v>
      </c>
      <c r="B1664" t="s">
        <v>16</v>
      </c>
      <c r="C1664" t="s">
        <v>17</v>
      </c>
      <c r="D1664">
        <v>38810000</v>
      </c>
      <c r="E1664">
        <v>38839999</v>
      </c>
      <c r="F1664" t="s">
        <v>1483</v>
      </c>
      <c r="G1664" t="str">
        <f t="shared" si="50"/>
        <v>MGI II</v>
      </c>
      <c r="H1664" t="s">
        <v>851</v>
      </c>
      <c r="I1664" t="s">
        <v>20</v>
      </c>
      <c r="J1664" t="s">
        <v>64</v>
      </c>
      <c r="K1664" s="6">
        <v>0.03</v>
      </c>
      <c r="L1664" s="7">
        <f t="shared" si="51"/>
        <v>2E-3</v>
      </c>
      <c r="M1664" s="7">
        <v>3.0000000000000001E-3</v>
      </c>
      <c r="N1664">
        <v>8</v>
      </c>
      <c r="O1664" s="8">
        <v>17.822306426995311</v>
      </c>
      <c r="P1664" s="9">
        <v>17.822306426995311</v>
      </c>
      <c r="Q1664" s="9">
        <v>17.822306426995311</v>
      </c>
      <c r="R1664" s="9">
        <v>18.237663306594719</v>
      </c>
      <c r="S1664" s="9">
        <v>18.48712920931133</v>
      </c>
      <c r="T1664" s="9">
        <v>19.201553596969877</v>
      </c>
      <c r="U1664" s="9">
        <v>20.562345482855957</v>
      </c>
      <c r="V1664" s="9">
        <v>20.562345482855957</v>
      </c>
      <c r="W1664" s="9">
        <v>20.562345482855957</v>
      </c>
      <c r="X1664" s="9">
        <v>22.391977691000818</v>
      </c>
      <c r="Y1664" s="9">
        <v>22.391977691000818</v>
      </c>
      <c r="Z1664" s="9">
        <v>24.28858708803979</v>
      </c>
      <c r="AA1664" s="9">
        <v>24.28858708803979</v>
      </c>
      <c r="AB1664" s="9">
        <v>25.117335532005217</v>
      </c>
      <c r="AC1664" s="9">
        <v>25.117335532005217</v>
      </c>
      <c r="AD1664" s="9">
        <v>29.039116491286865</v>
      </c>
      <c r="AE1664" s="9">
        <v>31.219251037281825</v>
      </c>
      <c r="AF1664" s="9">
        <v>33.487682081707895</v>
      </c>
      <c r="AG1664" s="9">
        <v>33.487682081707895</v>
      </c>
      <c r="AH1664" s="9">
        <v>36.427668170967245</v>
      </c>
      <c r="AI1664" s="9">
        <v>38.74455996597662</v>
      </c>
      <c r="AJ1664" s="9">
        <v>3.0428788910505911</v>
      </c>
    </row>
    <row r="1665" spans="1:36" x14ac:dyDescent="0.25">
      <c r="A1665" t="s">
        <v>5411</v>
      </c>
      <c r="B1665" t="s">
        <v>16</v>
      </c>
      <c r="C1665" t="s">
        <v>17</v>
      </c>
      <c r="D1665">
        <v>38840000</v>
      </c>
      <c r="E1665">
        <v>38859999</v>
      </c>
      <c r="F1665" t="s">
        <v>1484</v>
      </c>
      <c r="G1665" t="str">
        <f t="shared" si="50"/>
        <v>MGI II</v>
      </c>
      <c r="H1665" t="s">
        <v>851</v>
      </c>
      <c r="I1665" t="s">
        <v>20</v>
      </c>
      <c r="J1665" t="s">
        <v>64</v>
      </c>
      <c r="K1665" s="6">
        <v>0.03</v>
      </c>
      <c r="L1665" s="7">
        <f t="shared" si="51"/>
        <v>2E-3</v>
      </c>
      <c r="M1665" s="7">
        <v>3.0000000000000001E-3</v>
      </c>
      <c r="N1665">
        <v>7</v>
      </c>
      <c r="O1665" s="8">
        <v>17.822306426995311</v>
      </c>
      <c r="P1665" s="9">
        <v>17.822306426995311</v>
      </c>
      <c r="Q1665" s="9">
        <v>17.822306426995311</v>
      </c>
      <c r="R1665" s="9">
        <v>18.237663306594719</v>
      </c>
      <c r="S1665" s="9">
        <v>18.48712920931133</v>
      </c>
      <c r="T1665" s="9">
        <v>19.201553596969877</v>
      </c>
      <c r="U1665" s="9">
        <v>20.562345482855957</v>
      </c>
      <c r="V1665" s="9">
        <v>20.562345482855957</v>
      </c>
      <c r="W1665" s="9">
        <v>20.562345482855957</v>
      </c>
      <c r="X1665" s="9">
        <v>22.391977691000818</v>
      </c>
      <c r="Y1665" s="9">
        <v>22.391977691000818</v>
      </c>
      <c r="Z1665" s="9">
        <v>24.28858708803979</v>
      </c>
      <c r="AA1665" s="9">
        <v>24.28858708803979</v>
      </c>
      <c r="AB1665" s="9">
        <v>25.117335532005217</v>
      </c>
      <c r="AC1665" s="9">
        <v>25.117335532005217</v>
      </c>
      <c r="AD1665" s="9">
        <v>29.039116491286865</v>
      </c>
      <c r="AE1665" s="9">
        <v>31.219251037281825</v>
      </c>
      <c r="AF1665" s="9">
        <v>33.487682081707895</v>
      </c>
      <c r="AG1665" s="9">
        <v>33.487682081707895</v>
      </c>
      <c r="AH1665" s="9">
        <v>36.427668170967245</v>
      </c>
      <c r="AI1665" s="9">
        <v>38.74455996597662</v>
      </c>
      <c r="AJ1665" s="9">
        <v>3.0428788910505911</v>
      </c>
    </row>
    <row r="1666" spans="1:36" x14ac:dyDescent="0.25">
      <c r="A1666" t="s">
        <v>5411</v>
      </c>
      <c r="B1666" t="s">
        <v>16</v>
      </c>
      <c r="C1666" t="s">
        <v>17</v>
      </c>
      <c r="D1666">
        <v>38860000</v>
      </c>
      <c r="E1666">
        <v>38869999</v>
      </c>
      <c r="F1666" t="s">
        <v>1485</v>
      </c>
      <c r="G1666" t="str">
        <f t="shared" si="50"/>
        <v>MGI II</v>
      </c>
      <c r="H1666" t="s">
        <v>851</v>
      </c>
      <c r="I1666" t="s">
        <v>20</v>
      </c>
      <c r="J1666" t="s">
        <v>64</v>
      </c>
      <c r="K1666" s="6">
        <v>0.03</v>
      </c>
      <c r="L1666" s="7">
        <f t="shared" si="51"/>
        <v>2E-3</v>
      </c>
      <c r="M1666" s="7">
        <v>3.0000000000000001E-3</v>
      </c>
      <c r="N1666">
        <v>8</v>
      </c>
      <c r="O1666" s="8">
        <v>17.822306426995311</v>
      </c>
      <c r="P1666" s="9">
        <v>17.822306426995311</v>
      </c>
      <c r="Q1666" s="9">
        <v>17.822306426995311</v>
      </c>
      <c r="R1666" s="9">
        <v>18.237663306594719</v>
      </c>
      <c r="S1666" s="9">
        <v>18.48712920931133</v>
      </c>
      <c r="T1666" s="9">
        <v>19.201553596969877</v>
      </c>
      <c r="U1666" s="9">
        <v>20.562345482855957</v>
      </c>
      <c r="V1666" s="9">
        <v>20.562345482855957</v>
      </c>
      <c r="W1666" s="9">
        <v>20.562345482855957</v>
      </c>
      <c r="X1666" s="9">
        <v>22.391977691000818</v>
      </c>
      <c r="Y1666" s="9">
        <v>22.391977691000818</v>
      </c>
      <c r="Z1666" s="9">
        <v>24.28858708803979</v>
      </c>
      <c r="AA1666" s="9">
        <v>24.28858708803979</v>
      </c>
      <c r="AB1666" s="9">
        <v>25.117335532005217</v>
      </c>
      <c r="AC1666" s="9">
        <v>25.117335532005217</v>
      </c>
      <c r="AD1666" s="9">
        <v>29.039116491286865</v>
      </c>
      <c r="AE1666" s="9">
        <v>31.219251037281825</v>
      </c>
      <c r="AF1666" s="9">
        <v>33.487682081707895</v>
      </c>
      <c r="AG1666" s="9">
        <v>33.487682081707895</v>
      </c>
      <c r="AH1666" s="9">
        <v>36.427668170967245</v>
      </c>
      <c r="AI1666" s="9">
        <v>38.74455996597662</v>
      </c>
      <c r="AJ1666" s="9">
        <v>3.0428788910505911</v>
      </c>
    </row>
    <row r="1667" spans="1:36" x14ac:dyDescent="0.25">
      <c r="A1667" t="s">
        <v>5411</v>
      </c>
      <c r="B1667" t="s">
        <v>16</v>
      </c>
      <c r="C1667" t="s">
        <v>17</v>
      </c>
      <c r="D1667">
        <v>38870000</v>
      </c>
      <c r="E1667">
        <v>38879999</v>
      </c>
      <c r="F1667" t="s">
        <v>1486</v>
      </c>
      <c r="G1667" t="str">
        <f t="shared" si="50"/>
        <v>MGI II</v>
      </c>
      <c r="H1667" t="s">
        <v>851</v>
      </c>
      <c r="I1667" t="s">
        <v>20</v>
      </c>
      <c r="J1667" t="s">
        <v>64</v>
      </c>
      <c r="K1667" s="6">
        <v>0.03</v>
      </c>
      <c r="L1667" s="7">
        <f t="shared" si="51"/>
        <v>2E-3</v>
      </c>
      <c r="M1667" s="7">
        <v>3.0000000000000001E-3</v>
      </c>
      <c r="N1667">
        <v>8</v>
      </c>
      <c r="O1667" s="8">
        <v>17.822306426995311</v>
      </c>
      <c r="P1667" s="9">
        <v>17.822306426995311</v>
      </c>
      <c r="Q1667" s="9">
        <v>17.822306426995311</v>
      </c>
      <c r="R1667" s="9">
        <v>18.237663306594719</v>
      </c>
      <c r="S1667" s="9">
        <v>18.48712920931133</v>
      </c>
      <c r="T1667" s="9">
        <v>19.201553596969877</v>
      </c>
      <c r="U1667" s="9">
        <v>20.562345482855957</v>
      </c>
      <c r="V1667" s="9">
        <v>20.562345482855957</v>
      </c>
      <c r="W1667" s="9">
        <v>20.562345482855957</v>
      </c>
      <c r="X1667" s="9">
        <v>22.391977691000818</v>
      </c>
      <c r="Y1667" s="9">
        <v>22.391977691000818</v>
      </c>
      <c r="Z1667" s="9">
        <v>24.28858708803979</v>
      </c>
      <c r="AA1667" s="9">
        <v>24.28858708803979</v>
      </c>
      <c r="AB1667" s="9">
        <v>25.117335532005217</v>
      </c>
      <c r="AC1667" s="9">
        <v>25.117335532005217</v>
      </c>
      <c r="AD1667" s="9">
        <v>29.039116491286865</v>
      </c>
      <c r="AE1667" s="9">
        <v>31.219251037281825</v>
      </c>
      <c r="AF1667" s="9">
        <v>33.487682081707895</v>
      </c>
      <c r="AG1667" s="9">
        <v>33.487682081707895</v>
      </c>
      <c r="AH1667" s="9">
        <v>36.427668170967245</v>
      </c>
      <c r="AI1667" s="9">
        <v>38.74455996597662</v>
      </c>
      <c r="AJ1667" s="9">
        <v>3.0428788910505911</v>
      </c>
    </row>
    <row r="1668" spans="1:36" x14ac:dyDescent="0.25">
      <c r="A1668" t="s">
        <v>5411</v>
      </c>
      <c r="B1668" t="s">
        <v>16</v>
      </c>
      <c r="C1668" t="s">
        <v>17</v>
      </c>
      <c r="D1668">
        <v>38880000</v>
      </c>
      <c r="E1668">
        <v>38899999</v>
      </c>
      <c r="F1668" t="s">
        <v>1487</v>
      </c>
      <c r="G1668" t="str">
        <f t="shared" ref="G1668:G1731" si="52">H1668&amp;IF(J1668="CAPITAL","C",IF(J1668="INTERIOR","I",IF(J1668="INTERIOR II","I II","R")))</f>
        <v>MGI II</v>
      </c>
      <c r="H1668" t="s">
        <v>851</v>
      </c>
      <c r="I1668" t="s">
        <v>20</v>
      </c>
      <c r="J1668" t="s">
        <v>64</v>
      </c>
      <c r="K1668" s="6">
        <v>0.03</v>
      </c>
      <c r="L1668" s="7">
        <f t="shared" ref="L1668:L1731" si="53">IF(I1668="(0) Não",0.2%,3%)</f>
        <v>2E-3</v>
      </c>
      <c r="M1668" s="7">
        <v>3.0000000000000001E-3</v>
      </c>
      <c r="N1668">
        <v>8</v>
      </c>
      <c r="O1668" s="8">
        <v>17.822306426995311</v>
      </c>
      <c r="P1668" s="9">
        <v>17.822306426995311</v>
      </c>
      <c r="Q1668" s="9">
        <v>17.822306426995311</v>
      </c>
      <c r="R1668" s="9">
        <v>18.237663306594719</v>
      </c>
      <c r="S1668" s="9">
        <v>18.48712920931133</v>
      </c>
      <c r="T1668" s="9">
        <v>19.201553596969877</v>
      </c>
      <c r="U1668" s="9">
        <v>20.562345482855957</v>
      </c>
      <c r="V1668" s="9">
        <v>20.562345482855957</v>
      </c>
      <c r="W1668" s="9">
        <v>20.562345482855957</v>
      </c>
      <c r="X1668" s="9">
        <v>22.391977691000818</v>
      </c>
      <c r="Y1668" s="9">
        <v>22.391977691000818</v>
      </c>
      <c r="Z1668" s="9">
        <v>24.28858708803979</v>
      </c>
      <c r="AA1668" s="9">
        <v>24.28858708803979</v>
      </c>
      <c r="AB1668" s="9">
        <v>25.117335532005217</v>
      </c>
      <c r="AC1668" s="9">
        <v>25.117335532005217</v>
      </c>
      <c r="AD1668" s="9">
        <v>29.039116491286865</v>
      </c>
      <c r="AE1668" s="9">
        <v>31.219251037281825</v>
      </c>
      <c r="AF1668" s="9">
        <v>33.487682081707895</v>
      </c>
      <c r="AG1668" s="9">
        <v>33.487682081707895</v>
      </c>
      <c r="AH1668" s="9">
        <v>36.427668170967245</v>
      </c>
      <c r="AI1668" s="9">
        <v>38.74455996597662</v>
      </c>
      <c r="AJ1668" s="9">
        <v>3.0428788910505911</v>
      </c>
    </row>
    <row r="1669" spans="1:36" x14ac:dyDescent="0.25">
      <c r="A1669" t="s">
        <v>5411</v>
      </c>
      <c r="B1669" t="s">
        <v>16</v>
      </c>
      <c r="C1669" t="s">
        <v>17</v>
      </c>
      <c r="D1669">
        <v>38900000</v>
      </c>
      <c r="E1669">
        <v>38909999</v>
      </c>
      <c r="F1669" t="s">
        <v>1488</v>
      </c>
      <c r="G1669" t="str">
        <f t="shared" si="52"/>
        <v>MGI</v>
      </c>
      <c r="H1669" t="s">
        <v>851</v>
      </c>
      <c r="I1669" t="s">
        <v>20</v>
      </c>
      <c r="J1669" t="s">
        <v>62</v>
      </c>
      <c r="K1669" s="6">
        <v>0.03</v>
      </c>
      <c r="L1669" s="7">
        <f t="shared" si="53"/>
        <v>2E-3</v>
      </c>
      <c r="M1669" s="7">
        <v>3.0000000000000001E-3</v>
      </c>
      <c r="N1669">
        <v>8</v>
      </c>
      <c r="O1669" s="8">
        <v>13.880385281502075</v>
      </c>
      <c r="P1669" s="9">
        <v>13.880385281502075</v>
      </c>
      <c r="Q1669" s="9">
        <v>13.880385281502075</v>
      </c>
      <c r="R1669" s="9">
        <v>14.045989937445718</v>
      </c>
      <c r="S1669" s="9">
        <v>14.060876315369912</v>
      </c>
      <c r="T1669" s="9">
        <v>15.090338571208333</v>
      </c>
      <c r="U1669" s="9">
        <v>16.025407313902726</v>
      </c>
      <c r="V1669" s="9">
        <v>16.025407313902726</v>
      </c>
      <c r="W1669" s="9">
        <v>16.025407313902726</v>
      </c>
      <c r="X1669" s="9">
        <v>18.013895748167766</v>
      </c>
      <c r="Y1669" s="9">
        <v>18.013895748167766</v>
      </c>
      <c r="Z1669" s="9">
        <v>20.142868501532355</v>
      </c>
      <c r="AA1669" s="9">
        <v>20.142868501532355</v>
      </c>
      <c r="AB1669" s="9">
        <v>22.456349831314476</v>
      </c>
      <c r="AC1669" s="9">
        <v>22.456349831314476</v>
      </c>
      <c r="AD1669" s="9">
        <v>24.87984091164185</v>
      </c>
      <c r="AE1669" s="9">
        <v>27.427492221952345</v>
      </c>
      <c r="AF1669" s="9">
        <v>33.194804868730657</v>
      </c>
      <c r="AG1669" s="9">
        <v>33.194804868730657</v>
      </c>
      <c r="AH1669" s="9">
        <v>35.957808835828068</v>
      </c>
      <c r="AI1669" s="9">
        <v>38.646304092692077</v>
      </c>
      <c r="AJ1669" s="9">
        <v>3.0428788910505911</v>
      </c>
    </row>
    <row r="1670" spans="1:36" x14ac:dyDescent="0.25">
      <c r="A1670" t="s">
        <v>5411</v>
      </c>
      <c r="B1670" t="s">
        <v>16</v>
      </c>
      <c r="C1670" t="s">
        <v>17</v>
      </c>
      <c r="D1670">
        <v>38910000</v>
      </c>
      <c r="E1670">
        <v>38929999</v>
      </c>
      <c r="F1670" t="s">
        <v>1489</v>
      </c>
      <c r="G1670" t="str">
        <f t="shared" si="52"/>
        <v>MGI</v>
      </c>
      <c r="H1670" t="s">
        <v>851</v>
      </c>
      <c r="I1670" t="s">
        <v>20</v>
      </c>
      <c r="J1670" t="s">
        <v>62</v>
      </c>
      <c r="K1670" s="6">
        <v>0.03</v>
      </c>
      <c r="L1670" s="7">
        <f t="shared" si="53"/>
        <v>2E-3</v>
      </c>
      <c r="M1670" s="7">
        <v>3.0000000000000001E-3</v>
      </c>
      <c r="N1670">
        <v>7</v>
      </c>
      <c r="O1670" s="8">
        <v>13.880385281502075</v>
      </c>
      <c r="P1670" s="9">
        <v>13.880385281502075</v>
      </c>
      <c r="Q1670" s="9">
        <v>13.880385281502075</v>
      </c>
      <c r="R1670" s="9">
        <v>14.045989937445718</v>
      </c>
      <c r="S1670" s="9">
        <v>14.060876315369912</v>
      </c>
      <c r="T1670" s="9">
        <v>15.090338571208333</v>
      </c>
      <c r="U1670" s="9">
        <v>16.025407313902726</v>
      </c>
      <c r="V1670" s="9">
        <v>16.025407313902726</v>
      </c>
      <c r="W1670" s="9">
        <v>16.025407313902726</v>
      </c>
      <c r="X1670" s="9">
        <v>18.013895748167766</v>
      </c>
      <c r="Y1670" s="9">
        <v>18.013895748167766</v>
      </c>
      <c r="Z1670" s="9">
        <v>20.142868501532355</v>
      </c>
      <c r="AA1670" s="9">
        <v>20.142868501532355</v>
      </c>
      <c r="AB1670" s="9">
        <v>22.456349831314476</v>
      </c>
      <c r="AC1670" s="9">
        <v>22.456349831314476</v>
      </c>
      <c r="AD1670" s="9">
        <v>24.87984091164185</v>
      </c>
      <c r="AE1670" s="9">
        <v>27.427492221952345</v>
      </c>
      <c r="AF1670" s="9">
        <v>33.194804868730657</v>
      </c>
      <c r="AG1670" s="9">
        <v>33.194804868730657</v>
      </c>
      <c r="AH1670" s="9">
        <v>35.957808835828068</v>
      </c>
      <c r="AI1670" s="9">
        <v>38.646304092692077</v>
      </c>
      <c r="AJ1670" s="9">
        <v>3.0428788910505911</v>
      </c>
    </row>
    <row r="1671" spans="1:36" x14ac:dyDescent="0.25">
      <c r="A1671" t="s">
        <v>5411</v>
      </c>
      <c r="B1671" t="s">
        <v>16</v>
      </c>
      <c r="C1671" t="s">
        <v>17</v>
      </c>
      <c r="D1671">
        <v>38930000</v>
      </c>
      <c r="E1671">
        <v>38949999</v>
      </c>
      <c r="F1671" t="s">
        <v>1490</v>
      </c>
      <c r="G1671" t="str">
        <f t="shared" si="52"/>
        <v>MGI II</v>
      </c>
      <c r="H1671" t="s">
        <v>851</v>
      </c>
      <c r="I1671" t="s">
        <v>20</v>
      </c>
      <c r="J1671" t="s">
        <v>64</v>
      </c>
      <c r="K1671" s="6">
        <v>0.03</v>
      </c>
      <c r="L1671" s="7">
        <f t="shared" si="53"/>
        <v>2E-3</v>
      </c>
      <c r="M1671" s="7">
        <v>3.0000000000000001E-3</v>
      </c>
      <c r="N1671">
        <v>8</v>
      </c>
      <c r="O1671" s="8">
        <v>17.822306426995311</v>
      </c>
      <c r="P1671" s="9">
        <v>17.822306426995311</v>
      </c>
      <c r="Q1671" s="9">
        <v>17.822306426995311</v>
      </c>
      <c r="R1671" s="9">
        <v>18.237663306594719</v>
      </c>
      <c r="S1671" s="9">
        <v>18.48712920931133</v>
      </c>
      <c r="T1671" s="9">
        <v>19.201553596969877</v>
      </c>
      <c r="U1671" s="9">
        <v>20.562345482855957</v>
      </c>
      <c r="V1671" s="9">
        <v>20.562345482855957</v>
      </c>
      <c r="W1671" s="9">
        <v>20.562345482855957</v>
      </c>
      <c r="X1671" s="9">
        <v>22.391977691000818</v>
      </c>
      <c r="Y1671" s="9">
        <v>22.391977691000818</v>
      </c>
      <c r="Z1671" s="9">
        <v>24.28858708803979</v>
      </c>
      <c r="AA1671" s="9">
        <v>24.28858708803979</v>
      </c>
      <c r="AB1671" s="9">
        <v>25.117335532005217</v>
      </c>
      <c r="AC1671" s="9">
        <v>25.117335532005217</v>
      </c>
      <c r="AD1671" s="9">
        <v>29.039116491286865</v>
      </c>
      <c r="AE1671" s="9">
        <v>31.219251037281825</v>
      </c>
      <c r="AF1671" s="9">
        <v>33.487682081707895</v>
      </c>
      <c r="AG1671" s="9">
        <v>33.487682081707895</v>
      </c>
      <c r="AH1671" s="9">
        <v>36.427668170967245</v>
      </c>
      <c r="AI1671" s="9">
        <v>38.74455996597662</v>
      </c>
      <c r="AJ1671" s="9">
        <v>3.0428788910505911</v>
      </c>
    </row>
    <row r="1672" spans="1:36" x14ac:dyDescent="0.25">
      <c r="A1672" t="s">
        <v>5411</v>
      </c>
      <c r="B1672" t="s">
        <v>16</v>
      </c>
      <c r="C1672" t="s">
        <v>17</v>
      </c>
      <c r="D1672">
        <v>38950000</v>
      </c>
      <c r="E1672">
        <v>38959999</v>
      </c>
      <c r="F1672" t="s">
        <v>1491</v>
      </c>
      <c r="G1672" t="str">
        <f t="shared" si="52"/>
        <v>MGI II</v>
      </c>
      <c r="H1672" t="s">
        <v>851</v>
      </c>
      <c r="I1672" t="s">
        <v>20</v>
      </c>
      <c r="J1672" t="s">
        <v>64</v>
      </c>
      <c r="K1672" s="6">
        <v>0.03</v>
      </c>
      <c r="L1672" s="7">
        <f t="shared" si="53"/>
        <v>2E-3</v>
      </c>
      <c r="M1672" s="7">
        <v>3.0000000000000001E-3</v>
      </c>
      <c r="N1672">
        <v>7</v>
      </c>
      <c r="O1672" s="8">
        <v>17.822306426995311</v>
      </c>
      <c r="P1672" s="9">
        <v>17.822306426995311</v>
      </c>
      <c r="Q1672" s="9">
        <v>17.822306426995311</v>
      </c>
      <c r="R1672" s="9">
        <v>18.237663306594719</v>
      </c>
      <c r="S1672" s="9">
        <v>18.48712920931133</v>
      </c>
      <c r="T1672" s="9">
        <v>19.201553596969877</v>
      </c>
      <c r="U1672" s="9">
        <v>20.562345482855957</v>
      </c>
      <c r="V1672" s="9">
        <v>20.562345482855957</v>
      </c>
      <c r="W1672" s="9">
        <v>20.562345482855957</v>
      </c>
      <c r="X1672" s="9">
        <v>22.391977691000818</v>
      </c>
      <c r="Y1672" s="9">
        <v>22.391977691000818</v>
      </c>
      <c r="Z1672" s="9">
        <v>24.28858708803979</v>
      </c>
      <c r="AA1672" s="9">
        <v>24.28858708803979</v>
      </c>
      <c r="AB1672" s="9">
        <v>25.117335532005217</v>
      </c>
      <c r="AC1672" s="9">
        <v>25.117335532005217</v>
      </c>
      <c r="AD1672" s="9">
        <v>29.039116491286865</v>
      </c>
      <c r="AE1672" s="9">
        <v>31.219251037281825</v>
      </c>
      <c r="AF1672" s="9">
        <v>33.487682081707895</v>
      </c>
      <c r="AG1672" s="9">
        <v>33.487682081707895</v>
      </c>
      <c r="AH1672" s="9">
        <v>36.427668170967245</v>
      </c>
      <c r="AI1672" s="9">
        <v>38.74455996597662</v>
      </c>
      <c r="AJ1672" s="9">
        <v>3.0428788910505911</v>
      </c>
    </row>
    <row r="1673" spans="1:36" x14ac:dyDescent="0.25">
      <c r="A1673" t="s">
        <v>5411</v>
      </c>
      <c r="B1673" t="s">
        <v>16</v>
      </c>
      <c r="C1673" t="s">
        <v>17</v>
      </c>
      <c r="D1673">
        <v>38960000</v>
      </c>
      <c r="E1673">
        <v>38969999</v>
      </c>
      <c r="F1673" t="s">
        <v>1492</v>
      </c>
      <c r="G1673" t="str">
        <f t="shared" si="52"/>
        <v>MGI II</v>
      </c>
      <c r="H1673" t="s">
        <v>851</v>
      </c>
      <c r="I1673" t="s">
        <v>20</v>
      </c>
      <c r="J1673" t="s">
        <v>64</v>
      </c>
      <c r="K1673" s="6">
        <v>0.03</v>
      </c>
      <c r="L1673" s="7">
        <f t="shared" si="53"/>
        <v>2E-3</v>
      </c>
      <c r="M1673" s="7">
        <v>3.0000000000000001E-3</v>
      </c>
      <c r="N1673">
        <v>7</v>
      </c>
      <c r="O1673" s="8">
        <v>17.822306426995311</v>
      </c>
      <c r="P1673" s="9">
        <v>17.822306426995311</v>
      </c>
      <c r="Q1673" s="9">
        <v>17.822306426995311</v>
      </c>
      <c r="R1673" s="9">
        <v>18.237663306594719</v>
      </c>
      <c r="S1673" s="9">
        <v>18.48712920931133</v>
      </c>
      <c r="T1673" s="9">
        <v>19.201553596969877</v>
      </c>
      <c r="U1673" s="9">
        <v>20.562345482855957</v>
      </c>
      <c r="V1673" s="9">
        <v>20.562345482855957</v>
      </c>
      <c r="W1673" s="9">
        <v>20.562345482855957</v>
      </c>
      <c r="X1673" s="9">
        <v>22.391977691000818</v>
      </c>
      <c r="Y1673" s="9">
        <v>22.391977691000818</v>
      </c>
      <c r="Z1673" s="9">
        <v>24.28858708803979</v>
      </c>
      <c r="AA1673" s="9">
        <v>24.28858708803979</v>
      </c>
      <c r="AB1673" s="9">
        <v>25.117335532005217</v>
      </c>
      <c r="AC1673" s="9">
        <v>25.117335532005217</v>
      </c>
      <c r="AD1673" s="9">
        <v>29.039116491286865</v>
      </c>
      <c r="AE1673" s="9">
        <v>31.219251037281825</v>
      </c>
      <c r="AF1673" s="9">
        <v>33.487682081707895</v>
      </c>
      <c r="AG1673" s="9">
        <v>33.487682081707895</v>
      </c>
      <c r="AH1673" s="9">
        <v>36.427668170967245</v>
      </c>
      <c r="AI1673" s="9">
        <v>38.74455996597662</v>
      </c>
      <c r="AJ1673" s="9">
        <v>3.0428788910505911</v>
      </c>
    </row>
    <row r="1674" spans="1:36" x14ac:dyDescent="0.25">
      <c r="A1674" t="s">
        <v>5411</v>
      </c>
      <c r="B1674" t="s">
        <v>16</v>
      </c>
      <c r="C1674" t="s">
        <v>17</v>
      </c>
      <c r="D1674">
        <v>38970000</v>
      </c>
      <c r="E1674">
        <v>38979999</v>
      </c>
      <c r="F1674" t="s">
        <v>1493</v>
      </c>
      <c r="G1674" t="str">
        <f t="shared" si="52"/>
        <v>MGI II</v>
      </c>
      <c r="H1674" t="s">
        <v>851</v>
      </c>
      <c r="I1674" t="s">
        <v>20</v>
      </c>
      <c r="J1674" t="s">
        <v>64</v>
      </c>
      <c r="K1674" s="6">
        <v>0.03</v>
      </c>
      <c r="L1674" s="7">
        <f t="shared" si="53"/>
        <v>2E-3</v>
      </c>
      <c r="M1674" s="7">
        <v>3.0000000000000001E-3</v>
      </c>
      <c r="N1674">
        <v>7</v>
      </c>
      <c r="O1674" s="8">
        <v>17.822306426995311</v>
      </c>
      <c r="P1674" s="9">
        <v>17.822306426995311</v>
      </c>
      <c r="Q1674" s="9">
        <v>17.822306426995311</v>
      </c>
      <c r="R1674" s="9">
        <v>18.237663306594719</v>
      </c>
      <c r="S1674" s="9">
        <v>18.48712920931133</v>
      </c>
      <c r="T1674" s="9">
        <v>19.201553596969877</v>
      </c>
      <c r="U1674" s="9">
        <v>20.562345482855957</v>
      </c>
      <c r="V1674" s="9">
        <v>20.562345482855957</v>
      </c>
      <c r="W1674" s="9">
        <v>20.562345482855957</v>
      </c>
      <c r="X1674" s="9">
        <v>22.391977691000818</v>
      </c>
      <c r="Y1674" s="9">
        <v>22.391977691000818</v>
      </c>
      <c r="Z1674" s="9">
        <v>24.28858708803979</v>
      </c>
      <c r="AA1674" s="9">
        <v>24.28858708803979</v>
      </c>
      <c r="AB1674" s="9">
        <v>25.117335532005217</v>
      </c>
      <c r="AC1674" s="9">
        <v>25.117335532005217</v>
      </c>
      <c r="AD1674" s="9">
        <v>29.039116491286865</v>
      </c>
      <c r="AE1674" s="9">
        <v>31.219251037281825</v>
      </c>
      <c r="AF1674" s="9">
        <v>33.487682081707895</v>
      </c>
      <c r="AG1674" s="9">
        <v>33.487682081707895</v>
      </c>
      <c r="AH1674" s="9">
        <v>36.427668170967245</v>
      </c>
      <c r="AI1674" s="9">
        <v>38.74455996597662</v>
      </c>
      <c r="AJ1674" s="9">
        <v>3.0428788910505911</v>
      </c>
    </row>
    <row r="1675" spans="1:36" x14ac:dyDescent="0.25">
      <c r="A1675" t="s">
        <v>5411</v>
      </c>
      <c r="B1675" t="s">
        <v>16</v>
      </c>
      <c r="C1675" t="s">
        <v>17</v>
      </c>
      <c r="D1675">
        <v>38980000</v>
      </c>
      <c r="E1675">
        <v>38989999</v>
      </c>
      <c r="F1675" t="s">
        <v>534</v>
      </c>
      <c r="G1675" t="str">
        <f t="shared" si="52"/>
        <v>MGI II</v>
      </c>
      <c r="H1675" t="s">
        <v>851</v>
      </c>
      <c r="I1675" t="s">
        <v>20</v>
      </c>
      <c r="J1675" t="s">
        <v>64</v>
      </c>
      <c r="K1675" s="6">
        <v>0.03</v>
      </c>
      <c r="L1675" s="7">
        <f t="shared" si="53"/>
        <v>2E-3</v>
      </c>
      <c r="M1675" s="7">
        <v>3.0000000000000001E-3</v>
      </c>
      <c r="N1675">
        <v>7</v>
      </c>
      <c r="O1675" s="8">
        <v>17.822306426995311</v>
      </c>
      <c r="P1675" s="9">
        <v>17.822306426995311</v>
      </c>
      <c r="Q1675" s="9">
        <v>17.822306426995311</v>
      </c>
      <c r="R1675" s="9">
        <v>18.237663306594719</v>
      </c>
      <c r="S1675" s="9">
        <v>18.48712920931133</v>
      </c>
      <c r="T1675" s="9">
        <v>19.201553596969877</v>
      </c>
      <c r="U1675" s="9">
        <v>20.562345482855957</v>
      </c>
      <c r="V1675" s="9">
        <v>20.562345482855957</v>
      </c>
      <c r="W1675" s="9">
        <v>20.562345482855957</v>
      </c>
      <c r="X1675" s="9">
        <v>22.391977691000818</v>
      </c>
      <c r="Y1675" s="9">
        <v>22.391977691000818</v>
      </c>
      <c r="Z1675" s="9">
        <v>24.28858708803979</v>
      </c>
      <c r="AA1675" s="9">
        <v>24.28858708803979</v>
      </c>
      <c r="AB1675" s="9">
        <v>25.117335532005217</v>
      </c>
      <c r="AC1675" s="9">
        <v>25.117335532005217</v>
      </c>
      <c r="AD1675" s="9">
        <v>29.039116491286865</v>
      </c>
      <c r="AE1675" s="9">
        <v>31.219251037281825</v>
      </c>
      <c r="AF1675" s="9">
        <v>33.487682081707895</v>
      </c>
      <c r="AG1675" s="9">
        <v>33.487682081707895</v>
      </c>
      <c r="AH1675" s="9">
        <v>36.427668170967245</v>
      </c>
      <c r="AI1675" s="9">
        <v>38.74455996597662</v>
      </c>
      <c r="AJ1675" s="9">
        <v>3.0428788910505911</v>
      </c>
    </row>
    <row r="1676" spans="1:36" x14ac:dyDescent="0.25">
      <c r="A1676" t="s">
        <v>5411</v>
      </c>
      <c r="B1676" t="s">
        <v>16</v>
      </c>
      <c r="C1676" t="s">
        <v>17</v>
      </c>
      <c r="D1676">
        <v>38990000</v>
      </c>
      <c r="E1676">
        <v>39099999</v>
      </c>
      <c r="F1676" t="s">
        <v>1494</v>
      </c>
      <c r="G1676" t="str">
        <f t="shared" si="52"/>
        <v>MGI II</v>
      </c>
      <c r="H1676" t="s">
        <v>851</v>
      </c>
      <c r="I1676" t="s">
        <v>20</v>
      </c>
      <c r="J1676" t="s">
        <v>64</v>
      </c>
      <c r="K1676" s="6">
        <v>0.03</v>
      </c>
      <c r="L1676" s="7">
        <f t="shared" si="53"/>
        <v>2E-3</v>
      </c>
      <c r="M1676" s="7">
        <v>3.0000000000000001E-3</v>
      </c>
      <c r="N1676">
        <v>8</v>
      </c>
      <c r="O1676" s="8">
        <v>17.822306426995311</v>
      </c>
      <c r="P1676" s="9">
        <v>17.822306426995311</v>
      </c>
      <c r="Q1676" s="9">
        <v>17.822306426995311</v>
      </c>
      <c r="R1676" s="9">
        <v>18.237663306594719</v>
      </c>
      <c r="S1676" s="9">
        <v>18.48712920931133</v>
      </c>
      <c r="T1676" s="9">
        <v>19.201553596969877</v>
      </c>
      <c r="U1676" s="9">
        <v>20.562345482855957</v>
      </c>
      <c r="V1676" s="9">
        <v>20.562345482855957</v>
      </c>
      <c r="W1676" s="9">
        <v>20.562345482855957</v>
      </c>
      <c r="X1676" s="9">
        <v>22.391977691000818</v>
      </c>
      <c r="Y1676" s="9">
        <v>22.391977691000818</v>
      </c>
      <c r="Z1676" s="9">
        <v>24.28858708803979</v>
      </c>
      <c r="AA1676" s="9">
        <v>24.28858708803979</v>
      </c>
      <c r="AB1676" s="9">
        <v>25.117335532005217</v>
      </c>
      <c r="AC1676" s="9">
        <v>25.117335532005217</v>
      </c>
      <c r="AD1676" s="9">
        <v>29.039116491286865</v>
      </c>
      <c r="AE1676" s="9">
        <v>31.219251037281825</v>
      </c>
      <c r="AF1676" s="9">
        <v>33.487682081707895</v>
      </c>
      <c r="AG1676" s="9">
        <v>33.487682081707895</v>
      </c>
      <c r="AH1676" s="9">
        <v>36.427668170967245</v>
      </c>
      <c r="AI1676" s="9">
        <v>38.74455996597662</v>
      </c>
      <c r="AJ1676" s="9">
        <v>3.0428788910505911</v>
      </c>
    </row>
    <row r="1677" spans="1:36" x14ac:dyDescent="0.25">
      <c r="A1677" t="s">
        <v>5411</v>
      </c>
      <c r="B1677" t="s">
        <v>16</v>
      </c>
      <c r="C1677" t="s">
        <v>17</v>
      </c>
      <c r="D1677">
        <v>39100000</v>
      </c>
      <c r="E1677">
        <v>39119999</v>
      </c>
      <c r="F1677" t="s">
        <v>1495</v>
      </c>
      <c r="G1677" t="str">
        <f t="shared" si="52"/>
        <v>MGI</v>
      </c>
      <c r="H1677" t="s">
        <v>851</v>
      </c>
      <c r="I1677" t="s">
        <v>20</v>
      </c>
      <c r="J1677" t="s">
        <v>62</v>
      </c>
      <c r="K1677" s="6">
        <v>0.03</v>
      </c>
      <c r="L1677" s="7">
        <f t="shared" si="53"/>
        <v>2E-3</v>
      </c>
      <c r="M1677" s="7">
        <v>3.0000000000000001E-3</v>
      </c>
      <c r="N1677">
        <v>8</v>
      </c>
      <c r="O1677" s="8">
        <v>13.880385281502075</v>
      </c>
      <c r="P1677" s="9">
        <v>13.880385281502075</v>
      </c>
      <c r="Q1677" s="9">
        <v>13.880385281502075</v>
      </c>
      <c r="R1677" s="9">
        <v>14.045989937445718</v>
      </c>
      <c r="S1677" s="9">
        <v>14.060876315369912</v>
      </c>
      <c r="T1677" s="9">
        <v>15.090338571208333</v>
      </c>
      <c r="U1677" s="9">
        <v>16.025407313902726</v>
      </c>
      <c r="V1677" s="9">
        <v>16.025407313902726</v>
      </c>
      <c r="W1677" s="9">
        <v>16.025407313902726</v>
      </c>
      <c r="X1677" s="9">
        <v>18.013895748167766</v>
      </c>
      <c r="Y1677" s="9">
        <v>18.013895748167766</v>
      </c>
      <c r="Z1677" s="9">
        <v>20.142868501532355</v>
      </c>
      <c r="AA1677" s="9">
        <v>20.142868501532355</v>
      </c>
      <c r="AB1677" s="9">
        <v>22.456349831314476</v>
      </c>
      <c r="AC1677" s="9">
        <v>22.456349831314476</v>
      </c>
      <c r="AD1677" s="9">
        <v>24.87984091164185</v>
      </c>
      <c r="AE1677" s="9">
        <v>27.427492221952345</v>
      </c>
      <c r="AF1677" s="9">
        <v>33.194804868730657</v>
      </c>
      <c r="AG1677" s="9">
        <v>33.194804868730657</v>
      </c>
      <c r="AH1677" s="9">
        <v>35.957808835828068</v>
      </c>
      <c r="AI1677" s="9">
        <v>38.646304092692077</v>
      </c>
      <c r="AJ1677" s="9">
        <v>3.0428788910505911</v>
      </c>
    </row>
    <row r="1678" spans="1:36" x14ac:dyDescent="0.25">
      <c r="A1678" t="s">
        <v>5411</v>
      </c>
      <c r="B1678" t="s">
        <v>16</v>
      </c>
      <c r="C1678" t="s">
        <v>17</v>
      </c>
      <c r="D1678">
        <v>39120000</v>
      </c>
      <c r="E1678">
        <v>39129999</v>
      </c>
      <c r="F1678" t="s">
        <v>1496</v>
      </c>
      <c r="G1678" t="str">
        <f t="shared" si="52"/>
        <v>MGI II</v>
      </c>
      <c r="H1678" t="s">
        <v>851</v>
      </c>
      <c r="I1678" t="s">
        <v>20</v>
      </c>
      <c r="J1678" t="s">
        <v>64</v>
      </c>
      <c r="K1678" s="6">
        <v>0.03</v>
      </c>
      <c r="L1678" s="7">
        <f t="shared" si="53"/>
        <v>2E-3</v>
      </c>
      <c r="M1678" s="7">
        <v>3.0000000000000001E-3</v>
      </c>
      <c r="N1678">
        <v>8</v>
      </c>
      <c r="O1678" s="8">
        <v>17.822306426995311</v>
      </c>
      <c r="P1678" s="9">
        <v>17.822306426995311</v>
      </c>
      <c r="Q1678" s="9">
        <v>17.822306426995311</v>
      </c>
      <c r="R1678" s="9">
        <v>18.237663306594719</v>
      </c>
      <c r="S1678" s="9">
        <v>18.48712920931133</v>
      </c>
      <c r="T1678" s="9">
        <v>19.201553596969877</v>
      </c>
      <c r="U1678" s="9">
        <v>20.562345482855957</v>
      </c>
      <c r="V1678" s="9">
        <v>20.562345482855957</v>
      </c>
      <c r="W1678" s="9">
        <v>20.562345482855957</v>
      </c>
      <c r="X1678" s="9">
        <v>22.391977691000818</v>
      </c>
      <c r="Y1678" s="9">
        <v>22.391977691000818</v>
      </c>
      <c r="Z1678" s="9">
        <v>24.28858708803979</v>
      </c>
      <c r="AA1678" s="9">
        <v>24.28858708803979</v>
      </c>
      <c r="AB1678" s="9">
        <v>25.117335532005217</v>
      </c>
      <c r="AC1678" s="9">
        <v>25.117335532005217</v>
      </c>
      <c r="AD1678" s="9">
        <v>29.039116491286865</v>
      </c>
      <c r="AE1678" s="9">
        <v>31.219251037281825</v>
      </c>
      <c r="AF1678" s="9">
        <v>33.487682081707895</v>
      </c>
      <c r="AG1678" s="9">
        <v>33.487682081707895</v>
      </c>
      <c r="AH1678" s="9">
        <v>36.427668170967245</v>
      </c>
      <c r="AI1678" s="9">
        <v>38.74455996597662</v>
      </c>
      <c r="AJ1678" s="9">
        <v>3.0428788910505911</v>
      </c>
    </row>
    <row r="1679" spans="1:36" x14ac:dyDescent="0.25">
      <c r="A1679" t="s">
        <v>5411</v>
      </c>
      <c r="B1679" t="s">
        <v>16</v>
      </c>
      <c r="C1679" t="s">
        <v>17</v>
      </c>
      <c r="D1679">
        <v>39130000</v>
      </c>
      <c r="E1679">
        <v>39134999</v>
      </c>
      <c r="F1679" t="s">
        <v>1497</v>
      </c>
      <c r="G1679" t="str">
        <f t="shared" si="52"/>
        <v>MGI II</v>
      </c>
      <c r="H1679" t="s">
        <v>851</v>
      </c>
      <c r="I1679" t="s">
        <v>20</v>
      </c>
      <c r="J1679" t="s">
        <v>64</v>
      </c>
      <c r="K1679" s="6">
        <v>0.03</v>
      </c>
      <c r="L1679" s="7">
        <f t="shared" si="53"/>
        <v>2E-3</v>
      </c>
      <c r="M1679" s="7">
        <v>3.0000000000000001E-3</v>
      </c>
      <c r="N1679">
        <v>8</v>
      </c>
      <c r="O1679" s="8">
        <v>17.822306426995311</v>
      </c>
      <c r="P1679" s="9">
        <v>17.822306426995311</v>
      </c>
      <c r="Q1679" s="9">
        <v>17.822306426995311</v>
      </c>
      <c r="R1679" s="9">
        <v>18.237663306594719</v>
      </c>
      <c r="S1679" s="9">
        <v>18.48712920931133</v>
      </c>
      <c r="T1679" s="9">
        <v>19.201553596969877</v>
      </c>
      <c r="U1679" s="9">
        <v>20.562345482855957</v>
      </c>
      <c r="V1679" s="9">
        <v>20.562345482855957</v>
      </c>
      <c r="W1679" s="9">
        <v>20.562345482855957</v>
      </c>
      <c r="X1679" s="9">
        <v>22.391977691000818</v>
      </c>
      <c r="Y1679" s="9">
        <v>22.391977691000818</v>
      </c>
      <c r="Z1679" s="9">
        <v>24.28858708803979</v>
      </c>
      <c r="AA1679" s="9">
        <v>24.28858708803979</v>
      </c>
      <c r="AB1679" s="9">
        <v>25.117335532005217</v>
      </c>
      <c r="AC1679" s="9">
        <v>25.117335532005217</v>
      </c>
      <c r="AD1679" s="9">
        <v>29.039116491286865</v>
      </c>
      <c r="AE1679" s="9">
        <v>31.219251037281825</v>
      </c>
      <c r="AF1679" s="9">
        <v>33.487682081707895</v>
      </c>
      <c r="AG1679" s="9">
        <v>33.487682081707895</v>
      </c>
      <c r="AH1679" s="9">
        <v>36.427668170967245</v>
      </c>
      <c r="AI1679" s="9">
        <v>38.74455996597662</v>
      </c>
      <c r="AJ1679" s="9">
        <v>3.0428788910505911</v>
      </c>
    </row>
    <row r="1680" spans="1:36" x14ac:dyDescent="0.25">
      <c r="A1680" t="s">
        <v>5411</v>
      </c>
      <c r="B1680" t="s">
        <v>16</v>
      </c>
      <c r="C1680" t="s">
        <v>17</v>
      </c>
      <c r="D1680">
        <v>39135000</v>
      </c>
      <c r="E1680">
        <v>39139999</v>
      </c>
      <c r="F1680" t="s">
        <v>1498</v>
      </c>
      <c r="G1680" t="str">
        <f t="shared" si="52"/>
        <v>MGI II</v>
      </c>
      <c r="H1680" t="s">
        <v>851</v>
      </c>
      <c r="I1680" t="s">
        <v>20</v>
      </c>
      <c r="J1680" t="s">
        <v>64</v>
      </c>
      <c r="K1680" s="6">
        <v>0.03</v>
      </c>
      <c r="L1680" s="7">
        <f t="shared" si="53"/>
        <v>2E-3</v>
      </c>
      <c r="M1680" s="7">
        <v>3.0000000000000001E-3</v>
      </c>
      <c r="N1680">
        <v>8</v>
      </c>
      <c r="O1680" s="8">
        <v>17.822306426995311</v>
      </c>
      <c r="P1680" s="9">
        <v>17.822306426995311</v>
      </c>
      <c r="Q1680" s="9">
        <v>17.822306426995311</v>
      </c>
      <c r="R1680" s="9">
        <v>18.237663306594719</v>
      </c>
      <c r="S1680" s="9">
        <v>18.48712920931133</v>
      </c>
      <c r="T1680" s="9">
        <v>19.201553596969877</v>
      </c>
      <c r="U1680" s="9">
        <v>20.562345482855957</v>
      </c>
      <c r="V1680" s="9">
        <v>20.562345482855957</v>
      </c>
      <c r="W1680" s="9">
        <v>20.562345482855957</v>
      </c>
      <c r="X1680" s="9">
        <v>22.391977691000818</v>
      </c>
      <c r="Y1680" s="9">
        <v>22.391977691000818</v>
      </c>
      <c r="Z1680" s="9">
        <v>24.28858708803979</v>
      </c>
      <c r="AA1680" s="9">
        <v>24.28858708803979</v>
      </c>
      <c r="AB1680" s="9">
        <v>25.117335532005217</v>
      </c>
      <c r="AC1680" s="9">
        <v>25.117335532005217</v>
      </c>
      <c r="AD1680" s="9">
        <v>29.039116491286865</v>
      </c>
      <c r="AE1680" s="9">
        <v>31.219251037281825</v>
      </c>
      <c r="AF1680" s="9">
        <v>33.487682081707895</v>
      </c>
      <c r="AG1680" s="9">
        <v>33.487682081707895</v>
      </c>
      <c r="AH1680" s="9">
        <v>36.427668170967245</v>
      </c>
      <c r="AI1680" s="9">
        <v>38.74455996597662</v>
      </c>
      <c r="AJ1680" s="9">
        <v>3.0428788910505911</v>
      </c>
    </row>
    <row r="1681" spans="1:36" x14ac:dyDescent="0.25">
      <c r="A1681" t="s">
        <v>5411</v>
      </c>
      <c r="B1681" t="s">
        <v>16</v>
      </c>
      <c r="C1681" t="s">
        <v>17</v>
      </c>
      <c r="D1681">
        <v>39140000</v>
      </c>
      <c r="E1681">
        <v>39149999</v>
      </c>
      <c r="F1681" t="s">
        <v>1499</v>
      </c>
      <c r="G1681" t="str">
        <f t="shared" si="52"/>
        <v>MGI II</v>
      </c>
      <c r="H1681" t="s">
        <v>851</v>
      </c>
      <c r="I1681" t="s">
        <v>20</v>
      </c>
      <c r="J1681" t="s">
        <v>64</v>
      </c>
      <c r="K1681" s="6">
        <v>0.03</v>
      </c>
      <c r="L1681" s="7">
        <f t="shared" si="53"/>
        <v>2E-3</v>
      </c>
      <c r="M1681" s="7">
        <v>3.0000000000000001E-3</v>
      </c>
      <c r="N1681">
        <v>8</v>
      </c>
      <c r="O1681" s="8">
        <v>17.822306426995311</v>
      </c>
      <c r="P1681" s="9">
        <v>17.822306426995311</v>
      </c>
      <c r="Q1681" s="9">
        <v>17.822306426995311</v>
      </c>
      <c r="R1681" s="9">
        <v>18.237663306594719</v>
      </c>
      <c r="S1681" s="9">
        <v>18.48712920931133</v>
      </c>
      <c r="T1681" s="9">
        <v>19.201553596969877</v>
      </c>
      <c r="U1681" s="9">
        <v>20.562345482855957</v>
      </c>
      <c r="V1681" s="9">
        <v>20.562345482855957</v>
      </c>
      <c r="W1681" s="9">
        <v>20.562345482855957</v>
      </c>
      <c r="X1681" s="9">
        <v>22.391977691000818</v>
      </c>
      <c r="Y1681" s="9">
        <v>22.391977691000818</v>
      </c>
      <c r="Z1681" s="9">
        <v>24.28858708803979</v>
      </c>
      <c r="AA1681" s="9">
        <v>24.28858708803979</v>
      </c>
      <c r="AB1681" s="9">
        <v>25.117335532005217</v>
      </c>
      <c r="AC1681" s="9">
        <v>25.117335532005217</v>
      </c>
      <c r="AD1681" s="9">
        <v>29.039116491286865</v>
      </c>
      <c r="AE1681" s="9">
        <v>31.219251037281825</v>
      </c>
      <c r="AF1681" s="9">
        <v>33.487682081707895</v>
      </c>
      <c r="AG1681" s="9">
        <v>33.487682081707895</v>
      </c>
      <c r="AH1681" s="9">
        <v>36.427668170967245</v>
      </c>
      <c r="AI1681" s="9">
        <v>38.74455996597662</v>
      </c>
      <c r="AJ1681" s="9">
        <v>3.0428788910505911</v>
      </c>
    </row>
    <row r="1682" spans="1:36" x14ac:dyDescent="0.25">
      <c r="A1682" t="s">
        <v>5411</v>
      </c>
      <c r="B1682" t="s">
        <v>16</v>
      </c>
      <c r="C1682" t="s">
        <v>17</v>
      </c>
      <c r="D1682">
        <v>39150000</v>
      </c>
      <c r="E1682">
        <v>39159999</v>
      </c>
      <c r="F1682" t="s">
        <v>1500</v>
      </c>
      <c r="G1682" t="str">
        <f t="shared" si="52"/>
        <v>MGI II</v>
      </c>
      <c r="H1682" t="s">
        <v>851</v>
      </c>
      <c r="I1682" t="s">
        <v>20</v>
      </c>
      <c r="J1682" t="s">
        <v>64</v>
      </c>
      <c r="K1682" s="6">
        <v>0.03</v>
      </c>
      <c r="L1682" s="7">
        <f t="shared" si="53"/>
        <v>2E-3</v>
      </c>
      <c r="M1682" s="7">
        <v>3.0000000000000001E-3</v>
      </c>
      <c r="N1682">
        <v>8</v>
      </c>
      <c r="O1682" s="8">
        <v>17.822306426995311</v>
      </c>
      <c r="P1682" s="9">
        <v>17.822306426995311</v>
      </c>
      <c r="Q1682" s="9">
        <v>17.822306426995311</v>
      </c>
      <c r="R1682" s="9">
        <v>18.237663306594719</v>
      </c>
      <c r="S1682" s="9">
        <v>18.48712920931133</v>
      </c>
      <c r="T1682" s="9">
        <v>19.201553596969877</v>
      </c>
      <c r="U1682" s="9">
        <v>20.562345482855957</v>
      </c>
      <c r="V1682" s="9">
        <v>20.562345482855957</v>
      </c>
      <c r="W1682" s="9">
        <v>20.562345482855957</v>
      </c>
      <c r="X1682" s="9">
        <v>22.391977691000818</v>
      </c>
      <c r="Y1682" s="9">
        <v>22.391977691000818</v>
      </c>
      <c r="Z1682" s="9">
        <v>24.28858708803979</v>
      </c>
      <c r="AA1682" s="9">
        <v>24.28858708803979</v>
      </c>
      <c r="AB1682" s="9">
        <v>25.117335532005217</v>
      </c>
      <c r="AC1682" s="9">
        <v>25.117335532005217</v>
      </c>
      <c r="AD1682" s="9">
        <v>29.039116491286865</v>
      </c>
      <c r="AE1682" s="9">
        <v>31.219251037281825</v>
      </c>
      <c r="AF1682" s="9">
        <v>33.487682081707895</v>
      </c>
      <c r="AG1682" s="9">
        <v>33.487682081707895</v>
      </c>
      <c r="AH1682" s="9">
        <v>36.427668170967245</v>
      </c>
      <c r="AI1682" s="9">
        <v>38.74455996597662</v>
      </c>
      <c r="AJ1682" s="9">
        <v>3.0428788910505911</v>
      </c>
    </row>
    <row r="1683" spans="1:36" x14ac:dyDescent="0.25">
      <c r="A1683" t="s">
        <v>5411</v>
      </c>
      <c r="B1683" t="s">
        <v>16</v>
      </c>
      <c r="C1683" t="s">
        <v>17</v>
      </c>
      <c r="D1683">
        <v>39160000</v>
      </c>
      <c r="E1683">
        <v>39164999</v>
      </c>
      <c r="F1683" t="s">
        <v>1501</v>
      </c>
      <c r="G1683" t="str">
        <f t="shared" si="52"/>
        <v>MGI II</v>
      </c>
      <c r="H1683" t="s">
        <v>851</v>
      </c>
      <c r="I1683" t="s">
        <v>20</v>
      </c>
      <c r="J1683" t="s">
        <v>64</v>
      </c>
      <c r="K1683" s="6">
        <v>0.03</v>
      </c>
      <c r="L1683" s="7">
        <f t="shared" si="53"/>
        <v>2E-3</v>
      </c>
      <c r="M1683" s="7">
        <v>3.0000000000000001E-3</v>
      </c>
      <c r="N1683">
        <v>8</v>
      </c>
      <c r="O1683" s="8">
        <v>17.822306426995311</v>
      </c>
      <c r="P1683" s="9">
        <v>17.822306426995311</v>
      </c>
      <c r="Q1683" s="9">
        <v>17.822306426995311</v>
      </c>
      <c r="R1683" s="9">
        <v>18.237663306594719</v>
      </c>
      <c r="S1683" s="9">
        <v>18.48712920931133</v>
      </c>
      <c r="T1683" s="9">
        <v>19.201553596969877</v>
      </c>
      <c r="U1683" s="9">
        <v>20.562345482855957</v>
      </c>
      <c r="V1683" s="9">
        <v>20.562345482855957</v>
      </c>
      <c r="W1683" s="9">
        <v>20.562345482855957</v>
      </c>
      <c r="X1683" s="9">
        <v>22.391977691000818</v>
      </c>
      <c r="Y1683" s="9">
        <v>22.391977691000818</v>
      </c>
      <c r="Z1683" s="9">
        <v>24.28858708803979</v>
      </c>
      <c r="AA1683" s="9">
        <v>24.28858708803979</v>
      </c>
      <c r="AB1683" s="9">
        <v>25.117335532005217</v>
      </c>
      <c r="AC1683" s="9">
        <v>25.117335532005217</v>
      </c>
      <c r="AD1683" s="9">
        <v>29.039116491286865</v>
      </c>
      <c r="AE1683" s="9">
        <v>31.219251037281825</v>
      </c>
      <c r="AF1683" s="9">
        <v>33.487682081707895</v>
      </c>
      <c r="AG1683" s="9">
        <v>33.487682081707895</v>
      </c>
      <c r="AH1683" s="9">
        <v>36.427668170967245</v>
      </c>
      <c r="AI1683" s="9">
        <v>38.74455996597662</v>
      </c>
      <c r="AJ1683" s="9">
        <v>3.0428788910505911</v>
      </c>
    </row>
    <row r="1684" spans="1:36" x14ac:dyDescent="0.25">
      <c r="A1684" t="s">
        <v>5411</v>
      </c>
      <c r="B1684" t="s">
        <v>16</v>
      </c>
      <c r="C1684" t="s">
        <v>17</v>
      </c>
      <c r="D1684">
        <v>39165000</v>
      </c>
      <c r="E1684">
        <v>39169999</v>
      </c>
      <c r="F1684" t="s">
        <v>1502</v>
      </c>
      <c r="G1684" t="str">
        <f t="shared" si="52"/>
        <v>MGI II</v>
      </c>
      <c r="H1684" t="s">
        <v>851</v>
      </c>
      <c r="I1684" t="s">
        <v>20</v>
      </c>
      <c r="J1684" t="s">
        <v>64</v>
      </c>
      <c r="K1684" s="6">
        <v>0.03</v>
      </c>
      <c r="L1684" s="7">
        <f t="shared" si="53"/>
        <v>2E-3</v>
      </c>
      <c r="M1684" s="7">
        <v>3.0000000000000001E-3</v>
      </c>
      <c r="N1684">
        <v>8</v>
      </c>
      <c r="O1684" s="8">
        <v>17.822306426995311</v>
      </c>
      <c r="P1684" s="9">
        <v>17.822306426995311</v>
      </c>
      <c r="Q1684" s="9">
        <v>17.822306426995311</v>
      </c>
      <c r="R1684" s="9">
        <v>18.237663306594719</v>
      </c>
      <c r="S1684" s="9">
        <v>18.48712920931133</v>
      </c>
      <c r="T1684" s="9">
        <v>19.201553596969877</v>
      </c>
      <c r="U1684" s="9">
        <v>20.562345482855957</v>
      </c>
      <c r="V1684" s="9">
        <v>20.562345482855957</v>
      </c>
      <c r="W1684" s="9">
        <v>20.562345482855957</v>
      </c>
      <c r="X1684" s="9">
        <v>22.391977691000818</v>
      </c>
      <c r="Y1684" s="9">
        <v>22.391977691000818</v>
      </c>
      <c r="Z1684" s="9">
        <v>24.28858708803979</v>
      </c>
      <c r="AA1684" s="9">
        <v>24.28858708803979</v>
      </c>
      <c r="AB1684" s="9">
        <v>25.117335532005217</v>
      </c>
      <c r="AC1684" s="9">
        <v>25.117335532005217</v>
      </c>
      <c r="AD1684" s="9">
        <v>29.039116491286865</v>
      </c>
      <c r="AE1684" s="9">
        <v>31.219251037281825</v>
      </c>
      <c r="AF1684" s="9">
        <v>33.487682081707895</v>
      </c>
      <c r="AG1684" s="9">
        <v>33.487682081707895</v>
      </c>
      <c r="AH1684" s="9">
        <v>36.427668170967245</v>
      </c>
      <c r="AI1684" s="9">
        <v>38.74455996597662</v>
      </c>
      <c r="AJ1684" s="9">
        <v>3.0428788910505911</v>
      </c>
    </row>
    <row r="1685" spans="1:36" x14ac:dyDescent="0.25">
      <c r="A1685" t="s">
        <v>5411</v>
      </c>
      <c r="B1685" t="s">
        <v>16</v>
      </c>
      <c r="C1685" t="s">
        <v>17</v>
      </c>
      <c r="D1685">
        <v>39170000</v>
      </c>
      <c r="E1685">
        <v>39179999</v>
      </c>
      <c r="F1685" t="s">
        <v>1503</v>
      </c>
      <c r="G1685" t="str">
        <f t="shared" si="52"/>
        <v>MGI II</v>
      </c>
      <c r="H1685" t="s">
        <v>851</v>
      </c>
      <c r="I1685" t="s">
        <v>20</v>
      </c>
      <c r="J1685" t="s">
        <v>64</v>
      </c>
      <c r="K1685" s="6">
        <v>0.03</v>
      </c>
      <c r="L1685" s="7">
        <f t="shared" si="53"/>
        <v>2E-3</v>
      </c>
      <c r="M1685" s="7">
        <v>3.0000000000000001E-3</v>
      </c>
      <c r="N1685">
        <v>8</v>
      </c>
      <c r="O1685" s="8">
        <v>17.822306426995311</v>
      </c>
      <c r="P1685" s="9">
        <v>17.822306426995311</v>
      </c>
      <c r="Q1685" s="9">
        <v>17.822306426995311</v>
      </c>
      <c r="R1685" s="9">
        <v>18.237663306594719</v>
      </c>
      <c r="S1685" s="9">
        <v>18.48712920931133</v>
      </c>
      <c r="T1685" s="9">
        <v>19.201553596969877</v>
      </c>
      <c r="U1685" s="9">
        <v>20.562345482855957</v>
      </c>
      <c r="V1685" s="9">
        <v>20.562345482855957</v>
      </c>
      <c r="W1685" s="9">
        <v>20.562345482855957</v>
      </c>
      <c r="X1685" s="9">
        <v>22.391977691000818</v>
      </c>
      <c r="Y1685" s="9">
        <v>22.391977691000818</v>
      </c>
      <c r="Z1685" s="9">
        <v>24.28858708803979</v>
      </c>
      <c r="AA1685" s="9">
        <v>24.28858708803979</v>
      </c>
      <c r="AB1685" s="9">
        <v>25.117335532005217</v>
      </c>
      <c r="AC1685" s="9">
        <v>25.117335532005217</v>
      </c>
      <c r="AD1685" s="9">
        <v>29.039116491286865</v>
      </c>
      <c r="AE1685" s="9">
        <v>31.219251037281825</v>
      </c>
      <c r="AF1685" s="9">
        <v>33.487682081707895</v>
      </c>
      <c r="AG1685" s="9">
        <v>33.487682081707895</v>
      </c>
      <c r="AH1685" s="9">
        <v>36.427668170967245</v>
      </c>
      <c r="AI1685" s="9">
        <v>38.74455996597662</v>
      </c>
      <c r="AJ1685" s="9">
        <v>3.0428788910505911</v>
      </c>
    </row>
    <row r="1686" spans="1:36" x14ac:dyDescent="0.25">
      <c r="A1686" t="s">
        <v>5411</v>
      </c>
      <c r="B1686" t="s">
        <v>16</v>
      </c>
      <c r="C1686" t="s">
        <v>17</v>
      </c>
      <c r="D1686">
        <v>39180000</v>
      </c>
      <c r="E1686">
        <v>39184999</v>
      </c>
      <c r="F1686" t="s">
        <v>1504</v>
      </c>
      <c r="G1686" t="str">
        <f t="shared" si="52"/>
        <v>MGI II</v>
      </c>
      <c r="H1686" t="s">
        <v>851</v>
      </c>
      <c r="I1686" t="s">
        <v>20</v>
      </c>
      <c r="J1686" t="s">
        <v>64</v>
      </c>
      <c r="K1686" s="6">
        <v>0.03</v>
      </c>
      <c r="L1686" s="7">
        <f t="shared" si="53"/>
        <v>2E-3</v>
      </c>
      <c r="M1686" s="7">
        <v>3.0000000000000001E-3</v>
      </c>
      <c r="N1686">
        <v>8</v>
      </c>
      <c r="O1686" s="8">
        <v>17.822306426995311</v>
      </c>
      <c r="P1686" s="9">
        <v>17.822306426995311</v>
      </c>
      <c r="Q1686" s="9">
        <v>17.822306426995311</v>
      </c>
      <c r="R1686" s="9">
        <v>18.237663306594719</v>
      </c>
      <c r="S1686" s="9">
        <v>18.48712920931133</v>
      </c>
      <c r="T1686" s="9">
        <v>19.201553596969877</v>
      </c>
      <c r="U1686" s="9">
        <v>20.562345482855957</v>
      </c>
      <c r="V1686" s="9">
        <v>20.562345482855957</v>
      </c>
      <c r="W1686" s="9">
        <v>20.562345482855957</v>
      </c>
      <c r="X1686" s="9">
        <v>22.391977691000818</v>
      </c>
      <c r="Y1686" s="9">
        <v>22.391977691000818</v>
      </c>
      <c r="Z1686" s="9">
        <v>24.28858708803979</v>
      </c>
      <c r="AA1686" s="9">
        <v>24.28858708803979</v>
      </c>
      <c r="AB1686" s="9">
        <v>25.117335532005217</v>
      </c>
      <c r="AC1686" s="9">
        <v>25.117335532005217</v>
      </c>
      <c r="AD1686" s="9">
        <v>29.039116491286865</v>
      </c>
      <c r="AE1686" s="9">
        <v>31.219251037281825</v>
      </c>
      <c r="AF1686" s="9">
        <v>33.487682081707895</v>
      </c>
      <c r="AG1686" s="9">
        <v>33.487682081707895</v>
      </c>
      <c r="AH1686" s="9">
        <v>36.427668170967245</v>
      </c>
      <c r="AI1686" s="9">
        <v>38.74455996597662</v>
      </c>
      <c r="AJ1686" s="9">
        <v>3.0428788910505911</v>
      </c>
    </row>
    <row r="1687" spans="1:36" x14ac:dyDescent="0.25">
      <c r="A1687" t="s">
        <v>5411</v>
      </c>
      <c r="B1687" t="s">
        <v>16</v>
      </c>
      <c r="C1687" t="s">
        <v>17</v>
      </c>
      <c r="D1687">
        <v>39185000</v>
      </c>
      <c r="E1687">
        <v>39187999</v>
      </c>
      <c r="F1687" t="s">
        <v>1505</v>
      </c>
      <c r="G1687" t="str">
        <f t="shared" si="52"/>
        <v>MGI II</v>
      </c>
      <c r="H1687" t="s">
        <v>851</v>
      </c>
      <c r="I1687" t="s">
        <v>20</v>
      </c>
      <c r="J1687" t="s">
        <v>64</v>
      </c>
      <c r="K1687" s="6">
        <v>0.03</v>
      </c>
      <c r="L1687" s="7">
        <f t="shared" si="53"/>
        <v>2E-3</v>
      </c>
      <c r="M1687" s="7">
        <v>3.0000000000000001E-3</v>
      </c>
      <c r="N1687">
        <v>8</v>
      </c>
      <c r="O1687" s="8">
        <v>17.822306426995311</v>
      </c>
      <c r="P1687" s="9">
        <v>17.822306426995311</v>
      </c>
      <c r="Q1687" s="9">
        <v>17.822306426995311</v>
      </c>
      <c r="R1687" s="9">
        <v>18.237663306594719</v>
      </c>
      <c r="S1687" s="9">
        <v>18.48712920931133</v>
      </c>
      <c r="T1687" s="9">
        <v>19.201553596969877</v>
      </c>
      <c r="U1687" s="9">
        <v>20.562345482855957</v>
      </c>
      <c r="V1687" s="9">
        <v>20.562345482855957</v>
      </c>
      <c r="W1687" s="9">
        <v>20.562345482855957</v>
      </c>
      <c r="X1687" s="9">
        <v>22.391977691000818</v>
      </c>
      <c r="Y1687" s="9">
        <v>22.391977691000818</v>
      </c>
      <c r="Z1687" s="9">
        <v>24.28858708803979</v>
      </c>
      <c r="AA1687" s="9">
        <v>24.28858708803979</v>
      </c>
      <c r="AB1687" s="9">
        <v>25.117335532005217</v>
      </c>
      <c r="AC1687" s="9">
        <v>25.117335532005217</v>
      </c>
      <c r="AD1687" s="9">
        <v>29.039116491286865</v>
      </c>
      <c r="AE1687" s="9">
        <v>31.219251037281825</v>
      </c>
      <c r="AF1687" s="9">
        <v>33.487682081707895</v>
      </c>
      <c r="AG1687" s="9">
        <v>33.487682081707895</v>
      </c>
      <c r="AH1687" s="9">
        <v>36.427668170967245</v>
      </c>
      <c r="AI1687" s="9">
        <v>38.74455996597662</v>
      </c>
      <c r="AJ1687" s="9">
        <v>3.0428788910505911</v>
      </c>
    </row>
    <row r="1688" spans="1:36" x14ac:dyDescent="0.25">
      <c r="A1688" t="s">
        <v>5411</v>
      </c>
      <c r="B1688" t="s">
        <v>16</v>
      </c>
      <c r="C1688" t="s">
        <v>17</v>
      </c>
      <c r="D1688">
        <v>39188000</v>
      </c>
      <c r="E1688">
        <v>39189999</v>
      </c>
      <c r="F1688" t="s">
        <v>1506</v>
      </c>
      <c r="G1688" t="str">
        <f t="shared" si="52"/>
        <v>MGI II</v>
      </c>
      <c r="H1688" t="s">
        <v>851</v>
      </c>
      <c r="I1688" t="s">
        <v>20</v>
      </c>
      <c r="J1688" t="s">
        <v>64</v>
      </c>
      <c r="K1688" s="6">
        <v>0.03</v>
      </c>
      <c r="L1688" s="7">
        <f t="shared" si="53"/>
        <v>2E-3</v>
      </c>
      <c r="M1688" s="7">
        <v>3.0000000000000001E-3</v>
      </c>
      <c r="N1688">
        <v>8</v>
      </c>
      <c r="O1688" s="8">
        <v>17.822306426995311</v>
      </c>
      <c r="P1688" s="9">
        <v>17.822306426995311</v>
      </c>
      <c r="Q1688" s="9">
        <v>17.822306426995311</v>
      </c>
      <c r="R1688" s="9">
        <v>18.237663306594719</v>
      </c>
      <c r="S1688" s="9">
        <v>18.48712920931133</v>
      </c>
      <c r="T1688" s="9">
        <v>19.201553596969877</v>
      </c>
      <c r="U1688" s="9">
        <v>20.562345482855957</v>
      </c>
      <c r="V1688" s="9">
        <v>20.562345482855957</v>
      </c>
      <c r="W1688" s="9">
        <v>20.562345482855957</v>
      </c>
      <c r="X1688" s="9">
        <v>22.391977691000818</v>
      </c>
      <c r="Y1688" s="9">
        <v>22.391977691000818</v>
      </c>
      <c r="Z1688" s="9">
        <v>24.28858708803979</v>
      </c>
      <c r="AA1688" s="9">
        <v>24.28858708803979</v>
      </c>
      <c r="AB1688" s="9">
        <v>25.117335532005217</v>
      </c>
      <c r="AC1688" s="9">
        <v>25.117335532005217</v>
      </c>
      <c r="AD1688" s="9">
        <v>29.039116491286865</v>
      </c>
      <c r="AE1688" s="9">
        <v>31.219251037281825</v>
      </c>
      <c r="AF1688" s="9">
        <v>33.487682081707895</v>
      </c>
      <c r="AG1688" s="9">
        <v>33.487682081707895</v>
      </c>
      <c r="AH1688" s="9">
        <v>36.427668170967245</v>
      </c>
      <c r="AI1688" s="9">
        <v>38.74455996597662</v>
      </c>
      <c r="AJ1688" s="9">
        <v>3.0428788910505911</v>
      </c>
    </row>
    <row r="1689" spans="1:36" x14ac:dyDescent="0.25">
      <c r="A1689" t="s">
        <v>5411</v>
      </c>
      <c r="B1689" t="s">
        <v>16</v>
      </c>
      <c r="C1689" t="s">
        <v>17</v>
      </c>
      <c r="D1689">
        <v>39190000</v>
      </c>
      <c r="E1689">
        <v>39199999</v>
      </c>
      <c r="F1689" t="s">
        <v>1507</v>
      </c>
      <c r="G1689" t="str">
        <f t="shared" si="52"/>
        <v>MGI II</v>
      </c>
      <c r="H1689" t="s">
        <v>851</v>
      </c>
      <c r="I1689" t="s">
        <v>20</v>
      </c>
      <c r="J1689" t="s">
        <v>64</v>
      </c>
      <c r="K1689" s="6">
        <v>0.03</v>
      </c>
      <c r="L1689" s="7">
        <f t="shared" si="53"/>
        <v>2E-3</v>
      </c>
      <c r="M1689" s="7">
        <v>3.0000000000000001E-3</v>
      </c>
      <c r="N1689">
        <v>8</v>
      </c>
      <c r="O1689" s="8">
        <v>17.822306426995311</v>
      </c>
      <c r="P1689" s="9">
        <v>17.822306426995311</v>
      </c>
      <c r="Q1689" s="9">
        <v>17.822306426995311</v>
      </c>
      <c r="R1689" s="9">
        <v>18.237663306594719</v>
      </c>
      <c r="S1689" s="9">
        <v>18.48712920931133</v>
      </c>
      <c r="T1689" s="9">
        <v>19.201553596969877</v>
      </c>
      <c r="U1689" s="9">
        <v>20.562345482855957</v>
      </c>
      <c r="V1689" s="9">
        <v>20.562345482855957</v>
      </c>
      <c r="W1689" s="9">
        <v>20.562345482855957</v>
      </c>
      <c r="X1689" s="9">
        <v>22.391977691000818</v>
      </c>
      <c r="Y1689" s="9">
        <v>22.391977691000818</v>
      </c>
      <c r="Z1689" s="9">
        <v>24.28858708803979</v>
      </c>
      <c r="AA1689" s="9">
        <v>24.28858708803979</v>
      </c>
      <c r="AB1689" s="9">
        <v>25.117335532005217</v>
      </c>
      <c r="AC1689" s="9">
        <v>25.117335532005217</v>
      </c>
      <c r="AD1689" s="9">
        <v>29.039116491286865</v>
      </c>
      <c r="AE1689" s="9">
        <v>31.219251037281825</v>
      </c>
      <c r="AF1689" s="9">
        <v>33.487682081707895</v>
      </c>
      <c r="AG1689" s="9">
        <v>33.487682081707895</v>
      </c>
      <c r="AH1689" s="9">
        <v>36.427668170967245</v>
      </c>
      <c r="AI1689" s="9">
        <v>38.74455996597662</v>
      </c>
      <c r="AJ1689" s="9">
        <v>3.0428788910505911</v>
      </c>
    </row>
    <row r="1690" spans="1:36" x14ac:dyDescent="0.25">
      <c r="A1690" t="s">
        <v>5411</v>
      </c>
      <c r="B1690" t="s">
        <v>16</v>
      </c>
      <c r="C1690" t="s">
        <v>17</v>
      </c>
      <c r="D1690">
        <v>39200000</v>
      </c>
      <c r="E1690">
        <v>39204999</v>
      </c>
      <c r="F1690" t="s">
        <v>1508</v>
      </c>
      <c r="G1690" t="str">
        <f t="shared" si="52"/>
        <v>MGI II</v>
      </c>
      <c r="H1690" t="s">
        <v>851</v>
      </c>
      <c r="I1690" t="s">
        <v>20</v>
      </c>
      <c r="J1690" t="s">
        <v>64</v>
      </c>
      <c r="K1690" s="6">
        <v>0.03</v>
      </c>
      <c r="L1690" s="7">
        <f t="shared" si="53"/>
        <v>2E-3</v>
      </c>
      <c r="M1690" s="7">
        <v>3.0000000000000001E-3</v>
      </c>
      <c r="N1690">
        <v>8</v>
      </c>
      <c r="O1690" s="8">
        <v>17.822306426995311</v>
      </c>
      <c r="P1690" s="9">
        <v>17.822306426995311</v>
      </c>
      <c r="Q1690" s="9">
        <v>17.822306426995311</v>
      </c>
      <c r="R1690" s="9">
        <v>18.237663306594719</v>
      </c>
      <c r="S1690" s="9">
        <v>18.48712920931133</v>
      </c>
      <c r="T1690" s="9">
        <v>19.201553596969877</v>
      </c>
      <c r="U1690" s="9">
        <v>20.562345482855957</v>
      </c>
      <c r="V1690" s="9">
        <v>20.562345482855957</v>
      </c>
      <c r="W1690" s="9">
        <v>20.562345482855957</v>
      </c>
      <c r="X1690" s="9">
        <v>22.391977691000818</v>
      </c>
      <c r="Y1690" s="9">
        <v>22.391977691000818</v>
      </c>
      <c r="Z1690" s="9">
        <v>24.28858708803979</v>
      </c>
      <c r="AA1690" s="9">
        <v>24.28858708803979</v>
      </c>
      <c r="AB1690" s="9">
        <v>25.117335532005217</v>
      </c>
      <c r="AC1690" s="9">
        <v>25.117335532005217</v>
      </c>
      <c r="AD1690" s="9">
        <v>29.039116491286865</v>
      </c>
      <c r="AE1690" s="9">
        <v>31.219251037281825</v>
      </c>
      <c r="AF1690" s="9">
        <v>33.487682081707895</v>
      </c>
      <c r="AG1690" s="9">
        <v>33.487682081707895</v>
      </c>
      <c r="AH1690" s="9">
        <v>36.427668170967245</v>
      </c>
      <c r="AI1690" s="9">
        <v>38.74455996597662</v>
      </c>
      <c r="AJ1690" s="9">
        <v>3.0428788910505911</v>
      </c>
    </row>
    <row r="1691" spans="1:36" x14ac:dyDescent="0.25">
      <c r="A1691" t="s">
        <v>5411</v>
      </c>
      <c r="B1691" t="s">
        <v>16</v>
      </c>
      <c r="C1691" t="s">
        <v>17</v>
      </c>
      <c r="D1691">
        <v>39205000</v>
      </c>
      <c r="E1691">
        <v>39209999</v>
      </c>
      <c r="F1691" t="s">
        <v>1509</v>
      </c>
      <c r="G1691" t="str">
        <f t="shared" si="52"/>
        <v>MGI II</v>
      </c>
      <c r="H1691" t="s">
        <v>851</v>
      </c>
      <c r="I1691" t="s">
        <v>20</v>
      </c>
      <c r="J1691" t="s">
        <v>64</v>
      </c>
      <c r="K1691" s="6">
        <v>0.03</v>
      </c>
      <c r="L1691" s="7">
        <f t="shared" si="53"/>
        <v>2E-3</v>
      </c>
      <c r="M1691" s="7">
        <v>3.0000000000000001E-3</v>
      </c>
      <c r="N1691">
        <v>8</v>
      </c>
      <c r="O1691" s="8">
        <v>17.822306426995311</v>
      </c>
      <c r="P1691" s="9">
        <v>17.822306426995311</v>
      </c>
      <c r="Q1691" s="9">
        <v>17.822306426995311</v>
      </c>
      <c r="R1691" s="9">
        <v>18.237663306594719</v>
      </c>
      <c r="S1691" s="9">
        <v>18.48712920931133</v>
      </c>
      <c r="T1691" s="9">
        <v>19.201553596969877</v>
      </c>
      <c r="U1691" s="9">
        <v>20.562345482855957</v>
      </c>
      <c r="V1691" s="9">
        <v>20.562345482855957</v>
      </c>
      <c r="W1691" s="9">
        <v>20.562345482855957</v>
      </c>
      <c r="X1691" s="9">
        <v>22.391977691000818</v>
      </c>
      <c r="Y1691" s="9">
        <v>22.391977691000818</v>
      </c>
      <c r="Z1691" s="9">
        <v>24.28858708803979</v>
      </c>
      <c r="AA1691" s="9">
        <v>24.28858708803979</v>
      </c>
      <c r="AB1691" s="9">
        <v>25.117335532005217</v>
      </c>
      <c r="AC1691" s="9">
        <v>25.117335532005217</v>
      </c>
      <c r="AD1691" s="9">
        <v>29.039116491286865</v>
      </c>
      <c r="AE1691" s="9">
        <v>31.219251037281825</v>
      </c>
      <c r="AF1691" s="9">
        <v>33.487682081707895</v>
      </c>
      <c r="AG1691" s="9">
        <v>33.487682081707895</v>
      </c>
      <c r="AH1691" s="9">
        <v>36.427668170967245</v>
      </c>
      <c r="AI1691" s="9">
        <v>38.74455996597662</v>
      </c>
      <c r="AJ1691" s="9">
        <v>3.0428788910505911</v>
      </c>
    </row>
    <row r="1692" spans="1:36" x14ac:dyDescent="0.25">
      <c r="A1692" t="s">
        <v>5411</v>
      </c>
      <c r="B1692" t="s">
        <v>16</v>
      </c>
      <c r="C1692" t="s">
        <v>17</v>
      </c>
      <c r="D1692">
        <v>39210000</v>
      </c>
      <c r="E1692">
        <v>39214999</v>
      </c>
      <c r="F1692" t="s">
        <v>1510</v>
      </c>
      <c r="G1692" t="str">
        <f t="shared" si="52"/>
        <v>MGI II</v>
      </c>
      <c r="H1692" t="s">
        <v>851</v>
      </c>
      <c r="I1692" t="s">
        <v>20</v>
      </c>
      <c r="J1692" t="s">
        <v>64</v>
      </c>
      <c r="K1692" s="6">
        <v>0.03</v>
      </c>
      <c r="L1692" s="7">
        <f t="shared" si="53"/>
        <v>2E-3</v>
      </c>
      <c r="M1692" s="7">
        <v>3.0000000000000001E-3</v>
      </c>
      <c r="N1692">
        <v>8</v>
      </c>
      <c r="O1692" s="8">
        <v>17.822306426995311</v>
      </c>
      <c r="P1692" s="9">
        <v>17.822306426995311</v>
      </c>
      <c r="Q1692" s="9">
        <v>17.822306426995311</v>
      </c>
      <c r="R1692" s="9">
        <v>18.237663306594719</v>
      </c>
      <c r="S1692" s="9">
        <v>18.48712920931133</v>
      </c>
      <c r="T1692" s="9">
        <v>19.201553596969877</v>
      </c>
      <c r="U1692" s="9">
        <v>20.562345482855957</v>
      </c>
      <c r="V1692" s="9">
        <v>20.562345482855957</v>
      </c>
      <c r="W1692" s="9">
        <v>20.562345482855957</v>
      </c>
      <c r="X1692" s="9">
        <v>22.391977691000818</v>
      </c>
      <c r="Y1692" s="9">
        <v>22.391977691000818</v>
      </c>
      <c r="Z1692" s="9">
        <v>24.28858708803979</v>
      </c>
      <c r="AA1692" s="9">
        <v>24.28858708803979</v>
      </c>
      <c r="AB1692" s="9">
        <v>25.117335532005217</v>
      </c>
      <c r="AC1692" s="9">
        <v>25.117335532005217</v>
      </c>
      <c r="AD1692" s="9">
        <v>29.039116491286865</v>
      </c>
      <c r="AE1692" s="9">
        <v>31.219251037281825</v>
      </c>
      <c r="AF1692" s="9">
        <v>33.487682081707895</v>
      </c>
      <c r="AG1692" s="9">
        <v>33.487682081707895</v>
      </c>
      <c r="AH1692" s="9">
        <v>36.427668170967245</v>
      </c>
      <c r="AI1692" s="9">
        <v>38.74455996597662</v>
      </c>
      <c r="AJ1692" s="9">
        <v>3.0428788910505911</v>
      </c>
    </row>
    <row r="1693" spans="1:36" x14ac:dyDescent="0.25">
      <c r="A1693" t="s">
        <v>5411</v>
      </c>
      <c r="B1693" t="s">
        <v>16</v>
      </c>
      <c r="C1693" t="s">
        <v>17</v>
      </c>
      <c r="D1693">
        <v>39215000</v>
      </c>
      <c r="E1693">
        <v>39218999</v>
      </c>
      <c r="F1693" t="s">
        <v>1511</v>
      </c>
      <c r="G1693" t="str">
        <f t="shared" si="52"/>
        <v>MGI II</v>
      </c>
      <c r="H1693" t="s">
        <v>851</v>
      </c>
      <c r="I1693" t="s">
        <v>20</v>
      </c>
      <c r="J1693" t="s">
        <v>64</v>
      </c>
      <c r="K1693" s="6">
        <v>0.03</v>
      </c>
      <c r="L1693" s="7">
        <f t="shared" si="53"/>
        <v>2E-3</v>
      </c>
      <c r="M1693" s="7">
        <v>3.0000000000000001E-3</v>
      </c>
      <c r="N1693">
        <v>8</v>
      </c>
      <c r="O1693" s="8">
        <v>17.822306426995311</v>
      </c>
      <c r="P1693" s="9">
        <v>17.822306426995311</v>
      </c>
      <c r="Q1693" s="9">
        <v>17.822306426995311</v>
      </c>
      <c r="R1693" s="9">
        <v>18.237663306594719</v>
      </c>
      <c r="S1693" s="9">
        <v>18.48712920931133</v>
      </c>
      <c r="T1693" s="9">
        <v>19.201553596969877</v>
      </c>
      <c r="U1693" s="9">
        <v>20.562345482855957</v>
      </c>
      <c r="V1693" s="9">
        <v>20.562345482855957</v>
      </c>
      <c r="W1693" s="9">
        <v>20.562345482855957</v>
      </c>
      <c r="X1693" s="9">
        <v>22.391977691000818</v>
      </c>
      <c r="Y1693" s="9">
        <v>22.391977691000818</v>
      </c>
      <c r="Z1693" s="9">
        <v>24.28858708803979</v>
      </c>
      <c r="AA1693" s="9">
        <v>24.28858708803979</v>
      </c>
      <c r="AB1693" s="9">
        <v>25.117335532005217</v>
      </c>
      <c r="AC1693" s="9">
        <v>25.117335532005217</v>
      </c>
      <c r="AD1693" s="9">
        <v>29.039116491286865</v>
      </c>
      <c r="AE1693" s="9">
        <v>31.219251037281825</v>
      </c>
      <c r="AF1693" s="9">
        <v>33.487682081707895</v>
      </c>
      <c r="AG1693" s="9">
        <v>33.487682081707895</v>
      </c>
      <c r="AH1693" s="9">
        <v>36.427668170967245</v>
      </c>
      <c r="AI1693" s="9">
        <v>38.74455996597662</v>
      </c>
      <c r="AJ1693" s="9">
        <v>3.0428788910505911</v>
      </c>
    </row>
    <row r="1694" spans="1:36" x14ac:dyDescent="0.25">
      <c r="A1694" t="s">
        <v>5411</v>
      </c>
      <c r="B1694" t="s">
        <v>16</v>
      </c>
      <c r="C1694" t="s">
        <v>17</v>
      </c>
      <c r="D1694">
        <v>39219000</v>
      </c>
      <c r="E1694">
        <v>39229999</v>
      </c>
      <c r="F1694" t="s">
        <v>1512</v>
      </c>
      <c r="G1694" t="str">
        <f t="shared" si="52"/>
        <v>MGI II</v>
      </c>
      <c r="H1694" t="s">
        <v>851</v>
      </c>
      <c r="I1694" t="s">
        <v>20</v>
      </c>
      <c r="J1694" t="s">
        <v>64</v>
      </c>
      <c r="K1694" s="6">
        <v>0.03</v>
      </c>
      <c r="L1694" s="7">
        <f t="shared" si="53"/>
        <v>2E-3</v>
      </c>
      <c r="M1694" s="7">
        <v>3.0000000000000001E-3</v>
      </c>
      <c r="N1694">
        <v>8</v>
      </c>
      <c r="O1694" s="8">
        <v>17.822306426995311</v>
      </c>
      <c r="P1694" s="9">
        <v>17.822306426995311</v>
      </c>
      <c r="Q1694" s="9">
        <v>17.822306426995311</v>
      </c>
      <c r="R1694" s="9">
        <v>18.237663306594719</v>
      </c>
      <c r="S1694" s="9">
        <v>18.48712920931133</v>
      </c>
      <c r="T1694" s="9">
        <v>19.201553596969877</v>
      </c>
      <c r="U1694" s="9">
        <v>20.562345482855957</v>
      </c>
      <c r="V1694" s="9">
        <v>20.562345482855957</v>
      </c>
      <c r="W1694" s="9">
        <v>20.562345482855957</v>
      </c>
      <c r="X1694" s="9">
        <v>22.391977691000818</v>
      </c>
      <c r="Y1694" s="9">
        <v>22.391977691000818</v>
      </c>
      <c r="Z1694" s="9">
        <v>24.28858708803979</v>
      </c>
      <c r="AA1694" s="9">
        <v>24.28858708803979</v>
      </c>
      <c r="AB1694" s="9">
        <v>25.117335532005217</v>
      </c>
      <c r="AC1694" s="9">
        <v>25.117335532005217</v>
      </c>
      <c r="AD1694" s="9">
        <v>29.039116491286865</v>
      </c>
      <c r="AE1694" s="9">
        <v>31.219251037281825</v>
      </c>
      <c r="AF1694" s="9">
        <v>33.487682081707895</v>
      </c>
      <c r="AG1694" s="9">
        <v>33.487682081707895</v>
      </c>
      <c r="AH1694" s="9">
        <v>36.427668170967245</v>
      </c>
      <c r="AI1694" s="9">
        <v>38.74455996597662</v>
      </c>
      <c r="AJ1694" s="9">
        <v>3.0428788910505911</v>
      </c>
    </row>
    <row r="1695" spans="1:36" x14ac:dyDescent="0.25">
      <c r="A1695" t="s">
        <v>5411</v>
      </c>
      <c r="B1695" t="s">
        <v>16</v>
      </c>
      <c r="C1695" t="s">
        <v>17</v>
      </c>
      <c r="D1695">
        <v>39230000</v>
      </c>
      <c r="E1695">
        <v>39236999</v>
      </c>
      <c r="F1695" t="s">
        <v>1513</v>
      </c>
      <c r="G1695" t="str">
        <f t="shared" si="52"/>
        <v>MGI II</v>
      </c>
      <c r="H1695" t="s">
        <v>851</v>
      </c>
      <c r="I1695" t="s">
        <v>20</v>
      </c>
      <c r="J1695" t="s">
        <v>64</v>
      </c>
      <c r="K1695" s="6">
        <v>0.03</v>
      </c>
      <c r="L1695" s="7">
        <f t="shared" si="53"/>
        <v>2E-3</v>
      </c>
      <c r="M1695" s="7">
        <v>3.0000000000000001E-3</v>
      </c>
      <c r="N1695">
        <v>8</v>
      </c>
      <c r="O1695" s="8">
        <v>17.822306426995311</v>
      </c>
      <c r="P1695" s="9">
        <v>17.822306426995311</v>
      </c>
      <c r="Q1695" s="9">
        <v>17.822306426995311</v>
      </c>
      <c r="R1695" s="9">
        <v>18.237663306594719</v>
      </c>
      <c r="S1695" s="9">
        <v>18.48712920931133</v>
      </c>
      <c r="T1695" s="9">
        <v>19.201553596969877</v>
      </c>
      <c r="U1695" s="9">
        <v>20.562345482855957</v>
      </c>
      <c r="V1695" s="9">
        <v>20.562345482855957</v>
      </c>
      <c r="W1695" s="9">
        <v>20.562345482855957</v>
      </c>
      <c r="X1695" s="9">
        <v>22.391977691000818</v>
      </c>
      <c r="Y1695" s="9">
        <v>22.391977691000818</v>
      </c>
      <c r="Z1695" s="9">
        <v>24.28858708803979</v>
      </c>
      <c r="AA1695" s="9">
        <v>24.28858708803979</v>
      </c>
      <c r="AB1695" s="9">
        <v>25.117335532005217</v>
      </c>
      <c r="AC1695" s="9">
        <v>25.117335532005217</v>
      </c>
      <c r="AD1695" s="9">
        <v>29.039116491286865</v>
      </c>
      <c r="AE1695" s="9">
        <v>31.219251037281825</v>
      </c>
      <c r="AF1695" s="9">
        <v>33.487682081707895</v>
      </c>
      <c r="AG1695" s="9">
        <v>33.487682081707895</v>
      </c>
      <c r="AH1695" s="9">
        <v>36.427668170967245</v>
      </c>
      <c r="AI1695" s="9">
        <v>38.74455996597662</v>
      </c>
      <c r="AJ1695" s="9">
        <v>3.0428788910505911</v>
      </c>
    </row>
    <row r="1696" spans="1:36" x14ac:dyDescent="0.25">
      <c r="A1696" t="s">
        <v>5411</v>
      </c>
      <c r="B1696" t="s">
        <v>16</v>
      </c>
      <c r="C1696" t="s">
        <v>17</v>
      </c>
      <c r="D1696">
        <v>39237000</v>
      </c>
      <c r="E1696">
        <v>39239999</v>
      </c>
      <c r="F1696" t="s">
        <v>1514</v>
      </c>
      <c r="G1696" t="str">
        <f t="shared" si="52"/>
        <v>MGI II</v>
      </c>
      <c r="H1696" t="s">
        <v>851</v>
      </c>
      <c r="I1696" t="s">
        <v>20</v>
      </c>
      <c r="J1696" t="s">
        <v>64</v>
      </c>
      <c r="K1696" s="6">
        <v>0.03</v>
      </c>
      <c r="L1696" s="7">
        <f t="shared" si="53"/>
        <v>2E-3</v>
      </c>
      <c r="M1696" s="7">
        <v>3.0000000000000001E-3</v>
      </c>
      <c r="N1696">
        <v>8</v>
      </c>
      <c r="O1696" s="8">
        <v>17.822306426995311</v>
      </c>
      <c r="P1696" s="9">
        <v>17.822306426995311</v>
      </c>
      <c r="Q1696" s="9">
        <v>17.822306426995311</v>
      </c>
      <c r="R1696" s="9">
        <v>18.237663306594719</v>
      </c>
      <c r="S1696" s="9">
        <v>18.48712920931133</v>
      </c>
      <c r="T1696" s="9">
        <v>19.201553596969877</v>
      </c>
      <c r="U1696" s="9">
        <v>20.562345482855957</v>
      </c>
      <c r="V1696" s="9">
        <v>20.562345482855957</v>
      </c>
      <c r="W1696" s="9">
        <v>20.562345482855957</v>
      </c>
      <c r="X1696" s="9">
        <v>22.391977691000818</v>
      </c>
      <c r="Y1696" s="9">
        <v>22.391977691000818</v>
      </c>
      <c r="Z1696" s="9">
        <v>24.28858708803979</v>
      </c>
      <c r="AA1696" s="9">
        <v>24.28858708803979</v>
      </c>
      <c r="AB1696" s="9">
        <v>25.117335532005217</v>
      </c>
      <c r="AC1696" s="9">
        <v>25.117335532005217</v>
      </c>
      <c r="AD1696" s="9">
        <v>29.039116491286865</v>
      </c>
      <c r="AE1696" s="9">
        <v>31.219251037281825</v>
      </c>
      <c r="AF1696" s="9">
        <v>33.487682081707895</v>
      </c>
      <c r="AG1696" s="9">
        <v>33.487682081707895</v>
      </c>
      <c r="AH1696" s="9">
        <v>36.427668170967245</v>
      </c>
      <c r="AI1696" s="9">
        <v>38.74455996597662</v>
      </c>
      <c r="AJ1696" s="9">
        <v>3.0428788910505911</v>
      </c>
    </row>
    <row r="1697" spans="1:36" x14ac:dyDescent="0.25">
      <c r="A1697" t="s">
        <v>5411</v>
      </c>
      <c r="B1697" t="s">
        <v>16</v>
      </c>
      <c r="C1697" t="s">
        <v>17</v>
      </c>
      <c r="D1697">
        <v>39240000</v>
      </c>
      <c r="E1697">
        <v>39242999</v>
      </c>
      <c r="F1697" t="s">
        <v>1515</v>
      </c>
      <c r="G1697" t="str">
        <f t="shared" si="52"/>
        <v>MGI II</v>
      </c>
      <c r="H1697" t="s">
        <v>851</v>
      </c>
      <c r="I1697" t="s">
        <v>20</v>
      </c>
      <c r="J1697" t="s">
        <v>64</v>
      </c>
      <c r="K1697" s="6">
        <v>0.03</v>
      </c>
      <c r="L1697" s="7">
        <f t="shared" si="53"/>
        <v>2E-3</v>
      </c>
      <c r="M1697" s="7">
        <v>3.0000000000000001E-3</v>
      </c>
      <c r="N1697">
        <v>8</v>
      </c>
      <c r="O1697" s="8">
        <v>17.822306426995311</v>
      </c>
      <c r="P1697" s="9">
        <v>17.822306426995311</v>
      </c>
      <c r="Q1697" s="9">
        <v>17.822306426995311</v>
      </c>
      <c r="R1697" s="9">
        <v>18.237663306594719</v>
      </c>
      <c r="S1697" s="9">
        <v>18.48712920931133</v>
      </c>
      <c r="T1697" s="9">
        <v>19.201553596969877</v>
      </c>
      <c r="U1697" s="9">
        <v>20.562345482855957</v>
      </c>
      <c r="V1697" s="9">
        <v>20.562345482855957</v>
      </c>
      <c r="W1697" s="9">
        <v>20.562345482855957</v>
      </c>
      <c r="X1697" s="9">
        <v>22.391977691000818</v>
      </c>
      <c r="Y1697" s="9">
        <v>22.391977691000818</v>
      </c>
      <c r="Z1697" s="9">
        <v>24.28858708803979</v>
      </c>
      <c r="AA1697" s="9">
        <v>24.28858708803979</v>
      </c>
      <c r="AB1697" s="9">
        <v>25.117335532005217</v>
      </c>
      <c r="AC1697" s="9">
        <v>25.117335532005217</v>
      </c>
      <c r="AD1697" s="9">
        <v>29.039116491286865</v>
      </c>
      <c r="AE1697" s="9">
        <v>31.219251037281825</v>
      </c>
      <c r="AF1697" s="9">
        <v>33.487682081707895</v>
      </c>
      <c r="AG1697" s="9">
        <v>33.487682081707895</v>
      </c>
      <c r="AH1697" s="9">
        <v>36.427668170967245</v>
      </c>
      <c r="AI1697" s="9">
        <v>38.74455996597662</v>
      </c>
      <c r="AJ1697" s="9">
        <v>3.0428788910505911</v>
      </c>
    </row>
    <row r="1698" spans="1:36" x14ac:dyDescent="0.25">
      <c r="A1698" t="s">
        <v>5411</v>
      </c>
      <c r="B1698" t="s">
        <v>16</v>
      </c>
      <c r="C1698" t="s">
        <v>17</v>
      </c>
      <c r="D1698">
        <v>39243000</v>
      </c>
      <c r="E1698">
        <v>39244999</v>
      </c>
      <c r="F1698" t="s">
        <v>1516</v>
      </c>
      <c r="G1698" t="str">
        <f t="shared" si="52"/>
        <v>MGI II</v>
      </c>
      <c r="H1698" t="s">
        <v>851</v>
      </c>
      <c r="I1698" t="s">
        <v>20</v>
      </c>
      <c r="J1698" t="s">
        <v>64</v>
      </c>
      <c r="K1698" s="6">
        <v>0.03</v>
      </c>
      <c r="L1698" s="7">
        <f t="shared" si="53"/>
        <v>2E-3</v>
      </c>
      <c r="M1698" s="7">
        <v>3.0000000000000001E-3</v>
      </c>
      <c r="N1698">
        <v>8</v>
      </c>
      <c r="O1698" s="8">
        <v>17.822306426995311</v>
      </c>
      <c r="P1698" s="9">
        <v>17.822306426995311</v>
      </c>
      <c r="Q1698" s="9">
        <v>17.822306426995311</v>
      </c>
      <c r="R1698" s="9">
        <v>18.237663306594719</v>
      </c>
      <c r="S1698" s="9">
        <v>18.48712920931133</v>
      </c>
      <c r="T1698" s="9">
        <v>19.201553596969877</v>
      </c>
      <c r="U1698" s="9">
        <v>20.562345482855957</v>
      </c>
      <c r="V1698" s="9">
        <v>20.562345482855957</v>
      </c>
      <c r="W1698" s="9">
        <v>20.562345482855957</v>
      </c>
      <c r="X1698" s="9">
        <v>22.391977691000818</v>
      </c>
      <c r="Y1698" s="9">
        <v>22.391977691000818</v>
      </c>
      <c r="Z1698" s="9">
        <v>24.28858708803979</v>
      </c>
      <c r="AA1698" s="9">
        <v>24.28858708803979</v>
      </c>
      <c r="AB1698" s="9">
        <v>25.117335532005217</v>
      </c>
      <c r="AC1698" s="9">
        <v>25.117335532005217</v>
      </c>
      <c r="AD1698" s="9">
        <v>29.039116491286865</v>
      </c>
      <c r="AE1698" s="9">
        <v>31.219251037281825</v>
      </c>
      <c r="AF1698" s="9">
        <v>33.487682081707895</v>
      </c>
      <c r="AG1698" s="9">
        <v>33.487682081707895</v>
      </c>
      <c r="AH1698" s="9">
        <v>36.427668170967245</v>
      </c>
      <c r="AI1698" s="9">
        <v>38.74455996597662</v>
      </c>
      <c r="AJ1698" s="9">
        <v>3.0428788910505911</v>
      </c>
    </row>
    <row r="1699" spans="1:36" x14ac:dyDescent="0.25">
      <c r="A1699" t="s">
        <v>5411</v>
      </c>
      <c r="B1699" t="s">
        <v>16</v>
      </c>
      <c r="C1699" t="s">
        <v>17</v>
      </c>
      <c r="D1699">
        <v>39245000</v>
      </c>
      <c r="E1699">
        <v>39247999</v>
      </c>
      <c r="F1699" t="s">
        <v>1517</v>
      </c>
      <c r="G1699" t="str">
        <f t="shared" si="52"/>
        <v>MGI II</v>
      </c>
      <c r="H1699" t="s">
        <v>851</v>
      </c>
      <c r="I1699" t="s">
        <v>20</v>
      </c>
      <c r="J1699" t="s">
        <v>64</v>
      </c>
      <c r="K1699" s="6">
        <v>0.03</v>
      </c>
      <c r="L1699" s="7">
        <f t="shared" si="53"/>
        <v>2E-3</v>
      </c>
      <c r="M1699" s="7">
        <v>3.0000000000000001E-3</v>
      </c>
      <c r="N1699">
        <v>8</v>
      </c>
      <c r="O1699" s="8">
        <v>17.822306426995311</v>
      </c>
      <c r="P1699" s="9">
        <v>17.822306426995311</v>
      </c>
      <c r="Q1699" s="9">
        <v>17.822306426995311</v>
      </c>
      <c r="R1699" s="9">
        <v>18.237663306594719</v>
      </c>
      <c r="S1699" s="9">
        <v>18.48712920931133</v>
      </c>
      <c r="T1699" s="9">
        <v>19.201553596969877</v>
      </c>
      <c r="U1699" s="9">
        <v>20.562345482855957</v>
      </c>
      <c r="V1699" s="9">
        <v>20.562345482855957</v>
      </c>
      <c r="W1699" s="9">
        <v>20.562345482855957</v>
      </c>
      <c r="X1699" s="9">
        <v>22.391977691000818</v>
      </c>
      <c r="Y1699" s="9">
        <v>22.391977691000818</v>
      </c>
      <c r="Z1699" s="9">
        <v>24.28858708803979</v>
      </c>
      <c r="AA1699" s="9">
        <v>24.28858708803979</v>
      </c>
      <c r="AB1699" s="9">
        <v>25.117335532005217</v>
      </c>
      <c r="AC1699" s="9">
        <v>25.117335532005217</v>
      </c>
      <c r="AD1699" s="9">
        <v>29.039116491286865</v>
      </c>
      <c r="AE1699" s="9">
        <v>31.219251037281825</v>
      </c>
      <c r="AF1699" s="9">
        <v>33.487682081707895</v>
      </c>
      <c r="AG1699" s="9">
        <v>33.487682081707895</v>
      </c>
      <c r="AH1699" s="9">
        <v>36.427668170967245</v>
      </c>
      <c r="AI1699" s="9">
        <v>38.74455996597662</v>
      </c>
      <c r="AJ1699" s="9">
        <v>3.0428788910505911</v>
      </c>
    </row>
    <row r="1700" spans="1:36" x14ac:dyDescent="0.25">
      <c r="A1700" t="s">
        <v>5411</v>
      </c>
      <c r="B1700" t="s">
        <v>16</v>
      </c>
      <c r="C1700" t="s">
        <v>17</v>
      </c>
      <c r="D1700">
        <v>39248000</v>
      </c>
      <c r="E1700">
        <v>39249999</v>
      </c>
      <c r="F1700" t="s">
        <v>1518</v>
      </c>
      <c r="G1700" t="str">
        <f t="shared" si="52"/>
        <v>MGI II</v>
      </c>
      <c r="H1700" t="s">
        <v>851</v>
      </c>
      <c r="I1700" t="s">
        <v>20</v>
      </c>
      <c r="J1700" t="s">
        <v>64</v>
      </c>
      <c r="K1700" s="6">
        <v>0.03</v>
      </c>
      <c r="L1700" s="7">
        <f t="shared" si="53"/>
        <v>2E-3</v>
      </c>
      <c r="M1700" s="7">
        <v>3.0000000000000001E-3</v>
      </c>
      <c r="N1700">
        <v>8</v>
      </c>
      <c r="O1700" s="8">
        <v>17.822306426995311</v>
      </c>
      <c r="P1700" s="9">
        <v>17.822306426995311</v>
      </c>
      <c r="Q1700" s="9">
        <v>17.822306426995311</v>
      </c>
      <c r="R1700" s="9">
        <v>18.237663306594719</v>
      </c>
      <c r="S1700" s="9">
        <v>18.48712920931133</v>
      </c>
      <c r="T1700" s="9">
        <v>19.201553596969877</v>
      </c>
      <c r="U1700" s="9">
        <v>20.562345482855957</v>
      </c>
      <c r="V1700" s="9">
        <v>20.562345482855957</v>
      </c>
      <c r="W1700" s="9">
        <v>20.562345482855957</v>
      </c>
      <c r="X1700" s="9">
        <v>22.391977691000818</v>
      </c>
      <c r="Y1700" s="9">
        <v>22.391977691000818</v>
      </c>
      <c r="Z1700" s="9">
        <v>24.28858708803979</v>
      </c>
      <c r="AA1700" s="9">
        <v>24.28858708803979</v>
      </c>
      <c r="AB1700" s="9">
        <v>25.117335532005217</v>
      </c>
      <c r="AC1700" s="9">
        <v>25.117335532005217</v>
      </c>
      <c r="AD1700" s="9">
        <v>29.039116491286865</v>
      </c>
      <c r="AE1700" s="9">
        <v>31.219251037281825</v>
      </c>
      <c r="AF1700" s="9">
        <v>33.487682081707895</v>
      </c>
      <c r="AG1700" s="9">
        <v>33.487682081707895</v>
      </c>
      <c r="AH1700" s="9">
        <v>36.427668170967245</v>
      </c>
      <c r="AI1700" s="9">
        <v>38.74455996597662</v>
      </c>
      <c r="AJ1700" s="9">
        <v>3.0428788910505911</v>
      </c>
    </row>
    <row r="1701" spans="1:36" x14ac:dyDescent="0.25">
      <c r="A1701" t="s">
        <v>5411</v>
      </c>
      <c r="B1701" t="s">
        <v>16</v>
      </c>
      <c r="C1701" t="s">
        <v>17</v>
      </c>
      <c r="D1701">
        <v>39250000</v>
      </c>
      <c r="E1701">
        <v>39259999</v>
      </c>
      <c r="F1701" t="s">
        <v>1519</v>
      </c>
      <c r="G1701" t="str">
        <f t="shared" si="52"/>
        <v>MGI II</v>
      </c>
      <c r="H1701" t="s">
        <v>851</v>
      </c>
      <c r="I1701" t="s">
        <v>20</v>
      </c>
      <c r="J1701" t="s">
        <v>64</v>
      </c>
      <c r="K1701" s="6">
        <v>0.03</v>
      </c>
      <c r="L1701" s="7">
        <f t="shared" si="53"/>
        <v>2E-3</v>
      </c>
      <c r="M1701" s="7">
        <v>3.0000000000000001E-3</v>
      </c>
      <c r="N1701">
        <v>8</v>
      </c>
      <c r="O1701" s="8">
        <v>17.822306426995311</v>
      </c>
      <c r="P1701" s="9">
        <v>17.822306426995311</v>
      </c>
      <c r="Q1701" s="9">
        <v>17.822306426995311</v>
      </c>
      <c r="R1701" s="9">
        <v>18.237663306594719</v>
      </c>
      <c r="S1701" s="9">
        <v>18.48712920931133</v>
      </c>
      <c r="T1701" s="9">
        <v>19.201553596969877</v>
      </c>
      <c r="U1701" s="9">
        <v>20.562345482855957</v>
      </c>
      <c r="V1701" s="9">
        <v>20.562345482855957</v>
      </c>
      <c r="W1701" s="9">
        <v>20.562345482855957</v>
      </c>
      <c r="X1701" s="9">
        <v>22.391977691000818</v>
      </c>
      <c r="Y1701" s="9">
        <v>22.391977691000818</v>
      </c>
      <c r="Z1701" s="9">
        <v>24.28858708803979</v>
      </c>
      <c r="AA1701" s="9">
        <v>24.28858708803979</v>
      </c>
      <c r="AB1701" s="9">
        <v>25.117335532005217</v>
      </c>
      <c r="AC1701" s="9">
        <v>25.117335532005217</v>
      </c>
      <c r="AD1701" s="9">
        <v>29.039116491286865</v>
      </c>
      <c r="AE1701" s="9">
        <v>31.219251037281825</v>
      </c>
      <c r="AF1701" s="9">
        <v>33.487682081707895</v>
      </c>
      <c r="AG1701" s="9">
        <v>33.487682081707895</v>
      </c>
      <c r="AH1701" s="9">
        <v>36.427668170967245</v>
      </c>
      <c r="AI1701" s="9">
        <v>38.74455996597662</v>
      </c>
      <c r="AJ1701" s="9">
        <v>3.0428788910505911</v>
      </c>
    </row>
    <row r="1702" spans="1:36" x14ac:dyDescent="0.25">
      <c r="A1702" t="s">
        <v>5411</v>
      </c>
      <c r="B1702" t="s">
        <v>16</v>
      </c>
      <c r="C1702" t="s">
        <v>17</v>
      </c>
      <c r="D1702">
        <v>39260000</v>
      </c>
      <c r="E1702">
        <v>39269999</v>
      </c>
      <c r="F1702" t="s">
        <v>1520</v>
      </c>
      <c r="G1702" t="str">
        <f t="shared" si="52"/>
        <v>MGI II</v>
      </c>
      <c r="H1702" t="s">
        <v>851</v>
      </c>
      <c r="I1702" t="s">
        <v>20</v>
      </c>
      <c r="J1702" t="s">
        <v>64</v>
      </c>
      <c r="K1702" s="6">
        <v>0.03</v>
      </c>
      <c r="L1702" s="7">
        <f t="shared" si="53"/>
        <v>2E-3</v>
      </c>
      <c r="M1702" s="7">
        <v>3.0000000000000001E-3</v>
      </c>
      <c r="N1702">
        <v>10</v>
      </c>
      <c r="O1702" s="8">
        <v>17.822306426995311</v>
      </c>
      <c r="P1702" s="9">
        <v>17.822306426995311</v>
      </c>
      <c r="Q1702" s="9">
        <v>17.822306426995311</v>
      </c>
      <c r="R1702" s="9">
        <v>18.237663306594719</v>
      </c>
      <c r="S1702" s="9">
        <v>18.48712920931133</v>
      </c>
      <c r="T1702" s="9">
        <v>19.201553596969877</v>
      </c>
      <c r="U1702" s="9">
        <v>20.562345482855957</v>
      </c>
      <c r="V1702" s="9">
        <v>20.562345482855957</v>
      </c>
      <c r="W1702" s="9">
        <v>20.562345482855957</v>
      </c>
      <c r="X1702" s="9">
        <v>22.391977691000818</v>
      </c>
      <c r="Y1702" s="9">
        <v>22.391977691000818</v>
      </c>
      <c r="Z1702" s="9">
        <v>24.28858708803979</v>
      </c>
      <c r="AA1702" s="9">
        <v>24.28858708803979</v>
      </c>
      <c r="AB1702" s="9">
        <v>25.117335532005217</v>
      </c>
      <c r="AC1702" s="9">
        <v>25.117335532005217</v>
      </c>
      <c r="AD1702" s="9">
        <v>29.039116491286865</v>
      </c>
      <c r="AE1702" s="9">
        <v>31.219251037281825</v>
      </c>
      <c r="AF1702" s="9">
        <v>33.487682081707895</v>
      </c>
      <c r="AG1702" s="9">
        <v>33.487682081707895</v>
      </c>
      <c r="AH1702" s="9">
        <v>36.427668170967245</v>
      </c>
      <c r="AI1702" s="9">
        <v>38.74455996597662</v>
      </c>
      <c r="AJ1702" s="9">
        <v>3.0428788910505911</v>
      </c>
    </row>
    <row r="1703" spans="1:36" x14ac:dyDescent="0.25">
      <c r="A1703" t="s">
        <v>5411</v>
      </c>
      <c r="B1703" t="s">
        <v>16</v>
      </c>
      <c r="C1703" t="s">
        <v>17</v>
      </c>
      <c r="D1703">
        <v>39270000</v>
      </c>
      <c r="E1703">
        <v>39279999</v>
      </c>
      <c r="F1703" t="s">
        <v>1521</v>
      </c>
      <c r="G1703" t="str">
        <f t="shared" si="52"/>
        <v>MGI II</v>
      </c>
      <c r="H1703" t="s">
        <v>851</v>
      </c>
      <c r="I1703" t="s">
        <v>20</v>
      </c>
      <c r="J1703" t="s">
        <v>64</v>
      </c>
      <c r="K1703" s="6">
        <v>0.03</v>
      </c>
      <c r="L1703" s="7">
        <f t="shared" si="53"/>
        <v>2E-3</v>
      </c>
      <c r="M1703" s="7">
        <v>3.0000000000000001E-3</v>
      </c>
      <c r="N1703">
        <v>10</v>
      </c>
      <c r="O1703" s="8">
        <v>17.822306426995311</v>
      </c>
      <c r="P1703" s="9">
        <v>17.822306426995311</v>
      </c>
      <c r="Q1703" s="9">
        <v>17.822306426995311</v>
      </c>
      <c r="R1703" s="9">
        <v>18.237663306594719</v>
      </c>
      <c r="S1703" s="9">
        <v>18.48712920931133</v>
      </c>
      <c r="T1703" s="9">
        <v>19.201553596969877</v>
      </c>
      <c r="U1703" s="9">
        <v>20.562345482855957</v>
      </c>
      <c r="V1703" s="9">
        <v>20.562345482855957</v>
      </c>
      <c r="W1703" s="9">
        <v>20.562345482855957</v>
      </c>
      <c r="X1703" s="9">
        <v>22.391977691000818</v>
      </c>
      <c r="Y1703" s="9">
        <v>22.391977691000818</v>
      </c>
      <c r="Z1703" s="9">
        <v>24.28858708803979</v>
      </c>
      <c r="AA1703" s="9">
        <v>24.28858708803979</v>
      </c>
      <c r="AB1703" s="9">
        <v>25.117335532005217</v>
      </c>
      <c r="AC1703" s="9">
        <v>25.117335532005217</v>
      </c>
      <c r="AD1703" s="9">
        <v>29.039116491286865</v>
      </c>
      <c r="AE1703" s="9">
        <v>31.219251037281825</v>
      </c>
      <c r="AF1703" s="9">
        <v>33.487682081707895</v>
      </c>
      <c r="AG1703" s="9">
        <v>33.487682081707895</v>
      </c>
      <c r="AH1703" s="9">
        <v>36.427668170967245</v>
      </c>
      <c r="AI1703" s="9">
        <v>38.74455996597662</v>
      </c>
      <c r="AJ1703" s="9">
        <v>3.0428788910505911</v>
      </c>
    </row>
    <row r="1704" spans="1:36" x14ac:dyDescent="0.25">
      <c r="A1704" t="s">
        <v>5411</v>
      </c>
      <c r="B1704" t="s">
        <v>16</v>
      </c>
      <c r="C1704" t="s">
        <v>17</v>
      </c>
      <c r="D1704">
        <v>39280000</v>
      </c>
      <c r="E1704">
        <v>39289999</v>
      </c>
      <c r="F1704" t="s">
        <v>1522</v>
      </c>
      <c r="G1704" t="str">
        <f t="shared" si="52"/>
        <v>MGI II</v>
      </c>
      <c r="H1704" t="s">
        <v>851</v>
      </c>
      <c r="I1704" t="s">
        <v>20</v>
      </c>
      <c r="J1704" t="s">
        <v>64</v>
      </c>
      <c r="K1704" s="6">
        <v>0.03</v>
      </c>
      <c r="L1704" s="7">
        <f t="shared" si="53"/>
        <v>2E-3</v>
      </c>
      <c r="M1704" s="7">
        <v>3.0000000000000001E-3</v>
      </c>
      <c r="N1704">
        <v>10</v>
      </c>
      <c r="O1704" s="8">
        <v>17.822306426995311</v>
      </c>
      <c r="P1704" s="9">
        <v>17.822306426995311</v>
      </c>
      <c r="Q1704" s="9">
        <v>17.822306426995311</v>
      </c>
      <c r="R1704" s="9">
        <v>18.237663306594719</v>
      </c>
      <c r="S1704" s="9">
        <v>18.48712920931133</v>
      </c>
      <c r="T1704" s="9">
        <v>19.201553596969877</v>
      </c>
      <c r="U1704" s="9">
        <v>20.562345482855957</v>
      </c>
      <c r="V1704" s="9">
        <v>20.562345482855957</v>
      </c>
      <c r="W1704" s="9">
        <v>20.562345482855957</v>
      </c>
      <c r="X1704" s="9">
        <v>22.391977691000818</v>
      </c>
      <c r="Y1704" s="9">
        <v>22.391977691000818</v>
      </c>
      <c r="Z1704" s="9">
        <v>24.28858708803979</v>
      </c>
      <c r="AA1704" s="9">
        <v>24.28858708803979</v>
      </c>
      <c r="AB1704" s="9">
        <v>25.117335532005217</v>
      </c>
      <c r="AC1704" s="9">
        <v>25.117335532005217</v>
      </c>
      <c r="AD1704" s="9">
        <v>29.039116491286865</v>
      </c>
      <c r="AE1704" s="9">
        <v>31.219251037281825</v>
      </c>
      <c r="AF1704" s="9">
        <v>33.487682081707895</v>
      </c>
      <c r="AG1704" s="9">
        <v>33.487682081707895</v>
      </c>
      <c r="AH1704" s="9">
        <v>36.427668170967245</v>
      </c>
      <c r="AI1704" s="9">
        <v>38.74455996597662</v>
      </c>
      <c r="AJ1704" s="9">
        <v>3.0428788910505911</v>
      </c>
    </row>
    <row r="1705" spans="1:36" x14ac:dyDescent="0.25">
      <c r="A1705" t="s">
        <v>5411</v>
      </c>
      <c r="B1705" t="s">
        <v>16</v>
      </c>
      <c r="C1705" t="s">
        <v>17</v>
      </c>
      <c r="D1705">
        <v>39290000</v>
      </c>
      <c r="E1705">
        <v>39294999</v>
      </c>
      <c r="F1705" t="s">
        <v>1523</v>
      </c>
      <c r="G1705" t="str">
        <f t="shared" si="52"/>
        <v>MGI II</v>
      </c>
      <c r="H1705" t="s">
        <v>851</v>
      </c>
      <c r="I1705" t="s">
        <v>20</v>
      </c>
      <c r="J1705" t="s">
        <v>64</v>
      </c>
      <c r="K1705" s="6">
        <v>0.03</v>
      </c>
      <c r="L1705" s="7">
        <f t="shared" si="53"/>
        <v>2E-3</v>
      </c>
      <c r="M1705" s="7">
        <v>3.0000000000000001E-3</v>
      </c>
      <c r="N1705">
        <v>8</v>
      </c>
      <c r="O1705" s="8">
        <v>17.822306426995311</v>
      </c>
      <c r="P1705" s="9">
        <v>17.822306426995311</v>
      </c>
      <c r="Q1705" s="9">
        <v>17.822306426995311</v>
      </c>
      <c r="R1705" s="9">
        <v>18.237663306594719</v>
      </c>
      <c r="S1705" s="9">
        <v>18.48712920931133</v>
      </c>
      <c r="T1705" s="9">
        <v>19.201553596969877</v>
      </c>
      <c r="U1705" s="9">
        <v>20.562345482855957</v>
      </c>
      <c r="V1705" s="9">
        <v>20.562345482855957</v>
      </c>
      <c r="W1705" s="9">
        <v>20.562345482855957</v>
      </c>
      <c r="X1705" s="9">
        <v>22.391977691000818</v>
      </c>
      <c r="Y1705" s="9">
        <v>22.391977691000818</v>
      </c>
      <c r="Z1705" s="9">
        <v>24.28858708803979</v>
      </c>
      <c r="AA1705" s="9">
        <v>24.28858708803979</v>
      </c>
      <c r="AB1705" s="9">
        <v>25.117335532005217</v>
      </c>
      <c r="AC1705" s="9">
        <v>25.117335532005217</v>
      </c>
      <c r="AD1705" s="9">
        <v>29.039116491286865</v>
      </c>
      <c r="AE1705" s="9">
        <v>31.219251037281825</v>
      </c>
      <c r="AF1705" s="9">
        <v>33.487682081707895</v>
      </c>
      <c r="AG1705" s="9">
        <v>33.487682081707895</v>
      </c>
      <c r="AH1705" s="9">
        <v>36.427668170967245</v>
      </c>
      <c r="AI1705" s="9">
        <v>38.74455996597662</v>
      </c>
      <c r="AJ1705" s="9">
        <v>3.0428788910505911</v>
      </c>
    </row>
    <row r="1706" spans="1:36" x14ac:dyDescent="0.25">
      <c r="A1706" t="s">
        <v>5411</v>
      </c>
      <c r="B1706" t="s">
        <v>16</v>
      </c>
      <c r="C1706" t="s">
        <v>17</v>
      </c>
      <c r="D1706">
        <v>39295000</v>
      </c>
      <c r="E1706">
        <v>39299999</v>
      </c>
      <c r="F1706" t="s">
        <v>1524</v>
      </c>
      <c r="G1706" t="str">
        <f t="shared" si="52"/>
        <v>MGI II</v>
      </c>
      <c r="H1706" t="s">
        <v>851</v>
      </c>
      <c r="I1706" t="s">
        <v>20</v>
      </c>
      <c r="J1706" t="s">
        <v>64</v>
      </c>
      <c r="K1706" s="6">
        <v>0.03</v>
      </c>
      <c r="L1706" s="7">
        <f t="shared" si="53"/>
        <v>2E-3</v>
      </c>
      <c r="M1706" s="7">
        <v>3.0000000000000001E-3</v>
      </c>
      <c r="N1706">
        <v>7</v>
      </c>
      <c r="O1706" s="8">
        <v>17.822306426995311</v>
      </c>
      <c r="P1706" s="9">
        <v>17.822306426995311</v>
      </c>
      <c r="Q1706" s="9">
        <v>17.822306426995311</v>
      </c>
      <c r="R1706" s="9">
        <v>18.237663306594719</v>
      </c>
      <c r="S1706" s="9">
        <v>18.48712920931133</v>
      </c>
      <c r="T1706" s="9">
        <v>19.201553596969877</v>
      </c>
      <c r="U1706" s="9">
        <v>20.562345482855957</v>
      </c>
      <c r="V1706" s="9">
        <v>20.562345482855957</v>
      </c>
      <c r="W1706" s="9">
        <v>20.562345482855957</v>
      </c>
      <c r="X1706" s="9">
        <v>22.391977691000818</v>
      </c>
      <c r="Y1706" s="9">
        <v>22.391977691000818</v>
      </c>
      <c r="Z1706" s="9">
        <v>24.28858708803979</v>
      </c>
      <c r="AA1706" s="9">
        <v>24.28858708803979</v>
      </c>
      <c r="AB1706" s="9">
        <v>25.117335532005217</v>
      </c>
      <c r="AC1706" s="9">
        <v>25.117335532005217</v>
      </c>
      <c r="AD1706" s="9">
        <v>29.039116491286865</v>
      </c>
      <c r="AE1706" s="9">
        <v>31.219251037281825</v>
      </c>
      <c r="AF1706" s="9">
        <v>33.487682081707895</v>
      </c>
      <c r="AG1706" s="9">
        <v>33.487682081707895</v>
      </c>
      <c r="AH1706" s="9">
        <v>36.427668170967245</v>
      </c>
      <c r="AI1706" s="9">
        <v>38.74455996597662</v>
      </c>
      <c r="AJ1706" s="9">
        <v>3.0428788910505911</v>
      </c>
    </row>
    <row r="1707" spans="1:36" x14ac:dyDescent="0.25">
      <c r="A1707" t="s">
        <v>5411</v>
      </c>
      <c r="B1707" t="s">
        <v>16</v>
      </c>
      <c r="C1707" t="s">
        <v>17</v>
      </c>
      <c r="D1707">
        <v>39300000</v>
      </c>
      <c r="E1707">
        <v>39316999</v>
      </c>
      <c r="F1707" t="s">
        <v>370</v>
      </c>
      <c r="G1707" t="str">
        <f t="shared" si="52"/>
        <v>MGI II</v>
      </c>
      <c r="H1707" t="s">
        <v>851</v>
      </c>
      <c r="I1707" t="s">
        <v>20</v>
      </c>
      <c r="J1707" t="s">
        <v>64</v>
      </c>
      <c r="K1707" s="6">
        <v>0.03</v>
      </c>
      <c r="L1707" s="7">
        <f t="shared" si="53"/>
        <v>2E-3</v>
      </c>
      <c r="M1707" s="7">
        <v>3.0000000000000001E-3</v>
      </c>
      <c r="N1707">
        <v>10</v>
      </c>
      <c r="O1707" s="8">
        <v>17.822306426995311</v>
      </c>
      <c r="P1707" s="9">
        <v>17.822306426995311</v>
      </c>
      <c r="Q1707" s="9">
        <v>17.822306426995311</v>
      </c>
      <c r="R1707" s="9">
        <v>18.237663306594719</v>
      </c>
      <c r="S1707" s="9">
        <v>18.48712920931133</v>
      </c>
      <c r="T1707" s="9">
        <v>19.201553596969877</v>
      </c>
      <c r="U1707" s="9">
        <v>20.562345482855957</v>
      </c>
      <c r="V1707" s="9">
        <v>20.562345482855957</v>
      </c>
      <c r="W1707" s="9">
        <v>20.562345482855957</v>
      </c>
      <c r="X1707" s="9">
        <v>22.391977691000818</v>
      </c>
      <c r="Y1707" s="9">
        <v>22.391977691000818</v>
      </c>
      <c r="Z1707" s="9">
        <v>24.28858708803979</v>
      </c>
      <c r="AA1707" s="9">
        <v>24.28858708803979</v>
      </c>
      <c r="AB1707" s="9">
        <v>25.117335532005217</v>
      </c>
      <c r="AC1707" s="9">
        <v>25.117335532005217</v>
      </c>
      <c r="AD1707" s="9">
        <v>29.039116491286865</v>
      </c>
      <c r="AE1707" s="9">
        <v>31.219251037281825</v>
      </c>
      <c r="AF1707" s="9">
        <v>33.487682081707895</v>
      </c>
      <c r="AG1707" s="9">
        <v>33.487682081707895</v>
      </c>
      <c r="AH1707" s="9">
        <v>36.427668170967245</v>
      </c>
      <c r="AI1707" s="9">
        <v>38.74455996597662</v>
      </c>
      <c r="AJ1707" s="9">
        <v>3.0428788910505911</v>
      </c>
    </row>
    <row r="1708" spans="1:36" x14ac:dyDescent="0.25">
      <c r="A1708" t="s">
        <v>5411</v>
      </c>
      <c r="B1708" t="s">
        <v>16</v>
      </c>
      <c r="C1708" t="s">
        <v>17</v>
      </c>
      <c r="D1708">
        <v>39317000</v>
      </c>
      <c r="E1708">
        <v>39317999</v>
      </c>
      <c r="F1708" t="s">
        <v>1525</v>
      </c>
      <c r="G1708" t="str">
        <f t="shared" si="52"/>
        <v>MGI II</v>
      </c>
      <c r="H1708" t="s">
        <v>851</v>
      </c>
      <c r="I1708" t="s">
        <v>20</v>
      </c>
      <c r="J1708" t="s">
        <v>64</v>
      </c>
      <c r="K1708" s="6">
        <v>0.03</v>
      </c>
      <c r="L1708" s="7">
        <f t="shared" si="53"/>
        <v>2E-3</v>
      </c>
      <c r="M1708" s="7">
        <v>3.0000000000000001E-3</v>
      </c>
      <c r="N1708">
        <v>8</v>
      </c>
      <c r="O1708" s="8">
        <v>17.822306426995311</v>
      </c>
      <c r="P1708" s="9">
        <v>17.822306426995311</v>
      </c>
      <c r="Q1708" s="9">
        <v>17.822306426995311</v>
      </c>
      <c r="R1708" s="9">
        <v>18.237663306594719</v>
      </c>
      <c r="S1708" s="9">
        <v>18.48712920931133</v>
      </c>
      <c r="T1708" s="9">
        <v>19.201553596969877</v>
      </c>
      <c r="U1708" s="9">
        <v>20.562345482855957</v>
      </c>
      <c r="V1708" s="9">
        <v>20.562345482855957</v>
      </c>
      <c r="W1708" s="9">
        <v>20.562345482855957</v>
      </c>
      <c r="X1708" s="9">
        <v>22.391977691000818</v>
      </c>
      <c r="Y1708" s="9">
        <v>22.391977691000818</v>
      </c>
      <c r="Z1708" s="9">
        <v>24.28858708803979</v>
      </c>
      <c r="AA1708" s="9">
        <v>24.28858708803979</v>
      </c>
      <c r="AB1708" s="9">
        <v>25.117335532005217</v>
      </c>
      <c r="AC1708" s="9">
        <v>25.117335532005217</v>
      </c>
      <c r="AD1708" s="9">
        <v>29.039116491286865</v>
      </c>
      <c r="AE1708" s="9">
        <v>31.219251037281825</v>
      </c>
      <c r="AF1708" s="9">
        <v>33.487682081707895</v>
      </c>
      <c r="AG1708" s="9">
        <v>33.487682081707895</v>
      </c>
      <c r="AH1708" s="9">
        <v>36.427668170967245</v>
      </c>
      <c r="AI1708" s="9">
        <v>38.74455996597662</v>
      </c>
      <c r="AJ1708" s="9">
        <v>3.0428788910505911</v>
      </c>
    </row>
    <row r="1709" spans="1:36" x14ac:dyDescent="0.25">
      <c r="A1709" t="s">
        <v>5411</v>
      </c>
      <c r="B1709" t="s">
        <v>16</v>
      </c>
      <c r="C1709" t="s">
        <v>17</v>
      </c>
      <c r="D1709">
        <v>39318000</v>
      </c>
      <c r="E1709">
        <v>39319999</v>
      </c>
      <c r="F1709" t="s">
        <v>1526</v>
      </c>
      <c r="G1709" t="str">
        <f t="shared" si="52"/>
        <v>MGI II</v>
      </c>
      <c r="H1709" t="s">
        <v>851</v>
      </c>
      <c r="I1709" t="s">
        <v>20</v>
      </c>
      <c r="J1709" t="s">
        <v>64</v>
      </c>
      <c r="K1709" s="6">
        <v>0.03</v>
      </c>
      <c r="L1709" s="7">
        <f t="shared" si="53"/>
        <v>2E-3</v>
      </c>
      <c r="M1709" s="7">
        <v>3.0000000000000001E-3</v>
      </c>
      <c r="N1709">
        <v>7</v>
      </c>
      <c r="O1709" s="8">
        <v>17.822306426995311</v>
      </c>
      <c r="P1709" s="9">
        <v>17.822306426995311</v>
      </c>
      <c r="Q1709" s="9">
        <v>17.822306426995311</v>
      </c>
      <c r="R1709" s="9">
        <v>18.237663306594719</v>
      </c>
      <c r="S1709" s="9">
        <v>18.48712920931133</v>
      </c>
      <c r="T1709" s="9">
        <v>19.201553596969877</v>
      </c>
      <c r="U1709" s="9">
        <v>20.562345482855957</v>
      </c>
      <c r="V1709" s="9">
        <v>20.562345482855957</v>
      </c>
      <c r="W1709" s="9">
        <v>20.562345482855957</v>
      </c>
      <c r="X1709" s="9">
        <v>22.391977691000818</v>
      </c>
      <c r="Y1709" s="9">
        <v>22.391977691000818</v>
      </c>
      <c r="Z1709" s="9">
        <v>24.28858708803979</v>
      </c>
      <c r="AA1709" s="9">
        <v>24.28858708803979</v>
      </c>
      <c r="AB1709" s="9">
        <v>25.117335532005217</v>
      </c>
      <c r="AC1709" s="9">
        <v>25.117335532005217</v>
      </c>
      <c r="AD1709" s="9">
        <v>29.039116491286865</v>
      </c>
      <c r="AE1709" s="9">
        <v>31.219251037281825</v>
      </c>
      <c r="AF1709" s="9">
        <v>33.487682081707895</v>
      </c>
      <c r="AG1709" s="9">
        <v>33.487682081707895</v>
      </c>
      <c r="AH1709" s="9">
        <v>36.427668170967245</v>
      </c>
      <c r="AI1709" s="9">
        <v>38.74455996597662</v>
      </c>
      <c r="AJ1709" s="9">
        <v>3.0428788910505911</v>
      </c>
    </row>
    <row r="1710" spans="1:36" x14ac:dyDescent="0.25">
      <c r="A1710" t="s">
        <v>5411</v>
      </c>
      <c r="B1710" t="s">
        <v>16</v>
      </c>
      <c r="C1710" t="s">
        <v>17</v>
      </c>
      <c r="D1710">
        <v>39320000</v>
      </c>
      <c r="E1710">
        <v>39327999</v>
      </c>
      <c r="F1710" t="s">
        <v>1527</v>
      </c>
      <c r="G1710" t="str">
        <f t="shared" si="52"/>
        <v>MGI II</v>
      </c>
      <c r="H1710" t="s">
        <v>851</v>
      </c>
      <c r="I1710" t="s">
        <v>20</v>
      </c>
      <c r="J1710" t="s">
        <v>64</v>
      </c>
      <c r="K1710" s="6">
        <v>0.03</v>
      </c>
      <c r="L1710" s="7">
        <f t="shared" si="53"/>
        <v>2E-3</v>
      </c>
      <c r="M1710" s="7">
        <v>3.0000000000000001E-3</v>
      </c>
      <c r="N1710">
        <v>8</v>
      </c>
      <c r="O1710" s="8">
        <v>17.822306426995311</v>
      </c>
      <c r="P1710" s="9">
        <v>17.822306426995311</v>
      </c>
      <c r="Q1710" s="9">
        <v>17.822306426995311</v>
      </c>
      <c r="R1710" s="9">
        <v>18.237663306594719</v>
      </c>
      <c r="S1710" s="9">
        <v>18.48712920931133</v>
      </c>
      <c r="T1710" s="9">
        <v>19.201553596969877</v>
      </c>
      <c r="U1710" s="9">
        <v>20.562345482855957</v>
      </c>
      <c r="V1710" s="9">
        <v>20.562345482855957</v>
      </c>
      <c r="W1710" s="9">
        <v>20.562345482855957</v>
      </c>
      <c r="X1710" s="9">
        <v>22.391977691000818</v>
      </c>
      <c r="Y1710" s="9">
        <v>22.391977691000818</v>
      </c>
      <c r="Z1710" s="9">
        <v>24.28858708803979</v>
      </c>
      <c r="AA1710" s="9">
        <v>24.28858708803979</v>
      </c>
      <c r="AB1710" s="9">
        <v>25.117335532005217</v>
      </c>
      <c r="AC1710" s="9">
        <v>25.117335532005217</v>
      </c>
      <c r="AD1710" s="9">
        <v>29.039116491286865</v>
      </c>
      <c r="AE1710" s="9">
        <v>31.219251037281825</v>
      </c>
      <c r="AF1710" s="9">
        <v>33.487682081707895</v>
      </c>
      <c r="AG1710" s="9">
        <v>33.487682081707895</v>
      </c>
      <c r="AH1710" s="9">
        <v>36.427668170967245</v>
      </c>
      <c r="AI1710" s="9">
        <v>38.74455996597662</v>
      </c>
      <c r="AJ1710" s="9">
        <v>3.0428788910505911</v>
      </c>
    </row>
    <row r="1711" spans="1:36" x14ac:dyDescent="0.25">
      <c r="A1711" t="s">
        <v>5411</v>
      </c>
      <c r="B1711" t="s">
        <v>16</v>
      </c>
      <c r="C1711" t="s">
        <v>17</v>
      </c>
      <c r="D1711">
        <v>39328000</v>
      </c>
      <c r="E1711">
        <v>39329999</v>
      </c>
      <c r="F1711" t="s">
        <v>1528</v>
      </c>
      <c r="G1711" t="str">
        <f t="shared" si="52"/>
        <v>MGI II</v>
      </c>
      <c r="H1711" t="s">
        <v>851</v>
      </c>
      <c r="I1711" t="s">
        <v>20</v>
      </c>
      <c r="J1711" t="s">
        <v>64</v>
      </c>
      <c r="K1711" s="6">
        <v>0.03</v>
      </c>
      <c r="L1711" s="7">
        <f t="shared" si="53"/>
        <v>2E-3</v>
      </c>
      <c r="M1711" s="7">
        <v>3.0000000000000001E-3</v>
      </c>
      <c r="N1711">
        <v>7</v>
      </c>
      <c r="O1711" s="8">
        <v>17.822306426995311</v>
      </c>
      <c r="P1711" s="9">
        <v>17.822306426995311</v>
      </c>
      <c r="Q1711" s="9">
        <v>17.822306426995311</v>
      </c>
      <c r="R1711" s="9">
        <v>18.237663306594719</v>
      </c>
      <c r="S1711" s="9">
        <v>18.48712920931133</v>
      </c>
      <c r="T1711" s="9">
        <v>19.201553596969877</v>
      </c>
      <c r="U1711" s="9">
        <v>20.562345482855957</v>
      </c>
      <c r="V1711" s="9">
        <v>20.562345482855957</v>
      </c>
      <c r="W1711" s="9">
        <v>20.562345482855957</v>
      </c>
      <c r="X1711" s="9">
        <v>22.391977691000818</v>
      </c>
      <c r="Y1711" s="9">
        <v>22.391977691000818</v>
      </c>
      <c r="Z1711" s="9">
        <v>24.28858708803979</v>
      </c>
      <c r="AA1711" s="9">
        <v>24.28858708803979</v>
      </c>
      <c r="AB1711" s="9">
        <v>25.117335532005217</v>
      </c>
      <c r="AC1711" s="9">
        <v>25.117335532005217</v>
      </c>
      <c r="AD1711" s="9">
        <v>29.039116491286865</v>
      </c>
      <c r="AE1711" s="9">
        <v>31.219251037281825</v>
      </c>
      <c r="AF1711" s="9">
        <v>33.487682081707895</v>
      </c>
      <c r="AG1711" s="9">
        <v>33.487682081707895</v>
      </c>
      <c r="AH1711" s="9">
        <v>36.427668170967245</v>
      </c>
      <c r="AI1711" s="9">
        <v>38.74455996597662</v>
      </c>
      <c r="AJ1711" s="9">
        <v>3.0428788910505911</v>
      </c>
    </row>
    <row r="1712" spans="1:36" x14ac:dyDescent="0.25">
      <c r="A1712" t="s">
        <v>5411</v>
      </c>
      <c r="B1712" t="s">
        <v>16</v>
      </c>
      <c r="C1712" t="s">
        <v>17</v>
      </c>
      <c r="D1712">
        <v>39330000</v>
      </c>
      <c r="E1712">
        <v>39334999</v>
      </c>
      <c r="F1712" t="s">
        <v>1529</v>
      </c>
      <c r="G1712" t="str">
        <f t="shared" si="52"/>
        <v>MGI</v>
      </c>
      <c r="H1712" t="s">
        <v>851</v>
      </c>
      <c r="I1712" t="s">
        <v>20</v>
      </c>
      <c r="J1712" t="s">
        <v>62</v>
      </c>
      <c r="K1712" s="6">
        <v>0.03</v>
      </c>
      <c r="L1712" s="7">
        <f t="shared" si="53"/>
        <v>2E-3</v>
      </c>
      <c r="M1712" s="7">
        <v>3.0000000000000001E-3</v>
      </c>
      <c r="N1712">
        <v>8</v>
      </c>
      <c r="O1712" s="8">
        <v>13.880385281502075</v>
      </c>
      <c r="P1712" s="9">
        <v>13.880385281502075</v>
      </c>
      <c r="Q1712" s="9">
        <v>13.880385281502075</v>
      </c>
      <c r="R1712" s="9">
        <v>14.045989937445718</v>
      </c>
      <c r="S1712" s="9">
        <v>14.060876315369912</v>
      </c>
      <c r="T1712" s="9">
        <v>15.090338571208333</v>
      </c>
      <c r="U1712" s="9">
        <v>16.025407313902726</v>
      </c>
      <c r="V1712" s="9">
        <v>16.025407313902726</v>
      </c>
      <c r="W1712" s="9">
        <v>16.025407313902726</v>
      </c>
      <c r="X1712" s="9">
        <v>18.013895748167766</v>
      </c>
      <c r="Y1712" s="9">
        <v>18.013895748167766</v>
      </c>
      <c r="Z1712" s="9">
        <v>20.142868501532355</v>
      </c>
      <c r="AA1712" s="9">
        <v>20.142868501532355</v>
      </c>
      <c r="AB1712" s="9">
        <v>22.456349831314476</v>
      </c>
      <c r="AC1712" s="9">
        <v>22.456349831314476</v>
      </c>
      <c r="AD1712" s="9">
        <v>24.87984091164185</v>
      </c>
      <c r="AE1712" s="9">
        <v>27.427492221952345</v>
      </c>
      <c r="AF1712" s="9">
        <v>33.194804868730657</v>
      </c>
      <c r="AG1712" s="9">
        <v>33.194804868730657</v>
      </c>
      <c r="AH1712" s="9">
        <v>35.957808835828068</v>
      </c>
      <c r="AI1712" s="9">
        <v>38.646304092692077</v>
      </c>
      <c r="AJ1712" s="9">
        <v>3.0428788910505911</v>
      </c>
    </row>
    <row r="1713" spans="1:36" x14ac:dyDescent="0.25">
      <c r="A1713" t="s">
        <v>5411</v>
      </c>
      <c r="B1713" t="s">
        <v>16</v>
      </c>
      <c r="C1713" t="s">
        <v>17</v>
      </c>
      <c r="D1713">
        <v>39335000</v>
      </c>
      <c r="E1713">
        <v>39335999</v>
      </c>
      <c r="F1713" t="s">
        <v>1530</v>
      </c>
      <c r="G1713" t="str">
        <f t="shared" si="52"/>
        <v>MGI II</v>
      </c>
      <c r="H1713" t="s">
        <v>851</v>
      </c>
      <c r="I1713" t="s">
        <v>20</v>
      </c>
      <c r="J1713" t="s">
        <v>64</v>
      </c>
      <c r="K1713" s="6">
        <v>0.03</v>
      </c>
      <c r="L1713" s="7">
        <f t="shared" si="53"/>
        <v>2E-3</v>
      </c>
      <c r="M1713" s="7">
        <v>3.0000000000000001E-3</v>
      </c>
      <c r="N1713">
        <v>8</v>
      </c>
      <c r="O1713" s="8">
        <v>17.822306426995311</v>
      </c>
      <c r="P1713" s="9">
        <v>17.822306426995311</v>
      </c>
      <c r="Q1713" s="9">
        <v>17.822306426995311</v>
      </c>
      <c r="R1713" s="9">
        <v>18.237663306594719</v>
      </c>
      <c r="S1713" s="9">
        <v>18.48712920931133</v>
      </c>
      <c r="T1713" s="9">
        <v>19.201553596969877</v>
      </c>
      <c r="U1713" s="9">
        <v>20.562345482855957</v>
      </c>
      <c r="V1713" s="9">
        <v>20.562345482855957</v>
      </c>
      <c r="W1713" s="9">
        <v>20.562345482855957</v>
      </c>
      <c r="X1713" s="9">
        <v>22.391977691000818</v>
      </c>
      <c r="Y1713" s="9">
        <v>22.391977691000818</v>
      </c>
      <c r="Z1713" s="9">
        <v>24.28858708803979</v>
      </c>
      <c r="AA1713" s="9">
        <v>24.28858708803979</v>
      </c>
      <c r="AB1713" s="9">
        <v>25.117335532005217</v>
      </c>
      <c r="AC1713" s="9">
        <v>25.117335532005217</v>
      </c>
      <c r="AD1713" s="9">
        <v>29.039116491286865</v>
      </c>
      <c r="AE1713" s="9">
        <v>31.219251037281825</v>
      </c>
      <c r="AF1713" s="9">
        <v>33.487682081707895</v>
      </c>
      <c r="AG1713" s="9">
        <v>33.487682081707895</v>
      </c>
      <c r="AH1713" s="9">
        <v>36.427668170967245</v>
      </c>
      <c r="AI1713" s="9">
        <v>38.74455996597662</v>
      </c>
      <c r="AJ1713" s="9">
        <v>3.0428788910505911</v>
      </c>
    </row>
    <row r="1714" spans="1:36" x14ac:dyDescent="0.25">
      <c r="A1714" t="s">
        <v>5411</v>
      </c>
      <c r="B1714" t="s">
        <v>16</v>
      </c>
      <c r="C1714" t="s">
        <v>17</v>
      </c>
      <c r="D1714">
        <v>39336000</v>
      </c>
      <c r="E1714">
        <v>39337999</v>
      </c>
      <c r="F1714" t="s">
        <v>1531</v>
      </c>
      <c r="G1714" t="str">
        <f t="shared" si="52"/>
        <v>MGI II</v>
      </c>
      <c r="H1714" t="s">
        <v>851</v>
      </c>
      <c r="I1714" t="s">
        <v>20</v>
      </c>
      <c r="J1714" t="s">
        <v>64</v>
      </c>
      <c r="K1714" s="6">
        <v>0.03</v>
      </c>
      <c r="L1714" s="7">
        <f t="shared" si="53"/>
        <v>2E-3</v>
      </c>
      <c r="M1714" s="7">
        <v>3.0000000000000001E-3</v>
      </c>
      <c r="N1714">
        <v>8</v>
      </c>
      <c r="O1714" s="8">
        <v>17.822306426995311</v>
      </c>
      <c r="P1714" s="9">
        <v>17.822306426995311</v>
      </c>
      <c r="Q1714" s="9">
        <v>17.822306426995311</v>
      </c>
      <c r="R1714" s="9">
        <v>18.237663306594719</v>
      </c>
      <c r="S1714" s="9">
        <v>18.48712920931133</v>
      </c>
      <c r="T1714" s="9">
        <v>19.201553596969877</v>
      </c>
      <c r="U1714" s="9">
        <v>20.562345482855957</v>
      </c>
      <c r="V1714" s="9">
        <v>20.562345482855957</v>
      </c>
      <c r="W1714" s="9">
        <v>20.562345482855957</v>
      </c>
      <c r="X1714" s="9">
        <v>22.391977691000818</v>
      </c>
      <c r="Y1714" s="9">
        <v>22.391977691000818</v>
      </c>
      <c r="Z1714" s="9">
        <v>24.28858708803979</v>
      </c>
      <c r="AA1714" s="9">
        <v>24.28858708803979</v>
      </c>
      <c r="AB1714" s="9">
        <v>25.117335532005217</v>
      </c>
      <c r="AC1714" s="9">
        <v>25.117335532005217</v>
      </c>
      <c r="AD1714" s="9">
        <v>29.039116491286865</v>
      </c>
      <c r="AE1714" s="9">
        <v>31.219251037281825</v>
      </c>
      <c r="AF1714" s="9">
        <v>33.487682081707895</v>
      </c>
      <c r="AG1714" s="9">
        <v>33.487682081707895</v>
      </c>
      <c r="AH1714" s="9">
        <v>36.427668170967245</v>
      </c>
      <c r="AI1714" s="9">
        <v>38.74455996597662</v>
      </c>
      <c r="AJ1714" s="9">
        <v>3.0428788910505911</v>
      </c>
    </row>
    <row r="1715" spans="1:36" x14ac:dyDescent="0.25">
      <c r="A1715" t="s">
        <v>5411</v>
      </c>
      <c r="B1715" t="s">
        <v>16</v>
      </c>
      <c r="C1715" t="s">
        <v>17</v>
      </c>
      <c r="D1715">
        <v>39338000</v>
      </c>
      <c r="E1715">
        <v>39339999</v>
      </c>
      <c r="F1715" t="s">
        <v>1532</v>
      </c>
      <c r="G1715" t="str">
        <f t="shared" si="52"/>
        <v>MGI II</v>
      </c>
      <c r="H1715" t="s">
        <v>851</v>
      </c>
      <c r="I1715" t="s">
        <v>20</v>
      </c>
      <c r="J1715" t="s">
        <v>64</v>
      </c>
      <c r="K1715" s="6">
        <v>0.03</v>
      </c>
      <c r="L1715" s="7">
        <f t="shared" si="53"/>
        <v>2E-3</v>
      </c>
      <c r="M1715" s="7">
        <v>3.0000000000000001E-3</v>
      </c>
      <c r="N1715">
        <v>8</v>
      </c>
      <c r="O1715" s="8">
        <v>17.822306426995311</v>
      </c>
      <c r="P1715" s="9">
        <v>17.822306426995311</v>
      </c>
      <c r="Q1715" s="9">
        <v>17.822306426995311</v>
      </c>
      <c r="R1715" s="9">
        <v>18.237663306594719</v>
      </c>
      <c r="S1715" s="9">
        <v>18.48712920931133</v>
      </c>
      <c r="T1715" s="9">
        <v>19.201553596969877</v>
      </c>
      <c r="U1715" s="9">
        <v>20.562345482855957</v>
      </c>
      <c r="V1715" s="9">
        <v>20.562345482855957</v>
      </c>
      <c r="W1715" s="9">
        <v>20.562345482855957</v>
      </c>
      <c r="X1715" s="9">
        <v>22.391977691000818</v>
      </c>
      <c r="Y1715" s="9">
        <v>22.391977691000818</v>
      </c>
      <c r="Z1715" s="9">
        <v>24.28858708803979</v>
      </c>
      <c r="AA1715" s="9">
        <v>24.28858708803979</v>
      </c>
      <c r="AB1715" s="9">
        <v>25.117335532005217</v>
      </c>
      <c r="AC1715" s="9">
        <v>25.117335532005217</v>
      </c>
      <c r="AD1715" s="9">
        <v>29.039116491286865</v>
      </c>
      <c r="AE1715" s="9">
        <v>31.219251037281825</v>
      </c>
      <c r="AF1715" s="9">
        <v>33.487682081707895</v>
      </c>
      <c r="AG1715" s="9">
        <v>33.487682081707895</v>
      </c>
      <c r="AH1715" s="9">
        <v>36.427668170967245</v>
      </c>
      <c r="AI1715" s="9">
        <v>38.74455996597662</v>
      </c>
      <c r="AJ1715" s="9">
        <v>3.0428788910505911</v>
      </c>
    </row>
    <row r="1716" spans="1:36" x14ac:dyDescent="0.25">
      <c r="A1716" t="s">
        <v>5411</v>
      </c>
      <c r="B1716" t="s">
        <v>16</v>
      </c>
      <c r="C1716" t="s">
        <v>17</v>
      </c>
      <c r="D1716">
        <v>39340000</v>
      </c>
      <c r="E1716">
        <v>39349999</v>
      </c>
      <c r="F1716" t="s">
        <v>1533</v>
      </c>
      <c r="G1716" t="str">
        <f t="shared" si="52"/>
        <v>MGI</v>
      </c>
      <c r="H1716" t="s">
        <v>851</v>
      </c>
      <c r="I1716" t="s">
        <v>20</v>
      </c>
      <c r="J1716" t="s">
        <v>62</v>
      </c>
      <c r="K1716" s="6">
        <v>0.03</v>
      </c>
      <c r="L1716" s="7">
        <f t="shared" si="53"/>
        <v>2E-3</v>
      </c>
      <c r="M1716" s="7">
        <v>3.0000000000000001E-3</v>
      </c>
      <c r="N1716">
        <v>8</v>
      </c>
      <c r="O1716" s="8">
        <v>13.880385281502075</v>
      </c>
      <c r="P1716" s="9">
        <v>13.880385281502075</v>
      </c>
      <c r="Q1716" s="9">
        <v>13.880385281502075</v>
      </c>
      <c r="R1716" s="9">
        <v>14.045989937445718</v>
      </c>
      <c r="S1716" s="9">
        <v>14.060876315369912</v>
      </c>
      <c r="T1716" s="9">
        <v>15.090338571208333</v>
      </c>
      <c r="U1716" s="9">
        <v>16.025407313902726</v>
      </c>
      <c r="V1716" s="9">
        <v>16.025407313902726</v>
      </c>
      <c r="W1716" s="9">
        <v>16.025407313902726</v>
      </c>
      <c r="X1716" s="9">
        <v>18.013895748167766</v>
      </c>
      <c r="Y1716" s="9">
        <v>18.013895748167766</v>
      </c>
      <c r="Z1716" s="9">
        <v>20.142868501532355</v>
      </c>
      <c r="AA1716" s="9">
        <v>20.142868501532355</v>
      </c>
      <c r="AB1716" s="9">
        <v>22.456349831314476</v>
      </c>
      <c r="AC1716" s="9">
        <v>22.456349831314476</v>
      </c>
      <c r="AD1716" s="9">
        <v>24.87984091164185</v>
      </c>
      <c r="AE1716" s="9">
        <v>27.427492221952345</v>
      </c>
      <c r="AF1716" s="9">
        <v>33.194804868730657</v>
      </c>
      <c r="AG1716" s="9">
        <v>33.194804868730657</v>
      </c>
      <c r="AH1716" s="9">
        <v>35.957808835828068</v>
      </c>
      <c r="AI1716" s="9">
        <v>38.646304092692077</v>
      </c>
      <c r="AJ1716" s="9">
        <v>3.0428788910505911</v>
      </c>
    </row>
    <row r="1717" spans="1:36" x14ac:dyDescent="0.25">
      <c r="A1717" t="s">
        <v>5411</v>
      </c>
      <c r="B1717" t="s">
        <v>16</v>
      </c>
      <c r="C1717" t="s">
        <v>17</v>
      </c>
      <c r="D1717">
        <v>39350000</v>
      </c>
      <c r="E1717">
        <v>39354999</v>
      </c>
      <c r="F1717" t="s">
        <v>1534</v>
      </c>
      <c r="G1717" t="str">
        <f t="shared" si="52"/>
        <v>MGI II</v>
      </c>
      <c r="H1717" t="s">
        <v>851</v>
      </c>
      <c r="I1717" t="s">
        <v>20</v>
      </c>
      <c r="J1717" t="s">
        <v>64</v>
      </c>
      <c r="K1717" s="6">
        <v>0.03</v>
      </c>
      <c r="L1717" s="7">
        <f t="shared" si="53"/>
        <v>2E-3</v>
      </c>
      <c r="M1717" s="7">
        <v>3.0000000000000001E-3</v>
      </c>
      <c r="N1717">
        <v>8</v>
      </c>
      <c r="O1717" s="8">
        <v>17.822306426995311</v>
      </c>
      <c r="P1717" s="9">
        <v>17.822306426995311</v>
      </c>
      <c r="Q1717" s="9">
        <v>17.822306426995311</v>
      </c>
      <c r="R1717" s="9">
        <v>18.237663306594719</v>
      </c>
      <c r="S1717" s="9">
        <v>18.48712920931133</v>
      </c>
      <c r="T1717" s="9">
        <v>19.201553596969877</v>
      </c>
      <c r="U1717" s="9">
        <v>20.562345482855957</v>
      </c>
      <c r="V1717" s="9">
        <v>20.562345482855957</v>
      </c>
      <c r="W1717" s="9">
        <v>20.562345482855957</v>
      </c>
      <c r="X1717" s="9">
        <v>22.391977691000818</v>
      </c>
      <c r="Y1717" s="9">
        <v>22.391977691000818</v>
      </c>
      <c r="Z1717" s="9">
        <v>24.28858708803979</v>
      </c>
      <c r="AA1717" s="9">
        <v>24.28858708803979</v>
      </c>
      <c r="AB1717" s="9">
        <v>25.117335532005217</v>
      </c>
      <c r="AC1717" s="9">
        <v>25.117335532005217</v>
      </c>
      <c r="AD1717" s="9">
        <v>29.039116491286865</v>
      </c>
      <c r="AE1717" s="9">
        <v>31.219251037281825</v>
      </c>
      <c r="AF1717" s="9">
        <v>33.487682081707895</v>
      </c>
      <c r="AG1717" s="9">
        <v>33.487682081707895</v>
      </c>
      <c r="AH1717" s="9">
        <v>36.427668170967245</v>
      </c>
      <c r="AI1717" s="9">
        <v>38.74455996597662</v>
      </c>
      <c r="AJ1717" s="9">
        <v>3.0428788910505911</v>
      </c>
    </row>
    <row r="1718" spans="1:36" x14ac:dyDescent="0.25">
      <c r="A1718" t="s">
        <v>5411</v>
      </c>
      <c r="B1718" t="s">
        <v>16</v>
      </c>
      <c r="C1718" t="s">
        <v>17</v>
      </c>
      <c r="D1718">
        <v>39355000</v>
      </c>
      <c r="E1718">
        <v>39359999</v>
      </c>
      <c r="F1718" t="s">
        <v>1535</v>
      </c>
      <c r="G1718" t="str">
        <f t="shared" si="52"/>
        <v>MGI II</v>
      </c>
      <c r="H1718" t="s">
        <v>851</v>
      </c>
      <c r="I1718" t="s">
        <v>20</v>
      </c>
      <c r="J1718" t="s">
        <v>64</v>
      </c>
      <c r="K1718" s="6">
        <v>0.03</v>
      </c>
      <c r="L1718" s="7">
        <f t="shared" si="53"/>
        <v>2E-3</v>
      </c>
      <c r="M1718" s="7">
        <v>3.0000000000000001E-3</v>
      </c>
      <c r="N1718">
        <v>8</v>
      </c>
      <c r="O1718" s="8">
        <v>17.822306426995311</v>
      </c>
      <c r="P1718" s="9">
        <v>17.822306426995311</v>
      </c>
      <c r="Q1718" s="9">
        <v>17.822306426995311</v>
      </c>
      <c r="R1718" s="9">
        <v>18.237663306594719</v>
      </c>
      <c r="S1718" s="9">
        <v>18.48712920931133</v>
      </c>
      <c r="T1718" s="9">
        <v>19.201553596969877</v>
      </c>
      <c r="U1718" s="9">
        <v>20.562345482855957</v>
      </c>
      <c r="V1718" s="9">
        <v>20.562345482855957</v>
      </c>
      <c r="W1718" s="9">
        <v>20.562345482855957</v>
      </c>
      <c r="X1718" s="9">
        <v>22.391977691000818</v>
      </c>
      <c r="Y1718" s="9">
        <v>22.391977691000818</v>
      </c>
      <c r="Z1718" s="9">
        <v>24.28858708803979</v>
      </c>
      <c r="AA1718" s="9">
        <v>24.28858708803979</v>
      </c>
      <c r="AB1718" s="9">
        <v>25.117335532005217</v>
      </c>
      <c r="AC1718" s="9">
        <v>25.117335532005217</v>
      </c>
      <c r="AD1718" s="9">
        <v>29.039116491286865</v>
      </c>
      <c r="AE1718" s="9">
        <v>31.219251037281825</v>
      </c>
      <c r="AF1718" s="9">
        <v>33.487682081707895</v>
      </c>
      <c r="AG1718" s="9">
        <v>33.487682081707895</v>
      </c>
      <c r="AH1718" s="9">
        <v>36.427668170967245</v>
      </c>
      <c r="AI1718" s="9">
        <v>38.74455996597662</v>
      </c>
      <c r="AJ1718" s="9">
        <v>3.0428788910505911</v>
      </c>
    </row>
    <row r="1719" spans="1:36" x14ac:dyDescent="0.25">
      <c r="A1719" t="s">
        <v>5411</v>
      </c>
      <c r="B1719" t="s">
        <v>16</v>
      </c>
      <c r="C1719" t="s">
        <v>17</v>
      </c>
      <c r="D1719">
        <v>39360000</v>
      </c>
      <c r="E1719">
        <v>39362999</v>
      </c>
      <c r="F1719" t="s">
        <v>1536</v>
      </c>
      <c r="G1719" t="str">
        <f t="shared" si="52"/>
        <v>MGI II</v>
      </c>
      <c r="H1719" t="s">
        <v>851</v>
      </c>
      <c r="I1719" t="s">
        <v>20</v>
      </c>
      <c r="J1719" t="s">
        <v>64</v>
      </c>
      <c r="K1719" s="6">
        <v>0.03</v>
      </c>
      <c r="L1719" s="7">
        <f t="shared" si="53"/>
        <v>2E-3</v>
      </c>
      <c r="M1719" s="7">
        <v>3.0000000000000001E-3</v>
      </c>
      <c r="N1719">
        <v>7</v>
      </c>
      <c r="O1719" s="8">
        <v>17.822306426995311</v>
      </c>
      <c r="P1719" s="9">
        <v>17.822306426995311</v>
      </c>
      <c r="Q1719" s="9">
        <v>17.822306426995311</v>
      </c>
      <c r="R1719" s="9">
        <v>18.237663306594719</v>
      </c>
      <c r="S1719" s="9">
        <v>18.48712920931133</v>
      </c>
      <c r="T1719" s="9">
        <v>19.201553596969877</v>
      </c>
      <c r="U1719" s="9">
        <v>20.562345482855957</v>
      </c>
      <c r="V1719" s="9">
        <v>20.562345482855957</v>
      </c>
      <c r="W1719" s="9">
        <v>20.562345482855957</v>
      </c>
      <c r="X1719" s="9">
        <v>22.391977691000818</v>
      </c>
      <c r="Y1719" s="9">
        <v>22.391977691000818</v>
      </c>
      <c r="Z1719" s="9">
        <v>24.28858708803979</v>
      </c>
      <c r="AA1719" s="9">
        <v>24.28858708803979</v>
      </c>
      <c r="AB1719" s="9">
        <v>25.117335532005217</v>
      </c>
      <c r="AC1719" s="9">
        <v>25.117335532005217</v>
      </c>
      <c r="AD1719" s="9">
        <v>29.039116491286865</v>
      </c>
      <c r="AE1719" s="9">
        <v>31.219251037281825</v>
      </c>
      <c r="AF1719" s="9">
        <v>33.487682081707895</v>
      </c>
      <c r="AG1719" s="9">
        <v>33.487682081707895</v>
      </c>
      <c r="AH1719" s="9">
        <v>36.427668170967245</v>
      </c>
      <c r="AI1719" s="9">
        <v>38.74455996597662</v>
      </c>
      <c r="AJ1719" s="9">
        <v>3.0428788910505911</v>
      </c>
    </row>
    <row r="1720" spans="1:36" x14ac:dyDescent="0.25">
      <c r="A1720" t="s">
        <v>5411</v>
      </c>
      <c r="B1720" t="s">
        <v>16</v>
      </c>
      <c r="C1720" t="s">
        <v>17</v>
      </c>
      <c r="D1720">
        <v>39363000</v>
      </c>
      <c r="E1720">
        <v>39364999</v>
      </c>
      <c r="F1720" t="s">
        <v>1537</v>
      </c>
      <c r="G1720" t="str">
        <f t="shared" si="52"/>
        <v>MGI II</v>
      </c>
      <c r="H1720" t="s">
        <v>851</v>
      </c>
      <c r="I1720" t="s">
        <v>20</v>
      </c>
      <c r="J1720" t="s">
        <v>64</v>
      </c>
      <c r="K1720" s="6">
        <v>0.03</v>
      </c>
      <c r="L1720" s="7">
        <f t="shared" si="53"/>
        <v>2E-3</v>
      </c>
      <c r="M1720" s="7">
        <v>3.0000000000000001E-3</v>
      </c>
      <c r="N1720">
        <v>8</v>
      </c>
      <c r="O1720" s="8">
        <v>17.822306426995311</v>
      </c>
      <c r="P1720" s="9">
        <v>17.822306426995311</v>
      </c>
      <c r="Q1720" s="9">
        <v>17.822306426995311</v>
      </c>
      <c r="R1720" s="9">
        <v>18.237663306594719</v>
      </c>
      <c r="S1720" s="9">
        <v>18.48712920931133</v>
      </c>
      <c r="T1720" s="9">
        <v>19.201553596969877</v>
      </c>
      <c r="U1720" s="9">
        <v>20.562345482855957</v>
      </c>
      <c r="V1720" s="9">
        <v>20.562345482855957</v>
      </c>
      <c r="W1720" s="9">
        <v>20.562345482855957</v>
      </c>
      <c r="X1720" s="9">
        <v>22.391977691000818</v>
      </c>
      <c r="Y1720" s="9">
        <v>22.391977691000818</v>
      </c>
      <c r="Z1720" s="9">
        <v>24.28858708803979</v>
      </c>
      <c r="AA1720" s="9">
        <v>24.28858708803979</v>
      </c>
      <c r="AB1720" s="9">
        <v>25.117335532005217</v>
      </c>
      <c r="AC1720" s="9">
        <v>25.117335532005217</v>
      </c>
      <c r="AD1720" s="9">
        <v>29.039116491286865</v>
      </c>
      <c r="AE1720" s="9">
        <v>31.219251037281825</v>
      </c>
      <c r="AF1720" s="9">
        <v>33.487682081707895</v>
      </c>
      <c r="AG1720" s="9">
        <v>33.487682081707895</v>
      </c>
      <c r="AH1720" s="9">
        <v>36.427668170967245</v>
      </c>
      <c r="AI1720" s="9">
        <v>38.74455996597662</v>
      </c>
      <c r="AJ1720" s="9">
        <v>3.0428788910505911</v>
      </c>
    </row>
    <row r="1721" spans="1:36" x14ac:dyDescent="0.25">
      <c r="A1721" t="s">
        <v>5411</v>
      </c>
      <c r="B1721" t="s">
        <v>16</v>
      </c>
      <c r="C1721" t="s">
        <v>17</v>
      </c>
      <c r="D1721">
        <v>39365000</v>
      </c>
      <c r="E1721">
        <v>39369999</v>
      </c>
      <c r="F1721" t="s">
        <v>1538</v>
      </c>
      <c r="G1721" t="str">
        <f t="shared" si="52"/>
        <v>MGI II</v>
      </c>
      <c r="H1721" t="s">
        <v>851</v>
      </c>
      <c r="I1721" t="s">
        <v>20</v>
      </c>
      <c r="J1721" t="s">
        <v>64</v>
      </c>
      <c r="K1721" s="6">
        <v>0.03</v>
      </c>
      <c r="L1721" s="7">
        <f t="shared" si="53"/>
        <v>2E-3</v>
      </c>
      <c r="M1721" s="7">
        <v>3.0000000000000001E-3</v>
      </c>
      <c r="N1721">
        <v>8</v>
      </c>
      <c r="O1721" s="8">
        <v>17.822306426995311</v>
      </c>
      <c r="P1721" s="9">
        <v>17.822306426995311</v>
      </c>
      <c r="Q1721" s="9">
        <v>17.822306426995311</v>
      </c>
      <c r="R1721" s="9">
        <v>18.237663306594719</v>
      </c>
      <c r="S1721" s="9">
        <v>18.48712920931133</v>
      </c>
      <c r="T1721" s="9">
        <v>19.201553596969877</v>
      </c>
      <c r="U1721" s="9">
        <v>20.562345482855957</v>
      </c>
      <c r="V1721" s="9">
        <v>20.562345482855957</v>
      </c>
      <c r="W1721" s="9">
        <v>20.562345482855957</v>
      </c>
      <c r="X1721" s="9">
        <v>22.391977691000818</v>
      </c>
      <c r="Y1721" s="9">
        <v>22.391977691000818</v>
      </c>
      <c r="Z1721" s="9">
        <v>24.28858708803979</v>
      </c>
      <c r="AA1721" s="9">
        <v>24.28858708803979</v>
      </c>
      <c r="AB1721" s="9">
        <v>25.117335532005217</v>
      </c>
      <c r="AC1721" s="9">
        <v>25.117335532005217</v>
      </c>
      <c r="AD1721" s="9">
        <v>29.039116491286865</v>
      </c>
      <c r="AE1721" s="9">
        <v>31.219251037281825</v>
      </c>
      <c r="AF1721" s="9">
        <v>33.487682081707895</v>
      </c>
      <c r="AG1721" s="9">
        <v>33.487682081707895</v>
      </c>
      <c r="AH1721" s="9">
        <v>36.427668170967245</v>
      </c>
      <c r="AI1721" s="9">
        <v>38.74455996597662</v>
      </c>
      <c r="AJ1721" s="9">
        <v>3.0428788910505911</v>
      </c>
    </row>
    <row r="1722" spans="1:36" x14ac:dyDescent="0.25">
      <c r="A1722" t="s">
        <v>5411</v>
      </c>
      <c r="B1722" t="s">
        <v>16</v>
      </c>
      <c r="C1722" t="s">
        <v>17</v>
      </c>
      <c r="D1722">
        <v>39370000</v>
      </c>
      <c r="E1722">
        <v>39372999</v>
      </c>
      <c r="F1722" t="s">
        <v>1539</v>
      </c>
      <c r="G1722" t="str">
        <f t="shared" si="52"/>
        <v>MGI II</v>
      </c>
      <c r="H1722" t="s">
        <v>851</v>
      </c>
      <c r="I1722" t="s">
        <v>20</v>
      </c>
      <c r="J1722" t="s">
        <v>64</v>
      </c>
      <c r="K1722" s="6">
        <v>0.03</v>
      </c>
      <c r="L1722" s="7">
        <f t="shared" si="53"/>
        <v>2E-3</v>
      </c>
      <c r="M1722" s="7">
        <v>3.0000000000000001E-3</v>
      </c>
      <c r="N1722">
        <v>7</v>
      </c>
      <c r="O1722" s="8">
        <v>17.822306426995311</v>
      </c>
      <c r="P1722" s="9">
        <v>17.822306426995311</v>
      </c>
      <c r="Q1722" s="9">
        <v>17.822306426995311</v>
      </c>
      <c r="R1722" s="9">
        <v>18.237663306594719</v>
      </c>
      <c r="S1722" s="9">
        <v>18.48712920931133</v>
      </c>
      <c r="T1722" s="9">
        <v>19.201553596969877</v>
      </c>
      <c r="U1722" s="9">
        <v>20.562345482855957</v>
      </c>
      <c r="V1722" s="9">
        <v>20.562345482855957</v>
      </c>
      <c r="W1722" s="9">
        <v>20.562345482855957</v>
      </c>
      <c r="X1722" s="9">
        <v>22.391977691000818</v>
      </c>
      <c r="Y1722" s="9">
        <v>22.391977691000818</v>
      </c>
      <c r="Z1722" s="9">
        <v>24.28858708803979</v>
      </c>
      <c r="AA1722" s="9">
        <v>24.28858708803979</v>
      </c>
      <c r="AB1722" s="9">
        <v>25.117335532005217</v>
      </c>
      <c r="AC1722" s="9">
        <v>25.117335532005217</v>
      </c>
      <c r="AD1722" s="9">
        <v>29.039116491286865</v>
      </c>
      <c r="AE1722" s="9">
        <v>31.219251037281825</v>
      </c>
      <c r="AF1722" s="9">
        <v>33.487682081707895</v>
      </c>
      <c r="AG1722" s="9">
        <v>33.487682081707895</v>
      </c>
      <c r="AH1722" s="9">
        <v>36.427668170967245</v>
      </c>
      <c r="AI1722" s="9">
        <v>38.74455996597662</v>
      </c>
      <c r="AJ1722" s="9">
        <v>3.0428788910505911</v>
      </c>
    </row>
    <row r="1723" spans="1:36" x14ac:dyDescent="0.25">
      <c r="A1723" t="s">
        <v>5411</v>
      </c>
      <c r="B1723" t="s">
        <v>16</v>
      </c>
      <c r="C1723" t="s">
        <v>17</v>
      </c>
      <c r="D1723">
        <v>39373000</v>
      </c>
      <c r="E1723">
        <v>39377999</v>
      </c>
      <c r="F1723" t="s">
        <v>1540</v>
      </c>
      <c r="G1723" t="str">
        <f t="shared" si="52"/>
        <v>MGI II</v>
      </c>
      <c r="H1723" t="s">
        <v>851</v>
      </c>
      <c r="I1723" t="s">
        <v>20</v>
      </c>
      <c r="J1723" t="s">
        <v>64</v>
      </c>
      <c r="K1723" s="6">
        <v>0.03</v>
      </c>
      <c r="L1723" s="7">
        <f t="shared" si="53"/>
        <v>2E-3</v>
      </c>
      <c r="M1723" s="7">
        <v>3.0000000000000001E-3</v>
      </c>
      <c r="N1723">
        <v>8</v>
      </c>
      <c r="O1723" s="8">
        <v>17.822306426995311</v>
      </c>
      <c r="P1723" s="9">
        <v>17.822306426995311</v>
      </c>
      <c r="Q1723" s="9">
        <v>17.822306426995311</v>
      </c>
      <c r="R1723" s="9">
        <v>18.237663306594719</v>
      </c>
      <c r="S1723" s="9">
        <v>18.48712920931133</v>
      </c>
      <c r="T1723" s="9">
        <v>19.201553596969877</v>
      </c>
      <c r="U1723" s="9">
        <v>20.562345482855957</v>
      </c>
      <c r="V1723" s="9">
        <v>20.562345482855957</v>
      </c>
      <c r="W1723" s="9">
        <v>20.562345482855957</v>
      </c>
      <c r="X1723" s="9">
        <v>22.391977691000818</v>
      </c>
      <c r="Y1723" s="9">
        <v>22.391977691000818</v>
      </c>
      <c r="Z1723" s="9">
        <v>24.28858708803979</v>
      </c>
      <c r="AA1723" s="9">
        <v>24.28858708803979</v>
      </c>
      <c r="AB1723" s="9">
        <v>25.117335532005217</v>
      </c>
      <c r="AC1723" s="9">
        <v>25.117335532005217</v>
      </c>
      <c r="AD1723" s="9">
        <v>29.039116491286865</v>
      </c>
      <c r="AE1723" s="9">
        <v>31.219251037281825</v>
      </c>
      <c r="AF1723" s="9">
        <v>33.487682081707895</v>
      </c>
      <c r="AG1723" s="9">
        <v>33.487682081707895</v>
      </c>
      <c r="AH1723" s="9">
        <v>36.427668170967245</v>
      </c>
      <c r="AI1723" s="9">
        <v>38.74455996597662</v>
      </c>
      <c r="AJ1723" s="9">
        <v>3.0428788910505911</v>
      </c>
    </row>
    <row r="1724" spans="1:36" x14ac:dyDescent="0.25">
      <c r="A1724" t="s">
        <v>5411</v>
      </c>
      <c r="B1724" t="s">
        <v>16</v>
      </c>
      <c r="C1724" t="s">
        <v>17</v>
      </c>
      <c r="D1724">
        <v>39378000</v>
      </c>
      <c r="E1724">
        <v>39379999</v>
      </c>
      <c r="F1724" t="s">
        <v>1541</v>
      </c>
      <c r="G1724" t="str">
        <f t="shared" si="52"/>
        <v>MGI II</v>
      </c>
      <c r="H1724" t="s">
        <v>851</v>
      </c>
      <c r="I1724" t="s">
        <v>20</v>
      </c>
      <c r="J1724" t="s">
        <v>64</v>
      </c>
      <c r="K1724" s="6">
        <v>0.03</v>
      </c>
      <c r="L1724" s="7">
        <f t="shared" si="53"/>
        <v>2E-3</v>
      </c>
      <c r="M1724" s="7">
        <v>3.0000000000000001E-3</v>
      </c>
      <c r="N1724">
        <v>8</v>
      </c>
      <c r="O1724" s="8">
        <v>17.822306426995311</v>
      </c>
      <c r="P1724" s="9">
        <v>17.822306426995311</v>
      </c>
      <c r="Q1724" s="9">
        <v>17.822306426995311</v>
      </c>
      <c r="R1724" s="9">
        <v>18.237663306594719</v>
      </c>
      <c r="S1724" s="9">
        <v>18.48712920931133</v>
      </c>
      <c r="T1724" s="9">
        <v>19.201553596969877</v>
      </c>
      <c r="U1724" s="9">
        <v>20.562345482855957</v>
      </c>
      <c r="V1724" s="9">
        <v>20.562345482855957</v>
      </c>
      <c r="W1724" s="9">
        <v>20.562345482855957</v>
      </c>
      <c r="X1724" s="9">
        <v>22.391977691000818</v>
      </c>
      <c r="Y1724" s="9">
        <v>22.391977691000818</v>
      </c>
      <c r="Z1724" s="9">
        <v>24.28858708803979</v>
      </c>
      <c r="AA1724" s="9">
        <v>24.28858708803979</v>
      </c>
      <c r="AB1724" s="9">
        <v>25.117335532005217</v>
      </c>
      <c r="AC1724" s="9">
        <v>25.117335532005217</v>
      </c>
      <c r="AD1724" s="9">
        <v>29.039116491286865</v>
      </c>
      <c r="AE1724" s="9">
        <v>31.219251037281825</v>
      </c>
      <c r="AF1724" s="9">
        <v>33.487682081707895</v>
      </c>
      <c r="AG1724" s="9">
        <v>33.487682081707895</v>
      </c>
      <c r="AH1724" s="9">
        <v>36.427668170967245</v>
      </c>
      <c r="AI1724" s="9">
        <v>38.74455996597662</v>
      </c>
      <c r="AJ1724" s="9">
        <v>3.0428788910505911</v>
      </c>
    </row>
    <row r="1725" spans="1:36" x14ac:dyDescent="0.25">
      <c r="A1725" t="s">
        <v>5411</v>
      </c>
      <c r="B1725" t="s">
        <v>16</v>
      </c>
      <c r="C1725" t="s">
        <v>17</v>
      </c>
      <c r="D1725">
        <v>39380000</v>
      </c>
      <c r="E1725">
        <v>39386999</v>
      </c>
      <c r="F1725" t="s">
        <v>1542</v>
      </c>
      <c r="G1725" t="str">
        <f t="shared" si="52"/>
        <v>MGI II</v>
      </c>
      <c r="H1725" t="s">
        <v>851</v>
      </c>
      <c r="I1725" t="s">
        <v>20</v>
      </c>
      <c r="J1725" t="s">
        <v>64</v>
      </c>
      <c r="K1725" s="6">
        <v>0.03</v>
      </c>
      <c r="L1725" s="7">
        <f t="shared" si="53"/>
        <v>2E-3</v>
      </c>
      <c r="M1725" s="7">
        <v>3.0000000000000001E-3</v>
      </c>
      <c r="N1725">
        <v>8</v>
      </c>
      <c r="O1725" s="8">
        <v>17.822306426995311</v>
      </c>
      <c r="P1725" s="9">
        <v>17.822306426995311</v>
      </c>
      <c r="Q1725" s="9">
        <v>17.822306426995311</v>
      </c>
      <c r="R1725" s="9">
        <v>18.237663306594719</v>
      </c>
      <c r="S1725" s="9">
        <v>18.48712920931133</v>
      </c>
      <c r="T1725" s="9">
        <v>19.201553596969877</v>
      </c>
      <c r="U1725" s="9">
        <v>20.562345482855957</v>
      </c>
      <c r="V1725" s="9">
        <v>20.562345482855957</v>
      </c>
      <c r="W1725" s="9">
        <v>20.562345482855957</v>
      </c>
      <c r="X1725" s="9">
        <v>22.391977691000818</v>
      </c>
      <c r="Y1725" s="9">
        <v>22.391977691000818</v>
      </c>
      <c r="Z1725" s="9">
        <v>24.28858708803979</v>
      </c>
      <c r="AA1725" s="9">
        <v>24.28858708803979</v>
      </c>
      <c r="AB1725" s="9">
        <v>25.117335532005217</v>
      </c>
      <c r="AC1725" s="9">
        <v>25.117335532005217</v>
      </c>
      <c r="AD1725" s="9">
        <v>29.039116491286865</v>
      </c>
      <c r="AE1725" s="9">
        <v>31.219251037281825</v>
      </c>
      <c r="AF1725" s="9">
        <v>33.487682081707895</v>
      </c>
      <c r="AG1725" s="9">
        <v>33.487682081707895</v>
      </c>
      <c r="AH1725" s="9">
        <v>36.427668170967245</v>
      </c>
      <c r="AI1725" s="9">
        <v>38.74455996597662</v>
      </c>
      <c r="AJ1725" s="9">
        <v>3.0428788910505911</v>
      </c>
    </row>
    <row r="1726" spans="1:36" x14ac:dyDescent="0.25">
      <c r="A1726" t="s">
        <v>5411</v>
      </c>
      <c r="B1726" t="s">
        <v>16</v>
      </c>
      <c r="C1726" t="s">
        <v>17</v>
      </c>
      <c r="D1726">
        <v>39387000</v>
      </c>
      <c r="E1726">
        <v>39389999</v>
      </c>
      <c r="F1726" t="s">
        <v>1543</v>
      </c>
      <c r="G1726" t="str">
        <f t="shared" si="52"/>
        <v>MGI II</v>
      </c>
      <c r="H1726" t="s">
        <v>851</v>
      </c>
      <c r="I1726" t="s">
        <v>20</v>
      </c>
      <c r="J1726" t="s">
        <v>64</v>
      </c>
      <c r="K1726" s="6">
        <v>0.03</v>
      </c>
      <c r="L1726" s="7">
        <f t="shared" si="53"/>
        <v>2E-3</v>
      </c>
      <c r="M1726" s="7">
        <v>3.0000000000000001E-3</v>
      </c>
      <c r="N1726">
        <v>8</v>
      </c>
      <c r="O1726" s="8">
        <v>17.822306426995311</v>
      </c>
      <c r="P1726" s="9">
        <v>17.822306426995311</v>
      </c>
      <c r="Q1726" s="9">
        <v>17.822306426995311</v>
      </c>
      <c r="R1726" s="9">
        <v>18.237663306594719</v>
      </c>
      <c r="S1726" s="9">
        <v>18.48712920931133</v>
      </c>
      <c r="T1726" s="9">
        <v>19.201553596969877</v>
      </c>
      <c r="U1726" s="9">
        <v>20.562345482855957</v>
      </c>
      <c r="V1726" s="9">
        <v>20.562345482855957</v>
      </c>
      <c r="W1726" s="9">
        <v>20.562345482855957</v>
      </c>
      <c r="X1726" s="9">
        <v>22.391977691000818</v>
      </c>
      <c r="Y1726" s="9">
        <v>22.391977691000818</v>
      </c>
      <c r="Z1726" s="9">
        <v>24.28858708803979</v>
      </c>
      <c r="AA1726" s="9">
        <v>24.28858708803979</v>
      </c>
      <c r="AB1726" s="9">
        <v>25.117335532005217</v>
      </c>
      <c r="AC1726" s="9">
        <v>25.117335532005217</v>
      </c>
      <c r="AD1726" s="9">
        <v>29.039116491286865</v>
      </c>
      <c r="AE1726" s="9">
        <v>31.219251037281825</v>
      </c>
      <c r="AF1726" s="9">
        <v>33.487682081707895</v>
      </c>
      <c r="AG1726" s="9">
        <v>33.487682081707895</v>
      </c>
      <c r="AH1726" s="9">
        <v>36.427668170967245</v>
      </c>
      <c r="AI1726" s="9">
        <v>38.74455996597662</v>
      </c>
      <c r="AJ1726" s="9">
        <v>3.0428788910505911</v>
      </c>
    </row>
    <row r="1727" spans="1:36" x14ac:dyDescent="0.25">
      <c r="A1727" t="s">
        <v>5411</v>
      </c>
      <c r="B1727" t="s">
        <v>16</v>
      </c>
      <c r="C1727" t="s">
        <v>17</v>
      </c>
      <c r="D1727">
        <v>39390000</v>
      </c>
      <c r="E1727">
        <v>39396999</v>
      </c>
      <c r="F1727" t="s">
        <v>1544</v>
      </c>
      <c r="G1727" t="str">
        <f t="shared" si="52"/>
        <v>MGI</v>
      </c>
      <c r="H1727" t="s">
        <v>851</v>
      </c>
      <c r="I1727" t="s">
        <v>20</v>
      </c>
      <c r="J1727" t="s">
        <v>62</v>
      </c>
      <c r="K1727" s="6">
        <v>0.03</v>
      </c>
      <c r="L1727" s="7">
        <f t="shared" si="53"/>
        <v>2E-3</v>
      </c>
      <c r="M1727" s="7">
        <v>3.0000000000000001E-3</v>
      </c>
      <c r="N1727">
        <v>8</v>
      </c>
      <c r="O1727" s="8">
        <v>13.880385281502075</v>
      </c>
      <c r="P1727" s="9">
        <v>13.880385281502075</v>
      </c>
      <c r="Q1727" s="9">
        <v>13.880385281502075</v>
      </c>
      <c r="R1727" s="9">
        <v>14.045989937445718</v>
      </c>
      <c r="S1727" s="9">
        <v>14.060876315369912</v>
      </c>
      <c r="T1727" s="9">
        <v>15.090338571208333</v>
      </c>
      <c r="U1727" s="9">
        <v>16.025407313902726</v>
      </c>
      <c r="V1727" s="9">
        <v>16.025407313902726</v>
      </c>
      <c r="W1727" s="9">
        <v>16.025407313902726</v>
      </c>
      <c r="X1727" s="9">
        <v>18.013895748167766</v>
      </c>
      <c r="Y1727" s="9">
        <v>18.013895748167766</v>
      </c>
      <c r="Z1727" s="9">
        <v>20.142868501532355</v>
      </c>
      <c r="AA1727" s="9">
        <v>20.142868501532355</v>
      </c>
      <c r="AB1727" s="9">
        <v>22.456349831314476</v>
      </c>
      <c r="AC1727" s="9">
        <v>22.456349831314476</v>
      </c>
      <c r="AD1727" s="9">
        <v>24.87984091164185</v>
      </c>
      <c r="AE1727" s="9">
        <v>27.427492221952345</v>
      </c>
      <c r="AF1727" s="9">
        <v>33.194804868730657</v>
      </c>
      <c r="AG1727" s="9">
        <v>33.194804868730657</v>
      </c>
      <c r="AH1727" s="9">
        <v>35.957808835828068</v>
      </c>
      <c r="AI1727" s="9">
        <v>38.646304092692077</v>
      </c>
      <c r="AJ1727" s="9">
        <v>3.0428788910505911</v>
      </c>
    </row>
    <row r="1728" spans="1:36" x14ac:dyDescent="0.25">
      <c r="A1728" t="s">
        <v>5411</v>
      </c>
      <c r="B1728" t="s">
        <v>16</v>
      </c>
      <c r="C1728" t="s">
        <v>17</v>
      </c>
      <c r="D1728">
        <v>39397000</v>
      </c>
      <c r="E1728">
        <v>39397999</v>
      </c>
      <c r="F1728" t="s">
        <v>1545</v>
      </c>
      <c r="G1728" t="str">
        <f t="shared" si="52"/>
        <v>MGI II</v>
      </c>
      <c r="H1728" t="s">
        <v>851</v>
      </c>
      <c r="I1728" t="s">
        <v>20</v>
      </c>
      <c r="J1728" t="s">
        <v>64</v>
      </c>
      <c r="K1728" s="6">
        <v>0.03</v>
      </c>
      <c r="L1728" s="7">
        <f t="shared" si="53"/>
        <v>2E-3</v>
      </c>
      <c r="M1728" s="7">
        <v>3.0000000000000001E-3</v>
      </c>
      <c r="N1728">
        <v>8</v>
      </c>
      <c r="O1728" s="8">
        <v>17.822306426995311</v>
      </c>
      <c r="P1728" s="9">
        <v>17.822306426995311</v>
      </c>
      <c r="Q1728" s="9">
        <v>17.822306426995311</v>
      </c>
      <c r="R1728" s="9">
        <v>18.237663306594719</v>
      </c>
      <c r="S1728" s="9">
        <v>18.48712920931133</v>
      </c>
      <c r="T1728" s="9">
        <v>19.201553596969877</v>
      </c>
      <c r="U1728" s="9">
        <v>20.562345482855957</v>
      </c>
      <c r="V1728" s="9">
        <v>20.562345482855957</v>
      </c>
      <c r="W1728" s="9">
        <v>20.562345482855957</v>
      </c>
      <c r="X1728" s="9">
        <v>22.391977691000818</v>
      </c>
      <c r="Y1728" s="9">
        <v>22.391977691000818</v>
      </c>
      <c r="Z1728" s="9">
        <v>24.28858708803979</v>
      </c>
      <c r="AA1728" s="9">
        <v>24.28858708803979</v>
      </c>
      <c r="AB1728" s="9">
        <v>25.117335532005217</v>
      </c>
      <c r="AC1728" s="9">
        <v>25.117335532005217</v>
      </c>
      <c r="AD1728" s="9">
        <v>29.039116491286865</v>
      </c>
      <c r="AE1728" s="9">
        <v>31.219251037281825</v>
      </c>
      <c r="AF1728" s="9">
        <v>33.487682081707895</v>
      </c>
      <c r="AG1728" s="9">
        <v>33.487682081707895</v>
      </c>
      <c r="AH1728" s="9">
        <v>36.427668170967245</v>
      </c>
      <c r="AI1728" s="9">
        <v>38.74455996597662</v>
      </c>
      <c r="AJ1728" s="9">
        <v>3.0428788910505911</v>
      </c>
    </row>
    <row r="1729" spans="1:36" x14ac:dyDescent="0.25">
      <c r="A1729" t="s">
        <v>5411</v>
      </c>
      <c r="B1729" t="s">
        <v>16</v>
      </c>
      <c r="C1729" t="s">
        <v>17</v>
      </c>
      <c r="D1729">
        <v>39398000</v>
      </c>
      <c r="E1729">
        <v>39399999</v>
      </c>
      <c r="F1729" t="s">
        <v>1546</v>
      </c>
      <c r="G1729" t="str">
        <f t="shared" si="52"/>
        <v>MGI II</v>
      </c>
      <c r="H1729" t="s">
        <v>851</v>
      </c>
      <c r="I1729" t="s">
        <v>20</v>
      </c>
      <c r="J1729" t="s">
        <v>64</v>
      </c>
      <c r="K1729" s="6">
        <v>0.03</v>
      </c>
      <c r="L1729" s="7">
        <f t="shared" si="53"/>
        <v>2E-3</v>
      </c>
      <c r="M1729" s="7">
        <v>3.0000000000000001E-3</v>
      </c>
      <c r="N1729">
        <v>8</v>
      </c>
      <c r="O1729" s="8">
        <v>17.822306426995311</v>
      </c>
      <c r="P1729" s="9">
        <v>17.822306426995311</v>
      </c>
      <c r="Q1729" s="9">
        <v>17.822306426995311</v>
      </c>
      <c r="R1729" s="9">
        <v>18.237663306594719</v>
      </c>
      <c r="S1729" s="9">
        <v>18.48712920931133</v>
      </c>
      <c r="T1729" s="9">
        <v>19.201553596969877</v>
      </c>
      <c r="U1729" s="9">
        <v>20.562345482855957</v>
      </c>
      <c r="V1729" s="9">
        <v>20.562345482855957</v>
      </c>
      <c r="W1729" s="9">
        <v>20.562345482855957</v>
      </c>
      <c r="X1729" s="9">
        <v>22.391977691000818</v>
      </c>
      <c r="Y1729" s="9">
        <v>22.391977691000818</v>
      </c>
      <c r="Z1729" s="9">
        <v>24.28858708803979</v>
      </c>
      <c r="AA1729" s="9">
        <v>24.28858708803979</v>
      </c>
      <c r="AB1729" s="9">
        <v>25.117335532005217</v>
      </c>
      <c r="AC1729" s="9">
        <v>25.117335532005217</v>
      </c>
      <c r="AD1729" s="9">
        <v>29.039116491286865</v>
      </c>
      <c r="AE1729" s="9">
        <v>31.219251037281825</v>
      </c>
      <c r="AF1729" s="9">
        <v>33.487682081707895</v>
      </c>
      <c r="AG1729" s="9">
        <v>33.487682081707895</v>
      </c>
      <c r="AH1729" s="9">
        <v>36.427668170967245</v>
      </c>
      <c r="AI1729" s="9">
        <v>38.74455996597662</v>
      </c>
      <c r="AJ1729" s="9">
        <v>3.0428788910505911</v>
      </c>
    </row>
    <row r="1730" spans="1:36" x14ac:dyDescent="0.25">
      <c r="A1730" t="s">
        <v>5411</v>
      </c>
      <c r="B1730" t="s">
        <v>16</v>
      </c>
      <c r="C1730" t="s">
        <v>17</v>
      </c>
      <c r="D1730">
        <v>39400000</v>
      </c>
      <c r="E1730">
        <v>39429999</v>
      </c>
      <c r="F1730" t="s">
        <v>1547</v>
      </c>
      <c r="G1730" t="str">
        <f t="shared" si="52"/>
        <v>MGI</v>
      </c>
      <c r="H1730" t="s">
        <v>851</v>
      </c>
      <c r="I1730" t="s">
        <v>20</v>
      </c>
      <c r="J1730" t="s">
        <v>62</v>
      </c>
      <c r="K1730" s="6">
        <v>0.03</v>
      </c>
      <c r="L1730" s="7">
        <f t="shared" si="53"/>
        <v>2E-3</v>
      </c>
      <c r="M1730" s="7">
        <v>3.0000000000000001E-3</v>
      </c>
      <c r="N1730">
        <v>7</v>
      </c>
      <c r="O1730" s="8">
        <v>13.880385281502075</v>
      </c>
      <c r="P1730" s="9">
        <v>13.880385281502075</v>
      </c>
      <c r="Q1730" s="9">
        <v>13.880385281502075</v>
      </c>
      <c r="R1730" s="9">
        <v>14.045989937445718</v>
      </c>
      <c r="S1730" s="9">
        <v>14.060876315369912</v>
      </c>
      <c r="T1730" s="9">
        <v>15.090338571208333</v>
      </c>
      <c r="U1730" s="9">
        <v>16.025407313902726</v>
      </c>
      <c r="V1730" s="9">
        <v>16.025407313902726</v>
      </c>
      <c r="W1730" s="9">
        <v>16.025407313902726</v>
      </c>
      <c r="X1730" s="9">
        <v>18.013895748167766</v>
      </c>
      <c r="Y1730" s="9">
        <v>18.013895748167766</v>
      </c>
      <c r="Z1730" s="9">
        <v>20.142868501532355</v>
      </c>
      <c r="AA1730" s="9">
        <v>20.142868501532355</v>
      </c>
      <c r="AB1730" s="9">
        <v>22.456349831314476</v>
      </c>
      <c r="AC1730" s="9">
        <v>22.456349831314476</v>
      </c>
      <c r="AD1730" s="9">
        <v>24.87984091164185</v>
      </c>
      <c r="AE1730" s="9">
        <v>27.427492221952345</v>
      </c>
      <c r="AF1730" s="9">
        <v>33.194804868730657</v>
      </c>
      <c r="AG1730" s="9">
        <v>33.194804868730657</v>
      </c>
      <c r="AH1730" s="9">
        <v>35.957808835828068</v>
      </c>
      <c r="AI1730" s="9">
        <v>38.646304092692077</v>
      </c>
      <c r="AJ1730" s="9">
        <v>3.0428788910505911</v>
      </c>
    </row>
    <row r="1731" spans="1:36" x14ac:dyDescent="0.25">
      <c r="A1731" t="s">
        <v>5411</v>
      </c>
      <c r="B1731" t="s">
        <v>16</v>
      </c>
      <c r="C1731" t="s">
        <v>17</v>
      </c>
      <c r="D1731">
        <v>39430000</v>
      </c>
      <c r="E1731">
        <v>39436999</v>
      </c>
      <c r="F1731" t="s">
        <v>1548</v>
      </c>
      <c r="G1731" t="str">
        <f t="shared" si="52"/>
        <v>MGI II</v>
      </c>
      <c r="H1731" t="s">
        <v>851</v>
      </c>
      <c r="I1731" t="s">
        <v>20</v>
      </c>
      <c r="J1731" t="s">
        <v>64</v>
      </c>
      <c r="K1731" s="6">
        <v>0.03</v>
      </c>
      <c r="L1731" s="7">
        <f t="shared" si="53"/>
        <v>2E-3</v>
      </c>
      <c r="M1731" s="7">
        <v>3.0000000000000001E-3</v>
      </c>
      <c r="N1731">
        <v>8</v>
      </c>
      <c r="O1731" s="8">
        <v>17.822306426995311</v>
      </c>
      <c r="P1731" s="9">
        <v>17.822306426995311</v>
      </c>
      <c r="Q1731" s="9">
        <v>17.822306426995311</v>
      </c>
      <c r="R1731" s="9">
        <v>18.237663306594719</v>
      </c>
      <c r="S1731" s="9">
        <v>18.48712920931133</v>
      </c>
      <c r="T1731" s="9">
        <v>19.201553596969877</v>
      </c>
      <c r="U1731" s="9">
        <v>20.562345482855957</v>
      </c>
      <c r="V1731" s="9">
        <v>20.562345482855957</v>
      </c>
      <c r="W1731" s="9">
        <v>20.562345482855957</v>
      </c>
      <c r="X1731" s="9">
        <v>22.391977691000818</v>
      </c>
      <c r="Y1731" s="9">
        <v>22.391977691000818</v>
      </c>
      <c r="Z1731" s="9">
        <v>24.28858708803979</v>
      </c>
      <c r="AA1731" s="9">
        <v>24.28858708803979</v>
      </c>
      <c r="AB1731" s="9">
        <v>25.117335532005217</v>
      </c>
      <c r="AC1731" s="9">
        <v>25.117335532005217</v>
      </c>
      <c r="AD1731" s="9">
        <v>29.039116491286865</v>
      </c>
      <c r="AE1731" s="9">
        <v>31.219251037281825</v>
      </c>
      <c r="AF1731" s="9">
        <v>33.487682081707895</v>
      </c>
      <c r="AG1731" s="9">
        <v>33.487682081707895</v>
      </c>
      <c r="AH1731" s="9">
        <v>36.427668170967245</v>
      </c>
      <c r="AI1731" s="9">
        <v>38.74455996597662</v>
      </c>
      <c r="AJ1731" s="9">
        <v>3.0428788910505911</v>
      </c>
    </row>
    <row r="1732" spans="1:36" x14ac:dyDescent="0.25">
      <c r="A1732" t="s">
        <v>5411</v>
      </c>
      <c r="B1732" t="s">
        <v>16</v>
      </c>
      <c r="C1732" t="s">
        <v>17</v>
      </c>
      <c r="D1732">
        <v>39437000</v>
      </c>
      <c r="E1732">
        <v>39439999</v>
      </c>
      <c r="F1732" t="s">
        <v>1549</v>
      </c>
      <c r="G1732" t="str">
        <f t="shared" ref="G1732:G1795" si="54">H1732&amp;IF(J1732="CAPITAL","C",IF(J1732="INTERIOR","I",IF(J1732="INTERIOR II","I II","R")))</f>
        <v>MGI II</v>
      </c>
      <c r="H1732" t="s">
        <v>851</v>
      </c>
      <c r="I1732" t="s">
        <v>20</v>
      </c>
      <c r="J1732" t="s">
        <v>64</v>
      </c>
      <c r="K1732" s="6">
        <v>0.03</v>
      </c>
      <c r="L1732" s="7">
        <f t="shared" ref="L1732:L1795" si="55">IF(I1732="(0) Não",0.2%,3%)</f>
        <v>2E-3</v>
      </c>
      <c r="M1732" s="7">
        <v>3.0000000000000001E-3</v>
      </c>
      <c r="N1732">
        <v>8</v>
      </c>
      <c r="O1732" s="8">
        <v>17.822306426995311</v>
      </c>
      <c r="P1732" s="9">
        <v>17.822306426995311</v>
      </c>
      <c r="Q1732" s="9">
        <v>17.822306426995311</v>
      </c>
      <c r="R1732" s="9">
        <v>18.237663306594719</v>
      </c>
      <c r="S1732" s="9">
        <v>18.48712920931133</v>
      </c>
      <c r="T1732" s="9">
        <v>19.201553596969877</v>
      </c>
      <c r="U1732" s="9">
        <v>20.562345482855957</v>
      </c>
      <c r="V1732" s="9">
        <v>20.562345482855957</v>
      </c>
      <c r="W1732" s="9">
        <v>20.562345482855957</v>
      </c>
      <c r="X1732" s="9">
        <v>22.391977691000818</v>
      </c>
      <c r="Y1732" s="9">
        <v>22.391977691000818</v>
      </c>
      <c r="Z1732" s="9">
        <v>24.28858708803979</v>
      </c>
      <c r="AA1732" s="9">
        <v>24.28858708803979</v>
      </c>
      <c r="AB1732" s="9">
        <v>25.117335532005217</v>
      </c>
      <c r="AC1732" s="9">
        <v>25.117335532005217</v>
      </c>
      <c r="AD1732" s="9">
        <v>29.039116491286865</v>
      </c>
      <c r="AE1732" s="9">
        <v>31.219251037281825</v>
      </c>
      <c r="AF1732" s="9">
        <v>33.487682081707895</v>
      </c>
      <c r="AG1732" s="9">
        <v>33.487682081707895</v>
      </c>
      <c r="AH1732" s="9">
        <v>36.427668170967245</v>
      </c>
      <c r="AI1732" s="9">
        <v>38.74455996597662</v>
      </c>
      <c r="AJ1732" s="9">
        <v>3.0428788910505911</v>
      </c>
    </row>
    <row r="1733" spans="1:36" x14ac:dyDescent="0.25">
      <c r="A1733" t="s">
        <v>5411</v>
      </c>
      <c r="B1733" t="s">
        <v>16</v>
      </c>
      <c r="C1733" t="s">
        <v>17</v>
      </c>
      <c r="D1733">
        <v>39440000</v>
      </c>
      <c r="E1733">
        <v>39449999</v>
      </c>
      <c r="F1733" t="s">
        <v>1550</v>
      </c>
      <c r="G1733" t="str">
        <f t="shared" si="54"/>
        <v>MGI II</v>
      </c>
      <c r="H1733" t="s">
        <v>851</v>
      </c>
      <c r="I1733" t="s">
        <v>20</v>
      </c>
      <c r="J1733" t="s">
        <v>64</v>
      </c>
      <c r="K1733" s="6">
        <v>0.03</v>
      </c>
      <c r="L1733" s="7">
        <f t="shared" si="55"/>
        <v>2E-3</v>
      </c>
      <c r="M1733" s="7">
        <v>3.0000000000000001E-3</v>
      </c>
      <c r="N1733">
        <v>10</v>
      </c>
      <c r="O1733" s="8">
        <v>17.822306426995311</v>
      </c>
      <c r="P1733" s="9">
        <v>17.822306426995311</v>
      </c>
      <c r="Q1733" s="9">
        <v>17.822306426995311</v>
      </c>
      <c r="R1733" s="9">
        <v>18.237663306594719</v>
      </c>
      <c r="S1733" s="9">
        <v>18.48712920931133</v>
      </c>
      <c r="T1733" s="9">
        <v>19.201553596969877</v>
      </c>
      <c r="U1733" s="9">
        <v>20.562345482855957</v>
      </c>
      <c r="V1733" s="9">
        <v>20.562345482855957</v>
      </c>
      <c r="W1733" s="9">
        <v>20.562345482855957</v>
      </c>
      <c r="X1733" s="9">
        <v>22.391977691000818</v>
      </c>
      <c r="Y1733" s="9">
        <v>22.391977691000818</v>
      </c>
      <c r="Z1733" s="9">
        <v>24.28858708803979</v>
      </c>
      <c r="AA1733" s="9">
        <v>24.28858708803979</v>
      </c>
      <c r="AB1733" s="9">
        <v>25.117335532005217</v>
      </c>
      <c r="AC1733" s="9">
        <v>25.117335532005217</v>
      </c>
      <c r="AD1733" s="9">
        <v>29.039116491286865</v>
      </c>
      <c r="AE1733" s="9">
        <v>31.219251037281825</v>
      </c>
      <c r="AF1733" s="9">
        <v>33.487682081707895</v>
      </c>
      <c r="AG1733" s="9">
        <v>33.487682081707895</v>
      </c>
      <c r="AH1733" s="9">
        <v>36.427668170967245</v>
      </c>
      <c r="AI1733" s="9">
        <v>38.74455996597662</v>
      </c>
      <c r="AJ1733" s="9">
        <v>3.0428788910505911</v>
      </c>
    </row>
    <row r="1734" spans="1:36" x14ac:dyDescent="0.25">
      <c r="A1734" t="s">
        <v>5411</v>
      </c>
      <c r="B1734" t="s">
        <v>16</v>
      </c>
      <c r="C1734" t="s">
        <v>17</v>
      </c>
      <c r="D1734">
        <v>39450000</v>
      </c>
      <c r="E1734">
        <v>39454999</v>
      </c>
      <c r="F1734" t="s">
        <v>1551</v>
      </c>
      <c r="G1734" t="str">
        <f t="shared" si="54"/>
        <v>MGI II</v>
      </c>
      <c r="H1734" t="s">
        <v>851</v>
      </c>
      <c r="I1734" t="s">
        <v>20</v>
      </c>
      <c r="J1734" t="s">
        <v>64</v>
      </c>
      <c r="K1734" s="6">
        <v>0.03</v>
      </c>
      <c r="L1734" s="7">
        <f t="shared" si="55"/>
        <v>2E-3</v>
      </c>
      <c r="M1734" s="7">
        <v>3.0000000000000001E-3</v>
      </c>
      <c r="N1734">
        <v>8</v>
      </c>
      <c r="O1734" s="8">
        <v>17.822306426995311</v>
      </c>
      <c r="P1734" s="9">
        <v>17.822306426995311</v>
      </c>
      <c r="Q1734" s="9">
        <v>17.822306426995311</v>
      </c>
      <c r="R1734" s="9">
        <v>18.237663306594719</v>
      </c>
      <c r="S1734" s="9">
        <v>18.48712920931133</v>
      </c>
      <c r="T1734" s="9">
        <v>19.201553596969877</v>
      </c>
      <c r="U1734" s="9">
        <v>20.562345482855957</v>
      </c>
      <c r="V1734" s="9">
        <v>20.562345482855957</v>
      </c>
      <c r="W1734" s="9">
        <v>20.562345482855957</v>
      </c>
      <c r="X1734" s="9">
        <v>22.391977691000818</v>
      </c>
      <c r="Y1734" s="9">
        <v>22.391977691000818</v>
      </c>
      <c r="Z1734" s="9">
        <v>24.28858708803979</v>
      </c>
      <c r="AA1734" s="9">
        <v>24.28858708803979</v>
      </c>
      <c r="AB1734" s="9">
        <v>25.117335532005217</v>
      </c>
      <c r="AC1734" s="9">
        <v>25.117335532005217</v>
      </c>
      <c r="AD1734" s="9">
        <v>29.039116491286865</v>
      </c>
      <c r="AE1734" s="9">
        <v>31.219251037281825</v>
      </c>
      <c r="AF1734" s="9">
        <v>33.487682081707895</v>
      </c>
      <c r="AG1734" s="9">
        <v>33.487682081707895</v>
      </c>
      <c r="AH1734" s="9">
        <v>36.427668170967245</v>
      </c>
      <c r="AI1734" s="9">
        <v>38.74455996597662</v>
      </c>
      <c r="AJ1734" s="9">
        <v>3.0428788910505911</v>
      </c>
    </row>
    <row r="1735" spans="1:36" x14ac:dyDescent="0.25">
      <c r="A1735" t="s">
        <v>5411</v>
      </c>
      <c r="B1735" t="s">
        <v>16</v>
      </c>
      <c r="C1735" t="s">
        <v>17</v>
      </c>
      <c r="D1735">
        <v>39455000</v>
      </c>
      <c r="E1735">
        <v>39457999</v>
      </c>
      <c r="F1735" t="s">
        <v>1552</v>
      </c>
      <c r="G1735" t="str">
        <f t="shared" si="54"/>
        <v>MGI II</v>
      </c>
      <c r="H1735" t="s">
        <v>851</v>
      </c>
      <c r="I1735" t="s">
        <v>20</v>
      </c>
      <c r="J1735" t="s">
        <v>64</v>
      </c>
      <c r="K1735" s="6">
        <v>0.03</v>
      </c>
      <c r="L1735" s="7">
        <f t="shared" si="55"/>
        <v>2E-3</v>
      </c>
      <c r="M1735" s="7">
        <v>3.0000000000000001E-3</v>
      </c>
      <c r="N1735">
        <v>8</v>
      </c>
      <c r="O1735" s="8">
        <v>17.822306426995311</v>
      </c>
      <c r="P1735" s="9">
        <v>17.822306426995311</v>
      </c>
      <c r="Q1735" s="9">
        <v>17.822306426995311</v>
      </c>
      <c r="R1735" s="9">
        <v>18.237663306594719</v>
      </c>
      <c r="S1735" s="9">
        <v>18.48712920931133</v>
      </c>
      <c r="T1735" s="9">
        <v>19.201553596969877</v>
      </c>
      <c r="U1735" s="9">
        <v>20.562345482855957</v>
      </c>
      <c r="V1735" s="9">
        <v>20.562345482855957</v>
      </c>
      <c r="W1735" s="9">
        <v>20.562345482855957</v>
      </c>
      <c r="X1735" s="9">
        <v>22.391977691000818</v>
      </c>
      <c r="Y1735" s="9">
        <v>22.391977691000818</v>
      </c>
      <c r="Z1735" s="9">
        <v>24.28858708803979</v>
      </c>
      <c r="AA1735" s="9">
        <v>24.28858708803979</v>
      </c>
      <c r="AB1735" s="9">
        <v>25.117335532005217</v>
      </c>
      <c r="AC1735" s="9">
        <v>25.117335532005217</v>
      </c>
      <c r="AD1735" s="9">
        <v>29.039116491286865</v>
      </c>
      <c r="AE1735" s="9">
        <v>31.219251037281825</v>
      </c>
      <c r="AF1735" s="9">
        <v>33.487682081707895</v>
      </c>
      <c r="AG1735" s="9">
        <v>33.487682081707895</v>
      </c>
      <c r="AH1735" s="9">
        <v>36.427668170967245</v>
      </c>
      <c r="AI1735" s="9">
        <v>38.74455996597662</v>
      </c>
      <c r="AJ1735" s="9">
        <v>3.0428788910505911</v>
      </c>
    </row>
    <row r="1736" spans="1:36" x14ac:dyDescent="0.25">
      <c r="A1736" t="s">
        <v>5411</v>
      </c>
      <c r="B1736" t="s">
        <v>16</v>
      </c>
      <c r="C1736" t="s">
        <v>17</v>
      </c>
      <c r="D1736">
        <v>39458000</v>
      </c>
      <c r="E1736">
        <v>39459999</v>
      </c>
      <c r="F1736" t="s">
        <v>1553</v>
      </c>
      <c r="G1736" t="str">
        <f t="shared" si="54"/>
        <v>MGI II</v>
      </c>
      <c r="H1736" t="s">
        <v>851</v>
      </c>
      <c r="I1736" t="s">
        <v>20</v>
      </c>
      <c r="J1736" t="s">
        <v>64</v>
      </c>
      <c r="K1736" s="6">
        <v>0.03</v>
      </c>
      <c r="L1736" s="7">
        <f t="shared" si="55"/>
        <v>2E-3</v>
      </c>
      <c r="M1736" s="7">
        <v>3.0000000000000001E-3</v>
      </c>
      <c r="N1736">
        <v>8</v>
      </c>
      <c r="O1736" s="8">
        <v>17.822306426995311</v>
      </c>
      <c r="P1736" s="9">
        <v>17.822306426995311</v>
      </c>
      <c r="Q1736" s="9">
        <v>17.822306426995311</v>
      </c>
      <c r="R1736" s="9">
        <v>18.237663306594719</v>
      </c>
      <c r="S1736" s="9">
        <v>18.48712920931133</v>
      </c>
      <c r="T1736" s="9">
        <v>19.201553596969877</v>
      </c>
      <c r="U1736" s="9">
        <v>20.562345482855957</v>
      </c>
      <c r="V1736" s="9">
        <v>20.562345482855957</v>
      </c>
      <c r="W1736" s="9">
        <v>20.562345482855957</v>
      </c>
      <c r="X1736" s="9">
        <v>22.391977691000818</v>
      </c>
      <c r="Y1736" s="9">
        <v>22.391977691000818</v>
      </c>
      <c r="Z1736" s="9">
        <v>24.28858708803979</v>
      </c>
      <c r="AA1736" s="9">
        <v>24.28858708803979</v>
      </c>
      <c r="AB1736" s="9">
        <v>25.117335532005217</v>
      </c>
      <c r="AC1736" s="9">
        <v>25.117335532005217</v>
      </c>
      <c r="AD1736" s="9">
        <v>29.039116491286865</v>
      </c>
      <c r="AE1736" s="9">
        <v>31.219251037281825</v>
      </c>
      <c r="AF1736" s="9">
        <v>33.487682081707895</v>
      </c>
      <c r="AG1736" s="9">
        <v>33.487682081707895</v>
      </c>
      <c r="AH1736" s="9">
        <v>36.427668170967245</v>
      </c>
      <c r="AI1736" s="9">
        <v>38.74455996597662</v>
      </c>
      <c r="AJ1736" s="9">
        <v>3.0428788910505911</v>
      </c>
    </row>
    <row r="1737" spans="1:36" x14ac:dyDescent="0.25">
      <c r="A1737" t="s">
        <v>5411</v>
      </c>
      <c r="B1737" t="s">
        <v>16</v>
      </c>
      <c r="C1737" t="s">
        <v>17</v>
      </c>
      <c r="D1737">
        <v>39460000</v>
      </c>
      <c r="E1737">
        <v>39464999</v>
      </c>
      <c r="F1737" t="s">
        <v>1554</v>
      </c>
      <c r="G1737" t="str">
        <f t="shared" si="54"/>
        <v>MGI II</v>
      </c>
      <c r="H1737" t="s">
        <v>851</v>
      </c>
      <c r="I1737" t="s">
        <v>20</v>
      </c>
      <c r="J1737" t="s">
        <v>64</v>
      </c>
      <c r="K1737" s="6">
        <v>0.03</v>
      </c>
      <c r="L1737" s="7">
        <f t="shared" si="55"/>
        <v>2E-3</v>
      </c>
      <c r="M1737" s="7">
        <v>3.0000000000000001E-3</v>
      </c>
      <c r="N1737">
        <v>7</v>
      </c>
      <c r="O1737" s="8">
        <v>17.822306426995311</v>
      </c>
      <c r="P1737" s="9">
        <v>17.822306426995311</v>
      </c>
      <c r="Q1737" s="9">
        <v>17.822306426995311</v>
      </c>
      <c r="R1737" s="9">
        <v>18.237663306594719</v>
      </c>
      <c r="S1737" s="9">
        <v>18.48712920931133</v>
      </c>
      <c r="T1737" s="9">
        <v>19.201553596969877</v>
      </c>
      <c r="U1737" s="9">
        <v>20.562345482855957</v>
      </c>
      <c r="V1737" s="9">
        <v>20.562345482855957</v>
      </c>
      <c r="W1737" s="9">
        <v>20.562345482855957</v>
      </c>
      <c r="X1737" s="9">
        <v>22.391977691000818</v>
      </c>
      <c r="Y1737" s="9">
        <v>22.391977691000818</v>
      </c>
      <c r="Z1737" s="9">
        <v>24.28858708803979</v>
      </c>
      <c r="AA1737" s="9">
        <v>24.28858708803979</v>
      </c>
      <c r="AB1737" s="9">
        <v>25.117335532005217</v>
      </c>
      <c r="AC1737" s="9">
        <v>25.117335532005217</v>
      </c>
      <c r="AD1737" s="9">
        <v>29.039116491286865</v>
      </c>
      <c r="AE1737" s="9">
        <v>31.219251037281825</v>
      </c>
      <c r="AF1737" s="9">
        <v>33.487682081707895</v>
      </c>
      <c r="AG1737" s="9">
        <v>33.487682081707895</v>
      </c>
      <c r="AH1737" s="9">
        <v>36.427668170967245</v>
      </c>
      <c r="AI1737" s="9">
        <v>38.74455996597662</v>
      </c>
      <c r="AJ1737" s="9">
        <v>3.0428788910505911</v>
      </c>
    </row>
    <row r="1738" spans="1:36" x14ac:dyDescent="0.25">
      <c r="A1738" t="s">
        <v>5411</v>
      </c>
      <c r="B1738" t="s">
        <v>16</v>
      </c>
      <c r="C1738" t="s">
        <v>17</v>
      </c>
      <c r="D1738">
        <v>39465000</v>
      </c>
      <c r="E1738">
        <v>39466999</v>
      </c>
      <c r="F1738" t="s">
        <v>1555</v>
      </c>
      <c r="G1738" t="str">
        <f t="shared" si="54"/>
        <v>MGI II</v>
      </c>
      <c r="H1738" t="s">
        <v>851</v>
      </c>
      <c r="I1738" t="s">
        <v>20</v>
      </c>
      <c r="J1738" t="s">
        <v>64</v>
      </c>
      <c r="K1738" s="6">
        <v>0.03</v>
      </c>
      <c r="L1738" s="7">
        <f t="shared" si="55"/>
        <v>2E-3</v>
      </c>
      <c r="M1738" s="7">
        <v>3.0000000000000001E-3</v>
      </c>
      <c r="N1738">
        <v>7</v>
      </c>
      <c r="O1738" s="8">
        <v>17.822306426995311</v>
      </c>
      <c r="P1738" s="9">
        <v>17.822306426995311</v>
      </c>
      <c r="Q1738" s="9">
        <v>17.822306426995311</v>
      </c>
      <c r="R1738" s="9">
        <v>18.237663306594719</v>
      </c>
      <c r="S1738" s="9">
        <v>18.48712920931133</v>
      </c>
      <c r="T1738" s="9">
        <v>19.201553596969877</v>
      </c>
      <c r="U1738" s="9">
        <v>20.562345482855957</v>
      </c>
      <c r="V1738" s="9">
        <v>20.562345482855957</v>
      </c>
      <c r="W1738" s="9">
        <v>20.562345482855957</v>
      </c>
      <c r="X1738" s="9">
        <v>22.391977691000818</v>
      </c>
      <c r="Y1738" s="9">
        <v>22.391977691000818</v>
      </c>
      <c r="Z1738" s="9">
        <v>24.28858708803979</v>
      </c>
      <c r="AA1738" s="9">
        <v>24.28858708803979</v>
      </c>
      <c r="AB1738" s="9">
        <v>25.117335532005217</v>
      </c>
      <c r="AC1738" s="9">
        <v>25.117335532005217</v>
      </c>
      <c r="AD1738" s="9">
        <v>29.039116491286865</v>
      </c>
      <c r="AE1738" s="9">
        <v>31.219251037281825</v>
      </c>
      <c r="AF1738" s="9">
        <v>33.487682081707895</v>
      </c>
      <c r="AG1738" s="9">
        <v>33.487682081707895</v>
      </c>
      <c r="AH1738" s="9">
        <v>36.427668170967245</v>
      </c>
      <c r="AI1738" s="9">
        <v>38.74455996597662</v>
      </c>
      <c r="AJ1738" s="9">
        <v>3.0428788910505911</v>
      </c>
    </row>
    <row r="1739" spans="1:36" x14ac:dyDescent="0.25">
      <c r="A1739" t="s">
        <v>5411</v>
      </c>
      <c r="B1739" t="s">
        <v>16</v>
      </c>
      <c r="C1739" t="s">
        <v>17</v>
      </c>
      <c r="D1739">
        <v>39467000</v>
      </c>
      <c r="E1739">
        <v>39469999</v>
      </c>
      <c r="F1739" t="s">
        <v>1556</v>
      </c>
      <c r="G1739" t="str">
        <f t="shared" si="54"/>
        <v>MGI II</v>
      </c>
      <c r="H1739" t="s">
        <v>851</v>
      </c>
      <c r="I1739" t="s">
        <v>20</v>
      </c>
      <c r="J1739" t="s">
        <v>64</v>
      </c>
      <c r="K1739" s="6">
        <v>0.03</v>
      </c>
      <c r="L1739" s="7">
        <f t="shared" si="55"/>
        <v>2E-3</v>
      </c>
      <c r="M1739" s="7">
        <v>3.0000000000000001E-3</v>
      </c>
      <c r="N1739">
        <v>8</v>
      </c>
      <c r="O1739" s="8">
        <v>17.822306426995311</v>
      </c>
      <c r="P1739" s="9">
        <v>17.822306426995311</v>
      </c>
      <c r="Q1739" s="9">
        <v>17.822306426995311</v>
      </c>
      <c r="R1739" s="9">
        <v>18.237663306594719</v>
      </c>
      <c r="S1739" s="9">
        <v>18.48712920931133</v>
      </c>
      <c r="T1739" s="9">
        <v>19.201553596969877</v>
      </c>
      <c r="U1739" s="9">
        <v>20.562345482855957</v>
      </c>
      <c r="V1739" s="9">
        <v>20.562345482855957</v>
      </c>
      <c r="W1739" s="9">
        <v>20.562345482855957</v>
      </c>
      <c r="X1739" s="9">
        <v>22.391977691000818</v>
      </c>
      <c r="Y1739" s="9">
        <v>22.391977691000818</v>
      </c>
      <c r="Z1739" s="9">
        <v>24.28858708803979</v>
      </c>
      <c r="AA1739" s="9">
        <v>24.28858708803979</v>
      </c>
      <c r="AB1739" s="9">
        <v>25.117335532005217</v>
      </c>
      <c r="AC1739" s="9">
        <v>25.117335532005217</v>
      </c>
      <c r="AD1739" s="9">
        <v>29.039116491286865</v>
      </c>
      <c r="AE1739" s="9">
        <v>31.219251037281825</v>
      </c>
      <c r="AF1739" s="9">
        <v>33.487682081707895</v>
      </c>
      <c r="AG1739" s="9">
        <v>33.487682081707895</v>
      </c>
      <c r="AH1739" s="9">
        <v>36.427668170967245</v>
      </c>
      <c r="AI1739" s="9">
        <v>38.74455996597662</v>
      </c>
      <c r="AJ1739" s="9">
        <v>3.0428788910505911</v>
      </c>
    </row>
    <row r="1740" spans="1:36" x14ac:dyDescent="0.25">
      <c r="A1740" t="s">
        <v>5411</v>
      </c>
      <c r="B1740" t="s">
        <v>16</v>
      </c>
      <c r="C1740" t="s">
        <v>17</v>
      </c>
      <c r="D1740">
        <v>39470000</v>
      </c>
      <c r="E1740">
        <v>39471999</v>
      </c>
      <c r="F1740" t="s">
        <v>1557</v>
      </c>
      <c r="G1740" t="str">
        <f t="shared" si="54"/>
        <v>MGI II</v>
      </c>
      <c r="H1740" t="s">
        <v>851</v>
      </c>
      <c r="I1740" t="s">
        <v>20</v>
      </c>
      <c r="J1740" t="s">
        <v>64</v>
      </c>
      <c r="K1740" s="6">
        <v>0.03</v>
      </c>
      <c r="L1740" s="7">
        <f t="shared" si="55"/>
        <v>2E-3</v>
      </c>
      <c r="M1740" s="7">
        <v>3.0000000000000001E-3</v>
      </c>
      <c r="N1740">
        <v>10</v>
      </c>
      <c r="O1740" s="8">
        <v>17.822306426995311</v>
      </c>
      <c r="P1740" s="9">
        <v>17.822306426995311</v>
      </c>
      <c r="Q1740" s="9">
        <v>17.822306426995311</v>
      </c>
      <c r="R1740" s="9">
        <v>18.237663306594719</v>
      </c>
      <c r="S1740" s="9">
        <v>18.48712920931133</v>
      </c>
      <c r="T1740" s="9">
        <v>19.201553596969877</v>
      </c>
      <c r="U1740" s="9">
        <v>20.562345482855957</v>
      </c>
      <c r="V1740" s="9">
        <v>20.562345482855957</v>
      </c>
      <c r="W1740" s="9">
        <v>20.562345482855957</v>
      </c>
      <c r="X1740" s="9">
        <v>22.391977691000818</v>
      </c>
      <c r="Y1740" s="9">
        <v>22.391977691000818</v>
      </c>
      <c r="Z1740" s="9">
        <v>24.28858708803979</v>
      </c>
      <c r="AA1740" s="9">
        <v>24.28858708803979</v>
      </c>
      <c r="AB1740" s="9">
        <v>25.117335532005217</v>
      </c>
      <c r="AC1740" s="9">
        <v>25.117335532005217</v>
      </c>
      <c r="AD1740" s="9">
        <v>29.039116491286865</v>
      </c>
      <c r="AE1740" s="9">
        <v>31.219251037281825</v>
      </c>
      <c r="AF1740" s="9">
        <v>33.487682081707895</v>
      </c>
      <c r="AG1740" s="9">
        <v>33.487682081707895</v>
      </c>
      <c r="AH1740" s="9">
        <v>36.427668170967245</v>
      </c>
      <c r="AI1740" s="9">
        <v>38.74455996597662</v>
      </c>
      <c r="AJ1740" s="9">
        <v>3.0428788910505911</v>
      </c>
    </row>
    <row r="1741" spans="1:36" x14ac:dyDescent="0.25">
      <c r="A1741" t="s">
        <v>5411</v>
      </c>
      <c r="B1741" t="s">
        <v>16</v>
      </c>
      <c r="C1741" t="s">
        <v>17</v>
      </c>
      <c r="D1741">
        <v>39472000</v>
      </c>
      <c r="E1741">
        <v>39474999</v>
      </c>
      <c r="F1741" t="s">
        <v>1558</v>
      </c>
      <c r="G1741" t="str">
        <f t="shared" si="54"/>
        <v>MGI II</v>
      </c>
      <c r="H1741" t="s">
        <v>851</v>
      </c>
      <c r="I1741" t="s">
        <v>20</v>
      </c>
      <c r="J1741" t="s">
        <v>64</v>
      </c>
      <c r="K1741" s="6">
        <v>0.03</v>
      </c>
      <c r="L1741" s="7">
        <f t="shared" si="55"/>
        <v>2E-3</v>
      </c>
      <c r="M1741" s="7">
        <v>3.0000000000000001E-3</v>
      </c>
      <c r="N1741">
        <v>8</v>
      </c>
      <c r="O1741" s="8">
        <v>17.822306426995311</v>
      </c>
      <c r="P1741" s="9">
        <v>17.822306426995311</v>
      </c>
      <c r="Q1741" s="9">
        <v>17.822306426995311</v>
      </c>
      <c r="R1741" s="9">
        <v>18.237663306594719</v>
      </c>
      <c r="S1741" s="9">
        <v>18.48712920931133</v>
      </c>
      <c r="T1741" s="9">
        <v>19.201553596969877</v>
      </c>
      <c r="U1741" s="9">
        <v>20.562345482855957</v>
      </c>
      <c r="V1741" s="9">
        <v>20.562345482855957</v>
      </c>
      <c r="W1741" s="9">
        <v>20.562345482855957</v>
      </c>
      <c r="X1741" s="9">
        <v>22.391977691000818</v>
      </c>
      <c r="Y1741" s="9">
        <v>22.391977691000818</v>
      </c>
      <c r="Z1741" s="9">
        <v>24.28858708803979</v>
      </c>
      <c r="AA1741" s="9">
        <v>24.28858708803979</v>
      </c>
      <c r="AB1741" s="9">
        <v>25.117335532005217</v>
      </c>
      <c r="AC1741" s="9">
        <v>25.117335532005217</v>
      </c>
      <c r="AD1741" s="9">
        <v>29.039116491286865</v>
      </c>
      <c r="AE1741" s="9">
        <v>31.219251037281825</v>
      </c>
      <c r="AF1741" s="9">
        <v>33.487682081707895</v>
      </c>
      <c r="AG1741" s="9">
        <v>33.487682081707895</v>
      </c>
      <c r="AH1741" s="9">
        <v>36.427668170967245</v>
      </c>
      <c r="AI1741" s="9">
        <v>38.74455996597662</v>
      </c>
      <c r="AJ1741" s="9">
        <v>3.0428788910505911</v>
      </c>
    </row>
    <row r="1742" spans="1:36" x14ac:dyDescent="0.25">
      <c r="A1742" t="s">
        <v>5411</v>
      </c>
      <c r="B1742" t="s">
        <v>16</v>
      </c>
      <c r="C1742" t="s">
        <v>17</v>
      </c>
      <c r="D1742">
        <v>39475000</v>
      </c>
      <c r="E1742">
        <v>39477999</v>
      </c>
      <c r="F1742" t="s">
        <v>1559</v>
      </c>
      <c r="G1742" t="str">
        <f t="shared" si="54"/>
        <v>MGI II</v>
      </c>
      <c r="H1742" t="s">
        <v>851</v>
      </c>
      <c r="I1742" t="s">
        <v>20</v>
      </c>
      <c r="J1742" t="s">
        <v>64</v>
      </c>
      <c r="K1742" s="6">
        <v>0.03</v>
      </c>
      <c r="L1742" s="7">
        <f t="shared" si="55"/>
        <v>2E-3</v>
      </c>
      <c r="M1742" s="7">
        <v>3.0000000000000001E-3</v>
      </c>
      <c r="N1742">
        <v>7</v>
      </c>
      <c r="O1742" s="8">
        <v>17.822306426995311</v>
      </c>
      <c r="P1742" s="9">
        <v>17.822306426995311</v>
      </c>
      <c r="Q1742" s="9">
        <v>17.822306426995311</v>
      </c>
      <c r="R1742" s="9">
        <v>18.237663306594719</v>
      </c>
      <c r="S1742" s="9">
        <v>18.48712920931133</v>
      </c>
      <c r="T1742" s="9">
        <v>19.201553596969877</v>
      </c>
      <c r="U1742" s="9">
        <v>20.562345482855957</v>
      </c>
      <c r="V1742" s="9">
        <v>20.562345482855957</v>
      </c>
      <c r="W1742" s="9">
        <v>20.562345482855957</v>
      </c>
      <c r="X1742" s="9">
        <v>22.391977691000818</v>
      </c>
      <c r="Y1742" s="9">
        <v>22.391977691000818</v>
      </c>
      <c r="Z1742" s="9">
        <v>24.28858708803979</v>
      </c>
      <c r="AA1742" s="9">
        <v>24.28858708803979</v>
      </c>
      <c r="AB1742" s="9">
        <v>25.117335532005217</v>
      </c>
      <c r="AC1742" s="9">
        <v>25.117335532005217</v>
      </c>
      <c r="AD1742" s="9">
        <v>29.039116491286865</v>
      </c>
      <c r="AE1742" s="9">
        <v>31.219251037281825</v>
      </c>
      <c r="AF1742" s="9">
        <v>33.487682081707895</v>
      </c>
      <c r="AG1742" s="9">
        <v>33.487682081707895</v>
      </c>
      <c r="AH1742" s="9">
        <v>36.427668170967245</v>
      </c>
      <c r="AI1742" s="9">
        <v>38.74455996597662</v>
      </c>
      <c r="AJ1742" s="9">
        <v>3.0428788910505911</v>
      </c>
    </row>
    <row r="1743" spans="1:36" x14ac:dyDescent="0.25">
      <c r="A1743" t="s">
        <v>5411</v>
      </c>
      <c r="B1743" t="s">
        <v>16</v>
      </c>
      <c r="C1743" t="s">
        <v>17</v>
      </c>
      <c r="D1743">
        <v>39478000</v>
      </c>
      <c r="E1743">
        <v>39479999</v>
      </c>
      <c r="F1743" t="s">
        <v>1560</v>
      </c>
      <c r="G1743" t="str">
        <f t="shared" si="54"/>
        <v>MGI II</v>
      </c>
      <c r="H1743" t="s">
        <v>851</v>
      </c>
      <c r="I1743" t="s">
        <v>20</v>
      </c>
      <c r="J1743" t="s">
        <v>64</v>
      </c>
      <c r="K1743" s="6">
        <v>0.03</v>
      </c>
      <c r="L1743" s="7">
        <f t="shared" si="55"/>
        <v>2E-3</v>
      </c>
      <c r="M1743" s="7">
        <v>3.0000000000000001E-3</v>
      </c>
      <c r="N1743">
        <v>8</v>
      </c>
      <c r="O1743" s="8">
        <v>17.822306426995311</v>
      </c>
      <c r="P1743" s="9">
        <v>17.822306426995311</v>
      </c>
      <c r="Q1743" s="9">
        <v>17.822306426995311</v>
      </c>
      <c r="R1743" s="9">
        <v>18.237663306594719</v>
      </c>
      <c r="S1743" s="9">
        <v>18.48712920931133</v>
      </c>
      <c r="T1743" s="9">
        <v>19.201553596969877</v>
      </c>
      <c r="U1743" s="9">
        <v>20.562345482855957</v>
      </c>
      <c r="V1743" s="9">
        <v>20.562345482855957</v>
      </c>
      <c r="W1743" s="9">
        <v>20.562345482855957</v>
      </c>
      <c r="X1743" s="9">
        <v>22.391977691000818</v>
      </c>
      <c r="Y1743" s="9">
        <v>22.391977691000818</v>
      </c>
      <c r="Z1743" s="9">
        <v>24.28858708803979</v>
      </c>
      <c r="AA1743" s="9">
        <v>24.28858708803979</v>
      </c>
      <c r="AB1743" s="9">
        <v>25.117335532005217</v>
      </c>
      <c r="AC1743" s="9">
        <v>25.117335532005217</v>
      </c>
      <c r="AD1743" s="9">
        <v>29.039116491286865</v>
      </c>
      <c r="AE1743" s="9">
        <v>31.219251037281825</v>
      </c>
      <c r="AF1743" s="9">
        <v>33.487682081707895</v>
      </c>
      <c r="AG1743" s="9">
        <v>33.487682081707895</v>
      </c>
      <c r="AH1743" s="9">
        <v>36.427668170967245</v>
      </c>
      <c r="AI1743" s="9">
        <v>38.74455996597662</v>
      </c>
      <c r="AJ1743" s="9">
        <v>3.0428788910505911</v>
      </c>
    </row>
    <row r="1744" spans="1:36" x14ac:dyDescent="0.25">
      <c r="A1744" t="s">
        <v>5411</v>
      </c>
      <c r="B1744" t="s">
        <v>16</v>
      </c>
      <c r="C1744" t="s">
        <v>17</v>
      </c>
      <c r="D1744">
        <v>39480000</v>
      </c>
      <c r="E1744">
        <v>39488999</v>
      </c>
      <c r="F1744" t="s">
        <v>1561</v>
      </c>
      <c r="G1744" t="str">
        <f t="shared" si="54"/>
        <v>MGI II</v>
      </c>
      <c r="H1744" t="s">
        <v>851</v>
      </c>
      <c r="I1744" t="s">
        <v>20</v>
      </c>
      <c r="J1744" t="s">
        <v>64</v>
      </c>
      <c r="K1744" s="6">
        <v>0.03</v>
      </c>
      <c r="L1744" s="7">
        <f t="shared" si="55"/>
        <v>2E-3</v>
      </c>
      <c r="M1744" s="7">
        <v>3.0000000000000001E-3</v>
      </c>
      <c r="N1744">
        <v>10</v>
      </c>
      <c r="O1744" s="8">
        <v>17.822306426995311</v>
      </c>
      <c r="P1744" s="9">
        <v>17.822306426995311</v>
      </c>
      <c r="Q1744" s="9">
        <v>17.822306426995311</v>
      </c>
      <c r="R1744" s="9">
        <v>18.237663306594719</v>
      </c>
      <c r="S1744" s="9">
        <v>18.48712920931133</v>
      </c>
      <c r="T1744" s="9">
        <v>19.201553596969877</v>
      </c>
      <c r="U1744" s="9">
        <v>20.562345482855957</v>
      </c>
      <c r="V1744" s="9">
        <v>20.562345482855957</v>
      </c>
      <c r="W1744" s="9">
        <v>20.562345482855957</v>
      </c>
      <c r="X1744" s="9">
        <v>22.391977691000818</v>
      </c>
      <c r="Y1744" s="9">
        <v>22.391977691000818</v>
      </c>
      <c r="Z1744" s="9">
        <v>24.28858708803979</v>
      </c>
      <c r="AA1744" s="9">
        <v>24.28858708803979</v>
      </c>
      <c r="AB1744" s="9">
        <v>25.117335532005217</v>
      </c>
      <c r="AC1744" s="9">
        <v>25.117335532005217</v>
      </c>
      <c r="AD1744" s="9">
        <v>29.039116491286865</v>
      </c>
      <c r="AE1744" s="9">
        <v>31.219251037281825</v>
      </c>
      <c r="AF1744" s="9">
        <v>33.487682081707895</v>
      </c>
      <c r="AG1744" s="9">
        <v>33.487682081707895</v>
      </c>
      <c r="AH1744" s="9">
        <v>36.427668170967245</v>
      </c>
      <c r="AI1744" s="9">
        <v>38.74455996597662</v>
      </c>
      <c r="AJ1744" s="9">
        <v>3.0428788910505911</v>
      </c>
    </row>
    <row r="1745" spans="1:36" x14ac:dyDescent="0.25">
      <c r="A1745" t="s">
        <v>5411</v>
      </c>
      <c r="B1745" t="s">
        <v>16</v>
      </c>
      <c r="C1745" t="s">
        <v>17</v>
      </c>
      <c r="D1745">
        <v>39489000</v>
      </c>
      <c r="E1745">
        <v>39489999</v>
      </c>
      <c r="F1745" t="s">
        <v>1562</v>
      </c>
      <c r="G1745" t="str">
        <f t="shared" si="54"/>
        <v>MGI II</v>
      </c>
      <c r="H1745" t="s">
        <v>851</v>
      </c>
      <c r="I1745" t="s">
        <v>20</v>
      </c>
      <c r="J1745" t="s">
        <v>64</v>
      </c>
      <c r="K1745" s="6">
        <v>0.03</v>
      </c>
      <c r="L1745" s="7">
        <f t="shared" si="55"/>
        <v>2E-3</v>
      </c>
      <c r="M1745" s="7">
        <v>3.0000000000000001E-3</v>
      </c>
      <c r="N1745">
        <v>6</v>
      </c>
      <c r="O1745" s="8">
        <v>17.822306426995311</v>
      </c>
      <c r="P1745" s="9">
        <v>17.822306426995311</v>
      </c>
      <c r="Q1745" s="9">
        <v>17.822306426995311</v>
      </c>
      <c r="R1745" s="9">
        <v>18.237663306594719</v>
      </c>
      <c r="S1745" s="9">
        <v>18.48712920931133</v>
      </c>
      <c r="T1745" s="9">
        <v>19.201553596969877</v>
      </c>
      <c r="U1745" s="9">
        <v>20.562345482855957</v>
      </c>
      <c r="V1745" s="9">
        <v>20.562345482855957</v>
      </c>
      <c r="W1745" s="9">
        <v>20.562345482855957</v>
      </c>
      <c r="X1745" s="9">
        <v>22.391977691000818</v>
      </c>
      <c r="Y1745" s="9">
        <v>22.391977691000818</v>
      </c>
      <c r="Z1745" s="9">
        <v>24.28858708803979</v>
      </c>
      <c r="AA1745" s="9">
        <v>24.28858708803979</v>
      </c>
      <c r="AB1745" s="9">
        <v>25.117335532005217</v>
      </c>
      <c r="AC1745" s="9">
        <v>25.117335532005217</v>
      </c>
      <c r="AD1745" s="9">
        <v>29.039116491286865</v>
      </c>
      <c r="AE1745" s="9">
        <v>31.219251037281825</v>
      </c>
      <c r="AF1745" s="9">
        <v>33.487682081707895</v>
      </c>
      <c r="AG1745" s="9">
        <v>33.487682081707895</v>
      </c>
      <c r="AH1745" s="9">
        <v>36.427668170967245</v>
      </c>
      <c r="AI1745" s="9">
        <v>38.74455996597662</v>
      </c>
      <c r="AJ1745" s="9">
        <v>3.0428788910505911</v>
      </c>
    </row>
    <row r="1746" spans="1:36" x14ac:dyDescent="0.25">
      <c r="A1746" t="s">
        <v>5411</v>
      </c>
      <c r="B1746" t="s">
        <v>16</v>
      </c>
      <c r="C1746" t="s">
        <v>17</v>
      </c>
      <c r="D1746">
        <v>39490000</v>
      </c>
      <c r="E1746">
        <v>39491999</v>
      </c>
      <c r="F1746" t="s">
        <v>1563</v>
      </c>
      <c r="G1746" t="str">
        <f t="shared" si="54"/>
        <v>MGI II</v>
      </c>
      <c r="H1746" t="s">
        <v>851</v>
      </c>
      <c r="I1746" t="s">
        <v>20</v>
      </c>
      <c r="J1746" t="s">
        <v>64</v>
      </c>
      <c r="K1746" s="6">
        <v>0.03</v>
      </c>
      <c r="L1746" s="7">
        <f t="shared" si="55"/>
        <v>2E-3</v>
      </c>
      <c r="M1746" s="7">
        <v>3.0000000000000001E-3</v>
      </c>
      <c r="N1746">
        <v>8</v>
      </c>
      <c r="O1746" s="8">
        <v>17.822306426995311</v>
      </c>
      <c r="P1746" s="9">
        <v>17.822306426995311</v>
      </c>
      <c r="Q1746" s="9">
        <v>17.822306426995311</v>
      </c>
      <c r="R1746" s="9">
        <v>18.237663306594719</v>
      </c>
      <c r="S1746" s="9">
        <v>18.48712920931133</v>
      </c>
      <c r="T1746" s="9">
        <v>19.201553596969877</v>
      </c>
      <c r="U1746" s="9">
        <v>20.562345482855957</v>
      </c>
      <c r="V1746" s="9">
        <v>20.562345482855957</v>
      </c>
      <c r="W1746" s="9">
        <v>20.562345482855957</v>
      </c>
      <c r="X1746" s="9">
        <v>22.391977691000818</v>
      </c>
      <c r="Y1746" s="9">
        <v>22.391977691000818</v>
      </c>
      <c r="Z1746" s="9">
        <v>24.28858708803979</v>
      </c>
      <c r="AA1746" s="9">
        <v>24.28858708803979</v>
      </c>
      <c r="AB1746" s="9">
        <v>25.117335532005217</v>
      </c>
      <c r="AC1746" s="9">
        <v>25.117335532005217</v>
      </c>
      <c r="AD1746" s="9">
        <v>29.039116491286865</v>
      </c>
      <c r="AE1746" s="9">
        <v>31.219251037281825</v>
      </c>
      <c r="AF1746" s="9">
        <v>33.487682081707895</v>
      </c>
      <c r="AG1746" s="9">
        <v>33.487682081707895</v>
      </c>
      <c r="AH1746" s="9">
        <v>36.427668170967245</v>
      </c>
      <c r="AI1746" s="9">
        <v>38.74455996597662</v>
      </c>
      <c r="AJ1746" s="9">
        <v>3.0428788910505911</v>
      </c>
    </row>
    <row r="1747" spans="1:36" x14ac:dyDescent="0.25">
      <c r="A1747" t="s">
        <v>5411</v>
      </c>
      <c r="B1747" t="s">
        <v>16</v>
      </c>
      <c r="C1747" t="s">
        <v>17</v>
      </c>
      <c r="D1747">
        <v>39492000</v>
      </c>
      <c r="E1747">
        <v>39494999</v>
      </c>
      <c r="F1747" t="s">
        <v>1564</v>
      </c>
      <c r="G1747" t="str">
        <f t="shared" si="54"/>
        <v>MGI II</v>
      </c>
      <c r="H1747" t="s">
        <v>851</v>
      </c>
      <c r="I1747" t="s">
        <v>20</v>
      </c>
      <c r="J1747" t="s">
        <v>64</v>
      </c>
      <c r="K1747" s="6">
        <v>0.03</v>
      </c>
      <c r="L1747" s="7">
        <f t="shared" si="55"/>
        <v>2E-3</v>
      </c>
      <c r="M1747" s="7">
        <v>3.0000000000000001E-3</v>
      </c>
      <c r="N1747">
        <v>7</v>
      </c>
      <c r="O1747" s="8">
        <v>17.822306426995311</v>
      </c>
      <c r="P1747" s="9">
        <v>17.822306426995311</v>
      </c>
      <c r="Q1747" s="9">
        <v>17.822306426995311</v>
      </c>
      <c r="R1747" s="9">
        <v>18.237663306594719</v>
      </c>
      <c r="S1747" s="9">
        <v>18.48712920931133</v>
      </c>
      <c r="T1747" s="9">
        <v>19.201553596969877</v>
      </c>
      <c r="U1747" s="9">
        <v>20.562345482855957</v>
      </c>
      <c r="V1747" s="9">
        <v>20.562345482855957</v>
      </c>
      <c r="W1747" s="9">
        <v>20.562345482855957</v>
      </c>
      <c r="X1747" s="9">
        <v>22.391977691000818</v>
      </c>
      <c r="Y1747" s="9">
        <v>22.391977691000818</v>
      </c>
      <c r="Z1747" s="9">
        <v>24.28858708803979</v>
      </c>
      <c r="AA1747" s="9">
        <v>24.28858708803979</v>
      </c>
      <c r="AB1747" s="9">
        <v>25.117335532005217</v>
      </c>
      <c r="AC1747" s="9">
        <v>25.117335532005217</v>
      </c>
      <c r="AD1747" s="9">
        <v>29.039116491286865</v>
      </c>
      <c r="AE1747" s="9">
        <v>31.219251037281825</v>
      </c>
      <c r="AF1747" s="9">
        <v>33.487682081707895</v>
      </c>
      <c r="AG1747" s="9">
        <v>33.487682081707895</v>
      </c>
      <c r="AH1747" s="9">
        <v>36.427668170967245</v>
      </c>
      <c r="AI1747" s="9">
        <v>38.74455996597662</v>
      </c>
      <c r="AJ1747" s="9">
        <v>3.0428788910505911</v>
      </c>
    </row>
    <row r="1748" spans="1:36" x14ac:dyDescent="0.25">
      <c r="A1748" t="s">
        <v>5411</v>
      </c>
      <c r="B1748" t="s">
        <v>16</v>
      </c>
      <c r="C1748" t="s">
        <v>17</v>
      </c>
      <c r="D1748">
        <v>39495000</v>
      </c>
      <c r="E1748">
        <v>39499999</v>
      </c>
      <c r="F1748" t="s">
        <v>1565</v>
      </c>
      <c r="G1748" t="str">
        <f t="shared" si="54"/>
        <v>MGI II</v>
      </c>
      <c r="H1748" t="s">
        <v>851</v>
      </c>
      <c r="I1748" t="s">
        <v>20</v>
      </c>
      <c r="J1748" t="s">
        <v>64</v>
      </c>
      <c r="K1748" s="6">
        <v>0.03</v>
      </c>
      <c r="L1748" s="7">
        <f t="shared" si="55"/>
        <v>2E-3</v>
      </c>
      <c r="M1748" s="7">
        <v>3.0000000000000001E-3</v>
      </c>
      <c r="N1748">
        <v>7</v>
      </c>
      <c r="O1748" s="8">
        <v>17.822306426995311</v>
      </c>
      <c r="P1748" s="9">
        <v>17.822306426995311</v>
      </c>
      <c r="Q1748" s="9">
        <v>17.822306426995311</v>
      </c>
      <c r="R1748" s="9">
        <v>18.237663306594719</v>
      </c>
      <c r="S1748" s="9">
        <v>18.48712920931133</v>
      </c>
      <c r="T1748" s="9">
        <v>19.201553596969877</v>
      </c>
      <c r="U1748" s="9">
        <v>20.562345482855957</v>
      </c>
      <c r="V1748" s="9">
        <v>20.562345482855957</v>
      </c>
      <c r="W1748" s="9">
        <v>20.562345482855957</v>
      </c>
      <c r="X1748" s="9">
        <v>22.391977691000818</v>
      </c>
      <c r="Y1748" s="9">
        <v>22.391977691000818</v>
      </c>
      <c r="Z1748" s="9">
        <v>24.28858708803979</v>
      </c>
      <c r="AA1748" s="9">
        <v>24.28858708803979</v>
      </c>
      <c r="AB1748" s="9">
        <v>25.117335532005217</v>
      </c>
      <c r="AC1748" s="9">
        <v>25.117335532005217</v>
      </c>
      <c r="AD1748" s="9">
        <v>29.039116491286865</v>
      </c>
      <c r="AE1748" s="9">
        <v>31.219251037281825</v>
      </c>
      <c r="AF1748" s="9">
        <v>33.487682081707895</v>
      </c>
      <c r="AG1748" s="9">
        <v>33.487682081707895</v>
      </c>
      <c r="AH1748" s="9">
        <v>36.427668170967245</v>
      </c>
      <c r="AI1748" s="9">
        <v>38.74455996597662</v>
      </c>
      <c r="AJ1748" s="9">
        <v>3.0428788910505911</v>
      </c>
    </row>
    <row r="1749" spans="1:36" x14ac:dyDescent="0.25">
      <c r="A1749" t="s">
        <v>5411</v>
      </c>
      <c r="B1749" t="s">
        <v>16</v>
      </c>
      <c r="C1749" t="s">
        <v>17</v>
      </c>
      <c r="D1749">
        <v>39500000</v>
      </c>
      <c r="E1749">
        <v>39504999</v>
      </c>
      <c r="F1749" t="s">
        <v>1566</v>
      </c>
      <c r="G1749" t="str">
        <f t="shared" si="54"/>
        <v>MGI II</v>
      </c>
      <c r="H1749" t="s">
        <v>851</v>
      </c>
      <c r="I1749" t="s">
        <v>20</v>
      </c>
      <c r="J1749" t="s">
        <v>64</v>
      </c>
      <c r="K1749" s="6">
        <v>0.03</v>
      </c>
      <c r="L1749" s="7">
        <f t="shared" si="55"/>
        <v>2E-3</v>
      </c>
      <c r="M1749" s="7">
        <v>3.0000000000000001E-3</v>
      </c>
      <c r="N1749">
        <v>10</v>
      </c>
      <c r="O1749" s="8">
        <v>17.822306426995311</v>
      </c>
      <c r="P1749" s="9">
        <v>17.822306426995311</v>
      </c>
      <c r="Q1749" s="9">
        <v>17.822306426995311</v>
      </c>
      <c r="R1749" s="9">
        <v>18.237663306594719</v>
      </c>
      <c r="S1749" s="9">
        <v>18.48712920931133</v>
      </c>
      <c r="T1749" s="9">
        <v>19.201553596969877</v>
      </c>
      <c r="U1749" s="9">
        <v>20.562345482855957</v>
      </c>
      <c r="V1749" s="9">
        <v>20.562345482855957</v>
      </c>
      <c r="W1749" s="9">
        <v>20.562345482855957</v>
      </c>
      <c r="X1749" s="9">
        <v>22.391977691000818</v>
      </c>
      <c r="Y1749" s="9">
        <v>22.391977691000818</v>
      </c>
      <c r="Z1749" s="9">
        <v>24.28858708803979</v>
      </c>
      <c r="AA1749" s="9">
        <v>24.28858708803979</v>
      </c>
      <c r="AB1749" s="9">
        <v>25.117335532005217</v>
      </c>
      <c r="AC1749" s="9">
        <v>25.117335532005217</v>
      </c>
      <c r="AD1749" s="9">
        <v>29.039116491286865</v>
      </c>
      <c r="AE1749" s="9">
        <v>31.219251037281825</v>
      </c>
      <c r="AF1749" s="9">
        <v>33.487682081707895</v>
      </c>
      <c r="AG1749" s="9">
        <v>33.487682081707895</v>
      </c>
      <c r="AH1749" s="9">
        <v>36.427668170967245</v>
      </c>
      <c r="AI1749" s="9">
        <v>38.74455996597662</v>
      </c>
      <c r="AJ1749" s="9">
        <v>3.0428788910505911</v>
      </c>
    </row>
    <row r="1750" spans="1:36" x14ac:dyDescent="0.25">
      <c r="A1750" t="s">
        <v>5411</v>
      </c>
      <c r="B1750" t="s">
        <v>16</v>
      </c>
      <c r="C1750" t="s">
        <v>17</v>
      </c>
      <c r="D1750">
        <v>39505000</v>
      </c>
      <c r="E1750">
        <v>39507999</v>
      </c>
      <c r="F1750" t="s">
        <v>1567</v>
      </c>
      <c r="G1750" t="str">
        <f t="shared" si="54"/>
        <v>MGI II</v>
      </c>
      <c r="H1750" t="s">
        <v>851</v>
      </c>
      <c r="I1750" t="s">
        <v>20</v>
      </c>
      <c r="J1750" t="s">
        <v>64</v>
      </c>
      <c r="K1750" s="6">
        <v>0.03</v>
      </c>
      <c r="L1750" s="7">
        <f t="shared" si="55"/>
        <v>2E-3</v>
      </c>
      <c r="M1750" s="7">
        <v>3.0000000000000001E-3</v>
      </c>
      <c r="N1750">
        <v>8</v>
      </c>
      <c r="O1750" s="8">
        <v>17.822306426995311</v>
      </c>
      <c r="P1750" s="9">
        <v>17.822306426995311</v>
      </c>
      <c r="Q1750" s="9">
        <v>17.822306426995311</v>
      </c>
      <c r="R1750" s="9">
        <v>18.237663306594719</v>
      </c>
      <c r="S1750" s="9">
        <v>18.48712920931133</v>
      </c>
      <c r="T1750" s="9">
        <v>19.201553596969877</v>
      </c>
      <c r="U1750" s="9">
        <v>20.562345482855957</v>
      </c>
      <c r="V1750" s="9">
        <v>20.562345482855957</v>
      </c>
      <c r="W1750" s="9">
        <v>20.562345482855957</v>
      </c>
      <c r="X1750" s="9">
        <v>22.391977691000818</v>
      </c>
      <c r="Y1750" s="9">
        <v>22.391977691000818</v>
      </c>
      <c r="Z1750" s="9">
        <v>24.28858708803979</v>
      </c>
      <c r="AA1750" s="9">
        <v>24.28858708803979</v>
      </c>
      <c r="AB1750" s="9">
        <v>25.117335532005217</v>
      </c>
      <c r="AC1750" s="9">
        <v>25.117335532005217</v>
      </c>
      <c r="AD1750" s="9">
        <v>29.039116491286865</v>
      </c>
      <c r="AE1750" s="9">
        <v>31.219251037281825</v>
      </c>
      <c r="AF1750" s="9">
        <v>33.487682081707895</v>
      </c>
      <c r="AG1750" s="9">
        <v>33.487682081707895</v>
      </c>
      <c r="AH1750" s="9">
        <v>36.427668170967245</v>
      </c>
      <c r="AI1750" s="9">
        <v>38.74455996597662</v>
      </c>
      <c r="AJ1750" s="9">
        <v>3.0428788910505911</v>
      </c>
    </row>
    <row r="1751" spans="1:36" x14ac:dyDescent="0.25">
      <c r="A1751" t="s">
        <v>5411</v>
      </c>
      <c r="B1751" t="s">
        <v>16</v>
      </c>
      <c r="C1751" t="s">
        <v>17</v>
      </c>
      <c r="D1751">
        <v>39508000</v>
      </c>
      <c r="E1751">
        <v>39509999</v>
      </c>
      <c r="F1751" t="s">
        <v>1568</v>
      </c>
      <c r="G1751" t="str">
        <f t="shared" si="54"/>
        <v>MGI II</v>
      </c>
      <c r="H1751" t="s">
        <v>851</v>
      </c>
      <c r="I1751" t="s">
        <v>20</v>
      </c>
      <c r="J1751" t="s">
        <v>64</v>
      </c>
      <c r="K1751" s="6">
        <v>0.03</v>
      </c>
      <c r="L1751" s="7">
        <f t="shared" si="55"/>
        <v>2E-3</v>
      </c>
      <c r="M1751" s="7">
        <v>3.0000000000000001E-3</v>
      </c>
      <c r="N1751">
        <v>7</v>
      </c>
      <c r="O1751" s="8">
        <v>17.822306426995311</v>
      </c>
      <c r="P1751" s="9">
        <v>17.822306426995311</v>
      </c>
      <c r="Q1751" s="9">
        <v>17.822306426995311</v>
      </c>
      <c r="R1751" s="9">
        <v>18.237663306594719</v>
      </c>
      <c r="S1751" s="9">
        <v>18.48712920931133</v>
      </c>
      <c r="T1751" s="9">
        <v>19.201553596969877</v>
      </c>
      <c r="U1751" s="9">
        <v>20.562345482855957</v>
      </c>
      <c r="V1751" s="9">
        <v>20.562345482855957</v>
      </c>
      <c r="W1751" s="9">
        <v>20.562345482855957</v>
      </c>
      <c r="X1751" s="9">
        <v>22.391977691000818</v>
      </c>
      <c r="Y1751" s="9">
        <v>22.391977691000818</v>
      </c>
      <c r="Z1751" s="9">
        <v>24.28858708803979</v>
      </c>
      <c r="AA1751" s="9">
        <v>24.28858708803979</v>
      </c>
      <c r="AB1751" s="9">
        <v>25.117335532005217</v>
      </c>
      <c r="AC1751" s="9">
        <v>25.117335532005217</v>
      </c>
      <c r="AD1751" s="9">
        <v>29.039116491286865</v>
      </c>
      <c r="AE1751" s="9">
        <v>31.219251037281825</v>
      </c>
      <c r="AF1751" s="9">
        <v>33.487682081707895</v>
      </c>
      <c r="AG1751" s="9">
        <v>33.487682081707895</v>
      </c>
      <c r="AH1751" s="9">
        <v>36.427668170967245</v>
      </c>
      <c r="AI1751" s="9">
        <v>38.74455996597662</v>
      </c>
      <c r="AJ1751" s="9">
        <v>3.0428788910505911</v>
      </c>
    </row>
    <row r="1752" spans="1:36" x14ac:dyDescent="0.25">
      <c r="A1752" t="s">
        <v>5411</v>
      </c>
      <c r="B1752" t="s">
        <v>16</v>
      </c>
      <c r="C1752" t="s">
        <v>17</v>
      </c>
      <c r="D1752">
        <v>39510000</v>
      </c>
      <c r="E1752">
        <v>39515999</v>
      </c>
      <c r="F1752" t="s">
        <v>1569</v>
      </c>
      <c r="G1752" t="str">
        <f t="shared" si="54"/>
        <v>MGI II</v>
      </c>
      <c r="H1752" t="s">
        <v>851</v>
      </c>
      <c r="I1752" t="s">
        <v>20</v>
      </c>
      <c r="J1752" t="s">
        <v>64</v>
      </c>
      <c r="K1752" s="6">
        <v>0.03</v>
      </c>
      <c r="L1752" s="7">
        <f t="shared" si="55"/>
        <v>2E-3</v>
      </c>
      <c r="M1752" s="7">
        <v>3.0000000000000001E-3</v>
      </c>
      <c r="N1752">
        <v>10</v>
      </c>
      <c r="O1752" s="8">
        <v>17.822306426995311</v>
      </c>
      <c r="P1752" s="9">
        <v>17.822306426995311</v>
      </c>
      <c r="Q1752" s="9">
        <v>17.822306426995311</v>
      </c>
      <c r="R1752" s="9">
        <v>18.237663306594719</v>
      </c>
      <c r="S1752" s="9">
        <v>18.48712920931133</v>
      </c>
      <c r="T1752" s="9">
        <v>19.201553596969877</v>
      </c>
      <c r="U1752" s="9">
        <v>20.562345482855957</v>
      </c>
      <c r="V1752" s="9">
        <v>20.562345482855957</v>
      </c>
      <c r="W1752" s="9">
        <v>20.562345482855957</v>
      </c>
      <c r="X1752" s="9">
        <v>22.391977691000818</v>
      </c>
      <c r="Y1752" s="9">
        <v>22.391977691000818</v>
      </c>
      <c r="Z1752" s="9">
        <v>24.28858708803979</v>
      </c>
      <c r="AA1752" s="9">
        <v>24.28858708803979</v>
      </c>
      <c r="AB1752" s="9">
        <v>25.117335532005217</v>
      </c>
      <c r="AC1752" s="9">
        <v>25.117335532005217</v>
      </c>
      <c r="AD1752" s="9">
        <v>29.039116491286865</v>
      </c>
      <c r="AE1752" s="9">
        <v>31.219251037281825</v>
      </c>
      <c r="AF1752" s="9">
        <v>33.487682081707895</v>
      </c>
      <c r="AG1752" s="9">
        <v>33.487682081707895</v>
      </c>
      <c r="AH1752" s="9">
        <v>36.427668170967245</v>
      </c>
      <c r="AI1752" s="9">
        <v>38.74455996597662</v>
      </c>
      <c r="AJ1752" s="9">
        <v>3.0428788910505911</v>
      </c>
    </row>
    <row r="1753" spans="1:36" x14ac:dyDescent="0.25">
      <c r="A1753" t="s">
        <v>5411</v>
      </c>
      <c r="B1753" t="s">
        <v>16</v>
      </c>
      <c r="C1753" t="s">
        <v>17</v>
      </c>
      <c r="D1753">
        <v>39516000</v>
      </c>
      <c r="E1753">
        <v>39516999</v>
      </c>
      <c r="F1753" t="s">
        <v>1570</v>
      </c>
      <c r="G1753" t="str">
        <f t="shared" si="54"/>
        <v>MGI II</v>
      </c>
      <c r="H1753" t="s">
        <v>851</v>
      </c>
      <c r="I1753" t="s">
        <v>20</v>
      </c>
      <c r="J1753" t="s">
        <v>64</v>
      </c>
      <c r="K1753" s="6">
        <v>0.03</v>
      </c>
      <c r="L1753" s="7">
        <f t="shared" si="55"/>
        <v>2E-3</v>
      </c>
      <c r="M1753" s="7">
        <v>3.0000000000000001E-3</v>
      </c>
      <c r="N1753">
        <v>7</v>
      </c>
      <c r="O1753" s="8">
        <v>17.822306426995311</v>
      </c>
      <c r="P1753" s="9">
        <v>17.822306426995311</v>
      </c>
      <c r="Q1753" s="9">
        <v>17.822306426995311</v>
      </c>
      <c r="R1753" s="9">
        <v>18.237663306594719</v>
      </c>
      <c r="S1753" s="9">
        <v>18.48712920931133</v>
      </c>
      <c r="T1753" s="9">
        <v>19.201553596969877</v>
      </c>
      <c r="U1753" s="9">
        <v>20.562345482855957</v>
      </c>
      <c r="V1753" s="9">
        <v>20.562345482855957</v>
      </c>
      <c r="W1753" s="9">
        <v>20.562345482855957</v>
      </c>
      <c r="X1753" s="9">
        <v>22.391977691000818</v>
      </c>
      <c r="Y1753" s="9">
        <v>22.391977691000818</v>
      </c>
      <c r="Z1753" s="9">
        <v>24.28858708803979</v>
      </c>
      <c r="AA1753" s="9">
        <v>24.28858708803979</v>
      </c>
      <c r="AB1753" s="9">
        <v>25.117335532005217</v>
      </c>
      <c r="AC1753" s="9">
        <v>25.117335532005217</v>
      </c>
      <c r="AD1753" s="9">
        <v>29.039116491286865</v>
      </c>
      <c r="AE1753" s="9">
        <v>31.219251037281825</v>
      </c>
      <c r="AF1753" s="9">
        <v>33.487682081707895</v>
      </c>
      <c r="AG1753" s="9">
        <v>33.487682081707895</v>
      </c>
      <c r="AH1753" s="9">
        <v>36.427668170967245</v>
      </c>
      <c r="AI1753" s="9">
        <v>38.74455996597662</v>
      </c>
      <c r="AJ1753" s="9">
        <v>3.0428788910505911</v>
      </c>
    </row>
    <row r="1754" spans="1:36" x14ac:dyDescent="0.25">
      <c r="A1754" t="s">
        <v>5411</v>
      </c>
      <c r="B1754" t="s">
        <v>16</v>
      </c>
      <c r="C1754" t="s">
        <v>17</v>
      </c>
      <c r="D1754">
        <v>39517000</v>
      </c>
      <c r="E1754">
        <v>39517999</v>
      </c>
      <c r="F1754" t="s">
        <v>1571</v>
      </c>
      <c r="G1754" t="str">
        <f t="shared" si="54"/>
        <v>MGI II</v>
      </c>
      <c r="H1754" t="s">
        <v>851</v>
      </c>
      <c r="I1754" t="s">
        <v>20</v>
      </c>
      <c r="J1754" t="s">
        <v>64</v>
      </c>
      <c r="K1754" s="6">
        <v>0.03</v>
      </c>
      <c r="L1754" s="7">
        <f t="shared" si="55"/>
        <v>2E-3</v>
      </c>
      <c r="M1754" s="7">
        <v>3.0000000000000001E-3</v>
      </c>
      <c r="N1754">
        <v>8</v>
      </c>
      <c r="O1754" s="8">
        <v>17.822306426995311</v>
      </c>
      <c r="P1754" s="9">
        <v>17.822306426995311</v>
      </c>
      <c r="Q1754" s="9">
        <v>17.822306426995311</v>
      </c>
      <c r="R1754" s="9">
        <v>18.237663306594719</v>
      </c>
      <c r="S1754" s="9">
        <v>18.48712920931133</v>
      </c>
      <c r="T1754" s="9">
        <v>19.201553596969877</v>
      </c>
      <c r="U1754" s="9">
        <v>20.562345482855957</v>
      </c>
      <c r="V1754" s="9">
        <v>20.562345482855957</v>
      </c>
      <c r="W1754" s="9">
        <v>20.562345482855957</v>
      </c>
      <c r="X1754" s="9">
        <v>22.391977691000818</v>
      </c>
      <c r="Y1754" s="9">
        <v>22.391977691000818</v>
      </c>
      <c r="Z1754" s="9">
        <v>24.28858708803979</v>
      </c>
      <c r="AA1754" s="9">
        <v>24.28858708803979</v>
      </c>
      <c r="AB1754" s="9">
        <v>25.117335532005217</v>
      </c>
      <c r="AC1754" s="9">
        <v>25.117335532005217</v>
      </c>
      <c r="AD1754" s="9">
        <v>29.039116491286865</v>
      </c>
      <c r="AE1754" s="9">
        <v>31.219251037281825</v>
      </c>
      <c r="AF1754" s="9">
        <v>33.487682081707895</v>
      </c>
      <c r="AG1754" s="9">
        <v>33.487682081707895</v>
      </c>
      <c r="AH1754" s="9">
        <v>36.427668170967245</v>
      </c>
      <c r="AI1754" s="9">
        <v>38.74455996597662</v>
      </c>
      <c r="AJ1754" s="9">
        <v>3.0428788910505911</v>
      </c>
    </row>
    <row r="1755" spans="1:36" x14ac:dyDescent="0.25">
      <c r="A1755" t="s">
        <v>5411</v>
      </c>
      <c r="B1755" t="s">
        <v>16</v>
      </c>
      <c r="C1755" t="s">
        <v>17</v>
      </c>
      <c r="D1755">
        <v>39518000</v>
      </c>
      <c r="E1755">
        <v>39519999</v>
      </c>
      <c r="F1755" t="s">
        <v>1572</v>
      </c>
      <c r="G1755" t="str">
        <f t="shared" si="54"/>
        <v>MGI II</v>
      </c>
      <c r="H1755" t="s">
        <v>851</v>
      </c>
      <c r="I1755" t="s">
        <v>20</v>
      </c>
      <c r="J1755" t="s">
        <v>64</v>
      </c>
      <c r="K1755" s="6">
        <v>0.03</v>
      </c>
      <c r="L1755" s="7">
        <f t="shared" si="55"/>
        <v>2E-3</v>
      </c>
      <c r="M1755" s="7">
        <v>3.0000000000000001E-3</v>
      </c>
      <c r="N1755">
        <v>7</v>
      </c>
      <c r="O1755" s="8">
        <v>17.822306426995311</v>
      </c>
      <c r="P1755" s="9">
        <v>17.822306426995311</v>
      </c>
      <c r="Q1755" s="9">
        <v>17.822306426995311</v>
      </c>
      <c r="R1755" s="9">
        <v>18.237663306594719</v>
      </c>
      <c r="S1755" s="9">
        <v>18.48712920931133</v>
      </c>
      <c r="T1755" s="9">
        <v>19.201553596969877</v>
      </c>
      <c r="U1755" s="9">
        <v>20.562345482855957</v>
      </c>
      <c r="V1755" s="9">
        <v>20.562345482855957</v>
      </c>
      <c r="W1755" s="9">
        <v>20.562345482855957</v>
      </c>
      <c r="X1755" s="9">
        <v>22.391977691000818</v>
      </c>
      <c r="Y1755" s="9">
        <v>22.391977691000818</v>
      </c>
      <c r="Z1755" s="9">
        <v>24.28858708803979</v>
      </c>
      <c r="AA1755" s="9">
        <v>24.28858708803979</v>
      </c>
      <c r="AB1755" s="9">
        <v>25.117335532005217</v>
      </c>
      <c r="AC1755" s="9">
        <v>25.117335532005217</v>
      </c>
      <c r="AD1755" s="9">
        <v>29.039116491286865</v>
      </c>
      <c r="AE1755" s="9">
        <v>31.219251037281825</v>
      </c>
      <c r="AF1755" s="9">
        <v>33.487682081707895</v>
      </c>
      <c r="AG1755" s="9">
        <v>33.487682081707895</v>
      </c>
      <c r="AH1755" s="9">
        <v>36.427668170967245</v>
      </c>
      <c r="AI1755" s="9">
        <v>38.74455996597662</v>
      </c>
      <c r="AJ1755" s="9">
        <v>3.0428788910505911</v>
      </c>
    </row>
    <row r="1756" spans="1:36" x14ac:dyDescent="0.25">
      <c r="A1756" t="s">
        <v>5411</v>
      </c>
      <c r="B1756" t="s">
        <v>16</v>
      </c>
      <c r="C1756" t="s">
        <v>17</v>
      </c>
      <c r="D1756">
        <v>39520000</v>
      </c>
      <c r="E1756">
        <v>39524999</v>
      </c>
      <c r="F1756" t="s">
        <v>1573</v>
      </c>
      <c r="G1756" t="str">
        <f t="shared" si="54"/>
        <v>MGI II</v>
      </c>
      <c r="H1756" t="s">
        <v>851</v>
      </c>
      <c r="I1756" t="s">
        <v>20</v>
      </c>
      <c r="J1756" t="s">
        <v>64</v>
      </c>
      <c r="K1756" s="6">
        <v>0.03</v>
      </c>
      <c r="L1756" s="7">
        <f t="shared" si="55"/>
        <v>2E-3</v>
      </c>
      <c r="M1756" s="7">
        <v>3.0000000000000001E-3</v>
      </c>
      <c r="N1756">
        <v>10</v>
      </c>
      <c r="O1756" s="8">
        <v>17.822306426995311</v>
      </c>
      <c r="P1756" s="9">
        <v>17.822306426995311</v>
      </c>
      <c r="Q1756" s="9">
        <v>17.822306426995311</v>
      </c>
      <c r="R1756" s="9">
        <v>18.237663306594719</v>
      </c>
      <c r="S1756" s="9">
        <v>18.48712920931133</v>
      </c>
      <c r="T1756" s="9">
        <v>19.201553596969877</v>
      </c>
      <c r="U1756" s="9">
        <v>20.562345482855957</v>
      </c>
      <c r="V1756" s="9">
        <v>20.562345482855957</v>
      </c>
      <c r="W1756" s="9">
        <v>20.562345482855957</v>
      </c>
      <c r="X1756" s="9">
        <v>22.391977691000818</v>
      </c>
      <c r="Y1756" s="9">
        <v>22.391977691000818</v>
      </c>
      <c r="Z1756" s="9">
        <v>24.28858708803979</v>
      </c>
      <c r="AA1756" s="9">
        <v>24.28858708803979</v>
      </c>
      <c r="AB1756" s="9">
        <v>25.117335532005217</v>
      </c>
      <c r="AC1756" s="9">
        <v>25.117335532005217</v>
      </c>
      <c r="AD1756" s="9">
        <v>29.039116491286865</v>
      </c>
      <c r="AE1756" s="9">
        <v>31.219251037281825</v>
      </c>
      <c r="AF1756" s="9">
        <v>33.487682081707895</v>
      </c>
      <c r="AG1756" s="9">
        <v>33.487682081707895</v>
      </c>
      <c r="AH1756" s="9">
        <v>36.427668170967245</v>
      </c>
      <c r="AI1756" s="9">
        <v>38.74455996597662</v>
      </c>
      <c r="AJ1756" s="9">
        <v>3.0428788910505911</v>
      </c>
    </row>
    <row r="1757" spans="1:36" x14ac:dyDescent="0.25">
      <c r="A1757" t="s">
        <v>5411</v>
      </c>
      <c r="B1757" t="s">
        <v>16</v>
      </c>
      <c r="C1757" t="s">
        <v>17</v>
      </c>
      <c r="D1757">
        <v>39525000</v>
      </c>
      <c r="E1757">
        <v>39525999</v>
      </c>
      <c r="F1757" t="s">
        <v>1574</v>
      </c>
      <c r="G1757" t="str">
        <f t="shared" si="54"/>
        <v>MGI II</v>
      </c>
      <c r="H1757" t="s">
        <v>851</v>
      </c>
      <c r="I1757" t="s">
        <v>20</v>
      </c>
      <c r="J1757" t="s">
        <v>64</v>
      </c>
      <c r="K1757" s="6">
        <v>0.03</v>
      </c>
      <c r="L1757" s="7">
        <f t="shared" si="55"/>
        <v>2E-3</v>
      </c>
      <c r="M1757" s="7">
        <v>3.0000000000000001E-3</v>
      </c>
      <c r="N1757">
        <v>7</v>
      </c>
      <c r="O1757" s="8">
        <v>17.822306426995311</v>
      </c>
      <c r="P1757" s="9">
        <v>17.822306426995311</v>
      </c>
      <c r="Q1757" s="9">
        <v>17.822306426995311</v>
      </c>
      <c r="R1757" s="9">
        <v>18.237663306594719</v>
      </c>
      <c r="S1757" s="9">
        <v>18.48712920931133</v>
      </c>
      <c r="T1757" s="9">
        <v>19.201553596969877</v>
      </c>
      <c r="U1757" s="9">
        <v>20.562345482855957</v>
      </c>
      <c r="V1757" s="9">
        <v>20.562345482855957</v>
      </c>
      <c r="W1757" s="9">
        <v>20.562345482855957</v>
      </c>
      <c r="X1757" s="9">
        <v>22.391977691000818</v>
      </c>
      <c r="Y1757" s="9">
        <v>22.391977691000818</v>
      </c>
      <c r="Z1757" s="9">
        <v>24.28858708803979</v>
      </c>
      <c r="AA1757" s="9">
        <v>24.28858708803979</v>
      </c>
      <c r="AB1757" s="9">
        <v>25.117335532005217</v>
      </c>
      <c r="AC1757" s="9">
        <v>25.117335532005217</v>
      </c>
      <c r="AD1757" s="9">
        <v>29.039116491286865</v>
      </c>
      <c r="AE1757" s="9">
        <v>31.219251037281825</v>
      </c>
      <c r="AF1757" s="9">
        <v>33.487682081707895</v>
      </c>
      <c r="AG1757" s="9">
        <v>33.487682081707895</v>
      </c>
      <c r="AH1757" s="9">
        <v>36.427668170967245</v>
      </c>
      <c r="AI1757" s="9">
        <v>38.74455996597662</v>
      </c>
      <c r="AJ1757" s="9">
        <v>3.0428788910505911</v>
      </c>
    </row>
    <row r="1758" spans="1:36" x14ac:dyDescent="0.25">
      <c r="A1758" t="s">
        <v>5411</v>
      </c>
      <c r="B1758" t="s">
        <v>16</v>
      </c>
      <c r="C1758" t="s">
        <v>17</v>
      </c>
      <c r="D1758">
        <v>39526000</v>
      </c>
      <c r="E1758">
        <v>39526999</v>
      </c>
      <c r="F1758" t="s">
        <v>1575</v>
      </c>
      <c r="G1758" t="str">
        <f t="shared" si="54"/>
        <v>MGI II</v>
      </c>
      <c r="H1758" t="s">
        <v>851</v>
      </c>
      <c r="I1758" t="s">
        <v>20</v>
      </c>
      <c r="J1758" t="s">
        <v>64</v>
      </c>
      <c r="K1758" s="6">
        <v>0.03</v>
      </c>
      <c r="L1758" s="7">
        <f t="shared" si="55"/>
        <v>2E-3</v>
      </c>
      <c r="M1758" s="7">
        <v>3.0000000000000001E-3</v>
      </c>
      <c r="N1758">
        <v>7</v>
      </c>
      <c r="O1758" s="8">
        <v>17.822306426995311</v>
      </c>
      <c r="P1758" s="9">
        <v>17.822306426995311</v>
      </c>
      <c r="Q1758" s="9">
        <v>17.822306426995311</v>
      </c>
      <c r="R1758" s="9">
        <v>18.237663306594719</v>
      </c>
      <c r="S1758" s="9">
        <v>18.48712920931133</v>
      </c>
      <c r="T1758" s="9">
        <v>19.201553596969877</v>
      </c>
      <c r="U1758" s="9">
        <v>20.562345482855957</v>
      </c>
      <c r="V1758" s="9">
        <v>20.562345482855957</v>
      </c>
      <c r="W1758" s="9">
        <v>20.562345482855957</v>
      </c>
      <c r="X1758" s="9">
        <v>22.391977691000818</v>
      </c>
      <c r="Y1758" s="9">
        <v>22.391977691000818</v>
      </c>
      <c r="Z1758" s="9">
        <v>24.28858708803979</v>
      </c>
      <c r="AA1758" s="9">
        <v>24.28858708803979</v>
      </c>
      <c r="AB1758" s="9">
        <v>25.117335532005217</v>
      </c>
      <c r="AC1758" s="9">
        <v>25.117335532005217</v>
      </c>
      <c r="AD1758" s="9">
        <v>29.039116491286865</v>
      </c>
      <c r="AE1758" s="9">
        <v>31.219251037281825</v>
      </c>
      <c r="AF1758" s="9">
        <v>33.487682081707895</v>
      </c>
      <c r="AG1758" s="9">
        <v>33.487682081707895</v>
      </c>
      <c r="AH1758" s="9">
        <v>36.427668170967245</v>
      </c>
      <c r="AI1758" s="9">
        <v>38.74455996597662</v>
      </c>
      <c r="AJ1758" s="9">
        <v>3.0428788910505911</v>
      </c>
    </row>
    <row r="1759" spans="1:36" x14ac:dyDescent="0.25">
      <c r="A1759" t="s">
        <v>5411</v>
      </c>
      <c r="B1759" t="s">
        <v>16</v>
      </c>
      <c r="C1759" t="s">
        <v>17</v>
      </c>
      <c r="D1759">
        <v>39527000</v>
      </c>
      <c r="E1759">
        <v>39528999</v>
      </c>
      <c r="F1759" t="s">
        <v>1576</v>
      </c>
      <c r="G1759" t="str">
        <f t="shared" si="54"/>
        <v>MGI II</v>
      </c>
      <c r="H1759" t="s">
        <v>851</v>
      </c>
      <c r="I1759" t="s">
        <v>20</v>
      </c>
      <c r="J1759" t="s">
        <v>64</v>
      </c>
      <c r="K1759" s="6">
        <v>0.03</v>
      </c>
      <c r="L1759" s="7">
        <f t="shared" si="55"/>
        <v>2E-3</v>
      </c>
      <c r="M1759" s="7">
        <v>3.0000000000000001E-3</v>
      </c>
      <c r="N1759">
        <v>10</v>
      </c>
      <c r="O1759" s="8">
        <v>17.822306426995311</v>
      </c>
      <c r="P1759" s="9">
        <v>17.822306426995311</v>
      </c>
      <c r="Q1759" s="9">
        <v>17.822306426995311</v>
      </c>
      <c r="R1759" s="9">
        <v>18.237663306594719</v>
      </c>
      <c r="S1759" s="9">
        <v>18.48712920931133</v>
      </c>
      <c r="T1759" s="9">
        <v>19.201553596969877</v>
      </c>
      <c r="U1759" s="9">
        <v>20.562345482855957</v>
      </c>
      <c r="V1759" s="9">
        <v>20.562345482855957</v>
      </c>
      <c r="W1759" s="9">
        <v>20.562345482855957</v>
      </c>
      <c r="X1759" s="9">
        <v>22.391977691000818</v>
      </c>
      <c r="Y1759" s="9">
        <v>22.391977691000818</v>
      </c>
      <c r="Z1759" s="9">
        <v>24.28858708803979</v>
      </c>
      <c r="AA1759" s="9">
        <v>24.28858708803979</v>
      </c>
      <c r="AB1759" s="9">
        <v>25.117335532005217</v>
      </c>
      <c r="AC1759" s="9">
        <v>25.117335532005217</v>
      </c>
      <c r="AD1759" s="9">
        <v>29.039116491286865</v>
      </c>
      <c r="AE1759" s="9">
        <v>31.219251037281825</v>
      </c>
      <c r="AF1759" s="9">
        <v>33.487682081707895</v>
      </c>
      <c r="AG1759" s="9">
        <v>33.487682081707895</v>
      </c>
      <c r="AH1759" s="9">
        <v>36.427668170967245</v>
      </c>
      <c r="AI1759" s="9">
        <v>38.74455996597662</v>
      </c>
      <c r="AJ1759" s="9">
        <v>3.0428788910505911</v>
      </c>
    </row>
    <row r="1760" spans="1:36" x14ac:dyDescent="0.25">
      <c r="A1760" t="s">
        <v>5411</v>
      </c>
      <c r="B1760" t="s">
        <v>16</v>
      </c>
      <c r="C1760" t="s">
        <v>17</v>
      </c>
      <c r="D1760">
        <v>39529000</v>
      </c>
      <c r="E1760">
        <v>39529999</v>
      </c>
      <c r="F1760" t="s">
        <v>1577</v>
      </c>
      <c r="G1760" t="str">
        <f t="shared" si="54"/>
        <v>MGI II</v>
      </c>
      <c r="H1760" t="s">
        <v>851</v>
      </c>
      <c r="I1760" t="s">
        <v>20</v>
      </c>
      <c r="J1760" t="s">
        <v>64</v>
      </c>
      <c r="K1760" s="6">
        <v>0.03</v>
      </c>
      <c r="L1760" s="7">
        <f t="shared" si="55"/>
        <v>2E-3</v>
      </c>
      <c r="M1760" s="7">
        <v>3.0000000000000001E-3</v>
      </c>
      <c r="N1760">
        <v>8</v>
      </c>
      <c r="O1760" s="8">
        <v>17.822306426995311</v>
      </c>
      <c r="P1760" s="9">
        <v>17.822306426995311</v>
      </c>
      <c r="Q1760" s="9">
        <v>17.822306426995311</v>
      </c>
      <c r="R1760" s="9">
        <v>18.237663306594719</v>
      </c>
      <c r="S1760" s="9">
        <v>18.48712920931133</v>
      </c>
      <c r="T1760" s="9">
        <v>19.201553596969877</v>
      </c>
      <c r="U1760" s="9">
        <v>20.562345482855957</v>
      </c>
      <c r="V1760" s="9">
        <v>20.562345482855957</v>
      </c>
      <c r="W1760" s="9">
        <v>20.562345482855957</v>
      </c>
      <c r="X1760" s="9">
        <v>22.391977691000818</v>
      </c>
      <c r="Y1760" s="9">
        <v>22.391977691000818</v>
      </c>
      <c r="Z1760" s="9">
        <v>24.28858708803979</v>
      </c>
      <c r="AA1760" s="9">
        <v>24.28858708803979</v>
      </c>
      <c r="AB1760" s="9">
        <v>25.117335532005217</v>
      </c>
      <c r="AC1760" s="9">
        <v>25.117335532005217</v>
      </c>
      <c r="AD1760" s="9">
        <v>29.039116491286865</v>
      </c>
      <c r="AE1760" s="9">
        <v>31.219251037281825</v>
      </c>
      <c r="AF1760" s="9">
        <v>33.487682081707895</v>
      </c>
      <c r="AG1760" s="9">
        <v>33.487682081707895</v>
      </c>
      <c r="AH1760" s="9">
        <v>36.427668170967245</v>
      </c>
      <c r="AI1760" s="9">
        <v>38.74455996597662</v>
      </c>
      <c r="AJ1760" s="9">
        <v>3.0428788910505911</v>
      </c>
    </row>
    <row r="1761" spans="1:36" x14ac:dyDescent="0.25">
      <c r="A1761" t="s">
        <v>5411</v>
      </c>
      <c r="B1761" t="s">
        <v>16</v>
      </c>
      <c r="C1761" t="s">
        <v>17</v>
      </c>
      <c r="D1761">
        <v>39530000</v>
      </c>
      <c r="E1761">
        <v>39534999</v>
      </c>
      <c r="F1761" t="s">
        <v>1578</v>
      </c>
      <c r="G1761" t="str">
        <f t="shared" si="54"/>
        <v>MGI II</v>
      </c>
      <c r="H1761" t="s">
        <v>851</v>
      </c>
      <c r="I1761" t="s">
        <v>20</v>
      </c>
      <c r="J1761" t="s">
        <v>64</v>
      </c>
      <c r="K1761" s="6">
        <v>0.03</v>
      </c>
      <c r="L1761" s="7">
        <f t="shared" si="55"/>
        <v>2E-3</v>
      </c>
      <c r="M1761" s="7">
        <v>3.0000000000000001E-3</v>
      </c>
      <c r="N1761">
        <v>7</v>
      </c>
      <c r="O1761" s="8">
        <v>17.822306426995311</v>
      </c>
      <c r="P1761" s="9">
        <v>17.822306426995311</v>
      </c>
      <c r="Q1761" s="9">
        <v>17.822306426995311</v>
      </c>
      <c r="R1761" s="9">
        <v>18.237663306594719</v>
      </c>
      <c r="S1761" s="9">
        <v>18.48712920931133</v>
      </c>
      <c r="T1761" s="9">
        <v>19.201553596969877</v>
      </c>
      <c r="U1761" s="9">
        <v>20.562345482855957</v>
      </c>
      <c r="V1761" s="9">
        <v>20.562345482855957</v>
      </c>
      <c r="W1761" s="9">
        <v>20.562345482855957</v>
      </c>
      <c r="X1761" s="9">
        <v>22.391977691000818</v>
      </c>
      <c r="Y1761" s="9">
        <v>22.391977691000818</v>
      </c>
      <c r="Z1761" s="9">
        <v>24.28858708803979</v>
      </c>
      <c r="AA1761" s="9">
        <v>24.28858708803979</v>
      </c>
      <c r="AB1761" s="9">
        <v>25.117335532005217</v>
      </c>
      <c r="AC1761" s="9">
        <v>25.117335532005217</v>
      </c>
      <c r="AD1761" s="9">
        <v>29.039116491286865</v>
      </c>
      <c r="AE1761" s="9">
        <v>31.219251037281825</v>
      </c>
      <c r="AF1761" s="9">
        <v>33.487682081707895</v>
      </c>
      <c r="AG1761" s="9">
        <v>33.487682081707895</v>
      </c>
      <c r="AH1761" s="9">
        <v>36.427668170967245</v>
      </c>
      <c r="AI1761" s="9">
        <v>38.74455996597662</v>
      </c>
      <c r="AJ1761" s="9">
        <v>3.0428788910505911</v>
      </c>
    </row>
    <row r="1762" spans="1:36" x14ac:dyDescent="0.25">
      <c r="A1762" t="s">
        <v>5411</v>
      </c>
      <c r="B1762" t="s">
        <v>16</v>
      </c>
      <c r="C1762" t="s">
        <v>17</v>
      </c>
      <c r="D1762">
        <v>39535000</v>
      </c>
      <c r="E1762">
        <v>39535999</v>
      </c>
      <c r="F1762" t="s">
        <v>1579</v>
      </c>
      <c r="G1762" t="str">
        <f t="shared" si="54"/>
        <v>MGI II</v>
      </c>
      <c r="H1762" t="s">
        <v>851</v>
      </c>
      <c r="I1762" t="s">
        <v>20</v>
      </c>
      <c r="J1762" t="s">
        <v>64</v>
      </c>
      <c r="K1762" s="6">
        <v>0.03</v>
      </c>
      <c r="L1762" s="7">
        <f t="shared" si="55"/>
        <v>2E-3</v>
      </c>
      <c r="M1762" s="7">
        <v>3.0000000000000001E-3</v>
      </c>
      <c r="N1762">
        <v>7</v>
      </c>
      <c r="O1762" s="8">
        <v>17.822306426995311</v>
      </c>
      <c r="P1762" s="9">
        <v>17.822306426995311</v>
      </c>
      <c r="Q1762" s="9">
        <v>17.822306426995311</v>
      </c>
      <c r="R1762" s="9">
        <v>18.237663306594719</v>
      </c>
      <c r="S1762" s="9">
        <v>18.48712920931133</v>
      </c>
      <c r="T1762" s="9">
        <v>19.201553596969877</v>
      </c>
      <c r="U1762" s="9">
        <v>20.562345482855957</v>
      </c>
      <c r="V1762" s="9">
        <v>20.562345482855957</v>
      </c>
      <c r="W1762" s="9">
        <v>20.562345482855957</v>
      </c>
      <c r="X1762" s="9">
        <v>22.391977691000818</v>
      </c>
      <c r="Y1762" s="9">
        <v>22.391977691000818</v>
      </c>
      <c r="Z1762" s="9">
        <v>24.28858708803979</v>
      </c>
      <c r="AA1762" s="9">
        <v>24.28858708803979</v>
      </c>
      <c r="AB1762" s="9">
        <v>25.117335532005217</v>
      </c>
      <c r="AC1762" s="9">
        <v>25.117335532005217</v>
      </c>
      <c r="AD1762" s="9">
        <v>29.039116491286865</v>
      </c>
      <c r="AE1762" s="9">
        <v>31.219251037281825</v>
      </c>
      <c r="AF1762" s="9">
        <v>33.487682081707895</v>
      </c>
      <c r="AG1762" s="9">
        <v>33.487682081707895</v>
      </c>
      <c r="AH1762" s="9">
        <v>36.427668170967245</v>
      </c>
      <c r="AI1762" s="9">
        <v>38.74455996597662</v>
      </c>
      <c r="AJ1762" s="9">
        <v>3.0428788910505911</v>
      </c>
    </row>
    <row r="1763" spans="1:36" x14ac:dyDescent="0.25">
      <c r="A1763" t="s">
        <v>5411</v>
      </c>
      <c r="B1763" t="s">
        <v>16</v>
      </c>
      <c r="C1763" t="s">
        <v>17</v>
      </c>
      <c r="D1763">
        <v>39536000</v>
      </c>
      <c r="E1763">
        <v>39537999</v>
      </c>
      <c r="F1763" t="s">
        <v>1580</v>
      </c>
      <c r="G1763" t="str">
        <f t="shared" si="54"/>
        <v>MGI II</v>
      </c>
      <c r="H1763" t="s">
        <v>851</v>
      </c>
      <c r="I1763" t="s">
        <v>20</v>
      </c>
      <c r="J1763" t="s">
        <v>64</v>
      </c>
      <c r="K1763" s="6">
        <v>0.03</v>
      </c>
      <c r="L1763" s="7">
        <f t="shared" si="55"/>
        <v>2E-3</v>
      </c>
      <c r="M1763" s="7">
        <v>3.0000000000000001E-3</v>
      </c>
      <c r="N1763">
        <v>8</v>
      </c>
      <c r="O1763" s="8">
        <v>17.822306426995311</v>
      </c>
      <c r="P1763" s="9">
        <v>17.822306426995311</v>
      </c>
      <c r="Q1763" s="9">
        <v>17.822306426995311</v>
      </c>
      <c r="R1763" s="9">
        <v>18.237663306594719</v>
      </c>
      <c r="S1763" s="9">
        <v>18.48712920931133</v>
      </c>
      <c r="T1763" s="9">
        <v>19.201553596969877</v>
      </c>
      <c r="U1763" s="9">
        <v>20.562345482855957</v>
      </c>
      <c r="V1763" s="9">
        <v>20.562345482855957</v>
      </c>
      <c r="W1763" s="9">
        <v>20.562345482855957</v>
      </c>
      <c r="X1763" s="9">
        <v>22.391977691000818</v>
      </c>
      <c r="Y1763" s="9">
        <v>22.391977691000818</v>
      </c>
      <c r="Z1763" s="9">
        <v>24.28858708803979</v>
      </c>
      <c r="AA1763" s="9">
        <v>24.28858708803979</v>
      </c>
      <c r="AB1763" s="9">
        <v>25.117335532005217</v>
      </c>
      <c r="AC1763" s="9">
        <v>25.117335532005217</v>
      </c>
      <c r="AD1763" s="9">
        <v>29.039116491286865</v>
      </c>
      <c r="AE1763" s="9">
        <v>31.219251037281825</v>
      </c>
      <c r="AF1763" s="9">
        <v>33.487682081707895</v>
      </c>
      <c r="AG1763" s="9">
        <v>33.487682081707895</v>
      </c>
      <c r="AH1763" s="9">
        <v>36.427668170967245</v>
      </c>
      <c r="AI1763" s="9">
        <v>38.74455996597662</v>
      </c>
      <c r="AJ1763" s="9">
        <v>3.0428788910505911</v>
      </c>
    </row>
    <row r="1764" spans="1:36" x14ac:dyDescent="0.25">
      <c r="A1764" t="s">
        <v>5411</v>
      </c>
      <c r="B1764" t="s">
        <v>16</v>
      </c>
      <c r="C1764" t="s">
        <v>17</v>
      </c>
      <c r="D1764">
        <v>39538000</v>
      </c>
      <c r="E1764">
        <v>39539999</v>
      </c>
      <c r="F1764" t="s">
        <v>1581</v>
      </c>
      <c r="G1764" t="str">
        <f t="shared" si="54"/>
        <v>MGI II</v>
      </c>
      <c r="H1764" t="s">
        <v>851</v>
      </c>
      <c r="I1764" t="s">
        <v>20</v>
      </c>
      <c r="J1764" t="s">
        <v>64</v>
      </c>
      <c r="K1764" s="6">
        <v>0.03</v>
      </c>
      <c r="L1764" s="7">
        <f t="shared" si="55"/>
        <v>2E-3</v>
      </c>
      <c r="M1764" s="7">
        <v>3.0000000000000001E-3</v>
      </c>
      <c r="N1764">
        <v>7</v>
      </c>
      <c r="O1764" s="8">
        <v>17.822306426995311</v>
      </c>
      <c r="P1764" s="9">
        <v>17.822306426995311</v>
      </c>
      <c r="Q1764" s="9">
        <v>17.822306426995311</v>
      </c>
      <c r="R1764" s="9">
        <v>18.237663306594719</v>
      </c>
      <c r="S1764" s="9">
        <v>18.48712920931133</v>
      </c>
      <c r="T1764" s="9">
        <v>19.201553596969877</v>
      </c>
      <c r="U1764" s="9">
        <v>20.562345482855957</v>
      </c>
      <c r="V1764" s="9">
        <v>20.562345482855957</v>
      </c>
      <c r="W1764" s="9">
        <v>20.562345482855957</v>
      </c>
      <c r="X1764" s="9">
        <v>22.391977691000818</v>
      </c>
      <c r="Y1764" s="9">
        <v>22.391977691000818</v>
      </c>
      <c r="Z1764" s="9">
        <v>24.28858708803979</v>
      </c>
      <c r="AA1764" s="9">
        <v>24.28858708803979</v>
      </c>
      <c r="AB1764" s="9">
        <v>25.117335532005217</v>
      </c>
      <c r="AC1764" s="9">
        <v>25.117335532005217</v>
      </c>
      <c r="AD1764" s="9">
        <v>29.039116491286865</v>
      </c>
      <c r="AE1764" s="9">
        <v>31.219251037281825</v>
      </c>
      <c r="AF1764" s="9">
        <v>33.487682081707895</v>
      </c>
      <c r="AG1764" s="9">
        <v>33.487682081707895</v>
      </c>
      <c r="AH1764" s="9">
        <v>36.427668170967245</v>
      </c>
      <c r="AI1764" s="9">
        <v>38.74455996597662</v>
      </c>
      <c r="AJ1764" s="9">
        <v>3.0428788910505911</v>
      </c>
    </row>
    <row r="1765" spans="1:36" x14ac:dyDescent="0.25">
      <c r="A1765" t="s">
        <v>5411</v>
      </c>
      <c r="B1765" t="s">
        <v>16</v>
      </c>
      <c r="C1765" t="s">
        <v>17</v>
      </c>
      <c r="D1765">
        <v>39540000</v>
      </c>
      <c r="E1765">
        <v>39546999</v>
      </c>
      <c r="F1765" t="s">
        <v>1582</v>
      </c>
      <c r="G1765" t="str">
        <f t="shared" si="54"/>
        <v>MGI II</v>
      </c>
      <c r="H1765" t="s">
        <v>851</v>
      </c>
      <c r="I1765" t="s">
        <v>20</v>
      </c>
      <c r="J1765" t="s">
        <v>64</v>
      </c>
      <c r="K1765" s="6">
        <v>0.03</v>
      </c>
      <c r="L1765" s="7">
        <f t="shared" si="55"/>
        <v>2E-3</v>
      </c>
      <c r="M1765" s="7">
        <v>3.0000000000000001E-3</v>
      </c>
      <c r="N1765">
        <v>7</v>
      </c>
      <c r="O1765" s="8">
        <v>17.822306426995311</v>
      </c>
      <c r="P1765" s="9">
        <v>17.822306426995311</v>
      </c>
      <c r="Q1765" s="9">
        <v>17.822306426995311</v>
      </c>
      <c r="R1765" s="9">
        <v>18.237663306594719</v>
      </c>
      <c r="S1765" s="9">
        <v>18.48712920931133</v>
      </c>
      <c r="T1765" s="9">
        <v>19.201553596969877</v>
      </c>
      <c r="U1765" s="9">
        <v>20.562345482855957</v>
      </c>
      <c r="V1765" s="9">
        <v>20.562345482855957</v>
      </c>
      <c r="W1765" s="9">
        <v>20.562345482855957</v>
      </c>
      <c r="X1765" s="9">
        <v>22.391977691000818</v>
      </c>
      <c r="Y1765" s="9">
        <v>22.391977691000818</v>
      </c>
      <c r="Z1765" s="9">
        <v>24.28858708803979</v>
      </c>
      <c r="AA1765" s="9">
        <v>24.28858708803979</v>
      </c>
      <c r="AB1765" s="9">
        <v>25.117335532005217</v>
      </c>
      <c r="AC1765" s="9">
        <v>25.117335532005217</v>
      </c>
      <c r="AD1765" s="9">
        <v>29.039116491286865</v>
      </c>
      <c r="AE1765" s="9">
        <v>31.219251037281825</v>
      </c>
      <c r="AF1765" s="9">
        <v>33.487682081707895</v>
      </c>
      <c r="AG1765" s="9">
        <v>33.487682081707895</v>
      </c>
      <c r="AH1765" s="9">
        <v>36.427668170967245</v>
      </c>
      <c r="AI1765" s="9">
        <v>38.74455996597662</v>
      </c>
      <c r="AJ1765" s="9">
        <v>3.0428788910505911</v>
      </c>
    </row>
    <row r="1766" spans="1:36" x14ac:dyDescent="0.25">
      <c r="A1766" t="s">
        <v>5411</v>
      </c>
      <c r="B1766" t="s">
        <v>16</v>
      </c>
      <c r="C1766" t="s">
        <v>17</v>
      </c>
      <c r="D1766">
        <v>39547000</v>
      </c>
      <c r="E1766">
        <v>39549999</v>
      </c>
      <c r="F1766" t="s">
        <v>1583</v>
      </c>
      <c r="G1766" t="str">
        <f t="shared" si="54"/>
        <v>MGI II</v>
      </c>
      <c r="H1766" t="s">
        <v>851</v>
      </c>
      <c r="I1766" t="s">
        <v>20</v>
      </c>
      <c r="J1766" t="s">
        <v>64</v>
      </c>
      <c r="K1766" s="6">
        <v>0.03</v>
      </c>
      <c r="L1766" s="7">
        <f t="shared" si="55"/>
        <v>2E-3</v>
      </c>
      <c r="M1766" s="7">
        <v>3.0000000000000001E-3</v>
      </c>
      <c r="N1766">
        <v>7</v>
      </c>
      <c r="O1766" s="8">
        <v>17.822306426995311</v>
      </c>
      <c r="P1766" s="9">
        <v>17.822306426995311</v>
      </c>
      <c r="Q1766" s="9">
        <v>17.822306426995311</v>
      </c>
      <c r="R1766" s="9">
        <v>18.237663306594719</v>
      </c>
      <c r="S1766" s="9">
        <v>18.48712920931133</v>
      </c>
      <c r="T1766" s="9">
        <v>19.201553596969877</v>
      </c>
      <c r="U1766" s="9">
        <v>20.562345482855957</v>
      </c>
      <c r="V1766" s="9">
        <v>20.562345482855957</v>
      </c>
      <c r="W1766" s="9">
        <v>20.562345482855957</v>
      </c>
      <c r="X1766" s="9">
        <v>22.391977691000818</v>
      </c>
      <c r="Y1766" s="9">
        <v>22.391977691000818</v>
      </c>
      <c r="Z1766" s="9">
        <v>24.28858708803979</v>
      </c>
      <c r="AA1766" s="9">
        <v>24.28858708803979</v>
      </c>
      <c r="AB1766" s="9">
        <v>25.117335532005217</v>
      </c>
      <c r="AC1766" s="9">
        <v>25.117335532005217</v>
      </c>
      <c r="AD1766" s="9">
        <v>29.039116491286865</v>
      </c>
      <c r="AE1766" s="9">
        <v>31.219251037281825</v>
      </c>
      <c r="AF1766" s="9">
        <v>33.487682081707895</v>
      </c>
      <c r="AG1766" s="9">
        <v>33.487682081707895</v>
      </c>
      <c r="AH1766" s="9">
        <v>36.427668170967245</v>
      </c>
      <c r="AI1766" s="9">
        <v>38.74455996597662</v>
      </c>
      <c r="AJ1766" s="9">
        <v>3.0428788910505911</v>
      </c>
    </row>
    <row r="1767" spans="1:36" x14ac:dyDescent="0.25">
      <c r="A1767" t="s">
        <v>5411</v>
      </c>
      <c r="B1767" t="s">
        <v>16</v>
      </c>
      <c r="C1767" t="s">
        <v>17</v>
      </c>
      <c r="D1767">
        <v>39550000</v>
      </c>
      <c r="E1767">
        <v>39552999</v>
      </c>
      <c r="F1767" t="s">
        <v>1584</v>
      </c>
      <c r="G1767" t="str">
        <f t="shared" si="54"/>
        <v>MGI II</v>
      </c>
      <c r="H1767" t="s">
        <v>851</v>
      </c>
      <c r="I1767" t="s">
        <v>20</v>
      </c>
      <c r="J1767" t="s">
        <v>64</v>
      </c>
      <c r="K1767" s="6">
        <v>0.03</v>
      </c>
      <c r="L1767" s="7">
        <f t="shared" si="55"/>
        <v>2E-3</v>
      </c>
      <c r="M1767" s="7">
        <v>3.0000000000000001E-3</v>
      </c>
      <c r="N1767">
        <v>10</v>
      </c>
      <c r="O1767" s="8">
        <v>17.822306426995311</v>
      </c>
      <c r="P1767" s="9">
        <v>17.822306426995311</v>
      </c>
      <c r="Q1767" s="9">
        <v>17.822306426995311</v>
      </c>
      <c r="R1767" s="9">
        <v>18.237663306594719</v>
      </c>
      <c r="S1767" s="9">
        <v>18.48712920931133</v>
      </c>
      <c r="T1767" s="9">
        <v>19.201553596969877</v>
      </c>
      <c r="U1767" s="9">
        <v>20.562345482855957</v>
      </c>
      <c r="V1767" s="9">
        <v>20.562345482855957</v>
      </c>
      <c r="W1767" s="9">
        <v>20.562345482855957</v>
      </c>
      <c r="X1767" s="9">
        <v>22.391977691000818</v>
      </c>
      <c r="Y1767" s="9">
        <v>22.391977691000818</v>
      </c>
      <c r="Z1767" s="9">
        <v>24.28858708803979</v>
      </c>
      <c r="AA1767" s="9">
        <v>24.28858708803979</v>
      </c>
      <c r="AB1767" s="9">
        <v>25.117335532005217</v>
      </c>
      <c r="AC1767" s="9">
        <v>25.117335532005217</v>
      </c>
      <c r="AD1767" s="9">
        <v>29.039116491286865</v>
      </c>
      <c r="AE1767" s="9">
        <v>31.219251037281825</v>
      </c>
      <c r="AF1767" s="9">
        <v>33.487682081707895</v>
      </c>
      <c r="AG1767" s="9">
        <v>33.487682081707895</v>
      </c>
      <c r="AH1767" s="9">
        <v>36.427668170967245</v>
      </c>
      <c r="AI1767" s="9">
        <v>38.74455996597662</v>
      </c>
      <c r="AJ1767" s="9">
        <v>3.0428788910505911</v>
      </c>
    </row>
    <row r="1768" spans="1:36" x14ac:dyDescent="0.25">
      <c r="A1768" t="s">
        <v>5411</v>
      </c>
      <c r="B1768" t="s">
        <v>16</v>
      </c>
      <c r="C1768" t="s">
        <v>17</v>
      </c>
      <c r="D1768">
        <v>39553000</v>
      </c>
      <c r="E1768">
        <v>39554999</v>
      </c>
      <c r="F1768" t="s">
        <v>1585</v>
      </c>
      <c r="G1768" t="str">
        <f t="shared" si="54"/>
        <v>MGI II</v>
      </c>
      <c r="H1768" t="s">
        <v>851</v>
      </c>
      <c r="I1768" t="s">
        <v>20</v>
      </c>
      <c r="J1768" t="s">
        <v>64</v>
      </c>
      <c r="K1768" s="6">
        <v>0.03</v>
      </c>
      <c r="L1768" s="7">
        <f t="shared" si="55"/>
        <v>2E-3</v>
      </c>
      <c r="M1768" s="7">
        <v>3.0000000000000001E-3</v>
      </c>
      <c r="N1768">
        <v>8</v>
      </c>
      <c r="O1768" s="8">
        <v>17.822306426995311</v>
      </c>
      <c r="P1768" s="9">
        <v>17.822306426995311</v>
      </c>
      <c r="Q1768" s="9">
        <v>17.822306426995311</v>
      </c>
      <c r="R1768" s="9">
        <v>18.237663306594719</v>
      </c>
      <c r="S1768" s="9">
        <v>18.48712920931133</v>
      </c>
      <c r="T1768" s="9">
        <v>19.201553596969877</v>
      </c>
      <c r="U1768" s="9">
        <v>20.562345482855957</v>
      </c>
      <c r="V1768" s="9">
        <v>20.562345482855957</v>
      </c>
      <c r="W1768" s="9">
        <v>20.562345482855957</v>
      </c>
      <c r="X1768" s="9">
        <v>22.391977691000818</v>
      </c>
      <c r="Y1768" s="9">
        <v>22.391977691000818</v>
      </c>
      <c r="Z1768" s="9">
        <v>24.28858708803979</v>
      </c>
      <c r="AA1768" s="9">
        <v>24.28858708803979</v>
      </c>
      <c r="AB1768" s="9">
        <v>25.117335532005217</v>
      </c>
      <c r="AC1768" s="9">
        <v>25.117335532005217</v>
      </c>
      <c r="AD1768" s="9">
        <v>29.039116491286865</v>
      </c>
      <c r="AE1768" s="9">
        <v>31.219251037281825</v>
      </c>
      <c r="AF1768" s="9">
        <v>33.487682081707895</v>
      </c>
      <c r="AG1768" s="9">
        <v>33.487682081707895</v>
      </c>
      <c r="AH1768" s="9">
        <v>36.427668170967245</v>
      </c>
      <c r="AI1768" s="9">
        <v>38.74455996597662</v>
      </c>
      <c r="AJ1768" s="9">
        <v>3.0428788910505911</v>
      </c>
    </row>
    <row r="1769" spans="1:36" x14ac:dyDescent="0.25">
      <c r="A1769" t="s">
        <v>5411</v>
      </c>
      <c r="B1769" t="s">
        <v>16</v>
      </c>
      <c r="C1769" t="s">
        <v>17</v>
      </c>
      <c r="D1769">
        <v>39555000</v>
      </c>
      <c r="E1769">
        <v>39557999</v>
      </c>
      <c r="F1769" t="s">
        <v>1586</v>
      </c>
      <c r="G1769" t="str">
        <f t="shared" si="54"/>
        <v>MGI II</v>
      </c>
      <c r="H1769" t="s">
        <v>851</v>
      </c>
      <c r="I1769" t="s">
        <v>20</v>
      </c>
      <c r="J1769" t="s">
        <v>64</v>
      </c>
      <c r="K1769" s="6">
        <v>0.03</v>
      </c>
      <c r="L1769" s="7">
        <f t="shared" si="55"/>
        <v>2E-3</v>
      </c>
      <c r="M1769" s="7">
        <v>3.0000000000000001E-3</v>
      </c>
      <c r="N1769">
        <v>8</v>
      </c>
      <c r="O1769" s="8">
        <v>17.822306426995311</v>
      </c>
      <c r="P1769" s="9">
        <v>17.822306426995311</v>
      </c>
      <c r="Q1769" s="9">
        <v>17.822306426995311</v>
      </c>
      <c r="R1769" s="9">
        <v>18.237663306594719</v>
      </c>
      <c r="S1769" s="9">
        <v>18.48712920931133</v>
      </c>
      <c r="T1769" s="9">
        <v>19.201553596969877</v>
      </c>
      <c r="U1769" s="9">
        <v>20.562345482855957</v>
      </c>
      <c r="V1769" s="9">
        <v>20.562345482855957</v>
      </c>
      <c r="W1769" s="9">
        <v>20.562345482855957</v>
      </c>
      <c r="X1769" s="9">
        <v>22.391977691000818</v>
      </c>
      <c r="Y1769" s="9">
        <v>22.391977691000818</v>
      </c>
      <c r="Z1769" s="9">
        <v>24.28858708803979</v>
      </c>
      <c r="AA1769" s="9">
        <v>24.28858708803979</v>
      </c>
      <c r="AB1769" s="9">
        <v>25.117335532005217</v>
      </c>
      <c r="AC1769" s="9">
        <v>25.117335532005217</v>
      </c>
      <c r="AD1769" s="9">
        <v>29.039116491286865</v>
      </c>
      <c r="AE1769" s="9">
        <v>31.219251037281825</v>
      </c>
      <c r="AF1769" s="9">
        <v>33.487682081707895</v>
      </c>
      <c r="AG1769" s="9">
        <v>33.487682081707895</v>
      </c>
      <c r="AH1769" s="9">
        <v>36.427668170967245</v>
      </c>
      <c r="AI1769" s="9">
        <v>38.74455996597662</v>
      </c>
      <c r="AJ1769" s="9">
        <v>3.0428788910505911</v>
      </c>
    </row>
    <row r="1770" spans="1:36" x14ac:dyDescent="0.25">
      <c r="A1770" t="s">
        <v>5411</v>
      </c>
      <c r="B1770" t="s">
        <v>16</v>
      </c>
      <c r="C1770" t="s">
        <v>17</v>
      </c>
      <c r="D1770">
        <v>39558000</v>
      </c>
      <c r="E1770">
        <v>39559999</v>
      </c>
      <c r="F1770" t="s">
        <v>1587</v>
      </c>
      <c r="G1770" t="str">
        <f t="shared" si="54"/>
        <v>MGI II</v>
      </c>
      <c r="H1770" t="s">
        <v>851</v>
      </c>
      <c r="I1770" t="s">
        <v>20</v>
      </c>
      <c r="J1770" t="s">
        <v>64</v>
      </c>
      <c r="K1770" s="6">
        <v>0.03</v>
      </c>
      <c r="L1770" s="7">
        <f t="shared" si="55"/>
        <v>2E-3</v>
      </c>
      <c r="M1770" s="7">
        <v>3.0000000000000001E-3</v>
      </c>
      <c r="N1770">
        <v>8</v>
      </c>
      <c r="O1770" s="8">
        <v>17.822306426995311</v>
      </c>
      <c r="P1770" s="9">
        <v>17.822306426995311</v>
      </c>
      <c r="Q1770" s="9">
        <v>17.822306426995311</v>
      </c>
      <c r="R1770" s="9">
        <v>18.237663306594719</v>
      </c>
      <c r="S1770" s="9">
        <v>18.48712920931133</v>
      </c>
      <c r="T1770" s="9">
        <v>19.201553596969877</v>
      </c>
      <c r="U1770" s="9">
        <v>20.562345482855957</v>
      </c>
      <c r="V1770" s="9">
        <v>20.562345482855957</v>
      </c>
      <c r="W1770" s="9">
        <v>20.562345482855957</v>
      </c>
      <c r="X1770" s="9">
        <v>22.391977691000818</v>
      </c>
      <c r="Y1770" s="9">
        <v>22.391977691000818</v>
      </c>
      <c r="Z1770" s="9">
        <v>24.28858708803979</v>
      </c>
      <c r="AA1770" s="9">
        <v>24.28858708803979</v>
      </c>
      <c r="AB1770" s="9">
        <v>25.117335532005217</v>
      </c>
      <c r="AC1770" s="9">
        <v>25.117335532005217</v>
      </c>
      <c r="AD1770" s="9">
        <v>29.039116491286865</v>
      </c>
      <c r="AE1770" s="9">
        <v>31.219251037281825</v>
      </c>
      <c r="AF1770" s="9">
        <v>33.487682081707895</v>
      </c>
      <c r="AG1770" s="9">
        <v>33.487682081707895</v>
      </c>
      <c r="AH1770" s="9">
        <v>36.427668170967245</v>
      </c>
      <c r="AI1770" s="9">
        <v>38.74455996597662</v>
      </c>
      <c r="AJ1770" s="9">
        <v>3.0428788910505911</v>
      </c>
    </row>
    <row r="1771" spans="1:36" x14ac:dyDescent="0.25">
      <c r="A1771" t="s">
        <v>5411</v>
      </c>
      <c r="B1771" t="s">
        <v>16</v>
      </c>
      <c r="C1771" t="s">
        <v>17</v>
      </c>
      <c r="D1771">
        <v>39560000</v>
      </c>
      <c r="E1771">
        <v>39562999</v>
      </c>
      <c r="F1771" t="s">
        <v>1588</v>
      </c>
      <c r="G1771" t="str">
        <f t="shared" si="54"/>
        <v>MGI II</v>
      </c>
      <c r="H1771" t="s">
        <v>851</v>
      </c>
      <c r="I1771" t="s">
        <v>20</v>
      </c>
      <c r="J1771" t="s">
        <v>64</v>
      </c>
      <c r="K1771" s="6">
        <v>0.03</v>
      </c>
      <c r="L1771" s="7">
        <f t="shared" si="55"/>
        <v>2E-3</v>
      </c>
      <c r="M1771" s="7">
        <v>3.0000000000000001E-3</v>
      </c>
      <c r="N1771">
        <v>10</v>
      </c>
      <c r="O1771" s="8">
        <v>17.822306426995311</v>
      </c>
      <c r="P1771" s="9">
        <v>17.822306426995311</v>
      </c>
      <c r="Q1771" s="9">
        <v>17.822306426995311</v>
      </c>
      <c r="R1771" s="9">
        <v>18.237663306594719</v>
      </c>
      <c r="S1771" s="9">
        <v>18.48712920931133</v>
      </c>
      <c r="T1771" s="9">
        <v>19.201553596969877</v>
      </c>
      <c r="U1771" s="9">
        <v>20.562345482855957</v>
      </c>
      <c r="V1771" s="9">
        <v>20.562345482855957</v>
      </c>
      <c r="W1771" s="9">
        <v>20.562345482855957</v>
      </c>
      <c r="X1771" s="9">
        <v>22.391977691000818</v>
      </c>
      <c r="Y1771" s="9">
        <v>22.391977691000818</v>
      </c>
      <c r="Z1771" s="9">
        <v>24.28858708803979</v>
      </c>
      <c r="AA1771" s="9">
        <v>24.28858708803979</v>
      </c>
      <c r="AB1771" s="9">
        <v>25.117335532005217</v>
      </c>
      <c r="AC1771" s="9">
        <v>25.117335532005217</v>
      </c>
      <c r="AD1771" s="9">
        <v>29.039116491286865</v>
      </c>
      <c r="AE1771" s="9">
        <v>31.219251037281825</v>
      </c>
      <c r="AF1771" s="9">
        <v>33.487682081707895</v>
      </c>
      <c r="AG1771" s="9">
        <v>33.487682081707895</v>
      </c>
      <c r="AH1771" s="9">
        <v>36.427668170967245</v>
      </c>
      <c r="AI1771" s="9">
        <v>38.74455996597662</v>
      </c>
      <c r="AJ1771" s="9">
        <v>3.0428788910505911</v>
      </c>
    </row>
    <row r="1772" spans="1:36" x14ac:dyDescent="0.25">
      <c r="A1772" t="s">
        <v>5411</v>
      </c>
      <c r="B1772" t="s">
        <v>16</v>
      </c>
      <c r="C1772" t="s">
        <v>17</v>
      </c>
      <c r="D1772">
        <v>39563000</v>
      </c>
      <c r="E1772">
        <v>39564999</v>
      </c>
      <c r="F1772" t="s">
        <v>1589</v>
      </c>
      <c r="G1772" t="str">
        <f t="shared" si="54"/>
        <v>MGI II</v>
      </c>
      <c r="H1772" t="s">
        <v>851</v>
      </c>
      <c r="I1772" t="s">
        <v>20</v>
      </c>
      <c r="J1772" t="s">
        <v>64</v>
      </c>
      <c r="K1772" s="6">
        <v>0.03</v>
      </c>
      <c r="L1772" s="7">
        <f t="shared" si="55"/>
        <v>2E-3</v>
      </c>
      <c r="M1772" s="7">
        <v>3.0000000000000001E-3</v>
      </c>
      <c r="N1772">
        <v>8</v>
      </c>
      <c r="O1772" s="8">
        <v>17.822306426995311</v>
      </c>
      <c r="P1772" s="9">
        <v>17.822306426995311</v>
      </c>
      <c r="Q1772" s="9">
        <v>17.822306426995311</v>
      </c>
      <c r="R1772" s="9">
        <v>18.237663306594719</v>
      </c>
      <c r="S1772" s="9">
        <v>18.48712920931133</v>
      </c>
      <c r="T1772" s="9">
        <v>19.201553596969877</v>
      </c>
      <c r="U1772" s="9">
        <v>20.562345482855957</v>
      </c>
      <c r="V1772" s="9">
        <v>20.562345482855957</v>
      </c>
      <c r="W1772" s="9">
        <v>20.562345482855957</v>
      </c>
      <c r="X1772" s="9">
        <v>22.391977691000818</v>
      </c>
      <c r="Y1772" s="9">
        <v>22.391977691000818</v>
      </c>
      <c r="Z1772" s="9">
        <v>24.28858708803979</v>
      </c>
      <c r="AA1772" s="9">
        <v>24.28858708803979</v>
      </c>
      <c r="AB1772" s="9">
        <v>25.117335532005217</v>
      </c>
      <c r="AC1772" s="9">
        <v>25.117335532005217</v>
      </c>
      <c r="AD1772" s="9">
        <v>29.039116491286865</v>
      </c>
      <c r="AE1772" s="9">
        <v>31.219251037281825</v>
      </c>
      <c r="AF1772" s="9">
        <v>33.487682081707895</v>
      </c>
      <c r="AG1772" s="9">
        <v>33.487682081707895</v>
      </c>
      <c r="AH1772" s="9">
        <v>36.427668170967245</v>
      </c>
      <c r="AI1772" s="9">
        <v>38.74455996597662</v>
      </c>
      <c r="AJ1772" s="9">
        <v>3.0428788910505911</v>
      </c>
    </row>
    <row r="1773" spans="1:36" x14ac:dyDescent="0.25">
      <c r="A1773" t="s">
        <v>5411</v>
      </c>
      <c r="B1773" t="s">
        <v>16</v>
      </c>
      <c r="C1773" t="s">
        <v>17</v>
      </c>
      <c r="D1773">
        <v>39565000</v>
      </c>
      <c r="E1773">
        <v>39567999</v>
      </c>
      <c r="F1773" t="s">
        <v>1590</v>
      </c>
      <c r="G1773" t="str">
        <f t="shared" si="54"/>
        <v>MGI II</v>
      </c>
      <c r="H1773" t="s">
        <v>851</v>
      </c>
      <c r="I1773" t="s">
        <v>20</v>
      </c>
      <c r="J1773" t="s">
        <v>64</v>
      </c>
      <c r="K1773" s="6">
        <v>0.03</v>
      </c>
      <c r="L1773" s="7">
        <f t="shared" si="55"/>
        <v>2E-3</v>
      </c>
      <c r="M1773" s="7">
        <v>3.0000000000000001E-3</v>
      </c>
      <c r="N1773">
        <v>8</v>
      </c>
      <c r="O1773" s="8">
        <v>17.822306426995311</v>
      </c>
      <c r="P1773" s="9">
        <v>17.822306426995311</v>
      </c>
      <c r="Q1773" s="9">
        <v>17.822306426995311</v>
      </c>
      <c r="R1773" s="9">
        <v>18.237663306594719</v>
      </c>
      <c r="S1773" s="9">
        <v>18.48712920931133</v>
      </c>
      <c r="T1773" s="9">
        <v>19.201553596969877</v>
      </c>
      <c r="U1773" s="9">
        <v>20.562345482855957</v>
      </c>
      <c r="V1773" s="9">
        <v>20.562345482855957</v>
      </c>
      <c r="W1773" s="9">
        <v>20.562345482855957</v>
      </c>
      <c r="X1773" s="9">
        <v>22.391977691000818</v>
      </c>
      <c r="Y1773" s="9">
        <v>22.391977691000818</v>
      </c>
      <c r="Z1773" s="9">
        <v>24.28858708803979</v>
      </c>
      <c r="AA1773" s="9">
        <v>24.28858708803979</v>
      </c>
      <c r="AB1773" s="9">
        <v>25.117335532005217</v>
      </c>
      <c r="AC1773" s="9">
        <v>25.117335532005217</v>
      </c>
      <c r="AD1773" s="9">
        <v>29.039116491286865</v>
      </c>
      <c r="AE1773" s="9">
        <v>31.219251037281825</v>
      </c>
      <c r="AF1773" s="9">
        <v>33.487682081707895</v>
      </c>
      <c r="AG1773" s="9">
        <v>33.487682081707895</v>
      </c>
      <c r="AH1773" s="9">
        <v>36.427668170967245</v>
      </c>
      <c r="AI1773" s="9">
        <v>38.74455996597662</v>
      </c>
      <c r="AJ1773" s="9">
        <v>3.0428788910505911</v>
      </c>
    </row>
    <row r="1774" spans="1:36" x14ac:dyDescent="0.25">
      <c r="A1774" t="s">
        <v>5411</v>
      </c>
      <c r="B1774" t="s">
        <v>16</v>
      </c>
      <c r="C1774" t="s">
        <v>17</v>
      </c>
      <c r="D1774">
        <v>39568000</v>
      </c>
      <c r="E1774">
        <v>39568999</v>
      </c>
      <c r="F1774" t="s">
        <v>1591</v>
      </c>
      <c r="G1774" t="str">
        <f t="shared" si="54"/>
        <v>MGI II</v>
      </c>
      <c r="H1774" t="s">
        <v>851</v>
      </c>
      <c r="I1774" t="s">
        <v>20</v>
      </c>
      <c r="J1774" t="s">
        <v>64</v>
      </c>
      <c r="K1774" s="6">
        <v>0.03</v>
      </c>
      <c r="L1774" s="7">
        <f t="shared" si="55"/>
        <v>2E-3</v>
      </c>
      <c r="M1774" s="7">
        <v>3.0000000000000001E-3</v>
      </c>
      <c r="N1774">
        <v>8</v>
      </c>
      <c r="O1774" s="8">
        <v>17.822306426995311</v>
      </c>
      <c r="P1774" s="9">
        <v>17.822306426995311</v>
      </c>
      <c r="Q1774" s="9">
        <v>17.822306426995311</v>
      </c>
      <c r="R1774" s="9">
        <v>18.237663306594719</v>
      </c>
      <c r="S1774" s="9">
        <v>18.48712920931133</v>
      </c>
      <c r="T1774" s="9">
        <v>19.201553596969877</v>
      </c>
      <c r="U1774" s="9">
        <v>20.562345482855957</v>
      </c>
      <c r="V1774" s="9">
        <v>20.562345482855957</v>
      </c>
      <c r="W1774" s="9">
        <v>20.562345482855957</v>
      </c>
      <c r="X1774" s="9">
        <v>22.391977691000818</v>
      </c>
      <c r="Y1774" s="9">
        <v>22.391977691000818</v>
      </c>
      <c r="Z1774" s="9">
        <v>24.28858708803979</v>
      </c>
      <c r="AA1774" s="9">
        <v>24.28858708803979</v>
      </c>
      <c r="AB1774" s="9">
        <v>25.117335532005217</v>
      </c>
      <c r="AC1774" s="9">
        <v>25.117335532005217</v>
      </c>
      <c r="AD1774" s="9">
        <v>29.039116491286865</v>
      </c>
      <c r="AE1774" s="9">
        <v>31.219251037281825</v>
      </c>
      <c r="AF1774" s="9">
        <v>33.487682081707895</v>
      </c>
      <c r="AG1774" s="9">
        <v>33.487682081707895</v>
      </c>
      <c r="AH1774" s="9">
        <v>36.427668170967245</v>
      </c>
      <c r="AI1774" s="9">
        <v>38.74455996597662</v>
      </c>
      <c r="AJ1774" s="9">
        <v>3.0428788910505911</v>
      </c>
    </row>
    <row r="1775" spans="1:36" x14ac:dyDescent="0.25">
      <c r="A1775" t="s">
        <v>5411</v>
      </c>
      <c r="B1775" t="s">
        <v>16</v>
      </c>
      <c r="C1775" t="s">
        <v>17</v>
      </c>
      <c r="D1775">
        <v>39569000</v>
      </c>
      <c r="E1775">
        <v>39569999</v>
      </c>
      <c r="F1775" t="s">
        <v>1592</v>
      </c>
      <c r="G1775" t="str">
        <f t="shared" si="54"/>
        <v>MGI II</v>
      </c>
      <c r="H1775" t="s">
        <v>851</v>
      </c>
      <c r="I1775" t="s">
        <v>20</v>
      </c>
      <c r="J1775" t="s">
        <v>64</v>
      </c>
      <c r="K1775" s="6">
        <v>0.03</v>
      </c>
      <c r="L1775" s="7">
        <f t="shared" si="55"/>
        <v>2E-3</v>
      </c>
      <c r="M1775" s="7">
        <v>3.0000000000000001E-3</v>
      </c>
      <c r="N1775">
        <v>8</v>
      </c>
      <c r="O1775" s="8">
        <v>17.822306426995311</v>
      </c>
      <c r="P1775" s="9">
        <v>17.822306426995311</v>
      </c>
      <c r="Q1775" s="9">
        <v>17.822306426995311</v>
      </c>
      <c r="R1775" s="9">
        <v>18.237663306594719</v>
      </c>
      <c r="S1775" s="9">
        <v>18.48712920931133</v>
      </c>
      <c r="T1775" s="9">
        <v>19.201553596969877</v>
      </c>
      <c r="U1775" s="9">
        <v>20.562345482855957</v>
      </c>
      <c r="V1775" s="9">
        <v>20.562345482855957</v>
      </c>
      <c r="W1775" s="9">
        <v>20.562345482855957</v>
      </c>
      <c r="X1775" s="9">
        <v>22.391977691000818</v>
      </c>
      <c r="Y1775" s="9">
        <v>22.391977691000818</v>
      </c>
      <c r="Z1775" s="9">
        <v>24.28858708803979</v>
      </c>
      <c r="AA1775" s="9">
        <v>24.28858708803979</v>
      </c>
      <c r="AB1775" s="9">
        <v>25.117335532005217</v>
      </c>
      <c r="AC1775" s="9">
        <v>25.117335532005217</v>
      </c>
      <c r="AD1775" s="9">
        <v>29.039116491286865</v>
      </c>
      <c r="AE1775" s="9">
        <v>31.219251037281825</v>
      </c>
      <c r="AF1775" s="9">
        <v>33.487682081707895</v>
      </c>
      <c r="AG1775" s="9">
        <v>33.487682081707895</v>
      </c>
      <c r="AH1775" s="9">
        <v>36.427668170967245</v>
      </c>
      <c r="AI1775" s="9">
        <v>38.74455996597662</v>
      </c>
      <c r="AJ1775" s="9">
        <v>3.0428788910505911</v>
      </c>
    </row>
    <row r="1776" spans="1:36" x14ac:dyDescent="0.25">
      <c r="A1776" t="s">
        <v>5411</v>
      </c>
      <c r="B1776" t="s">
        <v>16</v>
      </c>
      <c r="C1776" t="s">
        <v>17</v>
      </c>
      <c r="D1776">
        <v>39570000</v>
      </c>
      <c r="E1776">
        <v>39572999</v>
      </c>
      <c r="F1776" t="s">
        <v>1593</v>
      </c>
      <c r="G1776" t="str">
        <f t="shared" si="54"/>
        <v>MGI II</v>
      </c>
      <c r="H1776" t="s">
        <v>851</v>
      </c>
      <c r="I1776" t="s">
        <v>20</v>
      </c>
      <c r="J1776" t="s">
        <v>64</v>
      </c>
      <c r="K1776" s="6">
        <v>0.03</v>
      </c>
      <c r="L1776" s="7">
        <f t="shared" si="55"/>
        <v>2E-3</v>
      </c>
      <c r="M1776" s="7">
        <v>3.0000000000000001E-3</v>
      </c>
      <c r="N1776">
        <v>8</v>
      </c>
      <c r="O1776" s="8">
        <v>17.822306426995311</v>
      </c>
      <c r="P1776" s="9">
        <v>17.822306426995311</v>
      </c>
      <c r="Q1776" s="9">
        <v>17.822306426995311</v>
      </c>
      <c r="R1776" s="9">
        <v>18.237663306594719</v>
      </c>
      <c r="S1776" s="9">
        <v>18.48712920931133</v>
      </c>
      <c r="T1776" s="9">
        <v>19.201553596969877</v>
      </c>
      <c r="U1776" s="9">
        <v>20.562345482855957</v>
      </c>
      <c r="V1776" s="9">
        <v>20.562345482855957</v>
      </c>
      <c r="W1776" s="9">
        <v>20.562345482855957</v>
      </c>
      <c r="X1776" s="9">
        <v>22.391977691000818</v>
      </c>
      <c r="Y1776" s="9">
        <v>22.391977691000818</v>
      </c>
      <c r="Z1776" s="9">
        <v>24.28858708803979</v>
      </c>
      <c r="AA1776" s="9">
        <v>24.28858708803979</v>
      </c>
      <c r="AB1776" s="9">
        <v>25.117335532005217</v>
      </c>
      <c r="AC1776" s="9">
        <v>25.117335532005217</v>
      </c>
      <c r="AD1776" s="9">
        <v>29.039116491286865</v>
      </c>
      <c r="AE1776" s="9">
        <v>31.219251037281825</v>
      </c>
      <c r="AF1776" s="9">
        <v>33.487682081707895</v>
      </c>
      <c r="AG1776" s="9">
        <v>33.487682081707895</v>
      </c>
      <c r="AH1776" s="9">
        <v>36.427668170967245</v>
      </c>
      <c r="AI1776" s="9">
        <v>38.74455996597662</v>
      </c>
      <c r="AJ1776" s="9">
        <v>3.0428788910505911</v>
      </c>
    </row>
    <row r="1777" spans="1:36" x14ac:dyDescent="0.25">
      <c r="A1777" t="s">
        <v>5411</v>
      </c>
      <c r="B1777" t="s">
        <v>16</v>
      </c>
      <c r="C1777" t="s">
        <v>17</v>
      </c>
      <c r="D1777">
        <v>39573000</v>
      </c>
      <c r="E1777">
        <v>39574999</v>
      </c>
      <c r="F1777" t="s">
        <v>1594</v>
      </c>
      <c r="G1777" t="str">
        <f t="shared" si="54"/>
        <v>MGI II</v>
      </c>
      <c r="H1777" t="s">
        <v>851</v>
      </c>
      <c r="I1777" t="s">
        <v>20</v>
      </c>
      <c r="J1777" t="s">
        <v>64</v>
      </c>
      <c r="K1777" s="6">
        <v>0.03</v>
      </c>
      <c r="L1777" s="7">
        <f t="shared" si="55"/>
        <v>2E-3</v>
      </c>
      <c r="M1777" s="7">
        <v>3.0000000000000001E-3</v>
      </c>
      <c r="N1777">
        <v>8</v>
      </c>
      <c r="O1777" s="8">
        <v>17.822306426995311</v>
      </c>
      <c r="P1777" s="9">
        <v>17.822306426995311</v>
      </c>
      <c r="Q1777" s="9">
        <v>17.822306426995311</v>
      </c>
      <c r="R1777" s="9">
        <v>18.237663306594719</v>
      </c>
      <c r="S1777" s="9">
        <v>18.48712920931133</v>
      </c>
      <c r="T1777" s="9">
        <v>19.201553596969877</v>
      </c>
      <c r="U1777" s="9">
        <v>20.562345482855957</v>
      </c>
      <c r="V1777" s="9">
        <v>20.562345482855957</v>
      </c>
      <c r="W1777" s="9">
        <v>20.562345482855957</v>
      </c>
      <c r="X1777" s="9">
        <v>22.391977691000818</v>
      </c>
      <c r="Y1777" s="9">
        <v>22.391977691000818</v>
      </c>
      <c r="Z1777" s="9">
        <v>24.28858708803979</v>
      </c>
      <c r="AA1777" s="9">
        <v>24.28858708803979</v>
      </c>
      <c r="AB1777" s="9">
        <v>25.117335532005217</v>
      </c>
      <c r="AC1777" s="9">
        <v>25.117335532005217</v>
      </c>
      <c r="AD1777" s="9">
        <v>29.039116491286865</v>
      </c>
      <c r="AE1777" s="9">
        <v>31.219251037281825</v>
      </c>
      <c r="AF1777" s="9">
        <v>33.487682081707895</v>
      </c>
      <c r="AG1777" s="9">
        <v>33.487682081707895</v>
      </c>
      <c r="AH1777" s="9">
        <v>36.427668170967245</v>
      </c>
      <c r="AI1777" s="9">
        <v>38.74455996597662</v>
      </c>
      <c r="AJ1777" s="9">
        <v>3.0428788910505911</v>
      </c>
    </row>
    <row r="1778" spans="1:36" x14ac:dyDescent="0.25">
      <c r="A1778" t="s">
        <v>5411</v>
      </c>
      <c r="B1778" t="s">
        <v>16</v>
      </c>
      <c r="C1778" t="s">
        <v>17</v>
      </c>
      <c r="D1778">
        <v>39575000</v>
      </c>
      <c r="E1778">
        <v>39579999</v>
      </c>
      <c r="F1778" t="s">
        <v>1595</v>
      </c>
      <c r="G1778" t="str">
        <f t="shared" si="54"/>
        <v>MGI II</v>
      </c>
      <c r="H1778" t="s">
        <v>851</v>
      </c>
      <c r="I1778" t="s">
        <v>20</v>
      </c>
      <c r="J1778" t="s">
        <v>64</v>
      </c>
      <c r="K1778" s="6">
        <v>0.03</v>
      </c>
      <c r="L1778" s="7">
        <f t="shared" si="55"/>
        <v>2E-3</v>
      </c>
      <c r="M1778" s="7">
        <v>3.0000000000000001E-3</v>
      </c>
      <c r="N1778">
        <v>8</v>
      </c>
      <c r="O1778" s="8">
        <v>17.822306426995311</v>
      </c>
      <c r="P1778" s="9">
        <v>17.822306426995311</v>
      </c>
      <c r="Q1778" s="9">
        <v>17.822306426995311</v>
      </c>
      <c r="R1778" s="9">
        <v>18.237663306594719</v>
      </c>
      <c r="S1778" s="9">
        <v>18.48712920931133</v>
      </c>
      <c r="T1778" s="9">
        <v>19.201553596969877</v>
      </c>
      <c r="U1778" s="9">
        <v>20.562345482855957</v>
      </c>
      <c r="V1778" s="9">
        <v>20.562345482855957</v>
      </c>
      <c r="W1778" s="9">
        <v>20.562345482855957</v>
      </c>
      <c r="X1778" s="9">
        <v>22.391977691000818</v>
      </c>
      <c r="Y1778" s="9">
        <v>22.391977691000818</v>
      </c>
      <c r="Z1778" s="9">
        <v>24.28858708803979</v>
      </c>
      <c r="AA1778" s="9">
        <v>24.28858708803979</v>
      </c>
      <c r="AB1778" s="9">
        <v>25.117335532005217</v>
      </c>
      <c r="AC1778" s="9">
        <v>25.117335532005217</v>
      </c>
      <c r="AD1778" s="9">
        <v>29.039116491286865</v>
      </c>
      <c r="AE1778" s="9">
        <v>31.219251037281825</v>
      </c>
      <c r="AF1778" s="9">
        <v>33.487682081707895</v>
      </c>
      <c r="AG1778" s="9">
        <v>33.487682081707895</v>
      </c>
      <c r="AH1778" s="9">
        <v>36.427668170967245</v>
      </c>
      <c r="AI1778" s="9">
        <v>38.74455996597662</v>
      </c>
      <c r="AJ1778" s="9">
        <v>3.0428788910505911</v>
      </c>
    </row>
    <row r="1779" spans="1:36" x14ac:dyDescent="0.25">
      <c r="A1779" t="s">
        <v>5411</v>
      </c>
      <c r="B1779" t="s">
        <v>16</v>
      </c>
      <c r="C1779" t="s">
        <v>17</v>
      </c>
      <c r="D1779">
        <v>39580000</v>
      </c>
      <c r="E1779">
        <v>39589999</v>
      </c>
      <c r="F1779" t="s">
        <v>1596</v>
      </c>
      <c r="G1779" t="str">
        <f t="shared" si="54"/>
        <v>MGI II</v>
      </c>
      <c r="H1779" t="s">
        <v>851</v>
      </c>
      <c r="I1779" t="s">
        <v>20</v>
      </c>
      <c r="J1779" t="s">
        <v>64</v>
      </c>
      <c r="K1779" s="6">
        <v>0.03</v>
      </c>
      <c r="L1779" s="7">
        <f t="shared" si="55"/>
        <v>2E-3</v>
      </c>
      <c r="M1779" s="7">
        <v>3.0000000000000001E-3</v>
      </c>
      <c r="N1779">
        <v>8</v>
      </c>
      <c r="O1779" s="8">
        <v>17.822306426995311</v>
      </c>
      <c r="P1779" s="9">
        <v>17.822306426995311</v>
      </c>
      <c r="Q1779" s="9">
        <v>17.822306426995311</v>
      </c>
      <c r="R1779" s="9">
        <v>18.237663306594719</v>
      </c>
      <c r="S1779" s="9">
        <v>18.48712920931133</v>
      </c>
      <c r="T1779" s="9">
        <v>19.201553596969877</v>
      </c>
      <c r="U1779" s="9">
        <v>20.562345482855957</v>
      </c>
      <c r="V1779" s="9">
        <v>20.562345482855957</v>
      </c>
      <c r="W1779" s="9">
        <v>20.562345482855957</v>
      </c>
      <c r="X1779" s="9">
        <v>22.391977691000818</v>
      </c>
      <c r="Y1779" s="9">
        <v>22.391977691000818</v>
      </c>
      <c r="Z1779" s="9">
        <v>24.28858708803979</v>
      </c>
      <c r="AA1779" s="9">
        <v>24.28858708803979</v>
      </c>
      <c r="AB1779" s="9">
        <v>25.117335532005217</v>
      </c>
      <c r="AC1779" s="9">
        <v>25.117335532005217</v>
      </c>
      <c r="AD1779" s="9">
        <v>29.039116491286865</v>
      </c>
      <c r="AE1779" s="9">
        <v>31.219251037281825</v>
      </c>
      <c r="AF1779" s="9">
        <v>33.487682081707895</v>
      </c>
      <c r="AG1779" s="9">
        <v>33.487682081707895</v>
      </c>
      <c r="AH1779" s="9">
        <v>36.427668170967245</v>
      </c>
      <c r="AI1779" s="9">
        <v>38.74455996597662</v>
      </c>
      <c r="AJ1779" s="9">
        <v>3.0428788910505911</v>
      </c>
    </row>
    <row r="1780" spans="1:36" x14ac:dyDescent="0.25">
      <c r="A1780" t="s">
        <v>5411</v>
      </c>
      <c r="B1780" t="s">
        <v>16</v>
      </c>
      <c r="C1780" t="s">
        <v>17</v>
      </c>
      <c r="D1780">
        <v>39590000</v>
      </c>
      <c r="E1780">
        <v>39591999</v>
      </c>
      <c r="F1780" t="s">
        <v>1597</v>
      </c>
      <c r="G1780" t="str">
        <f t="shared" si="54"/>
        <v>MGI II</v>
      </c>
      <c r="H1780" t="s">
        <v>851</v>
      </c>
      <c r="I1780" t="s">
        <v>20</v>
      </c>
      <c r="J1780" t="s">
        <v>64</v>
      </c>
      <c r="K1780" s="6">
        <v>0.03</v>
      </c>
      <c r="L1780" s="7">
        <f t="shared" si="55"/>
        <v>2E-3</v>
      </c>
      <c r="M1780" s="7">
        <v>3.0000000000000001E-3</v>
      </c>
      <c r="N1780">
        <v>8</v>
      </c>
      <c r="O1780" s="8">
        <v>17.822306426995311</v>
      </c>
      <c r="P1780" s="9">
        <v>17.822306426995311</v>
      </c>
      <c r="Q1780" s="9">
        <v>17.822306426995311</v>
      </c>
      <c r="R1780" s="9">
        <v>18.237663306594719</v>
      </c>
      <c r="S1780" s="9">
        <v>18.48712920931133</v>
      </c>
      <c r="T1780" s="9">
        <v>19.201553596969877</v>
      </c>
      <c r="U1780" s="9">
        <v>20.562345482855957</v>
      </c>
      <c r="V1780" s="9">
        <v>20.562345482855957</v>
      </c>
      <c r="W1780" s="9">
        <v>20.562345482855957</v>
      </c>
      <c r="X1780" s="9">
        <v>22.391977691000818</v>
      </c>
      <c r="Y1780" s="9">
        <v>22.391977691000818</v>
      </c>
      <c r="Z1780" s="9">
        <v>24.28858708803979</v>
      </c>
      <c r="AA1780" s="9">
        <v>24.28858708803979</v>
      </c>
      <c r="AB1780" s="9">
        <v>25.117335532005217</v>
      </c>
      <c r="AC1780" s="9">
        <v>25.117335532005217</v>
      </c>
      <c r="AD1780" s="9">
        <v>29.039116491286865</v>
      </c>
      <c r="AE1780" s="9">
        <v>31.219251037281825</v>
      </c>
      <c r="AF1780" s="9">
        <v>33.487682081707895</v>
      </c>
      <c r="AG1780" s="9">
        <v>33.487682081707895</v>
      </c>
      <c r="AH1780" s="9">
        <v>36.427668170967245</v>
      </c>
      <c r="AI1780" s="9">
        <v>38.74455996597662</v>
      </c>
      <c r="AJ1780" s="9">
        <v>3.0428788910505911</v>
      </c>
    </row>
    <row r="1781" spans="1:36" x14ac:dyDescent="0.25">
      <c r="A1781" t="s">
        <v>5411</v>
      </c>
      <c r="B1781" t="s">
        <v>16</v>
      </c>
      <c r="C1781" t="s">
        <v>17</v>
      </c>
      <c r="D1781">
        <v>39592000</v>
      </c>
      <c r="E1781">
        <v>39593999</v>
      </c>
      <c r="F1781" t="s">
        <v>1598</v>
      </c>
      <c r="G1781" t="str">
        <f t="shared" si="54"/>
        <v>MGI II</v>
      </c>
      <c r="H1781" t="s">
        <v>851</v>
      </c>
      <c r="I1781" t="s">
        <v>20</v>
      </c>
      <c r="J1781" t="s">
        <v>64</v>
      </c>
      <c r="K1781" s="6">
        <v>0.03</v>
      </c>
      <c r="L1781" s="7">
        <f t="shared" si="55"/>
        <v>2E-3</v>
      </c>
      <c r="M1781" s="7">
        <v>3.0000000000000001E-3</v>
      </c>
      <c r="N1781">
        <v>8</v>
      </c>
      <c r="O1781" s="8">
        <v>17.822306426995311</v>
      </c>
      <c r="P1781" s="9">
        <v>17.822306426995311</v>
      </c>
      <c r="Q1781" s="9">
        <v>17.822306426995311</v>
      </c>
      <c r="R1781" s="9">
        <v>18.237663306594719</v>
      </c>
      <c r="S1781" s="9">
        <v>18.48712920931133</v>
      </c>
      <c r="T1781" s="9">
        <v>19.201553596969877</v>
      </c>
      <c r="U1781" s="9">
        <v>20.562345482855957</v>
      </c>
      <c r="V1781" s="9">
        <v>20.562345482855957</v>
      </c>
      <c r="W1781" s="9">
        <v>20.562345482855957</v>
      </c>
      <c r="X1781" s="9">
        <v>22.391977691000818</v>
      </c>
      <c r="Y1781" s="9">
        <v>22.391977691000818</v>
      </c>
      <c r="Z1781" s="9">
        <v>24.28858708803979</v>
      </c>
      <c r="AA1781" s="9">
        <v>24.28858708803979</v>
      </c>
      <c r="AB1781" s="9">
        <v>25.117335532005217</v>
      </c>
      <c r="AC1781" s="9">
        <v>25.117335532005217</v>
      </c>
      <c r="AD1781" s="9">
        <v>29.039116491286865</v>
      </c>
      <c r="AE1781" s="9">
        <v>31.219251037281825</v>
      </c>
      <c r="AF1781" s="9">
        <v>33.487682081707895</v>
      </c>
      <c r="AG1781" s="9">
        <v>33.487682081707895</v>
      </c>
      <c r="AH1781" s="9">
        <v>36.427668170967245</v>
      </c>
      <c r="AI1781" s="9">
        <v>38.74455996597662</v>
      </c>
      <c r="AJ1781" s="9">
        <v>3.0428788910505911</v>
      </c>
    </row>
    <row r="1782" spans="1:36" x14ac:dyDescent="0.25">
      <c r="A1782" t="s">
        <v>5411</v>
      </c>
      <c r="B1782" t="s">
        <v>16</v>
      </c>
      <c r="C1782" t="s">
        <v>17</v>
      </c>
      <c r="D1782">
        <v>39594000</v>
      </c>
      <c r="E1782">
        <v>39594999</v>
      </c>
      <c r="F1782" t="s">
        <v>1599</v>
      </c>
      <c r="G1782" t="str">
        <f t="shared" si="54"/>
        <v>MGI II</v>
      </c>
      <c r="H1782" t="s">
        <v>851</v>
      </c>
      <c r="I1782" t="s">
        <v>20</v>
      </c>
      <c r="J1782" t="s">
        <v>64</v>
      </c>
      <c r="K1782" s="6">
        <v>0.03</v>
      </c>
      <c r="L1782" s="7">
        <f t="shared" si="55"/>
        <v>2E-3</v>
      </c>
      <c r="M1782" s="7">
        <v>3.0000000000000001E-3</v>
      </c>
      <c r="N1782">
        <v>8</v>
      </c>
      <c r="O1782" s="8">
        <v>17.822306426995311</v>
      </c>
      <c r="P1782" s="9">
        <v>17.822306426995311</v>
      </c>
      <c r="Q1782" s="9">
        <v>17.822306426995311</v>
      </c>
      <c r="R1782" s="9">
        <v>18.237663306594719</v>
      </c>
      <c r="S1782" s="9">
        <v>18.48712920931133</v>
      </c>
      <c r="T1782" s="9">
        <v>19.201553596969877</v>
      </c>
      <c r="U1782" s="9">
        <v>20.562345482855957</v>
      </c>
      <c r="V1782" s="9">
        <v>20.562345482855957</v>
      </c>
      <c r="W1782" s="9">
        <v>20.562345482855957</v>
      </c>
      <c r="X1782" s="9">
        <v>22.391977691000818</v>
      </c>
      <c r="Y1782" s="9">
        <v>22.391977691000818</v>
      </c>
      <c r="Z1782" s="9">
        <v>24.28858708803979</v>
      </c>
      <c r="AA1782" s="9">
        <v>24.28858708803979</v>
      </c>
      <c r="AB1782" s="9">
        <v>25.117335532005217</v>
      </c>
      <c r="AC1782" s="9">
        <v>25.117335532005217</v>
      </c>
      <c r="AD1782" s="9">
        <v>29.039116491286865</v>
      </c>
      <c r="AE1782" s="9">
        <v>31.219251037281825</v>
      </c>
      <c r="AF1782" s="9">
        <v>33.487682081707895</v>
      </c>
      <c r="AG1782" s="9">
        <v>33.487682081707895</v>
      </c>
      <c r="AH1782" s="9">
        <v>36.427668170967245</v>
      </c>
      <c r="AI1782" s="9">
        <v>38.74455996597662</v>
      </c>
      <c r="AJ1782" s="9">
        <v>3.0428788910505911</v>
      </c>
    </row>
    <row r="1783" spans="1:36" x14ac:dyDescent="0.25">
      <c r="A1783" t="s">
        <v>5411</v>
      </c>
      <c r="B1783" t="s">
        <v>16</v>
      </c>
      <c r="C1783" t="s">
        <v>17</v>
      </c>
      <c r="D1783">
        <v>39595000</v>
      </c>
      <c r="E1783">
        <v>39597999</v>
      </c>
      <c r="F1783" t="s">
        <v>1600</v>
      </c>
      <c r="G1783" t="str">
        <f t="shared" si="54"/>
        <v>MGI II</v>
      </c>
      <c r="H1783" t="s">
        <v>851</v>
      </c>
      <c r="I1783" t="s">
        <v>20</v>
      </c>
      <c r="J1783" t="s">
        <v>64</v>
      </c>
      <c r="K1783" s="6">
        <v>0.03</v>
      </c>
      <c r="L1783" s="7">
        <f t="shared" si="55"/>
        <v>2E-3</v>
      </c>
      <c r="M1783" s="7">
        <v>3.0000000000000001E-3</v>
      </c>
      <c r="N1783">
        <v>8</v>
      </c>
      <c r="O1783" s="8">
        <v>17.822306426995311</v>
      </c>
      <c r="P1783" s="9">
        <v>17.822306426995311</v>
      </c>
      <c r="Q1783" s="9">
        <v>17.822306426995311</v>
      </c>
      <c r="R1783" s="9">
        <v>18.237663306594719</v>
      </c>
      <c r="S1783" s="9">
        <v>18.48712920931133</v>
      </c>
      <c r="T1783" s="9">
        <v>19.201553596969877</v>
      </c>
      <c r="U1783" s="9">
        <v>20.562345482855957</v>
      </c>
      <c r="V1783" s="9">
        <v>20.562345482855957</v>
      </c>
      <c r="W1783" s="9">
        <v>20.562345482855957</v>
      </c>
      <c r="X1783" s="9">
        <v>22.391977691000818</v>
      </c>
      <c r="Y1783" s="9">
        <v>22.391977691000818</v>
      </c>
      <c r="Z1783" s="9">
        <v>24.28858708803979</v>
      </c>
      <c r="AA1783" s="9">
        <v>24.28858708803979</v>
      </c>
      <c r="AB1783" s="9">
        <v>25.117335532005217</v>
      </c>
      <c r="AC1783" s="9">
        <v>25.117335532005217</v>
      </c>
      <c r="AD1783" s="9">
        <v>29.039116491286865</v>
      </c>
      <c r="AE1783" s="9">
        <v>31.219251037281825</v>
      </c>
      <c r="AF1783" s="9">
        <v>33.487682081707895</v>
      </c>
      <c r="AG1783" s="9">
        <v>33.487682081707895</v>
      </c>
      <c r="AH1783" s="9">
        <v>36.427668170967245</v>
      </c>
      <c r="AI1783" s="9">
        <v>38.74455996597662</v>
      </c>
      <c r="AJ1783" s="9">
        <v>3.0428788910505911</v>
      </c>
    </row>
    <row r="1784" spans="1:36" x14ac:dyDescent="0.25">
      <c r="A1784" t="s">
        <v>5411</v>
      </c>
      <c r="B1784" t="s">
        <v>16</v>
      </c>
      <c r="C1784" t="s">
        <v>17</v>
      </c>
      <c r="D1784">
        <v>39598000</v>
      </c>
      <c r="E1784">
        <v>39599999</v>
      </c>
      <c r="F1784" t="s">
        <v>1601</v>
      </c>
      <c r="G1784" t="str">
        <f t="shared" si="54"/>
        <v>MGI II</v>
      </c>
      <c r="H1784" t="s">
        <v>851</v>
      </c>
      <c r="I1784" t="s">
        <v>20</v>
      </c>
      <c r="J1784" t="s">
        <v>64</v>
      </c>
      <c r="K1784" s="6">
        <v>0.03</v>
      </c>
      <c r="L1784" s="7">
        <f t="shared" si="55"/>
        <v>2E-3</v>
      </c>
      <c r="M1784" s="7">
        <v>3.0000000000000001E-3</v>
      </c>
      <c r="N1784">
        <v>8</v>
      </c>
      <c r="O1784" s="8">
        <v>17.822306426995311</v>
      </c>
      <c r="P1784" s="9">
        <v>17.822306426995311</v>
      </c>
      <c r="Q1784" s="9">
        <v>17.822306426995311</v>
      </c>
      <c r="R1784" s="9">
        <v>18.237663306594719</v>
      </c>
      <c r="S1784" s="9">
        <v>18.48712920931133</v>
      </c>
      <c r="T1784" s="9">
        <v>19.201553596969877</v>
      </c>
      <c r="U1784" s="9">
        <v>20.562345482855957</v>
      </c>
      <c r="V1784" s="9">
        <v>20.562345482855957</v>
      </c>
      <c r="W1784" s="9">
        <v>20.562345482855957</v>
      </c>
      <c r="X1784" s="9">
        <v>22.391977691000818</v>
      </c>
      <c r="Y1784" s="9">
        <v>22.391977691000818</v>
      </c>
      <c r="Z1784" s="9">
        <v>24.28858708803979</v>
      </c>
      <c r="AA1784" s="9">
        <v>24.28858708803979</v>
      </c>
      <c r="AB1784" s="9">
        <v>25.117335532005217</v>
      </c>
      <c r="AC1784" s="9">
        <v>25.117335532005217</v>
      </c>
      <c r="AD1784" s="9">
        <v>29.039116491286865</v>
      </c>
      <c r="AE1784" s="9">
        <v>31.219251037281825</v>
      </c>
      <c r="AF1784" s="9">
        <v>33.487682081707895</v>
      </c>
      <c r="AG1784" s="9">
        <v>33.487682081707895</v>
      </c>
      <c r="AH1784" s="9">
        <v>36.427668170967245</v>
      </c>
      <c r="AI1784" s="9">
        <v>38.74455996597662</v>
      </c>
      <c r="AJ1784" s="9">
        <v>3.0428788910505911</v>
      </c>
    </row>
    <row r="1785" spans="1:36" x14ac:dyDescent="0.25">
      <c r="A1785" t="s">
        <v>5411</v>
      </c>
      <c r="B1785" t="s">
        <v>16</v>
      </c>
      <c r="C1785" t="s">
        <v>17</v>
      </c>
      <c r="D1785">
        <v>39600000</v>
      </c>
      <c r="E1785">
        <v>39609999</v>
      </c>
      <c r="F1785" t="s">
        <v>1602</v>
      </c>
      <c r="G1785" t="str">
        <f t="shared" si="54"/>
        <v>MGI II</v>
      </c>
      <c r="H1785" t="s">
        <v>851</v>
      </c>
      <c r="I1785" t="s">
        <v>20</v>
      </c>
      <c r="J1785" t="s">
        <v>64</v>
      </c>
      <c r="K1785" s="6">
        <v>0.03</v>
      </c>
      <c r="L1785" s="7">
        <f t="shared" si="55"/>
        <v>2E-3</v>
      </c>
      <c r="M1785" s="7">
        <v>3.0000000000000001E-3</v>
      </c>
      <c r="N1785">
        <v>8</v>
      </c>
      <c r="O1785" s="8">
        <v>17.822306426995311</v>
      </c>
      <c r="P1785" s="9">
        <v>17.822306426995311</v>
      </c>
      <c r="Q1785" s="9">
        <v>17.822306426995311</v>
      </c>
      <c r="R1785" s="9">
        <v>18.237663306594719</v>
      </c>
      <c r="S1785" s="9">
        <v>18.48712920931133</v>
      </c>
      <c r="T1785" s="9">
        <v>19.201553596969877</v>
      </c>
      <c r="U1785" s="9">
        <v>20.562345482855957</v>
      </c>
      <c r="V1785" s="9">
        <v>20.562345482855957</v>
      </c>
      <c r="W1785" s="9">
        <v>20.562345482855957</v>
      </c>
      <c r="X1785" s="9">
        <v>22.391977691000818</v>
      </c>
      <c r="Y1785" s="9">
        <v>22.391977691000818</v>
      </c>
      <c r="Z1785" s="9">
        <v>24.28858708803979</v>
      </c>
      <c r="AA1785" s="9">
        <v>24.28858708803979</v>
      </c>
      <c r="AB1785" s="9">
        <v>25.117335532005217</v>
      </c>
      <c r="AC1785" s="9">
        <v>25.117335532005217</v>
      </c>
      <c r="AD1785" s="9">
        <v>29.039116491286865</v>
      </c>
      <c r="AE1785" s="9">
        <v>31.219251037281825</v>
      </c>
      <c r="AF1785" s="9">
        <v>33.487682081707895</v>
      </c>
      <c r="AG1785" s="9">
        <v>33.487682081707895</v>
      </c>
      <c r="AH1785" s="9">
        <v>36.427668170967245</v>
      </c>
      <c r="AI1785" s="9">
        <v>38.74455996597662</v>
      </c>
      <c r="AJ1785" s="9">
        <v>3.0428788910505911</v>
      </c>
    </row>
    <row r="1786" spans="1:36" x14ac:dyDescent="0.25">
      <c r="A1786" t="s">
        <v>5411</v>
      </c>
      <c r="B1786" t="s">
        <v>16</v>
      </c>
      <c r="C1786" t="s">
        <v>17</v>
      </c>
      <c r="D1786">
        <v>39610000</v>
      </c>
      <c r="E1786">
        <v>39614999</v>
      </c>
      <c r="F1786" t="s">
        <v>1603</v>
      </c>
      <c r="G1786" t="str">
        <f t="shared" si="54"/>
        <v>MGI II</v>
      </c>
      <c r="H1786" t="s">
        <v>851</v>
      </c>
      <c r="I1786" t="s">
        <v>20</v>
      </c>
      <c r="J1786" t="s">
        <v>64</v>
      </c>
      <c r="K1786" s="6">
        <v>0.03</v>
      </c>
      <c r="L1786" s="7">
        <f t="shared" si="55"/>
        <v>2E-3</v>
      </c>
      <c r="M1786" s="7">
        <v>3.0000000000000001E-3</v>
      </c>
      <c r="N1786">
        <v>8</v>
      </c>
      <c r="O1786" s="8">
        <v>17.822306426995311</v>
      </c>
      <c r="P1786" s="9">
        <v>17.822306426995311</v>
      </c>
      <c r="Q1786" s="9">
        <v>17.822306426995311</v>
      </c>
      <c r="R1786" s="9">
        <v>18.237663306594719</v>
      </c>
      <c r="S1786" s="9">
        <v>18.48712920931133</v>
      </c>
      <c r="T1786" s="9">
        <v>19.201553596969877</v>
      </c>
      <c r="U1786" s="9">
        <v>20.562345482855957</v>
      </c>
      <c r="V1786" s="9">
        <v>20.562345482855957</v>
      </c>
      <c r="W1786" s="9">
        <v>20.562345482855957</v>
      </c>
      <c r="X1786" s="9">
        <v>22.391977691000818</v>
      </c>
      <c r="Y1786" s="9">
        <v>22.391977691000818</v>
      </c>
      <c r="Z1786" s="9">
        <v>24.28858708803979</v>
      </c>
      <c r="AA1786" s="9">
        <v>24.28858708803979</v>
      </c>
      <c r="AB1786" s="9">
        <v>25.117335532005217</v>
      </c>
      <c r="AC1786" s="9">
        <v>25.117335532005217</v>
      </c>
      <c r="AD1786" s="9">
        <v>29.039116491286865</v>
      </c>
      <c r="AE1786" s="9">
        <v>31.219251037281825</v>
      </c>
      <c r="AF1786" s="9">
        <v>33.487682081707895</v>
      </c>
      <c r="AG1786" s="9">
        <v>33.487682081707895</v>
      </c>
      <c r="AH1786" s="9">
        <v>36.427668170967245</v>
      </c>
      <c r="AI1786" s="9">
        <v>38.74455996597662</v>
      </c>
      <c r="AJ1786" s="9">
        <v>3.0428788910505911</v>
      </c>
    </row>
    <row r="1787" spans="1:36" x14ac:dyDescent="0.25">
      <c r="A1787" t="s">
        <v>5411</v>
      </c>
      <c r="B1787" t="s">
        <v>16</v>
      </c>
      <c r="C1787" t="s">
        <v>17</v>
      </c>
      <c r="D1787">
        <v>39615000</v>
      </c>
      <c r="E1787">
        <v>39619999</v>
      </c>
      <c r="F1787" t="s">
        <v>1604</v>
      </c>
      <c r="G1787" t="str">
        <f t="shared" si="54"/>
        <v>MGI II</v>
      </c>
      <c r="H1787" t="s">
        <v>851</v>
      </c>
      <c r="I1787" t="s">
        <v>20</v>
      </c>
      <c r="J1787" t="s">
        <v>64</v>
      </c>
      <c r="K1787" s="6">
        <v>0.03</v>
      </c>
      <c r="L1787" s="7">
        <f t="shared" si="55"/>
        <v>2E-3</v>
      </c>
      <c r="M1787" s="7">
        <v>3.0000000000000001E-3</v>
      </c>
      <c r="N1787">
        <v>7</v>
      </c>
      <c r="O1787" s="8">
        <v>17.822306426995311</v>
      </c>
      <c r="P1787" s="9">
        <v>17.822306426995311</v>
      </c>
      <c r="Q1787" s="9">
        <v>17.822306426995311</v>
      </c>
      <c r="R1787" s="9">
        <v>18.237663306594719</v>
      </c>
      <c r="S1787" s="9">
        <v>18.48712920931133</v>
      </c>
      <c r="T1787" s="9">
        <v>19.201553596969877</v>
      </c>
      <c r="U1787" s="9">
        <v>20.562345482855957</v>
      </c>
      <c r="V1787" s="9">
        <v>20.562345482855957</v>
      </c>
      <c r="W1787" s="9">
        <v>20.562345482855957</v>
      </c>
      <c r="X1787" s="9">
        <v>22.391977691000818</v>
      </c>
      <c r="Y1787" s="9">
        <v>22.391977691000818</v>
      </c>
      <c r="Z1787" s="9">
        <v>24.28858708803979</v>
      </c>
      <c r="AA1787" s="9">
        <v>24.28858708803979</v>
      </c>
      <c r="AB1787" s="9">
        <v>25.117335532005217</v>
      </c>
      <c r="AC1787" s="9">
        <v>25.117335532005217</v>
      </c>
      <c r="AD1787" s="9">
        <v>29.039116491286865</v>
      </c>
      <c r="AE1787" s="9">
        <v>31.219251037281825</v>
      </c>
      <c r="AF1787" s="9">
        <v>33.487682081707895</v>
      </c>
      <c r="AG1787" s="9">
        <v>33.487682081707895</v>
      </c>
      <c r="AH1787" s="9">
        <v>36.427668170967245</v>
      </c>
      <c r="AI1787" s="9">
        <v>38.74455996597662</v>
      </c>
      <c r="AJ1787" s="9">
        <v>3.0428788910505911</v>
      </c>
    </row>
    <row r="1788" spans="1:36" x14ac:dyDescent="0.25">
      <c r="A1788" t="s">
        <v>5411</v>
      </c>
      <c r="B1788" t="s">
        <v>16</v>
      </c>
      <c r="C1788" t="s">
        <v>17</v>
      </c>
      <c r="D1788">
        <v>39620000</v>
      </c>
      <c r="E1788">
        <v>39624999</v>
      </c>
      <c r="F1788" t="s">
        <v>1605</v>
      </c>
      <c r="G1788" t="str">
        <f t="shared" si="54"/>
        <v>MGI II</v>
      </c>
      <c r="H1788" t="s">
        <v>851</v>
      </c>
      <c r="I1788" t="s">
        <v>20</v>
      </c>
      <c r="J1788" t="s">
        <v>64</v>
      </c>
      <c r="K1788" s="6">
        <v>0.03</v>
      </c>
      <c r="L1788" s="7">
        <f t="shared" si="55"/>
        <v>2E-3</v>
      </c>
      <c r="M1788" s="7">
        <v>3.0000000000000001E-3</v>
      </c>
      <c r="N1788">
        <v>8</v>
      </c>
      <c r="O1788" s="8">
        <v>17.822306426995311</v>
      </c>
      <c r="P1788" s="9">
        <v>17.822306426995311</v>
      </c>
      <c r="Q1788" s="9">
        <v>17.822306426995311</v>
      </c>
      <c r="R1788" s="9">
        <v>18.237663306594719</v>
      </c>
      <c r="S1788" s="9">
        <v>18.48712920931133</v>
      </c>
      <c r="T1788" s="9">
        <v>19.201553596969877</v>
      </c>
      <c r="U1788" s="9">
        <v>20.562345482855957</v>
      </c>
      <c r="V1788" s="9">
        <v>20.562345482855957</v>
      </c>
      <c r="W1788" s="9">
        <v>20.562345482855957</v>
      </c>
      <c r="X1788" s="9">
        <v>22.391977691000818</v>
      </c>
      <c r="Y1788" s="9">
        <v>22.391977691000818</v>
      </c>
      <c r="Z1788" s="9">
        <v>24.28858708803979</v>
      </c>
      <c r="AA1788" s="9">
        <v>24.28858708803979</v>
      </c>
      <c r="AB1788" s="9">
        <v>25.117335532005217</v>
      </c>
      <c r="AC1788" s="9">
        <v>25.117335532005217</v>
      </c>
      <c r="AD1788" s="9">
        <v>29.039116491286865</v>
      </c>
      <c r="AE1788" s="9">
        <v>31.219251037281825</v>
      </c>
      <c r="AF1788" s="9">
        <v>33.487682081707895</v>
      </c>
      <c r="AG1788" s="9">
        <v>33.487682081707895</v>
      </c>
      <c r="AH1788" s="9">
        <v>36.427668170967245</v>
      </c>
      <c r="AI1788" s="9">
        <v>38.74455996597662</v>
      </c>
      <c r="AJ1788" s="9">
        <v>3.0428788910505911</v>
      </c>
    </row>
    <row r="1789" spans="1:36" x14ac:dyDescent="0.25">
      <c r="A1789" t="s">
        <v>5411</v>
      </c>
      <c r="B1789" t="s">
        <v>16</v>
      </c>
      <c r="C1789" t="s">
        <v>17</v>
      </c>
      <c r="D1789">
        <v>39625000</v>
      </c>
      <c r="E1789">
        <v>39627999</v>
      </c>
      <c r="F1789" t="s">
        <v>1606</v>
      </c>
      <c r="G1789" t="str">
        <f t="shared" si="54"/>
        <v>MGI II</v>
      </c>
      <c r="H1789" t="s">
        <v>851</v>
      </c>
      <c r="I1789" t="s">
        <v>20</v>
      </c>
      <c r="J1789" t="s">
        <v>64</v>
      </c>
      <c r="K1789" s="6">
        <v>0.03</v>
      </c>
      <c r="L1789" s="7">
        <f t="shared" si="55"/>
        <v>2E-3</v>
      </c>
      <c r="M1789" s="7">
        <v>3.0000000000000001E-3</v>
      </c>
      <c r="N1789">
        <v>8</v>
      </c>
      <c r="O1789" s="8">
        <v>17.822306426995311</v>
      </c>
      <c r="P1789" s="9">
        <v>17.822306426995311</v>
      </c>
      <c r="Q1789" s="9">
        <v>17.822306426995311</v>
      </c>
      <c r="R1789" s="9">
        <v>18.237663306594719</v>
      </c>
      <c r="S1789" s="9">
        <v>18.48712920931133</v>
      </c>
      <c r="T1789" s="9">
        <v>19.201553596969877</v>
      </c>
      <c r="U1789" s="9">
        <v>20.562345482855957</v>
      </c>
      <c r="V1789" s="9">
        <v>20.562345482855957</v>
      </c>
      <c r="W1789" s="9">
        <v>20.562345482855957</v>
      </c>
      <c r="X1789" s="9">
        <v>22.391977691000818</v>
      </c>
      <c r="Y1789" s="9">
        <v>22.391977691000818</v>
      </c>
      <c r="Z1789" s="9">
        <v>24.28858708803979</v>
      </c>
      <c r="AA1789" s="9">
        <v>24.28858708803979</v>
      </c>
      <c r="AB1789" s="9">
        <v>25.117335532005217</v>
      </c>
      <c r="AC1789" s="9">
        <v>25.117335532005217</v>
      </c>
      <c r="AD1789" s="9">
        <v>29.039116491286865</v>
      </c>
      <c r="AE1789" s="9">
        <v>31.219251037281825</v>
      </c>
      <c r="AF1789" s="9">
        <v>33.487682081707895</v>
      </c>
      <c r="AG1789" s="9">
        <v>33.487682081707895</v>
      </c>
      <c r="AH1789" s="9">
        <v>36.427668170967245</v>
      </c>
      <c r="AI1789" s="9">
        <v>38.74455996597662</v>
      </c>
      <c r="AJ1789" s="9">
        <v>3.0428788910505911</v>
      </c>
    </row>
    <row r="1790" spans="1:36" x14ac:dyDescent="0.25">
      <c r="A1790" t="s">
        <v>5411</v>
      </c>
      <c r="B1790" t="s">
        <v>16</v>
      </c>
      <c r="C1790" t="s">
        <v>17</v>
      </c>
      <c r="D1790">
        <v>39628000</v>
      </c>
      <c r="E1790">
        <v>39629999</v>
      </c>
      <c r="F1790" t="s">
        <v>1607</v>
      </c>
      <c r="G1790" t="str">
        <f t="shared" si="54"/>
        <v>MGI II</v>
      </c>
      <c r="H1790" t="s">
        <v>851</v>
      </c>
      <c r="I1790" t="s">
        <v>20</v>
      </c>
      <c r="J1790" t="s">
        <v>64</v>
      </c>
      <c r="K1790" s="6">
        <v>0.03</v>
      </c>
      <c r="L1790" s="7">
        <f t="shared" si="55"/>
        <v>2E-3</v>
      </c>
      <c r="M1790" s="7">
        <v>3.0000000000000001E-3</v>
      </c>
      <c r="N1790">
        <v>8</v>
      </c>
      <c r="O1790" s="8">
        <v>17.822306426995311</v>
      </c>
      <c r="P1790" s="9">
        <v>17.822306426995311</v>
      </c>
      <c r="Q1790" s="9">
        <v>17.822306426995311</v>
      </c>
      <c r="R1790" s="9">
        <v>18.237663306594719</v>
      </c>
      <c r="S1790" s="9">
        <v>18.48712920931133</v>
      </c>
      <c r="T1790" s="9">
        <v>19.201553596969877</v>
      </c>
      <c r="U1790" s="9">
        <v>20.562345482855957</v>
      </c>
      <c r="V1790" s="9">
        <v>20.562345482855957</v>
      </c>
      <c r="W1790" s="9">
        <v>20.562345482855957</v>
      </c>
      <c r="X1790" s="9">
        <v>22.391977691000818</v>
      </c>
      <c r="Y1790" s="9">
        <v>22.391977691000818</v>
      </c>
      <c r="Z1790" s="9">
        <v>24.28858708803979</v>
      </c>
      <c r="AA1790" s="9">
        <v>24.28858708803979</v>
      </c>
      <c r="AB1790" s="9">
        <v>25.117335532005217</v>
      </c>
      <c r="AC1790" s="9">
        <v>25.117335532005217</v>
      </c>
      <c r="AD1790" s="9">
        <v>29.039116491286865</v>
      </c>
      <c r="AE1790" s="9">
        <v>31.219251037281825</v>
      </c>
      <c r="AF1790" s="9">
        <v>33.487682081707895</v>
      </c>
      <c r="AG1790" s="9">
        <v>33.487682081707895</v>
      </c>
      <c r="AH1790" s="9">
        <v>36.427668170967245</v>
      </c>
      <c r="AI1790" s="9">
        <v>38.74455996597662</v>
      </c>
      <c r="AJ1790" s="9">
        <v>3.0428788910505911</v>
      </c>
    </row>
    <row r="1791" spans="1:36" x14ac:dyDescent="0.25">
      <c r="A1791" t="s">
        <v>5411</v>
      </c>
      <c r="B1791" t="s">
        <v>16</v>
      </c>
      <c r="C1791" t="s">
        <v>17</v>
      </c>
      <c r="D1791">
        <v>39630000</v>
      </c>
      <c r="E1791">
        <v>39634999</v>
      </c>
      <c r="F1791" t="s">
        <v>1608</v>
      </c>
      <c r="G1791" t="str">
        <f t="shared" si="54"/>
        <v>MGI II</v>
      </c>
      <c r="H1791" t="s">
        <v>851</v>
      </c>
      <c r="I1791" t="s">
        <v>20</v>
      </c>
      <c r="J1791" t="s">
        <v>64</v>
      </c>
      <c r="K1791" s="6">
        <v>0.03</v>
      </c>
      <c r="L1791" s="7">
        <f t="shared" si="55"/>
        <v>2E-3</v>
      </c>
      <c r="M1791" s="7">
        <v>3.0000000000000001E-3</v>
      </c>
      <c r="N1791">
        <v>7</v>
      </c>
      <c r="O1791" s="8">
        <v>17.822306426995311</v>
      </c>
      <c r="P1791" s="9">
        <v>17.822306426995311</v>
      </c>
      <c r="Q1791" s="9">
        <v>17.822306426995311</v>
      </c>
      <c r="R1791" s="9">
        <v>18.237663306594719</v>
      </c>
      <c r="S1791" s="9">
        <v>18.48712920931133</v>
      </c>
      <c r="T1791" s="9">
        <v>19.201553596969877</v>
      </c>
      <c r="U1791" s="9">
        <v>20.562345482855957</v>
      </c>
      <c r="V1791" s="9">
        <v>20.562345482855957</v>
      </c>
      <c r="W1791" s="9">
        <v>20.562345482855957</v>
      </c>
      <c r="X1791" s="9">
        <v>22.391977691000818</v>
      </c>
      <c r="Y1791" s="9">
        <v>22.391977691000818</v>
      </c>
      <c r="Z1791" s="9">
        <v>24.28858708803979</v>
      </c>
      <c r="AA1791" s="9">
        <v>24.28858708803979</v>
      </c>
      <c r="AB1791" s="9">
        <v>25.117335532005217</v>
      </c>
      <c r="AC1791" s="9">
        <v>25.117335532005217</v>
      </c>
      <c r="AD1791" s="9">
        <v>29.039116491286865</v>
      </c>
      <c r="AE1791" s="9">
        <v>31.219251037281825</v>
      </c>
      <c r="AF1791" s="9">
        <v>33.487682081707895</v>
      </c>
      <c r="AG1791" s="9">
        <v>33.487682081707895</v>
      </c>
      <c r="AH1791" s="9">
        <v>36.427668170967245</v>
      </c>
      <c r="AI1791" s="9">
        <v>38.74455996597662</v>
      </c>
      <c r="AJ1791" s="9">
        <v>3.0428788910505911</v>
      </c>
    </row>
    <row r="1792" spans="1:36" x14ac:dyDescent="0.25">
      <c r="A1792" t="s">
        <v>5411</v>
      </c>
      <c r="B1792" t="s">
        <v>16</v>
      </c>
      <c r="C1792" t="s">
        <v>17</v>
      </c>
      <c r="D1792">
        <v>39635000</v>
      </c>
      <c r="E1792">
        <v>39639999</v>
      </c>
      <c r="F1792" t="s">
        <v>1609</v>
      </c>
      <c r="G1792" t="str">
        <f t="shared" si="54"/>
        <v>MGI II</v>
      </c>
      <c r="H1792" t="s">
        <v>851</v>
      </c>
      <c r="I1792" t="s">
        <v>20</v>
      </c>
      <c r="J1792" t="s">
        <v>64</v>
      </c>
      <c r="K1792" s="6">
        <v>0.03</v>
      </c>
      <c r="L1792" s="7">
        <f t="shared" si="55"/>
        <v>2E-3</v>
      </c>
      <c r="M1792" s="7">
        <v>3.0000000000000001E-3</v>
      </c>
      <c r="N1792">
        <v>7</v>
      </c>
      <c r="O1792" s="8">
        <v>17.822306426995311</v>
      </c>
      <c r="P1792" s="9">
        <v>17.822306426995311</v>
      </c>
      <c r="Q1792" s="9">
        <v>17.822306426995311</v>
      </c>
      <c r="R1792" s="9">
        <v>18.237663306594719</v>
      </c>
      <c r="S1792" s="9">
        <v>18.48712920931133</v>
      </c>
      <c r="T1792" s="9">
        <v>19.201553596969877</v>
      </c>
      <c r="U1792" s="9">
        <v>20.562345482855957</v>
      </c>
      <c r="V1792" s="9">
        <v>20.562345482855957</v>
      </c>
      <c r="W1792" s="9">
        <v>20.562345482855957</v>
      </c>
      <c r="X1792" s="9">
        <v>22.391977691000818</v>
      </c>
      <c r="Y1792" s="9">
        <v>22.391977691000818</v>
      </c>
      <c r="Z1792" s="9">
        <v>24.28858708803979</v>
      </c>
      <c r="AA1792" s="9">
        <v>24.28858708803979</v>
      </c>
      <c r="AB1792" s="9">
        <v>25.117335532005217</v>
      </c>
      <c r="AC1792" s="9">
        <v>25.117335532005217</v>
      </c>
      <c r="AD1792" s="9">
        <v>29.039116491286865</v>
      </c>
      <c r="AE1792" s="9">
        <v>31.219251037281825</v>
      </c>
      <c r="AF1792" s="9">
        <v>33.487682081707895</v>
      </c>
      <c r="AG1792" s="9">
        <v>33.487682081707895</v>
      </c>
      <c r="AH1792" s="9">
        <v>36.427668170967245</v>
      </c>
      <c r="AI1792" s="9">
        <v>38.74455996597662</v>
      </c>
      <c r="AJ1792" s="9">
        <v>3.0428788910505911</v>
      </c>
    </row>
    <row r="1793" spans="1:36" x14ac:dyDescent="0.25">
      <c r="A1793" t="s">
        <v>5411</v>
      </c>
      <c r="B1793" t="s">
        <v>16</v>
      </c>
      <c r="C1793" t="s">
        <v>17</v>
      </c>
      <c r="D1793">
        <v>39640000</v>
      </c>
      <c r="E1793">
        <v>39641999</v>
      </c>
      <c r="F1793" t="s">
        <v>1610</v>
      </c>
      <c r="G1793" t="str">
        <f t="shared" si="54"/>
        <v>MGI II</v>
      </c>
      <c r="H1793" t="s">
        <v>851</v>
      </c>
      <c r="I1793" t="s">
        <v>20</v>
      </c>
      <c r="J1793" t="s">
        <v>64</v>
      </c>
      <c r="K1793" s="6">
        <v>0.03</v>
      </c>
      <c r="L1793" s="7">
        <f t="shared" si="55"/>
        <v>2E-3</v>
      </c>
      <c r="M1793" s="7">
        <v>3.0000000000000001E-3</v>
      </c>
      <c r="N1793">
        <v>8</v>
      </c>
      <c r="O1793" s="8">
        <v>17.822306426995311</v>
      </c>
      <c r="P1793" s="9">
        <v>17.822306426995311</v>
      </c>
      <c r="Q1793" s="9">
        <v>17.822306426995311</v>
      </c>
      <c r="R1793" s="9">
        <v>18.237663306594719</v>
      </c>
      <c r="S1793" s="9">
        <v>18.48712920931133</v>
      </c>
      <c r="T1793" s="9">
        <v>19.201553596969877</v>
      </c>
      <c r="U1793" s="9">
        <v>20.562345482855957</v>
      </c>
      <c r="V1793" s="9">
        <v>20.562345482855957</v>
      </c>
      <c r="W1793" s="9">
        <v>20.562345482855957</v>
      </c>
      <c r="X1793" s="9">
        <v>22.391977691000818</v>
      </c>
      <c r="Y1793" s="9">
        <v>22.391977691000818</v>
      </c>
      <c r="Z1793" s="9">
        <v>24.28858708803979</v>
      </c>
      <c r="AA1793" s="9">
        <v>24.28858708803979</v>
      </c>
      <c r="AB1793" s="9">
        <v>25.117335532005217</v>
      </c>
      <c r="AC1793" s="9">
        <v>25.117335532005217</v>
      </c>
      <c r="AD1793" s="9">
        <v>29.039116491286865</v>
      </c>
      <c r="AE1793" s="9">
        <v>31.219251037281825</v>
      </c>
      <c r="AF1793" s="9">
        <v>33.487682081707895</v>
      </c>
      <c r="AG1793" s="9">
        <v>33.487682081707895</v>
      </c>
      <c r="AH1793" s="9">
        <v>36.427668170967245</v>
      </c>
      <c r="AI1793" s="9">
        <v>38.74455996597662</v>
      </c>
      <c r="AJ1793" s="9">
        <v>3.0428788910505911</v>
      </c>
    </row>
    <row r="1794" spans="1:36" x14ac:dyDescent="0.25">
      <c r="A1794" t="s">
        <v>5411</v>
      </c>
      <c r="B1794" t="s">
        <v>16</v>
      </c>
      <c r="C1794" t="s">
        <v>17</v>
      </c>
      <c r="D1794">
        <v>39642000</v>
      </c>
      <c r="E1794">
        <v>39643999</v>
      </c>
      <c r="F1794" t="s">
        <v>1611</v>
      </c>
      <c r="G1794" t="str">
        <f t="shared" si="54"/>
        <v>MGI II</v>
      </c>
      <c r="H1794" t="s">
        <v>851</v>
      </c>
      <c r="I1794" t="s">
        <v>20</v>
      </c>
      <c r="J1794" t="s">
        <v>64</v>
      </c>
      <c r="K1794" s="6">
        <v>0.03</v>
      </c>
      <c r="L1794" s="7">
        <f t="shared" si="55"/>
        <v>2E-3</v>
      </c>
      <c r="M1794" s="7">
        <v>3.0000000000000001E-3</v>
      </c>
      <c r="N1794">
        <v>8</v>
      </c>
      <c r="O1794" s="8">
        <v>17.822306426995311</v>
      </c>
      <c r="P1794" s="9">
        <v>17.822306426995311</v>
      </c>
      <c r="Q1794" s="9">
        <v>17.822306426995311</v>
      </c>
      <c r="R1794" s="9">
        <v>18.237663306594719</v>
      </c>
      <c r="S1794" s="9">
        <v>18.48712920931133</v>
      </c>
      <c r="T1794" s="9">
        <v>19.201553596969877</v>
      </c>
      <c r="U1794" s="9">
        <v>20.562345482855957</v>
      </c>
      <c r="V1794" s="9">
        <v>20.562345482855957</v>
      </c>
      <c r="W1794" s="9">
        <v>20.562345482855957</v>
      </c>
      <c r="X1794" s="9">
        <v>22.391977691000818</v>
      </c>
      <c r="Y1794" s="9">
        <v>22.391977691000818</v>
      </c>
      <c r="Z1794" s="9">
        <v>24.28858708803979</v>
      </c>
      <c r="AA1794" s="9">
        <v>24.28858708803979</v>
      </c>
      <c r="AB1794" s="9">
        <v>25.117335532005217</v>
      </c>
      <c r="AC1794" s="9">
        <v>25.117335532005217</v>
      </c>
      <c r="AD1794" s="9">
        <v>29.039116491286865</v>
      </c>
      <c r="AE1794" s="9">
        <v>31.219251037281825</v>
      </c>
      <c r="AF1794" s="9">
        <v>33.487682081707895</v>
      </c>
      <c r="AG1794" s="9">
        <v>33.487682081707895</v>
      </c>
      <c r="AH1794" s="9">
        <v>36.427668170967245</v>
      </c>
      <c r="AI1794" s="9">
        <v>38.74455996597662</v>
      </c>
      <c r="AJ1794" s="9">
        <v>3.0428788910505911</v>
      </c>
    </row>
    <row r="1795" spans="1:36" x14ac:dyDescent="0.25">
      <c r="A1795" t="s">
        <v>5411</v>
      </c>
      <c r="B1795" t="s">
        <v>16</v>
      </c>
      <c r="C1795" t="s">
        <v>17</v>
      </c>
      <c r="D1795">
        <v>39644000</v>
      </c>
      <c r="E1795">
        <v>39644999</v>
      </c>
      <c r="F1795" t="s">
        <v>1612</v>
      </c>
      <c r="G1795" t="str">
        <f t="shared" si="54"/>
        <v>MGI II</v>
      </c>
      <c r="H1795" t="s">
        <v>851</v>
      </c>
      <c r="I1795" t="s">
        <v>20</v>
      </c>
      <c r="J1795" t="s">
        <v>64</v>
      </c>
      <c r="K1795" s="6">
        <v>0.03</v>
      </c>
      <c r="L1795" s="7">
        <f t="shared" si="55"/>
        <v>2E-3</v>
      </c>
      <c r="M1795" s="7">
        <v>3.0000000000000001E-3</v>
      </c>
      <c r="N1795">
        <v>8</v>
      </c>
      <c r="O1795" s="8">
        <v>17.822306426995311</v>
      </c>
      <c r="P1795" s="9">
        <v>17.822306426995311</v>
      </c>
      <c r="Q1795" s="9">
        <v>17.822306426995311</v>
      </c>
      <c r="R1795" s="9">
        <v>18.237663306594719</v>
      </c>
      <c r="S1795" s="9">
        <v>18.48712920931133</v>
      </c>
      <c r="T1795" s="9">
        <v>19.201553596969877</v>
      </c>
      <c r="U1795" s="9">
        <v>20.562345482855957</v>
      </c>
      <c r="V1795" s="9">
        <v>20.562345482855957</v>
      </c>
      <c r="W1795" s="9">
        <v>20.562345482855957</v>
      </c>
      <c r="X1795" s="9">
        <v>22.391977691000818</v>
      </c>
      <c r="Y1795" s="9">
        <v>22.391977691000818</v>
      </c>
      <c r="Z1795" s="9">
        <v>24.28858708803979</v>
      </c>
      <c r="AA1795" s="9">
        <v>24.28858708803979</v>
      </c>
      <c r="AB1795" s="9">
        <v>25.117335532005217</v>
      </c>
      <c r="AC1795" s="9">
        <v>25.117335532005217</v>
      </c>
      <c r="AD1795" s="9">
        <v>29.039116491286865</v>
      </c>
      <c r="AE1795" s="9">
        <v>31.219251037281825</v>
      </c>
      <c r="AF1795" s="9">
        <v>33.487682081707895</v>
      </c>
      <c r="AG1795" s="9">
        <v>33.487682081707895</v>
      </c>
      <c r="AH1795" s="9">
        <v>36.427668170967245</v>
      </c>
      <c r="AI1795" s="9">
        <v>38.74455996597662</v>
      </c>
      <c r="AJ1795" s="9">
        <v>3.0428788910505911</v>
      </c>
    </row>
    <row r="1796" spans="1:36" x14ac:dyDescent="0.25">
      <c r="A1796" t="s">
        <v>5411</v>
      </c>
      <c r="B1796" t="s">
        <v>16</v>
      </c>
      <c r="C1796" t="s">
        <v>17</v>
      </c>
      <c r="D1796">
        <v>39645000</v>
      </c>
      <c r="E1796">
        <v>39647999</v>
      </c>
      <c r="F1796" t="s">
        <v>1613</v>
      </c>
      <c r="G1796" t="str">
        <f t="shared" ref="G1796:G1859" si="56">H1796&amp;IF(J1796="CAPITAL","C",IF(J1796="INTERIOR","I",IF(J1796="INTERIOR II","I II","R")))</f>
        <v>MGI II</v>
      </c>
      <c r="H1796" t="s">
        <v>851</v>
      </c>
      <c r="I1796" t="s">
        <v>20</v>
      </c>
      <c r="J1796" t="s">
        <v>64</v>
      </c>
      <c r="K1796" s="6">
        <v>0.03</v>
      </c>
      <c r="L1796" s="7">
        <f t="shared" ref="L1796:L1859" si="57">IF(I1796="(0) Não",0.2%,3%)</f>
        <v>2E-3</v>
      </c>
      <c r="M1796" s="7">
        <v>3.0000000000000001E-3</v>
      </c>
      <c r="N1796">
        <v>8</v>
      </c>
      <c r="O1796" s="8">
        <v>17.822306426995311</v>
      </c>
      <c r="P1796" s="9">
        <v>17.822306426995311</v>
      </c>
      <c r="Q1796" s="9">
        <v>17.822306426995311</v>
      </c>
      <c r="R1796" s="9">
        <v>18.237663306594719</v>
      </c>
      <c r="S1796" s="9">
        <v>18.48712920931133</v>
      </c>
      <c r="T1796" s="9">
        <v>19.201553596969877</v>
      </c>
      <c r="U1796" s="9">
        <v>20.562345482855957</v>
      </c>
      <c r="V1796" s="9">
        <v>20.562345482855957</v>
      </c>
      <c r="W1796" s="9">
        <v>20.562345482855957</v>
      </c>
      <c r="X1796" s="9">
        <v>22.391977691000818</v>
      </c>
      <c r="Y1796" s="9">
        <v>22.391977691000818</v>
      </c>
      <c r="Z1796" s="9">
        <v>24.28858708803979</v>
      </c>
      <c r="AA1796" s="9">
        <v>24.28858708803979</v>
      </c>
      <c r="AB1796" s="9">
        <v>25.117335532005217</v>
      </c>
      <c r="AC1796" s="9">
        <v>25.117335532005217</v>
      </c>
      <c r="AD1796" s="9">
        <v>29.039116491286865</v>
      </c>
      <c r="AE1796" s="9">
        <v>31.219251037281825</v>
      </c>
      <c r="AF1796" s="9">
        <v>33.487682081707895</v>
      </c>
      <c r="AG1796" s="9">
        <v>33.487682081707895</v>
      </c>
      <c r="AH1796" s="9">
        <v>36.427668170967245</v>
      </c>
      <c r="AI1796" s="9">
        <v>38.74455996597662</v>
      </c>
      <c r="AJ1796" s="9">
        <v>3.0428788910505911</v>
      </c>
    </row>
    <row r="1797" spans="1:36" x14ac:dyDescent="0.25">
      <c r="A1797" t="s">
        <v>5411</v>
      </c>
      <c r="B1797" t="s">
        <v>16</v>
      </c>
      <c r="C1797" t="s">
        <v>17</v>
      </c>
      <c r="D1797">
        <v>39648000</v>
      </c>
      <c r="E1797">
        <v>39649999</v>
      </c>
      <c r="F1797" t="s">
        <v>1614</v>
      </c>
      <c r="G1797" t="str">
        <f t="shared" si="56"/>
        <v>MGI II</v>
      </c>
      <c r="H1797" t="s">
        <v>851</v>
      </c>
      <c r="I1797" t="s">
        <v>20</v>
      </c>
      <c r="J1797" t="s">
        <v>64</v>
      </c>
      <c r="K1797" s="6">
        <v>0.03</v>
      </c>
      <c r="L1797" s="7">
        <f t="shared" si="57"/>
        <v>2E-3</v>
      </c>
      <c r="M1797" s="7">
        <v>3.0000000000000001E-3</v>
      </c>
      <c r="N1797">
        <v>9</v>
      </c>
      <c r="O1797" s="8">
        <v>17.822306426995311</v>
      </c>
      <c r="P1797" s="9">
        <v>17.822306426995311</v>
      </c>
      <c r="Q1797" s="9">
        <v>17.822306426995311</v>
      </c>
      <c r="R1797" s="9">
        <v>18.237663306594719</v>
      </c>
      <c r="S1797" s="9">
        <v>18.48712920931133</v>
      </c>
      <c r="T1797" s="9">
        <v>19.201553596969877</v>
      </c>
      <c r="U1797" s="9">
        <v>20.562345482855957</v>
      </c>
      <c r="V1797" s="9">
        <v>20.562345482855957</v>
      </c>
      <c r="W1797" s="9">
        <v>20.562345482855957</v>
      </c>
      <c r="X1797" s="9">
        <v>22.391977691000818</v>
      </c>
      <c r="Y1797" s="9">
        <v>22.391977691000818</v>
      </c>
      <c r="Z1797" s="9">
        <v>24.28858708803979</v>
      </c>
      <c r="AA1797" s="9">
        <v>24.28858708803979</v>
      </c>
      <c r="AB1797" s="9">
        <v>25.117335532005217</v>
      </c>
      <c r="AC1797" s="9">
        <v>25.117335532005217</v>
      </c>
      <c r="AD1797" s="9">
        <v>29.039116491286865</v>
      </c>
      <c r="AE1797" s="9">
        <v>31.219251037281825</v>
      </c>
      <c r="AF1797" s="9">
        <v>33.487682081707895</v>
      </c>
      <c r="AG1797" s="9">
        <v>33.487682081707895</v>
      </c>
      <c r="AH1797" s="9">
        <v>36.427668170967245</v>
      </c>
      <c r="AI1797" s="9">
        <v>38.74455996597662</v>
      </c>
      <c r="AJ1797" s="9">
        <v>3.0428788910505911</v>
      </c>
    </row>
    <row r="1798" spans="1:36" x14ac:dyDescent="0.25">
      <c r="A1798" t="s">
        <v>5411</v>
      </c>
      <c r="B1798" t="s">
        <v>16</v>
      </c>
      <c r="C1798" t="s">
        <v>17</v>
      </c>
      <c r="D1798">
        <v>39650000</v>
      </c>
      <c r="E1798">
        <v>39654999</v>
      </c>
      <c r="F1798" t="s">
        <v>1615</v>
      </c>
      <c r="G1798" t="str">
        <f t="shared" si="56"/>
        <v>MGI II</v>
      </c>
      <c r="H1798" t="s">
        <v>851</v>
      </c>
      <c r="I1798" t="s">
        <v>20</v>
      </c>
      <c r="J1798" t="s">
        <v>64</v>
      </c>
      <c r="K1798" s="6">
        <v>0.03</v>
      </c>
      <c r="L1798" s="7">
        <f t="shared" si="57"/>
        <v>2E-3</v>
      </c>
      <c r="M1798" s="7">
        <v>3.0000000000000001E-3</v>
      </c>
      <c r="N1798">
        <v>7</v>
      </c>
      <c r="O1798" s="8">
        <v>17.822306426995311</v>
      </c>
      <c r="P1798" s="9">
        <v>17.822306426995311</v>
      </c>
      <c r="Q1798" s="9">
        <v>17.822306426995311</v>
      </c>
      <c r="R1798" s="9">
        <v>18.237663306594719</v>
      </c>
      <c r="S1798" s="9">
        <v>18.48712920931133</v>
      </c>
      <c r="T1798" s="9">
        <v>19.201553596969877</v>
      </c>
      <c r="U1798" s="9">
        <v>20.562345482855957</v>
      </c>
      <c r="V1798" s="9">
        <v>20.562345482855957</v>
      </c>
      <c r="W1798" s="9">
        <v>20.562345482855957</v>
      </c>
      <c r="X1798" s="9">
        <v>22.391977691000818</v>
      </c>
      <c r="Y1798" s="9">
        <v>22.391977691000818</v>
      </c>
      <c r="Z1798" s="9">
        <v>24.28858708803979</v>
      </c>
      <c r="AA1798" s="9">
        <v>24.28858708803979</v>
      </c>
      <c r="AB1798" s="9">
        <v>25.117335532005217</v>
      </c>
      <c r="AC1798" s="9">
        <v>25.117335532005217</v>
      </c>
      <c r="AD1798" s="9">
        <v>29.039116491286865</v>
      </c>
      <c r="AE1798" s="9">
        <v>31.219251037281825</v>
      </c>
      <c r="AF1798" s="9">
        <v>33.487682081707895</v>
      </c>
      <c r="AG1798" s="9">
        <v>33.487682081707895</v>
      </c>
      <c r="AH1798" s="9">
        <v>36.427668170967245</v>
      </c>
      <c r="AI1798" s="9">
        <v>38.74455996597662</v>
      </c>
      <c r="AJ1798" s="9">
        <v>3.0428788910505911</v>
      </c>
    </row>
    <row r="1799" spans="1:36" x14ac:dyDescent="0.25">
      <c r="A1799" t="s">
        <v>5411</v>
      </c>
      <c r="B1799" t="s">
        <v>16</v>
      </c>
      <c r="C1799" t="s">
        <v>17</v>
      </c>
      <c r="D1799">
        <v>39655000</v>
      </c>
      <c r="E1799">
        <v>39659999</v>
      </c>
      <c r="F1799" t="s">
        <v>1616</v>
      </c>
      <c r="G1799" t="str">
        <f t="shared" si="56"/>
        <v>MGI II</v>
      </c>
      <c r="H1799" t="s">
        <v>851</v>
      </c>
      <c r="I1799" t="s">
        <v>20</v>
      </c>
      <c r="J1799" t="s">
        <v>64</v>
      </c>
      <c r="K1799" s="6">
        <v>0.03</v>
      </c>
      <c r="L1799" s="7">
        <f t="shared" si="57"/>
        <v>2E-3</v>
      </c>
      <c r="M1799" s="7">
        <v>3.0000000000000001E-3</v>
      </c>
      <c r="N1799">
        <v>8</v>
      </c>
      <c r="O1799" s="8">
        <v>17.822306426995311</v>
      </c>
      <c r="P1799" s="9">
        <v>17.822306426995311</v>
      </c>
      <c r="Q1799" s="9">
        <v>17.822306426995311</v>
      </c>
      <c r="R1799" s="9">
        <v>18.237663306594719</v>
      </c>
      <c r="S1799" s="9">
        <v>18.48712920931133</v>
      </c>
      <c r="T1799" s="9">
        <v>19.201553596969877</v>
      </c>
      <c r="U1799" s="9">
        <v>20.562345482855957</v>
      </c>
      <c r="V1799" s="9">
        <v>20.562345482855957</v>
      </c>
      <c r="W1799" s="9">
        <v>20.562345482855957</v>
      </c>
      <c r="X1799" s="9">
        <v>22.391977691000818</v>
      </c>
      <c r="Y1799" s="9">
        <v>22.391977691000818</v>
      </c>
      <c r="Z1799" s="9">
        <v>24.28858708803979</v>
      </c>
      <c r="AA1799" s="9">
        <v>24.28858708803979</v>
      </c>
      <c r="AB1799" s="9">
        <v>25.117335532005217</v>
      </c>
      <c r="AC1799" s="9">
        <v>25.117335532005217</v>
      </c>
      <c r="AD1799" s="9">
        <v>29.039116491286865</v>
      </c>
      <c r="AE1799" s="9">
        <v>31.219251037281825</v>
      </c>
      <c r="AF1799" s="9">
        <v>33.487682081707895</v>
      </c>
      <c r="AG1799" s="9">
        <v>33.487682081707895</v>
      </c>
      <c r="AH1799" s="9">
        <v>36.427668170967245</v>
      </c>
      <c r="AI1799" s="9">
        <v>38.74455996597662</v>
      </c>
      <c r="AJ1799" s="9">
        <v>3.0428788910505911</v>
      </c>
    </row>
    <row r="1800" spans="1:36" x14ac:dyDescent="0.25">
      <c r="A1800" t="s">
        <v>5411</v>
      </c>
      <c r="B1800" t="s">
        <v>16</v>
      </c>
      <c r="C1800" t="s">
        <v>17</v>
      </c>
      <c r="D1800">
        <v>39660000</v>
      </c>
      <c r="E1800">
        <v>39662999</v>
      </c>
      <c r="F1800" t="s">
        <v>381</v>
      </c>
      <c r="G1800" t="str">
        <f t="shared" si="56"/>
        <v>MGI II</v>
      </c>
      <c r="H1800" t="s">
        <v>851</v>
      </c>
      <c r="I1800" t="s">
        <v>20</v>
      </c>
      <c r="J1800" t="s">
        <v>64</v>
      </c>
      <c r="K1800" s="6">
        <v>0.03</v>
      </c>
      <c r="L1800" s="7">
        <f t="shared" si="57"/>
        <v>2E-3</v>
      </c>
      <c r="M1800" s="7">
        <v>3.0000000000000001E-3</v>
      </c>
      <c r="N1800">
        <v>10</v>
      </c>
      <c r="O1800" s="8">
        <v>17.822306426995311</v>
      </c>
      <c r="P1800" s="9">
        <v>17.822306426995311</v>
      </c>
      <c r="Q1800" s="9">
        <v>17.822306426995311</v>
      </c>
      <c r="R1800" s="9">
        <v>18.237663306594719</v>
      </c>
      <c r="S1800" s="9">
        <v>18.48712920931133</v>
      </c>
      <c r="T1800" s="9">
        <v>19.201553596969877</v>
      </c>
      <c r="U1800" s="9">
        <v>20.562345482855957</v>
      </c>
      <c r="V1800" s="9">
        <v>20.562345482855957</v>
      </c>
      <c r="W1800" s="9">
        <v>20.562345482855957</v>
      </c>
      <c r="X1800" s="9">
        <v>22.391977691000818</v>
      </c>
      <c r="Y1800" s="9">
        <v>22.391977691000818</v>
      </c>
      <c r="Z1800" s="9">
        <v>24.28858708803979</v>
      </c>
      <c r="AA1800" s="9">
        <v>24.28858708803979</v>
      </c>
      <c r="AB1800" s="9">
        <v>25.117335532005217</v>
      </c>
      <c r="AC1800" s="9">
        <v>25.117335532005217</v>
      </c>
      <c r="AD1800" s="9">
        <v>29.039116491286865</v>
      </c>
      <c r="AE1800" s="9">
        <v>31.219251037281825</v>
      </c>
      <c r="AF1800" s="9">
        <v>33.487682081707895</v>
      </c>
      <c r="AG1800" s="9">
        <v>33.487682081707895</v>
      </c>
      <c r="AH1800" s="9">
        <v>36.427668170967245</v>
      </c>
      <c r="AI1800" s="9">
        <v>38.74455996597662</v>
      </c>
      <c r="AJ1800" s="9">
        <v>3.0428788910505911</v>
      </c>
    </row>
    <row r="1801" spans="1:36" x14ac:dyDescent="0.25">
      <c r="A1801" t="s">
        <v>5411</v>
      </c>
      <c r="B1801" t="s">
        <v>16</v>
      </c>
      <c r="C1801" t="s">
        <v>17</v>
      </c>
      <c r="D1801">
        <v>39663000</v>
      </c>
      <c r="E1801">
        <v>39664999</v>
      </c>
      <c r="F1801" t="s">
        <v>1617</v>
      </c>
      <c r="G1801" t="str">
        <f t="shared" si="56"/>
        <v>MGI II</v>
      </c>
      <c r="H1801" t="s">
        <v>851</v>
      </c>
      <c r="I1801" t="s">
        <v>20</v>
      </c>
      <c r="J1801" t="s">
        <v>64</v>
      </c>
      <c r="K1801" s="6">
        <v>0.03</v>
      </c>
      <c r="L1801" s="7">
        <f t="shared" si="57"/>
        <v>2E-3</v>
      </c>
      <c r="M1801" s="7">
        <v>3.0000000000000001E-3</v>
      </c>
      <c r="N1801">
        <v>10</v>
      </c>
      <c r="O1801" s="8">
        <v>17.822306426995311</v>
      </c>
      <c r="P1801" s="9">
        <v>17.822306426995311</v>
      </c>
      <c r="Q1801" s="9">
        <v>17.822306426995311</v>
      </c>
      <c r="R1801" s="9">
        <v>18.237663306594719</v>
      </c>
      <c r="S1801" s="9">
        <v>18.48712920931133</v>
      </c>
      <c r="T1801" s="9">
        <v>19.201553596969877</v>
      </c>
      <c r="U1801" s="9">
        <v>20.562345482855957</v>
      </c>
      <c r="V1801" s="9">
        <v>20.562345482855957</v>
      </c>
      <c r="W1801" s="9">
        <v>20.562345482855957</v>
      </c>
      <c r="X1801" s="9">
        <v>22.391977691000818</v>
      </c>
      <c r="Y1801" s="9">
        <v>22.391977691000818</v>
      </c>
      <c r="Z1801" s="9">
        <v>24.28858708803979</v>
      </c>
      <c r="AA1801" s="9">
        <v>24.28858708803979</v>
      </c>
      <c r="AB1801" s="9">
        <v>25.117335532005217</v>
      </c>
      <c r="AC1801" s="9">
        <v>25.117335532005217</v>
      </c>
      <c r="AD1801" s="9">
        <v>29.039116491286865</v>
      </c>
      <c r="AE1801" s="9">
        <v>31.219251037281825</v>
      </c>
      <c r="AF1801" s="9">
        <v>33.487682081707895</v>
      </c>
      <c r="AG1801" s="9">
        <v>33.487682081707895</v>
      </c>
      <c r="AH1801" s="9">
        <v>36.427668170967245</v>
      </c>
      <c r="AI1801" s="9">
        <v>38.74455996597662</v>
      </c>
      <c r="AJ1801" s="9">
        <v>3.0428788910505911</v>
      </c>
    </row>
    <row r="1802" spans="1:36" x14ac:dyDescent="0.25">
      <c r="A1802" t="s">
        <v>5411</v>
      </c>
      <c r="B1802" t="s">
        <v>16</v>
      </c>
      <c r="C1802" t="s">
        <v>17</v>
      </c>
      <c r="D1802">
        <v>39665000</v>
      </c>
      <c r="E1802">
        <v>39669999</v>
      </c>
      <c r="F1802" t="s">
        <v>1618</v>
      </c>
      <c r="G1802" t="str">
        <f t="shared" si="56"/>
        <v>MGI II</v>
      </c>
      <c r="H1802" t="s">
        <v>851</v>
      </c>
      <c r="I1802" t="s">
        <v>20</v>
      </c>
      <c r="J1802" t="s">
        <v>64</v>
      </c>
      <c r="K1802" s="6">
        <v>0.03</v>
      </c>
      <c r="L1802" s="7">
        <f t="shared" si="57"/>
        <v>2E-3</v>
      </c>
      <c r="M1802" s="7">
        <v>3.0000000000000001E-3</v>
      </c>
      <c r="N1802">
        <v>8</v>
      </c>
      <c r="O1802" s="8">
        <v>17.822306426995311</v>
      </c>
      <c r="P1802" s="9">
        <v>17.822306426995311</v>
      </c>
      <c r="Q1802" s="9">
        <v>17.822306426995311</v>
      </c>
      <c r="R1802" s="9">
        <v>18.237663306594719</v>
      </c>
      <c r="S1802" s="9">
        <v>18.48712920931133</v>
      </c>
      <c r="T1802" s="9">
        <v>19.201553596969877</v>
      </c>
      <c r="U1802" s="9">
        <v>20.562345482855957</v>
      </c>
      <c r="V1802" s="9">
        <v>20.562345482855957</v>
      </c>
      <c r="W1802" s="9">
        <v>20.562345482855957</v>
      </c>
      <c r="X1802" s="9">
        <v>22.391977691000818</v>
      </c>
      <c r="Y1802" s="9">
        <v>22.391977691000818</v>
      </c>
      <c r="Z1802" s="9">
        <v>24.28858708803979</v>
      </c>
      <c r="AA1802" s="9">
        <v>24.28858708803979</v>
      </c>
      <c r="AB1802" s="9">
        <v>25.117335532005217</v>
      </c>
      <c r="AC1802" s="9">
        <v>25.117335532005217</v>
      </c>
      <c r="AD1802" s="9">
        <v>29.039116491286865</v>
      </c>
      <c r="AE1802" s="9">
        <v>31.219251037281825</v>
      </c>
      <c r="AF1802" s="9">
        <v>33.487682081707895</v>
      </c>
      <c r="AG1802" s="9">
        <v>33.487682081707895</v>
      </c>
      <c r="AH1802" s="9">
        <v>36.427668170967245</v>
      </c>
      <c r="AI1802" s="9">
        <v>38.74455996597662</v>
      </c>
      <c r="AJ1802" s="9">
        <v>3.0428788910505911</v>
      </c>
    </row>
    <row r="1803" spans="1:36" x14ac:dyDescent="0.25">
      <c r="A1803" t="s">
        <v>5411</v>
      </c>
      <c r="B1803" t="s">
        <v>16</v>
      </c>
      <c r="C1803" t="s">
        <v>17</v>
      </c>
      <c r="D1803">
        <v>39670000</v>
      </c>
      <c r="E1803">
        <v>39677999</v>
      </c>
      <c r="F1803" t="s">
        <v>1619</v>
      </c>
      <c r="G1803" t="str">
        <f t="shared" si="56"/>
        <v>MGI II</v>
      </c>
      <c r="H1803" t="s">
        <v>851</v>
      </c>
      <c r="I1803" t="s">
        <v>20</v>
      </c>
      <c r="J1803" t="s">
        <v>64</v>
      </c>
      <c r="K1803" s="6">
        <v>0.03</v>
      </c>
      <c r="L1803" s="7">
        <f t="shared" si="57"/>
        <v>2E-3</v>
      </c>
      <c r="M1803" s="7">
        <v>3.0000000000000001E-3</v>
      </c>
      <c r="N1803">
        <v>8</v>
      </c>
      <c r="O1803" s="8">
        <v>17.822306426995311</v>
      </c>
      <c r="P1803" s="9">
        <v>17.822306426995311</v>
      </c>
      <c r="Q1803" s="9">
        <v>17.822306426995311</v>
      </c>
      <c r="R1803" s="9">
        <v>18.237663306594719</v>
      </c>
      <c r="S1803" s="9">
        <v>18.48712920931133</v>
      </c>
      <c r="T1803" s="9">
        <v>19.201553596969877</v>
      </c>
      <c r="U1803" s="9">
        <v>20.562345482855957</v>
      </c>
      <c r="V1803" s="9">
        <v>20.562345482855957</v>
      </c>
      <c r="W1803" s="9">
        <v>20.562345482855957</v>
      </c>
      <c r="X1803" s="9">
        <v>22.391977691000818</v>
      </c>
      <c r="Y1803" s="9">
        <v>22.391977691000818</v>
      </c>
      <c r="Z1803" s="9">
        <v>24.28858708803979</v>
      </c>
      <c r="AA1803" s="9">
        <v>24.28858708803979</v>
      </c>
      <c r="AB1803" s="9">
        <v>25.117335532005217</v>
      </c>
      <c r="AC1803" s="9">
        <v>25.117335532005217</v>
      </c>
      <c r="AD1803" s="9">
        <v>29.039116491286865</v>
      </c>
      <c r="AE1803" s="9">
        <v>31.219251037281825</v>
      </c>
      <c r="AF1803" s="9">
        <v>33.487682081707895</v>
      </c>
      <c r="AG1803" s="9">
        <v>33.487682081707895</v>
      </c>
      <c r="AH1803" s="9">
        <v>36.427668170967245</v>
      </c>
      <c r="AI1803" s="9">
        <v>38.74455996597662</v>
      </c>
      <c r="AJ1803" s="9">
        <v>3.0428788910505911</v>
      </c>
    </row>
    <row r="1804" spans="1:36" x14ac:dyDescent="0.25">
      <c r="A1804" t="s">
        <v>5411</v>
      </c>
      <c r="B1804" t="s">
        <v>16</v>
      </c>
      <c r="C1804" t="s">
        <v>17</v>
      </c>
      <c r="D1804">
        <v>39678000</v>
      </c>
      <c r="E1804">
        <v>39679999</v>
      </c>
      <c r="F1804" t="s">
        <v>1620</v>
      </c>
      <c r="G1804" t="str">
        <f t="shared" si="56"/>
        <v>MGI II</v>
      </c>
      <c r="H1804" t="s">
        <v>851</v>
      </c>
      <c r="I1804" t="s">
        <v>20</v>
      </c>
      <c r="J1804" t="s">
        <v>64</v>
      </c>
      <c r="K1804" s="6">
        <v>0.03</v>
      </c>
      <c r="L1804" s="7">
        <f t="shared" si="57"/>
        <v>2E-3</v>
      </c>
      <c r="M1804" s="7">
        <v>3.0000000000000001E-3</v>
      </c>
      <c r="N1804">
        <v>8</v>
      </c>
      <c r="O1804" s="8">
        <v>17.822306426995311</v>
      </c>
      <c r="P1804" s="9">
        <v>17.822306426995311</v>
      </c>
      <c r="Q1804" s="9">
        <v>17.822306426995311</v>
      </c>
      <c r="R1804" s="9">
        <v>18.237663306594719</v>
      </c>
      <c r="S1804" s="9">
        <v>18.48712920931133</v>
      </c>
      <c r="T1804" s="9">
        <v>19.201553596969877</v>
      </c>
      <c r="U1804" s="9">
        <v>20.562345482855957</v>
      </c>
      <c r="V1804" s="9">
        <v>20.562345482855957</v>
      </c>
      <c r="W1804" s="9">
        <v>20.562345482855957</v>
      </c>
      <c r="X1804" s="9">
        <v>22.391977691000818</v>
      </c>
      <c r="Y1804" s="9">
        <v>22.391977691000818</v>
      </c>
      <c r="Z1804" s="9">
        <v>24.28858708803979</v>
      </c>
      <c r="AA1804" s="9">
        <v>24.28858708803979</v>
      </c>
      <c r="AB1804" s="9">
        <v>25.117335532005217</v>
      </c>
      <c r="AC1804" s="9">
        <v>25.117335532005217</v>
      </c>
      <c r="AD1804" s="9">
        <v>29.039116491286865</v>
      </c>
      <c r="AE1804" s="9">
        <v>31.219251037281825</v>
      </c>
      <c r="AF1804" s="9">
        <v>33.487682081707895</v>
      </c>
      <c r="AG1804" s="9">
        <v>33.487682081707895</v>
      </c>
      <c r="AH1804" s="9">
        <v>36.427668170967245</v>
      </c>
      <c r="AI1804" s="9">
        <v>38.74455996597662</v>
      </c>
      <c r="AJ1804" s="9">
        <v>3.0428788910505911</v>
      </c>
    </row>
    <row r="1805" spans="1:36" x14ac:dyDescent="0.25">
      <c r="A1805" t="s">
        <v>5411</v>
      </c>
      <c r="B1805" t="s">
        <v>16</v>
      </c>
      <c r="C1805" t="s">
        <v>17</v>
      </c>
      <c r="D1805">
        <v>39680000</v>
      </c>
      <c r="E1805">
        <v>39684999</v>
      </c>
      <c r="F1805" t="s">
        <v>1621</v>
      </c>
      <c r="G1805" t="str">
        <f t="shared" si="56"/>
        <v>MGI II</v>
      </c>
      <c r="H1805" t="s">
        <v>851</v>
      </c>
      <c r="I1805" t="s">
        <v>20</v>
      </c>
      <c r="J1805" t="s">
        <v>64</v>
      </c>
      <c r="K1805" s="6">
        <v>0.03</v>
      </c>
      <c r="L1805" s="7">
        <f t="shared" si="57"/>
        <v>2E-3</v>
      </c>
      <c r="M1805" s="7">
        <v>3.0000000000000001E-3</v>
      </c>
      <c r="N1805">
        <v>7</v>
      </c>
      <c r="O1805" s="8">
        <v>17.822306426995311</v>
      </c>
      <c r="P1805" s="9">
        <v>17.822306426995311</v>
      </c>
      <c r="Q1805" s="9">
        <v>17.822306426995311</v>
      </c>
      <c r="R1805" s="9">
        <v>18.237663306594719</v>
      </c>
      <c r="S1805" s="9">
        <v>18.48712920931133</v>
      </c>
      <c r="T1805" s="9">
        <v>19.201553596969877</v>
      </c>
      <c r="U1805" s="9">
        <v>20.562345482855957</v>
      </c>
      <c r="V1805" s="9">
        <v>20.562345482855957</v>
      </c>
      <c r="W1805" s="9">
        <v>20.562345482855957</v>
      </c>
      <c r="X1805" s="9">
        <v>22.391977691000818</v>
      </c>
      <c r="Y1805" s="9">
        <v>22.391977691000818</v>
      </c>
      <c r="Z1805" s="9">
        <v>24.28858708803979</v>
      </c>
      <c r="AA1805" s="9">
        <v>24.28858708803979</v>
      </c>
      <c r="AB1805" s="9">
        <v>25.117335532005217</v>
      </c>
      <c r="AC1805" s="9">
        <v>25.117335532005217</v>
      </c>
      <c r="AD1805" s="9">
        <v>29.039116491286865</v>
      </c>
      <c r="AE1805" s="9">
        <v>31.219251037281825</v>
      </c>
      <c r="AF1805" s="9">
        <v>33.487682081707895</v>
      </c>
      <c r="AG1805" s="9">
        <v>33.487682081707895</v>
      </c>
      <c r="AH1805" s="9">
        <v>36.427668170967245</v>
      </c>
      <c r="AI1805" s="9">
        <v>38.74455996597662</v>
      </c>
      <c r="AJ1805" s="9">
        <v>3.0428788910505911</v>
      </c>
    </row>
    <row r="1806" spans="1:36" x14ac:dyDescent="0.25">
      <c r="A1806" t="s">
        <v>5411</v>
      </c>
      <c r="B1806" t="s">
        <v>16</v>
      </c>
      <c r="C1806" t="s">
        <v>17</v>
      </c>
      <c r="D1806">
        <v>39685000</v>
      </c>
      <c r="E1806">
        <v>39687999</v>
      </c>
      <c r="F1806" t="s">
        <v>1622</v>
      </c>
      <c r="G1806" t="str">
        <f t="shared" si="56"/>
        <v>MGI II</v>
      </c>
      <c r="H1806" t="s">
        <v>851</v>
      </c>
      <c r="I1806" t="s">
        <v>20</v>
      </c>
      <c r="J1806" t="s">
        <v>64</v>
      </c>
      <c r="K1806" s="6">
        <v>0.03</v>
      </c>
      <c r="L1806" s="7">
        <f t="shared" si="57"/>
        <v>2E-3</v>
      </c>
      <c r="M1806" s="7">
        <v>3.0000000000000001E-3</v>
      </c>
      <c r="N1806">
        <v>8</v>
      </c>
      <c r="O1806" s="8">
        <v>17.822306426995311</v>
      </c>
      <c r="P1806" s="9">
        <v>17.822306426995311</v>
      </c>
      <c r="Q1806" s="9">
        <v>17.822306426995311</v>
      </c>
      <c r="R1806" s="9">
        <v>18.237663306594719</v>
      </c>
      <c r="S1806" s="9">
        <v>18.48712920931133</v>
      </c>
      <c r="T1806" s="9">
        <v>19.201553596969877</v>
      </c>
      <c r="U1806" s="9">
        <v>20.562345482855957</v>
      </c>
      <c r="V1806" s="9">
        <v>20.562345482855957</v>
      </c>
      <c r="W1806" s="9">
        <v>20.562345482855957</v>
      </c>
      <c r="X1806" s="9">
        <v>22.391977691000818</v>
      </c>
      <c r="Y1806" s="9">
        <v>22.391977691000818</v>
      </c>
      <c r="Z1806" s="9">
        <v>24.28858708803979</v>
      </c>
      <c r="AA1806" s="9">
        <v>24.28858708803979</v>
      </c>
      <c r="AB1806" s="9">
        <v>25.117335532005217</v>
      </c>
      <c r="AC1806" s="9">
        <v>25.117335532005217</v>
      </c>
      <c r="AD1806" s="9">
        <v>29.039116491286865</v>
      </c>
      <c r="AE1806" s="9">
        <v>31.219251037281825</v>
      </c>
      <c r="AF1806" s="9">
        <v>33.487682081707895</v>
      </c>
      <c r="AG1806" s="9">
        <v>33.487682081707895</v>
      </c>
      <c r="AH1806" s="9">
        <v>36.427668170967245</v>
      </c>
      <c r="AI1806" s="9">
        <v>38.74455996597662</v>
      </c>
      <c r="AJ1806" s="9">
        <v>3.0428788910505911</v>
      </c>
    </row>
    <row r="1807" spans="1:36" x14ac:dyDescent="0.25">
      <c r="A1807" t="s">
        <v>5411</v>
      </c>
      <c r="B1807" t="s">
        <v>16</v>
      </c>
      <c r="C1807" t="s">
        <v>17</v>
      </c>
      <c r="D1807">
        <v>39688000</v>
      </c>
      <c r="E1807">
        <v>39689999</v>
      </c>
      <c r="F1807" t="s">
        <v>1623</v>
      </c>
      <c r="G1807" t="str">
        <f t="shared" si="56"/>
        <v>MGI II</v>
      </c>
      <c r="H1807" t="s">
        <v>851</v>
      </c>
      <c r="I1807" t="s">
        <v>20</v>
      </c>
      <c r="J1807" t="s">
        <v>64</v>
      </c>
      <c r="K1807" s="6">
        <v>0.03</v>
      </c>
      <c r="L1807" s="7">
        <f t="shared" si="57"/>
        <v>2E-3</v>
      </c>
      <c r="M1807" s="7">
        <v>3.0000000000000001E-3</v>
      </c>
      <c r="N1807">
        <v>8</v>
      </c>
      <c r="O1807" s="8">
        <v>17.822306426995311</v>
      </c>
      <c r="P1807" s="9">
        <v>17.822306426995311</v>
      </c>
      <c r="Q1807" s="9">
        <v>17.822306426995311</v>
      </c>
      <c r="R1807" s="9">
        <v>18.237663306594719</v>
      </c>
      <c r="S1807" s="9">
        <v>18.48712920931133</v>
      </c>
      <c r="T1807" s="9">
        <v>19.201553596969877</v>
      </c>
      <c r="U1807" s="9">
        <v>20.562345482855957</v>
      </c>
      <c r="V1807" s="9">
        <v>20.562345482855957</v>
      </c>
      <c r="W1807" s="9">
        <v>20.562345482855957</v>
      </c>
      <c r="X1807" s="9">
        <v>22.391977691000818</v>
      </c>
      <c r="Y1807" s="9">
        <v>22.391977691000818</v>
      </c>
      <c r="Z1807" s="9">
        <v>24.28858708803979</v>
      </c>
      <c r="AA1807" s="9">
        <v>24.28858708803979</v>
      </c>
      <c r="AB1807" s="9">
        <v>25.117335532005217</v>
      </c>
      <c r="AC1807" s="9">
        <v>25.117335532005217</v>
      </c>
      <c r="AD1807" s="9">
        <v>29.039116491286865</v>
      </c>
      <c r="AE1807" s="9">
        <v>31.219251037281825</v>
      </c>
      <c r="AF1807" s="9">
        <v>33.487682081707895</v>
      </c>
      <c r="AG1807" s="9">
        <v>33.487682081707895</v>
      </c>
      <c r="AH1807" s="9">
        <v>36.427668170967245</v>
      </c>
      <c r="AI1807" s="9">
        <v>38.74455996597662</v>
      </c>
      <c r="AJ1807" s="9">
        <v>3.0428788910505911</v>
      </c>
    </row>
    <row r="1808" spans="1:36" x14ac:dyDescent="0.25">
      <c r="A1808" t="s">
        <v>5411</v>
      </c>
      <c r="B1808" t="s">
        <v>16</v>
      </c>
      <c r="C1808" t="s">
        <v>17</v>
      </c>
      <c r="D1808">
        <v>39690000</v>
      </c>
      <c r="E1808">
        <v>39694999</v>
      </c>
      <c r="F1808" t="s">
        <v>1624</v>
      </c>
      <c r="G1808" t="str">
        <f t="shared" si="56"/>
        <v>MGI II</v>
      </c>
      <c r="H1808" t="s">
        <v>851</v>
      </c>
      <c r="I1808" t="s">
        <v>20</v>
      </c>
      <c r="J1808" t="s">
        <v>64</v>
      </c>
      <c r="K1808" s="6">
        <v>0.03</v>
      </c>
      <c r="L1808" s="7">
        <f t="shared" si="57"/>
        <v>2E-3</v>
      </c>
      <c r="M1808" s="7">
        <v>3.0000000000000001E-3</v>
      </c>
      <c r="N1808">
        <v>8</v>
      </c>
      <c r="O1808" s="8">
        <v>17.822306426995311</v>
      </c>
      <c r="P1808" s="9">
        <v>17.822306426995311</v>
      </c>
      <c r="Q1808" s="9">
        <v>17.822306426995311</v>
      </c>
      <c r="R1808" s="9">
        <v>18.237663306594719</v>
      </c>
      <c r="S1808" s="9">
        <v>18.48712920931133</v>
      </c>
      <c r="T1808" s="9">
        <v>19.201553596969877</v>
      </c>
      <c r="U1808" s="9">
        <v>20.562345482855957</v>
      </c>
      <c r="V1808" s="9">
        <v>20.562345482855957</v>
      </c>
      <c r="W1808" s="9">
        <v>20.562345482855957</v>
      </c>
      <c r="X1808" s="9">
        <v>22.391977691000818</v>
      </c>
      <c r="Y1808" s="9">
        <v>22.391977691000818</v>
      </c>
      <c r="Z1808" s="9">
        <v>24.28858708803979</v>
      </c>
      <c r="AA1808" s="9">
        <v>24.28858708803979</v>
      </c>
      <c r="AB1808" s="9">
        <v>25.117335532005217</v>
      </c>
      <c r="AC1808" s="9">
        <v>25.117335532005217</v>
      </c>
      <c r="AD1808" s="9">
        <v>29.039116491286865</v>
      </c>
      <c r="AE1808" s="9">
        <v>31.219251037281825</v>
      </c>
      <c r="AF1808" s="9">
        <v>33.487682081707895</v>
      </c>
      <c r="AG1808" s="9">
        <v>33.487682081707895</v>
      </c>
      <c r="AH1808" s="9">
        <v>36.427668170967245</v>
      </c>
      <c r="AI1808" s="9">
        <v>38.74455996597662</v>
      </c>
      <c r="AJ1808" s="9">
        <v>3.0428788910505911</v>
      </c>
    </row>
    <row r="1809" spans="1:36" x14ac:dyDescent="0.25">
      <c r="A1809" t="s">
        <v>5411</v>
      </c>
      <c r="B1809" t="s">
        <v>16</v>
      </c>
      <c r="C1809" t="s">
        <v>17</v>
      </c>
      <c r="D1809">
        <v>39695000</v>
      </c>
      <c r="E1809">
        <v>39699999</v>
      </c>
      <c r="F1809" t="s">
        <v>1625</v>
      </c>
      <c r="G1809" t="str">
        <f t="shared" si="56"/>
        <v>MGI II</v>
      </c>
      <c r="H1809" t="s">
        <v>851</v>
      </c>
      <c r="I1809" t="s">
        <v>20</v>
      </c>
      <c r="J1809" t="s">
        <v>64</v>
      </c>
      <c r="K1809" s="6">
        <v>0.03</v>
      </c>
      <c r="L1809" s="7">
        <f t="shared" si="57"/>
        <v>2E-3</v>
      </c>
      <c r="M1809" s="7">
        <v>3.0000000000000001E-3</v>
      </c>
      <c r="N1809">
        <v>8</v>
      </c>
      <c r="O1809" s="8">
        <v>17.822306426995311</v>
      </c>
      <c r="P1809" s="9">
        <v>17.822306426995311</v>
      </c>
      <c r="Q1809" s="9">
        <v>17.822306426995311</v>
      </c>
      <c r="R1809" s="9">
        <v>18.237663306594719</v>
      </c>
      <c r="S1809" s="9">
        <v>18.48712920931133</v>
      </c>
      <c r="T1809" s="9">
        <v>19.201553596969877</v>
      </c>
      <c r="U1809" s="9">
        <v>20.562345482855957</v>
      </c>
      <c r="V1809" s="9">
        <v>20.562345482855957</v>
      </c>
      <c r="W1809" s="9">
        <v>20.562345482855957</v>
      </c>
      <c r="X1809" s="9">
        <v>22.391977691000818</v>
      </c>
      <c r="Y1809" s="9">
        <v>22.391977691000818</v>
      </c>
      <c r="Z1809" s="9">
        <v>24.28858708803979</v>
      </c>
      <c r="AA1809" s="9">
        <v>24.28858708803979</v>
      </c>
      <c r="AB1809" s="9">
        <v>25.117335532005217</v>
      </c>
      <c r="AC1809" s="9">
        <v>25.117335532005217</v>
      </c>
      <c r="AD1809" s="9">
        <v>29.039116491286865</v>
      </c>
      <c r="AE1809" s="9">
        <v>31.219251037281825</v>
      </c>
      <c r="AF1809" s="9">
        <v>33.487682081707895</v>
      </c>
      <c r="AG1809" s="9">
        <v>33.487682081707895</v>
      </c>
      <c r="AH1809" s="9">
        <v>36.427668170967245</v>
      </c>
      <c r="AI1809" s="9">
        <v>38.74455996597662</v>
      </c>
      <c r="AJ1809" s="9">
        <v>3.0428788910505911</v>
      </c>
    </row>
    <row r="1810" spans="1:36" x14ac:dyDescent="0.25">
      <c r="A1810" t="s">
        <v>5411</v>
      </c>
      <c r="B1810" t="s">
        <v>16</v>
      </c>
      <c r="C1810" t="s">
        <v>17</v>
      </c>
      <c r="D1810">
        <v>39700000</v>
      </c>
      <c r="E1810">
        <v>39702999</v>
      </c>
      <c r="F1810" t="s">
        <v>1626</v>
      </c>
      <c r="G1810" t="str">
        <f t="shared" si="56"/>
        <v>MGI II</v>
      </c>
      <c r="H1810" t="s">
        <v>851</v>
      </c>
      <c r="I1810" t="s">
        <v>20</v>
      </c>
      <c r="J1810" t="s">
        <v>64</v>
      </c>
      <c r="K1810" s="6">
        <v>0.03</v>
      </c>
      <c r="L1810" s="7">
        <f t="shared" si="57"/>
        <v>2E-3</v>
      </c>
      <c r="M1810" s="7">
        <v>3.0000000000000001E-3</v>
      </c>
      <c r="N1810">
        <v>8</v>
      </c>
      <c r="O1810" s="8">
        <v>17.822306426995311</v>
      </c>
      <c r="P1810" s="9">
        <v>17.822306426995311</v>
      </c>
      <c r="Q1810" s="9">
        <v>17.822306426995311</v>
      </c>
      <c r="R1810" s="9">
        <v>18.237663306594719</v>
      </c>
      <c r="S1810" s="9">
        <v>18.48712920931133</v>
      </c>
      <c r="T1810" s="9">
        <v>19.201553596969877</v>
      </c>
      <c r="U1810" s="9">
        <v>20.562345482855957</v>
      </c>
      <c r="V1810" s="9">
        <v>20.562345482855957</v>
      </c>
      <c r="W1810" s="9">
        <v>20.562345482855957</v>
      </c>
      <c r="X1810" s="9">
        <v>22.391977691000818</v>
      </c>
      <c r="Y1810" s="9">
        <v>22.391977691000818</v>
      </c>
      <c r="Z1810" s="9">
        <v>24.28858708803979</v>
      </c>
      <c r="AA1810" s="9">
        <v>24.28858708803979</v>
      </c>
      <c r="AB1810" s="9">
        <v>25.117335532005217</v>
      </c>
      <c r="AC1810" s="9">
        <v>25.117335532005217</v>
      </c>
      <c r="AD1810" s="9">
        <v>29.039116491286865</v>
      </c>
      <c r="AE1810" s="9">
        <v>31.219251037281825</v>
      </c>
      <c r="AF1810" s="9">
        <v>33.487682081707895</v>
      </c>
      <c r="AG1810" s="9">
        <v>33.487682081707895</v>
      </c>
      <c r="AH1810" s="9">
        <v>36.427668170967245</v>
      </c>
      <c r="AI1810" s="9">
        <v>38.74455996597662</v>
      </c>
      <c r="AJ1810" s="9">
        <v>3.0428788910505911</v>
      </c>
    </row>
    <row r="1811" spans="1:36" x14ac:dyDescent="0.25">
      <c r="A1811" t="s">
        <v>5411</v>
      </c>
      <c r="B1811" t="s">
        <v>16</v>
      </c>
      <c r="C1811" t="s">
        <v>17</v>
      </c>
      <c r="D1811">
        <v>39703000</v>
      </c>
      <c r="E1811">
        <v>39703999</v>
      </c>
      <c r="F1811" t="s">
        <v>1627</v>
      </c>
      <c r="G1811" t="str">
        <f t="shared" si="56"/>
        <v>MGI II</v>
      </c>
      <c r="H1811" t="s">
        <v>851</v>
      </c>
      <c r="I1811" t="s">
        <v>20</v>
      </c>
      <c r="J1811" t="s">
        <v>64</v>
      </c>
      <c r="K1811" s="6">
        <v>0.03</v>
      </c>
      <c r="L1811" s="7">
        <f t="shared" si="57"/>
        <v>2E-3</v>
      </c>
      <c r="M1811" s="7">
        <v>3.0000000000000001E-3</v>
      </c>
      <c r="N1811">
        <v>8</v>
      </c>
      <c r="O1811" s="8">
        <v>17.822306426995311</v>
      </c>
      <c r="P1811" s="9">
        <v>17.822306426995311</v>
      </c>
      <c r="Q1811" s="9">
        <v>17.822306426995311</v>
      </c>
      <c r="R1811" s="9">
        <v>18.237663306594719</v>
      </c>
      <c r="S1811" s="9">
        <v>18.48712920931133</v>
      </c>
      <c r="T1811" s="9">
        <v>19.201553596969877</v>
      </c>
      <c r="U1811" s="9">
        <v>20.562345482855957</v>
      </c>
      <c r="V1811" s="9">
        <v>20.562345482855957</v>
      </c>
      <c r="W1811" s="9">
        <v>20.562345482855957</v>
      </c>
      <c r="X1811" s="9">
        <v>22.391977691000818</v>
      </c>
      <c r="Y1811" s="9">
        <v>22.391977691000818</v>
      </c>
      <c r="Z1811" s="9">
        <v>24.28858708803979</v>
      </c>
      <c r="AA1811" s="9">
        <v>24.28858708803979</v>
      </c>
      <c r="AB1811" s="9">
        <v>25.117335532005217</v>
      </c>
      <c r="AC1811" s="9">
        <v>25.117335532005217</v>
      </c>
      <c r="AD1811" s="9">
        <v>29.039116491286865</v>
      </c>
      <c r="AE1811" s="9">
        <v>31.219251037281825</v>
      </c>
      <c r="AF1811" s="9">
        <v>33.487682081707895</v>
      </c>
      <c r="AG1811" s="9">
        <v>33.487682081707895</v>
      </c>
      <c r="AH1811" s="9">
        <v>36.427668170967245</v>
      </c>
      <c r="AI1811" s="9">
        <v>38.74455996597662</v>
      </c>
      <c r="AJ1811" s="9">
        <v>3.0428788910505911</v>
      </c>
    </row>
    <row r="1812" spans="1:36" x14ac:dyDescent="0.25">
      <c r="A1812" t="s">
        <v>5411</v>
      </c>
      <c r="B1812" t="s">
        <v>16</v>
      </c>
      <c r="C1812" t="s">
        <v>17</v>
      </c>
      <c r="D1812">
        <v>39704000</v>
      </c>
      <c r="E1812">
        <v>39706999</v>
      </c>
      <c r="F1812" t="s">
        <v>1628</v>
      </c>
      <c r="G1812" t="str">
        <f t="shared" si="56"/>
        <v>MGI II</v>
      </c>
      <c r="H1812" t="s">
        <v>851</v>
      </c>
      <c r="I1812" t="s">
        <v>20</v>
      </c>
      <c r="J1812" t="s">
        <v>64</v>
      </c>
      <c r="K1812" s="6">
        <v>0.03</v>
      </c>
      <c r="L1812" s="7">
        <f t="shared" si="57"/>
        <v>2E-3</v>
      </c>
      <c r="M1812" s="7">
        <v>3.0000000000000001E-3</v>
      </c>
      <c r="N1812">
        <v>8</v>
      </c>
      <c r="O1812" s="8">
        <v>17.822306426995311</v>
      </c>
      <c r="P1812" s="9">
        <v>17.822306426995311</v>
      </c>
      <c r="Q1812" s="9">
        <v>17.822306426995311</v>
      </c>
      <c r="R1812" s="9">
        <v>18.237663306594719</v>
      </c>
      <c r="S1812" s="9">
        <v>18.48712920931133</v>
      </c>
      <c r="T1812" s="9">
        <v>19.201553596969877</v>
      </c>
      <c r="U1812" s="9">
        <v>20.562345482855957</v>
      </c>
      <c r="V1812" s="9">
        <v>20.562345482855957</v>
      </c>
      <c r="W1812" s="9">
        <v>20.562345482855957</v>
      </c>
      <c r="X1812" s="9">
        <v>22.391977691000818</v>
      </c>
      <c r="Y1812" s="9">
        <v>22.391977691000818</v>
      </c>
      <c r="Z1812" s="9">
        <v>24.28858708803979</v>
      </c>
      <c r="AA1812" s="9">
        <v>24.28858708803979</v>
      </c>
      <c r="AB1812" s="9">
        <v>25.117335532005217</v>
      </c>
      <c r="AC1812" s="9">
        <v>25.117335532005217</v>
      </c>
      <c r="AD1812" s="9">
        <v>29.039116491286865</v>
      </c>
      <c r="AE1812" s="9">
        <v>31.219251037281825</v>
      </c>
      <c r="AF1812" s="9">
        <v>33.487682081707895</v>
      </c>
      <c r="AG1812" s="9">
        <v>33.487682081707895</v>
      </c>
      <c r="AH1812" s="9">
        <v>36.427668170967245</v>
      </c>
      <c r="AI1812" s="9">
        <v>38.74455996597662</v>
      </c>
      <c r="AJ1812" s="9">
        <v>3.0428788910505911</v>
      </c>
    </row>
    <row r="1813" spans="1:36" x14ac:dyDescent="0.25">
      <c r="A1813" t="s">
        <v>5411</v>
      </c>
      <c r="B1813" t="s">
        <v>16</v>
      </c>
      <c r="C1813" t="s">
        <v>17</v>
      </c>
      <c r="D1813">
        <v>39707000</v>
      </c>
      <c r="E1813">
        <v>39707999</v>
      </c>
      <c r="F1813" t="s">
        <v>1629</v>
      </c>
      <c r="G1813" t="str">
        <f t="shared" si="56"/>
        <v>MGI II</v>
      </c>
      <c r="H1813" t="s">
        <v>851</v>
      </c>
      <c r="I1813" t="s">
        <v>20</v>
      </c>
      <c r="J1813" t="s">
        <v>64</v>
      </c>
      <c r="K1813" s="6">
        <v>0.03</v>
      </c>
      <c r="L1813" s="7">
        <f t="shared" si="57"/>
        <v>2E-3</v>
      </c>
      <c r="M1813" s="7">
        <v>3.0000000000000001E-3</v>
      </c>
      <c r="N1813">
        <v>8</v>
      </c>
      <c r="O1813" s="8">
        <v>17.822306426995311</v>
      </c>
      <c r="P1813" s="9">
        <v>17.822306426995311</v>
      </c>
      <c r="Q1813" s="9">
        <v>17.822306426995311</v>
      </c>
      <c r="R1813" s="9">
        <v>18.237663306594719</v>
      </c>
      <c r="S1813" s="9">
        <v>18.48712920931133</v>
      </c>
      <c r="T1813" s="9">
        <v>19.201553596969877</v>
      </c>
      <c r="U1813" s="9">
        <v>20.562345482855957</v>
      </c>
      <c r="V1813" s="9">
        <v>20.562345482855957</v>
      </c>
      <c r="W1813" s="9">
        <v>20.562345482855957</v>
      </c>
      <c r="X1813" s="9">
        <v>22.391977691000818</v>
      </c>
      <c r="Y1813" s="9">
        <v>22.391977691000818</v>
      </c>
      <c r="Z1813" s="9">
        <v>24.28858708803979</v>
      </c>
      <c r="AA1813" s="9">
        <v>24.28858708803979</v>
      </c>
      <c r="AB1813" s="9">
        <v>25.117335532005217</v>
      </c>
      <c r="AC1813" s="9">
        <v>25.117335532005217</v>
      </c>
      <c r="AD1813" s="9">
        <v>29.039116491286865</v>
      </c>
      <c r="AE1813" s="9">
        <v>31.219251037281825</v>
      </c>
      <c r="AF1813" s="9">
        <v>33.487682081707895</v>
      </c>
      <c r="AG1813" s="9">
        <v>33.487682081707895</v>
      </c>
      <c r="AH1813" s="9">
        <v>36.427668170967245</v>
      </c>
      <c r="AI1813" s="9">
        <v>38.74455996597662</v>
      </c>
      <c r="AJ1813" s="9">
        <v>3.0428788910505911</v>
      </c>
    </row>
    <row r="1814" spans="1:36" x14ac:dyDescent="0.25">
      <c r="A1814" t="s">
        <v>5411</v>
      </c>
      <c r="B1814" t="s">
        <v>16</v>
      </c>
      <c r="C1814" t="s">
        <v>17</v>
      </c>
      <c r="D1814">
        <v>39708000</v>
      </c>
      <c r="E1814">
        <v>39709999</v>
      </c>
      <c r="F1814" t="s">
        <v>1630</v>
      </c>
      <c r="G1814" t="str">
        <f t="shared" si="56"/>
        <v>MGI II</v>
      </c>
      <c r="H1814" t="s">
        <v>851</v>
      </c>
      <c r="I1814" t="s">
        <v>20</v>
      </c>
      <c r="J1814" t="s">
        <v>64</v>
      </c>
      <c r="K1814" s="6">
        <v>0.03</v>
      </c>
      <c r="L1814" s="7">
        <f t="shared" si="57"/>
        <v>2E-3</v>
      </c>
      <c r="M1814" s="7">
        <v>3.0000000000000001E-3</v>
      </c>
      <c r="N1814">
        <v>8</v>
      </c>
      <c r="O1814" s="8">
        <v>17.822306426995311</v>
      </c>
      <c r="P1814" s="9">
        <v>17.822306426995311</v>
      </c>
      <c r="Q1814" s="9">
        <v>17.822306426995311</v>
      </c>
      <c r="R1814" s="9">
        <v>18.237663306594719</v>
      </c>
      <c r="S1814" s="9">
        <v>18.48712920931133</v>
      </c>
      <c r="T1814" s="9">
        <v>19.201553596969877</v>
      </c>
      <c r="U1814" s="9">
        <v>20.562345482855957</v>
      </c>
      <c r="V1814" s="9">
        <v>20.562345482855957</v>
      </c>
      <c r="W1814" s="9">
        <v>20.562345482855957</v>
      </c>
      <c r="X1814" s="9">
        <v>22.391977691000818</v>
      </c>
      <c r="Y1814" s="9">
        <v>22.391977691000818</v>
      </c>
      <c r="Z1814" s="9">
        <v>24.28858708803979</v>
      </c>
      <c r="AA1814" s="9">
        <v>24.28858708803979</v>
      </c>
      <c r="AB1814" s="9">
        <v>25.117335532005217</v>
      </c>
      <c r="AC1814" s="9">
        <v>25.117335532005217</v>
      </c>
      <c r="AD1814" s="9">
        <v>29.039116491286865</v>
      </c>
      <c r="AE1814" s="9">
        <v>31.219251037281825</v>
      </c>
      <c r="AF1814" s="9">
        <v>33.487682081707895</v>
      </c>
      <c r="AG1814" s="9">
        <v>33.487682081707895</v>
      </c>
      <c r="AH1814" s="9">
        <v>36.427668170967245</v>
      </c>
      <c r="AI1814" s="9">
        <v>38.74455996597662</v>
      </c>
      <c r="AJ1814" s="9">
        <v>3.0428788910505911</v>
      </c>
    </row>
    <row r="1815" spans="1:36" x14ac:dyDescent="0.25">
      <c r="A1815" t="s">
        <v>5411</v>
      </c>
      <c r="B1815" t="s">
        <v>16</v>
      </c>
      <c r="C1815" t="s">
        <v>17</v>
      </c>
      <c r="D1815">
        <v>39710000</v>
      </c>
      <c r="E1815">
        <v>39714999</v>
      </c>
      <c r="F1815" t="s">
        <v>1631</v>
      </c>
      <c r="G1815" t="str">
        <f t="shared" si="56"/>
        <v>MGI II</v>
      </c>
      <c r="H1815" t="s">
        <v>851</v>
      </c>
      <c r="I1815" t="s">
        <v>20</v>
      </c>
      <c r="J1815" t="s">
        <v>64</v>
      </c>
      <c r="K1815" s="6">
        <v>0.03</v>
      </c>
      <c r="L1815" s="7">
        <f t="shared" si="57"/>
        <v>2E-3</v>
      </c>
      <c r="M1815" s="7">
        <v>3.0000000000000001E-3</v>
      </c>
      <c r="N1815">
        <v>8</v>
      </c>
      <c r="O1815" s="8">
        <v>17.822306426995311</v>
      </c>
      <c r="P1815" s="9">
        <v>17.822306426995311</v>
      </c>
      <c r="Q1815" s="9">
        <v>17.822306426995311</v>
      </c>
      <c r="R1815" s="9">
        <v>18.237663306594719</v>
      </c>
      <c r="S1815" s="9">
        <v>18.48712920931133</v>
      </c>
      <c r="T1815" s="9">
        <v>19.201553596969877</v>
      </c>
      <c r="U1815" s="9">
        <v>20.562345482855957</v>
      </c>
      <c r="V1815" s="9">
        <v>20.562345482855957</v>
      </c>
      <c r="W1815" s="9">
        <v>20.562345482855957</v>
      </c>
      <c r="X1815" s="9">
        <v>22.391977691000818</v>
      </c>
      <c r="Y1815" s="9">
        <v>22.391977691000818</v>
      </c>
      <c r="Z1815" s="9">
        <v>24.28858708803979</v>
      </c>
      <c r="AA1815" s="9">
        <v>24.28858708803979</v>
      </c>
      <c r="AB1815" s="9">
        <v>25.117335532005217</v>
      </c>
      <c r="AC1815" s="9">
        <v>25.117335532005217</v>
      </c>
      <c r="AD1815" s="9">
        <v>29.039116491286865</v>
      </c>
      <c r="AE1815" s="9">
        <v>31.219251037281825</v>
      </c>
      <c r="AF1815" s="9">
        <v>33.487682081707895</v>
      </c>
      <c r="AG1815" s="9">
        <v>33.487682081707895</v>
      </c>
      <c r="AH1815" s="9">
        <v>36.427668170967245</v>
      </c>
      <c r="AI1815" s="9">
        <v>38.74455996597662</v>
      </c>
      <c r="AJ1815" s="9">
        <v>3.0428788910505911</v>
      </c>
    </row>
    <row r="1816" spans="1:36" x14ac:dyDescent="0.25">
      <c r="A1816" t="s">
        <v>5411</v>
      </c>
      <c r="B1816" t="s">
        <v>16</v>
      </c>
      <c r="C1816" t="s">
        <v>17</v>
      </c>
      <c r="D1816">
        <v>39715000</v>
      </c>
      <c r="E1816">
        <v>39717999</v>
      </c>
      <c r="F1816" t="s">
        <v>1632</v>
      </c>
      <c r="G1816" t="str">
        <f t="shared" si="56"/>
        <v>MGI II</v>
      </c>
      <c r="H1816" t="s">
        <v>851</v>
      </c>
      <c r="I1816" t="s">
        <v>20</v>
      </c>
      <c r="J1816" t="s">
        <v>64</v>
      </c>
      <c r="K1816" s="6">
        <v>0.03</v>
      </c>
      <c r="L1816" s="7">
        <f t="shared" si="57"/>
        <v>2E-3</v>
      </c>
      <c r="M1816" s="7">
        <v>3.0000000000000001E-3</v>
      </c>
      <c r="N1816">
        <v>8</v>
      </c>
      <c r="O1816" s="8">
        <v>17.822306426995311</v>
      </c>
      <c r="P1816" s="9">
        <v>17.822306426995311</v>
      </c>
      <c r="Q1816" s="9">
        <v>17.822306426995311</v>
      </c>
      <c r="R1816" s="9">
        <v>18.237663306594719</v>
      </c>
      <c r="S1816" s="9">
        <v>18.48712920931133</v>
      </c>
      <c r="T1816" s="9">
        <v>19.201553596969877</v>
      </c>
      <c r="U1816" s="9">
        <v>20.562345482855957</v>
      </c>
      <c r="V1816" s="9">
        <v>20.562345482855957</v>
      </c>
      <c r="W1816" s="9">
        <v>20.562345482855957</v>
      </c>
      <c r="X1816" s="9">
        <v>22.391977691000818</v>
      </c>
      <c r="Y1816" s="9">
        <v>22.391977691000818</v>
      </c>
      <c r="Z1816" s="9">
        <v>24.28858708803979</v>
      </c>
      <c r="AA1816" s="9">
        <v>24.28858708803979</v>
      </c>
      <c r="AB1816" s="9">
        <v>25.117335532005217</v>
      </c>
      <c r="AC1816" s="9">
        <v>25.117335532005217</v>
      </c>
      <c r="AD1816" s="9">
        <v>29.039116491286865</v>
      </c>
      <c r="AE1816" s="9">
        <v>31.219251037281825</v>
      </c>
      <c r="AF1816" s="9">
        <v>33.487682081707895</v>
      </c>
      <c r="AG1816" s="9">
        <v>33.487682081707895</v>
      </c>
      <c r="AH1816" s="9">
        <v>36.427668170967245</v>
      </c>
      <c r="AI1816" s="9">
        <v>38.74455996597662</v>
      </c>
      <c r="AJ1816" s="9">
        <v>3.0428788910505911</v>
      </c>
    </row>
    <row r="1817" spans="1:36" x14ac:dyDescent="0.25">
      <c r="A1817" t="s">
        <v>5411</v>
      </c>
      <c r="B1817" t="s">
        <v>16</v>
      </c>
      <c r="C1817" t="s">
        <v>17</v>
      </c>
      <c r="D1817">
        <v>39718000</v>
      </c>
      <c r="E1817">
        <v>39719999</v>
      </c>
      <c r="F1817" t="s">
        <v>1633</v>
      </c>
      <c r="G1817" t="str">
        <f t="shared" si="56"/>
        <v>MGI II</v>
      </c>
      <c r="H1817" t="s">
        <v>851</v>
      </c>
      <c r="I1817" t="s">
        <v>20</v>
      </c>
      <c r="J1817" t="s">
        <v>64</v>
      </c>
      <c r="K1817" s="6">
        <v>0.03</v>
      </c>
      <c r="L1817" s="7">
        <f t="shared" si="57"/>
        <v>2E-3</v>
      </c>
      <c r="M1817" s="7">
        <v>3.0000000000000001E-3</v>
      </c>
      <c r="N1817">
        <v>8</v>
      </c>
      <c r="O1817" s="8">
        <v>17.822306426995311</v>
      </c>
      <c r="P1817" s="9">
        <v>17.822306426995311</v>
      </c>
      <c r="Q1817" s="9">
        <v>17.822306426995311</v>
      </c>
      <c r="R1817" s="9">
        <v>18.237663306594719</v>
      </c>
      <c r="S1817" s="9">
        <v>18.48712920931133</v>
      </c>
      <c r="T1817" s="9">
        <v>19.201553596969877</v>
      </c>
      <c r="U1817" s="9">
        <v>20.562345482855957</v>
      </c>
      <c r="V1817" s="9">
        <v>20.562345482855957</v>
      </c>
      <c r="W1817" s="9">
        <v>20.562345482855957</v>
      </c>
      <c r="X1817" s="9">
        <v>22.391977691000818</v>
      </c>
      <c r="Y1817" s="9">
        <v>22.391977691000818</v>
      </c>
      <c r="Z1817" s="9">
        <v>24.28858708803979</v>
      </c>
      <c r="AA1817" s="9">
        <v>24.28858708803979</v>
      </c>
      <c r="AB1817" s="9">
        <v>25.117335532005217</v>
      </c>
      <c r="AC1817" s="9">
        <v>25.117335532005217</v>
      </c>
      <c r="AD1817" s="9">
        <v>29.039116491286865</v>
      </c>
      <c r="AE1817" s="9">
        <v>31.219251037281825</v>
      </c>
      <c r="AF1817" s="9">
        <v>33.487682081707895</v>
      </c>
      <c r="AG1817" s="9">
        <v>33.487682081707895</v>
      </c>
      <c r="AH1817" s="9">
        <v>36.427668170967245</v>
      </c>
      <c r="AI1817" s="9">
        <v>38.74455996597662</v>
      </c>
      <c r="AJ1817" s="9">
        <v>3.0428788910505911</v>
      </c>
    </row>
    <row r="1818" spans="1:36" x14ac:dyDescent="0.25">
      <c r="A1818" t="s">
        <v>5411</v>
      </c>
      <c r="B1818" t="s">
        <v>16</v>
      </c>
      <c r="C1818" t="s">
        <v>17</v>
      </c>
      <c r="D1818">
        <v>39720000</v>
      </c>
      <c r="E1818">
        <v>39722999</v>
      </c>
      <c r="F1818" t="s">
        <v>1634</v>
      </c>
      <c r="G1818" t="str">
        <f t="shared" si="56"/>
        <v>MGI II</v>
      </c>
      <c r="H1818" t="s">
        <v>851</v>
      </c>
      <c r="I1818" t="s">
        <v>20</v>
      </c>
      <c r="J1818" t="s">
        <v>64</v>
      </c>
      <c r="K1818" s="6">
        <v>0.03</v>
      </c>
      <c r="L1818" s="7">
        <f t="shared" si="57"/>
        <v>2E-3</v>
      </c>
      <c r="M1818" s="7">
        <v>3.0000000000000001E-3</v>
      </c>
      <c r="N1818">
        <v>8</v>
      </c>
      <c r="O1818" s="8">
        <v>17.822306426995311</v>
      </c>
      <c r="P1818" s="9">
        <v>17.822306426995311</v>
      </c>
      <c r="Q1818" s="9">
        <v>17.822306426995311</v>
      </c>
      <c r="R1818" s="9">
        <v>18.237663306594719</v>
      </c>
      <c r="S1818" s="9">
        <v>18.48712920931133</v>
      </c>
      <c r="T1818" s="9">
        <v>19.201553596969877</v>
      </c>
      <c r="U1818" s="9">
        <v>20.562345482855957</v>
      </c>
      <c r="V1818" s="9">
        <v>20.562345482855957</v>
      </c>
      <c r="W1818" s="9">
        <v>20.562345482855957</v>
      </c>
      <c r="X1818" s="9">
        <v>22.391977691000818</v>
      </c>
      <c r="Y1818" s="9">
        <v>22.391977691000818</v>
      </c>
      <c r="Z1818" s="9">
        <v>24.28858708803979</v>
      </c>
      <c r="AA1818" s="9">
        <v>24.28858708803979</v>
      </c>
      <c r="AB1818" s="9">
        <v>25.117335532005217</v>
      </c>
      <c r="AC1818" s="9">
        <v>25.117335532005217</v>
      </c>
      <c r="AD1818" s="9">
        <v>29.039116491286865</v>
      </c>
      <c r="AE1818" s="9">
        <v>31.219251037281825</v>
      </c>
      <c r="AF1818" s="9">
        <v>33.487682081707895</v>
      </c>
      <c r="AG1818" s="9">
        <v>33.487682081707895</v>
      </c>
      <c r="AH1818" s="9">
        <v>36.427668170967245</v>
      </c>
      <c r="AI1818" s="9">
        <v>38.74455996597662</v>
      </c>
      <c r="AJ1818" s="9">
        <v>3.0428788910505911</v>
      </c>
    </row>
    <row r="1819" spans="1:36" x14ac:dyDescent="0.25">
      <c r="A1819" t="s">
        <v>5411</v>
      </c>
      <c r="B1819" t="s">
        <v>16</v>
      </c>
      <c r="C1819" t="s">
        <v>17</v>
      </c>
      <c r="D1819">
        <v>39723000</v>
      </c>
      <c r="E1819">
        <v>39724999</v>
      </c>
      <c r="F1819" t="s">
        <v>1635</v>
      </c>
      <c r="G1819" t="str">
        <f t="shared" si="56"/>
        <v>MGI II</v>
      </c>
      <c r="H1819" t="s">
        <v>851</v>
      </c>
      <c r="I1819" t="s">
        <v>20</v>
      </c>
      <c r="J1819" t="s">
        <v>64</v>
      </c>
      <c r="K1819" s="6">
        <v>0.03</v>
      </c>
      <c r="L1819" s="7">
        <f t="shared" si="57"/>
        <v>2E-3</v>
      </c>
      <c r="M1819" s="7">
        <v>3.0000000000000001E-3</v>
      </c>
      <c r="N1819">
        <v>8</v>
      </c>
      <c r="O1819" s="8">
        <v>17.822306426995311</v>
      </c>
      <c r="P1819" s="9">
        <v>17.822306426995311</v>
      </c>
      <c r="Q1819" s="9">
        <v>17.822306426995311</v>
      </c>
      <c r="R1819" s="9">
        <v>18.237663306594719</v>
      </c>
      <c r="S1819" s="9">
        <v>18.48712920931133</v>
      </c>
      <c r="T1819" s="9">
        <v>19.201553596969877</v>
      </c>
      <c r="U1819" s="9">
        <v>20.562345482855957</v>
      </c>
      <c r="V1819" s="9">
        <v>20.562345482855957</v>
      </c>
      <c r="W1819" s="9">
        <v>20.562345482855957</v>
      </c>
      <c r="X1819" s="9">
        <v>22.391977691000818</v>
      </c>
      <c r="Y1819" s="9">
        <v>22.391977691000818</v>
      </c>
      <c r="Z1819" s="9">
        <v>24.28858708803979</v>
      </c>
      <c r="AA1819" s="9">
        <v>24.28858708803979</v>
      </c>
      <c r="AB1819" s="9">
        <v>25.117335532005217</v>
      </c>
      <c r="AC1819" s="9">
        <v>25.117335532005217</v>
      </c>
      <c r="AD1819" s="9">
        <v>29.039116491286865</v>
      </c>
      <c r="AE1819" s="9">
        <v>31.219251037281825</v>
      </c>
      <c r="AF1819" s="9">
        <v>33.487682081707895</v>
      </c>
      <c r="AG1819" s="9">
        <v>33.487682081707895</v>
      </c>
      <c r="AH1819" s="9">
        <v>36.427668170967245</v>
      </c>
      <c r="AI1819" s="9">
        <v>38.74455996597662</v>
      </c>
      <c r="AJ1819" s="9">
        <v>3.0428788910505911</v>
      </c>
    </row>
    <row r="1820" spans="1:36" x14ac:dyDescent="0.25">
      <c r="A1820" t="s">
        <v>5411</v>
      </c>
      <c r="B1820" t="s">
        <v>16</v>
      </c>
      <c r="C1820" t="s">
        <v>17</v>
      </c>
      <c r="D1820">
        <v>39725000</v>
      </c>
      <c r="E1820">
        <v>39727999</v>
      </c>
      <c r="F1820" t="s">
        <v>1636</v>
      </c>
      <c r="G1820" t="str">
        <f t="shared" si="56"/>
        <v>MGI II</v>
      </c>
      <c r="H1820" t="s">
        <v>851</v>
      </c>
      <c r="I1820" t="s">
        <v>20</v>
      </c>
      <c r="J1820" t="s">
        <v>64</v>
      </c>
      <c r="K1820" s="6">
        <v>0.03</v>
      </c>
      <c r="L1820" s="7">
        <f t="shared" si="57"/>
        <v>2E-3</v>
      </c>
      <c r="M1820" s="7">
        <v>3.0000000000000001E-3</v>
      </c>
      <c r="N1820">
        <v>8</v>
      </c>
      <c r="O1820" s="8">
        <v>17.822306426995311</v>
      </c>
      <c r="P1820" s="9">
        <v>17.822306426995311</v>
      </c>
      <c r="Q1820" s="9">
        <v>17.822306426995311</v>
      </c>
      <c r="R1820" s="9">
        <v>18.237663306594719</v>
      </c>
      <c r="S1820" s="9">
        <v>18.48712920931133</v>
      </c>
      <c r="T1820" s="9">
        <v>19.201553596969877</v>
      </c>
      <c r="U1820" s="9">
        <v>20.562345482855957</v>
      </c>
      <c r="V1820" s="9">
        <v>20.562345482855957</v>
      </c>
      <c r="W1820" s="9">
        <v>20.562345482855957</v>
      </c>
      <c r="X1820" s="9">
        <v>22.391977691000818</v>
      </c>
      <c r="Y1820" s="9">
        <v>22.391977691000818</v>
      </c>
      <c r="Z1820" s="9">
        <v>24.28858708803979</v>
      </c>
      <c r="AA1820" s="9">
        <v>24.28858708803979</v>
      </c>
      <c r="AB1820" s="9">
        <v>25.117335532005217</v>
      </c>
      <c r="AC1820" s="9">
        <v>25.117335532005217</v>
      </c>
      <c r="AD1820" s="9">
        <v>29.039116491286865</v>
      </c>
      <c r="AE1820" s="9">
        <v>31.219251037281825</v>
      </c>
      <c r="AF1820" s="9">
        <v>33.487682081707895</v>
      </c>
      <c r="AG1820" s="9">
        <v>33.487682081707895</v>
      </c>
      <c r="AH1820" s="9">
        <v>36.427668170967245</v>
      </c>
      <c r="AI1820" s="9">
        <v>38.74455996597662</v>
      </c>
      <c r="AJ1820" s="9">
        <v>3.0428788910505911</v>
      </c>
    </row>
    <row r="1821" spans="1:36" x14ac:dyDescent="0.25">
      <c r="A1821" t="s">
        <v>5411</v>
      </c>
      <c r="B1821" t="s">
        <v>16</v>
      </c>
      <c r="C1821" t="s">
        <v>17</v>
      </c>
      <c r="D1821">
        <v>39728000</v>
      </c>
      <c r="E1821">
        <v>39729999</v>
      </c>
      <c r="F1821" t="s">
        <v>1637</v>
      </c>
      <c r="G1821" t="str">
        <f t="shared" si="56"/>
        <v>MGI II</v>
      </c>
      <c r="H1821" t="s">
        <v>851</v>
      </c>
      <c r="I1821" t="s">
        <v>20</v>
      </c>
      <c r="J1821" t="s">
        <v>64</v>
      </c>
      <c r="K1821" s="6">
        <v>0.03</v>
      </c>
      <c r="L1821" s="7">
        <f t="shared" si="57"/>
        <v>2E-3</v>
      </c>
      <c r="M1821" s="7">
        <v>3.0000000000000001E-3</v>
      </c>
      <c r="N1821">
        <v>8</v>
      </c>
      <c r="O1821" s="8">
        <v>17.822306426995311</v>
      </c>
      <c r="P1821" s="9">
        <v>17.822306426995311</v>
      </c>
      <c r="Q1821" s="9">
        <v>17.822306426995311</v>
      </c>
      <c r="R1821" s="9">
        <v>18.237663306594719</v>
      </c>
      <c r="S1821" s="9">
        <v>18.48712920931133</v>
      </c>
      <c r="T1821" s="9">
        <v>19.201553596969877</v>
      </c>
      <c r="U1821" s="9">
        <v>20.562345482855957</v>
      </c>
      <c r="V1821" s="9">
        <v>20.562345482855957</v>
      </c>
      <c r="W1821" s="9">
        <v>20.562345482855957</v>
      </c>
      <c r="X1821" s="9">
        <v>22.391977691000818</v>
      </c>
      <c r="Y1821" s="9">
        <v>22.391977691000818</v>
      </c>
      <c r="Z1821" s="9">
        <v>24.28858708803979</v>
      </c>
      <c r="AA1821" s="9">
        <v>24.28858708803979</v>
      </c>
      <c r="AB1821" s="9">
        <v>25.117335532005217</v>
      </c>
      <c r="AC1821" s="9">
        <v>25.117335532005217</v>
      </c>
      <c r="AD1821" s="9">
        <v>29.039116491286865</v>
      </c>
      <c r="AE1821" s="9">
        <v>31.219251037281825</v>
      </c>
      <c r="AF1821" s="9">
        <v>33.487682081707895</v>
      </c>
      <c r="AG1821" s="9">
        <v>33.487682081707895</v>
      </c>
      <c r="AH1821" s="9">
        <v>36.427668170967245</v>
      </c>
      <c r="AI1821" s="9">
        <v>38.74455996597662</v>
      </c>
      <c r="AJ1821" s="9">
        <v>3.0428788910505911</v>
      </c>
    </row>
    <row r="1822" spans="1:36" x14ac:dyDescent="0.25">
      <c r="A1822" t="s">
        <v>5411</v>
      </c>
      <c r="B1822" t="s">
        <v>16</v>
      </c>
      <c r="C1822" t="s">
        <v>17</v>
      </c>
      <c r="D1822">
        <v>39730000</v>
      </c>
      <c r="E1822">
        <v>39734999</v>
      </c>
      <c r="F1822" t="s">
        <v>1638</v>
      </c>
      <c r="G1822" t="str">
        <f t="shared" si="56"/>
        <v>MGI II</v>
      </c>
      <c r="H1822" t="s">
        <v>851</v>
      </c>
      <c r="I1822" t="s">
        <v>20</v>
      </c>
      <c r="J1822" t="s">
        <v>64</v>
      </c>
      <c r="K1822" s="6">
        <v>0.03</v>
      </c>
      <c r="L1822" s="7">
        <f t="shared" si="57"/>
        <v>2E-3</v>
      </c>
      <c r="M1822" s="7">
        <v>3.0000000000000001E-3</v>
      </c>
      <c r="N1822">
        <v>8</v>
      </c>
      <c r="O1822" s="8">
        <v>17.822306426995311</v>
      </c>
      <c r="P1822" s="9">
        <v>17.822306426995311</v>
      </c>
      <c r="Q1822" s="9">
        <v>17.822306426995311</v>
      </c>
      <c r="R1822" s="9">
        <v>18.237663306594719</v>
      </c>
      <c r="S1822" s="9">
        <v>18.48712920931133</v>
      </c>
      <c r="T1822" s="9">
        <v>19.201553596969877</v>
      </c>
      <c r="U1822" s="9">
        <v>20.562345482855957</v>
      </c>
      <c r="V1822" s="9">
        <v>20.562345482855957</v>
      </c>
      <c r="W1822" s="9">
        <v>20.562345482855957</v>
      </c>
      <c r="X1822" s="9">
        <v>22.391977691000818</v>
      </c>
      <c r="Y1822" s="9">
        <v>22.391977691000818</v>
      </c>
      <c r="Z1822" s="9">
        <v>24.28858708803979</v>
      </c>
      <c r="AA1822" s="9">
        <v>24.28858708803979</v>
      </c>
      <c r="AB1822" s="9">
        <v>25.117335532005217</v>
      </c>
      <c r="AC1822" s="9">
        <v>25.117335532005217</v>
      </c>
      <c r="AD1822" s="9">
        <v>29.039116491286865</v>
      </c>
      <c r="AE1822" s="9">
        <v>31.219251037281825</v>
      </c>
      <c r="AF1822" s="9">
        <v>33.487682081707895</v>
      </c>
      <c r="AG1822" s="9">
        <v>33.487682081707895</v>
      </c>
      <c r="AH1822" s="9">
        <v>36.427668170967245</v>
      </c>
      <c r="AI1822" s="9">
        <v>38.74455996597662</v>
      </c>
      <c r="AJ1822" s="9">
        <v>3.0428788910505911</v>
      </c>
    </row>
    <row r="1823" spans="1:36" x14ac:dyDescent="0.25">
      <c r="A1823" t="s">
        <v>5411</v>
      </c>
      <c r="B1823" t="s">
        <v>16</v>
      </c>
      <c r="C1823" t="s">
        <v>17</v>
      </c>
      <c r="D1823">
        <v>39735000</v>
      </c>
      <c r="E1823">
        <v>39739999</v>
      </c>
      <c r="F1823" t="s">
        <v>1639</v>
      </c>
      <c r="G1823" t="str">
        <f t="shared" si="56"/>
        <v>MGI II</v>
      </c>
      <c r="H1823" t="s">
        <v>851</v>
      </c>
      <c r="I1823" t="s">
        <v>20</v>
      </c>
      <c r="J1823" t="s">
        <v>64</v>
      </c>
      <c r="K1823" s="6">
        <v>0.03</v>
      </c>
      <c r="L1823" s="7">
        <f t="shared" si="57"/>
        <v>2E-3</v>
      </c>
      <c r="M1823" s="7">
        <v>3.0000000000000001E-3</v>
      </c>
      <c r="N1823">
        <v>8</v>
      </c>
      <c r="O1823" s="8">
        <v>17.822306426995311</v>
      </c>
      <c r="P1823" s="9">
        <v>17.822306426995311</v>
      </c>
      <c r="Q1823" s="9">
        <v>17.822306426995311</v>
      </c>
      <c r="R1823" s="9">
        <v>18.237663306594719</v>
      </c>
      <c r="S1823" s="9">
        <v>18.48712920931133</v>
      </c>
      <c r="T1823" s="9">
        <v>19.201553596969877</v>
      </c>
      <c r="U1823" s="9">
        <v>20.562345482855957</v>
      </c>
      <c r="V1823" s="9">
        <v>20.562345482855957</v>
      </c>
      <c r="W1823" s="9">
        <v>20.562345482855957</v>
      </c>
      <c r="X1823" s="9">
        <v>22.391977691000818</v>
      </c>
      <c r="Y1823" s="9">
        <v>22.391977691000818</v>
      </c>
      <c r="Z1823" s="9">
        <v>24.28858708803979</v>
      </c>
      <c r="AA1823" s="9">
        <v>24.28858708803979</v>
      </c>
      <c r="AB1823" s="9">
        <v>25.117335532005217</v>
      </c>
      <c r="AC1823" s="9">
        <v>25.117335532005217</v>
      </c>
      <c r="AD1823" s="9">
        <v>29.039116491286865</v>
      </c>
      <c r="AE1823" s="9">
        <v>31.219251037281825</v>
      </c>
      <c r="AF1823" s="9">
        <v>33.487682081707895</v>
      </c>
      <c r="AG1823" s="9">
        <v>33.487682081707895</v>
      </c>
      <c r="AH1823" s="9">
        <v>36.427668170967245</v>
      </c>
      <c r="AI1823" s="9">
        <v>38.74455996597662</v>
      </c>
      <c r="AJ1823" s="9">
        <v>3.0428788910505911</v>
      </c>
    </row>
    <row r="1824" spans="1:36" x14ac:dyDescent="0.25">
      <c r="A1824" t="s">
        <v>5411</v>
      </c>
      <c r="B1824" t="s">
        <v>16</v>
      </c>
      <c r="C1824" t="s">
        <v>17</v>
      </c>
      <c r="D1824">
        <v>39740000</v>
      </c>
      <c r="E1824">
        <v>39744999</v>
      </c>
      <c r="F1824" t="s">
        <v>1640</v>
      </c>
      <c r="G1824" t="str">
        <f t="shared" si="56"/>
        <v>MGI II</v>
      </c>
      <c r="H1824" t="s">
        <v>851</v>
      </c>
      <c r="I1824" t="s">
        <v>20</v>
      </c>
      <c r="J1824" t="s">
        <v>64</v>
      </c>
      <c r="K1824" s="6">
        <v>0.03</v>
      </c>
      <c r="L1824" s="7">
        <f t="shared" si="57"/>
        <v>2E-3</v>
      </c>
      <c r="M1824" s="7">
        <v>3.0000000000000001E-3</v>
      </c>
      <c r="N1824">
        <v>8</v>
      </c>
      <c r="O1824" s="8">
        <v>17.822306426995311</v>
      </c>
      <c r="P1824" s="9">
        <v>17.822306426995311</v>
      </c>
      <c r="Q1824" s="9">
        <v>17.822306426995311</v>
      </c>
      <c r="R1824" s="9">
        <v>18.237663306594719</v>
      </c>
      <c r="S1824" s="9">
        <v>18.48712920931133</v>
      </c>
      <c r="T1824" s="9">
        <v>19.201553596969877</v>
      </c>
      <c r="U1824" s="9">
        <v>20.562345482855957</v>
      </c>
      <c r="V1824" s="9">
        <v>20.562345482855957</v>
      </c>
      <c r="W1824" s="9">
        <v>20.562345482855957</v>
      </c>
      <c r="X1824" s="9">
        <v>22.391977691000818</v>
      </c>
      <c r="Y1824" s="9">
        <v>22.391977691000818</v>
      </c>
      <c r="Z1824" s="9">
        <v>24.28858708803979</v>
      </c>
      <c r="AA1824" s="9">
        <v>24.28858708803979</v>
      </c>
      <c r="AB1824" s="9">
        <v>25.117335532005217</v>
      </c>
      <c r="AC1824" s="9">
        <v>25.117335532005217</v>
      </c>
      <c r="AD1824" s="9">
        <v>29.039116491286865</v>
      </c>
      <c r="AE1824" s="9">
        <v>31.219251037281825</v>
      </c>
      <c r="AF1824" s="9">
        <v>33.487682081707895</v>
      </c>
      <c r="AG1824" s="9">
        <v>33.487682081707895</v>
      </c>
      <c r="AH1824" s="9">
        <v>36.427668170967245</v>
      </c>
      <c r="AI1824" s="9">
        <v>38.74455996597662</v>
      </c>
      <c r="AJ1824" s="9">
        <v>3.0428788910505911</v>
      </c>
    </row>
    <row r="1825" spans="1:36" x14ac:dyDescent="0.25">
      <c r="A1825" t="s">
        <v>5411</v>
      </c>
      <c r="B1825" t="s">
        <v>16</v>
      </c>
      <c r="C1825" t="s">
        <v>17</v>
      </c>
      <c r="D1825">
        <v>39745000</v>
      </c>
      <c r="E1825">
        <v>39749999</v>
      </c>
      <c r="F1825" t="s">
        <v>1641</v>
      </c>
      <c r="G1825" t="str">
        <f t="shared" si="56"/>
        <v>MGI II</v>
      </c>
      <c r="H1825" t="s">
        <v>851</v>
      </c>
      <c r="I1825" t="s">
        <v>20</v>
      </c>
      <c r="J1825" t="s">
        <v>64</v>
      </c>
      <c r="K1825" s="6">
        <v>0.03</v>
      </c>
      <c r="L1825" s="7">
        <f t="shared" si="57"/>
        <v>2E-3</v>
      </c>
      <c r="M1825" s="7">
        <v>3.0000000000000001E-3</v>
      </c>
      <c r="N1825">
        <v>4</v>
      </c>
      <c r="O1825" s="8">
        <v>17.822306426995311</v>
      </c>
      <c r="P1825" s="9">
        <v>17.822306426995311</v>
      </c>
      <c r="Q1825" s="9">
        <v>17.822306426995311</v>
      </c>
      <c r="R1825" s="9">
        <v>18.237663306594719</v>
      </c>
      <c r="S1825" s="9">
        <v>18.48712920931133</v>
      </c>
      <c r="T1825" s="9">
        <v>19.201553596969877</v>
      </c>
      <c r="U1825" s="9">
        <v>20.562345482855957</v>
      </c>
      <c r="V1825" s="9">
        <v>20.562345482855957</v>
      </c>
      <c r="W1825" s="9">
        <v>20.562345482855957</v>
      </c>
      <c r="X1825" s="9">
        <v>22.391977691000818</v>
      </c>
      <c r="Y1825" s="9">
        <v>22.391977691000818</v>
      </c>
      <c r="Z1825" s="9">
        <v>24.28858708803979</v>
      </c>
      <c r="AA1825" s="9">
        <v>24.28858708803979</v>
      </c>
      <c r="AB1825" s="9">
        <v>25.117335532005217</v>
      </c>
      <c r="AC1825" s="9">
        <v>25.117335532005217</v>
      </c>
      <c r="AD1825" s="9">
        <v>29.039116491286865</v>
      </c>
      <c r="AE1825" s="9">
        <v>31.219251037281825</v>
      </c>
      <c r="AF1825" s="9">
        <v>33.487682081707895</v>
      </c>
      <c r="AG1825" s="9">
        <v>33.487682081707895</v>
      </c>
      <c r="AH1825" s="9">
        <v>36.427668170967245</v>
      </c>
      <c r="AI1825" s="9">
        <v>38.74455996597662</v>
      </c>
      <c r="AJ1825" s="9">
        <v>3.0428788910505911</v>
      </c>
    </row>
    <row r="1826" spans="1:36" x14ac:dyDescent="0.25">
      <c r="A1826" t="s">
        <v>5411</v>
      </c>
      <c r="B1826" t="s">
        <v>16</v>
      </c>
      <c r="C1826" t="s">
        <v>17</v>
      </c>
      <c r="D1826">
        <v>39750000</v>
      </c>
      <c r="E1826">
        <v>39754999</v>
      </c>
      <c r="F1826" t="s">
        <v>1642</v>
      </c>
      <c r="G1826" t="str">
        <f t="shared" si="56"/>
        <v>MGI II</v>
      </c>
      <c r="H1826" t="s">
        <v>851</v>
      </c>
      <c r="I1826" t="s">
        <v>20</v>
      </c>
      <c r="J1826" t="s">
        <v>64</v>
      </c>
      <c r="K1826" s="6">
        <v>0.03</v>
      </c>
      <c r="L1826" s="7">
        <f t="shared" si="57"/>
        <v>2E-3</v>
      </c>
      <c r="M1826" s="7">
        <v>3.0000000000000001E-3</v>
      </c>
      <c r="N1826">
        <v>8</v>
      </c>
      <c r="O1826" s="8">
        <v>17.822306426995311</v>
      </c>
      <c r="P1826" s="9">
        <v>17.822306426995311</v>
      </c>
      <c r="Q1826" s="9">
        <v>17.822306426995311</v>
      </c>
      <c r="R1826" s="9">
        <v>18.237663306594719</v>
      </c>
      <c r="S1826" s="9">
        <v>18.48712920931133</v>
      </c>
      <c r="T1826" s="9">
        <v>19.201553596969877</v>
      </c>
      <c r="U1826" s="9">
        <v>20.562345482855957</v>
      </c>
      <c r="V1826" s="9">
        <v>20.562345482855957</v>
      </c>
      <c r="W1826" s="9">
        <v>20.562345482855957</v>
      </c>
      <c r="X1826" s="9">
        <v>22.391977691000818</v>
      </c>
      <c r="Y1826" s="9">
        <v>22.391977691000818</v>
      </c>
      <c r="Z1826" s="9">
        <v>24.28858708803979</v>
      </c>
      <c r="AA1826" s="9">
        <v>24.28858708803979</v>
      </c>
      <c r="AB1826" s="9">
        <v>25.117335532005217</v>
      </c>
      <c r="AC1826" s="9">
        <v>25.117335532005217</v>
      </c>
      <c r="AD1826" s="9">
        <v>29.039116491286865</v>
      </c>
      <c r="AE1826" s="9">
        <v>31.219251037281825</v>
      </c>
      <c r="AF1826" s="9">
        <v>33.487682081707895</v>
      </c>
      <c r="AG1826" s="9">
        <v>33.487682081707895</v>
      </c>
      <c r="AH1826" s="9">
        <v>36.427668170967245</v>
      </c>
      <c r="AI1826" s="9">
        <v>38.74455996597662</v>
      </c>
      <c r="AJ1826" s="9">
        <v>3.0428788910505911</v>
      </c>
    </row>
    <row r="1827" spans="1:36" x14ac:dyDescent="0.25">
      <c r="A1827" t="s">
        <v>5411</v>
      </c>
      <c r="B1827" t="s">
        <v>16</v>
      </c>
      <c r="C1827" t="s">
        <v>17</v>
      </c>
      <c r="D1827">
        <v>39755000</v>
      </c>
      <c r="E1827">
        <v>39764999</v>
      </c>
      <c r="F1827" t="s">
        <v>1643</v>
      </c>
      <c r="G1827" t="str">
        <f t="shared" si="56"/>
        <v>MGI II</v>
      </c>
      <c r="H1827" t="s">
        <v>851</v>
      </c>
      <c r="I1827" t="s">
        <v>20</v>
      </c>
      <c r="J1827" t="s">
        <v>64</v>
      </c>
      <c r="K1827" s="6">
        <v>0.03</v>
      </c>
      <c r="L1827" s="7">
        <f t="shared" si="57"/>
        <v>2E-3</v>
      </c>
      <c r="M1827" s="7">
        <v>3.0000000000000001E-3</v>
      </c>
      <c r="N1827">
        <v>8</v>
      </c>
      <c r="O1827" s="8">
        <v>17.822306426995311</v>
      </c>
      <c r="P1827" s="9">
        <v>17.822306426995311</v>
      </c>
      <c r="Q1827" s="9">
        <v>17.822306426995311</v>
      </c>
      <c r="R1827" s="9">
        <v>18.237663306594719</v>
      </c>
      <c r="S1827" s="9">
        <v>18.48712920931133</v>
      </c>
      <c r="T1827" s="9">
        <v>19.201553596969877</v>
      </c>
      <c r="U1827" s="9">
        <v>20.562345482855957</v>
      </c>
      <c r="V1827" s="9">
        <v>20.562345482855957</v>
      </c>
      <c r="W1827" s="9">
        <v>20.562345482855957</v>
      </c>
      <c r="X1827" s="9">
        <v>22.391977691000818</v>
      </c>
      <c r="Y1827" s="9">
        <v>22.391977691000818</v>
      </c>
      <c r="Z1827" s="9">
        <v>24.28858708803979</v>
      </c>
      <c r="AA1827" s="9">
        <v>24.28858708803979</v>
      </c>
      <c r="AB1827" s="9">
        <v>25.117335532005217</v>
      </c>
      <c r="AC1827" s="9">
        <v>25.117335532005217</v>
      </c>
      <c r="AD1827" s="9">
        <v>29.039116491286865</v>
      </c>
      <c r="AE1827" s="9">
        <v>31.219251037281825</v>
      </c>
      <c r="AF1827" s="9">
        <v>33.487682081707895</v>
      </c>
      <c r="AG1827" s="9">
        <v>33.487682081707895</v>
      </c>
      <c r="AH1827" s="9">
        <v>36.427668170967245</v>
      </c>
      <c r="AI1827" s="9">
        <v>38.74455996597662</v>
      </c>
      <c r="AJ1827" s="9">
        <v>3.0428788910505911</v>
      </c>
    </row>
    <row r="1828" spans="1:36" x14ac:dyDescent="0.25">
      <c r="A1828" t="s">
        <v>5411</v>
      </c>
      <c r="B1828" t="s">
        <v>16</v>
      </c>
      <c r="C1828" t="s">
        <v>17</v>
      </c>
      <c r="D1828">
        <v>39765000</v>
      </c>
      <c r="E1828">
        <v>39769999</v>
      </c>
      <c r="F1828" t="s">
        <v>1644</v>
      </c>
      <c r="G1828" t="str">
        <f t="shared" si="56"/>
        <v>MGI II</v>
      </c>
      <c r="H1828" t="s">
        <v>851</v>
      </c>
      <c r="I1828" t="s">
        <v>20</v>
      </c>
      <c r="J1828" t="s">
        <v>64</v>
      </c>
      <c r="K1828" s="6">
        <v>0.03</v>
      </c>
      <c r="L1828" s="7">
        <f t="shared" si="57"/>
        <v>2E-3</v>
      </c>
      <c r="M1828" s="7">
        <v>3.0000000000000001E-3</v>
      </c>
      <c r="N1828">
        <v>8</v>
      </c>
      <c r="O1828" s="8">
        <v>17.822306426995311</v>
      </c>
      <c r="P1828" s="9">
        <v>17.822306426995311</v>
      </c>
      <c r="Q1828" s="9">
        <v>17.822306426995311</v>
      </c>
      <c r="R1828" s="9">
        <v>18.237663306594719</v>
      </c>
      <c r="S1828" s="9">
        <v>18.48712920931133</v>
      </c>
      <c r="T1828" s="9">
        <v>19.201553596969877</v>
      </c>
      <c r="U1828" s="9">
        <v>20.562345482855957</v>
      </c>
      <c r="V1828" s="9">
        <v>20.562345482855957</v>
      </c>
      <c r="W1828" s="9">
        <v>20.562345482855957</v>
      </c>
      <c r="X1828" s="9">
        <v>22.391977691000818</v>
      </c>
      <c r="Y1828" s="9">
        <v>22.391977691000818</v>
      </c>
      <c r="Z1828" s="9">
        <v>24.28858708803979</v>
      </c>
      <c r="AA1828" s="9">
        <v>24.28858708803979</v>
      </c>
      <c r="AB1828" s="9">
        <v>25.117335532005217</v>
      </c>
      <c r="AC1828" s="9">
        <v>25.117335532005217</v>
      </c>
      <c r="AD1828" s="9">
        <v>29.039116491286865</v>
      </c>
      <c r="AE1828" s="9">
        <v>31.219251037281825</v>
      </c>
      <c r="AF1828" s="9">
        <v>33.487682081707895</v>
      </c>
      <c r="AG1828" s="9">
        <v>33.487682081707895</v>
      </c>
      <c r="AH1828" s="9">
        <v>36.427668170967245</v>
      </c>
      <c r="AI1828" s="9">
        <v>38.74455996597662</v>
      </c>
      <c r="AJ1828" s="9">
        <v>3.0428788910505911</v>
      </c>
    </row>
    <row r="1829" spans="1:36" x14ac:dyDescent="0.25">
      <c r="A1829" t="s">
        <v>5411</v>
      </c>
      <c r="B1829" t="s">
        <v>16</v>
      </c>
      <c r="C1829" t="s">
        <v>17</v>
      </c>
      <c r="D1829">
        <v>39770000</v>
      </c>
      <c r="E1829">
        <v>39774999</v>
      </c>
      <c r="F1829" t="s">
        <v>1645</v>
      </c>
      <c r="G1829" t="str">
        <f t="shared" si="56"/>
        <v>MGI II</v>
      </c>
      <c r="H1829" t="s">
        <v>851</v>
      </c>
      <c r="I1829" t="s">
        <v>20</v>
      </c>
      <c r="J1829" t="s">
        <v>64</v>
      </c>
      <c r="K1829" s="6">
        <v>0.03</v>
      </c>
      <c r="L1829" s="7">
        <f t="shared" si="57"/>
        <v>2E-3</v>
      </c>
      <c r="M1829" s="7">
        <v>3.0000000000000001E-3</v>
      </c>
      <c r="N1829">
        <v>8</v>
      </c>
      <c r="O1829" s="8">
        <v>17.822306426995311</v>
      </c>
      <c r="P1829" s="9">
        <v>17.822306426995311</v>
      </c>
      <c r="Q1829" s="9">
        <v>17.822306426995311</v>
      </c>
      <c r="R1829" s="9">
        <v>18.237663306594719</v>
      </c>
      <c r="S1829" s="9">
        <v>18.48712920931133</v>
      </c>
      <c r="T1829" s="9">
        <v>19.201553596969877</v>
      </c>
      <c r="U1829" s="9">
        <v>20.562345482855957</v>
      </c>
      <c r="V1829" s="9">
        <v>20.562345482855957</v>
      </c>
      <c r="W1829" s="9">
        <v>20.562345482855957</v>
      </c>
      <c r="X1829" s="9">
        <v>22.391977691000818</v>
      </c>
      <c r="Y1829" s="9">
        <v>22.391977691000818</v>
      </c>
      <c r="Z1829" s="9">
        <v>24.28858708803979</v>
      </c>
      <c r="AA1829" s="9">
        <v>24.28858708803979</v>
      </c>
      <c r="AB1829" s="9">
        <v>25.117335532005217</v>
      </c>
      <c r="AC1829" s="9">
        <v>25.117335532005217</v>
      </c>
      <c r="AD1829" s="9">
        <v>29.039116491286865</v>
      </c>
      <c r="AE1829" s="9">
        <v>31.219251037281825</v>
      </c>
      <c r="AF1829" s="9">
        <v>33.487682081707895</v>
      </c>
      <c r="AG1829" s="9">
        <v>33.487682081707895</v>
      </c>
      <c r="AH1829" s="9">
        <v>36.427668170967245</v>
      </c>
      <c r="AI1829" s="9">
        <v>38.74455996597662</v>
      </c>
      <c r="AJ1829" s="9">
        <v>3.0428788910505911</v>
      </c>
    </row>
    <row r="1830" spans="1:36" x14ac:dyDescent="0.25">
      <c r="A1830" t="s">
        <v>5411</v>
      </c>
      <c r="B1830" t="s">
        <v>16</v>
      </c>
      <c r="C1830" t="s">
        <v>17</v>
      </c>
      <c r="D1830">
        <v>39775000</v>
      </c>
      <c r="E1830">
        <v>39779999</v>
      </c>
      <c r="F1830" t="s">
        <v>1646</v>
      </c>
      <c r="G1830" t="str">
        <f t="shared" si="56"/>
        <v>MGI II</v>
      </c>
      <c r="H1830" t="s">
        <v>851</v>
      </c>
      <c r="I1830" t="s">
        <v>20</v>
      </c>
      <c r="J1830" t="s">
        <v>64</v>
      </c>
      <c r="K1830" s="6">
        <v>0.03</v>
      </c>
      <c r="L1830" s="7">
        <f t="shared" si="57"/>
        <v>2E-3</v>
      </c>
      <c r="M1830" s="7">
        <v>3.0000000000000001E-3</v>
      </c>
      <c r="N1830">
        <v>8</v>
      </c>
      <c r="O1830" s="8">
        <v>17.822306426995311</v>
      </c>
      <c r="P1830" s="9">
        <v>17.822306426995311</v>
      </c>
      <c r="Q1830" s="9">
        <v>17.822306426995311</v>
      </c>
      <c r="R1830" s="9">
        <v>18.237663306594719</v>
      </c>
      <c r="S1830" s="9">
        <v>18.48712920931133</v>
      </c>
      <c r="T1830" s="9">
        <v>19.201553596969877</v>
      </c>
      <c r="U1830" s="9">
        <v>20.562345482855957</v>
      </c>
      <c r="V1830" s="9">
        <v>20.562345482855957</v>
      </c>
      <c r="W1830" s="9">
        <v>20.562345482855957</v>
      </c>
      <c r="X1830" s="9">
        <v>22.391977691000818</v>
      </c>
      <c r="Y1830" s="9">
        <v>22.391977691000818</v>
      </c>
      <c r="Z1830" s="9">
        <v>24.28858708803979</v>
      </c>
      <c r="AA1830" s="9">
        <v>24.28858708803979</v>
      </c>
      <c r="AB1830" s="9">
        <v>25.117335532005217</v>
      </c>
      <c r="AC1830" s="9">
        <v>25.117335532005217</v>
      </c>
      <c r="AD1830" s="9">
        <v>29.039116491286865</v>
      </c>
      <c r="AE1830" s="9">
        <v>31.219251037281825</v>
      </c>
      <c r="AF1830" s="9">
        <v>33.487682081707895</v>
      </c>
      <c r="AG1830" s="9">
        <v>33.487682081707895</v>
      </c>
      <c r="AH1830" s="9">
        <v>36.427668170967245</v>
      </c>
      <c r="AI1830" s="9">
        <v>38.74455996597662</v>
      </c>
      <c r="AJ1830" s="9">
        <v>3.0428788910505911</v>
      </c>
    </row>
    <row r="1831" spans="1:36" x14ac:dyDescent="0.25">
      <c r="A1831" t="s">
        <v>5411</v>
      </c>
      <c r="B1831" t="s">
        <v>16</v>
      </c>
      <c r="C1831" t="s">
        <v>17</v>
      </c>
      <c r="D1831">
        <v>39780000</v>
      </c>
      <c r="E1831">
        <v>39783999</v>
      </c>
      <c r="F1831" t="s">
        <v>1647</v>
      </c>
      <c r="G1831" t="str">
        <f t="shared" si="56"/>
        <v>MGI II</v>
      </c>
      <c r="H1831" t="s">
        <v>851</v>
      </c>
      <c r="I1831" t="s">
        <v>20</v>
      </c>
      <c r="J1831" t="s">
        <v>64</v>
      </c>
      <c r="K1831" s="6">
        <v>0.03</v>
      </c>
      <c r="L1831" s="7">
        <f t="shared" si="57"/>
        <v>2E-3</v>
      </c>
      <c r="M1831" s="7">
        <v>3.0000000000000001E-3</v>
      </c>
      <c r="N1831">
        <v>8</v>
      </c>
      <c r="O1831" s="8">
        <v>17.822306426995311</v>
      </c>
      <c r="P1831" s="9">
        <v>17.822306426995311</v>
      </c>
      <c r="Q1831" s="9">
        <v>17.822306426995311</v>
      </c>
      <c r="R1831" s="9">
        <v>18.237663306594719</v>
      </c>
      <c r="S1831" s="9">
        <v>18.48712920931133</v>
      </c>
      <c r="T1831" s="9">
        <v>19.201553596969877</v>
      </c>
      <c r="U1831" s="9">
        <v>20.562345482855957</v>
      </c>
      <c r="V1831" s="9">
        <v>20.562345482855957</v>
      </c>
      <c r="W1831" s="9">
        <v>20.562345482855957</v>
      </c>
      <c r="X1831" s="9">
        <v>22.391977691000818</v>
      </c>
      <c r="Y1831" s="9">
        <v>22.391977691000818</v>
      </c>
      <c r="Z1831" s="9">
        <v>24.28858708803979</v>
      </c>
      <c r="AA1831" s="9">
        <v>24.28858708803979</v>
      </c>
      <c r="AB1831" s="9">
        <v>25.117335532005217</v>
      </c>
      <c r="AC1831" s="9">
        <v>25.117335532005217</v>
      </c>
      <c r="AD1831" s="9">
        <v>29.039116491286865</v>
      </c>
      <c r="AE1831" s="9">
        <v>31.219251037281825</v>
      </c>
      <c r="AF1831" s="9">
        <v>33.487682081707895</v>
      </c>
      <c r="AG1831" s="9">
        <v>33.487682081707895</v>
      </c>
      <c r="AH1831" s="9">
        <v>36.427668170967245</v>
      </c>
      <c r="AI1831" s="9">
        <v>38.74455996597662</v>
      </c>
      <c r="AJ1831" s="9">
        <v>3.0428788910505911</v>
      </c>
    </row>
    <row r="1832" spans="1:36" x14ac:dyDescent="0.25">
      <c r="A1832" t="s">
        <v>5411</v>
      </c>
      <c r="B1832" t="s">
        <v>16</v>
      </c>
      <c r="C1832" t="s">
        <v>17</v>
      </c>
      <c r="D1832">
        <v>39784000</v>
      </c>
      <c r="E1832">
        <v>39784999</v>
      </c>
      <c r="F1832" t="s">
        <v>1648</v>
      </c>
      <c r="G1832" t="str">
        <f t="shared" si="56"/>
        <v>MGI II</v>
      </c>
      <c r="H1832" t="s">
        <v>851</v>
      </c>
      <c r="I1832" t="s">
        <v>20</v>
      </c>
      <c r="J1832" t="s">
        <v>64</v>
      </c>
      <c r="K1832" s="6">
        <v>0.03</v>
      </c>
      <c r="L1832" s="7">
        <f t="shared" si="57"/>
        <v>2E-3</v>
      </c>
      <c r="M1832" s="7">
        <v>3.0000000000000001E-3</v>
      </c>
      <c r="N1832">
        <v>8</v>
      </c>
      <c r="O1832" s="8">
        <v>17.822306426995311</v>
      </c>
      <c r="P1832" s="9">
        <v>17.822306426995311</v>
      </c>
      <c r="Q1832" s="9">
        <v>17.822306426995311</v>
      </c>
      <c r="R1832" s="9">
        <v>18.237663306594719</v>
      </c>
      <c r="S1832" s="9">
        <v>18.48712920931133</v>
      </c>
      <c r="T1832" s="9">
        <v>19.201553596969877</v>
      </c>
      <c r="U1832" s="9">
        <v>20.562345482855957</v>
      </c>
      <c r="V1832" s="9">
        <v>20.562345482855957</v>
      </c>
      <c r="W1832" s="9">
        <v>20.562345482855957</v>
      </c>
      <c r="X1832" s="9">
        <v>22.391977691000818</v>
      </c>
      <c r="Y1832" s="9">
        <v>22.391977691000818</v>
      </c>
      <c r="Z1832" s="9">
        <v>24.28858708803979</v>
      </c>
      <c r="AA1832" s="9">
        <v>24.28858708803979</v>
      </c>
      <c r="AB1832" s="9">
        <v>25.117335532005217</v>
      </c>
      <c r="AC1832" s="9">
        <v>25.117335532005217</v>
      </c>
      <c r="AD1832" s="9">
        <v>29.039116491286865</v>
      </c>
      <c r="AE1832" s="9">
        <v>31.219251037281825</v>
      </c>
      <c r="AF1832" s="9">
        <v>33.487682081707895</v>
      </c>
      <c r="AG1832" s="9">
        <v>33.487682081707895</v>
      </c>
      <c r="AH1832" s="9">
        <v>36.427668170967245</v>
      </c>
      <c r="AI1832" s="9">
        <v>38.74455996597662</v>
      </c>
      <c r="AJ1832" s="9">
        <v>3.0428788910505911</v>
      </c>
    </row>
    <row r="1833" spans="1:36" x14ac:dyDescent="0.25">
      <c r="A1833" t="s">
        <v>5411</v>
      </c>
      <c r="B1833" t="s">
        <v>16</v>
      </c>
      <c r="C1833" t="s">
        <v>17</v>
      </c>
      <c r="D1833">
        <v>39785000</v>
      </c>
      <c r="E1833">
        <v>39789999</v>
      </c>
      <c r="F1833" t="s">
        <v>1649</v>
      </c>
      <c r="G1833" t="str">
        <f t="shared" si="56"/>
        <v>MGI II</v>
      </c>
      <c r="H1833" t="s">
        <v>851</v>
      </c>
      <c r="I1833" t="s">
        <v>20</v>
      </c>
      <c r="J1833" t="s">
        <v>64</v>
      </c>
      <c r="K1833" s="6">
        <v>0.03</v>
      </c>
      <c r="L1833" s="7">
        <f t="shared" si="57"/>
        <v>2E-3</v>
      </c>
      <c r="M1833" s="7">
        <v>3.0000000000000001E-3</v>
      </c>
      <c r="N1833">
        <v>8</v>
      </c>
      <c r="O1833" s="8">
        <v>17.822306426995311</v>
      </c>
      <c r="P1833" s="9">
        <v>17.822306426995311</v>
      </c>
      <c r="Q1833" s="9">
        <v>17.822306426995311</v>
      </c>
      <c r="R1833" s="9">
        <v>18.237663306594719</v>
      </c>
      <c r="S1833" s="9">
        <v>18.48712920931133</v>
      </c>
      <c r="T1833" s="9">
        <v>19.201553596969877</v>
      </c>
      <c r="U1833" s="9">
        <v>20.562345482855957</v>
      </c>
      <c r="V1833" s="9">
        <v>20.562345482855957</v>
      </c>
      <c r="W1833" s="9">
        <v>20.562345482855957</v>
      </c>
      <c r="X1833" s="9">
        <v>22.391977691000818</v>
      </c>
      <c r="Y1833" s="9">
        <v>22.391977691000818</v>
      </c>
      <c r="Z1833" s="9">
        <v>24.28858708803979</v>
      </c>
      <c r="AA1833" s="9">
        <v>24.28858708803979</v>
      </c>
      <c r="AB1833" s="9">
        <v>25.117335532005217</v>
      </c>
      <c r="AC1833" s="9">
        <v>25.117335532005217</v>
      </c>
      <c r="AD1833" s="9">
        <v>29.039116491286865</v>
      </c>
      <c r="AE1833" s="9">
        <v>31.219251037281825</v>
      </c>
      <c r="AF1833" s="9">
        <v>33.487682081707895</v>
      </c>
      <c r="AG1833" s="9">
        <v>33.487682081707895</v>
      </c>
      <c r="AH1833" s="9">
        <v>36.427668170967245</v>
      </c>
      <c r="AI1833" s="9">
        <v>38.74455996597662</v>
      </c>
      <c r="AJ1833" s="9">
        <v>3.0428788910505911</v>
      </c>
    </row>
    <row r="1834" spans="1:36" x14ac:dyDescent="0.25">
      <c r="A1834" t="s">
        <v>5411</v>
      </c>
      <c r="B1834" t="s">
        <v>16</v>
      </c>
      <c r="C1834" t="s">
        <v>17</v>
      </c>
      <c r="D1834">
        <v>39790000</v>
      </c>
      <c r="E1834">
        <v>39794999</v>
      </c>
      <c r="F1834" t="s">
        <v>1650</v>
      </c>
      <c r="G1834" t="str">
        <f t="shared" si="56"/>
        <v>MGI II</v>
      </c>
      <c r="H1834" t="s">
        <v>851</v>
      </c>
      <c r="I1834" t="s">
        <v>20</v>
      </c>
      <c r="J1834" t="s">
        <v>64</v>
      </c>
      <c r="K1834" s="6">
        <v>0.03</v>
      </c>
      <c r="L1834" s="7">
        <f t="shared" si="57"/>
        <v>2E-3</v>
      </c>
      <c r="M1834" s="7">
        <v>3.0000000000000001E-3</v>
      </c>
      <c r="N1834">
        <v>8</v>
      </c>
      <c r="O1834" s="8">
        <v>17.822306426995311</v>
      </c>
      <c r="P1834" s="9">
        <v>17.822306426995311</v>
      </c>
      <c r="Q1834" s="9">
        <v>17.822306426995311</v>
      </c>
      <c r="R1834" s="9">
        <v>18.237663306594719</v>
      </c>
      <c r="S1834" s="9">
        <v>18.48712920931133</v>
      </c>
      <c r="T1834" s="9">
        <v>19.201553596969877</v>
      </c>
      <c r="U1834" s="9">
        <v>20.562345482855957</v>
      </c>
      <c r="V1834" s="9">
        <v>20.562345482855957</v>
      </c>
      <c r="W1834" s="9">
        <v>20.562345482855957</v>
      </c>
      <c r="X1834" s="9">
        <v>22.391977691000818</v>
      </c>
      <c r="Y1834" s="9">
        <v>22.391977691000818</v>
      </c>
      <c r="Z1834" s="9">
        <v>24.28858708803979</v>
      </c>
      <c r="AA1834" s="9">
        <v>24.28858708803979</v>
      </c>
      <c r="AB1834" s="9">
        <v>25.117335532005217</v>
      </c>
      <c r="AC1834" s="9">
        <v>25.117335532005217</v>
      </c>
      <c r="AD1834" s="9">
        <v>29.039116491286865</v>
      </c>
      <c r="AE1834" s="9">
        <v>31.219251037281825</v>
      </c>
      <c r="AF1834" s="9">
        <v>33.487682081707895</v>
      </c>
      <c r="AG1834" s="9">
        <v>33.487682081707895</v>
      </c>
      <c r="AH1834" s="9">
        <v>36.427668170967245</v>
      </c>
      <c r="AI1834" s="9">
        <v>38.74455996597662</v>
      </c>
      <c r="AJ1834" s="9">
        <v>3.0428788910505911</v>
      </c>
    </row>
    <row r="1835" spans="1:36" x14ac:dyDescent="0.25">
      <c r="A1835" t="s">
        <v>5411</v>
      </c>
      <c r="B1835" t="s">
        <v>16</v>
      </c>
      <c r="C1835" t="s">
        <v>17</v>
      </c>
      <c r="D1835">
        <v>39795000</v>
      </c>
      <c r="E1835">
        <v>39799999</v>
      </c>
      <c r="F1835" t="s">
        <v>1651</v>
      </c>
      <c r="G1835" t="str">
        <f t="shared" si="56"/>
        <v>MGI II</v>
      </c>
      <c r="H1835" t="s">
        <v>851</v>
      </c>
      <c r="I1835" t="s">
        <v>20</v>
      </c>
      <c r="J1835" t="s">
        <v>64</v>
      </c>
      <c r="K1835" s="6">
        <v>0.03</v>
      </c>
      <c r="L1835" s="7">
        <f t="shared" si="57"/>
        <v>2E-3</v>
      </c>
      <c r="M1835" s="7">
        <v>3.0000000000000001E-3</v>
      </c>
      <c r="N1835">
        <v>8</v>
      </c>
      <c r="O1835" s="8">
        <v>17.822306426995311</v>
      </c>
      <c r="P1835" s="9">
        <v>17.822306426995311</v>
      </c>
      <c r="Q1835" s="9">
        <v>17.822306426995311</v>
      </c>
      <c r="R1835" s="9">
        <v>18.237663306594719</v>
      </c>
      <c r="S1835" s="9">
        <v>18.48712920931133</v>
      </c>
      <c r="T1835" s="9">
        <v>19.201553596969877</v>
      </c>
      <c r="U1835" s="9">
        <v>20.562345482855957</v>
      </c>
      <c r="V1835" s="9">
        <v>20.562345482855957</v>
      </c>
      <c r="W1835" s="9">
        <v>20.562345482855957</v>
      </c>
      <c r="X1835" s="9">
        <v>22.391977691000818</v>
      </c>
      <c r="Y1835" s="9">
        <v>22.391977691000818</v>
      </c>
      <c r="Z1835" s="9">
        <v>24.28858708803979</v>
      </c>
      <c r="AA1835" s="9">
        <v>24.28858708803979</v>
      </c>
      <c r="AB1835" s="9">
        <v>25.117335532005217</v>
      </c>
      <c r="AC1835" s="9">
        <v>25.117335532005217</v>
      </c>
      <c r="AD1835" s="9">
        <v>29.039116491286865</v>
      </c>
      <c r="AE1835" s="9">
        <v>31.219251037281825</v>
      </c>
      <c r="AF1835" s="9">
        <v>33.487682081707895</v>
      </c>
      <c r="AG1835" s="9">
        <v>33.487682081707895</v>
      </c>
      <c r="AH1835" s="9">
        <v>36.427668170967245</v>
      </c>
      <c r="AI1835" s="9">
        <v>38.74455996597662</v>
      </c>
      <c r="AJ1835" s="9">
        <v>3.0428788910505911</v>
      </c>
    </row>
    <row r="1836" spans="1:36" x14ac:dyDescent="0.25">
      <c r="A1836" t="s">
        <v>5411</v>
      </c>
      <c r="B1836" t="s">
        <v>16</v>
      </c>
      <c r="C1836" t="s">
        <v>17</v>
      </c>
      <c r="D1836">
        <v>39800000</v>
      </c>
      <c r="E1836">
        <v>39809999</v>
      </c>
      <c r="F1836" t="s">
        <v>1652</v>
      </c>
      <c r="G1836" t="str">
        <f t="shared" si="56"/>
        <v>MGI</v>
      </c>
      <c r="H1836" t="s">
        <v>851</v>
      </c>
      <c r="I1836" t="s">
        <v>20</v>
      </c>
      <c r="J1836" t="s">
        <v>62</v>
      </c>
      <c r="K1836" s="6">
        <v>0.03</v>
      </c>
      <c r="L1836" s="7">
        <f t="shared" si="57"/>
        <v>2E-3</v>
      </c>
      <c r="M1836" s="7">
        <v>3.0000000000000001E-3</v>
      </c>
      <c r="N1836">
        <v>8</v>
      </c>
      <c r="O1836" s="8">
        <v>13.880385281502075</v>
      </c>
      <c r="P1836" s="9">
        <v>13.880385281502075</v>
      </c>
      <c r="Q1836" s="9">
        <v>13.880385281502075</v>
      </c>
      <c r="R1836" s="9">
        <v>14.045989937445718</v>
      </c>
      <c r="S1836" s="9">
        <v>14.060876315369912</v>
      </c>
      <c r="T1836" s="9">
        <v>15.090338571208333</v>
      </c>
      <c r="U1836" s="9">
        <v>16.025407313902726</v>
      </c>
      <c r="V1836" s="9">
        <v>16.025407313902726</v>
      </c>
      <c r="W1836" s="9">
        <v>16.025407313902726</v>
      </c>
      <c r="X1836" s="9">
        <v>18.013895748167766</v>
      </c>
      <c r="Y1836" s="9">
        <v>18.013895748167766</v>
      </c>
      <c r="Z1836" s="9">
        <v>20.142868501532355</v>
      </c>
      <c r="AA1836" s="9">
        <v>20.142868501532355</v>
      </c>
      <c r="AB1836" s="9">
        <v>22.456349831314476</v>
      </c>
      <c r="AC1836" s="9">
        <v>22.456349831314476</v>
      </c>
      <c r="AD1836" s="9">
        <v>24.87984091164185</v>
      </c>
      <c r="AE1836" s="9">
        <v>27.427492221952345</v>
      </c>
      <c r="AF1836" s="9">
        <v>33.194804868730657</v>
      </c>
      <c r="AG1836" s="9">
        <v>33.194804868730657</v>
      </c>
      <c r="AH1836" s="9">
        <v>35.957808835828068</v>
      </c>
      <c r="AI1836" s="9">
        <v>38.646304092692077</v>
      </c>
      <c r="AJ1836" s="9">
        <v>3.0428788910505911</v>
      </c>
    </row>
    <row r="1837" spans="1:36" x14ac:dyDescent="0.25">
      <c r="A1837" t="s">
        <v>5411</v>
      </c>
      <c r="B1837" t="s">
        <v>16</v>
      </c>
      <c r="C1837" t="s">
        <v>17</v>
      </c>
      <c r="D1837">
        <v>39810000</v>
      </c>
      <c r="E1837">
        <v>39813999</v>
      </c>
      <c r="F1837" t="s">
        <v>1653</v>
      </c>
      <c r="G1837" t="str">
        <f t="shared" si="56"/>
        <v>MGI II</v>
      </c>
      <c r="H1837" t="s">
        <v>851</v>
      </c>
      <c r="I1837" t="s">
        <v>20</v>
      </c>
      <c r="J1837" t="s">
        <v>64</v>
      </c>
      <c r="K1837" s="6">
        <v>0.03</v>
      </c>
      <c r="L1837" s="7">
        <f t="shared" si="57"/>
        <v>2E-3</v>
      </c>
      <c r="M1837" s="7">
        <v>3.0000000000000001E-3</v>
      </c>
      <c r="N1837">
        <v>6</v>
      </c>
      <c r="O1837" s="8">
        <v>17.822306426995311</v>
      </c>
      <c r="P1837" s="9">
        <v>17.822306426995311</v>
      </c>
      <c r="Q1837" s="9">
        <v>17.822306426995311</v>
      </c>
      <c r="R1837" s="9">
        <v>18.237663306594719</v>
      </c>
      <c r="S1837" s="9">
        <v>18.48712920931133</v>
      </c>
      <c r="T1837" s="9">
        <v>19.201553596969877</v>
      </c>
      <c r="U1837" s="9">
        <v>20.562345482855957</v>
      </c>
      <c r="V1837" s="9">
        <v>20.562345482855957</v>
      </c>
      <c r="W1837" s="9">
        <v>20.562345482855957</v>
      </c>
      <c r="X1837" s="9">
        <v>22.391977691000818</v>
      </c>
      <c r="Y1837" s="9">
        <v>22.391977691000818</v>
      </c>
      <c r="Z1837" s="9">
        <v>24.28858708803979</v>
      </c>
      <c r="AA1837" s="9">
        <v>24.28858708803979</v>
      </c>
      <c r="AB1837" s="9">
        <v>25.117335532005217</v>
      </c>
      <c r="AC1837" s="9">
        <v>25.117335532005217</v>
      </c>
      <c r="AD1837" s="9">
        <v>29.039116491286865</v>
      </c>
      <c r="AE1837" s="9">
        <v>31.219251037281825</v>
      </c>
      <c r="AF1837" s="9">
        <v>33.487682081707895</v>
      </c>
      <c r="AG1837" s="9">
        <v>33.487682081707895</v>
      </c>
      <c r="AH1837" s="9">
        <v>36.427668170967245</v>
      </c>
      <c r="AI1837" s="9">
        <v>38.74455996597662</v>
      </c>
      <c r="AJ1837" s="9">
        <v>3.0428788910505911</v>
      </c>
    </row>
    <row r="1838" spans="1:36" x14ac:dyDescent="0.25">
      <c r="A1838" t="s">
        <v>5411</v>
      </c>
      <c r="B1838" t="s">
        <v>16</v>
      </c>
      <c r="C1838" t="s">
        <v>17</v>
      </c>
      <c r="D1838">
        <v>39814000</v>
      </c>
      <c r="E1838">
        <v>39814999</v>
      </c>
      <c r="F1838" t="s">
        <v>1654</v>
      </c>
      <c r="G1838" t="str">
        <f t="shared" si="56"/>
        <v>MGI II</v>
      </c>
      <c r="H1838" t="s">
        <v>851</v>
      </c>
      <c r="I1838" t="s">
        <v>20</v>
      </c>
      <c r="J1838" t="s">
        <v>64</v>
      </c>
      <c r="K1838" s="6">
        <v>0.03</v>
      </c>
      <c r="L1838" s="7">
        <f t="shared" si="57"/>
        <v>2E-3</v>
      </c>
      <c r="M1838" s="7">
        <v>3.0000000000000001E-3</v>
      </c>
      <c r="N1838">
        <v>8</v>
      </c>
      <c r="O1838" s="8">
        <v>17.822306426995311</v>
      </c>
      <c r="P1838" s="9">
        <v>17.822306426995311</v>
      </c>
      <c r="Q1838" s="9">
        <v>17.822306426995311</v>
      </c>
      <c r="R1838" s="9">
        <v>18.237663306594719</v>
      </c>
      <c r="S1838" s="9">
        <v>18.48712920931133</v>
      </c>
      <c r="T1838" s="9">
        <v>19.201553596969877</v>
      </c>
      <c r="U1838" s="9">
        <v>20.562345482855957</v>
      </c>
      <c r="V1838" s="9">
        <v>20.562345482855957</v>
      </c>
      <c r="W1838" s="9">
        <v>20.562345482855957</v>
      </c>
      <c r="X1838" s="9">
        <v>22.391977691000818</v>
      </c>
      <c r="Y1838" s="9">
        <v>22.391977691000818</v>
      </c>
      <c r="Z1838" s="9">
        <v>24.28858708803979</v>
      </c>
      <c r="AA1838" s="9">
        <v>24.28858708803979</v>
      </c>
      <c r="AB1838" s="9">
        <v>25.117335532005217</v>
      </c>
      <c r="AC1838" s="9">
        <v>25.117335532005217</v>
      </c>
      <c r="AD1838" s="9">
        <v>29.039116491286865</v>
      </c>
      <c r="AE1838" s="9">
        <v>31.219251037281825</v>
      </c>
      <c r="AF1838" s="9">
        <v>33.487682081707895</v>
      </c>
      <c r="AG1838" s="9">
        <v>33.487682081707895</v>
      </c>
      <c r="AH1838" s="9">
        <v>36.427668170967245</v>
      </c>
      <c r="AI1838" s="9">
        <v>38.74455996597662</v>
      </c>
      <c r="AJ1838" s="9">
        <v>3.0428788910505911</v>
      </c>
    </row>
    <row r="1839" spans="1:36" x14ac:dyDescent="0.25">
      <c r="A1839" t="s">
        <v>5411</v>
      </c>
      <c r="B1839" t="s">
        <v>16</v>
      </c>
      <c r="C1839" t="s">
        <v>17</v>
      </c>
      <c r="D1839">
        <v>39815000</v>
      </c>
      <c r="E1839">
        <v>39815999</v>
      </c>
      <c r="F1839" t="s">
        <v>1655</v>
      </c>
      <c r="G1839" t="str">
        <f t="shared" si="56"/>
        <v>MGI II</v>
      </c>
      <c r="H1839" t="s">
        <v>851</v>
      </c>
      <c r="I1839" t="s">
        <v>20</v>
      </c>
      <c r="J1839" t="s">
        <v>64</v>
      </c>
      <c r="K1839" s="6">
        <v>0.03</v>
      </c>
      <c r="L1839" s="7">
        <f t="shared" si="57"/>
        <v>2E-3</v>
      </c>
      <c r="M1839" s="7">
        <v>3.0000000000000001E-3</v>
      </c>
      <c r="N1839">
        <v>8</v>
      </c>
      <c r="O1839" s="8">
        <v>17.822306426995311</v>
      </c>
      <c r="P1839" s="9">
        <v>17.822306426995311</v>
      </c>
      <c r="Q1839" s="9">
        <v>17.822306426995311</v>
      </c>
      <c r="R1839" s="9">
        <v>18.237663306594719</v>
      </c>
      <c r="S1839" s="9">
        <v>18.48712920931133</v>
      </c>
      <c r="T1839" s="9">
        <v>19.201553596969877</v>
      </c>
      <c r="U1839" s="9">
        <v>20.562345482855957</v>
      </c>
      <c r="V1839" s="9">
        <v>20.562345482855957</v>
      </c>
      <c r="W1839" s="9">
        <v>20.562345482855957</v>
      </c>
      <c r="X1839" s="9">
        <v>22.391977691000818</v>
      </c>
      <c r="Y1839" s="9">
        <v>22.391977691000818</v>
      </c>
      <c r="Z1839" s="9">
        <v>24.28858708803979</v>
      </c>
      <c r="AA1839" s="9">
        <v>24.28858708803979</v>
      </c>
      <c r="AB1839" s="9">
        <v>25.117335532005217</v>
      </c>
      <c r="AC1839" s="9">
        <v>25.117335532005217</v>
      </c>
      <c r="AD1839" s="9">
        <v>29.039116491286865</v>
      </c>
      <c r="AE1839" s="9">
        <v>31.219251037281825</v>
      </c>
      <c r="AF1839" s="9">
        <v>33.487682081707895</v>
      </c>
      <c r="AG1839" s="9">
        <v>33.487682081707895</v>
      </c>
      <c r="AH1839" s="9">
        <v>36.427668170967245</v>
      </c>
      <c r="AI1839" s="9">
        <v>38.74455996597662</v>
      </c>
      <c r="AJ1839" s="9">
        <v>3.0428788910505911</v>
      </c>
    </row>
    <row r="1840" spans="1:36" x14ac:dyDescent="0.25">
      <c r="A1840" t="s">
        <v>5411</v>
      </c>
      <c r="B1840" t="s">
        <v>16</v>
      </c>
      <c r="C1840" t="s">
        <v>17</v>
      </c>
      <c r="D1840">
        <v>39816000</v>
      </c>
      <c r="E1840">
        <v>39816999</v>
      </c>
      <c r="F1840" t="s">
        <v>1656</v>
      </c>
      <c r="G1840" t="str">
        <f t="shared" si="56"/>
        <v>MGI II</v>
      </c>
      <c r="H1840" t="s">
        <v>851</v>
      </c>
      <c r="I1840" t="s">
        <v>20</v>
      </c>
      <c r="J1840" t="s">
        <v>64</v>
      </c>
      <c r="K1840" s="6">
        <v>0.03</v>
      </c>
      <c r="L1840" s="7">
        <f t="shared" si="57"/>
        <v>2E-3</v>
      </c>
      <c r="M1840" s="7">
        <v>3.0000000000000001E-3</v>
      </c>
      <c r="N1840">
        <v>8</v>
      </c>
      <c r="O1840" s="8">
        <v>17.822306426995311</v>
      </c>
      <c r="P1840" s="9">
        <v>17.822306426995311</v>
      </c>
      <c r="Q1840" s="9">
        <v>17.822306426995311</v>
      </c>
      <c r="R1840" s="9">
        <v>18.237663306594719</v>
      </c>
      <c r="S1840" s="9">
        <v>18.48712920931133</v>
      </c>
      <c r="T1840" s="9">
        <v>19.201553596969877</v>
      </c>
      <c r="U1840" s="9">
        <v>20.562345482855957</v>
      </c>
      <c r="V1840" s="9">
        <v>20.562345482855957</v>
      </c>
      <c r="W1840" s="9">
        <v>20.562345482855957</v>
      </c>
      <c r="X1840" s="9">
        <v>22.391977691000818</v>
      </c>
      <c r="Y1840" s="9">
        <v>22.391977691000818</v>
      </c>
      <c r="Z1840" s="9">
        <v>24.28858708803979</v>
      </c>
      <c r="AA1840" s="9">
        <v>24.28858708803979</v>
      </c>
      <c r="AB1840" s="9">
        <v>25.117335532005217</v>
      </c>
      <c r="AC1840" s="9">
        <v>25.117335532005217</v>
      </c>
      <c r="AD1840" s="9">
        <v>29.039116491286865</v>
      </c>
      <c r="AE1840" s="9">
        <v>31.219251037281825</v>
      </c>
      <c r="AF1840" s="9">
        <v>33.487682081707895</v>
      </c>
      <c r="AG1840" s="9">
        <v>33.487682081707895</v>
      </c>
      <c r="AH1840" s="9">
        <v>36.427668170967245</v>
      </c>
      <c r="AI1840" s="9">
        <v>38.74455996597662</v>
      </c>
      <c r="AJ1840" s="9">
        <v>3.0428788910505911</v>
      </c>
    </row>
    <row r="1841" spans="1:36" x14ac:dyDescent="0.25">
      <c r="A1841" t="s">
        <v>5411</v>
      </c>
      <c r="B1841" t="s">
        <v>16</v>
      </c>
      <c r="C1841" t="s">
        <v>17</v>
      </c>
      <c r="D1841">
        <v>39817000</v>
      </c>
      <c r="E1841">
        <v>39817999</v>
      </c>
      <c r="F1841" t="s">
        <v>1657</v>
      </c>
      <c r="G1841" t="str">
        <f t="shared" si="56"/>
        <v>MGI II</v>
      </c>
      <c r="H1841" t="s">
        <v>851</v>
      </c>
      <c r="I1841" t="s">
        <v>20</v>
      </c>
      <c r="J1841" t="s">
        <v>64</v>
      </c>
      <c r="K1841" s="6">
        <v>0.03</v>
      </c>
      <c r="L1841" s="7">
        <f t="shared" si="57"/>
        <v>2E-3</v>
      </c>
      <c r="M1841" s="7">
        <v>3.0000000000000001E-3</v>
      </c>
      <c r="N1841">
        <v>7</v>
      </c>
      <c r="O1841" s="8">
        <v>17.822306426995311</v>
      </c>
      <c r="P1841" s="9">
        <v>17.822306426995311</v>
      </c>
      <c r="Q1841" s="9">
        <v>17.822306426995311</v>
      </c>
      <c r="R1841" s="9">
        <v>18.237663306594719</v>
      </c>
      <c r="S1841" s="9">
        <v>18.48712920931133</v>
      </c>
      <c r="T1841" s="9">
        <v>19.201553596969877</v>
      </c>
      <c r="U1841" s="9">
        <v>20.562345482855957</v>
      </c>
      <c r="V1841" s="9">
        <v>20.562345482855957</v>
      </c>
      <c r="W1841" s="9">
        <v>20.562345482855957</v>
      </c>
      <c r="X1841" s="9">
        <v>22.391977691000818</v>
      </c>
      <c r="Y1841" s="9">
        <v>22.391977691000818</v>
      </c>
      <c r="Z1841" s="9">
        <v>24.28858708803979</v>
      </c>
      <c r="AA1841" s="9">
        <v>24.28858708803979</v>
      </c>
      <c r="AB1841" s="9">
        <v>25.117335532005217</v>
      </c>
      <c r="AC1841" s="9">
        <v>25.117335532005217</v>
      </c>
      <c r="AD1841" s="9">
        <v>29.039116491286865</v>
      </c>
      <c r="AE1841" s="9">
        <v>31.219251037281825</v>
      </c>
      <c r="AF1841" s="9">
        <v>33.487682081707895</v>
      </c>
      <c r="AG1841" s="9">
        <v>33.487682081707895</v>
      </c>
      <c r="AH1841" s="9">
        <v>36.427668170967245</v>
      </c>
      <c r="AI1841" s="9">
        <v>38.74455996597662</v>
      </c>
      <c r="AJ1841" s="9">
        <v>3.0428788910505911</v>
      </c>
    </row>
    <row r="1842" spans="1:36" x14ac:dyDescent="0.25">
      <c r="A1842" t="s">
        <v>5411</v>
      </c>
      <c r="B1842" t="s">
        <v>16</v>
      </c>
      <c r="C1842" t="s">
        <v>17</v>
      </c>
      <c r="D1842">
        <v>39818000</v>
      </c>
      <c r="E1842">
        <v>39819999</v>
      </c>
      <c r="F1842" t="s">
        <v>1658</v>
      </c>
      <c r="G1842" t="str">
        <f t="shared" si="56"/>
        <v>MGI II</v>
      </c>
      <c r="H1842" t="s">
        <v>851</v>
      </c>
      <c r="I1842" t="s">
        <v>20</v>
      </c>
      <c r="J1842" t="s">
        <v>64</v>
      </c>
      <c r="K1842" s="6">
        <v>0.03</v>
      </c>
      <c r="L1842" s="7">
        <f t="shared" si="57"/>
        <v>2E-3</v>
      </c>
      <c r="M1842" s="7">
        <v>3.0000000000000001E-3</v>
      </c>
      <c r="N1842">
        <v>7</v>
      </c>
      <c r="O1842" s="8">
        <v>17.822306426995311</v>
      </c>
      <c r="P1842" s="9">
        <v>17.822306426995311</v>
      </c>
      <c r="Q1842" s="9">
        <v>17.822306426995311</v>
      </c>
      <c r="R1842" s="9">
        <v>18.237663306594719</v>
      </c>
      <c r="S1842" s="9">
        <v>18.48712920931133</v>
      </c>
      <c r="T1842" s="9">
        <v>19.201553596969877</v>
      </c>
      <c r="U1842" s="9">
        <v>20.562345482855957</v>
      </c>
      <c r="V1842" s="9">
        <v>20.562345482855957</v>
      </c>
      <c r="W1842" s="9">
        <v>20.562345482855957</v>
      </c>
      <c r="X1842" s="9">
        <v>22.391977691000818</v>
      </c>
      <c r="Y1842" s="9">
        <v>22.391977691000818</v>
      </c>
      <c r="Z1842" s="9">
        <v>24.28858708803979</v>
      </c>
      <c r="AA1842" s="9">
        <v>24.28858708803979</v>
      </c>
      <c r="AB1842" s="9">
        <v>25.117335532005217</v>
      </c>
      <c r="AC1842" s="9">
        <v>25.117335532005217</v>
      </c>
      <c r="AD1842" s="9">
        <v>29.039116491286865</v>
      </c>
      <c r="AE1842" s="9">
        <v>31.219251037281825</v>
      </c>
      <c r="AF1842" s="9">
        <v>33.487682081707895</v>
      </c>
      <c r="AG1842" s="9">
        <v>33.487682081707895</v>
      </c>
      <c r="AH1842" s="9">
        <v>36.427668170967245</v>
      </c>
      <c r="AI1842" s="9">
        <v>38.74455996597662</v>
      </c>
      <c r="AJ1842" s="9">
        <v>3.0428788910505911</v>
      </c>
    </row>
    <row r="1843" spans="1:36" x14ac:dyDescent="0.25">
      <c r="A1843" t="s">
        <v>5411</v>
      </c>
      <c r="B1843" t="s">
        <v>16</v>
      </c>
      <c r="C1843" t="s">
        <v>17</v>
      </c>
      <c r="D1843">
        <v>39820000</v>
      </c>
      <c r="E1843">
        <v>39824999</v>
      </c>
      <c r="F1843" t="s">
        <v>1659</v>
      </c>
      <c r="G1843" t="str">
        <f t="shared" si="56"/>
        <v>MGI II</v>
      </c>
      <c r="H1843" t="s">
        <v>851</v>
      </c>
      <c r="I1843" t="s">
        <v>20</v>
      </c>
      <c r="J1843" t="s">
        <v>64</v>
      </c>
      <c r="K1843" s="6">
        <v>0.03</v>
      </c>
      <c r="L1843" s="7">
        <f t="shared" si="57"/>
        <v>2E-3</v>
      </c>
      <c r="M1843" s="7">
        <v>3.0000000000000001E-3</v>
      </c>
      <c r="N1843">
        <v>7</v>
      </c>
      <c r="O1843" s="8">
        <v>17.822306426995311</v>
      </c>
      <c r="P1843" s="9">
        <v>17.822306426995311</v>
      </c>
      <c r="Q1843" s="9">
        <v>17.822306426995311</v>
      </c>
      <c r="R1843" s="9">
        <v>18.237663306594719</v>
      </c>
      <c r="S1843" s="9">
        <v>18.48712920931133</v>
      </c>
      <c r="T1843" s="9">
        <v>19.201553596969877</v>
      </c>
      <c r="U1843" s="9">
        <v>20.562345482855957</v>
      </c>
      <c r="V1843" s="9">
        <v>20.562345482855957</v>
      </c>
      <c r="W1843" s="9">
        <v>20.562345482855957</v>
      </c>
      <c r="X1843" s="9">
        <v>22.391977691000818</v>
      </c>
      <c r="Y1843" s="9">
        <v>22.391977691000818</v>
      </c>
      <c r="Z1843" s="9">
        <v>24.28858708803979</v>
      </c>
      <c r="AA1843" s="9">
        <v>24.28858708803979</v>
      </c>
      <c r="AB1843" s="9">
        <v>25.117335532005217</v>
      </c>
      <c r="AC1843" s="9">
        <v>25.117335532005217</v>
      </c>
      <c r="AD1843" s="9">
        <v>29.039116491286865</v>
      </c>
      <c r="AE1843" s="9">
        <v>31.219251037281825</v>
      </c>
      <c r="AF1843" s="9">
        <v>33.487682081707895</v>
      </c>
      <c r="AG1843" s="9">
        <v>33.487682081707895</v>
      </c>
      <c r="AH1843" s="9">
        <v>36.427668170967245</v>
      </c>
      <c r="AI1843" s="9">
        <v>38.74455996597662</v>
      </c>
      <c r="AJ1843" s="9">
        <v>3.0428788910505911</v>
      </c>
    </row>
    <row r="1844" spans="1:36" x14ac:dyDescent="0.25">
      <c r="A1844" t="s">
        <v>5411</v>
      </c>
      <c r="B1844" t="s">
        <v>16</v>
      </c>
      <c r="C1844" t="s">
        <v>17</v>
      </c>
      <c r="D1844">
        <v>39825000</v>
      </c>
      <c r="E1844">
        <v>39826999</v>
      </c>
      <c r="F1844" t="s">
        <v>1660</v>
      </c>
      <c r="G1844" t="str">
        <f t="shared" si="56"/>
        <v>MGI II</v>
      </c>
      <c r="H1844" t="s">
        <v>851</v>
      </c>
      <c r="I1844" t="s">
        <v>20</v>
      </c>
      <c r="J1844" t="s">
        <v>64</v>
      </c>
      <c r="K1844" s="6">
        <v>0.03</v>
      </c>
      <c r="L1844" s="7">
        <f t="shared" si="57"/>
        <v>2E-3</v>
      </c>
      <c r="M1844" s="7">
        <v>3.0000000000000001E-3</v>
      </c>
      <c r="N1844">
        <v>8</v>
      </c>
      <c r="O1844" s="8">
        <v>17.822306426995311</v>
      </c>
      <c r="P1844" s="9">
        <v>17.822306426995311</v>
      </c>
      <c r="Q1844" s="9">
        <v>17.822306426995311</v>
      </c>
      <c r="R1844" s="9">
        <v>18.237663306594719</v>
      </c>
      <c r="S1844" s="9">
        <v>18.48712920931133</v>
      </c>
      <c r="T1844" s="9">
        <v>19.201553596969877</v>
      </c>
      <c r="U1844" s="9">
        <v>20.562345482855957</v>
      </c>
      <c r="V1844" s="9">
        <v>20.562345482855957</v>
      </c>
      <c r="W1844" s="9">
        <v>20.562345482855957</v>
      </c>
      <c r="X1844" s="9">
        <v>22.391977691000818</v>
      </c>
      <c r="Y1844" s="9">
        <v>22.391977691000818</v>
      </c>
      <c r="Z1844" s="9">
        <v>24.28858708803979</v>
      </c>
      <c r="AA1844" s="9">
        <v>24.28858708803979</v>
      </c>
      <c r="AB1844" s="9">
        <v>25.117335532005217</v>
      </c>
      <c r="AC1844" s="9">
        <v>25.117335532005217</v>
      </c>
      <c r="AD1844" s="9">
        <v>29.039116491286865</v>
      </c>
      <c r="AE1844" s="9">
        <v>31.219251037281825</v>
      </c>
      <c r="AF1844" s="9">
        <v>33.487682081707895</v>
      </c>
      <c r="AG1844" s="9">
        <v>33.487682081707895</v>
      </c>
      <c r="AH1844" s="9">
        <v>36.427668170967245</v>
      </c>
      <c r="AI1844" s="9">
        <v>38.74455996597662</v>
      </c>
      <c r="AJ1844" s="9">
        <v>3.0428788910505911</v>
      </c>
    </row>
    <row r="1845" spans="1:36" x14ac:dyDescent="0.25">
      <c r="A1845" t="s">
        <v>5411</v>
      </c>
      <c r="B1845" t="s">
        <v>16</v>
      </c>
      <c r="C1845" t="s">
        <v>17</v>
      </c>
      <c r="D1845">
        <v>39827000</v>
      </c>
      <c r="E1845">
        <v>39829999</v>
      </c>
      <c r="F1845" t="s">
        <v>1661</v>
      </c>
      <c r="G1845" t="str">
        <f t="shared" si="56"/>
        <v>MGI II</v>
      </c>
      <c r="H1845" t="s">
        <v>851</v>
      </c>
      <c r="I1845" t="s">
        <v>20</v>
      </c>
      <c r="J1845" t="s">
        <v>64</v>
      </c>
      <c r="K1845" s="6">
        <v>0.03</v>
      </c>
      <c r="L1845" s="7">
        <f t="shared" si="57"/>
        <v>2E-3</v>
      </c>
      <c r="M1845" s="7">
        <v>3.0000000000000001E-3</v>
      </c>
      <c r="N1845">
        <v>8</v>
      </c>
      <c r="O1845" s="8">
        <v>17.822306426995311</v>
      </c>
      <c r="P1845" s="9">
        <v>17.822306426995311</v>
      </c>
      <c r="Q1845" s="9">
        <v>17.822306426995311</v>
      </c>
      <c r="R1845" s="9">
        <v>18.237663306594719</v>
      </c>
      <c r="S1845" s="9">
        <v>18.48712920931133</v>
      </c>
      <c r="T1845" s="9">
        <v>19.201553596969877</v>
      </c>
      <c r="U1845" s="9">
        <v>20.562345482855957</v>
      </c>
      <c r="V1845" s="9">
        <v>20.562345482855957</v>
      </c>
      <c r="W1845" s="9">
        <v>20.562345482855957</v>
      </c>
      <c r="X1845" s="9">
        <v>22.391977691000818</v>
      </c>
      <c r="Y1845" s="9">
        <v>22.391977691000818</v>
      </c>
      <c r="Z1845" s="9">
        <v>24.28858708803979</v>
      </c>
      <c r="AA1845" s="9">
        <v>24.28858708803979</v>
      </c>
      <c r="AB1845" s="9">
        <v>25.117335532005217</v>
      </c>
      <c r="AC1845" s="9">
        <v>25.117335532005217</v>
      </c>
      <c r="AD1845" s="9">
        <v>29.039116491286865</v>
      </c>
      <c r="AE1845" s="9">
        <v>31.219251037281825</v>
      </c>
      <c r="AF1845" s="9">
        <v>33.487682081707895</v>
      </c>
      <c r="AG1845" s="9">
        <v>33.487682081707895</v>
      </c>
      <c r="AH1845" s="9">
        <v>36.427668170967245</v>
      </c>
      <c r="AI1845" s="9">
        <v>38.74455996597662</v>
      </c>
      <c r="AJ1845" s="9">
        <v>3.0428788910505911</v>
      </c>
    </row>
    <row r="1846" spans="1:36" x14ac:dyDescent="0.25">
      <c r="A1846" t="s">
        <v>5411</v>
      </c>
      <c r="B1846" t="s">
        <v>16</v>
      </c>
      <c r="C1846" t="s">
        <v>17</v>
      </c>
      <c r="D1846">
        <v>39830000</v>
      </c>
      <c r="E1846">
        <v>39834999</v>
      </c>
      <c r="F1846" t="s">
        <v>1662</v>
      </c>
      <c r="G1846" t="str">
        <f t="shared" si="56"/>
        <v>MGI II</v>
      </c>
      <c r="H1846" t="s">
        <v>851</v>
      </c>
      <c r="I1846" t="s">
        <v>20</v>
      </c>
      <c r="J1846" t="s">
        <v>64</v>
      </c>
      <c r="K1846" s="6">
        <v>0.03</v>
      </c>
      <c r="L1846" s="7">
        <f t="shared" si="57"/>
        <v>2E-3</v>
      </c>
      <c r="M1846" s="7">
        <v>3.0000000000000001E-3</v>
      </c>
      <c r="N1846">
        <v>8</v>
      </c>
      <c r="O1846" s="8">
        <v>17.822306426995311</v>
      </c>
      <c r="P1846" s="9">
        <v>17.822306426995311</v>
      </c>
      <c r="Q1846" s="9">
        <v>17.822306426995311</v>
      </c>
      <c r="R1846" s="9">
        <v>18.237663306594719</v>
      </c>
      <c r="S1846" s="9">
        <v>18.48712920931133</v>
      </c>
      <c r="T1846" s="9">
        <v>19.201553596969877</v>
      </c>
      <c r="U1846" s="9">
        <v>20.562345482855957</v>
      </c>
      <c r="V1846" s="9">
        <v>20.562345482855957</v>
      </c>
      <c r="W1846" s="9">
        <v>20.562345482855957</v>
      </c>
      <c r="X1846" s="9">
        <v>22.391977691000818</v>
      </c>
      <c r="Y1846" s="9">
        <v>22.391977691000818</v>
      </c>
      <c r="Z1846" s="9">
        <v>24.28858708803979</v>
      </c>
      <c r="AA1846" s="9">
        <v>24.28858708803979</v>
      </c>
      <c r="AB1846" s="9">
        <v>25.117335532005217</v>
      </c>
      <c r="AC1846" s="9">
        <v>25.117335532005217</v>
      </c>
      <c r="AD1846" s="9">
        <v>29.039116491286865</v>
      </c>
      <c r="AE1846" s="9">
        <v>31.219251037281825</v>
      </c>
      <c r="AF1846" s="9">
        <v>33.487682081707895</v>
      </c>
      <c r="AG1846" s="9">
        <v>33.487682081707895</v>
      </c>
      <c r="AH1846" s="9">
        <v>36.427668170967245</v>
      </c>
      <c r="AI1846" s="9">
        <v>38.74455996597662</v>
      </c>
      <c r="AJ1846" s="9">
        <v>3.0428788910505911</v>
      </c>
    </row>
    <row r="1847" spans="1:36" x14ac:dyDescent="0.25">
      <c r="A1847" t="s">
        <v>5411</v>
      </c>
      <c r="B1847" t="s">
        <v>16</v>
      </c>
      <c r="C1847" t="s">
        <v>17</v>
      </c>
      <c r="D1847">
        <v>39835000</v>
      </c>
      <c r="E1847">
        <v>39836999</v>
      </c>
      <c r="F1847" t="s">
        <v>1663</v>
      </c>
      <c r="G1847" t="str">
        <f t="shared" si="56"/>
        <v>MGI II</v>
      </c>
      <c r="H1847" t="s">
        <v>851</v>
      </c>
      <c r="I1847" t="s">
        <v>20</v>
      </c>
      <c r="J1847" t="s">
        <v>64</v>
      </c>
      <c r="K1847" s="6">
        <v>0.03</v>
      </c>
      <c r="L1847" s="7">
        <f t="shared" si="57"/>
        <v>2E-3</v>
      </c>
      <c r="M1847" s="7">
        <v>3.0000000000000001E-3</v>
      </c>
      <c r="N1847">
        <v>8</v>
      </c>
      <c r="O1847" s="8">
        <v>17.822306426995311</v>
      </c>
      <c r="P1847" s="9">
        <v>17.822306426995311</v>
      </c>
      <c r="Q1847" s="9">
        <v>17.822306426995311</v>
      </c>
      <c r="R1847" s="9">
        <v>18.237663306594719</v>
      </c>
      <c r="S1847" s="9">
        <v>18.48712920931133</v>
      </c>
      <c r="T1847" s="9">
        <v>19.201553596969877</v>
      </c>
      <c r="U1847" s="9">
        <v>20.562345482855957</v>
      </c>
      <c r="V1847" s="9">
        <v>20.562345482855957</v>
      </c>
      <c r="W1847" s="9">
        <v>20.562345482855957</v>
      </c>
      <c r="X1847" s="9">
        <v>22.391977691000818</v>
      </c>
      <c r="Y1847" s="9">
        <v>22.391977691000818</v>
      </c>
      <c r="Z1847" s="9">
        <v>24.28858708803979</v>
      </c>
      <c r="AA1847" s="9">
        <v>24.28858708803979</v>
      </c>
      <c r="AB1847" s="9">
        <v>25.117335532005217</v>
      </c>
      <c r="AC1847" s="9">
        <v>25.117335532005217</v>
      </c>
      <c r="AD1847" s="9">
        <v>29.039116491286865</v>
      </c>
      <c r="AE1847" s="9">
        <v>31.219251037281825</v>
      </c>
      <c r="AF1847" s="9">
        <v>33.487682081707895</v>
      </c>
      <c r="AG1847" s="9">
        <v>33.487682081707895</v>
      </c>
      <c r="AH1847" s="9">
        <v>36.427668170967245</v>
      </c>
      <c r="AI1847" s="9">
        <v>38.74455996597662</v>
      </c>
      <c r="AJ1847" s="9">
        <v>3.0428788910505911</v>
      </c>
    </row>
    <row r="1848" spans="1:36" x14ac:dyDescent="0.25">
      <c r="A1848" t="s">
        <v>5411</v>
      </c>
      <c r="B1848" t="s">
        <v>16</v>
      </c>
      <c r="C1848" t="s">
        <v>17</v>
      </c>
      <c r="D1848">
        <v>39837000</v>
      </c>
      <c r="E1848">
        <v>39839999</v>
      </c>
      <c r="F1848" t="s">
        <v>1664</v>
      </c>
      <c r="G1848" t="str">
        <f t="shared" si="56"/>
        <v>MGI II</v>
      </c>
      <c r="H1848" t="s">
        <v>851</v>
      </c>
      <c r="I1848" t="s">
        <v>20</v>
      </c>
      <c r="J1848" t="s">
        <v>64</v>
      </c>
      <c r="K1848" s="6">
        <v>0.03</v>
      </c>
      <c r="L1848" s="7">
        <f t="shared" si="57"/>
        <v>2E-3</v>
      </c>
      <c r="M1848" s="7">
        <v>3.0000000000000001E-3</v>
      </c>
      <c r="N1848">
        <v>8</v>
      </c>
      <c r="O1848" s="8">
        <v>17.822306426995311</v>
      </c>
      <c r="P1848" s="9">
        <v>17.822306426995311</v>
      </c>
      <c r="Q1848" s="9">
        <v>17.822306426995311</v>
      </c>
      <c r="R1848" s="9">
        <v>18.237663306594719</v>
      </c>
      <c r="S1848" s="9">
        <v>18.48712920931133</v>
      </c>
      <c r="T1848" s="9">
        <v>19.201553596969877</v>
      </c>
      <c r="U1848" s="9">
        <v>20.562345482855957</v>
      </c>
      <c r="V1848" s="9">
        <v>20.562345482855957</v>
      </c>
      <c r="W1848" s="9">
        <v>20.562345482855957</v>
      </c>
      <c r="X1848" s="9">
        <v>22.391977691000818</v>
      </c>
      <c r="Y1848" s="9">
        <v>22.391977691000818</v>
      </c>
      <c r="Z1848" s="9">
        <v>24.28858708803979</v>
      </c>
      <c r="AA1848" s="9">
        <v>24.28858708803979</v>
      </c>
      <c r="AB1848" s="9">
        <v>25.117335532005217</v>
      </c>
      <c r="AC1848" s="9">
        <v>25.117335532005217</v>
      </c>
      <c r="AD1848" s="9">
        <v>29.039116491286865</v>
      </c>
      <c r="AE1848" s="9">
        <v>31.219251037281825</v>
      </c>
      <c r="AF1848" s="9">
        <v>33.487682081707895</v>
      </c>
      <c r="AG1848" s="9">
        <v>33.487682081707895</v>
      </c>
      <c r="AH1848" s="9">
        <v>36.427668170967245</v>
      </c>
      <c r="AI1848" s="9">
        <v>38.74455996597662</v>
      </c>
      <c r="AJ1848" s="9">
        <v>3.0428788910505911</v>
      </c>
    </row>
    <row r="1849" spans="1:36" x14ac:dyDescent="0.25">
      <c r="A1849" t="s">
        <v>5411</v>
      </c>
      <c r="B1849" t="s">
        <v>16</v>
      </c>
      <c r="C1849" t="s">
        <v>17</v>
      </c>
      <c r="D1849">
        <v>39840000</v>
      </c>
      <c r="E1849">
        <v>39847999</v>
      </c>
      <c r="F1849" t="s">
        <v>1665</v>
      </c>
      <c r="G1849" t="str">
        <f t="shared" si="56"/>
        <v>MGI II</v>
      </c>
      <c r="H1849" t="s">
        <v>851</v>
      </c>
      <c r="I1849" t="s">
        <v>20</v>
      </c>
      <c r="J1849" t="s">
        <v>64</v>
      </c>
      <c r="K1849" s="6">
        <v>0.03</v>
      </c>
      <c r="L1849" s="7">
        <f t="shared" si="57"/>
        <v>2E-3</v>
      </c>
      <c r="M1849" s="7">
        <v>3.0000000000000001E-3</v>
      </c>
      <c r="N1849">
        <v>8</v>
      </c>
      <c r="O1849" s="8">
        <v>17.822306426995311</v>
      </c>
      <c r="P1849" s="9">
        <v>17.822306426995311</v>
      </c>
      <c r="Q1849" s="9">
        <v>17.822306426995311</v>
      </c>
      <c r="R1849" s="9">
        <v>18.237663306594719</v>
      </c>
      <c r="S1849" s="9">
        <v>18.48712920931133</v>
      </c>
      <c r="T1849" s="9">
        <v>19.201553596969877</v>
      </c>
      <c r="U1849" s="9">
        <v>20.562345482855957</v>
      </c>
      <c r="V1849" s="9">
        <v>20.562345482855957</v>
      </c>
      <c r="W1849" s="9">
        <v>20.562345482855957</v>
      </c>
      <c r="X1849" s="9">
        <v>22.391977691000818</v>
      </c>
      <c r="Y1849" s="9">
        <v>22.391977691000818</v>
      </c>
      <c r="Z1849" s="9">
        <v>24.28858708803979</v>
      </c>
      <c r="AA1849" s="9">
        <v>24.28858708803979</v>
      </c>
      <c r="AB1849" s="9">
        <v>25.117335532005217</v>
      </c>
      <c r="AC1849" s="9">
        <v>25.117335532005217</v>
      </c>
      <c r="AD1849" s="9">
        <v>29.039116491286865</v>
      </c>
      <c r="AE1849" s="9">
        <v>31.219251037281825</v>
      </c>
      <c r="AF1849" s="9">
        <v>33.487682081707895</v>
      </c>
      <c r="AG1849" s="9">
        <v>33.487682081707895</v>
      </c>
      <c r="AH1849" s="9">
        <v>36.427668170967245</v>
      </c>
      <c r="AI1849" s="9">
        <v>38.74455996597662</v>
      </c>
      <c r="AJ1849" s="9">
        <v>3.0428788910505911</v>
      </c>
    </row>
    <row r="1850" spans="1:36" x14ac:dyDescent="0.25">
      <c r="A1850" t="s">
        <v>5411</v>
      </c>
      <c r="B1850" t="s">
        <v>16</v>
      </c>
      <c r="C1850" t="s">
        <v>17</v>
      </c>
      <c r="D1850">
        <v>39848000</v>
      </c>
      <c r="E1850">
        <v>39849999</v>
      </c>
      <c r="F1850" t="s">
        <v>1666</v>
      </c>
      <c r="G1850" t="str">
        <f t="shared" si="56"/>
        <v>MGI II</v>
      </c>
      <c r="H1850" t="s">
        <v>851</v>
      </c>
      <c r="I1850" t="s">
        <v>20</v>
      </c>
      <c r="J1850" t="s">
        <v>64</v>
      </c>
      <c r="K1850" s="6">
        <v>0.03</v>
      </c>
      <c r="L1850" s="7">
        <f t="shared" si="57"/>
        <v>2E-3</v>
      </c>
      <c r="M1850" s="7">
        <v>3.0000000000000001E-3</v>
      </c>
      <c r="N1850">
        <v>8</v>
      </c>
      <c r="O1850" s="8">
        <v>17.822306426995311</v>
      </c>
      <c r="P1850" s="9">
        <v>17.822306426995311</v>
      </c>
      <c r="Q1850" s="9">
        <v>17.822306426995311</v>
      </c>
      <c r="R1850" s="9">
        <v>18.237663306594719</v>
      </c>
      <c r="S1850" s="9">
        <v>18.48712920931133</v>
      </c>
      <c r="T1850" s="9">
        <v>19.201553596969877</v>
      </c>
      <c r="U1850" s="9">
        <v>20.562345482855957</v>
      </c>
      <c r="V1850" s="9">
        <v>20.562345482855957</v>
      </c>
      <c r="W1850" s="9">
        <v>20.562345482855957</v>
      </c>
      <c r="X1850" s="9">
        <v>22.391977691000818</v>
      </c>
      <c r="Y1850" s="9">
        <v>22.391977691000818</v>
      </c>
      <c r="Z1850" s="9">
        <v>24.28858708803979</v>
      </c>
      <c r="AA1850" s="9">
        <v>24.28858708803979</v>
      </c>
      <c r="AB1850" s="9">
        <v>25.117335532005217</v>
      </c>
      <c r="AC1850" s="9">
        <v>25.117335532005217</v>
      </c>
      <c r="AD1850" s="9">
        <v>29.039116491286865</v>
      </c>
      <c r="AE1850" s="9">
        <v>31.219251037281825</v>
      </c>
      <c r="AF1850" s="9">
        <v>33.487682081707895</v>
      </c>
      <c r="AG1850" s="9">
        <v>33.487682081707895</v>
      </c>
      <c r="AH1850" s="9">
        <v>36.427668170967245</v>
      </c>
      <c r="AI1850" s="9">
        <v>38.74455996597662</v>
      </c>
      <c r="AJ1850" s="9">
        <v>3.0428788910505911</v>
      </c>
    </row>
    <row r="1851" spans="1:36" x14ac:dyDescent="0.25">
      <c r="A1851" t="s">
        <v>5411</v>
      </c>
      <c r="B1851" t="s">
        <v>16</v>
      </c>
      <c r="C1851" t="s">
        <v>17</v>
      </c>
      <c r="D1851">
        <v>39850000</v>
      </c>
      <c r="E1851">
        <v>39854999</v>
      </c>
      <c r="F1851" t="s">
        <v>1667</v>
      </c>
      <c r="G1851" t="str">
        <f t="shared" si="56"/>
        <v>MGI II</v>
      </c>
      <c r="H1851" t="s">
        <v>851</v>
      </c>
      <c r="I1851" t="s">
        <v>20</v>
      </c>
      <c r="J1851" t="s">
        <v>64</v>
      </c>
      <c r="K1851" s="6">
        <v>0.03</v>
      </c>
      <c r="L1851" s="7">
        <f t="shared" si="57"/>
        <v>2E-3</v>
      </c>
      <c r="M1851" s="7">
        <v>3.0000000000000001E-3</v>
      </c>
      <c r="N1851">
        <v>8</v>
      </c>
      <c r="O1851" s="8">
        <v>17.822306426995311</v>
      </c>
      <c r="P1851" s="9">
        <v>17.822306426995311</v>
      </c>
      <c r="Q1851" s="9">
        <v>17.822306426995311</v>
      </c>
      <c r="R1851" s="9">
        <v>18.237663306594719</v>
      </c>
      <c r="S1851" s="9">
        <v>18.48712920931133</v>
      </c>
      <c r="T1851" s="9">
        <v>19.201553596969877</v>
      </c>
      <c r="U1851" s="9">
        <v>20.562345482855957</v>
      </c>
      <c r="V1851" s="9">
        <v>20.562345482855957</v>
      </c>
      <c r="W1851" s="9">
        <v>20.562345482855957</v>
      </c>
      <c r="X1851" s="9">
        <v>22.391977691000818</v>
      </c>
      <c r="Y1851" s="9">
        <v>22.391977691000818</v>
      </c>
      <c r="Z1851" s="9">
        <v>24.28858708803979</v>
      </c>
      <c r="AA1851" s="9">
        <v>24.28858708803979</v>
      </c>
      <c r="AB1851" s="9">
        <v>25.117335532005217</v>
      </c>
      <c r="AC1851" s="9">
        <v>25.117335532005217</v>
      </c>
      <c r="AD1851" s="9">
        <v>29.039116491286865</v>
      </c>
      <c r="AE1851" s="9">
        <v>31.219251037281825</v>
      </c>
      <c r="AF1851" s="9">
        <v>33.487682081707895</v>
      </c>
      <c r="AG1851" s="9">
        <v>33.487682081707895</v>
      </c>
      <c r="AH1851" s="9">
        <v>36.427668170967245</v>
      </c>
      <c r="AI1851" s="9">
        <v>38.74455996597662</v>
      </c>
      <c r="AJ1851" s="9">
        <v>3.0428788910505911</v>
      </c>
    </row>
    <row r="1852" spans="1:36" x14ac:dyDescent="0.25">
      <c r="A1852" t="s">
        <v>5411</v>
      </c>
      <c r="B1852" t="s">
        <v>16</v>
      </c>
      <c r="C1852" t="s">
        <v>17</v>
      </c>
      <c r="D1852">
        <v>39855000</v>
      </c>
      <c r="E1852">
        <v>39859999</v>
      </c>
      <c r="F1852" t="s">
        <v>1668</v>
      </c>
      <c r="G1852" t="str">
        <f t="shared" si="56"/>
        <v>MGI II</v>
      </c>
      <c r="H1852" t="s">
        <v>851</v>
      </c>
      <c r="I1852" t="s">
        <v>20</v>
      </c>
      <c r="J1852" t="s">
        <v>64</v>
      </c>
      <c r="K1852" s="6">
        <v>0.03</v>
      </c>
      <c r="L1852" s="7">
        <f t="shared" si="57"/>
        <v>2E-3</v>
      </c>
      <c r="M1852" s="7">
        <v>3.0000000000000001E-3</v>
      </c>
      <c r="N1852">
        <v>8</v>
      </c>
      <c r="O1852" s="8">
        <v>17.822306426995311</v>
      </c>
      <c r="P1852" s="9">
        <v>17.822306426995311</v>
      </c>
      <c r="Q1852" s="9">
        <v>17.822306426995311</v>
      </c>
      <c r="R1852" s="9">
        <v>18.237663306594719</v>
      </c>
      <c r="S1852" s="9">
        <v>18.48712920931133</v>
      </c>
      <c r="T1852" s="9">
        <v>19.201553596969877</v>
      </c>
      <c r="U1852" s="9">
        <v>20.562345482855957</v>
      </c>
      <c r="V1852" s="9">
        <v>20.562345482855957</v>
      </c>
      <c r="W1852" s="9">
        <v>20.562345482855957</v>
      </c>
      <c r="X1852" s="9">
        <v>22.391977691000818</v>
      </c>
      <c r="Y1852" s="9">
        <v>22.391977691000818</v>
      </c>
      <c r="Z1852" s="9">
        <v>24.28858708803979</v>
      </c>
      <c r="AA1852" s="9">
        <v>24.28858708803979</v>
      </c>
      <c r="AB1852" s="9">
        <v>25.117335532005217</v>
      </c>
      <c r="AC1852" s="9">
        <v>25.117335532005217</v>
      </c>
      <c r="AD1852" s="9">
        <v>29.039116491286865</v>
      </c>
      <c r="AE1852" s="9">
        <v>31.219251037281825</v>
      </c>
      <c r="AF1852" s="9">
        <v>33.487682081707895</v>
      </c>
      <c r="AG1852" s="9">
        <v>33.487682081707895</v>
      </c>
      <c r="AH1852" s="9">
        <v>36.427668170967245</v>
      </c>
      <c r="AI1852" s="9">
        <v>38.74455996597662</v>
      </c>
      <c r="AJ1852" s="9">
        <v>3.0428788910505911</v>
      </c>
    </row>
    <row r="1853" spans="1:36" x14ac:dyDescent="0.25">
      <c r="A1853" t="s">
        <v>5411</v>
      </c>
      <c r="B1853" t="s">
        <v>16</v>
      </c>
      <c r="C1853" t="s">
        <v>17</v>
      </c>
      <c r="D1853">
        <v>39860000</v>
      </c>
      <c r="E1853">
        <v>39863999</v>
      </c>
      <c r="F1853" t="s">
        <v>1669</v>
      </c>
      <c r="G1853" t="str">
        <f t="shared" si="56"/>
        <v>MGI II</v>
      </c>
      <c r="H1853" t="s">
        <v>851</v>
      </c>
      <c r="I1853" t="s">
        <v>20</v>
      </c>
      <c r="J1853" t="s">
        <v>64</v>
      </c>
      <c r="K1853" s="6">
        <v>0.03</v>
      </c>
      <c r="L1853" s="7">
        <f t="shared" si="57"/>
        <v>2E-3</v>
      </c>
      <c r="M1853" s="7">
        <v>3.0000000000000001E-3</v>
      </c>
      <c r="N1853">
        <v>8</v>
      </c>
      <c r="O1853" s="8">
        <v>17.822306426995311</v>
      </c>
      <c r="P1853" s="9">
        <v>17.822306426995311</v>
      </c>
      <c r="Q1853" s="9">
        <v>17.822306426995311</v>
      </c>
      <c r="R1853" s="9">
        <v>18.237663306594719</v>
      </c>
      <c r="S1853" s="9">
        <v>18.48712920931133</v>
      </c>
      <c r="T1853" s="9">
        <v>19.201553596969877</v>
      </c>
      <c r="U1853" s="9">
        <v>20.562345482855957</v>
      </c>
      <c r="V1853" s="9">
        <v>20.562345482855957</v>
      </c>
      <c r="W1853" s="9">
        <v>20.562345482855957</v>
      </c>
      <c r="X1853" s="9">
        <v>22.391977691000818</v>
      </c>
      <c r="Y1853" s="9">
        <v>22.391977691000818</v>
      </c>
      <c r="Z1853" s="9">
        <v>24.28858708803979</v>
      </c>
      <c r="AA1853" s="9">
        <v>24.28858708803979</v>
      </c>
      <c r="AB1853" s="9">
        <v>25.117335532005217</v>
      </c>
      <c r="AC1853" s="9">
        <v>25.117335532005217</v>
      </c>
      <c r="AD1853" s="9">
        <v>29.039116491286865</v>
      </c>
      <c r="AE1853" s="9">
        <v>31.219251037281825</v>
      </c>
      <c r="AF1853" s="9">
        <v>33.487682081707895</v>
      </c>
      <c r="AG1853" s="9">
        <v>33.487682081707895</v>
      </c>
      <c r="AH1853" s="9">
        <v>36.427668170967245</v>
      </c>
      <c r="AI1853" s="9">
        <v>38.74455996597662</v>
      </c>
      <c r="AJ1853" s="9">
        <v>3.0428788910505911</v>
      </c>
    </row>
    <row r="1854" spans="1:36" x14ac:dyDescent="0.25">
      <c r="A1854" t="s">
        <v>5411</v>
      </c>
      <c r="B1854" t="s">
        <v>16</v>
      </c>
      <c r="C1854" t="s">
        <v>17</v>
      </c>
      <c r="D1854">
        <v>39864000</v>
      </c>
      <c r="E1854">
        <v>39867999</v>
      </c>
      <c r="F1854" t="s">
        <v>1670</v>
      </c>
      <c r="G1854" t="str">
        <f t="shared" si="56"/>
        <v>MGI II</v>
      </c>
      <c r="H1854" t="s">
        <v>851</v>
      </c>
      <c r="I1854" t="s">
        <v>20</v>
      </c>
      <c r="J1854" t="s">
        <v>64</v>
      </c>
      <c r="K1854" s="6">
        <v>0.03</v>
      </c>
      <c r="L1854" s="7">
        <f t="shared" si="57"/>
        <v>2E-3</v>
      </c>
      <c r="M1854" s="7">
        <v>3.0000000000000001E-3</v>
      </c>
      <c r="N1854">
        <v>8</v>
      </c>
      <c r="O1854" s="8">
        <v>17.822306426995311</v>
      </c>
      <c r="P1854" s="9">
        <v>17.822306426995311</v>
      </c>
      <c r="Q1854" s="9">
        <v>17.822306426995311</v>
      </c>
      <c r="R1854" s="9">
        <v>18.237663306594719</v>
      </c>
      <c r="S1854" s="9">
        <v>18.48712920931133</v>
      </c>
      <c r="T1854" s="9">
        <v>19.201553596969877</v>
      </c>
      <c r="U1854" s="9">
        <v>20.562345482855957</v>
      </c>
      <c r="V1854" s="9">
        <v>20.562345482855957</v>
      </c>
      <c r="W1854" s="9">
        <v>20.562345482855957</v>
      </c>
      <c r="X1854" s="9">
        <v>22.391977691000818</v>
      </c>
      <c r="Y1854" s="9">
        <v>22.391977691000818</v>
      </c>
      <c r="Z1854" s="9">
        <v>24.28858708803979</v>
      </c>
      <c r="AA1854" s="9">
        <v>24.28858708803979</v>
      </c>
      <c r="AB1854" s="9">
        <v>25.117335532005217</v>
      </c>
      <c r="AC1854" s="9">
        <v>25.117335532005217</v>
      </c>
      <c r="AD1854" s="9">
        <v>29.039116491286865</v>
      </c>
      <c r="AE1854" s="9">
        <v>31.219251037281825</v>
      </c>
      <c r="AF1854" s="9">
        <v>33.487682081707895</v>
      </c>
      <c r="AG1854" s="9">
        <v>33.487682081707895</v>
      </c>
      <c r="AH1854" s="9">
        <v>36.427668170967245</v>
      </c>
      <c r="AI1854" s="9">
        <v>38.74455996597662</v>
      </c>
      <c r="AJ1854" s="9">
        <v>3.0428788910505911</v>
      </c>
    </row>
    <row r="1855" spans="1:36" x14ac:dyDescent="0.25">
      <c r="A1855" t="s">
        <v>5411</v>
      </c>
      <c r="B1855" t="s">
        <v>16</v>
      </c>
      <c r="C1855" t="s">
        <v>17</v>
      </c>
      <c r="D1855">
        <v>39868000</v>
      </c>
      <c r="E1855">
        <v>39869999</v>
      </c>
      <c r="F1855" t="s">
        <v>1671</v>
      </c>
      <c r="G1855" t="str">
        <f t="shared" si="56"/>
        <v>MGI II</v>
      </c>
      <c r="H1855" t="s">
        <v>851</v>
      </c>
      <c r="I1855" t="s">
        <v>20</v>
      </c>
      <c r="J1855" t="s">
        <v>64</v>
      </c>
      <c r="K1855" s="6">
        <v>0.03</v>
      </c>
      <c r="L1855" s="7">
        <f t="shared" si="57"/>
        <v>2E-3</v>
      </c>
      <c r="M1855" s="7">
        <v>3.0000000000000001E-3</v>
      </c>
      <c r="N1855">
        <v>8</v>
      </c>
      <c r="O1855" s="8">
        <v>17.822306426995311</v>
      </c>
      <c r="P1855" s="9">
        <v>17.822306426995311</v>
      </c>
      <c r="Q1855" s="9">
        <v>17.822306426995311</v>
      </c>
      <c r="R1855" s="9">
        <v>18.237663306594719</v>
      </c>
      <c r="S1855" s="9">
        <v>18.48712920931133</v>
      </c>
      <c r="T1855" s="9">
        <v>19.201553596969877</v>
      </c>
      <c r="U1855" s="9">
        <v>20.562345482855957</v>
      </c>
      <c r="V1855" s="9">
        <v>20.562345482855957</v>
      </c>
      <c r="W1855" s="9">
        <v>20.562345482855957</v>
      </c>
      <c r="X1855" s="9">
        <v>22.391977691000818</v>
      </c>
      <c r="Y1855" s="9">
        <v>22.391977691000818</v>
      </c>
      <c r="Z1855" s="9">
        <v>24.28858708803979</v>
      </c>
      <c r="AA1855" s="9">
        <v>24.28858708803979</v>
      </c>
      <c r="AB1855" s="9">
        <v>25.117335532005217</v>
      </c>
      <c r="AC1855" s="9">
        <v>25.117335532005217</v>
      </c>
      <c r="AD1855" s="9">
        <v>29.039116491286865</v>
      </c>
      <c r="AE1855" s="9">
        <v>31.219251037281825</v>
      </c>
      <c r="AF1855" s="9">
        <v>33.487682081707895</v>
      </c>
      <c r="AG1855" s="9">
        <v>33.487682081707895</v>
      </c>
      <c r="AH1855" s="9">
        <v>36.427668170967245</v>
      </c>
      <c r="AI1855" s="9">
        <v>38.74455996597662</v>
      </c>
      <c r="AJ1855" s="9">
        <v>3.0428788910505911</v>
      </c>
    </row>
    <row r="1856" spans="1:36" x14ac:dyDescent="0.25">
      <c r="A1856" t="s">
        <v>5411</v>
      </c>
      <c r="B1856" t="s">
        <v>16</v>
      </c>
      <c r="C1856" t="s">
        <v>17</v>
      </c>
      <c r="D1856">
        <v>39870000</v>
      </c>
      <c r="E1856">
        <v>39872999</v>
      </c>
      <c r="F1856" t="s">
        <v>1672</v>
      </c>
      <c r="G1856" t="str">
        <f t="shared" si="56"/>
        <v>MGI II</v>
      </c>
      <c r="H1856" t="s">
        <v>851</v>
      </c>
      <c r="I1856" t="s">
        <v>20</v>
      </c>
      <c r="J1856" t="s">
        <v>64</v>
      </c>
      <c r="K1856" s="6">
        <v>0.03</v>
      </c>
      <c r="L1856" s="7">
        <f t="shared" si="57"/>
        <v>2E-3</v>
      </c>
      <c r="M1856" s="7">
        <v>3.0000000000000001E-3</v>
      </c>
      <c r="N1856">
        <v>7</v>
      </c>
      <c r="O1856" s="8">
        <v>17.822306426995311</v>
      </c>
      <c r="P1856" s="9">
        <v>17.822306426995311</v>
      </c>
      <c r="Q1856" s="9">
        <v>17.822306426995311</v>
      </c>
      <c r="R1856" s="9">
        <v>18.237663306594719</v>
      </c>
      <c r="S1856" s="9">
        <v>18.48712920931133</v>
      </c>
      <c r="T1856" s="9">
        <v>19.201553596969877</v>
      </c>
      <c r="U1856" s="9">
        <v>20.562345482855957</v>
      </c>
      <c r="V1856" s="9">
        <v>20.562345482855957</v>
      </c>
      <c r="W1856" s="9">
        <v>20.562345482855957</v>
      </c>
      <c r="X1856" s="9">
        <v>22.391977691000818</v>
      </c>
      <c r="Y1856" s="9">
        <v>22.391977691000818</v>
      </c>
      <c r="Z1856" s="9">
        <v>24.28858708803979</v>
      </c>
      <c r="AA1856" s="9">
        <v>24.28858708803979</v>
      </c>
      <c r="AB1856" s="9">
        <v>25.117335532005217</v>
      </c>
      <c r="AC1856" s="9">
        <v>25.117335532005217</v>
      </c>
      <c r="AD1856" s="9">
        <v>29.039116491286865</v>
      </c>
      <c r="AE1856" s="9">
        <v>31.219251037281825</v>
      </c>
      <c r="AF1856" s="9">
        <v>33.487682081707895</v>
      </c>
      <c r="AG1856" s="9">
        <v>33.487682081707895</v>
      </c>
      <c r="AH1856" s="9">
        <v>36.427668170967245</v>
      </c>
      <c r="AI1856" s="9">
        <v>38.74455996597662</v>
      </c>
      <c r="AJ1856" s="9">
        <v>3.0428788910505911</v>
      </c>
    </row>
    <row r="1857" spans="1:36" x14ac:dyDescent="0.25">
      <c r="A1857" t="s">
        <v>5411</v>
      </c>
      <c r="B1857" t="s">
        <v>16</v>
      </c>
      <c r="C1857" t="s">
        <v>17</v>
      </c>
      <c r="D1857">
        <v>39873000</v>
      </c>
      <c r="E1857">
        <v>39873999</v>
      </c>
      <c r="F1857" t="s">
        <v>1673</v>
      </c>
      <c r="G1857" t="str">
        <f t="shared" si="56"/>
        <v>MGI II</v>
      </c>
      <c r="H1857" t="s">
        <v>851</v>
      </c>
      <c r="I1857" t="s">
        <v>20</v>
      </c>
      <c r="J1857" t="s">
        <v>64</v>
      </c>
      <c r="K1857" s="6">
        <v>0.03</v>
      </c>
      <c r="L1857" s="7">
        <f t="shared" si="57"/>
        <v>2E-3</v>
      </c>
      <c r="M1857" s="7">
        <v>3.0000000000000001E-3</v>
      </c>
      <c r="N1857">
        <v>8</v>
      </c>
      <c r="O1857" s="8">
        <v>17.822306426995311</v>
      </c>
      <c r="P1857" s="9">
        <v>17.822306426995311</v>
      </c>
      <c r="Q1857" s="9">
        <v>17.822306426995311</v>
      </c>
      <c r="R1857" s="9">
        <v>18.237663306594719</v>
      </c>
      <c r="S1857" s="9">
        <v>18.48712920931133</v>
      </c>
      <c r="T1857" s="9">
        <v>19.201553596969877</v>
      </c>
      <c r="U1857" s="9">
        <v>20.562345482855957</v>
      </c>
      <c r="V1857" s="9">
        <v>20.562345482855957</v>
      </c>
      <c r="W1857" s="9">
        <v>20.562345482855957</v>
      </c>
      <c r="X1857" s="9">
        <v>22.391977691000818</v>
      </c>
      <c r="Y1857" s="9">
        <v>22.391977691000818</v>
      </c>
      <c r="Z1857" s="9">
        <v>24.28858708803979</v>
      </c>
      <c r="AA1857" s="9">
        <v>24.28858708803979</v>
      </c>
      <c r="AB1857" s="9">
        <v>25.117335532005217</v>
      </c>
      <c r="AC1857" s="9">
        <v>25.117335532005217</v>
      </c>
      <c r="AD1857" s="9">
        <v>29.039116491286865</v>
      </c>
      <c r="AE1857" s="9">
        <v>31.219251037281825</v>
      </c>
      <c r="AF1857" s="9">
        <v>33.487682081707895</v>
      </c>
      <c r="AG1857" s="9">
        <v>33.487682081707895</v>
      </c>
      <c r="AH1857" s="9">
        <v>36.427668170967245</v>
      </c>
      <c r="AI1857" s="9">
        <v>38.74455996597662</v>
      </c>
      <c r="AJ1857" s="9">
        <v>3.0428788910505911</v>
      </c>
    </row>
    <row r="1858" spans="1:36" x14ac:dyDescent="0.25">
      <c r="A1858" t="s">
        <v>5411</v>
      </c>
      <c r="B1858" t="s">
        <v>16</v>
      </c>
      <c r="C1858" t="s">
        <v>17</v>
      </c>
      <c r="D1858">
        <v>39874000</v>
      </c>
      <c r="E1858">
        <v>39874999</v>
      </c>
      <c r="F1858" t="s">
        <v>1674</v>
      </c>
      <c r="G1858" t="str">
        <f t="shared" si="56"/>
        <v>MGI II</v>
      </c>
      <c r="H1858" t="s">
        <v>851</v>
      </c>
      <c r="I1858" t="s">
        <v>20</v>
      </c>
      <c r="J1858" t="s">
        <v>64</v>
      </c>
      <c r="K1858" s="6">
        <v>0.03</v>
      </c>
      <c r="L1858" s="7">
        <f t="shared" si="57"/>
        <v>2E-3</v>
      </c>
      <c r="M1858" s="7">
        <v>3.0000000000000001E-3</v>
      </c>
      <c r="N1858">
        <v>8</v>
      </c>
      <c r="O1858" s="8">
        <v>17.822306426995311</v>
      </c>
      <c r="P1858" s="9">
        <v>17.822306426995311</v>
      </c>
      <c r="Q1858" s="9">
        <v>17.822306426995311</v>
      </c>
      <c r="R1858" s="9">
        <v>18.237663306594719</v>
      </c>
      <c r="S1858" s="9">
        <v>18.48712920931133</v>
      </c>
      <c r="T1858" s="9">
        <v>19.201553596969877</v>
      </c>
      <c r="U1858" s="9">
        <v>20.562345482855957</v>
      </c>
      <c r="V1858" s="9">
        <v>20.562345482855957</v>
      </c>
      <c r="W1858" s="9">
        <v>20.562345482855957</v>
      </c>
      <c r="X1858" s="9">
        <v>22.391977691000818</v>
      </c>
      <c r="Y1858" s="9">
        <v>22.391977691000818</v>
      </c>
      <c r="Z1858" s="9">
        <v>24.28858708803979</v>
      </c>
      <c r="AA1858" s="9">
        <v>24.28858708803979</v>
      </c>
      <c r="AB1858" s="9">
        <v>25.117335532005217</v>
      </c>
      <c r="AC1858" s="9">
        <v>25.117335532005217</v>
      </c>
      <c r="AD1858" s="9">
        <v>29.039116491286865</v>
      </c>
      <c r="AE1858" s="9">
        <v>31.219251037281825</v>
      </c>
      <c r="AF1858" s="9">
        <v>33.487682081707895</v>
      </c>
      <c r="AG1858" s="9">
        <v>33.487682081707895</v>
      </c>
      <c r="AH1858" s="9">
        <v>36.427668170967245</v>
      </c>
      <c r="AI1858" s="9">
        <v>38.74455996597662</v>
      </c>
      <c r="AJ1858" s="9">
        <v>3.0428788910505911</v>
      </c>
    </row>
    <row r="1859" spans="1:36" x14ac:dyDescent="0.25">
      <c r="A1859" t="s">
        <v>5411</v>
      </c>
      <c r="B1859" t="s">
        <v>16</v>
      </c>
      <c r="C1859" t="s">
        <v>17</v>
      </c>
      <c r="D1859">
        <v>39875000</v>
      </c>
      <c r="E1859">
        <v>39877999</v>
      </c>
      <c r="F1859" t="s">
        <v>1675</v>
      </c>
      <c r="G1859" t="str">
        <f t="shared" si="56"/>
        <v>MGI II</v>
      </c>
      <c r="H1859" t="s">
        <v>851</v>
      </c>
      <c r="I1859" t="s">
        <v>20</v>
      </c>
      <c r="J1859" t="s">
        <v>64</v>
      </c>
      <c r="K1859" s="6">
        <v>0.03</v>
      </c>
      <c r="L1859" s="7">
        <f t="shared" si="57"/>
        <v>2E-3</v>
      </c>
      <c r="M1859" s="7">
        <v>3.0000000000000001E-3</v>
      </c>
      <c r="N1859">
        <v>8</v>
      </c>
      <c r="O1859" s="8">
        <v>17.822306426995311</v>
      </c>
      <c r="P1859" s="9">
        <v>17.822306426995311</v>
      </c>
      <c r="Q1859" s="9">
        <v>17.822306426995311</v>
      </c>
      <c r="R1859" s="9">
        <v>18.237663306594719</v>
      </c>
      <c r="S1859" s="9">
        <v>18.48712920931133</v>
      </c>
      <c r="T1859" s="9">
        <v>19.201553596969877</v>
      </c>
      <c r="U1859" s="9">
        <v>20.562345482855957</v>
      </c>
      <c r="V1859" s="9">
        <v>20.562345482855957</v>
      </c>
      <c r="W1859" s="9">
        <v>20.562345482855957</v>
      </c>
      <c r="X1859" s="9">
        <v>22.391977691000818</v>
      </c>
      <c r="Y1859" s="9">
        <v>22.391977691000818</v>
      </c>
      <c r="Z1859" s="9">
        <v>24.28858708803979</v>
      </c>
      <c r="AA1859" s="9">
        <v>24.28858708803979</v>
      </c>
      <c r="AB1859" s="9">
        <v>25.117335532005217</v>
      </c>
      <c r="AC1859" s="9">
        <v>25.117335532005217</v>
      </c>
      <c r="AD1859" s="9">
        <v>29.039116491286865</v>
      </c>
      <c r="AE1859" s="9">
        <v>31.219251037281825</v>
      </c>
      <c r="AF1859" s="9">
        <v>33.487682081707895</v>
      </c>
      <c r="AG1859" s="9">
        <v>33.487682081707895</v>
      </c>
      <c r="AH1859" s="9">
        <v>36.427668170967245</v>
      </c>
      <c r="AI1859" s="9">
        <v>38.74455996597662</v>
      </c>
      <c r="AJ1859" s="9">
        <v>3.0428788910505911</v>
      </c>
    </row>
    <row r="1860" spans="1:36" x14ac:dyDescent="0.25">
      <c r="A1860" t="s">
        <v>5411</v>
      </c>
      <c r="B1860" t="s">
        <v>16</v>
      </c>
      <c r="C1860" t="s">
        <v>17</v>
      </c>
      <c r="D1860">
        <v>39878000</v>
      </c>
      <c r="E1860">
        <v>39879999</v>
      </c>
      <c r="F1860" t="s">
        <v>1676</v>
      </c>
      <c r="G1860" t="str">
        <f t="shared" ref="G1860:G1923" si="58">H1860&amp;IF(J1860="CAPITAL","C",IF(J1860="INTERIOR","I",IF(J1860="INTERIOR II","I II","R")))</f>
        <v>MGI II</v>
      </c>
      <c r="H1860" t="s">
        <v>851</v>
      </c>
      <c r="I1860" t="s">
        <v>20</v>
      </c>
      <c r="J1860" t="s">
        <v>64</v>
      </c>
      <c r="K1860" s="6">
        <v>0.03</v>
      </c>
      <c r="L1860" s="7">
        <f t="shared" ref="L1860:L1923" si="59">IF(I1860="(0) Não",0.2%,3%)</f>
        <v>2E-3</v>
      </c>
      <c r="M1860" s="7">
        <v>3.0000000000000001E-3</v>
      </c>
      <c r="N1860">
        <v>8</v>
      </c>
      <c r="O1860" s="8">
        <v>17.822306426995311</v>
      </c>
      <c r="P1860" s="9">
        <v>17.822306426995311</v>
      </c>
      <c r="Q1860" s="9">
        <v>17.822306426995311</v>
      </c>
      <c r="R1860" s="9">
        <v>18.237663306594719</v>
      </c>
      <c r="S1860" s="9">
        <v>18.48712920931133</v>
      </c>
      <c r="T1860" s="9">
        <v>19.201553596969877</v>
      </c>
      <c r="U1860" s="9">
        <v>20.562345482855957</v>
      </c>
      <c r="V1860" s="9">
        <v>20.562345482855957</v>
      </c>
      <c r="W1860" s="9">
        <v>20.562345482855957</v>
      </c>
      <c r="X1860" s="9">
        <v>22.391977691000818</v>
      </c>
      <c r="Y1860" s="9">
        <v>22.391977691000818</v>
      </c>
      <c r="Z1860" s="9">
        <v>24.28858708803979</v>
      </c>
      <c r="AA1860" s="9">
        <v>24.28858708803979</v>
      </c>
      <c r="AB1860" s="9">
        <v>25.117335532005217</v>
      </c>
      <c r="AC1860" s="9">
        <v>25.117335532005217</v>
      </c>
      <c r="AD1860" s="9">
        <v>29.039116491286865</v>
      </c>
      <c r="AE1860" s="9">
        <v>31.219251037281825</v>
      </c>
      <c r="AF1860" s="9">
        <v>33.487682081707895</v>
      </c>
      <c r="AG1860" s="9">
        <v>33.487682081707895</v>
      </c>
      <c r="AH1860" s="9">
        <v>36.427668170967245</v>
      </c>
      <c r="AI1860" s="9">
        <v>38.74455996597662</v>
      </c>
      <c r="AJ1860" s="9">
        <v>3.0428788910505911</v>
      </c>
    </row>
    <row r="1861" spans="1:36" x14ac:dyDescent="0.25">
      <c r="A1861" t="s">
        <v>5411</v>
      </c>
      <c r="B1861" t="s">
        <v>16</v>
      </c>
      <c r="C1861" t="s">
        <v>17</v>
      </c>
      <c r="D1861">
        <v>39880000</v>
      </c>
      <c r="E1861">
        <v>39884999</v>
      </c>
      <c r="F1861" t="s">
        <v>1677</v>
      </c>
      <c r="G1861" t="str">
        <f t="shared" si="58"/>
        <v>MGI II</v>
      </c>
      <c r="H1861" t="s">
        <v>851</v>
      </c>
      <c r="I1861" t="s">
        <v>20</v>
      </c>
      <c r="J1861" t="s">
        <v>64</v>
      </c>
      <c r="K1861" s="6">
        <v>0.03</v>
      </c>
      <c r="L1861" s="7">
        <f t="shared" si="59"/>
        <v>2E-3</v>
      </c>
      <c r="M1861" s="7">
        <v>3.0000000000000001E-3</v>
      </c>
      <c r="N1861">
        <v>8</v>
      </c>
      <c r="O1861" s="8">
        <v>17.822306426995311</v>
      </c>
      <c r="P1861" s="9">
        <v>17.822306426995311</v>
      </c>
      <c r="Q1861" s="9">
        <v>17.822306426995311</v>
      </c>
      <c r="R1861" s="9">
        <v>18.237663306594719</v>
      </c>
      <c r="S1861" s="9">
        <v>18.48712920931133</v>
      </c>
      <c r="T1861" s="9">
        <v>19.201553596969877</v>
      </c>
      <c r="U1861" s="9">
        <v>20.562345482855957</v>
      </c>
      <c r="V1861" s="9">
        <v>20.562345482855957</v>
      </c>
      <c r="W1861" s="9">
        <v>20.562345482855957</v>
      </c>
      <c r="X1861" s="9">
        <v>22.391977691000818</v>
      </c>
      <c r="Y1861" s="9">
        <v>22.391977691000818</v>
      </c>
      <c r="Z1861" s="9">
        <v>24.28858708803979</v>
      </c>
      <c r="AA1861" s="9">
        <v>24.28858708803979</v>
      </c>
      <c r="AB1861" s="9">
        <v>25.117335532005217</v>
      </c>
      <c r="AC1861" s="9">
        <v>25.117335532005217</v>
      </c>
      <c r="AD1861" s="9">
        <v>29.039116491286865</v>
      </c>
      <c r="AE1861" s="9">
        <v>31.219251037281825</v>
      </c>
      <c r="AF1861" s="9">
        <v>33.487682081707895</v>
      </c>
      <c r="AG1861" s="9">
        <v>33.487682081707895</v>
      </c>
      <c r="AH1861" s="9">
        <v>36.427668170967245</v>
      </c>
      <c r="AI1861" s="9">
        <v>38.74455996597662</v>
      </c>
      <c r="AJ1861" s="9">
        <v>3.0428788910505911</v>
      </c>
    </row>
    <row r="1862" spans="1:36" x14ac:dyDescent="0.25">
      <c r="A1862" t="s">
        <v>5411</v>
      </c>
      <c r="B1862" t="s">
        <v>16</v>
      </c>
      <c r="C1862" t="s">
        <v>17</v>
      </c>
      <c r="D1862">
        <v>39885000</v>
      </c>
      <c r="E1862">
        <v>39889999</v>
      </c>
      <c r="F1862" t="s">
        <v>1678</v>
      </c>
      <c r="G1862" t="str">
        <f t="shared" si="58"/>
        <v>MGI II</v>
      </c>
      <c r="H1862" t="s">
        <v>851</v>
      </c>
      <c r="I1862" t="s">
        <v>20</v>
      </c>
      <c r="J1862" t="s">
        <v>64</v>
      </c>
      <c r="K1862" s="6">
        <v>0.03</v>
      </c>
      <c r="L1862" s="7">
        <f t="shared" si="59"/>
        <v>2E-3</v>
      </c>
      <c r="M1862" s="7">
        <v>3.0000000000000001E-3</v>
      </c>
      <c r="N1862">
        <v>8</v>
      </c>
      <c r="O1862" s="8">
        <v>17.822306426995311</v>
      </c>
      <c r="P1862" s="9">
        <v>17.822306426995311</v>
      </c>
      <c r="Q1862" s="9">
        <v>17.822306426995311</v>
      </c>
      <c r="R1862" s="9">
        <v>18.237663306594719</v>
      </c>
      <c r="S1862" s="9">
        <v>18.48712920931133</v>
      </c>
      <c r="T1862" s="9">
        <v>19.201553596969877</v>
      </c>
      <c r="U1862" s="9">
        <v>20.562345482855957</v>
      </c>
      <c r="V1862" s="9">
        <v>20.562345482855957</v>
      </c>
      <c r="W1862" s="9">
        <v>20.562345482855957</v>
      </c>
      <c r="X1862" s="9">
        <v>22.391977691000818</v>
      </c>
      <c r="Y1862" s="9">
        <v>22.391977691000818</v>
      </c>
      <c r="Z1862" s="9">
        <v>24.28858708803979</v>
      </c>
      <c r="AA1862" s="9">
        <v>24.28858708803979</v>
      </c>
      <c r="AB1862" s="9">
        <v>25.117335532005217</v>
      </c>
      <c r="AC1862" s="9">
        <v>25.117335532005217</v>
      </c>
      <c r="AD1862" s="9">
        <v>29.039116491286865</v>
      </c>
      <c r="AE1862" s="9">
        <v>31.219251037281825</v>
      </c>
      <c r="AF1862" s="9">
        <v>33.487682081707895</v>
      </c>
      <c r="AG1862" s="9">
        <v>33.487682081707895</v>
      </c>
      <c r="AH1862" s="9">
        <v>36.427668170967245</v>
      </c>
      <c r="AI1862" s="9">
        <v>38.74455996597662</v>
      </c>
      <c r="AJ1862" s="9">
        <v>3.0428788910505911</v>
      </c>
    </row>
    <row r="1863" spans="1:36" x14ac:dyDescent="0.25">
      <c r="A1863" t="s">
        <v>5411</v>
      </c>
      <c r="B1863" t="s">
        <v>16</v>
      </c>
      <c r="C1863" t="s">
        <v>17</v>
      </c>
      <c r="D1863">
        <v>39890000</v>
      </c>
      <c r="E1863">
        <v>39892999</v>
      </c>
      <c r="F1863" t="s">
        <v>1679</v>
      </c>
      <c r="G1863" t="str">
        <f t="shared" si="58"/>
        <v>MGI II</v>
      </c>
      <c r="H1863" t="s">
        <v>851</v>
      </c>
      <c r="I1863" t="s">
        <v>20</v>
      </c>
      <c r="J1863" t="s">
        <v>64</v>
      </c>
      <c r="K1863" s="6">
        <v>0.03</v>
      </c>
      <c r="L1863" s="7">
        <f t="shared" si="59"/>
        <v>2E-3</v>
      </c>
      <c r="M1863" s="7">
        <v>3.0000000000000001E-3</v>
      </c>
      <c r="N1863">
        <v>7</v>
      </c>
      <c r="O1863" s="8">
        <v>17.822306426995311</v>
      </c>
      <c r="P1863" s="9">
        <v>17.822306426995311</v>
      </c>
      <c r="Q1863" s="9">
        <v>17.822306426995311</v>
      </c>
      <c r="R1863" s="9">
        <v>18.237663306594719</v>
      </c>
      <c r="S1863" s="9">
        <v>18.48712920931133</v>
      </c>
      <c r="T1863" s="9">
        <v>19.201553596969877</v>
      </c>
      <c r="U1863" s="9">
        <v>20.562345482855957</v>
      </c>
      <c r="V1863" s="9">
        <v>20.562345482855957</v>
      </c>
      <c r="W1863" s="9">
        <v>20.562345482855957</v>
      </c>
      <c r="X1863" s="9">
        <v>22.391977691000818</v>
      </c>
      <c r="Y1863" s="9">
        <v>22.391977691000818</v>
      </c>
      <c r="Z1863" s="9">
        <v>24.28858708803979</v>
      </c>
      <c r="AA1863" s="9">
        <v>24.28858708803979</v>
      </c>
      <c r="AB1863" s="9">
        <v>25.117335532005217</v>
      </c>
      <c r="AC1863" s="9">
        <v>25.117335532005217</v>
      </c>
      <c r="AD1863" s="9">
        <v>29.039116491286865</v>
      </c>
      <c r="AE1863" s="9">
        <v>31.219251037281825</v>
      </c>
      <c r="AF1863" s="9">
        <v>33.487682081707895</v>
      </c>
      <c r="AG1863" s="9">
        <v>33.487682081707895</v>
      </c>
      <c r="AH1863" s="9">
        <v>36.427668170967245</v>
      </c>
      <c r="AI1863" s="9">
        <v>38.74455996597662</v>
      </c>
      <c r="AJ1863" s="9">
        <v>3.0428788910505911</v>
      </c>
    </row>
    <row r="1864" spans="1:36" x14ac:dyDescent="0.25">
      <c r="A1864" t="s">
        <v>5411</v>
      </c>
      <c r="B1864" t="s">
        <v>16</v>
      </c>
      <c r="C1864" t="s">
        <v>17</v>
      </c>
      <c r="D1864">
        <v>39893000</v>
      </c>
      <c r="E1864">
        <v>39894999</v>
      </c>
      <c r="F1864" t="s">
        <v>1680</v>
      </c>
      <c r="G1864" t="str">
        <f t="shared" si="58"/>
        <v>MGI II</v>
      </c>
      <c r="H1864" t="s">
        <v>851</v>
      </c>
      <c r="I1864" t="s">
        <v>20</v>
      </c>
      <c r="J1864" t="s">
        <v>64</v>
      </c>
      <c r="K1864" s="6">
        <v>0.03</v>
      </c>
      <c r="L1864" s="7">
        <f t="shared" si="59"/>
        <v>2E-3</v>
      </c>
      <c r="M1864" s="7">
        <v>3.0000000000000001E-3</v>
      </c>
      <c r="N1864">
        <v>7</v>
      </c>
      <c r="O1864" s="8">
        <v>17.822306426995311</v>
      </c>
      <c r="P1864" s="9">
        <v>17.822306426995311</v>
      </c>
      <c r="Q1864" s="9">
        <v>17.822306426995311</v>
      </c>
      <c r="R1864" s="9">
        <v>18.237663306594719</v>
      </c>
      <c r="S1864" s="9">
        <v>18.48712920931133</v>
      </c>
      <c r="T1864" s="9">
        <v>19.201553596969877</v>
      </c>
      <c r="U1864" s="9">
        <v>20.562345482855957</v>
      </c>
      <c r="V1864" s="9">
        <v>20.562345482855957</v>
      </c>
      <c r="W1864" s="9">
        <v>20.562345482855957</v>
      </c>
      <c r="X1864" s="9">
        <v>22.391977691000818</v>
      </c>
      <c r="Y1864" s="9">
        <v>22.391977691000818</v>
      </c>
      <c r="Z1864" s="9">
        <v>24.28858708803979</v>
      </c>
      <c r="AA1864" s="9">
        <v>24.28858708803979</v>
      </c>
      <c r="AB1864" s="9">
        <v>25.117335532005217</v>
      </c>
      <c r="AC1864" s="9">
        <v>25.117335532005217</v>
      </c>
      <c r="AD1864" s="9">
        <v>29.039116491286865</v>
      </c>
      <c r="AE1864" s="9">
        <v>31.219251037281825</v>
      </c>
      <c r="AF1864" s="9">
        <v>33.487682081707895</v>
      </c>
      <c r="AG1864" s="9">
        <v>33.487682081707895</v>
      </c>
      <c r="AH1864" s="9">
        <v>36.427668170967245</v>
      </c>
      <c r="AI1864" s="9">
        <v>38.74455996597662</v>
      </c>
      <c r="AJ1864" s="9">
        <v>3.0428788910505911</v>
      </c>
    </row>
    <row r="1865" spans="1:36" x14ac:dyDescent="0.25">
      <c r="A1865" t="s">
        <v>5411</v>
      </c>
      <c r="B1865" t="s">
        <v>16</v>
      </c>
      <c r="C1865" t="s">
        <v>17</v>
      </c>
      <c r="D1865">
        <v>39895000</v>
      </c>
      <c r="E1865">
        <v>39899999</v>
      </c>
      <c r="F1865" t="s">
        <v>1681</v>
      </c>
      <c r="G1865" t="str">
        <f t="shared" si="58"/>
        <v>MGI II</v>
      </c>
      <c r="H1865" t="s">
        <v>851</v>
      </c>
      <c r="I1865" t="s">
        <v>20</v>
      </c>
      <c r="J1865" t="s">
        <v>64</v>
      </c>
      <c r="K1865" s="6">
        <v>0.03</v>
      </c>
      <c r="L1865" s="7">
        <f t="shared" si="59"/>
        <v>2E-3</v>
      </c>
      <c r="M1865" s="7">
        <v>3.0000000000000001E-3</v>
      </c>
      <c r="N1865">
        <v>8</v>
      </c>
      <c r="O1865" s="8">
        <v>17.822306426995311</v>
      </c>
      <c r="P1865" s="9">
        <v>17.822306426995311</v>
      </c>
      <c r="Q1865" s="9">
        <v>17.822306426995311</v>
      </c>
      <c r="R1865" s="9">
        <v>18.237663306594719</v>
      </c>
      <c r="S1865" s="9">
        <v>18.48712920931133</v>
      </c>
      <c r="T1865" s="9">
        <v>19.201553596969877</v>
      </c>
      <c r="U1865" s="9">
        <v>20.562345482855957</v>
      </c>
      <c r="V1865" s="9">
        <v>20.562345482855957</v>
      </c>
      <c r="W1865" s="9">
        <v>20.562345482855957</v>
      </c>
      <c r="X1865" s="9">
        <v>22.391977691000818</v>
      </c>
      <c r="Y1865" s="9">
        <v>22.391977691000818</v>
      </c>
      <c r="Z1865" s="9">
        <v>24.28858708803979</v>
      </c>
      <c r="AA1865" s="9">
        <v>24.28858708803979</v>
      </c>
      <c r="AB1865" s="9">
        <v>25.117335532005217</v>
      </c>
      <c r="AC1865" s="9">
        <v>25.117335532005217</v>
      </c>
      <c r="AD1865" s="9">
        <v>29.039116491286865</v>
      </c>
      <c r="AE1865" s="9">
        <v>31.219251037281825</v>
      </c>
      <c r="AF1865" s="9">
        <v>33.487682081707895</v>
      </c>
      <c r="AG1865" s="9">
        <v>33.487682081707895</v>
      </c>
      <c r="AH1865" s="9">
        <v>36.427668170967245</v>
      </c>
      <c r="AI1865" s="9">
        <v>38.74455996597662</v>
      </c>
      <c r="AJ1865" s="9">
        <v>3.0428788910505911</v>
      </c>
    </row>
    <row r="1866" spans="1:36" x14ac:dyDescent="0.25">
      <c r="A1866" t="s">
        <v>5411</v>
      </c>
      <c r="B1866" t="s">
        <v>16</v>
      </c>
      <c r="C1866" t="s">
        <v>17</v>
      </c>
      <c r="D1866">
        <v>39900000</v>
      </c>
      <c r="E1866">
        <v>39911999</v>
      </c>
      <c r="F1866" t="s">
        <v>1682</v>
      </c>
      <c r="G1866" t="str">
        <f t="shared" si="58"/>
        <v>MGI II</v>
      </c>
      <c r="H1866" t="s">
        <v>851</v>
      </c>
      <c r="I1866" t="s">
        <v>20</v>
      </c>
      <c r="J1866" t="s">
        <v>64</v>
      </c>
      <c r="K1866" s="6">
        <v>0.03</v>
      </c>
      <c r="L1866" s="7">
        <f t="shared" si="59"/>
        <v>2E-3</v>
      </c>
      <c r="M1866" s="7">
        <v>3.0000000000000001E-3</v>
      </c>
      <c r="N1866">
        <v>7</v>
      </c>
      <c r="O1866" s="8">
        <v>17.822306426995311</v>
      </c>
      <c r="P1866" s="9">
        <v>17.822306426995311</v>
      </c>
      <c r="Q1866" s="9">
        <v>17.822306426995311</v>
      </c>
      <c r="R1866" s="9">
        <v>18.237663306594719</v>
      </c>
      <c r="S1866" s="9">
        <v>18.48712920931133</v>
      </c>
      <c r="T1866" s="9">
        <v>19.201553596969877</v>
      </c>
      <c r="U1866" s="9">
        <v>20.562345482855957</v>
      </c>
      <c r="V1866" s="9">
        <v>20.562345482855957</v>
      </c>
      <c r="W1866" s="9">
        <v>20.562345482855957</v>
      </c>
      <c r="X1866" s="9">
        <v>22.391977691000818</v>
      </c>
      <c r="Y1866" s="9">
        <v>22.391977691000818</v>
      </c>
      <c r="Z1866" s="9">
        <v>24.28858708803979</v>
      </c>
      <c r="AA1866" s="9">
        <v>24.28858708803979</v>
      </c>
      <c r="AB1866" s="9">
        <v>25.117335532005217</v>
      </c>
      <c r="AC1866" s="9">
        <v>25.117335532005217</v>
      </c>
      <c r="AD1866" s="9">
        <v>29.039116491286865</v>
      </c>
      <c r="AE1866" s="9">
        <v>31.219251037281825</v>
      </c>
      <c r="AF1866" s="9">
        <v>33.487682081707895</v>
      </c>
      <c r="AG1866" s="9">
        <v>33.487682081707895</v>
      </c>
      <c r="AH1866" s="9">
        <v>36.427668170967245</v>
      </c>
      <c r="AI1866" s="9">
        <v>38.74455996597662</v>
      </c>
      <c r="AJ1866" s="9">
        <v>3.0428788910505911</v>
      </c>
    </row>
    <row r="1867" spans="1:36" x14ac:dyDescent="0.25">
      <c r="A1867" t="s">
        <v>5411</v>
      </c>
      <c r="B1867" t="s">
        <v>16</v>
      </c>
      <c r="C1867" t="s">
        <v>17</v>
      </c>
      <c r="D1867">
        <v>39912000</v>
      </c>
      <c r="E1867">
        <v>39914999</v>
      </c>
      <c r="F1867" t="s">
        <v>1683</v>
      </c>
      <c r="G1867" t="str">
        <f t="shared" si="58"/>
        <v>MGI II</v>
      </c>
      <c r="H1867" t="s">
        <v>851</v>
      </c>
      <c r="I1867" t="s">
        <v>20</v>
      </c>
      <c r="J1867" t="s">
        <v>64</v>
      </c>
      <c r="K1867" s="6">
        <v>0.03</v>
      </c>
      <c r="L1867" s="7">
        <f t="shared" si="59"/>
        <v>2E-3</v>
      </c>
      <c r="M1867" s="7">
        <v>3.0000000000000001E-3</v>
      </c>
      <c r="N1867">
        <v>7</v>
      </c>
      <c r="O1867" s="8">
        <v>17.822306426995311</v>
      </c>
      <c r="P1867" s="9">
        <v>17.822306426995311</v>
      </c>
      <c r="Q1867" s="9">
        <v>17.822306426995311</v>
      </c>
      <c r="R1867" s="9">
        <v>18.237663306594719</v>
      </c>
      <c r="S1867" s="9">
        <v>18.48712920931133</v>
      </c>
      <c r="T1867" s="9">
        <v>19.201553596969877</v>
      </c>
      <c r="U1867" s="9">
        <v>20.562345482855957</v>
      </c>
      <c r="V1867" s="9">
        <v>20.562345482855957</v>
      </c>
      <c r="W1867" s="9">
        <v>20.562345482855957</v>
      </c>
      <c r="X1867" s="9">
        <v>22.391977691000818</v>
      </c>
      <c r="Y1867" s="9">
        <v>22.391977691000818</v>
      </c>
      <c r="Z1867" s="9">
        <v>24.28858708803979</v>
      </c>
      <c r="AA1867" s="9">
        <v>24.28858708803979</v>
      </c>
      <c r="AB1867" s="9">
        <v>25.117335532005217</v>
      </c>
      <c r="AC1867" s="9">
        <v>25.117335532005217</v>
      </c>
      <c r="AD1867" s="9">
        <v>29.039116491286865</v>
      </c>
      <c r="AE1867" s="9">
        <v>31.219251037281825</v>
      </c>
      <c r="AF1867" s="9">
        <v>33.487682081707895</v>
      </c>
      <c r="AG1867" s="9">
        <v>33.487682081707895</v>
      </c>
      <c r="AH1867" s="9">
        <v>36.427668170967245</v>
      </c>
      <c r="AI1867" s="9">
        <v>38.74455996597662</v>
      </c>
      <c r="AJ1867" s="9">
        <v>3.0428788910505911</v>
      </c>
    </row>
    <row r="1868" spans="1:36" x14ac:dyDescent="0.25">
      <c r="A1868" t="s">
        <v>5411</v>
      </c>
      <c r="B1868" t="s">
        <v>16</v>
      </c>
      <c r="C1868" t="s">
        <v>17</v>
      </c>
      <c r="D1868">
        <v>39915000</v>
      </c>
      <c r="E1868">
        <v>39916999</v>
      </c>
      <c r="F1868" t="s">
        <v>1684</v>
      </c>
      <c r="G1868" t="str">
        <f t="shared" si="58"/>
        <v>MGI II</v>
      </c>
      <c r="H1868" t="s">
        <v>851</v>
      </c>
      <c r="I1868" t="s">
        <v>20</v>
      </c>
      <c r="J1868" t="s">
        <v>64</v>
      </c>
      <c r="K1868" s="6">
        <v>0.03</v>
      </c>
      <c r="L1868" s="7">
        <f t="shared" si="59"/>
        <v>2E-3</v>
      </c>
      <c r="M1868" s="7">
        <v>3.0000000000000001E-3</v>
      </c>
      <c r="N1868">
        <v>7</v>
      </c>
      <c r="O1868" s="8">
        <v>17.822306426995311</v>
      </c>
      <c r="P1868" s="9">
        <v>17.822306426995311</v>
      </c>
      <c r="Q1868" s="9">
        <v>17.822306426995311</v>
      </c>
      <c r="R1868" s="9">
        <v>18.237663306594719</v>
      </c>
      <c r="S1868" s="9">
        <v>18.48712920931133</v>
      </c>
      <c r="T1868" s="9">
        <v>19.201553596969877</v>
      </c>
      <c r="U1868" s="9">
        <v>20.562345482855957</v>
      </c>
      <c r="V1868" s="9">
        <v>20.562345482855957</v>
      </c>
      <c r="W1868" s="9">
        <v>20.562345482855957</v>
      </c>
      <c r="X1868" s="9">
        <v>22.391977691000818</v>
      </c>
      <c r="Y1868" s="9">
        <v>22.391977691000818</v>
      </c>
      <c r="Z1868" s="9">
        <v>24.28858708803979</v>
      </c>
      <c r="AA1868" s="9">
        <v>24.28858708803979</v>
      </c>
      <c r="AB1868" s="9">
        <v>25.117335532005217</v>
      </c>
      <c r="AC1868" s="9">
        <v>25.117335532005217</v>
      </c>
      <c r="AD1868" s="9">
        <v>29.039116491286865</v>
      </c>
      <c r="AE1868" s="9">
        <v>31.219251037281825</v>
      </c>
      <c r="AF1868" s="9">
        <v>33.487682081707895</v>
      </c>
      <c r="AG1868" s="9">
        <v>33.487682081707895</v>
      </c>
      <c r="AH1868" s="9">
        <v>36.427668170967245</v>
      </c>
      <c r="AI1868" s="9">
        <v>38.74455996597662</v>
      </c>
      <c r="AJ1868" s="9">
        <v>3.0428788910505911</v>
      </c>
    </row>
    <row r="1869" spans="1:36" x14ac:dyDescent="0.25">
      <c r="A1869" t="s">
        <v>5411</v>
      </c>
      <c r="B1869" t="s">
        <v>16</v>
      </c>
      <c r="C1869" t="s">
        <v>17</v>
      </c>
      <c r="D1869">
        <v>39917000</v>
      </c>
      <c r="E1869">
        <v>39919999</v>
      </c>
      <c r="F1869" t="s">
        <v>1685</v>
      </c>
      <c r="G1869" t="str">
        <f t="shared" si="58"/>
        <v>MGI II</v>
      </c>
      <c r="H1869" t="s">
        <v>851</v>
      </c>
      <c r="I1869" t="s">
        <v>20</v>
      </c>
      <c r="J1869" t="s">
        <v>64</v>
      </c>
      <c r="K1869" s="6">
        <v>0.03</v>
      </c>
      <c r="L1869" s="7">
        <f t="shared" si="59"/>
        <v>2E-3</v>
      </c>
      <c r="M1869" s="7">
        <v>3.0000000000000001E-3</v>
      </c>
      <c r="N1869">
        <v>7</v>
      </c>
      <c r="O1869" s="8">
        <v>17.822306426995311</v>
      </c>
      <c r="P1869" s="9">
        <v>17.822306426995311</v>
      </c>
      <c r="Q1869" s="9">
        <v>17.822306426995311</v>
      </c>
      <c r="R1869" s="9">
        <v>18.237663306594719</v>
      </c>
      <c r="S1869" s="9">
        <v>18.48712920931133</v>
      </c>
      <c r="T1869" s="9">
        <v>19.201553596969877</v>
      </c>
      <c r="U1869" s="9">
        <v>20.562345482855957</v>
      </c>
      <c r="V1869" s="9">
        <v>20.562345482855957</v>
      </c>
      <c r="W1869" s="9">
        <v>20.562345482855957</v>
      </c>
      <c r="X1869" s="9">
        <v>22.391977691000818</v>
      </c>
      <c r="Y1869" s="9">
        <v>22.391977691000818</v>
      </c>
      <c r="Z1869" s="9">
        <v>24.28858708803979</v>
      </c>
      <c r="AA1869" s="9">
        <v>24.28858708803979</v>
      </c>
      <c r="AB1869" s="9">
        <v>25.117335532005217</v>
      </c>
      <c r="AC1869" s="9">
        <v>25.117335532005217</v>
      </c>
      <c r="AD1869" s="9">
        <v>29.039116491286865</v>
      </c>
      <c r="AE1869" s="9">
        <v>31.219251037281825</v>
      </c>
      <c r="AF1869" s="9">
        <v>33.487682081707895</v>
      </c>
      <c r="AG1869" s="9">
        <v>33.487682081707895</v>
      </c>
      <c r="AH1869" s="9">
        <v>36.427668170967245</v>
      </c>
      <c r="AI1869" s="9">
        <v>38.74455996597662</v>
      </c>
      <c r="AJ1869" s="9">
        <v>3.0428788910505911</v>
      </c>
    </row>
    <row r="1870" spans="1:36" x14ac:dyDescent="0.25">
      <c r="A1870" t="s">
        <v>5411</v>
      </c>
      <c r="B1870" t="s">
        <v>16</v>
      </c>
      <c r="C1870" t="s">
        <v>17</v>
      </c>
      <c r="D1870">
        <v>39920000</v>
      </c>
      <c r="E1870">
        <v>39924999</v>
      </c>
      <c r="F1870" t="s">
        <v>1686</v>
      </c>
      <c r="G1870" t="str">
        <f t="shared" si="58"/>
        <v>MGI II</v>
      </c>
      <c r="H1870" t="s">
        <v>851</v>
      </c>
      <c r="I1870" t="s">
        <v>20</v>
      </c>
      <c r="J1870" t="s">
        <v>64</v>
      </c>
      <c r="K1870" s="6">
        <v>0.03</v>
      </c>
      <c r="L1870" s="7">
        <f t="shared" si="59"/>
        <v>2E-3</v>
      </c>
      <c r="M1870" s="7">
        <v>3.0000000000000001E-3</v>
      </c>
      <c r="N1870">
        <v>7</v>
      </c>
      <c r="O1870" s="8">
        <v>17.822306426995311</v>
      </c>
      <c r="P1870" s="9">
        <v>17.822306426995311</v>
      </c>
      <c r="Q1870" s="9">
        <v>17.822306426995311</v>
      </c>
      <c r="R1870" s="9">
        <v>18.237663306594719</v>
      </c>
      <c r="S1870" s="9">
        <v>18.48712920931133</v>
      </c>
      <c r="T1870" s="9">
        <v>19.201553596969877</v>
      </c>
      <c r="U1870" s="9">
        <v>20.562345482855957</v>
      </c>
      <c r="V1870" s="9">
        <v>20.562345482855957</v>
      </c>
      <c r="W1870" s="9">
        <v>20.562345482855957</v>
      </c>
      <c r="X1870" s="9">
        <v>22.391977691000818</v>
      </c>
      <c r="Y1870" s="9">
        <v>22.391977691000818</v>
      </c>
      <c r="Z1870" s="9">
        <v>24.28858708803979</v>
      </c>
      <c r="AA1870" s="9">
        <v>24.28858708803979</v>
      </c>
      <c r="AB1870" s="9">
        <v>25.117335532005217</v>
      </c>
      <c r="AC1870" s="9">
        <v>25.117335532005217</v>
      </c>
      <c r="AD1870" s="9">
        <v>29.039116491286865</v>
      </c>
      <c r="AE1870" s="9">
        <v>31.219251037281825</v>
      </c>
      <c r="AF1870" s="9">
        <v>33.487682081707895</v>
      </c>
      <c r="AG1870" s="9">
        <v>33.487682081707895</v>
      </c>
      <c r="AH1870" s="9">
        <v>36.427668170967245</v>
      </c>
      <c r="AI1870" s="9">
        <v>38.74455996597662</v>
      </c>
      <c r="AJ1870" s="9">
        <v>3.0428788910505911</v>
      </c>
    </row>
    <row r="1871" spans="1:36" x14ac:dyDescent="0.25">
      <c r="A1871" t="s">
        <v>5411</v>
      </c>
      <c r="B1871" t="s">
        <v>16</v>
      </c>
      <c r="C1871" t="s">
        <v>17</v>
      </c>
      <c r="D1871">
        <v>39925000</v>
      </c>
      <c r="E1871">
        <v>39927999</v>
      </c>
      <c r="F1871" t="s">
        <v>1687</v>
      </c>
      <c r="G1871" t="str">
        <f t="shared" si="58"/>
        <v>MGI II</v>
      </c>
      <c r="H1871" t="s">
        <v>851</v>
      </c>
      <c r="I1871" t="s">
        <v>20</v>
      </c>
      <c r="J1871" t="s">
        <v>64</v>
      </c>
      <c r="K1871" s="6">
        <v>0.03</v>
      </c>
      <c r="L1871" s="7">
        <f t="shared" si="59"/>
        <v>2E-3</v>
      </c>
      <c r="M1871" s="7">
        <v>3.0000000000000001E-3</v>
      </c>
      <c r="N1871">
        <v>7</v>
      </c>
      <c r="O1871" s="8">
        <v>17.822306426995311</v>
      </c>
      <c r="P1871" s="9">
        <v>17.822306426995311</v>
      </c>
      <c r="Q1871" s="9">
        <v>17.822306426995311</v>
      </c>
      <c r="R1871" s="9">
        <v>18.237663306594719</v>
      </c>
      <c r="S1871" s="9">
        <v>18.48712920931133</v>
      </c>
      <c r="T1871" s="9">
        <v>19.201553596969877</v>
      </c>
      <c r="U1871" s="9">
        <v>20.562345482855957</v>
      </c>
      <c r="V1871" s="9">
        <v>20.562345482855957</v>
      </c>
      <c r="W1871" s="9">
        <v>20.562345482855957</v>
      </c>
      <c r="X1871" s="9">
        <v>22.391977691000818</v>
      </c>
      <c r="Y1871" s="9">
        <v>22.391977691000818</v>
      </c>
      <c r="Z1871" s="9">
        <v>24.28858708803979</v>
      </c>
      <c r="AA1871" s="9">
        <v>24.28858708803979</v>
      </c>
      <c r="AB1871" s="9">
        <v>25.117335532005217</v>
      </c>
      <c r="AC1871" s="9">
        <v>25.117335532005217</v>
      </c>
      <c r="AD1871" s="9">
        <v>29.039116491286865</v>
      </c>
      <c r="AE1871" s="9">
        <v>31.219251037281825</v>
      </c>
      <c r="AF1871" s="9">
        <v>33.487682081707895</v>
      </c>
      <c r="AG1871" s="9">
        <v>33.487682081707895</v>
      </c>
      <c r="AH1871" s="9">
        <v>36.427668170967245</v>
      </c>
      <c r="AI1871" s="9">
        <v>38.74455996597662</v>
      </c>
      <c r="AJ1871" s="9">
        <v>3.0428788910505911</v>
      </c>
    </row>
    <row r="1872" spans="1:36" x14ac:dyDescent="0.25">
      <c r="A1872" t="s">
        <v>5411</v>
      </c>
      <c r="B1872" t="s">
        <v>16</v>
      </c>
      <c r="C1872" t="s">
        <v>17</v>
      </c>
      <c r="D1872">
        <v>39928000</v>
      </c>
      <c r="E1872">
        <v>39929999</v>
      </c>
      <c r="F1872" t="s">
        <v>1688</v>
      </c>
      <c r="G1872" t="str">
        <f t="shared" si="58"/>
        <v>MGI II</v>
      </c>
      <c r="H1872" t="s">
        <v>851</v>
      </c>
      <c r="I1872" t="s">
        <v>20</v>
      </c>
      <c r="J1872" t="s">
        <v>64</v>
      </c>
      <c r="K1872" s="6">
        <v>0.03</v>
      </c>
      <c r="L1872" s="7">
        <f t="shared" si="59"/>
        <v>2E-3</v>
      </c>
      <c r="M1872" s="7">
        <v>3.0000000000000001E-3</v>
      </c>
      <c r="N1872">
        <v>7</v>
      </c>
      <c r="O1872" s="8">
        <v>17.822306426995311</v>
      </c>
      <c r="P1872" s="9">
        <v>17.822306426995311</v>
      </c>
      <c r="Q1872" s="9">
        <v>17.822306426995311</v>
      </c>
      <c r="R1872" s="9">
        <v>18.237663306594719</v>
      </c>
      <c r="S1872" s="9">
        <v>18.48712920931133</v>
      </c>
      <c r="T1872" s="9">
        <v>19.201553596969877</v>
      </c>
      <c r="U1872" s="9">
        <v>20.562345482855957</v>
      </c>
      <c r="V1872" s="9">
        <v>20.562345482855957</v>
      </c>
      <c r="W1872" s="9">
        <v>20.562345482855957</v>
      </c>
      <c r="X1872" s="9">
        <v>22.391977691000818</v>
      </c>
      <c r="Y1872" s="9">
        <v>22.391977691000818</v>
      </c>
      <c r="Z1872" s="9">
        <v>24.28858708803979</v>
      </c>
      <c r="AA1872" s="9">
        <v>24.28858708803979</v>
      </c>
      <c r="AB1872" s="9">
        <v>25.117335532005217</v>
      </c>
      <c r="AC1872" s="9">
        <v>25.117335532005217</v>
      </c>
      <c r="AD1872" s="9">
        <v>29.039116491286865</v>
      </c>
      <c r="AE1872" s="9">
        <v>31.219251037281825</v>
      </c>
      <c r="AF1872" s="9">
        <v>33.487682081707895</v>
      </c>
      <c r="AG1872" s="9">
        <v>33.487682081707895</v>
      </c>
      <c r="AH1872" s="9">
        <v>36.427668170967245</v>
      </c>
      <c r="AI1872" s="9">
        <v>38.74455996597662</v>
      </c>
      <c r="AJ1872" s="9">
        <v>3.0428788910505911</v>
      </c>
    </row>
    <row r="1873" spans="1:36" x14ac:dyDescent="0.25">
      <c r="A1873" t="s">
        <v>5411</v>
      </c>
      <c r="B1873" t="s">
        <v>16</v>
      </c>
      <c r="C1873" t="s">
        <v>17</v>
      </c>
      <c r="D1873">
        <v>39930000</v>
      </c>
      <c r="E1873">
        <v>39934999</v>
      </c>
      <c r="F1873" t="s">
        <v>1689</v>
      </c>
      <c r="G1873" t="str">
        <f t="shared" si="58"/>
        <v>MGI II</v>
      </c>
      <c r="H1873" t="s">
        <v>851</v>
      </c>
      <c r="I1873" t="s">
        <v>20</v>
      </c>
      <c r="J1873" t="s">
        <v>64</v>
      </c>
      <c r="K1873" s="6">
        <v>0.03</v>
      </c>
      <c r="L1873" s="7">
        <f t="shared" si="59"/>
        <v>2E-3</v>
      </c>
      <c r="M1873" s="7">
        <v>3.0000000000000001E-3</v>
      </c>
      <c r="N1873">
        <v>7</v>
      </c>
      <c r="O1873" s="8">
        <v>17.822306426995311</v>
      </c>
      <c r="P1873" s="9">
        <v>17.822306426995311</v>
      </c>
      <c r="Q1873" s="9">
        <v>17.822306426995311</v>
      </c>
      <c r="R1873" s="9">
        <v>18.237663306594719</v>
      </c>
      <c r="S1873" s="9">
        <v>18.48712920931133</v>
      </c>
      <c r="T1873" s="9">
        <v>19.201553596969877</v>
      </c>
      <c r="U1873" s="9">
        <v>20.562345482855957</v>
      </c>
      <c r="V1873" s="9">
        <v>20.562345482855957</v>
      </c>
      <c r="W1873" s="9">
        <v>20.562345482855957</v>
      </c>
      <c r="X1873" s="9">
        <v>22.391977691000818</v>
      </c>
      <c r="Y1873" s="9">
        <v>22.391977691000818</v>
      </c>
      <c r="Z1873" s="9">
        <v>24.28858708803979</v>
      </c>
      <c r="AA1873" s="9">
        <v>24.28858708803979</v>
      </c>
      <c r="AB1873" s="9">
        <v>25.117335532005217</v>
      </c>
      <c r="AC1873" s="9">
        <v>25.117335532005217</v>
      </c>
      <c r="AD1873" s="9">
        <v>29.039116491286865</v>
      </c>
      <c r="AE1873" s="9">
        <v>31.219251037281825</v>
      </c>
      <c r="AF1873" s="9">
        <v>33.487682081707895</v>
      </c>
      <c r="AG1873" s="9">
        <v>33.487682081707895</v>
      </c>
      <c r="AH1873" s="9">
        <v>36.427668170967245</v>
      </c>
      <c r="AI1873" s="9">
        <v>38.74455996597662</v>
      </c>
      <c r="AJ1873" s="9">
        <v>3.0428788910505911</v>
      </c>
    </row>
    <row r="1874" spans="1:36" x14ac:dyDescent="0.25">
      <c r="A1874" t="s">
        <v>5411</v>
      </c>
      <c r="B1874" t="s">
        <v>16</v>
      </c>
      <c r="C1874" t="s">
        <v>17</v>
      </c>
      <c r="D1874">
        <v>39935000</v>
      </c>
      <c r="E1874">
        <v>39939999</v>
      </c>
      <c r="F1874" t="s">
        <v>1690</v>
      </c>
      <c r="G1874" t="str">
        <f t="shared" si="58"/>
        <v>MGI II</v>
      </c>
      <c r="H1874" t="s">
        <v>851</v>
      </c>
      <c r="I1874" t="s">
        <v>20</v>
      </c>
      <c r="J1874" t="s">
        <v>64</v>
      </c>
      <c r="K1874" s="6">
        <v>0.03</v>
      </c>
      <c r="L1874" s="7">
        <f t="shared" si="59"/>
        <v>2E-3</v>
      </c>
      <c r="M1874" s="7">
        <v>3.0000000000000001E-3</v>
      </c>
      <c r="N1874">
        <v>7</v>
      </c>
      <c r="O1874" s="8">
        <v>17.822306426995311</v>
      </c>
      <c r="P1874" s="9">
        <v>17.822306426995311</v>
      </c>
      <c r="Q1874" s="9">
        <v>17.822306426995311</v>
      </c>
      <c r="R1874" s="9">
        <v>18.237663306594719</v>
      </c>
      <c r="S1874" s="9">
        <v>18.48712920931133</v>
      </c>
      <c r="T1874" s="9">
        <v>19.201553596969877</v>
      </c>
      <c r="U1874" s="9">
        <v>20.562345482855957</v>
      </c>
      <c r="V1874" s="9">
        <v>20.562345482855957</v>
      </c>
      <c r="W1874" s="9">
        <v>20.562345482855957</v>
      </c>
      <c r="X1874" s="9">
        <v>22.391977691000818</v>
      </c>
      <c r="Y1874" s="9">
        <v>22.391977691000818</v>
      </c>
      <c r="Z1874" s="9">
        <v>24.28858708803979</v>
      </c>
      <c r="AA1874" s="9">
        <v>24.28858708803979</v>
      </c>
      <c r="AB1874" s="9">
        <v>25.117335532005217</v>
      </c>
      <c r="AC1874" s="9">
        <v>25.117335532005217</v>
      </c>
      <c r="AD1874" s="9">
        <v>29.039116491286865</v>
      </c>
      <c r="AE1874" s="9">
        <v>31.219251037281825</v>
      </c>
      <c r="AF1874" s="9">
        <v>33.487682081707895</v>
      </c>
      <c r="AG1874" s="9">
        <v>33.487682081707895</v>
      </c>
      <c r="AH1874" s="9">
        <v>36.427668170967245</v>
      </c>
      <c r="AI1874" s="9">
        <v>38.74455996597662</v>
      </c>
      <c r="AJ1874" s="9">
        <v>3.0428788910505911</v>
      </c>
    </row>
    <row r="1875" spans="1:36" x14ac:dyDescent="0.25">
      <c r="A1875" t="s">
        <v>5411</v>
      </c>
      <c r="B1875" t="s">
        <v>16</v>
      </c>
      <c r="C1875" t="s">
        <v>17</v>
      </c>
      <c r="D1875">
        <v>39940000</v>
      </c>
      <c r="E1875">
        <v>39944999</v>
      </c>
      <c r="F1875" t="s">
        <v>1691</v>
      </c>
      <c r="G1875" t="str">
        <f t="shared" si="58"/>
        <v>MGI II</v>
      </c>
      <c r="H1875" t="s">
        <v>851</v>
      </c>
      <c r="I1875" t="s">
        <v>20</v>
      </c>
      <c r="J1875" t="s">
        <v>64</v>
      </c>
      <c r="K1875" s="6">
        <v>0.03</v>
      </c>
      <c r="L1875" s="7">
        <f t="shared" si="59"/>
        <v>2E-3</v>
      </c>
      <c r="M1875" s="7">
        <v>3.0000000000000001E-3</v>
      </c>
      <c r="N1875">
        <v>8</v>
      </c>
      <c r="O1875" s="8">
        <v>17.822306426995311</v>
      </c>
      <c r="P1875" s="9">
        <v>17.822306426995311</v>
      </c>
      <c r="Q1875" s="9">
        <v>17.822306426995311</v>
      </c>
      <c r="R1875" s="9">
        <v>18.237663306594719</v>
      </c>
      <c r="S1875" s="9">
        <v>18.48712920931133</v>
      </c>
      <c r="T1875" s="9">
        <v>19.201553596969877</v>
      </c>
      <c r="U1875" s="9">
        <v>20.562345482855957</v>
      </c>
      <c r="V1875" s="9">
        <v>20.562345482855957</v>
      </c>
      <c r="W1875" s="9">
        <v>20.562345482855957</v>
      </c>
      <c r="X1875" s="9">
        <v>22.391977691000818</v>
      </c>
      <c r="Y1875" s="9">
        <v>22.391977691000818</v>
      </c>
      <c r="Z1875" s="9">
        <v>24.28858708803979</v>
      </c>
      <c r="AA1875" s="9">
        <v>24.28858708803979</v>
      </c>
      <c r="AB1875" s="9">
        <v>25.117335532005217</v>
      </c>
      <c r="AC1875" s="9">
        <v>25.117335532005217</v>
      </c>
      <c r="AD1875" s="9">
        <v>29.039116491286865</v>
      </c>
      <c r="AE1875" s="9">
        <v>31.219251037281825</v>
      </c>
      <c r="AF1875" s="9">
        <v>33.487682081707895</v>
      </c>
      <c r="AG1875" s="9">
        <v>33.487682081707895</v>
      </c>
      <c r="AH1875" s="9">
        <v>36.427668170967245</v>
      </c>
      <c r="AI1875" s="9">
        <v>38.74455996597662</v>
      </c>
      <c r="AJ1875" s="9">
        <v>3.0428788910505911</v>
      </c>
    </row>
    <row r="1876" spans="1:36" x14ac:dyDescent="0.25">
      <c r="A1876" t="s">
        <v>5411</v>
      </c>
      <c r="B1876" t="s">
        <v>16</v>
      </c>
      <c r="C1876" t="s">
        <v>17</v>
      </c>
      <c r="D1876">
        <v>39945000</v>
      </c>
      <c r="E1876">
        <v>39949999</v>
      </c>
      <c r="F1876" t="s">
        <v>1692</v>
      </c>
      <c r="G1876" t="str">
        <f t="shared" si="58"/>
        <v>MGI II</v>
      </c>
      <c r="H1876" t="s">
        <v>851</v>
      </c>
      <c r="I1876" t="s">
        <v>20</v>
      </c>
      <c r="J1876" t="s">
        <v>64</v>
      </c>
      <c r="K1876" s="6">
        <v>0.03</v>
      </c>
      <c r="L1876" s="7">
        <f t="shared" si="59"/>
        <v>2E-3</v>
      </c>
      <c r="M1876" s="7">
        <v>3.0000000000000001E-3</v>
      </c>
      <c r="N1876">
        <v>8</v>
      </c>
      <c r="O1876" s="8">
        <v>17.822306426995311</v>
      </c>
      <c r="P1876" s="9">
        <v>17.822306426995311</v>
      </c>
      <c r="Q1876" s="9">
        <v>17.822306426995311</v>
      </c>
      <c r="R1876" s="9">
        <v>18.237663306594719</v>
      </c>
      <c r="S1876" s="9">
        <v>18.48712920931133</v>
      </c>
      <c r="T1876" s="9">
        <v>19.201553596969877</v>
      </c>
      <c r="U1876" s="9">
        <v>20.562345482855957</v>
      </c>
      <c r="V1876" s="9">
        <v>20.562345482855957</v>
      </c>
      <c r="W1876" s="9">
        <v>20.562345482855957</v>
      </c>
      <c r="X1876" s="9">
        <v>22.391977691000818</v>
      </c>
      <c r="Y1876" s="9">
        <v>22.391977691000818</v>
      </c>
      <c r="Z1876" s="9">
        <v>24.28858708803979</v>
      </c>
      <c r="AA1876" s="9">
        <v>24.28858708803979</v>
      </c>
      <c r="AB1876" s="9">
        <v>25.117335532005217</v>
      </c>
      <c r="AC1876" s="9">
        <v>25.117335532005217</v>
      </c>
      <c r="AD1876" s="9">
        <v>29.039116491286865</v>
      </c>
      <c r="AE1876" s="9">
        <v>31.219251037281825</v>
      </c>
      <c r="AF1876" s="9">
        <v>33.487682081707895</v>
      </c>
      <c r="AG1876" s="9">
        <v>33.487682081707895</v>
      </c>
      <c r="AH1876" s="9">
        <v>36.427668170967245</v>
      </c>
      <c r="AI1876" s="9">
        <v>38.74455996597662</v>
      </c>
      <c r="AJ1876" s="9">
        <v>3.0428788910505911</v>
      </c>
    </row>
    <row r="1877" spans="1:36" x14ac:dyDescent="0.25">
      <c r="A1877" t="s">
        <v>5411</v>
      </c>
      <c r="B1877" t="s">
        <v>16</v>
      </c>
      <c r="C1877" t="s">
        <v>17</v>
      </c>
      <c r="D1877">
        <v>39950000</v>
      </c>
      <c r="E1877">
        <v>39959999</v>
      </c>
      <c r="F1877" t="s">
        <v>1693</v>
      </c>
      <c r="G1877" t="str">
        <f t="shared" si="58"/>
        <v>MGI II</v>
      </c>
      <c r="H1877" t="s">
        <v>851</v>
      </c>
      <c r="I1877" t="s">
        <v>20</v>
      </c>
      <c r="J1877" t="s">
        <v>64</v>
      </c>
      <c r="K1877" s="6">
        <v>0.03</v>
      </c>
      <c r="L1877" s="7">
        <f t="shared" si="59"/>
        <v>2E-3</v>
      </c>
      <c r="M1877" s="7">
        <v>3.0000000000000001E-3</v>
      </c>
      <c r="N1877">
        <v>8</v>
      </c>
      <c r="O1877" s="8">
        <v>17.822306426995311</v>
      </c>
      <c r="P1877" s="9">
        <v>17.822306426995311</v>
      </c>
      <c r="Q1877" s="9">
        <v>17.822306426995311</v>
      </c>
      <c r="R1877" s="9">
        <v>18.237663306594719</v>
      </c>
      <c r="S1877" s="9">
        <v>18.48712920931133</v>
      </c>
      <c r="T1877" s="9">
        <v>19.201553596969877</v>
      </c>
      <c r="U1877" s="9">
        <v>20.562345482855957</v>
      </c>
      <c r="V1877" s="9">
        <v>20.562345482855957</v>
      </c>
      <c r="W1877" s="9">
        <v>20.562345482855957</v>
      </c>
      <c r="X1877" s="9">
        <v>22.391977691000818</v>
      </c>
      <c r="Y1877" s="9">
        <v>22.391977691000818</v>
      </c>
      <c r="Z1877" s="9">
        <v>24.28858708803979</v>
      </c>
      <c r="AA1877" s="9">
        <v>24.28858708803979</v>
      </c>
      <c r="AB1877" s="9">
        <v>25.117335532005217</v>
      </c>
      <c r="AC1877" s="9">
        <v>25.117335532005217</v>
      </c>
      <c r="AD1877" s="9">
        <v>29.039116491286865</v>
      </c>
      <c r="AE1877" s="9">
        <v>31.219251037281825</v>
      </c>
      <c r="AF1877" s="9">
        <v>33.487682081707895</v>
      </c>
      <c r="AG1877" s="9">
        <v>33.487682081707895</v>
      </c>
      <c r="AH1877" s="9">
        <v>36.427668170967245</v>
      </c>
      <c r="AI1877" s="9">
        <v>38.74455996597662</v>
      </c>
      <c r="AJ1877" s="9">
        <v>3.0428788910505911</v>
      </c>
    </row>
    <row r="1878" spans="1:36" x14ac:dyDescent="0.25">
      <c r="A1878" t="s">
        <v>5411</v>
      </c>
      <c r="B1878" t="s">
        <v>16</v>
      </c>
      <c r="C1878" t="s">
        <v>17</v>
      </c>
      <c r="D1878">
        <v>39960000</v>
      </c>
      <c r="E1878">
        <v>39969999</v>
      </c>
      <c r="F1878" t="s">
        <v>1694</v>
      </c>
      <c r="G1878" t="str">
        <f t="shared" si="58"/>
        <v>MGI II</v>
      </c>
      <c r="H1878" t="s">
        <v>851</v>
      </c>
      <c r="I1878" t="s">
        <v>20</v>
      </c>
      <c r="J1878" t="s">
        <v>64</v>
      </c>
      <c r="K1878" s="6">
        <v>0.03</v>
      </c>
      <c r="L1878" s="7">
        <f t="shared" si="59"/>
        <v>2E-3</v>
      </c>
      <c r="M1878" s="7">
        <v>3.0000000000000001E-3</v>
      </c>
      <c r="N1878">
        <v>7</v>
      </c>
      <c r="O1878" s="8">
        <v>17.822306426995311</v>
      </c>
      <c r="P1878" s="9">
        <v>17.822306426995311</v>
      </c>
      <c r="Q1878" s="9">
        <v>17.822306426995311</v>
      </c>
      <c r="R1878" s="9">
        <v>18.237663306594719</v>
      </c>
      <c r="S1878" s="9">
        <v>18.48712920931133</v>
      </c>
      <c r="T1878" s="9">
        <v>19.201553596969877</v>
      </c>
      <c r="U1878" s="9">
        <v>20.562345482855957</v>
      </c>
      <c r="V1878" s="9">
        <v>20.562345482855957</v>
      </c>
      <c r="W1878" s="9">
        <v>20.562345482855957</v>
      </c>
      <c r="X1878" s="9">
        <v>22.391977691000818</v>
      </c>
      <c r="Y1878" s="9">
        <v>22.391977691000818</v>
      </c>
      <c r="Z1878" s="9">
        <v>24.28858708803979</v>
      </c>
      <c r="AA1878" s="9">
        <v>24.28858708803979</v>
      </c>
      <c r="AB1878" s="9">
        <v>25.117335532005217</v>
      </c>
      <c r="AC1878" s="9">
        <v>25.117335532005217</v>
      </c>
      <c r="AD1878" s="9">
        <v>29.039116491286865</v>
      </c>
      <c r="AE1878" s="9">
        <v>31.219251037281825</v>
      </c>
      <c r="AF1878" s="9">
        <v>33.487682081707895</v>
      </c>
      <c r="AG1878" s="9">
        <v>33.487682081707895</v>
      </c>
      <c r="AH1878" s="9">
        <v>36.427668170967245</v>
      </c>
      <c r="AI1878" s="9">
        <v>38.74455996597662</v>
      </c>
      <c r="AJ1878" s="9">
        <v>3.0428788910505911</v>
      </c>
    </row>
    <row r="1879" spans="1:36" x14ac:dyDescent="0.25">
      <c r="A1879" t="s">
        <v>5411</v>
      </c>
      <c r="B1879" t="s">
        <v>16</v>
      </c>
      <c r="C1879" t="s">
        <v>17</v>
      </c>
      <c r="D1879">
        <v>39970000</v>
      </c>
      <c r="E1879">
        <v>39979999</v>
      </c>
      <c r="F1879" t="s">
        <v>1695</v>
      </c>
      <c r="G1879" t="str">
        <f t="shared" si="58"/>
        <v>MGI II</v>
      </c>
      <c r="H1879" t="s">
        <v>851</v>
      </c>
      <c r="I1879" t="s">
        <v>20</v>
      </c>
      <c r="J1879" t="s">
        <v>64</v>
      </c>
      <c r="K1879" s="6">
        <v>0.03</v>
      </c>
      <c r="L1879" s="7">
        <f t="shared" si="59"/>
        <v>2E-3</v>
      </c>
      <c r="M1879" s="7">
        <v>3.0000000000000001E-3</v>
      </c>
      <c r="N1879">
        <v>7</v>
      </c>
      <c r="O1879" s="8">
        <v>17.822306426995311</v>
      </c>
      <c r="P1879" s="9">
        <v>17.822306426995311</v>
      </c>
      <c r="Q1879" s="9">
        <v>17.822306426995311</v>
      </c>
      <c r="R1879" s="9">
        <v>18.237663306594719</v>
      </c>
      <c r="S1879" s="9">
        <v>18.48712920931133</v>
      </c>
      <c r="T1879" s="9">
        <v>19.201553596969877</v>
      </c>
      <c r="U1879" s="9">
        <v>20.562345482855957</v>
      </c>
      <c r="V1879" s="9">
        <v>20.562345482855957</v>
      </c>
      <c r="W1879" s="9">
        <v>20.562345482855957</v>
      </c>
      <c r="X1879" s="9">
        <v>22.391977691000818</v>
      </c>
      <c r="Y1879" s="9">
        <v>22.391977691000818</v>
      </c>
      <c r="Z1879" s="9">
        <v>24.28858708803979</v>
      </c>
      <c r="AA1879" s="9">
        <v>24.28858708803979</v>
      </c>
      <c r="AB1879" s="9">
        <v>25.117335532005217</v>
      </c>
      <c r="AC1879" s="9">
        <v>25.117335532005217</v>
      </c>
      <c r="AD1879" s="9">
        <v>29.039116491286865</v>
      </c>
      <c r="AE1879" s="9">
        <v>31.219251037281825</v>
      </c>
      <c r="AF1879" s="9">
        <v>33.487682081707895</v>
      </c>
      <c r="AG1879" s="9">
        <v>33.487682081707895</v>
      </c>
      <c r="AH1879" s="9">
        <v>36.427668170967245</v>
      </c>
      <c r="AI1879" s="9">
        <v>38.74455996597662</v>
      </c>
      <c r="AJ1879" s="9">
        <v>3.0428788910505911</v>
      </c>
    </row>
    <row r="1880" spans="1:36" x14ac:dyDescent="0.25">
      <c r="A1880" t="s">
        <v>5411</v>
      </c>
      <c r="B1880" t="s">
        <v>16</v>
      </c>
      <c r="C1880" t="s">
        <v>17</v>
      </c>
      <c r="D1880">
        <v>39980000</v>
      </c>
      <c r="E1880">
        <v>39989999</v>
      </c>
      <c r="F1880" t="s">
        <v>1696</v>
      </c>
      <c r="G1880" t="str">
        <f t="shared" si="58"/>
        <v>MGI II</v>
      </c>
      <c r="H1880" t="s">
        <v>851</v>
      </c>
      <c r="I1880" t="s">
        <v>20</v>
      </c>
      <c r="J1880" t="s">
        <v>64</v>
      </c>
      <c r="K1880" s="6">
        <v>0.03</v>
      </c>
      <c r="L1880" s="7">
        <f t="shared" si="59"/>
        <v>2E-3</v>
      </c>
      <c r="M1880" s="7">
        <v>3.0000000000000001E-3</v>
      </c>
      <c r="N1880">
        <v>7</v>
      </c>
      <c r="O1880" s="8">
        <v>17.822306426995311</v>
      </c>
      <c r="P1880" s="9">
        <v>17.822306426995311</v>
      </c>
      <c r="Q1880" s="9">
        <v>17.822306426995311</v>
      </c>
      <c r="R1880" s="9">
        <v>18.237663306594719</v>
      </c>
      <c r="S1880" s="9">
        <v>18.48712920931133</v>
      </c>
      <c r="T1880" s="9">
        <v>19.201553596969877</v>
      </c>
      <c r="U1880" s="9">
        <v>20.562345482855957</v>
      </c>
      <c r="V1880" s="9">
        <v>20.562345482855957</v>
      </c>
      <c r="W1880" s="9">
        <v>20.562345482855957</v>
      </c>
      <c r="X1880" s="9">
        <v>22.391977691000818</v>
      </c>
      <c r="Y1880" s="9">
        <v>22.391977691000818</v>
      </c>
      <c r="Z1880" s="9">
        <v>24.28858708803979</v>
      </c>
      <c r="AA1880" s="9">
        <v>24.28858708803979</v>
      </c>
      <c r="AB1880" s="9">
        <v>25.117335532005217</v>
      </c>
      <c r="AC1880" s="9">
        <v>25.117335532005217</v>
      </c>
      <c r="AD1880" s="9">
        <v>29.039116491286865</v>
      </c>
      <c r="AE1880" s="9">
        <v>31.219251037281825</v>
      </c>
      <c r="AF1880" s="9">
        <v>33.487682081707895</v>
      </c>
      <c r="AG1880" s="9">
        <v>33.487682081707895</v>
      </c>
      <c r="AH1880" s="9">
        <v>36.427668170967245</v>
      </c>
      <c r="AI1880" s="9">
        <v>38.74455996597662</v>
      </c>
      <c r="AJ1880" s="9">
        <v>3.0428788910505911</v>
      </c>
    </row>
    <row r="1881" spans="1:36" x14ac:dyDescent="0.25">
      <c r="A1881" t="s">
        <v>5411</v>
      </c>
      <c r="B1881" t="s">
        <v>16</v>
      </c>
      <c r="C1881" t="s">
        <v>17</v>
      </c>
      <c r="D1881">
        <v>39990000</v>
      </c>
      <c r="E1881">
        <v>39994999</v>
      </c>
      <c r="F1881" t="s">
        <v>1697</v>
      </c>
      <c r="G1881" t="str">
        <f t="shared" si="58"/>
        <v>MGI II</v>
      </c>
      <c r="H1881" t="s">
        <v>851</v>
      </c>
      <c r="I1881" t="s">
        <v>20</v>
      </c>
      <c r="J1881" t="s">
        <v>64</v>
      </c>
      <c r="K1881" s="6">
        <v>0.03</v>
      </c>
      <c r="L1881" s="7">
        <f t="shared" si="59"/>
        <v>2E-3</v>
      </c>
      <c r="M1881" s="7">
        <v>3.0000000000000001E-3</v>
      </c>
      <c r="N1881">
        <v>7</v>
      </c>
      <c r="O1881" s="8">
        <v>17.822306426995311</v>
      </c>
      <c r="P1881" s="9">
        <v>17.822306426995311</v>
      </c>
      <c r="Q1881" s="9">
        <v>17.822306426995311</v>
      </c>
      <c r="R1881" s="9">
        <v>18.237663306594719</v>
      </c>
      <c r="S1881" s="9">
        <v>18.48712920931133</v>
      </c>
      <c r="T1881" s="9">
        <v>19.201553596969877</v>
      </c>
      <c r="U1881" s="9">
        <v>20.562345482855957</v>
      </c>
      <c r="V1881" s="9">
        <v>20.562345482855957</v>
      </c>
      <c r="W1881" s="9">
        <v>20.562345482855957</v>
      </c>
      <c r="X1881" s="9">
        <v>22.391977691000818</v>
      </c>
      <c r="Y1881" s="9">
        <v>22.391977691000818</v>
      </c>
      <c r="Z1881" s="9">
        <v>24.28858708803979</v>
      </c>
      <c r="AA1881" s="9">
        <v>24.28858708803979</v>
      </c>
      <c r="AB1881" s="9">
        <v>25.117335532005217</v>
      </c>
      <c r="AC1881" s="9">
        <v>25.117335532005217</v>
      </c>
      <c r="AD1881" s="9">
        <v>29.039116491286865</v>
      </c>
      <c r="AE1881" s="9">
        <v>31.219251037281825</v>
      </c>
      <c r="AF1881" s="9">
        <v>33.487682081707895</v>
      </c>
      <c r="AG1881" s="9">
        <v>33.487682081707895</v>
      </c>
      <c r="AH1881" s="9">
        <v>36.427668170967245</v>
      </c>
      <c r="AI1881" s="9">
        <v>38.74455996597662</v>
      </c>
      <c r="AJ1881" s="9">
        <v>3.0428788910505911</v>
      </c>
    </row>
    <row r="1882" spans="1:36" x14ac:dyDescent="0.25">
      <c r="A1882" t="s">
        <v>5411</v>
      </c>
      <c r="B1882" t="s">
        <v>16</v>
      </c>
      <c r="C1882" t="s">
        <v>17</v>
      </c>
      <c r="D1882">
        <v>39995000</v>
      </c>
      <c r="E1882">
        <v>39999999</v>
      </c>
      <c r="F1882" t="s">
        <v>1698</v>
      </c>
      <c r="G1882" t="str">
        <f t="shared" si="58"/>
        <v>MGI II</v>
      </c>
      <c r="H1882" t="s">
        <v>851</v>
      </c>
      <c r="I1882" t="s">
        <v>20</v>
      </c>
      <c r="J1882" t="s">
        <v>64</v>
      </c>
      <c r="K1882" s="6">
        <v>0.03</v>
      </c>
      <c r="L1882" s="7">
        <f t="shared" si="59"/>
        <v>2E-3</v>
      </c>
      <c r="M1882" s="7">
        <v>3.0000000000000001E-3</v>
      </c>
      <c r="N1882">
        <v>7</v>
      </c>
      <c r="O1882" s="8">
        <v>17.822306426995311</v>
      </c>
      <c r="P1882" s="9">
        <v>17.822306426995311</v>
      </c>
      <c r="Q1882" s="9">
        <v>17.822306426995311</v>
      </c>
      <c r="R1882" s="9">
        <v>18.237663306594719</v>
      </c>
      <c r="S1882" s="9">
        <v>18.48712920931133</v>
      </c>
      <c r="T1882" s="9">
        <v>19.201553596969877</v>
      </c>
      <c r="U1882" s="9">
        <v>20.562345482855957</v>
      </c>
      <c r="V1882" s="9">
        <v>20.562345482855957</v>
      </c>
      <c r="W1882" s="9">
        <v>20.562345482855957</v>
      </c>
      <c r="X1882" s="9">
        <v>22.391977691000818</v>
      </c>
      <c r="Y1882" s="9">
        <v>22.391977691000818</v>
      </c>
      <c r="Z1882" s="9">
        <v>24.28858708803979</v>
      </c>
      <c r="AA1882" s="9">
        <v>24.28858708803979</v>
      </c>
      <c r="AB1882" s="9">
        <v>25.117335532005217</v>
      </c>
      <c r="AC1882" s="9">
        <v>25.117335532005217</v>
      </c>
      <c r="AD1882" s="9">
        <v>29.039116491286865</v>
      </c>
      <c r="AE1882" s="9">
        <v>31.219251037281825</v>
      </c>
      <c r="AF1882" s="9">
        <v>33.487682081707895</v>
      </c>
      <c r="AG1882" s="9">
        <v>33.487682081707895</v>
      </c>
      <c r="AH1882" s="9">
        <v>36.427668170967245</v>
      </c>
      <c r="AI1882" s="9">
        <v>38.74455996597662</v>
      </c>
      <c r="AJ1882" s="9">
        <v>3.0428788910505911</v>
      </c>
    </row>
    <row r="1883" spans="1:36" x14ac:dyDescent="0.25">
      <c r="A1883" t="s">
        <v>5411</v>
      </c>
      <c r="B1883" t="s">
        <v>16</v>
      </c>
      <c r="C1883" t="s">
        <v>17</v>
      </c>
      <c r="D1883">
        <v>40000000</v>
      </c>
      <c r="E1883">
        <v>40107899</v>
      </c>
      <c r="F1883" t="s">
        <v>1699</v>
      </c>
      <c r="G1883" t="str">
        <f t="shared" si="58"/>
        <v>BAC</v>
      </c>
      <c r="H1883" t="s">
        <v>1700</v>
      </c>
      <c r="I1883" t="s">
        <v>20</v>
      </c>
      <c r="J1883" t="s">
        <v>21</v>
      </c>
      <c r="K1883" s="6">
        <v>0.03</v>
      </c>
      <c r="L1883" s="7">
        <f t="shared" si="59"/>
        <v>2E-3</v>
      </c>
      <c r="M1883" s="7">
        <v>3.0000000000000001E-3</v>
      </c>
      <c r="N1883">
        <v>9</v>
      </c>
      <c r="O1883" s="8">
        <v>13.607259145888081</v>
      </c>
      <c r="P1883" s="9">
        <v>13.607259145888081</v>
      </c>
      <c r="Q1883" s="9">
        <v>13.607259145888081</v>
      </c>
      <c r="R1883" s="9">
        <v>14.733295272816386</v>
      </c>
      <c r="S1883" s="9">
        <v>15.788683193475709</v>
      </c>
      <c r="T1883" s="9">
        <v>17.111707699516138</v>
      </c>
      <c r="U1883" s="9">
        <v>20.53297169020064</v>
      </c>
      <c r="V1883" s="9">
        <v>20.53297169020064</v>
      </c>
      <c r="W1883" s="9">
        <v>20.53297169020064</v>
      </c>
      <c r="X1883" s="9">
        <v>26.336331094847566</v>
      </c>
      <c r="Y1883" s="9">
        <v>26.336331094847566</v>
      </c>
      <c r="Z1883" s="9">
        <v>32.315392848576444</v>
      </c>
      <c r="AA1883" s="9">
        <v>32.315392848576444</v>
      </c>
      <c r="AB1883" s="9">
        <v>38.557417413791967</v>
      </c>
      <c r="AC1883" s="9">
        <v>38.557417413791967</v>
      </c>
      <c r="AD1883" s="9">
        <v>48.128361980460618</v>
      </c>
      <c r="AE1883" s="9">
        <v>54.183868239231643</v>
      </c>
      <c r="AF1883" s="9">
        <v>60.339831084023544</v>
      </c>
      <c r="AG1883" s="9">
        <v>60.339831084023544</v>
      </c>
      <c r="AH1883" s="9">
        <v>66.606296173438395</v>
      </c>
      <c r="AI1883" s="9">
        <v>72.363977356539152</v>
      </c>
      <c r="AJ1883" s="9">
        <v>3.0428788910505911</v>
      </c>
    </row>
    <row r="1884" spans="1:36" x14ac:dyDescent="0.25">
      <c r="A1884" t="s">
        <v>5411</v>
      </c>
      <c r="B1884" t="s">
        <v>16</v>
      </c>
      <c r="C1884" t="s">
        <v>17</v>
      </c>
      <c r="D1884">
        <v>40107900</v>
      </c>
      <c r="E1884">
        <v>40213009</v>
      </c>
      <c r="F1884" t="s">
        <v>1699</v>
      </c>
      <c r="G1884" t="str">
        <f t="shared" si="58"/>
        <v>BAC</v>
      </c>
      <c r="H1884" t="s">
        <v>1700</v>
      </c>
      <c r="I1884" t="s">
        <v>20</v>
      </c>
      <c r="J1884" t="s">
        <v>21</v>
      </c>
      <c r="K1884" s="6">
        <v>0.03</v>
      </c>
      <c r="L1884" s="7">
        <f t="shared" si="59"/>
        <v>2E-3</v>
      </c>
      <c r="M1884" s="7">
        <v>3.0000000000000001E-3</v>
      </c>
      <c r="N1884">
        <v>9</v>
      </c>
      <c r="O1884" s="8">
        <v>13.607259145888081</v>
      </c>
      <c r="P1884" s="9">
        <v>13.607259145888081</v>
      </c>
      <c r="Q1884" s="9">
        <v>13.607259145888081</v>
      </c>
      <c r="R1884" s="9">
        <v>14.733295272816386</v>
      </c>
      <c r="S1884" s="9">
        <v>15.788683193475709</v>
      </c>
      <c r="T1884" s="9">
        <v>17.111707699516138</v>
      </c>
      <c r="U1884" s="9">
        <v>20.53297169020064</v>
      </c>
      <c r="V1884" s="9">
        <v>20.53297169020064</v>
      </c>
      <c r="W1884" s="9">
        <v>20.53297169020064</v>
      </c>
      <c r="X1884" s="9">
        <v>26.336331094847566</v>
      </c>
      <c r="Y1884" s="9">
        <v>26.336331094847566</v>
      </c>
      <c r="Z1884" s="9">
        <v>32.315392848576444</v>
      </c>
      <c r="AA1884" s="9">
        <v>32.315392848576444</v>
      </c>
      <c r="AB1884" s="9">
        <v>38.557417413791967</v>
      </c>
      <c r="AC1884" s="9">
        <v>38.557417413791967</v>
      </c>
      <c r="AD1884" s="9">
        <v>48.128361980460618</v>
      </c>
      <c r="AE1884" s="9">
        <v>54.183868239231643</v>
      </c>
      <c r="AF1884" s="9">
        <v>60.339831084023544</v>
      </c>
      <c r="AG1884" s="9">
        <v>60.339831084023544</v>
      </c>
      <c r="AH1884" s="9">
        <v>66.606296173438395</v>
      </c>
      <c r="AI1884" s="9">
        <v>72.363977356539152</v>
      </c>
      <c r="AJ1884" s="9">
        <v>3.0428788910505911</v>
      </c>
    </row>
    <row r="1885" spans="1:36" x14ac:dyDescent="0.25">
      <c r="A1885" t="s">
        <v>5411</v>
      </c>
      <c r="B1885" t="s">
        <v>16</v>
      </c>
      <c r="C1885" t="s">
        <v>17</v>
      </c>
      <c r="D1885">
        <v>40213010</v>
      </c>
      <c r="E1885">
        <v>40300999</v>
      </c>
      <c r="F1885" t="s">
        <v>1699</v>
      </c>
      <c r="G1885" t="str">
        <f t="shared" si="58"/>
        <v>BAC</v>
      </c>
      <c r="H1885" t="s">
        <v>1700</v>
      </c>
      <c r="I1885" t="s">
        <v>20</v>
      </c>
      <c r="J1885" t="s">
        <v>21</v>
      </c>
      <c r="K1885" s="6">
        <v>0.03</v>
      </c>
      <c r="L1885" s="7">
        <f t="shared" si="59"/>
        <v>2E-3</v>
      </c>
      <c r="M1885" s="7">
        <v>3.0000000000000001E-3</v>
      </c>
      <c r="N1885">
        <v>9</v>
      </c>
      <c r="O1885" s="8">
        <v>13.607259145888081</v>
      </c>
      <c r="P1885" s="9">
        <v>13.607259145888081</v>
      </c>
      <c r="Q1885" s="9">
        <v>13.607259145888081</v>
      </c>
      <c r="R1885" s="9">
        <v>14.733295272816386</v>
      </c>
      <c r="S1885" s="9">
        <v>15.788683193475709</v>
      </c>
      <c r="T1885" s="9">
        <v>17.111707699516138</v>
      </c>
      <c r="U1885" s="9">
        <v>20.53297169020064</v>
      </c>
      <c r="V1885" s="9">
        <v>20.53297169020064</v>
      </c>
      <c r="W1885" s="9">
        <v>20.53297169020064</v>
      </c>
      <c r="X1885" s="9">
        <v>26.336331094847566</v>
      </c>
      <c r="Y1885" s="9">
        <v>26.336331094847566</v>
      </c>
      <c r="Z1885" s="9">
        <v>32.315392848576444</v>
      </c>
      <c r="AA1885" s="9">
        <v>32.315392848576444</v>
      </c>
      <c r="AB1885" s="9">
        <v>38.557417413791967</v>
      </c>
      <c r="AC1885" s="9">
        <v>38.557417413791967</v>
      </c>
      <c r="AD1885" s="9">
        <v>48.128361980460618</v>
      </c>
      <c r="AE1885" s="9">
        <v>54.183868239231643</v>
      </c>
      <c r="AF1885" s="9">
        <v>60.339831084023544</v>
      </c>
      <c r="AG1885" s="9">
        <v>60.339831084023544</v>
      </c>
      <c r="AH1885" s="9">
        <v>66.606296173438395</v>
      </c>
      <c r="AI1885" s="9">
        <v>72.363977356539152</v>
      </c>
      <c r="AJ1885" s="9">
        <v>3.0428788910505911</v>
      </c>
    </row>
    <row r="1886" spans="1:36" x14ac:dyDescent="0.25">
      <c r="A1886" t="s">
        <v>5411</v>
      </c>
      <c r="B1886" t="s">
        <v>16</v>
      </c>
      <c r="C1886" t="s">
        <v>17</v>
      </c>
      <c r="D1886">
        <v>40301000</v>
      </c>
      <c r="E1886">
        <v>40413999</v>
      </c>
      <c r="F1886" t="s">
        <v>1699</v>
      </c>
      <c r="G1886" t="str">
        <f t="shared" si="58"/>
        <v>BAC</v>
      </c>
      <c r="H1886" t="s">
        <v>1700</v>
      </c>
      <c r="I1886" t="s">
        <v>20</v>
      </c>
      <c r="J1886" t="s">
        <v>21</v>
      </c>
      <c r="K1886" s="6">
        <v>0.03</v>
      </c>
      <c r="L1886" s="7">
        <f t="shared" si="59"/>
        <v>2E-3</v>
      </c>
      <c r="M1886" s="7">
        <v>3.0000000000000001E-3</v>
      </c>
      <c r="N1886">
        <v>9</v>
      </c>
      <c r="O1886" s="8">
        <v>13.607259145888081</v>
      </c>
      <c r="P1886" s="9">
        <v>13.607259145888081</v>
      </c>
      <c r="Q1886" s="9">
        <v>13.607259145888081</v>
      </c>
      <c r="R1886" s="9">
        <v>14.733295272816386</v>
      </c>
      <c r="S1886" s="9">
        <v>15.788683193475709</v>
      </c>
      <c r="T1886" s="9">
        <v>17.111707699516138</v>
      </c>
      <c r="U1886" s="9">
        <v>20.53297169020064</v>
      </c>
      <c r="V1886" s="9">
        <v>20.53297169020064</v>
      </c>
      <c r="W1886" s="9">
        <v>20.53297169020064</v>
      </c>
      <c r="X1886" s="9">
        <v>26.336331094847566</v>
      </c>
      <c r="Y1886" s="9">
        <v>26.336331094847566</v>
      </c>
      <c r="Z1886" s="9">
        <v>32.315392848576444</v>
      </c>
      <c r="AA1886" s="9">
        <v>32.315392848576444</v>
      </c>
      <c r="AB1886" s="9">
        <v>38.557417413791967</v>
      </c>
      <c r="AC1886" s="9">
        <v>38.557417413791967</v>
      </c>
      <c r="AD1886" s="9">
        <v>48.128361980460618</v>
      </c>
      <c r="AE1886" s="9">
        <v>54.183868239231643</v>
      </c>
      <c r="AF1886" s="9">
        <v>60.339831084023544</v>
      </c>
      <c r="AG1886" s="9">
        <v>60.339831084023544</v>
      </c>
      <c r="AH1886" s="9">
        <v>66.606296173438395</v>
      </c>
      <c r="AI1886" s="9">
        <v>72.363977356539152</v>
      </c>
      <c r="AJ1886" s="9">
        <v>3.0428788910505911</v>
      </c>
    </row>
    <row r="1887" spans="1:36" x14ac:dyDescent="0.25">
      <c r="A1887" t="s">
        <v>5411</v>
      </c>
      <c r="B1887" t="s">
        <v>16</v>
      </c>
      <c r="C1887" t="s">
        <v>17</v>
      </c>
      <c r="D1887">
        <v>40414000</v>
      </c>
      <c r="E1887">
        <v>40710999</v>
      </c>
      <c r="F1887" t="s">
        <v>1699</v>
      </c>
      <c r="G1887" t="str">
        <f t="shared" si="58"/>
        <v>BAC</v>
      </c>
      <c r="H1887" t="s">
        <v>1700</v>
      </c>
      <c r="I1887" t="s">
        <v>20</v>
      </c>
      <c r="J1887" t="s">
        <v>21</v>
      </c>
      <c r="K1887" s="6">
        <v>0.03</v>
      </c>
      <c r="L1887" s="7">
        <f t="shared" si="59"/>
        <v>2E-3</v>
      </c>
      <c r="M1887" s="7">
        <v>3.0000000000000001E-3</v>
      </c>
      <c r="N1887">
        <v>9</v>
      </c>
      <c r="O1887" s="8">
        <v>13.607259145888081</v>
      </c>
      <c r="P1887" s="9">
        <v>13.607259145888081</v>
      </c>
      <c r="Q1887" s="9">
        <v>13.607259145888081</v>
      </c>
      <c r="R1887" s="9">
        <v>14.733295272816386</v>
      </c>
      <c r="S1887" s="9">
        <v>15.788683193475709</v>
      </c>
      <c r="T1887" s="9">
        <v>17.111707699516138</v>
      </c>
      <c r="U1887" s="9">
        <v>20.53297169020064</v>
      </c>
      <c r="V1887" s="9">
        <v>20.53297169020064</v>
      </c>
      <c r="W1887" s="9">
        <v>20.53297169020064</v>
      </c>
      <c r="X1887" s="9">
        <v>26.336331094847566</v>
      </c>
      <c r="Y1887" s="9">
        <v>26.336331094847566</v>
      </c>
      <c r="Z1887" s="9">
        <v>32.315392848576444</v>
      </c>
      <c r="AA1887" s="9">
        <v>32.315392848576444</v>
      </c>
      <c r="AB1887" s="9">
        <v>38.557417413791967</v>
      </c>
      <c r="AC1887" s="9">
        <v>38.557417413791967</v>
      </c>
      <c r="AD1887" s="9">
        <v>48.128361980460618</v>
      </c>
      <c r="AE1887" s="9">
        <v>54.183868239231643</v>
      </c>
      <c r="AF1887" s="9">
        <v>60.339831084023544</v>
      </c>
      <c r="AG1887" s="9">
        <v>60.339831084023544</v>
      </c>
      <c r="AH1887" s="9">
        <v>66.606296173438395</v>
      </c>
      <c r="AI1887" s="9">
        <v>72.363977356539152</v>
      </c>
      <c r="AJ1887" s="9">
        <v>3.0428788910505911</v>
      </c>
    </row>
    <row r="1888" spans="1:36" x14ac:dyDescent="0.25">
      <c r="A1888" t="s">
        <v>5411</v>
      </c>
      <c r="B1888" t="s">
        <v>16</v>
      </c>
      <c r="C1888" t="s">
        <v>17</v>
      </c>
      <c r="D1888">
        <v>40711000</v>
      </c>
      <c r="E1888">
        <v>40806899</v>
      </c>
      <c r="F1888" t="s">
        <v>1699</v>
      </c>
      <c r="G1888" t="str">
        <f t="shared" si="58"/>
        <v>BAC</v>
      </c>
      <c r="H1888" t="s">
        <v>1700</v>
      </c>
      <c r="I1888" t="s">
        <v>20</v>
      </c>
      <c r="J1888" t="s">
        <v>21</v>
      </c>
      <c r="K1888" s="6">
        <v>0.03</v>
      </c>
      <c r="L1888" s="7">
        <f t="shared" si="59"/>
        <v>2E-3</v>
      </c>
      <c r="M1888" s="7">
        <v>3.0000000000000001E-3</v>
      </c>
      <c r="N1888">
        <v>9</v>
      </c>
      <c r="O1888" s="8">
        <v>13.607259145888081</v>
      </c>
      <c r="P1888" s="9">
        <v>13.607259145888081</v>
      </c>
      <c r="Q1888" s="9">
        <v>13.607259145888081</v>
      </c>
      <c r="R1888" s="9">
        <v>14.733295272816386</v>
      </c>
      <c r="S1888" s="9">
        <v>15.788683193475709</v>
      </c>
      <c r="T1888" s="9">
        <v>17.111707699516138</v>
      </c>
      <c r="U1888" s="9">
        <v>20.53297169020064</v>
      </c>
      <c r="V1888" s="9">
        <v>20.53297169020064</v>
      </c>
      <c r="W1888" s="9">
        <v>20.53297169020064</v>
      </c>
      <c r="X1888" s="9">
        <v>26.336331094847566</v>
      </c>
      <c r="Y1888" s="9">
        <v>26.336331094847566</v>
      </c>
      <c r="Z1888" s="9">
        <v>32.315392848576444</v>
      </c>
      <c r="AA1888" s="9">
        <v>32.315392848576444</v>
      </c>
      <c r="AB1888" s="9">
        <v>38.557417413791967</v>
      </c>
      <c r="AC1888" s="9">
        <v>38.557417413791967</v>
      </c>
      <c r="AD1888" s="9">
        <v>48.128361980460618</v>
      </c>
      <c r="AE1888" s="9">
        <v>54.183868239231643</v>
      </c>
      <c r="AF1888" s="9">
        <v>60.339831084023544</v>
      </c>
      <c r="AG1888" s="9">
        <v>60.339831084023544</v>
      </c>
      <c r="AH1888" s="9">
        <v>66.606296173438395</v>
      </c>
      <c r="AI1888" s="9">
        <v>72.363977356539152</v>
      </c>
      <c r="AJ1888" s="9">
        <v>3.0428788910505911</v>
      </c>
    </row>
    <row r="1889" spans="1:36" x14ac:dyDescent="0.25">
      <c r="A1889" t="s">
        <v>5411</v>
      </c>
      <c r="B1889" t="s">
        <v>16</v>
      </c>
      <c r="C1889" t="s">
        <v>17</v>
      </c>
      <c r="D1889">
        <v>40806900</v>
      </c>
      <c r="E1889">
        <v>40999999</v>
      </c>
      <c r="F1889" t="s">
        <v>1699</v>
      </c>
      <c r="G1889" t="str">
        <f t="shared" si="58"/>
        <v>BAC</v>
      </c>
      <c r="H1889" t="s">
        <v>1700</v>
      </c>
      <c r="I1889" t="s">
        <v>20</v>
      </c>
      <c r="J1889" t="s">
        <v>21</v>
      </c>
      <c r="K1889" s="6">
        <v>0.03</v>
      </c>
      <c r="L1889" s="7">
        <f t="shared" si="59"/>
        <v>2E-3</v>
      </c>
      <c r="M1889" s="7">
        <v>3.0000000000000001E-3</v>
      </c>
      <c r="N1889">
        <v>9</v>
      </c>
      <c r="O1889" s="8">
        <v>13.607259145888081</v>
      </c>
      <c r="P1889" s="9">
        <v>13.607259145888081</v>
      </c>
      <c r="Q1889" s="9">
        <v>13.607259145888081</v>
      </c>
      <c r="R1889" s="9">
        <v>14.733295272816386</v>
      </c>
      <c r="S1889" s="9">
        <v>15.788683193475709</v>
      </c>
      <c r="T1889" s="9">
        <v>17.111707699516138</v>
      </c>
      <c r="U1889" s="9">
        <v>20.53297169020064</v>
      </c>
      <c r="V1889" s="9">
        <v>20.53297169020064</v>
      </c>
      <c r="W1889" s="9">
        <v>20.53297169020064</v>
      </c>
      <c r="X1889" s="9">
        <v>26.336331094847566</v>
      </c>
      <c r="Y1889" s="9">
        <v>26.336331094847566</v>
      </c>
      <c r="Z1889" s="9">
        <v>32.315392848576444</v>
      </c>
      <c r="AA1889" s="9">
        <v>32.315392848576444</v>
      </c>
      <c r="AB1889" s="9">
        <v>38.557417413791967</v>
      </c>
      <c r="AC1889" s="9">
        <v>38.557417413791967</v>
      </c>
      <c r="AD1889" s="9">
        <v>48.128361980460618</v>
      </c>
      <c r="AE1889" s="9">
        <v>54.183868239231643</v>
      </c>
      <c r="AF1889" s="9">
        <v>60.339831084023544</v>
      </c>
      <c r="AG1889" s="9">
        <v>60.339831084023544</v>
      </c>
      <c r="AH1889" s="9">
        <v>66.606296173438395</v>
      </c>
      <c r="AI1889" s="9">
        <v>72.363977356539152</v>
      </c>
      <c r="AJ1889" s="9">
        <v>3.0428788910505911</v>
      </c>
    </row>
    <row r="1890" spans="1:36" x14ac:dyDescent="0.25">
      <c r="A1890" t="s">
        <v>5411</v>
      </c>
      <c r="B1890" t="s">
        <v>16</v>
      </c>
      <c r="C1890" t="s">
        <v>17</v>
      </c>
      <c r="D1890">
        <v>41000000</v>
      </c>
      <c r="E1890">
        <v>41104899</v>
      </c>
      <c r="F1890" t="s">
        <v>1699</v>
      </c>
      <c r="G1890" t="str">
        <f t="shared" si="58"/>
        <v>BAC</v>
      </c>
      <c r="H1890" t="s">
        <v>1700</v>
      </c>
      <c r="I1890" t="s">
        <v>20</v>
      </c>
      <c r="J1890" t="s">
        <v>21</v>
      </c>
      <c r="K1890" s="6">
        <v>0.03</v>
      </c>
      <c r="L1890" s="7">
        <f t="shared" si="59"/>
        <v>2E-3</v>
      </c>
      <c r="M1890" s="7">
        <v>3.0000000000000001E-3</v>
      </c>
      <c r="N1890">
        <v>9</v>
      </c>
      <c r="O1890" s="8">
        <v>13.607259145888081</v>
      </c>
      <c r="P1890" s="9">
        <v>13.607259145888081</v>
      </c>
      <c r="Q1890" s="9">
        <v>13.607259145888081</v>
      </c>
      <c r="R1890" s="9">
        <v>14.733295272816386</v>
      </c>
      <c r="S1890" s="9">
        <v>15.788683193475709</v>
      </c>
      <c r="T1890" s="9">
        <v>17.111707699516138</v>
      </c>
      <c r="U1890" s="9">
        <v>20.53297169020064</v>
      </c>
      <c r="V1890" s="9">
        <v>20.53297169020064</v>
      </c>
      <c r="W1890" s="9">
        <v>20.53297169020064</v>
      </c>
      <c r="X1890" s="9">
        <v>26.336331094847566</v>
      </c>
      <c r="Y1890" s="9">
        <v>26.336331094847566</v>
      </c>
      <c r="Z1890" s="9">
        <v>32.315392848576444</v>
      </c>
      <c r="AA1890" s="9">
        <v>32.315392848576444</v>
      </c>
      <c r="AB1890" s="9">
        <v>38.557417413791967</v>
      </c>
      <c r="AC1890" s="9">
        <v>38.557417413791967</v>
      </c>
      <c r="AD1890" s="9">
        <v>48.128361980460618</v>
      </c>
      <c r="AE1890" s="9">
        <v>54.183868239231643</v>
      </c>
      <c r="AF1890" s="9">
        <v>60.339831084023544</v>
      </c>
      <c r="AG1890" s="9">
        <v>60.339831084023544</v>
      </c>
      <c r="AH1890" s="9">
        <v>66.606296173438395</v>
      </c>
      <c r="AI1890" s="9">
        <v>72.363977356539152</v>
      </c>
      <c r="AJ1890" s="9">
        <v>3.0428788910505911</v>
      </c>
    </row>
    <row r="1891" spans="1:36" x14ac:dyDescent="0.25">
      <c r="A1891" t="s">
        <v>5411</v>
      </c>
      <c r="B1891" t="s">
        <v>16</v>
      </c>
      <c r="C1891" t="s">
        <v>17</v>
      </c>
      <c r="D1891">
        <v>41104900</v>
      </c>
      <c r="E1891">
        <v>41214004</v>
      </c>
      <c r="F1891" t="s">
        <v>1699</v>
      </c>
      <c r="G1891" t="str">
        <f t="shared" si="58"/>
        <v>BAC</v>
      </c>
      <c r="H1891" t="s">
        <v>1700</v>
      </c>
      <c r="I1891" t="s">
        <v>20</v>
      </c>
      <c r="J1891" t="s">
        <v>21</v>
      </c>
      <c r="K1891" s="6">
        <v>0.03</v>
      </c>
      <c r="L1891" s="7">
        <f t="shared" si="59"/>
        <v>2E-3</v>
      </c>
      <c r="M1891" s="7">
        <v>3.0000000000000001E-3</v>
      </c>
      <c r="N1891">
        <v>9</v>
      </c>
      <c r="O1891" s="8">
        <v>13.607259145888081</v>
      </c>
      <c r="P1891" s="9">
        <v>13.607259145888081</v>
      </c>
      <c r="Q1891" s="9">
        <v>13.607259145888081</v>
      </c>
      <c r="R1891" s="9">
        <v>14.733295272816386</v>
      </c>
      <c r="S1891" s="9">
        <v>15.788683193475709</v>
      </c>
      <c r="T1891" s="9">
        <v>17.111707699516138</v>
      </c>
      <c r="U1891" s="9">
        <v>20.53297169020064</v>
      </c>
      <c r="V1891" s="9">
        <v>20.53297169020064</v>
      </c>
      <c r="W1891" s="9">
        <v>20.53297169020064</v>
      </c>
      <c r="X1891" s="9">
        <v>26.336331094847566</v>
      </c>
      <c r="Y1891" s="9">
        <v>26.336331094847566</v>
      </c>
      <c r="Z1891" s="9">
        <v>32.315392848576444</v>
      </c>
      <c r="AA1891" s="9">
        <v>32.315392848576444</v>
      </c>
      <c r="AB1891" s="9">
        <v>38.557417413791967</v>
      </c>
      <c r="AC1891" s="9">
        <v>38.557417413791967</v>
      </c>
      <c r="AD1891" s="9">
        <v>48.128361980460618</v>
      </c>
      <c r="AE1891" s="9">
        <v>54.183868239231643</v>
      </c>
      <c r="AF1891" s="9">
        <v>60.339831084023544</v>
      </c>
      <c r="AG1891" s="9">
        <v>60.339831084023544</v>
      </c>
      <c r="AH1891" s="9">
        <v>66.606296173438395</v>
      </c>
      <c r="AI1891" s="9">
        <v>72.363977356539152</v>
      </c>
      <c r="AJ1891" s="9">
        <v>3.0428788910505911</v>
      </c>
    </row>
    <row r="1892" spans="1:36" x14ac:dyDescent="0.25">
      <c r="A1892" t="s">
        <v>5411</v>
      </c>
      <c r="B1892" t="s">
        <v>16</v>
      </c>
      <c r="C1892" t="s">
        <v>17</v>
      </c>
      <c r="D1892">
        <v>41214005</v>
      </c>
      <c r="E1892">
        <v>41301004</v>
      </c>
      <c r="F1892" t="s">
        <v>1699</v>
      </c>
      <c r="G1892" t="str">
        <f t="shared" si="58"/>
        <v>BAC</v>
      </c>
      <c r="H1892" t="s">
        <v>1700</v>
      </c>
      <c r="I1892" t="s">
        <v>20</v>
      </c>
      <c r="J1892" t="s">
        <v>21</v>
      </c>
      <c r="K1892" s="6">
        <v>0.03</v>
      </c>
      <c r="L1892" s="7">
        <f t="shared" si="59"/>
        <v>2E-3</v>
      </c>
      <c r="M1892" s="7">
        <v>3.0000000000000001E-3</v>
      </c>
      <c r="N1892">
        <v>9</v>
      </c>
      <c r="O1892" s="8">
        <v>13.607259145888081</v>
      </c>
      <c r="P1892" s="9">
        <v>13.607259145888081</v>
      </c>
      <c r="Q1892" s="9">
        <v>13.607259145888081</v>
      </c>
      <c r="R1892" s="9">
        <v>14.733295272816386</v>
      </c>
      <c r="S1892" s="9">
        <v>15.788683193475709</v>
      </c>
      <c r="T1892" s="9">
        <v>17.111707699516138</v>
      </c>
      <c r="U1892" s="9">
        <v>20.53297169020064</v>
      </c>
      <c r="V1892" s="9">
        <v>20.53297169020064</v>
      </c>
      <c r="W1892" s="9">
        <v>20.53297169020064</v>
      </c>
      <c r="X1892" s="9">
        <v>26.336331094847566</v>
      </c>
      <c r="Y1892" s="9">
        <v>26.336331094847566</v>
      </c>
      <c r="Z1892" s="9">
        <v>32.315392848576444</v>
      </c>
      <c r="AA1892" s="9">
        <v>32.315392848576444</v>
      </c>
      <c r="AB1892" s="9">
        <v>38.557417413791967</v>
      </c>
      <c r="AC1892" s="9">
        <v>38.557417413791967</v>
      </c>
      <c r="AD1892" s="9">
        <v>48.128361980460618</v>
      </c>
      <c r="AE1892" s="9">
        <v>54.183868239231643</v>
      </c>
      <c r="AF1892" s="9">
        <v>60.339831084023544</v>
      </c>
      <c r="AG1892" s="9">
        <v>60.339831084023544</v>
      </c>
      <c r="AH1892" s="9">
        <v>66.606296173438395</v>
      </c>
      <c r="AI1892" s="9">
        <v>72.363977356539152</v>
      </c>
      <c r="AJ1892" s="9">
        <v>3.0428788910505911</v>
      </c>
    </row>
    <row r="1893" spans="1:36" x14ac:dyDescent="0.25">
      <c r="A1893" t="s">
        <v>5411</v>
      </c>
      <c r="B1893" t="s">
        <v>16</v>
      </c>
      <c r="C1893" t="s">
        <v>17</v>
      </c>
      <c r="D1893">
        <v>41301005</v>
      </c>
      <c r="E1893">
        <v>41401999</v>
      </c>
      <c r="F1893" t="s">
        <v>1699</v>
      </c>
      <c r="G1893" t="str">
        <f t="shared" si="58"/>
        <v>BAC</v>
      </c>
      <c r="H1893" t="s">
        <v>1700</v>
      </c>
      <c r="I1893" t="s">
        <v>20</v>
      </c>
      <c r="J1893" t="s">
        <v>21</v>
      </c>
      <c r="K1893" s="6">
        <v>0.03</v>
      </c>
      <c r="L1893" s="7">
        <f t="shared" si="59"/>
        <v>2E-3</v>
      </c>
      <c r="M1893" s="7">
        <v>3.0000000000000001E-3</v>
      </c>
      <c r="N1893">
        <v>9</v>
      </c>
      <c r="O1893" s="8">
        <v>13.607259145888081</v>
      </c>
      <c r="P1893" s="9">
        <v>13.607259145888081</v>
      </c>
      <c r="Q1893" s="9">
        <v>13.607259145888081</v>
      </c>
      <c r="R1893" s="9">
        <v>14.733295272816386</v>
      </c>
      <c r="S1893" s="9">
        <v>15.788683193475709</v>
      </c>
      <c r="T1893" s="9">
        <v>17.111707699516138</v>
      </c>
      <c r="U1893" s="9">
        <v>20.53297169020064</v>
      </c>
      <c r="V1893" s="9">
        <v>20.53297169020064</v>
      </c>
      <c r="W1893" s="9">
        <v>20.53297169020064</v>
      </c>
      <c r="X1893" s="9">
        <v>26.336331094847566</v>
      </c>
      <c r="Y1893" s="9">
        <v>26.336331094847566</v>
      </c>
      <c r="Z1893" s="9">
        <v>32.315392848576444</v>
      </c>
      <c r="AA1893" s="9">
        <v>32.315392848576444</v>
      </c>
      <c r="AB1893" s="9">
        <v>38.557417413791967</v>
      </c>
      <c r="AC1893" s="9">
        <v>38.557417413791967</v>
      </c>
      <c r="AD1893" s="9">
        <v>48.128361980460618</v>
      </c>
      <c r="AE1893" s="9">
        <v>54.183868239231643</v>
      </c>
      <c r="AF1893" s="9">
        <v>60.339831084023544</v>
      </c>
      <c r="AG1893" s="9">
        <v>60.339831084023544</v>
      </c>
      <c r="AH1893" s="9">
        <v>66.606296173438395</v>
      </c>
      <c r="AI1893" s="9">
        <v>72.363977356539152</v>
      </c>
      <c r="AJ1893" s="9">
        <v>3.0428788910505911</v>
      </c>
    </row>
    <row r="1894" spans="1:36" x14ac:dyDescent="0.25">
      <c r="A1894" t="s">
        <v>5411</v>
      </c>
      <c r="B1894" t="s">
        <v>16</v>
      </c>
      <c r="C1894" t="s">
        <v>17</v>
      </c>
      <c r="D1894">
        <v>41402000</v>
      </c>
      <c r="E1894">
        <v>41502009</v>
      </c>
      <c r="F1894" t="s">
        <v>1699</v>
      </c>
      <c r="G1894" t="str">
        <f t="shared" si="58"/>
        <v>BAC</v>
      </c>
      <c r="H1894" t="s">
        <v>1700</v>
      </c>
      <c r="I1894" t="s">
        <v>20</v>
      </c>
      <c r="J1894" t="s">
        <v>21</v>
      </c>
      <c r="K1894" s="6">
        <v>0.03</v>
      </c>
      <c r="L1894" s="7">
        <f t="shared" si="59"/>
        <v>2E-3</v>
      </c>
      <c r="M1894" s="7">
        <v>3.0000000000000001E-3</v>
      </c>
      <c r="N1894">
        <v>9</v>
      </c>
      <c r="O1894" s="8">
        <v>13.607259145888081</v>
      </c>
      <c r="P1894" s="9">
        <v>13.607259145888081</v>
      </c>
      <c r="Q1894" s="9">
        <v>13.607259145888081</v>
      </c>
      <c r="R1894" s="9">
        <v>14.733295272816386</v>
      </c>
      <c r="S1894" s="9">
        <v>15.788683193475709</v>
      </c>
      <c r="T1894" s="9">
        <v>17.111707699516138</v>
      </c>
      <c r="U1894" s="9">
        <v>20.53297169020064</v>
      </c>
      <c r="V1894" s="9">
        <v>20.53297169020064</v>
      </c>
      <c r="W1894" s="9">
        <v>20.53297169020064</v>
      </c>
      <c r="X1894" s="9">
        <v>26.336331094847566</v>
      </c>
      <c r="Y1894" s="9">
        <v>26.336331094847566</v>
      </c>
      <c r="Z1894" s="9">
        <v>32.315392848576444</v>
      </c>
      <c r="AA1894" s="9">
        <v>32.315392848576444</v>
      </c>
      <c r="AB1894" s="9">
        <v>38.557417413791967</v>
      </c>
      <c r="AC1894" s="9">
        <v>38.557417413791967</v>
      </c>
      <c r="AD1894" s="9">
        <v>48.128361980460618</v>
      </c>
      <c r="AE1894" s="9">
        <v>54.183868239231643</v>
      </c>
      <c r="AF1894" s="9">
        <v>60.339831084023544</v>
      </c>
      <c r="AG1894" s="9">
        <v>60.339831084023544</v>
      </c>
      <c r="AH1894" s="9">
        <v>66.606296173438395</v>
      </c>
      <c r="AI1894" s="9">
        <v>72.363977356539152</v>
      </c>
      <c r="AJ1894" s="9">
        <v>3.0428788910505911</v>
      </c>
    </row>
    <row r="1895" spans="1:36" x14ac:dyDescent="0.25">
      <c r="A1895" t="s">
        <v>5411</v>
      </c>
      <c r="B1895" t="s">
        <v>16</v>
      </c>
      <c r="C1895" t="s">
        <v>17</v>
      </c>
      <c r="D1895">
        <v>41502010</v>
      </c>
      <c r="E1895">
        <v>41600009</v>
      </c>
      <c r="F1895" t="s">
        <v>1699</v>
      </c>
      <c r="G1895" t="str">
        <f t="shared" si="58"/>
        <v>BAC</v>
      </c>
      <c r="H1895" t="s">
        <v>1700</v>
      </c>
      <c r="I1895" t="s">
        <v>20</v>
      </c>
      <c r="J1895" t="s">
        <v>21</v>
      </c>
      <c r="K1895" s="6">
        <v>0.03</v>
      </c>
      <c r="L1895" s="7">
        <f t="shared" si="59"/>
        <v>2E-3</v>
      </c>
      <c r="M1895" s="7">
        <v>3.0000000000000001E-3</v>
      </c>
      <c r="N1895">
        <v>9</v>
      </c>
      <c r="O1895" s="8">
        <v>13.607259145888081</v>
      </c>
      <c r="P1895" s="9">
        <v>13.607259145888081</v>
      </c>
      <c r="Q1895" s="9">
        <v>13.607259145888081</v>
      </c>
      <c r="R1895" s="9">
        <v>14.733295272816386</v>
      </c>
      <c r="S1895" s="9">
        <v>15.788683193475709</v>
      </c>
      <c r="T1895" s="9">
        <v>17.111707699516138</v>
      </c>
      <c r="U1895" s="9">
        <v>20.53297169020064</v>
      </c>
      <c r="V1895" s="9">
        <v>20.53297169020064</v>
      </c>
      <c r="W1895" s="9">
        <v>20.53297169020064</v>
      </c>
      <c r="X1895" s="9">
        <v>26.336331094847566</v>
      </c>
      <c r="Y1895" s="9">
        <v>26.336331094847566</v>
      </c>
      <c r="Z1895" s="9">
        <v>32.315392848576444</v>
      </c>
      <c r="AA1895" s="9">
        <v>32.315392848576444</v>
      </c>
      <c r="AB1895" s="9">
        <v>38.557417413791967</v>
      </c>
      <c r="AC1895" s="9">
        <v>38.557417413791967</v>
      </c>
      <c r="AD1895" s="9">
        <v>48.128361980460618</v>
      </c>
      <c r="AE1895" s="9">
        <v>54.183868239231643</v>
      </c>
      <c r="AF1895" s="9">
        <v>60.339831084023544</v>
      </c>
      <c r="AG1895" s="9">
        <v>60.339831084023544</v>
      </c>
      <c r="AH1895" s="9">
        <v>66.606296173438395</v>
      </c>
      <c r="AI1895" s="9">
        <v>72.363977356539152</v>
      </c>
      <c r="AJ1895" s="9">
        <v>3.0428788910505911</v>
      </c>
    </row>
    <row r="1896" spans="1:36" x14ac:dyDescent="0.25">
      <c r="A1896" t="s">
        <v>5411</v>
      </c>
      <c r="B1896" t="s">
        <v>16</v>
      </c>
      <c r="C1896" t="s">
        <v>17</v>
      </c>
      <c r="D1896">
        <v>41600010</v>
      </c>
      <c r="E1896">
        <v>41704999</v>
      </c>
      <c r="F1896" t="s">
        <v>1699</v>
      </c>
      <c r="G1896" t="str">
        <f t="shared" si="58"/>
        <v>BAC</v>
      </c>
      <c r="H1896" t="s">
        <v>1700</v>
      </c>
      <c r="I1896" t="s">
        <v>20</v>
      </c>
      <c r="J1896" t="s">
        <v>21</v>
      </c>
      <c r="K1896" s="6">
        <v>0.03</v>
      </c>
      <c r="L1896" s="7">
        <f t="shared" si="59"/>
        <v>2E-3</v>
      </c>
      <c r="M1896" s="7">
        <v>3.0000000000000001E-3</v>
      </c>
      <c r="N1896">
        <v>9</v>
      </c>
      <c r="O1896" s="8">
        <v>13.607259145888081</v>
      </c>
      <c r="P1896" s="9">
        <v>13.607259145888081</v>
      </c>
      <c r="Q1896" s="9">
        <v>13.607259145888081</v>
      </c>
      <c r="R1896" s="9">
        <v>14.733295272816386</v>
      </c>
      <c r="S1896" s="9">
        <v>15.788683193475709</v>
      </c>
      <c r="T1896" s="9">
        <v>17.111707699516138</v>
      </c>
      <c r="U1896" s="9">
        <v>20.53297169020064</v>
      </c>
      <c r="V1896" s="9">
        <v>20.53297169020064</v>
      </c>
      <c r="W1896" s="9">
        <v>20.53297169020064</v>
      </c>
      <c r="X1896" s="9">
        <v>26.336331094847566</v>
      </c>
      <c r="Y1896" s="9">
        <v>26.336331094847566</v>
      </c>
      <c r="Z1896" s="9">
        <v>32.315392848576444</v>
      </c>
      <c r="AA1896" s="9">
        <v>32.315392848576444</v>
      </c>
      <c r="AB1896" s="9">
        <v>38.557417413791967</v>
      </c>
      <c r="AC1896" s="9">
        <v>38.557417413791967</v>
      </c>
      <c r="AD1896" s="9">
        <v>48.128361980460618</v>
      </c>
      <c r="AE1896" s="9">
        <v>54.183868239231643</v>
      </c>
      <c r="AF1896" s="9">
        <v>60.339831084023544</v>
      </c>
      <c r="AG1896" s="9">
        <v>60.339831084023544</v>
      </c>
      <c r="AH1896" s="9">
        <v>66.606296173438395</v>
      </c>
      <c r="AI1896" s="9">
        <v>72.363977356539152</v>
      </c>
      <c r="AJ1896" s="9">
        <v>3.0428788910505911</v>
      </c>
    </row>
    <row r="1897" spans="1:36" x14ac:dyDescent="0.25">
      <c r="A1897" t="s">
        <v>5411</v>
      </c>
      <c r="B1897" t="s">
        <v>16</v>
      </c>
      <c r="C1897" t="s">
        <v>17</v>
      </c>
      <c r="D1897">
        <v>41705000</v>
      </c>
      <c r="E1897">
        <v>41814999</v>
      </c>
      <c r="F1897" t="s">
        <v>1699</v>
      </c>
      <c r="G1897" t="str">
        <f t="shared" si="58"/>
        <v>BAC</v>
      </c>
      <c r="H1897" t="s">
        <v>1700</v>
      </c>
      <c r="I1897" t="s">
        <v>20</v>
      </c>
      <c r="J1897" t="s">
        <v>21</v>
      </c>
      <c r="K1897" s="6">
        <v>0.03</v>
      </c>
      <c r="L1897" s="7">
        <f t="shared" si="59"/>
        <v>2E-3</v>
      </c>
      <c r="M1897" s="7">
        <v>3.0000000000000001E-3</v>
      </c>
      <c r="N1897">
        <v>9</v>
      </c>
      <c r="O1897" s="8">
        <v>13.607259145888081</v>
      </c>
      <c r="P1897" s="9">
        <v>13.607259145888081</v>
      </c>
      <c r="Q1897" s="9">
        <v>13.607259145888081</v>
      </c>
      <c r="R1897" s="9">
        <v>14.733295272816386</v>
      </c>
      <c r="S1897" s="9">
        <v>15.788683193475709</v>
      </c>
      <c r="T1897" s="9">
        <v>17.111707699516138</v>
      </c>
      <c r="U1897" s="9">
        <v>20.53297169020064</v>
      </c>
      <c r="V1897" s="9">
        <v>20.53297169020064</v>
      </c>
      <c r="W1897" s="9">
        <v>20.53297169020064</v>
      </c>
      <c r="X1897" s="9">
        <v>26.336331094847566</v>
      </c>
      <c r="Y1897" s="9">
        <v>26.336331094847566</v>
      </c>
      <c r="Z1897" s="9">
        <v>32.315392848576444</v>
      </c>
      <c r="AA1897" s="9">
        <v>32.315392848576444</v>
      </c>
      <c r="AB1897" s="9">
        <v>38.557417413791967</v>
      </c>
      <c r="AC1897" s="9">
        <v>38.557417413791967</v>
      </c>
      <c r="AD1897" s="9">
        <v>48.128361980460618</v>
      </c>
      <c r="AE1897" s="9">
        <v>54.183868239231643</v>
      </c>
      <c r="AF1897" s="9">
        <v>60.339831084023544</v>
      </c>
      <c r="AG1897" s="9">
        <v>60.339831084023544</v>
      </c>
      <c r="AH1897" s="9">
        <v>66.606296173438395</v>
      </c>
      <c r="AI1897" s="9">
        <v>72.363977356539152</v>
      </c>
      <c r="AJ1897" s="9">
        <v>3.0428788910505911</v>
      </c>
    </row>
    <row r="1898" spans="1:36" x14ac:dyDescent="0.25">
      <c r="A1898" t="s">
        <v>5411</v>
      </c>
      <c r="B1898" t="s">
        <v>16</v>
      </c>
      <c r="C1898" t="s">
        <v>17</v>
      </c>
      <c r="D1898">
        <v>41815000</v>
      </c>
      <c r="E1898">
        <v>41904999</v>
      </c>
      <c r="F1898" t="s">
        <v>1699</v>
      </c>
      <c r="G1898" t="str">
        <f t="shared" si="58"/>
        <v>BAC</v>
      </c>
      <c r="H1898" t="s">
        <v>1700</v>
      </c>
      <c r="I1898" t="s">
        <v>20</v>
      </c>
      <c r="J1898" t="s">
        <v>21</v>
      </c>
      <c r="K1898" s="6">
        <v>0.03</v>
      </c>
      <c r="L1898" s="7">
        <f t="shared" si="59"/>
        <v>2E-3</v>
      </c>
      <c r="M1898" s="7">
        <v>3.0000000000000001E-3</v>
      </c>
      <c r="N1898">
        <v>9</v>
      </c>
      <c r="O1898" s="8">
        <v>13.607259145888081</v>
      </c>
      <c r="P1898" s="9">
        <v>13.607259145888081</v>
      </c>
      <c r="Q1898" s="9">
        <v>13.607259145888081</v>
      </c>
      <c r="R1898" s="9">
        <v>14.733295272816386</v>
      </c>
      <c r="S1898" s="9">
        <v>15.788683193475709</v>
      </c>
      <c r="T1898" s="9">
        <v>17.111707699516138</v>
      </c>
      <c r="U1898" s="9">
        <v>20.53297169020064</v>
      </c>
      <c r="V1898" s="9">
        <v>20.53297169020064</v>
      </c>
      <c r="W1898" s="9">
        <v>20.53297169020064</v>
      </c>
      <c r="X1898" s="9">
        <v>26.336331094847566</v>
      </c>
      <c r="Y1898" s="9">
        <v>26.336331094847566</v>
      </c>
      <c r="Z1898" s="9">
        <v>32.315392848576444</v>
      </c>
      <c r="AA1898" s="9">
        <v>32.315392848576444</v>
      </c>
      <c r="AB1898" s="9">
        <v>38.557417413791967</v>
      </c>
      <c r="AC1898" s="9">
        <v>38.557417413791967</v>
      </c>
      <c r="AD1898" s="9">
        <v>48.128361980460618</v>
      </c>
      <c r="AE1898" s="9">
        <v>54.183868239231643</v>
      </c>
      <c r="AF1898" s="9">
        <v>60.339831084023544</v>
      </c>
      <c r="AG1898" s="9">
        <v>60.339831084023544</v>
      </c>
      <c r="AH1898" s="9">
        <v>66.606296173438395</v>
      </c>
      <c r="AI1898" s="9">
        <v>72.363977356539152</v>
      </c>
      <c r="AJ1898" s="9">
        <v>3.0428788910505911</v>
      </c>
    </row>
    <row r="1899" spans="1:36" x14ac:dyDescent="0.25">
      <c r="A1899" t="s">
        <v>5411</v>
      </c>
      <c r="B1899" t="s">
        <v>16</v>
      </c>
      <c r="C1899" t="s">
        <v>17</v>
      </c>
      <c r="D1899">
        <v>41905000</v>
      </c>
      <c r="E1899">
        <v>41999999</v>
      </c>
      <c r="F1899" t="s">
        <v>1699</v>
      </c>
      <c r="G1899" t="str">
        <f t="shared" si="58"/>
        <v>BAC</v>
      </c>
      <c r="H1899" t="s">
        <v>1700</v>
      </c>
      <c r="I1899" t="s">
        <v>20</v>
      </c>
      <c r="J1899" t="s">
        <v>21</v>
      </c>
      <c r="K1899" s="6">
        <v>0.03</v>
      </c>
      <c r="L1899" s="7">
        <f t="shared" si="59"/>
        <v>2E-3</v>
      </c>
      <c r="M1899" s="7">
        <v>3.0000000000000001E-3</v>
      </c>
      <c r="N1899">
        <v>9</v>
      </c>
      <c r="O1899" s="8">
        <v>13.607259145888081</v>
      </c>
      <c r="P1899" s="9">
        <v>13.607259145888081</v>
      </c>
      <c r="Q1899" s="9">
        <v>13.607259145888081</v>
      </c>
      <c r="R1899" s="9">
        <v>14.733295272816386</v>
      </c>
      <c r="S1899" s="9">
        <v>15.788683193475709</v>
      </c>
      <c r="T1899" s="9">
        <v>17.111707699516138</v>
      </c>
      <c r="U1899" s="9">
        <v>20.53297169020064</v>
      </c>
      <c r="V1899" s="9">
        <v>20.53297169020064</v>
      </c>
      <c r="W1899" s="9">
        <v>20.53297169020064</v>
      </c>
      <c r="X1899" s="9">
        <v>26.336331094847566</v>
      </c>
      <c r="Y1899" s="9">
        <v>26.336331094847566</v>
      </c>
      <c r="Z1899" s="9">
        <v>32.315392848576444</v>
      </c>
      <c r="AA1899" s="9">
        <v>32.315392848576444</v>
      </c>
      <c r="AB1899" s="9">
        <v>38.557417413791967</v>
      </c>
      <c r="AC1899" s="9">
        <v>38.557417413791967</v>
      </c>
      <c r="AD1899" s="9">
        <v>48.128361980460618</v>
      </c>
      <c r="AE1899" s="9">
        <v>54.183868239231643</v>
      </c>
      <c r="AF1899" s="9">
        <v>60.339831084023544</v>
      </c>
      <c r="AG1899" s="9">
        <v>60.339831084023544</v>
      </c>
      <c r="AH1899" s="9">
        <v>66.606296173438395</v>
      </c>
      <c r="AI1899" s="9">
        <v>72.363977356539152</v>
      </c>
      <c r="AJ1899" s="9">
        <v>3.0428788910505911</v>
      </c>
    </row>
    <row r="1900" spans="1:36" x14ac:dyDescent="0.25">
      <c r="A1900" t="s">
        <v>5411</v>
      </c>
      <c r="B1900" t="s">
        <v>16</v>
      </c>
      <c r="C1900" t="s">
        <v>17</v>
      </c>
      <c r="D1900">
        <v>42000000</v>
      </c>
      <c r="E1900">
        <v>42500003</v>
      </c>
      <c r="F1900" t="s">
        <v>1699</v>
      </c>
      <c r="G1900" t="str">
        <f t="shared" si="58"/>
        <v>BAC</v>
      </c>
      <c r="H1900" t="s">
        <v>1700</v>
      </c>
      <c r="I1900" t="s">
        <v>20</v>
      </c>
      <c r="J1900" t="s">
        <v>21</v>
      </c>
      <c r="K1900" s="6">
        <v>0.03</v>
      </c>
      <c r="L1900" s="7">
        <f t="shared" si="59"/>
        <v>2E-3</v>
      </c>
      <c r="M1900" s="7">
        <v>3.0000000000000001E-3</v>
      </c>
      <c r="N1900">
        <v>9</v>
      </c>
      <c r="O1900" s="8">
        <v>13.607259145888081</v>
      </c>
      <c r="P1900" s="9">
        <v>13.607259145888081</v>
      </c>
      <c r="Q1900" s="9">
        <v>13.607259145888081</v>
      </c>
      <c r="R1900" s="9">
        <v>14.733295272816386</v>
      </c>
      <c r="S1900" s="9">
        <v>15.788683193475709</v>
      </c>
      <c r="T1900" s="9">
        <v>17.111707699516138</v>
      </c>
      <c r="U1900" s="9">
        <v>20.53297169020064</v>
      </c>
      <c r="V1900" s="9">
        <v>20.53297169020064</v>
      </c>
      <c r="W1900" s="9">
        <v>20.53297169020064</v>
      </c>
      <c r="X1900" s="9">
        <v>26.336331094847566</v>
      </c>
      <c r="Y1900" s="9">
        <v>26.336331094847566</v>
      </c>
      <c r="Z1900" s="9">
        <v>32.315392848576444</v>
      </c>
      <c r="AA1900" s="9">
        <v>32.315392848576444</v>
      </c>
      <c r="AB1900" s="9">
        <v>38.557417413791967</v>
      </c>
      <c r="AC1900" s="9">
        <v>38.557417413791967</v>
      </c>
      <c r="AD1900" s="9">
        <v>48.128361980460618</v>
      </c>
      <c r="AE1900" s="9">
        <v>54.183868239231643</v>
      </c>
      <c r="AF1900" s="9">
        <v>60.339831084023544</v>
      </c>
      <c r="AG1900" s="9">
        <v>60.339831084023544</v>
      </c>
      <c r="AH1900" s="9">
        <v>66.606296173438395</v>
      </c>
      <c r="AI1900" s="9">
        <v>72.363977356539152</v>
      </c>
      <c r="AJ1900" s="9">
        <v>3.0428788910505911</v>
      </c>
    </row>
    <row r="1901" spans="1:36" x14ac:dyDescent="0.25">
      <c r="A1901" t="s">
        <v>5411</v>
      </c>
      <c r="B1901" t="s">
        <v>16</v>
      </c>
      <c r="C1901" t="s">
        <v>17</v>
      </c>
      <c r="D1901">
        <v>42500004</v>
      </c>
      <c r="E1901">
        <v>42599999</v>
      </c>
      <c r="F1901" t="s">
        <v>1699</v>
      </c>
      <c r="G1901" t="str">
        <f t="shared" si="58"/>
        <v>BAC</v>
      </c>
      <c r="H1901" t="s">
        <v>1700</v>
      </c>
      <c r="I1901" t="s">
        <v>20</v>
      </c>
      <c r="J1901" t="s">
        <v>21</v>
      </c>
      <c r="K1901" s="6">
        <v>0.03</v>
      </c>
      <c r="L1901" s="7">
        <f t="shared" si="59"/>
        <v>2E-3</v>
      </c>
      <c r="M1901" s="7">
        <v>3.0000000000000001E-3</v>
      </c>
      <c r="N1901">
        <v>9</v>
      </c>
      <c r="O1901" s="8">
        <v>13.607259145888081</v>
      </c>
      <c r="P1901" s="9">
        <v>13.607259145888081</v>
      </c>
      <c r="Q1901" s="9">
        <v>13.607259145888081</v>
      </c>
      <c r="R1901" s="9">
        <v>14.733295272816386</v>
      </c>
      <c r="S1901" s="9">
        <v>15.788683193475709</v>
      </c>
      <c r="T1901" s="9">
        <v>17.111707699516138</v>
      </c>
      <c r="U1901" s="9">
        <v>20.53297169020064</v>
      </c>
      <c r="V1901" s="9">
        <v>20.53297169020064</v>
      </c>
      <c r="W1901" s="9">
        <v>20.53297169020064</v>
      </c>
      <c r="X1901" s="9">
        <v>26.336331094847566</v>
      </c>
      <c r="Y1901" s="9">
        <v>26.336331094847566</v>
      </c>
      <c r="Z1901" s="9">
        <v>32.315392848576444</v>
      </c>
      <c r="AA1901" s="9">
        <v>32.315392848576444</v>
      </c>
      <c r="AB1901" s="9">
        <v>38.557417413791967</v>
      </c>
      <c r="AC1901" s="9">
        <v>38.557417413791967</v>
      </c>
      <c r="AD1901" s="9">
        <v>48.128361980460618</v>
      </c>
      <c r="AE1901" s="9">
        <v>54.183868239231643</v>
      </c>
      <c r="AF1901" s="9">
        <v>60.339831084023544</v>
      </c>
      <c r="AG1901" s="9">
        <v>60.339831084023544</v>
      </c>
      <c r="AH1901" s="9">
        <v>66.606296173438395</v>
      </c>
      <c r="AI1901" s="9">
        <v>72.363977356539152</v>
      </c>
      <c r="AJ1901" s="9">
        <v>3.0428788910505911</v>
      </c>
    </row>
    <row r="1902" spans="1:36" x14ac:dyDescent="0.25">
      <c r="A1902" t="s">
        <v>5411</v>
      </c>
      <c r="B1902" t="s">
        <v>16</v>
      </c>
      <c r="C1902" t="s">
        <v>17</v>
      </c>
      <c r="D1902">
        <v>42600000</v>
      </c>
      <c r="E1902">
        <v>42699999</v>
      </c>
      <c r="F1902" t="s">
        <v>1701</v>
      </c>
      <c r="G1902" t="str">
        <f t="shared" si="58"/>
        <v>BAI II</v>
      </c>
      <c r="H1902" t="s">
        <v>1700</v>
      </c>
      <c r="I1902" t="s">
        <v>20</v>
      </c>
      <c r="J1902" t="s">
        <v>64</v>
      </c>
      <c r="K1902" s="6">
        <v>0.03</v>
      </c>
      <c r="L1902" s="7">
        <f t="shared" si="59"/>
        <v>2E-3</v>
      </c>
      <c r="M1902" s="7">
        <v>3.0000000000000001E-3</v>
      </c>
      <c r="N1902">
        <v>9</v>
      </c>
      <c r="O1902" s="8">
        <v>22.933916850949441</v>
      </c>
      <c r="P1902" s="9">
        <v>22.933916850949441</v>
      </c>
      <c r="Q1902" s="9">
        <v>22.933916850949441</v>
      </c>
      <c r="R1902" s="9">
        <v>25.173745848546066</v>
      </c>
      <c r="S1902" s="9">
        <v>27.641690539343774</v>
      </c>
      <c r="T1902" s="9">
        <v>29.730378573928668</v>
      </c>
      <c r="U1902" s="9">
        <v>36.183590217329723</v>
      </c>
      <c r="V1902" s="9">
        <v>36.183590217329723</v>
      </c>
      <c r="W1902" s="9">
        <v>36.183590217329723</v>
      </c>
      <c r="X1902" s="9">
        <v>43.522810559209468</v>
      </c>
      <c r="Y1902" s="9">
        <v>43.522810559209468</v>
      </c>
      <c r="Z1902" s="9">
        <v>50.960858783530121</v>
      </c>
      <c r="AA1902" s="9">
        <v>50.960858783530121</v>
      </c>
      <c r="AB1902" s="9">
        <v>58.507617678535738</v>
      </c>
      <c r="AC1902" s="9">
        <v>58.507617678535738</v>
      </c>
      <c r="AD1902" s="9">
        <v>68.105109643716474</v>
      </c>
      <c r="AE1902" s="9">
        <v>75.132723269302929</v>
      </c>
      <c r="AF1902" s="9">
        <v>82.290622386277917</v>
      </c>
      <c r="AG1902" s="9">
        <v>82.290622386277917</v>
      </c>
      <c r="AH1902" s="9">
        <v>90.43943145512165</v>
      </c>
      <c r="AI1902" s="9">
        <v>98.380048333692613</v>
      </c>
      <c r="AJ1902" s="9">
        <v>3.0428788910505911</v>
      </c>
    </row>
    <row r="1903" spans="1:36" x14ac:dyDescent="0.25">
      <c r="A1903" t="s">
        <v>5411</v>
      </c>
      <c r="B1903" t="s">
        <v>16</v>
      </c>
      <c r="C1903" t="s">
        <v>17</v>
      </c>
      <c r="D1903">
        <v>42700000</v>
      </c>
      <c r="E1903">
        <v>42799999</v>
      </c>
      <c r="F1903" t="s">
        <v>1702</v>
      </c>
      <c r="G1903" t="str">
        <f t="shared" si="58"/>
        <v>BAI</v>
      </c>
      <c r="H1903" t="s">
        <v>1700</v>
      </c>
      <c r="I1903" t="s">
        <v>20</v>
      </c>
      <c r="J1903" t="s">
        <v>62</v>
      </c>
      <c r="K1903" s="6">
        <v>0.03</v>
      </c>
      <c r="L1903" s="7">
        <f t="shared" si="59"/>
        <v>2E-3</v>
      </c>
      <c r="M1903" s="7">
        <v>3.0000000000000001E-3</v>
      </c>
      <c r="N1903">
        <v>9</v>
      </c>
      <c r="O1903" s="8">
        <v>18.830425793781675</v>
      </c>
      <c r="P1903" s="9">
        <v>18.830425793781675</v>
      </c>
      <c r="Q1903" s="9">
        <v>18.830425793781675</v>
      </c>
      <c r="R1903" s="9">
        <v>20.26742485247707</v>
      </c>
      <c r="S1903" s="9">
        <v>22.358597663519866</v>
      </c>
      <c r="T1903" s="9">
        <v>24.596422700701293</v>
      </c>
      <c r="U1903" s="9">
        <v>30.062806972770321</v>
      </c>
      <c r="V1903" s="9">
        <v>30.062806972770321</v>
      </c>
      <c r="W1903" s="9">
        <v>30.062806972770321</v>
      </c>
      <c r="X1903" s="9">
        <v>36.258834158198169</v>
      </c>
      <c r="Y1903" s="9">
        <v>36.258834158198169</v>
      </c>
      <c r="Z1903" s="9">
        <v>42.662152333319682</v>
      </c>
      <c r="AA1903" s="9">
        <v>42.662152333319682</v>
      </c>
      <c r="AB1903" s="9">
        <v>49.337721288156033</v>
      </c>
      <c r="AC1903" s="9">
        <v>49.337721288156033</v>
      </c>
      <c r="AD1903" s="9">
        <v>56.175614623482943</v>
      </c>
      <c r="AE1903" s="9">
        <v>63.196712014029359</v>
      </c>
      <c r="AF1903" s="9">
        <v>70.424649784246597</v>
      </c>
      <c r="AG1903" s="9">
        <v>70.424649784246597</v>
      </c>
      <c r="AH1903" s="9">
        <v>77.342680781352584</v>
      </c>
      <c r="AI1903" s="9">
        <v>84.743447231394711</v>
      </c>
      <c r="AJ1903" s="9">
        <v>3.0428788910505911</v>
      </c>
    </row>
    <row r="1904" spans="1:36" x14ac:dyDescent="0.25">
      <c r="A1904" t="s">
        <v>5411</v>
      </c>
      <c r="B1904" t="s">
        <v>16</v>
      </c>
      <c r="C1904" t="s">
        <v>17</v>
      </c>
      <c r="D1904">
        <v>42800000</v>
      </c>
      <c r="E1904">
        <v>42849999</v>
      </c>
      <c r="F1904" t="s">
        <v>1703</v>
      </c>
      <c r="G1904" t="str">
        <f t="shared" si="58"/>
        <v>BAI</v>
      </c>
      <c r="H1904" t="s">
        <v>1700</v>
      </c>
      <c r="I1904" t="s">
        <v>20</v>
      </c>
      <c r="J1904" t="s">
        <v>62</v>
      </c>
      <c r="K1904" s="6">
        <v>0.03</v>
      </c>
      <c r="L1904" s="7">
        <f t="shared" si="59"/>
        <v>2E-3</v>
      </c>
      <c r="M1904" s="7">
        <v>3.0000000000000001E-3</v>
      </c>
      <c r="N1904">
        <v>9</v>
      </c>
      <c r="O1904" s="8">
        <v>18.830425793781675</v>
      </c>
      <c r="P1904" s="9">
        <v>18.830425793781675</v>
      </c>
      <c r="Q1904" s="9">
        <v>18.830425793781675</v>
      </c>
      <c r="R1904" s="9">
        <v>20.26742485247707</v>
      </c>
      <c r="S1904" s="9">
        <v>22.358597663519866</v>
      </c>
      <c r="T1904" s="9">
        <v>24.596422700701293</v>
      </c>
      <c r="U1904" s="9">
        <v>30.062806972770321</v>
      </c>
      <c r="V1904" s="9">
        <v>30.062806972770321</v>
      </c>
      <c r="W1904" s="9">
        <v>30.062806972770321</v>
      </c>
      <c r="X1904" s="9">
        <v>36.258834158198169</v>
      </c>
      <c r="Y1904" s="9">
        <v>36.258834158198169</v>
      </c>
      <c r="Z1904" s="9">
        <v>42.662152333319682</v>
      </c>
      <c r="AA1904" s="9">
        <v>42.662152333319682</v>
      </c>
      <c r="AB1904" s="9">
        <v>49.337721288156033</v>
      </c>
      <c r="AC1904" s="9">
        <v>49.337721288156033</v>
      </c>
      <c r="AD1904" s="9">
        <v>56.175614623482943</v>
      </c>
      <c r="AE1904" s="9">
        <v>63.196712014029359</v>
      </c>
      <c r="AF1904" s="9">
        <v>70.424649784246597</v>
      </c>
      <c r="AG1904" s="9">
        <v>70.424649784246597</v>
      </c>
      <c r="AH1904" s="9">
        <v>77.342680781352584</v>
      </c>
      <c r="AI1904" s="9">
        <v>84.743447231394711</v>
      </c>
      <c r="AJ1904" s="9">
        <v>3.0428788910505911</v>
      </c>
    </row>
    <row r="1905" spans="1:36" x14ac:dyDescent="0.25">
      <c r="A1905" t="s">
        <v>5411</v>
      </c>
      <c r="B1905" t="s">
        <v>16</v>
      </c>
      <c r="C1905" t="s">
        <v>17</v>
      </c>
      <c r="D1905">
        <v>42850000</v>
      </c>
      <c r="E1905">
        <v>42999999</v>
      </c>
      <c r="F1905" t="s">
        <v>1704</v>
      </c>
      <c r="G1905" t="str">
        <f t="shared" si="58"/>
        <v>BAI</v>
      </c>
      <c r="H1905" t="s">
        <v>1700</v>
      </c>
      <c r="I1905" t="s">
        <v>20</v>
      </c>
      <c r="J1905" t="s">
        <v>62</v>
      </c>
      <c r="K1905" s="6">
        <v>0.03</v>
      </c>
      <c r="L1905" s="7">
        <f t="shared" si="59"/>
        <v>2E-3</v>
      </c>
      <c r="M1905" s="7">
        <v>3.0000000000000001E-3</v>
      </c>
      <c r="N1905">
        <v>9</v>
      </c>
      <c r="O1905" s="8">
        <v>18.830425793781675</v>
      </c>
      <c r="P1905" s="9">
        <v>18.830425793781675</v>
      </c>
      <c r="Q1905" s="9">
        <v>18.830425793781675</v>
      </c>
      <c r="R1905" s="9">
        <v>20.26742485247707</v>
      </c>
      <c r="S1905" s="9">
        <v>22.358597663519866</v>
      </c>
      <c r="T1905" s="9">
        <v>24.596422700701293</v>
      </c>
      <c r="U1905" s="9">
        <v>30.062806972770321</v>
      </c>
      <c r="V1905" s="9">
        <v>30.062806972770321</v>
      </c>
      <c r="W1905" s="9">
        <v>30.062806972770321</v>
      </c>
      <c r="X1905" s="9">
        <v>36.258834158198169</v>
      </c>
      <c r="Y1905" s="9">
        <v>36.258834158198169</v>
      </c>
      <c r="Z1905" s="9">
        <v>42.662152333319682</v>
      </c>
      <c r="AA1905" s="9">
        <v>42.662152333319682</v>
      </c>
      <c r="AB1905" s="9">
        <v>49.337721288156033</v>
      </c>
      <c r="AC1905" s="9">
        <v>49.337721288156033</v>
      </c>
      <c r="AD1905" s="9">
        <v>56.175614623482943</v>
      </c>
      <c r="AE1905" s="9">
        <v>63.196712014029359</v>
      </c>
      <c r="AF1905" s="9">
        <v>70.424649784246597</v>
      </c>
      <c r="AG1905" s="9">
        <v>70.424649784246597</v>
      </c>
      <c r="AH1905" s="9">
        <v>77.342680781352584</v>
      </c>
      <c r="AI1905" s="9">
        <v>84.743447231394711</v>
      </c>
      <c r="AJ1905" s="9">
        <v>3.0428788910505911</v>
      </c>
    </row>
    <row r="1906" spans="1:36" x14ac:dyDescent="0.25">
      <c r="A1906" t="s">
        <v>5411</v>
      </c>
      <c r="B1906" t="s">
        <v>16</v>
      </c>
      <c r="C1906" t="s">
        <v>17</v>
      </c>
      <c r="D1906">
        <v>43000000</v>
      </c>
      <c r="E1906">
        <v>43699999</v>
      </c>
      <c r="F1906" t="s">
        <v>1705</v>
      </c>
      <c r="G1906" t="str">
        <f t="shared" si="58"/>
        <v>BAI</v>
      </c>
      <c r="H1906" t="s">
        <v>1700</v>
      </c>
      <c r="I1906" t="s">
        <v>20</v>
      </c>
      <c r="J1906" t="s">
        <v>62</v>
      </c>
      <c r="K1906" s="6">
        <v>0.03</v>
      </c>
      <c r="L1906" s="7">
        <f t="shared" si="59"/>
        <v>2E-3</v>
      </c>
      <c r="M1906" s="7">
        <v>3.0000000000000001E-3</v>
      </c>
      <c r="N1906">
        <v>9</v>
      </c>
      <c r="O1906" s="8">
        <v>18.830425793781675</v>
      </c>
      <c r="P1906" s="9">
        <v>18.830425793781675</v>
      </c>
      <c r="Q1906" s="9">
        <v>18.830425793781675</v>
      </c>
      <c r="R1906" s="9">
        <v>20.26742485247707</v>
      </c>
      <c r="S1906" s="9">
        <v>22.358597663519866</v>
      </c>
      <c r="T1906" s="9">
        <v>24.596422700701293</v>
      </c>
      <c r="U1906" s="9">
        <v>30.062806972770321</v>
      </c>
      <c r="V1906" s="9">
        <v>30.062806972770321</v>
      </c>
      <c r="W1906" s="9">
        <v>30.062806972770321</v>
      </c>
      <c r="X1906" s="9">
        <v>36.258834158198169</v>
      </c>
      <c r="Y1906" s="9">
        <v>36.258834158198169</v>
      </c>
      <c r="Z1906" s="9">
        <v>42.662152333319682</v>
      </c>
      <c r="AA1906" s="9">
        <v>42.662152333319682</v>
      </c>
      <c r="AB1906" s="9">
        <v>49.337721288156033</v>
      </c>
      <c r="AC1906" s="9">
        <v>49.337721288156033</v>
      </c>
      <c r="AD1906" s="9">
        <v>56.175614623482943</v>
      </c>
      <c r="AE1906" s="9">
        <v>63.196712014029359</v>
      </c>
      <c r="AF1906" s="9">
        <v>70.424649784246597</v>
      </c>
      <c r="AG1906" s="9">
        <v>70.424649784246597</v>
      </c>
      <c r="AH1906" s="9">
        <v>77.342680781352584</v>
      </c>
      <c r="AI1906" s="9">
        <v>84.743447231394711</v>
      </c>
      <c r="AJ1906" s="9">
        <v>3.0428788910505911</v>
      </c>
    </row>
    <row r="1907" spans="1:36" x14ac:dyDescent="0.25">
      <c r="A1907" t="s">
        <v>5411</v>
      </c>
      <c r="B1907" t="s">
        <v>16</v>
      </c>
      <c r="C1907" t="s">
        <v>17</v>
      </c>
      <c r="D1907">
        <v>43700000</v>
      </c>
      <c r="E1907">
        <v>43799999</v>
      </c>
      <c r="F1907" t="s">
        <v>1706</v>
      </c>
      <c r="G1907" t="str">
        <f t="shared" si="58"/>
        <v>BAI</v>
      </c>
      <c r="H1907" t="s">
        <v>1700</v>
      </c>
      <c r="I1907" t="s">
        <v>20</v>
      </c>
      <c r="J1907" t="s">
        <v>62</v>
      </c>
      <c r="K1907" s="6">
        <v>0.03</v>
      </c>
      <c r="L1907" s="7">
        <f t="shared" si="59"/>
        <v>2E-3</v>
      </c>
      <c r="M1907" s="7">
        <v>3.0000000000000001E-3</v>
      </c>
      <c r="N1907">
        <v>9</v>
      </c>
      <c r="O1907" s="8">
        <v>18.830425793781675</v>
      </c>
      <c r="P1907" s="9">
        <v>18.830425793781675</v>
      </c>
      <c r="Q1907" s="9">
        <v>18.830425793781675</v>
      </c>
      <c r="R1907" s="9">
        <v>20.26742485247707</v>
      </c>
      <c r="S1907" s="9">
        <v>22.358597663519866</v>
      </c>
      <c r="T1907" s="9">
        <v>24.596422700701293</v>
      </c>
      <c r="U1907" s="9">
        <v>30.062806972770321</v>
      </c>
      <c r="V1907" s="9">
        <v>30.062806972770321</v>
      </c>
      <c r="W1907" s="9">
        <v>30.062806972770321</v>
      </c>
      <c r="X1907" s="9">
        <v>36.258834158198169</v>
      </c>
      <c r="Y1907" s="9">
        <v>36.258834158198169</v>
      </c>
      <c r="Z1907" s="9">
        <v>42.662152333319682</v>
      </c>
      <c r="AA1907" s="9">
        <v>42.662152333319682</v>
      </c>
      <c r="AB1907" s="9">
        <v>49.337721288156033</v>
      </c>
      <c r="AC1907" s="9">
        <v>49.337721288156033</v>
      </c>
      <c r="AD1907" s="9">
        <v>56.175614623482943</v>
      </c>
      <c r="AE1907" s="9">
        <v>63.196712014029359</v>
      </c>
      <c r="AF1907" s="9">
        <v>70.424649784246597</v>
      </c>
      <c r="AG1907" s="9">
        <v>70.424649784246597</v>
      </c>
      <c r="AH1907" s="9">
        <v>77.342680781352584</v>
      </c>
      <c r="AI1907" s="9">
        <v>84.743447231394711</v>
      </c>
      <c r="AJ1907" s="9">
        <v>3.0428788910505911</v>
      </c>
    </row>
    <row r="1908" spans="1:36" x14ac:dyDescent="0.25">
      <c r="A1908" t="s">
        <v>5411</v>
      </c>
      <c r="B1908" t="s">
        <v>16</v>
      </c>
      <c r="C1908" t="s">
        <v>17</v>
      </c>
      <c r="D1908">
        <v>43800000</v>
      </c>
      <c r="E1908">
        <v>43849999</v>
      </c>
      <c r="F1908" t="s">
        <v>1707</v>
      </c>
      <c r="G1908" t="str">
        <f t="shared" si="58"/>
        <v>BAI</v>
      </c>
      <c r="H1908" t="s">
        <v>1700</v>
      </c>
      <c r="I1908" t="s">
        <v>20</v>
      </c>
      <c r="J1908" t="s">
        <v>62</v>
      </c>
      <c r="K1908" s="6">
        <v>0.03</v>
      </c>
      <c r="L1908" s="7">
        <f t="shared" si="59"/>
        <v>2E-3</v>
      </c>
      <c r="M1908" s="7">
        <v>3.0000000000000001E-3</v>
      </c>
      <c r="N1908">
        <v>9</v>
      </c>
      <c r="O1908" s="8">
        <v>18.830425793781675</v>
      </c>
      <c r="P1908" s="9">
        <v>18.830425793781675</v>
      </c>
      <c r="Q1908" s="9">
        <v>18.830425793781675</v>
      </c>
      <c r="R1908" s="9">
        <v>20.26742485247707</v>
      </c>
      <c r="S1908" s="9">
        <v>22.358597663519866</v>
      </c>
      <c r="T1908" s="9">
        <v>24.596422700701293</v>
      </c>
      <c r="U1908" s="9">
        <v>30.062806972770321</v>
      </c>
      <c r="V1908" s="9">
        <v>30.062806972770321</v>
      </c>
      <c r="W1908" s="9">
        <v>30.062806972770321</v>
      </c>
      <c r="X1908" s="9">
        <v>36.258834158198169</v>
      </c>
      <c r="Y1908" s="9">
        <v>36.258834158198169</v>
      </c>
      <c r="Z1908" s="9">
        <v>42.662152333319682</v>
      </c>
      <c r="AA1908" s="9">
        <v>42.662152333319682</v>
      </c>
      <c r="AB1908" s="9">
        <v>49.337721288156033</v>
      </c>
      <c r="AC1908" s="9">
        <v>49.337721288156033</v>
      </c>
      <c r="AD1908" s="9">
        <v>56.175614623482943</v>
      </c>
      <c r="AE1908" s="9">
        <v>63.196712014029359</v>
      </c>
      <c r="AF1908" s="9">
        <v>70.424649784246597</v>
      </c>
      <c r="AG1908" s="9">
        <v>70.424649784246597</v>
      </c>
      <c r="AH1908" s="9">
        <v>77.342680781352584</v>
      </c>
      <c r="AI1908" s="9">
        <v>84.743447231394711</v>
      </c>
      <c r="AJ1908" s="9">
        <v>3.0428788910505911</v>
      </c>
    </row>
    <row r="1909" spans="1:36" x14ac:dyDescent="0.25">
      <c r="A1909" t="s">
        <v>5411</v>
      </c>
      <c r="B1909" t="s">
        <v>16</v>
      </c>
      <c r="C1909" t="s">
        <v>17</v>
      </c>
      <c r="D1909">
        <v>43850000</v>
      </c>
      <c r="E1909">
        <v>43899999</v>
      </c>
      <c r="F1909" t="s">
        <v>1708</v>
      </c>
      <c r="G1909" t="str">
        <f t="shared" si="58"/>
        <v>BAI</v>
      </c>
      <c r="H1909" t="s">
        <v>1700</v>
      </c>
      <c r="I1909" t="s">
        <v>20</v>
      </c>
      <c r="J1909" t="s">
        <v>62</v>
      </c>
      <c r="K1909" s="6">
        <v>0.03</v>
      </c>
      <c r="L1909" s="7">
        <f t="shared" si="59"/>
        <v>2E-3</v>
      </c>
      <c r="M1909" s="7">
        <v>3.0000000000000001E-3</v>
      </c>
      <c r="N1909">
        <v>9</v>
      </c>
      <c r="O1909" s="8">
        <v>18.830425793781675</v>
      </c>
      <c r="P1909" s="9">
        <v>18.830425793781675</v>
      </c>
      <c r="Q1909" s="9">
        <v>18.830425793781675</v>
      </c>
      <c r="R1909" s="9">
        <v>20.26742485247707</v>
      </c>
      <c r="S1909" s="9">
        <v>22.358597663519866</v>
      </c>
      <c r="T1909" s="9">
        <v>24.596422700701293</v>
      </c>
      <c r="U1909" s="9">
        <v>30.062806972770321</v>
      </c>
      <c r="V1909" s="9">
        <v>30.062806972770321</v>
      </c>
      <c r="W1909" s="9">
        <v>30.062806972770321</v>
      </c>
      <c r="X1909" s="9">
        <v>36.258834158198169</v>
      </c>
      <c r="Y1909" s="9">
        <v>36.258834158198169</v>
      </c>
      <c r="Z1909" s="9">
        <v>42.662152333319682</v>
      </c>
      <c r="AA1909" s="9">
        <v>42.662152333319682</v>
      </c>
      <c r="AB1909" s="9">
        <v>49.337721288156033</v>
      </c>
      <c r="AC1909" s="9">
        <v>49.337721288156033</v>
      </c>
      <c r="AD1909" s="9">
        <v>56.175614623482943</v>
      </c>
      <c r="AE1909" s="9">
        <v>63.196712014029359</v>
      </c>
      <c r="AF1909" s="9">
        <v>70.424649784246597</v>
      </c>
      <c r="AG1909" s="9">
        <v>70.424649784246597</v>
      </c>
      <c r="AH1909" s="9">
        <v>77.342680781352584</v>
      </c>
      <c r="AI1909" s="9">
        <v>84.743447231394711</v>
      </c>
      <c r="AJ1909" s="9">
        <v>3.0428788910505911</v>
      </c>
    </row>
    <row r="1910" spans="1:36" x14ac:dyDescent="0.25">
      <c r="A1910" t="s">
        <v>5411</v>
      </c>
      <c r="B1910" t="s">
        <v>16</v>
      </c>
      <c r="C1910" t="s">
        <v>17</v>
      </c>
      <c r="D1910">
        <v>43900000</v>
      </c>
      <c r="E1910">
        <v>43999999</v>
      </c>
      <c r="F1910" t="s">
        <v>1709</v>
      </c>
      <c r="G1910" t="str">
        <f t="shared" si="58"/>
        <v>BAI</v>
      </c>
      <c r="H1910" t="s">
        <v>1700</v>
      </c>
      <c r="I1910" t="s">
        <v>20</v>
      </c>
      <c r="J1910" t="s">
        <v>62</v>
      </c>
      <c r="K1910" s="6">
        <v>0.03</v>
      </c>
      <c r="L1910" s="7">
        <f t="shared" si="59"/>
        <v>2E-3</v>
      </c>
      <c r="M1910" s="7">
        <v>3.0000000000000001E-3</v>
      </c>
      <c r="N1910">
        <v>9</v>
      </c>
      <c r="O1910" s="8">
        <v>18.830425793781675</v>
      </c>
      <c r="P1910" s="9">
        <v>18.830425793781675</v>
      </c>
      <c r="Q1910" s="9">
        <v>18.830425793781675</v>
      </c>
      <c r="R1910" s="9">
        <v>20.26742485247707</v>
      </c>
      <c r="S1910" s="9">
        <v>22.358597663519866</v>
      </c>
      <c r="T1910" s="9">
        <v>24.596422700701293</v>
      </c>
      <c r="U1910" s="9">
        <v>30.062806972770321</v>
      </c>
      <c r="V1910" s="9">
        <v>30.062806972770321</v>
      </c>
      <c r="W1910" s="9">
        <v>30.062806972770321</v>
      </c>
      <c r="X1910" s="9">
        <v>36.258834158198169</v>
      </c>
      <c r="Y1910" s="9">
        <v>36.258834158198169</v>
      </c>
      <c r="Z1910" s="9">
        <v>42.662152333319682</v>
      </c>
      <c r="AA1910" s="9">
        <v>42.662152333319682</v>
      </c>
      <c r="AB1910" s="9">
        <v>49.337721288156033</v>
      </c>
      <c r="AC1910" s="9">
        <v>49.337721288156033</v>
      </c>
      <c r="AD1910" s="9">
        <v>56.175614623482943</v>
      </c>
      <c r="AE1910" s="9">
        <v>63.196712014029359</v>
      </c>
      <c r="AF1910" s="9">
        <v>70.424649784246597</v>
      </c>
      <c r="AG1910" s="9">
        <v>70.424649784246597</v>
      </c>
      <c r="AH1910" s="9">
        <v>77.342680781352584</v>
      </c>
      <c r="AI1910" s="9">
        <v>84.743447231394711</v>
      </c>
      <c r="AJ1910" s="9">
        <v>3.0428788910505911</v>
      </c>
    </row>
    <row r="1911" spans="1:36" x14ac:dyDescent="0.25">
      <c r="A1911" t="s">
        <v>5411</v>
      </c>
      <c r="B1911" t="s">
        <v>16</v>
      </c>
      <c r="C1911" t="s">
        <v>17</v>
      </c>
      <c r="D1911">
        <v>44000000</v>
      </c>
      <c r="E1911">
        <v>44149999</v>
      </c>
      <c r="F1911" t="s">
        <v>1710</v>
      </c>
      <c r="G1911" t="str">
        <f t="shared" si="58"/>
        <v>BAI</v>
      </c>
      <c r="H1911" t="s">
        <v>1700</v>
      </c>
      <c r="I1911" t="s">
        <v>20</v>
      </c>
      <c r="J1911" t="s">
        <v>62</v>
      </c>
      <c r="K1911" s="6">
        <v>0.03</v>
      </c>
      <c r="L1911" s="7">
        <f t="shared" si="59"/>
        <v>2E-3</v>
      </c>
      <c r="M1911" s="7">
        <v>3.0000000000000001E-3</v>
      </c>
      <c r="N1911">
        <v>8</v>
      </c>
      <c r="O1911" s="8">
        <v>18.830425793781675</v>
      </c>
      <c r="P1911" s="9">
        <v>18.830425793781675</v>
      </c>
      <c r="Q1911" s="9">
        <v>18.830425793781675</v>
      </c>
      <c r="R1911" s="9">
        <v>20.26742485247707</v>
      </c>
      <c r="S1911" s="9">
        <v>22.358597663519866</v>
      </c>
      <c r="T1911" s="9">
        <v>24.596422700701293</v>
      </c>
      <c r="U1911" s="9">
        <v>30.062806972770321</v>
      </c>
      <c r="V1911" s="9">
        <v>30.062806972770321</v>
      </c>
      <c r="W1911" s="9">
        <v>30.062806972770321</v>
      </c>
      <c r="X1911" s="9">
        <v>36.258834158198169</v>
      </c>
      <c r="Y1911" s="9">
        <v>36.258834158198169</v>
      </c>
      <c r="Z1911" s="9">
        <v>42.662152333319682</v>
      </c>
      <c r="AA1911" s="9">
        <v>42.662152333319682</v>
      </c>
      <c r="AB1911" s="9">
        <v>49.337721288156033</v>
      </c>
      <c r="AC1911" s="9">
        <v>49.337721288156033</v>
      </c>
      <c r="AD1911" s="9">
        <v>56.175614623482943</v>
      </c>
      <c r="AE1911" s="9">
        <v>63.196712014029359</v>
      </c>
      <c r="AF1911" s="9">
        <v>70.424649784246597</v>
      </c>
      <c r="AG1911" s="9">
        <v>70.424649784246597</v>
      </c>
      <c r="AH1911" s="9">
        <v>77.342680781352584</v>
      </c>
      <c r="AI1911" s="9">
        <v>84.743447231394711</v>
      </c>
      <c r="AJ1911" s="9">
        <v>3.0428788910505911</v>
      </c>
    </row>
    <row r="1912" spans="1:36" x14ac:dyDescent="0.25">
      <c r="A1912" t="s">
        <v>5411</v>
      </c>
      <c r="B1912" t="s">
        <v>16</v>
      </c>
      <c r="C1912" t="s">
        <v>17</v>
      </c>
      <c r="D1912">
        <v>44150000</v>
      </c>
      <c r="E1912">
        <v>44159999</v>
      </c>
      <c r="F1912" t="s">
        <v>1068</v>
      </c>
      <c r="G1912" t="str">
        <f t="shared" si="58"/>
        <v>BAI II</v>
      </c>
      <c r="H1912" t="s">
        <v>1700</v>
      </c>
      <c r="I1912" t="s">
        <v>20</v>
      </c>
      <c r="J1912" t="s">
        <v>64</v>
      </c>
      <c r="K1912" s="6">
        <v>0.03</v>
      </c>
      <c r="L1912" s="7">
        <f t="shared" si="59"/>
        <v>2E-3</v>
      </c>
      <c r="M1912" s="7">
        <v>3.0000000000000001E-3</v>
      </c>
      <c r="N1912">
        <v>9</v>
      </c>
      <c r="O1912" s="8">
        <v>22.933916850949441</v>
      </c>
      <c r="P1912" s="9">
        <v>22.933916850949441</v>
      </c>
      <c r="Q1912" s="9">
        <v>22.933916850949441</v>
      </c>
      <c r="R1912" s="9">
        <v>25.173745848546066</v>
      </c>
      <c r="S1912" s="9">
        <v>27.641690539343774</v>
      </c>
      <c r="T1912" s="9">
        <v>29.730378573928668</v>
      </c>
      <c r="U1912" s="9">
        <v>36.183590217329723</v>
      </c>
      <c r="V1912" s="9">
        <v>36.183590217329723</v>
      </c>
      <c r="W1912" s="9">
        <v>36.183590217329723</v>
      </c>
      <c r="X1912" s="9">
        <v>43.522810559209468</v>
      </c>
      <c r="Y1912" s="9">
        <v>43.522810559209468</v>
      </c>
      <c r="Z1912" s="9">
        <v>50.960858783530121</v>
      </c>
      <c r="AA1912" s="9">
        <v>50.960858783530121</v>
      </c>
      <c r="AB1912" s="9">
        <v>58.507617678535738</v>
      </c>
      <c r="AC1912" s="9">
        <v>58.507617678535738</v>
      </c>
      <c r="AD1912" s="9">
        <v>68.105109643716474</v>
      </c>
      <c r="AE1912" s="9">
        <v>75.132723269302929</v>
      </c>
      <c r="AF1912" s="9">
        <v>82.290622386277917</v>
      </c>
      <c r="AG1912" s="9">
        <v>82.290622386277917</v>
      </c>
      <c r="AH1912" s="9">
        <v>90.43943145512165</v>
      </c>
      <c r="AI1912" s="9">
        <v>98.380048333692613</v>
      </c>
      <c r="AJ1912" s="9">
        <v>3.0428788910505911</v>
      </c>
    </row>
    <row r="1913" spans="1:36" x14ac:dyDescent="0.25">
      <c r="A1913" t="s">
        <v>5411</v>
      </c>
      <c r="B1913" t="s">
        <v>16</v>
      </c>
      <c r="C1913" t="s">
        <v>17</v>
      </c>
      <c r="D1913">
        <v>44160000</v>
      </c>
      <c r="E1913">
        <v>44179999</v>
      </c>
      <c r="F1913" t="s">
        <v>1711</v>
      </c>
      <c r="G1913" t="str">
        <f t="shared" si="58"/>
        <v>BAI II</v>
      </c>
      <c r="H1913" t="s">
        <v>1700</v>
      </c>
      <c r="I1913" t="s">
        <v>20</v>
      </c>
      <c r="J1913" t="s">
        <v>64</v>
      </c>
      <c r="K1913" s="6">
        <v>0.03</v>
      </c>
      <c r="L1913" s="7">
        <f t="shared" si="59"/>
        <v>2E-3</v>
      </c>
      <c r="M1913" s="7">
        <v>3.0000000000000001E-3</v>
      </c>
      <c r="N1913">
        <v>9</v>
      </c>
      <c r="O1913" s="8">
        <v>22.933916850949441</v>
      </c>
      <c r="P1913" s="9">
        <v>22.933916850949441</v>
      </c>
      <c r="Q1913" s="9">
        <v>22.933916850949441</v>
      </c>
      <c r="R1913" s="9">
        <v>25.173745848546066</v>
      </c>
      <c r="S1913" s="9">
        <v>27.641690539343774</v>
      </c>
      <c r="T1913" s="9">
        <v>29.730378573928668</v>
      </c>
      <c r="U1913" s="9">
        <v>36.183590217329723</v>
      </c>
      <c r="V1913" s="9">
        <v>36.183590217329723</v>
      </c>
      <c r="W1913" s="9">
        <v>36.183590217329723</v>
      </c>
      <c r="X1913" s="9">
        <v>43.522810559209468</v>
      </c>
      <c r="Y1913" s="9">
        <v>43.522810559209468</v>
      </c>
      <c r="Z1913" s="9">
        <v>50.960858783530121</v>
      </c>
      <c r="AA1913" s="9">
        <v>50.960858783530121</v>
      </c>
      <c r="AB1913" s="9">
        <v>58.507617678535738</v>
      </c>
      <c r="AC1913" s="9">
        <v>58.507617678535738</v>
      </c>
      <c r="AD1913" s="9">
        <v>68.105109643716474</v>
      </c>
      <c r="AE1913" s="9">
        <v>75.132723269302929</v>
      </c>
      <c r="AF1913" s="9">
        <v>82.290622386277917</v>
      </c>
      <c r="AG1913" s="9">
        <v>82.290622386277917</v>
      </c>
      <c r="AH1913" s="9">
        <v>90.43943145512165</v>
      </c>
      <c r="AI1913" s="9">
        <v>98.380048333692613</v>
      </c>
      <c r="AJ1913" s="9">
        <v>3.0428788910505911</v>
      </c>
    </row>
    <row r="1914" spans="1:36" x14ac:dyDescent="0.25">
      <c r="A1914" t="s">
        <v>5411</v>
      </c>
      <c r="B1914" t="s">
        <v>16</v>
      </c>
      <c r="C1914" t="s">
        <v>17</v>
      </c>
      <c r="D1914">
        <v>44180000</v>
      </c>
      <c r="E1914">
        <v>44189999</v>
      </c>
      <c r="F1914" t="s">
        <v>1712</v>
      </c>
      <c r="G1914" t="str">
        <f t="shared" si="58"/>
        <v>BAI II</v>
      </c>
      <c r="H1914" t="s">
        <v>1700</v>
      </c>
      <c r="I1914" t="s">
        <v>20</v>
      </c>
      <c r="J1914" t="s">
        <v>64</v>
      </c>
      <c r="K1914" s="6">
        <v>0.03</v>
      </c>
      <c r="L1914" s="7">
        <f t="shared" si="59"/>
        <v>2E-3</v>
      </c>
      <c r="M1914" s="7">
        <v>3.0000000000000001E-3</v>
      </c>
      <c r="N1914">
        <v>9</v>
      </c>
      <c r="O1914" s="8">
        <v>22.933916850949441</v>
      </c>
      <c r="P1914" s="9">
        <v>22.933916850949441</v>
      </c>
      <c r="Q1914" s="9">
        <v>22.933916850949441</v>
      </c>
      <c r="R1914" s="9">
        <v>25.173745848546066</v>
      </c>
      <c r="S1914" s="9">
        <v>27.641690539343774</v>
      </c>
      <c r="T1914" s="9">
        <v>29.730378573928668</v>
      </c>
      <c r="U1914" s="9">
        <v>36.183590217329723</v>
      </c>
      <c r="V1914" s="9">
        <v>36.183590217329723</v>
      </c>
      <c r="W1914" s="9">
        <v>36.183590217329723</v>
      </c>
      <c r="X1914" s="9">
        <v>43.522810559209468</v>
      </c>
      <c r="Y1914" s="9">
        <v>43.522810559209468</v>
      </c>
      <c r="Z1914" s="9">
        <v>50.960858783530121</v>
      </c>
      <c r="AA1914" s="9">
        <v>50.960858783530121</v>
      </c>
      <c r="AB1914" s="9">
        <v>58.507617678535738</v>
      </c>
      <c r="AC1914" s="9">
        <v>58.507617678535738</v>
      </c>
      <c r="AD1914" s="9">
        <v>68.105109643716474</v>
      </c>
      <c r="AE1914" s="9">
        <v>75.132723269302929</v>
      </c>
      <c r="AF1914" s="9">
        <v>82.290622386277917</v>
      </c>
      <c r="AG1914" s="9">
        <v>82.290622386277917</v>
      </c>
      <c r="AH1914" s="9">
        <v>90.43943145512165</v>
      </c>
      <c r="AI1914" s="9">
        <v>98.380048333692613</v>
      </c>
      <c r="AJ1914" s="9">
        <v>3.0428788910505911</v>
      </c>
    </row>
    <row r="1915" spans="1:36" x14ac:dyDescent="0.25">
      <c r="A1915" t="s">
        <v>5411</v>
      </c>
      <c r="B1915" t="s">
        <v>16</v>
      </c>
      <c r="C1915" t="s">
        <v>17</v>
      </c>
      <c r="D1915">
        <v>44190000</v>
      </c>
      <c r="E1915">
        <v>44199999</v>
      </c>
      <c r="F1915" t="s">
        <v>1713</v>
      </c>
      <c r="G1915" t="str">
        <f t="shared" si="58"/>
        <v>BAI II</v>
      </c>
      <c r="H1915" t="s">
        <v>1700</v>
      </c>
      <c r="I1915" t="s">
        <v>20</v>
      </c>
      <c r="J1915" t="s">
        <v>64</v>
      </c>
      <c r="K1915" s="6">
        <v>0.03</v>
      </c>
      <c r="L1915" s="7">
        <f t="shared" si="59"/>
        <v>2E-3</v>
      </c>
      <c r="M1915" s="7">
        <v>3.0000000000000001E-3</v>
      </c>
      <c r="N1915">
        <v>9</v>
      </c>
      <c r="O1915" s="8">
        <v>22.933916850949441</v>
      </c>
      <c r="P1915" s="9">
        <v>22.933916850949441</v>
      </c>
      <c r="Q1915" s="9">
        <v>22.933916850949441</v>
      </c>
      <c r="R1915" s="9">
        <v>25.173745848546066</v>
      </c>
      <c r="S1915" s="9">
        <v>27.641690539343774</v>
      </c>
      <c r="T1915" s="9">
        <v>29.730378573928668</v>
      </c>
      <c r="U1915" s="9">
        <v>36.183590217329723</v>
      </c>
      <c r="V1915" s="9">
        <v>36.183590217329723</v>
      </c>
      <c r="W1915" s="9">
        <v>36.183590217329723</v>
      </c>
      <c r="X1915" s="9">
        <v>43.522810559209468</v>
      </c>
      <c r="Y1915" s="9">
        <v>43.522810559209468</v>
      </c>
      <c r="Z1915" s="9">
        <v>50.960858783530121</v>
      </c>
      <c r="AA1915" s="9">
        <v>50.960858783530121</v>
      </c>
      <c r="AB1915" s="9">
        <v>58.507617678535738</v>
      </c>
      <c r="AC1915" s="9">
        <v>58.507617678535738</v>
      </c>
      <c r="AD1915" s="9">
        <v>68.105109643716474</v>
      </c>
      <c r="AE1915" s="9">
        <v>75.132723269302929</v>
      </c>
      <c r="AF1915" s="9">
        <v>82.290622386277917</v>
      </c>
      <c r="AG1915" s="9">
        <v>82.290622386277917</v>
      </c>
      <c r="AH1915" s="9">
        <v>90.43943145512165</v>
      </c>
      <c r="AI1915" s="9">
        <v>98.380048333692613</v>
      </c>
      <c r="AJ1915" s="9">
        <v>3.0428788910505911</v>
      </c>
    </row>
    <row r="1916" spans="1:36" x14ac:dyDescent="0.25">
      <c r="A1916" t="s">
        <v>5411</v>
      </c>
      <c r="B1916" t="s">
        <v>16</v>
      </c>
      <c r="C1916" t="s">
        <v>17</v>
      </c>
      <c r="D1916">
        <v>44200000</v>
      </c>
      <c r="E1916">
        <v>44219999</v>
      </c>
      <c r="F1916" t="s">
        <v>1714</v>
      </c>
      <c r="G1916" t="str">
        <f t="shared" si="58"/>
        <v>BAI II</v>
      </c>
      <c r="H1916" t="s">
        <v>1700</v>
      </c>
      <c r="I1916" t="s">
        <v>20</v>
      </c>
      <c r="J1916" t="s">
        <v>64</v>
      </c>
      <c r="K1916" s="6">
        <v>0.03</v>
      </c>
      <c r="L1916" s="7">
        <f t="shared" si="59"/>
        <v>2E-3</v>
      </c>
      <c r="M1916" s="7">
        <v>3.0000000000000001E-3</v>
      </c>
      <c r="N1916">
        <v>9</v>
      </c>
      <c r="O1916" s="8">
        <v>22.933916850949441</v>
      </c>
      <c r="P1916" s="9">
        <v>22.933916850949441</v>
      </c>
      <c r="Q1916" s="9">
        <v>22.933916850949441</v>
      </c>
      <c r="R1916" s="9">
        <v>25.173745848546066</v>
      </c>
      <c r="S1916" s="9">
        <v>27.641690539343774</v>
      </c>
      <c r="T1916" s="9">
        <v>29.730378573928668</v>
      </c>
      <c r="U1916" s="9">
        <v>36.183590217329723</v>
      </c>
      <c r="V1916" s="9">
        <v>36.183590217329723</v>
      </c>
      <c r="W1916" s="9">
        <v>36.183590217329723</v>
      </c>
      <c r="X1916" s="9">
        <v>43.522810559209468</v>
      </c>
      <c r="Y1916" s="9">
        <v>43.522810559209468</v>
      </c>
      <c r="Z1916" s="9">
        <v>50.960858783530121</v>
      </c>
      <c r="AA1916" s="9">
        <v>50.960858783530121</v>
      </c>
      <c r="AB1916" s="9">
        <v>58.507617678535738</v>
      </c>
      <c r="AC1916" s="9">
        <v>58.507617678535738</v>
      </c>
      <c r="AD1916" s="9">
        <v>68.105109643716474</v>
      </c>
      <c r="AE1916" s="9">
        <v>75.132723269302929</v>
      </c>
      <c r="AF1916" s="9">
        <v>82.290622386277917</v>
      </c>
      <c r="AG1916" s="9">
        <v>82.290622386277917</v>
      </c>
      <c r="AH1916" s="9">
        <v>90.43943145512165</v>
      </c>
      <c r="AI1916" s="9">
        <v>98.380048333692613</v>
      </c>
      <c r="AJ1916" s="9">
        <v>3.0428788910505911</v>
      </c>
    </row>
    <row r="1917" spans="1:36" x14ac:dyDescent="0.25">
      <c r="A1917" t="s">
        <v>5411</v>
      </c>
      <c r="B1917" t="s">
        <v>16</v>
      </c>
      <c r="C1917" t="s">
        <v>17</v>
      </c>
      <c r="D1917">
        <v>44220000</v>
      </c>
      <c r="E1917">
        <v>44229999</v>
      </c>
      <c r="F1917" t="s">
        <v>1715</v>
      </c>
      <c r="G1917" t="str">
        <f t="shared" si="58"/>
        <v>BAI II</v>
      </c>
      <c r="H1917" t="s">
        <v>1700</v>
      </c>
      <c r="I1917" t="s">
        <v>20</v>
      </c>
      <c r="J1917" t="s">
        <v>64</v>
      </c>
      <c r="K1917" s="6">
        <v>0.03</v>
      </c>
      <c r="L1917" s="7">
        <f t="shared" si="59"/>
        <v>2E-3</v>
      </c>
      <c r="M1917" s="7">
        <v>3.0000000000000001E-3</v>
      </c>
      <c r="N1917">
        <v>9</v>
      </c>
      <c r="O1917" s="8">
        <v>22.933916850949441</v>
      </c>
      <c r="P1917" s="9">
        <v>22.933916850949441</v>
      </c>
      <c r="Q1917" s="9">
        <v>22.933916850949441</v>
      </c>
      <c r="R1917" s="9">
        <v>25.173745848546066</v>
      </c>
      <c r="S1917" s="9">
        <v>27.641690539343774</v>
      </c>
      <c r="T1917" s="9">
        <v>29.730378573928668</v>
      </c>
      <c r="U1917" s="9">
        <v>36.183590217329723</v>
      </c>
      <c r="V1917" s="9">
        <v>36.183590217329723</v>
      </c>
      <c r="W1917" s="9">
        <v>36.183590217329723</v>
      </c>
      <c r="X1917" s="9">
        <v>43.522810559209468</v>
      </c>
      <c r="Y1917" s="9">
        <v>43.522810559209468</v>
      </c>
      <c r="Z1917" s="9">
        <v>50.960858783530121</v>
      </c>
      <c r="AA1917" s="9">
        <v>50.960858783530121</v>
      </c>
      <c r="AB1917" s="9">
        <v>58.507617678535738</v>
      </c>
      <c r="AC1917" s="9">
        <v>58.507617678535738</v>
      </c>
      <c r="AD1917" s="9">
        <v>68.105109643716474</v>
      </c>
      <c r="AE1917" s="9">
        <v>75.132723269302929</v>
      </c>
      <c r="AF1917" s="9">
        <v>82.290622386277917</v>
      </c>
      <c r="AG1917" s="9">
        <v>82.290622386277917</v>
      </c>
      <c r="AH1917" s="9">
        <v>90.43943145512165</v>
      </c>
      <c r="AI1917" s="9">
        <v>98.380048333692613</v>
      </c>
      <c r="AJ1917" s="9">
        <v>3.0428788910505911</v>
      </c>
    </row>
    <row r="1918" spans="1:36" x14ac:dyDescent="0.25">
      <c r="A1918" t="s">
        <v>5411</v>
      </c>
      <c r="B1918" t="s">
        <v>16</v>
      </c>
      <c r="C1918" t="s">
        <v>17</v>
      </c>
      <c r="D1918">
        <v>44230000</v>
      </c>
      <c r="E1918">
        <v>44244999</v>
      </c>
      <c r="F1918" t="s">
        <v>1716</v>
      </c>
      <c r="G1918" t="str">
        <f t="shared" si="58"/>
        <v>BAI</v>
      </c>
      <c r="H1918" t="s">
        <v>1700</v>
      </c>
      <c r="I1918" t="s">
        <v>20</v>
      </c>
      <c r="J1918" t="s">
        <v>62</v>
      </c>
      <c r="K1918" s="6">
        <v>0.03</v>
      </c>
      <c r="L1918" s="7">
        <f t="shared" si="59"/>
        <v>2E-3</v>
      </c>
      <c r="M1918" s="7">
        <v>3.0000000000000001E-3</v>
      </c>
      <c r="N1918">
        <v>9</v>
      </c>
      <c r="O1918" s="8">
        <v>18.830425793781675</v>
      </c>
      <c r="P1918" s="9">
        <v>18.830425793781675</v>
      </c>
      <c r="Q1918" s="9">
        <v>18.830425793781675</v>
      </c>
      <c r="R1918" s="9">
        <v>20.26742485247707</v>
      </c>
      <c r="S1918" s="9">
        <v>22.358597663519866</v>
      </c>
      <c r="T1918" s="9">
        <v>24.596422700701293</v>
      </c>
      <c r="U1918" s="9">
        <v>30.062806972770321</v>
      </c>
      <c r="V1918" s="9">
        <v>30.062806972770321</v>
      </c>
      <c r="W1918" s="9">
        <v>30.062806972770321</v>
      </c>
      <c r="X1918" s="9">
        <v>36.258834158198169</v>
      </c>
      <c r="Y1918" s="9">
        <v>36.258834158198169</v>
      </c>
      <c r="Z1918" s="9">
        <v>42.662152333319682</v>
      </c>
      <c r="AA1918" s="9">
        <v>42.662152333319682</v>
      </c>
      <c r="AB1918" s="9">
        <v>49.337721288156033</v>
      </c>
      <c r="AC1918" s="9">
        <v>49.337721288156033</v>
      </c>
      <c r="AD1918" s="9">
        <v>56.175614623482943</v>
      </c>
      <c r="AE1918" s="9">
        <v>63.196712014029359</v>
      </c>
      <c r="AF1918" s="9">
        <v>70.424649784246597</v>
      </c>
      <c r="AG1918" s="9">
        <v>70.424649784246597</v>
      </c>
      <c r="AH1918" s="9">
        <v>77.342680781352584</v>
      </c>
      <c r="AI1918" s="9">
        <v>84.743447231394711</v>
      </c>
      <c r="AJ1918" s="9">
        <v>3.0428788910505911</v>
      </c>
    </row>
    <row r="1919" spans="1:36" x14ac:dyDescent="0.25">
      <c r="A1919" t="s">
        <v>5411</v>
      </c>
      <c r="B1919" t="s">
        <v>16</v>
      </c>
      <c r="C1919" t="s">
        <v>17</v>
      </c>
      <c r="D1919">
        <v>44245000</v>
      </c>
      <c r="E1919">
        <v>44249999</v>
      </c>
      <c r="F1919" t="s">
        <v>1717</v>
      </c>
      <c r="G1919" t="str">
        <f t="shared" si="58"/>
        <v>BAI II</v>
      </c>
      <c r="H1919" t="s">
        <v>1700</v>
      </c>
      <c r="I1919" t="s">
        <v>20</v>
      </c>
      <c r="J1919" t="s">
        <v>64</v>
      </c>
      <c r="K1919" s="6">
        <v>0.03</v>
      </c>
      <c r="L1919" s="7">
        <f t="shared" si="59"/>
        <v>2E-3</v>
      </c>
      <c r="M1919" s="7">
        <v>3.0000000000000001E-3</v>
      </c>
      <c r="N1919">
        <v>9</v>
      </c>
      <c r="O1919" s="8">
        <v>22.933916850949441</v>
      </c>
      <c r="P1919" s="9">
        <v>22.933916850949441</v>
      </c>
      <c r="Q1919" s="9">
        <v>22.933916850949441</v>
      </c>
      <c r="R1919" s="9">
        <v>25.173745848546066</v>
      </c>
      <c r="S1919" s="9">
        <v>27.641690539343774</v>
      </c>
      <c r="T1919" s="9">
        <v>29.730378573928668</v>
      </c>
      <c r="U1919" s="9">
        <v>36.183590217329723</v>
      </c>
      <c r="V1919" s="9">
        <v>36.183590217329723</v>
      </c>
      <c r="W1919" s="9">
        <v>36.183590217329723</v>
      </c>
      <c r="X1919" s="9">
        <v>43.522810559209468</v>
      </c>
      <c r="Y1919" s="9">
        <v>43.522810559209468</v>
      </c>
      <c r="Z1919" s="9">
        <v>50.960858783530121</v>
      </c>
      <c r="AA1919" s="9">
        <v>50.960858783530121</v>
      </c>
      <c r="AB1919" s="9">
        <v>58.507617678535738</v>
      </c>
      <c r="AC1919" s="9">
        <v>58.507617678535738</v>
      </c>
      <c r="AD1919" s="9">
        <v>68.105109643716474</v>
      </c>
      <c r="AE1919" s="9">
        <v>75.132723269302929</v>
      </c>
      <c r="AF1919" s="9">
        <v>82.290622386277917</v>
      </c>
      <c r="AG1919" s="9">
        <v>82.290622386277917</v>
      </c>
      <c r="AH1919" s="9">
        <v>90.43943145512165</v>
      </c>
      <c r="AI1919" s="9">
        <v>98.380048333692613</v>
      </c>
      <c r="AJ1919" s="9">
        <v>3.0428788910505911</v>
      </c>
    </row>
    <row r="1920" spans="1:36" x14ac:dyDescent="0.25">
      <c r="A1920" t="s">
        <v>5411</v>
      </c>
      <c r="B1920" t="s">
        <v>16</v>
      </c>
      <c r="C1920" t="s">
        <v>17</v>
      </c>
      <c r="D1920">
        <v>44250000</v>
      </c>
      <c r="E1920">
        <v>44254999</v>
      </c>
      <c r="F1920" t="s">
        <v>1718</v>
      </c>
      <c r="G1920" t="str">
        <f t="shared" si="58"/>
        <v>BAI II</v>
      </c>
      <c r="H1920" t="s">
        <v>1700</v>
      </c>
      <c r="I1920" t="s">
        <v>20</v>
      </c>
      <c r="J1920" t="s">
        <v>64</v>
      </c>
      <c r="K1920" s="6">
        <v>0.03</v>
      </c>
      <c r="L1920" s="7">
        <f t="shared" si="59"/>
        <v>2E-3</v>
      </c>
      <c r="M1920" s="7">
        <v>3.0000000000000001E-3</v>
      </c>
      <c r="N1920">
        <v>9</v>
      </c>
      <c r="O1920" s="8">
        <v>22.933916850949441</v>
      </c>
      <c r="P1920" s="9">
        <v>22.933916850949441</v>
      </c>
      <c r="Q1920" s="9">
        <v>22.933916850949441</v>
      </c>
      <c r="R1920" s="9">
        <v>25.173745848546066</v>
      </c>
      <c r="S1920" s="9">
        <v>27.641690539343774</v>
      </c>
      <c r="T1920" s="9">
        <v>29.730378573928668</v>
      </c>
      <c r="U1920" s="9">
        <v>36.183590217329723</v>
      </c>
      <c r="V1920" s="9">
        <v>36.183590217329723</v>
      </c>
      <c r="W1920" s="9">
        <v>36.183590217329723</v>
      </c>
      <c r="X1920" s="9">
        <v>43.522810559209468</v>
      </c>
      <c r="Y1920" s="9">
        <v>43.522810559209468</v>
      </c>
      <c r="Z1920" s="9">
        <v>50.960858783530121</v>
      </c>
      <c r="AA1920" s="9">
        <v>50.960858783530121</v>
      </c>
      <c r="AB1920" s="9">
        <v>58.507617678535738</v>
      </c>
      <c r="AC1920" s="9">
        <v>58.507617678535738</v>
      </c>
      <c r="AD1920" s="9">
        <v>68.105109643716474</v>
      </c>
      <c r="AE1920" s="9">
        <v>75.132723269302929</v>
      </c>
      <c r="AF1920" s="9">
        <v>82.290622386277917</v>
      </c>
      <c r="AG1920" s="9">
        <v>82.290622386277917</v>
      </c>
      <c r="AH1920" s="9">
        <v>90.43943145512165</v>
      </c>
      <c r="AI1920" s="9">
        <v>98.380048333692613</v>
      </c>
      <c r="AJ1920" s="9">
        <v>3.0428788910505911</v>
      </c>
    </row>
    <row r="1921" spans="1:36" x14ac:dyDescent="0.25">
      <c r="A1921" t="s">
        <v>5411</v>
      </c>
      <c r="B1921" t="s">
        <v>16</v>
      </c>
      <c r="C1921" t="s">
        <v>17</v>
      </c>
      <c r="D1921">
        <v>44255000</v>
      </c>
      <c r="E1921">
        <v>44259999</v>
      </c>
      <c r="F1921" t="s">
        <v>1719</v>
      </c>
      <c r="G1921" t="str">
        <f t="shared" si="58"/>
        <v>BAI II</v>
      </c>
      <c r="H1921" t="s">
        <v>1700</v>
      </c>
      <c r="I1921" t="s">
        <v>20</v>
      </c>
      <c r="J1921" t="s">
        <v>64</v>
      </c>
      <c r="K1921" s="6">
        <v>0.03</v>
      </c>
      <c r="L1921" s="7">
        <f t="shared" si="59"/>
        <v>2E-3</v>
      </c>
      <c r="M1921" s="7">
        <v>3.0000000000000001E-3</v>
      </c>
      <c r="N1921">
        <v>9</v>
      </c>
      <c r="O1921" s="8">
        <v>22.933916850949441</v>
      </c>
      <c r="P1921" s="9">
        <v>22.933916850949441</v>
      </c>
      <c r="Q1921" s="9">
        <v>22.933916850949441</v>
      </c>
      <c r="R1921" s="9">
        <v>25.173745848546066</v>
      </c>
      <c r="S1921" s="9">
        <v>27.641690539343774</v>
      </c>
      <c r="T1921" s="9">
        <v>29.730378573928668</v>
      </c>
      <c r="U1921" s="9">
        <v>36.183590217329723</v>
      </c>
      <c r="V1921" s="9">
        <v>36.183590217329723</v>
      </c>
      <c r="W1921" s="9">
        <v>36.183590217329723</v>
      </c>
      <c r="X1921" s="9">
        <v>43.522810559209468</v>
      </c>
      <c r="Y1921" s="9">
        <v>43.522810559209468</v>
      </c>
      <c r="Z1921" s="9">
        <v>50.960858783530121</v>
      </c>
      <c r="AA1921" s="9">
        <v>50.960858783530121</v>
      </c>
      <c r="AB1921" s="9">
        <v>58.507617678535738</v>
      </c>
      <c r="AC1921" s="9">
        <v>58.507617678535738</v>
      </c>
      <c r="AD1921" s="9">
        <v>68.105109643716474</v>
      </c>
      <c r="AE1921" s="9">
        <v>75.132723269302929</v>
      </c>
      <c r="AF1921" s="9">
        <v>82.290622386277917</v>
      </c>
      <c r="AG1921" s="9">
        <v>82.290622386277917</v>
      </c>
      <c r="AH1921" s="9">
        <v>90.43943145512165</v>
      </c>
      <c r="AI1921" s="9">
        <v>98.380048333692613</v>
      </c>
      <c r="AJ1921" s="9">
        <v>3.0428788910505911</v>
      </c>
    </row>
    <row r="1922" spans="1:36" x14ac:dyDescent="0.25">
      <c r="A1922" t="s">
        <v>5411</v>
      </c>
      <c r="B1922" t="s">
        <v>16</v>
      </c>
      <c r="C1922" t="s">
        <v>17</v>
      </c>
      <c r="D1922">
        <v>44260000</v>
      </c>
      <c r="E1922">
        <v>44269999</v>
      </c>
      <c r="F1922" t="s">
        <v>1720</v>
      </c>
      <c r="G1922" t="str">
        <f t="shared" si="58"/>
        <v>BAI II</v>
      </c>
      <c r="H1922" t="s">
        <v>1700</v>
      </c>
      <c r="I1922" t="s">
        <v>20</v>
      </c>
      <c r="J1922" t="s">
        <v>64</v>
      </c>
      <c r="K1922" s="6">
        <v>0.03</v>
      </c>
      <c r="L1922" s="7">
        <f t="shared" si="59"/>
        <v>2E-3</v>
      </c>
      <c r="M1922" s="7">
        <v>3.0000000000000001E-3</v>
      </c>
      <c r="N1922">
        <v>9</v>
      </c>
      <c r="O1922" s="8">
        <v>22.933916850949441</v>
      </c>
      <c r="P1922" s="9">
        <v>22.933916850949441</v>
      </c>
      <c r="Q1922" s="9">
        <v>22.933916850949441</v>
      </c>
      <c r="R1922" s="9">
        <v>25.173745848546066</v>
      </c>
      <c r="S1922" s="9">
        <v>27.641690539343774</v>
      </c>
      <c r="T1922" s="9">
        <v>29.730378573928668</v>
      </c>
      <c r="U1922" s="9">
        <v>36.183590217329723</v>
      </c>
      <c r="V1922" s="9">
        <v>36.183590217329723</v>
      </c>
      <c r="W1922" s="9">
        <v>36.183590217329723</v>
      </c>
      <c r="X1922" s="9">
        <v>43.522810559209468</v>
      </c>
      <c r="Y1922" s="9">
        <v>43.522810559209468</v>
      </c>
      <c r="Z1922" s="9">
        <v>50.960858783530121</v>
      </c>
      <c r="AA1922" s="9">
        <v>50.960858783530121</v>
      </c>
      <c r="AB1922" s="9">
        <v>58.507617678535738</v>
      </c>
      <c r="AC1922" s="9">
        <v>58.507617678535738</v>
      </c>
      <c r="AD1922" s="9">
        <v>68.105109643716474</v>
      </c>
      <c r="AE1922" s="9">
        <v>75.132723269302929</v>
      </c>
      <c r="AF1922" s="9">
        <v>82.290622386277917</v>
      </c>
      <c r="AG1922" s="9">
        <v>82.290622386277917</v>
      </c>
      <c r="AH1922" s="9">
        <v>90.43943145512165</v>
      </c>
      <c r="AI1922" s="9">
        <v>98.380048333692613</v>
      </c>
      <c r="AJ1922" s="9">
        <v>3.0428788910505911</v>
      </c>
    </row>
    <row r="1923" spans="1:36" x14ac:dyDescent="0.25">
      <c r="A1923" t="s">
        <v>5411</v>
      </c>
      <c r="B1923" t="s">
        <v>16</v>
      </c>
      <c r="C1923" t="s">
        <v>17</v>
      </c>
      <c r="D1923">
        <v>44270000</v>
      </c>
      <c r="E1923">
        <v>44279999</v>
      </c>
      <c r="F1923" t="s">
        <v>1721</v>
      </c>
      <c r="G1923" t="str">
        <f t="shared" si="58"/>
        <v>BAI II</v>
      </c>
      <c r="H1923" t="s">
        <v>1700</v>
      </c>
      <c r="I1923" t="s">
        <v>20</v>
      </c>
      <c r="J1923" t="s">
        <v>64</v>
      </c>
      <c r="K1923" s="6">
        <v>0.03</v>
      </c>
      <c r="L1923" s="7">
        <f t="shared" si="59"/>
        <v>2E-3</v>
      </c>
      <c r="M1923" s="7">
        <v>3.0000000000000001E-3</v>
      </c>
      <c r="N1923">
        <v>9</v>
      </c>
      <c r="O1923" s="8">
        <v>22.933916850949441</v>
      </c>
      <c r="P1923" s="9">
        <v>22.933916850949441</v>
      </c>
      <c r="Q1923" s="9">
        <v>22.933916850949441</v>
      </c>
      <c r="R1923" s="9">
        <v>25.173745848546066</v>
      </c>
      <c r="S1923" s="9">
        <v>27.641690539343774</v>
      </c>
      <c r="T1923" s="9">
        <v>29.730378573928668</v>
      </c>
      <c r="U1923" s="9">
        <v>36.183590217329723</v>
      </c>
      <c r="V1923" s="9">
        <v>36.183590217329723</v>
      </c>
      <c r="W1923" s="9">
        <v>36.183590217329723</v>
      </c>
      <c r="X1923" s="9">
        <v>43.522810559209468</v>
      </c>
      <c r="Y1923" s="9">
        <v>43.522810559209468</v>
      </c>
      <c r="Z1923" s="9">
        <v>50.960858783530121</v>
      </c>
      <c r="AA1923" s="9">
        <v>50.960858783530121</v>
      </c>
      <c r="AB1923" s="9">
        <v>58.507617678535738</v>
      </c>
      <c r="AC1923" s="9">
        <v>58.507617678535738</v>
      </c>
      <c r="AD1923" s="9">
        <v>68.105109643716474</v>
      </c>
      <c r="AE1923" s="9">
        <v>75.132723269302929</v>
      </c>
      <c r="AF1923" s="9">
        <v>82.290622386277917</v>
      </c>
      <c r="AG1923" s="9">
        <v>82.290622386277917</v>
      </c>
      <c r="AH1923" s="9">
        <v>90.43943145512165</v>
      </c>
      <c r="AI1923" s="9">
        <v>98.380048333692613</v>
      </c>
      <c r="AJ1923" s="9">
        <v>3.0428788910505911</v>
      </c>
    </row>
    <row r="1924" spans="1:36" x14ac:dyDescent="0.25">
      <c r="A1924" t="s">
        <v>5411</v>
      </c>
      <c r="B1924" t="s">
        <v>16</v>
      </c>
      <c r="C1924" t="s">
        <v>17</v>
      </c>
      <c r="D1924">
        <v>44280000</v>
      </c>
      <c r="E1924">
        <v>44299999</v>
      </c>
      <c r="F1924" t="s">
        <v>622</v>
      </c>
      <c r="G1924" t="str">
        <f t="shared" ref="G1924:G1987" si="60">H1924&amp;IF(J1924="CAPITAL","C",IF(J1924="INTERIOR","I",IF(J1924="INTERIOR II","I II","R")))</f>
        <v>BAI II</v>
      </c>
      <c r="H1924" t="s">
        <v>1700</v>
      </c>
      <c r="I1924" t="s">
        <v>20</v>
      </c>
      <c r="J1924" t="s">
        <v>64</v>
      </c>
      <c r="K1924" s="6">
        <v>0.03</v>
      </c>
      <c r="L1924" s="7">
        <f t="shared" ref="L1924:L1987" si="61">IF(I1924="(0) Não",0.2%,3%)</f>
        <v>2E-3</v>
      </c>
      <c r="M1924" s="7">
        <v>3.0000000000000001E-3</v>
      </c>
      <c r="N1924">
        <v>9</v>
      </c>
      <c r="O1924" s="8">
        <v>22.933916850949441</v>
      </c>
      <c r="P1924" s="9">
        <v>22.933916850949441</v>
      </c>
      <c r="Q1924" s="9">
        <v>22.933916850949441</v>
      </c>
      <c r="R1924" s="9">
        <v>25.173745848546066</v>
      </c>
      <c r="S1924" s="9">
        <v>27.641690539343774</v>
      </c>
      <c r="T1924" s="9">
        <v>29.730378573928668</v>
      </c>
      <c r="U1924" s="9">
        <v>36.183590217329723</v>
      </c>
      <c r="V1924" s="9">
        <v>36.183590217329723</v>
      </c>
      <c r="W1924" s="9">
        <v>36.183590217329723</v>
      </c>
      <c r="X1924" s="9">
        <v>43.522810559209468</v>
      </c>
      <c r="Y1924" s="9">
        <v>43.522810559209468</v>
      </c>
      <c r="Z1924" s="9">
        <v>50.960858783530121</v>
      </c>
      <c r="AA1924" s="9">
        <v>50.960858783530121</v>
      </c>
      <c r="AB1924" s="9">
        <v>58.507617678535738</v>
      </c>
      <c r="AC1924" s="9">
        <v>58.507617678535738</v>
      </c>
      <c r="AD1924" s="9">
        <v>68.105109643716474</v>
      </c>
      <c r="AE1924" s="9">
        <v>75.132723269302929</v>
      </c>
      <c r="AF1924" s="9">
        <v>82.290622386277917</v>
      </c>
      <c r="AG1924" s="9">
        <v>82.290622386277917</v>
      </c>
      <c r="AH1924" s="9">
        <v>90.43943145512165</v>
      </c>
      <c r="AI1924" s="9">
        <v>98.380048333692613</v>
      </c>
      <c r="AJ1924" s="9">
        <v>3.0428788910505911</v>
      </c>
    </row>
    <row r="1925" spans="1:36" x14ac:dyDescent="0.25">
      <c r="A1925" t="s">
        <v>5411</v>
      </c>
      <c r="B1925" t="s">
        <v>16</v>
      </c>
      <c r="C1925" t="s">
        <v>17</v>
      </c>
      <c r="D1925">
        <v>44300000</v>
      </c>
      <c r="E1925">
        <v>44319999</v>
      </c>
      <c r="F1925" t="s">
        <v>1722</v>
      </c>
      <c r="G1925" t="str">
        <f t="shared" si="60"/>
        <v>BAI II</v>
      </c>
      <c r="H1925" t="s">
        <v>1700</v>
      </c>
      <c r="I1925" t="s">
        <v>20</v>
      </c>
      <c r="J1925" t="s">
        <v>64</v>
      </c>
      <c r="K1925" s="6">
        <v>0.03</v>
      </c>
      <c r="L1925" s="7">
        <f t="shared" si="61"/>
        <v>2E-3</v>
      </c>
      <c r="M1925" s="7">
        <v>3.0000000000000001E-3</v>
      </c>
      <c r="N1925">
        <v>9</v>
      </c>
      <c r="O1925" s="8">
        <v>22.933916850949441</v>
      </c>
      <c r="P1925" s="9">
        <v>22.933916850949441</v>
      </c>
      <c r="Q1925" s="9">
        <v>22.933916850949441</v>
      </c>
      <c r="R1925" s="9">
        <v>25.173745848546066</v>
      </c>
      <c r="S1925" s="9">
        <v>27.641690539343774</v>
      </c>
      <c r="T1925" s="9">
        <v>29.730378573928668</v>
      </c>
      <c r="U1925" s="9">
        <v>36.183590217329723</v>
      </c>
      <c r="V1925" s="9">
        <v>36.183590217329723</v>
      </c>
      <c r="W1925" s="9">
        <v>36.183590217329723</v>
      </c>
      <c r="X1925" s="9">
        <v>43.522810559209468</v>
      </c>
      <c r="Y1925" s="9">
        <v>43.522810559209468</v>
      </c>
      <c r="Z1925" s="9">
        <v>50.960858783530121</v>
      </c>
      <c r="AA1925" s="9">
        <v>50.960858783530121</v>
      </c>
      <c r="AB1925" s="9">
        <v>58.507617678535738</v>
      </c>
      <c r="AC1925" s="9">
        <v>58.507617678535738</v>
      </c>
      <c r="AD1925" s="9">
        <v>68.105109643716474</v>
      </c>
      <c r="AE1925" s="9">
        <v>75.132723269302929</v>
      </c>
      <c r="AF1925" s="9">
        <v>82.290622386277917</v>
      </c>
      <c r="AG1925" s="9">
        <v>82.290622386277917</v>
      </c>
      <c r="AH1925" s="9">
        <v>90.43943145512165</v>
      </c>
      <c r="AI1925" s="9">
        <v>98.380048333692613</v>
      </c>
      <c r="AJ1925" s="9">
        <v>3.0428788910505911</v>
      </c>
    </row>
    <row r="1926" spans="1:36" x14ac:dyDescent="0.25">
      <c r="A1926" t="s">
        <v>5411</v>
      </c>
      <c r="B1926" t="s">
        <v>16</v>
      </c>
      <c r="C1926" t="s">
        <v>17</v>
      </c>
      <c r="D1926">
        <v>44320000</v>
      </c>
      <c r="E1926">
        <v>44329999</v>
      </c>
      <c r="F1926" t="s">
        <v>1723</v>
      </c>
      <c r="G1926" t="str">
        <f t="shared" si="60"/>
        <v>BAI II</v>
      </c>
      <c r="H1926" t="s">
        <v>1700</v>
      </c>
      <c r="I1926" t="s">
        <v>20</v>
      </c>
      <c r="J1926" t="s">
        <v>64</v>
      </c>
      <c r="K1926" s="6">
        <v>0.03</v>
      </c>
      <c r="L1926" s="7">
        <f t="shared" si="61"/>
        <v>2E-3</v>
      </c>
      <c r="M1926" s="7">
        <v>3.0000000000000001E-3</v>
      </c>
      <c r="N1926">
        <v>9</v>
      </c>
      <c r="O1926" s="8">
        <v>22.933916850949441</v>
      </c>
      <c r="P1926" s="9">
        <v>22.933916850949441</v>
      </c>
      <c r="Q1926" s="9">
        <v>22.933916850949441</v>
      </c>
      <c r="R1926" s="9">
        <v>25.173745848546066</v>
      </c>
      <c r="S1926" s="9">
        <v>27.641690539343774</v>
      </c>
      <c r="T1926" s="9">
        <v>29.730378573928668</v>
      </c>
      <c r="U1926" s="9">
        <v>36.183590217329723</v>
      </c>
      <c r="V1926" s="9">
        <v>36.183590217329723</v>
      </c>
      <c r="W1926" s="9">
        <v>36.183590217329723</v>
      </c>
      <c r="X1926" s="9">
        <v>43.522810559209468</v>
      </c>
      <c r="Y1926" s="9">
        <v>43.522810559209468</v>
      </c>
      <c r="Z1926" s="9">
        <v>50.960858783530121</v>
      </c>
      <c r="AA1926" s="9">
        <v>50.960858783530121</v>
      </c>
      <c r="AB1926" s="9">
        <v>58.507617678535738</v>
      </c>
      <c r="AC1926" s="9">
        <v>58.507617678535738</v>
      </c>
      <c r="AD1926" s="9">
        <v>68.105109643716474</v>
      </c>
      <c r="AE1926" s="9">
        <v>75.132723269302929</v>
      </c>
      <c r="AF1926" s="9">
        <v>82.290622386277917</v>
      </c>
      <c r="AG1926" s="9">
        <v>82.290622386277917</v>
      </c>
      <c r="AH1926" s="9">
        <v>90.43943145512165</v>
      </c>
      <c r="AI1926" s="9">
        <v>98.380048333692613</v>
      </c>
      <c r="AJ1926" s="9">
        <v>3.0428788910505911</v>
      </c>
    </row>
    <row r="1927" spans="1:36" x14ac:dyDescent="0.25">
      <c r="A1927" t="s">
        <v>5411</v>
      </c>
      <c r="B1927" t="s">
        <v>16</v>
      </c>
      <c r="C1927" t="s">
        <v>17</v>
      </c>
      <c r="D1927">
        <v>44330000</v>
      </c>
      <c r="E1927">
        <v>44339999</v>
      </c>
      <c r="F1927" t="s">
        <v>1724</v>
      </c>
      <c r="G1927" t="str">
        <f t="shared" si="60"/>
        <v>BAI II</v>
      </c>
      <c r="H1927" t="s">
        <v>1700</v>
      </c>
      <c r="I1927" t="s">
        <v>20</v>
      </c>
      <c r="J1927" t="s">
        <v>64</v>
      </c>
      <c r="K1927" s="6">
        <v>0.03</v>
      </c>
      <c r="L1927" s="7">
        <f t="shared" si="61"/>
        <v>2E-3</v>
      </c>
      <c r="M1927" s="7">
        <v>3.0000000000000001E-3</v>
      </c>
      <c r="N1927">
        <v>9</v>
      </c>
      <c r="O1927" s="8">
        <v>22.933916850949441</v>
      </c>
      <c r="P1927" s="9">
        <v>22.933916850949441</v>
      </c>
      <c r="Q1927" s="9">
        <v>22.933916850949441</v>
      </c>
      <c r="R1927" s="9">
        <v>25.173745848546066</v>
      </c>
      <c r="S1927" s="9">
        <v>27.641690539343774</v>
      </c>
      <c r="T1927" s="9">
        <v>29.730378573928668</v>
      </c>
      <c r="U1927" s="9">
        <v>36.183590217329723</v>
      </c>
      <c r="V1927" s="9">
        <v>36.183590217329723</v>
      </c>
      <c r="W1927" s="9">
        <v>36.183590217329723</v>
      </c>
      <c r="X1927" s="9">
        <v>43.522810559209468</v>
      </c>
      <c r="Y1927" s="9">
        <v>43.522810559209468</v>
      </c>
      <c r="Z1927" s="9">
        <v>50.960858783530121</v>
      </c>
      <c r="AA1927" s="9">
        <v>50.960858783530121</v>
      </c>
      <c r="AB1927" s="9">
        <v>58.507617678535738</v>
      </c>
      <c r="AC1927" s="9">
        <v>58.507617678535738</v>
      </c>
      <c r="AD1927" s="9">
        <v>68.105109643716474</v>
      </c>
      <c r="AE1927" s="9">
        <v>75.132723269302929</v>
      </c>
      <c r="AF1927" s="9">
        <v>82.290622386277917</v>
      </c>
      <c r="AG1927" s="9">
        <v>82.290622386277917</v>
      </c>
      <c r="AH1927" s="9">
        <v>90.43943145512165</v>
      </c>
      <c r="AI1927" s="9">
        <v>98.380048333692613</v>
      </c>
      <c r="AJ1927" s="9">
        <v>3.0428788910505911</v>
      </c>
    </row>
    <row r="1928" spans="1:36" x14ac:dyDescent="0.25">
      <c r="A1928" t="s">
        <v>5411</v>
      </c>
      <c r="B1928" t="s">
        <v>16</v>
      </c>
      <c r="C1928" t="s">
        <v>17</v>
      </c>
      <c r="D1928">
        <v>44340000</v>
      </c>
      <c r="E1928">
        <v>44344999</v>
      </c>
      <c r="F1928" t="s">
        <v>1725</v>
      </c>
      <c r="G1928" t="str">
        <f t="shared" si="60"/>
        <v>BAI II</v>
      </c>
      <c r="H1928" t="s">
        <v>1700</v>
      </c>
      <c r="I1928" t="s">
        <v>20</v>
      </c>
      <c r="J1928" t="s">
        <v>64</v>
      </c>
      <c r="K1928" s="6">
        <v>0.03</v>
      </c>
      <c r="L1928" s="7">
        <f t="shared" si="61"/>
        <v>2E-3</v>
      </c>
      <c r="M1928" s="7">
        <v>3.0000000000000001E-3</v>
      </c>
      <c r="N1928">
        <v>9</v>
      </c>
      <c r="O1928" s="8">
        <v>22.933916850949441</v>
      </c>
      <c r="P1928" s="9">
        <v>22.933916850949441</v>
      </c>
      <c r="Q1928" s="9">
        <v>22.933916850949441</v>
      </c>
      <c r="R1928" s="9">
        <v>25.173745848546066</v>
      </c>
      <c r="S1928" s="9">
        <v>27.641690539343774</v>
      </c>
      <c r="T1928" s="9">
        <v>29.730378573928668</v>
      </c>
      <c r="U1928" s="9">
        <v>36.183590217329723</v>
      </c>
      <c r="V1928" s="9">
        <v>36.183590217329723</v>
      </c>
      <c r="W1928" s="9">
        <v>36.183590217329723</v>
      </c>
      <c r="X1928" s="9">
        <v>43.522810559209468</v>
      </c>
      <c r="Y1928" s="9">
        <v>43.522810559209468</v>
      </c>
      <c r="Z1928" s="9">
        <v>50.960858783530121</v>
      </c>
      <c r="AA1928" s="9">
        <v>50.960858783530121</v>
      </c>
      <c r="AB1928" s="9">
        <v>58.507617678535738</v>
      </c>
      <c r="AC1928" s="9">
        <v>58.507617678535738</v>
      </c>
      <c r="AD1928" s="9">
        <v>68.105109643716474</v>
      </c>
      <c r="AE1928" s="9">
        <v>75.132723269302929</v>
      </c>
      <c r="AF1928" s="9">
        <v>82.290622386277917</v>
      </c>
      <c r="AG1928" s="9">
        <v>82.290622386277917</v>
      </c>
      <c r="AH1928" s="9">
        <v>90.43943145512165</v>
      </c>
      <c r="AI1928" s="9">
        <v>98.380048333692613</v>
      </c>
      <c r="AJ1928" s="9">
        <v>3.0428788910505911</v>
      </c>
    </row>
    <row r="1929" spans="1:36" x14ac:dyDescent="0.25">
      <c r="A1929" t="s">
        <v>5411</v>
      </c>
      <c r="B1929" t="s">
        <v>16</v>
      </c>
      <c r="C1929" t="s">
        <v>17</v>
      </c>
      <c r="D1929">
        <v>44345000</v>
      </c>
      <c r="E1929">
        <v>44349999</v>
      </c>
      <c r="F1929" t="s">
        <v>1726</v>
      </c>
      <c r="G1929" t="str">
        <f t="shared" si="60"/>
        <v>BAI II</v>
      </c>
      <c r="H1929" t="s">
        <v>1700</v>
      </c>
      <c r="I1929" t="s">
        <v>20</v>
      </c>
      <c r="J1929" t="s">
        <v>64</v>
      </c>
      <c r="K1929" s="6">
        <v>0.03</v>
      </c>
      <c r="L1929" s="7">
        <f t="shared" si="61"/>
        <v>2E-3</v>
      </c>
      <c r="M1929" s="7">
        <v>3.0000000000000001E-3</v>
      </c>
      <c r="N1929">
        <v>9</v>
      </c>
      <c r="O1929" s="8">
        <v>22.933916850949441</v>
      </c>
      <c r="P1929" s="9">
        <v>22.933916850949441</v>
      </c>
      <c r="Q1929" s="9">
        <v>22.933916850949441</v>
      </c>
      <c r="R1929" s="9">
        <v>25.173745848546066</v>
      </c>
      <c r="S1929" s="9">
        <v>27.641690539343774</v>
      </c>
      <c r="T1929" s="9">
        <v>29.730378573928668</v>
      </c>
      <c r="U1929" s="9">
        <v>36.183590217329723</v>
      </c>
      <c r="V1929" s="9">
        <v>36.183590217329723</v>
      </c>
      <c r="W1929" s="9">
        <v>36.183590217329723</v>
      </c>
      <c r="X1929" s="9">
        <v>43.522810559209468</v>
      </c>
      <c r="Y1929" s="9">
        <v>43.522810559209468</v>
      </c>
      <c r="Z1929" s="9">
        <v>50.960858783530121</v>
      </c>
      <c r="AA1929" s="9">
        <v>50.960858783530121</v>
      </c>
      <c r="AB1929" s="9">
        <v>58.507617678535738</v>
      </c>
      <c r="AC1929" s="9">
        <v>58.507617678535738</v>
      </c>
      <c r="AD1929" s="9">
        <v>68.105109643716474</v>
      </c>
      <c r="AE1929" s="9">
        <v>75.132723269302929</v>
      </c>
      <c r="AF1929" s="9">
        <v>82.290622386277917</v>
      </c>
      <c r="AG1929" s="9">
        <v>82.290622386277917</v>
      </c>
      <c r="AH1929" s="9">
        <v>90.43943145512165</v>
      </c>
      <c r="AI1929" s="9">
        <v>98.380048333692613</v>
      </c>
      <c r="AJ1929" s="9">
        <v>3.0428788910505911</v>
      </c>
    </row>
    <row r="1930" spans="1:36" x14ac:dyDescent="0.25">
      <c r="A1930" t="s">
        <v>5411</v>
      </c>
      <c r="B1930" t="s">
        <v>16</v>
      </c>
      <c r="C1930" t="s">
        <v>17</v>
      </c>
      <c r="D1930">
        <v>44350000</v>
      </c>
      <c r="E1930">
        <v>44359999</v>
      </c>
      <c r="F1930" t="s">
        <v>1727</v>
      </c>
      <c r="G1930" t="str">
        <f t="shared" si="60"/>
        <v>BAI II</v>
      </c>
      <c r="H1930" t="s">
        <v>1700</v>
      </c>
      <c r="I1930" t="s">
        <v>20</v>
      </c>
      <c r="J1930" t="s">
        <v>64</v>
      </c>
      <c r="K1930" s="6">
        <v>0.03</v>
      </c>
      <c r="L1930" s="7">
        <f t="shared" si="61"/>
        <v>2E-3</v>
      </c>
      <c r="M1930" s="7">
        <v>3.0000000000000001E-3</v>
      </c>
      <c r="N1930">
        <v>9</v>
      </c>
      <c r="O1930" s="8">
        <v>22.933916850949441</v>
      </c>
      <c r="P1930" s="9">
        <v>22.933916850949441</v>
      </c>
      <c r="Q1930" s="9">
        <v>22.933916850949441</v>
      </c>
      <c r="R1930" s="9">
        <v>25.173745848546066</v>
      </c>
      <c r="S1930" s="9">
        <v>27.641690539343774</v>
      </c>
      <c r="T1930" s="9">
        <v>29.730378573928668</v>
      </c>
      <c r="U1930" s="9">
        <v>36.183590217329723</v>
      </c>
      <c r="V1930" s="9">
        <v>36.183590217329723</v>
      </c>
      <c r="W1930" s="9">
        <v>36.183590217329723</v>
      </c>
      <c r="X1930" s="9">
        <v>43.522810559209468</v>
      </c>
      <c r="Y1930" s="9">
        <v>43.522810559209468</v>
      </c>
      <c r="Z1930" s="9">
        <v>50.960858783530121</v>
      </c>
      <c r="AA1930" s="9">
        <v>50.960858783530121</v>
      </c>
      <c r="AB1930" s="9">
        <v>58.507617678535738</v>
      </c>
      <c r="AC1930" s="9">
        <v>58.507617678535738</v>
      </c>
      <c r="AD1930" s="9">
        <v>68.105109643716474</v>
      </c>
      <c r="AE1930" s="9">
        <v>75.132723269302929</v>
      </c>
      <c r="AF1930" s="9">
        <v>82.290622386277917</v>
      </c>
      <c r="AG1930" s="9">
        <v>82.290622386277917</v>
      </c>
      <c r="AH1930" s="9">
        <v>90.43943145512165</v>
      </c>
      <c r="AI1930" s="9">
        <v>98.380048333692613</v>
      </c>
      <c r="AJ1930" s="9">
        <v>3.0428788910505911</v>
      </c>
    </row>
    <row r="1931" spans="1:36" x14ac:dyDescent="0.25">
      <c r="A1931" t="s">
        <v>5411</v>
      </c>
      <c r="B1931" t="s">
        <v>16</v>
      </c>
      <c r="C1931" t="s">
        <v>17</v>
      </c>
      <c r="D1931">
        <v>44360000</v>
      </c>
      <c r="E1931">
        <v>44379999</v>
      </c>
      <c r="F1931" t="s">
        <v>1728</v>
      </c>
      <c r="G1931" t="str">
        <f t="shared" si="60"/>
        <v>BAI II</v>
      </c>
      <c r="H1931" t="s">
        <v>1700</v>
      </c>
      <c r="I1931" t="s">
        <v>20</v>
      </c>
      <c r="J1931" t="s">
        <v>64</v>
      </c>
      <c r="K1931" s="6">
        <v>0.03</v>
      </c>
      <c r="L1931" s="7">
        <f t="shared" si="61"/>
        <v>2E-3</v>
      </c>
      <c r="M1931" s="7">
        <v>3.0000000000000001E-3</v>
      </c>
      <c r="N1931">
        <v>9</v>
      </c>
      <c r="O1931" s="8">
        <v>22.933916850949441</v>
      </c>
      <c r="P1931" s="9">
        <v>22.933916850949441</v>
      </c>
      <c r="Q1931" s="9">
        <v>22.933916850949441</v>
      </c>
      <c r="R1931" s="9">
        <v>25.173745848546066</v>
      </c>
      <c r="S1931" s="9">
        <v>27.641690539343774</v>
      </c>
      <c r="T1931" s="9">
        <v>29.730378573928668</v>
      </c>
      <c r="U1931" s="9">
        <v>36.183590217329723</v>
      </c>
      <c r="V1931" s="9">
        <v>36.183590217329723</v>
      </c>
      <c r="W1931" s="9">
        <v>36.183590217329723</v>
      </c>
      <c r="X1931" s="9">
        <v>43.522810559209468</v>
      </c>
      <c r="Y1931" s="9">
        <v>43.522810559209468</v>
      </c>
      <c r="Z1931" s="9">
        <v>50.960858783530121</v>
      </c>
      <c r="AA1931" s="9">
        <v>50.960858783530121</v>
      </c>
      <c r="AB1931" s="9">
        <v>58.507617678535738</v>
      </c>
      <c r="AC1931" s="9">
        <v>58.507617678535738</v>
      </c>
      <c r="AD1931" s="9">
        <v>68.105109643716474</v>
      </c>
      <c r="AE1931" s="9">
        <v>75.132723269302929</v>
      </c>
      <c r="AF1931" s="9">
        <v>82.290622386277917</v>
      </c>
      <c r="AG1931" s="9">
        <v>82.290622386277917</v>
      </c>
      <c r="AH1931" s="9">
        <v>90.43943145512165</v>
      </c>
      <c r="AI1931" s="9">
        <v>98.380048333692613</v>
      </c>
      <c r="AJ1931" s="9">
        <v>3.0428788910505911</v>
      </c>
    </row>
    <row r="1932" spans="1:36" x14ac:dyDescent="0.25">
      <c r="A1932" t="s">
        <v>5411</v>
      </c>
      <c r="B1932" t="s">
        <v>16</v>
      </c>
      <c r="C1932" t="s">
        <v>17</v>
      </c>
      <c r="D1932">
        <v>44380000</v>
      </c>
      <c r="E1932">
        <v>44399999</v>
      </c>
      <c r="F1932" t="s">
        <v>1729</v>
      </c>
      <c r="G1932" t="str">
        <f t="shared" si="60"/>
        <v>BAI II</v>
      </c>
      <c r="H1932" t="s">
        <v>1700</v>
      </c>
      <c r="I1932" t="s">
        <v>20</v>
      </c>
      <c r="J1932" t="s">
        <v>64</v>
      </c>
      <c r="K1932" s="6">
        <v>0.03</v>
      </c>
      <c r="L1932" s="7">
        <f t="shared" si="61"/>
        <v>2E-3</v>
      </c>
      <c r="M1932" s="7">
        <v>3.0000000000000001E-3</v>
      </c>
      <c r="N1932">
        <v>9</v>
      </c>
      <c r="O1932" s="8">
        <v>22.933916850949441</v>
      </c>
      <c r="P1932" s="9">
        <v>22.933916850949441</v>
      </c>
      <c r="Q1932" s="9">
        <v>22.933916850949441</v>
      </c>
      <c r="R1932" s="9">
        <v>25.173745848546066</v>
      </c>
      <c r="S1932" s="9">
        <v>27.641690539343774</v>
      </c>
      <c r="T1932" s="9">
        <v>29.730378573928668</v>
      </c>
      <c r="U1932" s="9">
        <v>36.183590217329723</v>
      </c>
      <c r="V1932" s="9">
        <v>36.183590217329723</v>
      </c>
      <c r="W1932" s="9">
        <v>36.183590217329723</v>
      </c>
      <c r="X1932" s="9">
        <v>43.522810559209468</v>
      </c>
      <c r="Y1932" s="9">
        <v>43.522810559209468</v>
      </c>
      <c r="Z1932" s="9">
        <v>50.960858783530121</v>
      </c>
      <c r="AA1932" s="9">
        <v>50.960858783530121</v>
      </c>
      <c r="AB1932" s="9">
        <v>58.507617678535738</v>
      </c>
      <c r="AC1932" s="9">
        <v>58.507617678535738</v>
      </c>
      <c r="AD1932" s="9">
        <v>68.105109643716474</v>
      </c>
      <c r="AE1932" s="9">
        <v>75.132723269302929</v>
      </c>
      <c r="AF1932" s="9">
        <v>82.290622386277917</v>
      </c>
      <c r="AG1932" s="9">
        <v>82.290622386277917</v>
      </c>
      <c r="AH1932" s="9">
        <v>90.43943145512165</v>
      </c>
      <c r="AI1932" s="9">
        <v>98.380048333692613</v>
      </c>
      <c r="AJ1932" s="9">
        <v>3.0428788910505911</v>
      </c>
    </row>
    <row r="1933" spans="1:36" x14ac:dyDescent="0.25">
      <c r="A1933" t="s">
        <v>5411</v>
      </c>
      <c r="B1933" t="s">
        <v>16</v>
      </c>
      <c r="C1933" t="s">
        <v>17</v>
      </c>
      <c r="D1933">
        <v>44400000</v>
      </c>
      <c r="E1933">
        <v>44419999</v>
      </c>
      <c r="F1933" t="s">
        <v>1730</v>
      </c>
      <c r="G1933" t="str">
        <f t="shared" si="60"/>
        <v>BAI II</v>
      </c>
      <c r="H1933" t="s">
        <v>1700</v>
      </c>
      <c r="I1933" t="s">
        <v>20</v>
      </c>
      <c r="J1933" t="s">
        <v>64</v>
      </c>
      <c r="K1933" s="6">
        <v>0.03</v>
      </c>
      <c r="L1933" s="7">
        <f t="shared" si="61"/>
        <v>2E-3</v>
      </c>
      <c r="M1933" s="7">
        <v>3.0000000000000001E-3</v>
      </c>
      <c r="N1933">
        <v>9</v>
      </c>
      <c r="O1933" s="8">
        <v>22.933916850949441</v>
      </c>
      <c r="P1933" s="9">
        <v>22.933916850949441</v>
      </c>
      <c r="Q1933" s="9">
        <v>22.933916850949441</v>
      </c>
      <c r="R1933" s="9">
        <v>25.173745848546066</v>
      </c>
      <c r="S1933" s="9">
        <v>27.641690539343774</v>
      </c>
      <c r="T1933" s="9">
        <v>29.730378573928668</v>
      </c>
      <c r="U1933" s="9">
        <v>36.183590217329723</v>
      </c>
      <c r="V1933" s="9">
        <v>36.183590217329723</v>
      </c>
      <c r="W1933" s="9">
        <v>36.183590217329723</v>
      </c>
      <c r="X1933" s="9">
        <v>43.522810559209468</v>
      </c>
      <c r="Y1933" s="9">
        <v>43.522810559209468</v>
      </c>
      <c r="Z1933" s="9">
        <v>50.960858783530121</v>
      </c>
      <c r="AA1933" s="9">
        <v>50.960858783530121</v>
      </c>
      <c r="AB1933" s="9">
        <v>58.507617678535738</v>
      </c>
      <c r="AC1933" s="9">
        <v>58.507617678535738</v>
      </c>
      <c r="AD1933" s="9">
        <v>68.105109643716474</v>
      </c>
      <c r="AE1933" s="9">
        <v>75.132723269302929</v>
      </c>
      <c r="AF1933" s="9">
        <v>82.290622386277917</v>
      </c>
      <c r="AG1933" s="9">
        <v>82.290622386277917</v>
      </c>
      <c r="AH1933" s="9">
        <v>90.43943145512165</v>
      </c>
      <c r="AI1933" s="9">
        <v>98.380048333692613</v>
      </c>
      <c r="AJ1933" s="9">
        <v>3.0428788910505911</v>
      </c>
    </row>
    <row r="1934" spans="1:36" x14ac:dyDescent="0.25">
      <c r="A1934" t="s">
        <v>5411</v>
      </c>
      <c r="B1934" t="s">
        <v>16</v>
      </c>
      <c r="C1934" t="s">
        <v>17</v>
      </c>
      <c r="D1934">
        <v>44420000</v>
      </c>
      <c r="E1934">
        <v>44449999</v>
      </c>
      <c r="F1934" t="s">
        <v>1731</v>
      </c>
      <c r="G1934" t="str">
        <f t="shared" si="60"/>
        <v>BAI II</v>
      </c>
      <c r="H1934" t="s">
        <v>1700</v>
      </c>
      <c r="I1934" t="s">
        <v>20</v>
      </c>
      <c r="J1934" t="s">
        <v>64</v>
      </c>
      <c r="K1934" s="6">
        <v>0.03</v>
      </c>
      <c r="L1934" s="7">
        <f t="shared" si="61"/>
        <v>2E-3</v>
      </c>
      <c r="M1934" s="7">
        <v>3.0000000000000001E-3</v>
      </c>
      <c r="N1934">
        <v>9</v>
      </c>
      <c r="O1934" s="8">
        <v>22.933916850949441</v>
      </c>
      <c r="P1934" s="9">
        <v>22.933916850949441</v>
      </c>
      <c r="Q1934" s="9">
        <v>22.933916850949441</v>
      </c>
      <c r="R1934" s="9">
        <v>25.173745848546066</v>
      </c>
      <c r="S1934" s="9">
        <v>27.641690539343774</v>
      </c>
      <c r="T1934" s="9">
        <v>29.730378573928668</v>
      </c>
      <c r="U1934" s="9">
        <v>36.183590217329723</v>
      </c>
      <c r="V1934" s="9">
        <v>36.183590217329723</v>
      </c>
      <c r="W1934" s="9">
        <v>36.183590217329723</v>
      </c>
      <c r="X1934" s="9">
        <v>43.522810559209468</v>
      </c>
      <c r="Y1934" s="9">
        <v>43.522810559209468</v>
      </c>
      <c r="Z1934" s="9">
        <v>50.960858783530121</v>
      </c>
      <c r="AA1934" s="9">
        <v>50.960858783530121</v>
      </c>
      <c r="AB1934" s="9">
        <v>58.507617678535738</v>
      </c>
      <c r="AC1934" s="9">
        <v>58.507617678535738</v>
      </c>
      <c r="AD1934" s="9">
        <v>68.105109643716474</v>
      </c>
      <c r="AE1934" s="9">
        <v>75.132723269302929</v>
      </c>
      <c r="AF1934" s="9">
        <v>82.290622386277917</v>
      </c>
      <c r="AG1934" s="9">
        <v>82.290622386277917</v>
      </c>
      <c r="AH1934" s="9">
        <v>90.43943145512165</v>
      </c>
      <c r="AI1934" s="9">
        <v>98.380048333692613</v>
      </c>
      <c r="AJ1934" s="9">
        <v>3.0428788910505911</v>
      </c>
    </row>
    <row r="1935" spans="1:36" x14ac:dyDescent="0.25">
      <c r="A1935" t="s">
        <v>5411</v>
      </c>
      <c r="B1935" t="s">
        <v>16</v>
      </c>
      <c r="C1935" t="s">
        <v>17</v>
      </c>
      <c r="D1935">
        <v>44450000</v>
      </c>
      <c r="E1935">
        <v>44459999</v>
      </c>
      <c r="F1935" t="s">
        <v>1732</v>
      </c>
      <c r="G1935" t="str">
        <f t="shared" si="60"/>
        <v>BAI II</v>
      </c>
      <c r="H1935" t="s">
        <v>1700</v>
      </c>
      <c r="I1935" t="s">
        <v>20</v>
      </c>
      <c r="J1935" t="s">
        <v>64</v>
      </c>
      <c r="K1935" s="6">
        <v>0.03</v>
      </c>
      <c r="L1935" s="7">
        <f t="shared" si="61"/>
        <v>2E-3</v>
      </c>
      <c r="M1935" s="7">
        <v>3.0000000000000001E-3</v>
      </c>
      <c r="N1935">
        <v>9</v>
      </c>
      <c r="O1935" s="8">
        <v>22.933916850949441</v>
      </c>
      <c r="P1935" s="9">
        <v>22.933916850949441</v>
      </c>
      <c r="Q1935" s="9">
        <v>22.933916850949441</v>
      </c>
      <c r="R1935" s="9">
        <v>25.173745848546066</v>
      </c>
      <c r="S1935" s="9">
        <v>27.641690539343774</v>
      </c>
      <c r="T1935" s="9">
        <v>29.730378573928668</v>
      </c>
      <c r="U1935" s="9">
        <v>36.183590217329723</v>
      </c>
      <c r="V1935" s="9">
        <v>36.183590217329723</v>
      </c>
      <c r="W1935" s="9">
        <v>36.183590217329723</v>
      </c>
      <c r="X1935" s="9">
        <v>43.522810559209468</v>
      </c>
      <c r="Y1935" s="9">
        <v>43.522810559209468</v>
      </c>
      <c r="Z1935" s="9">
        <v>50.960858783530121</v>
      </c>
      <c r="AA1935" s="9">
        <v>50.960858783530121</v>
      </c>
      <c r="AB1935" s="9">
        <v>58.507617678535738</v>
      </c>
      <c r="AC1935" s="9">
        <v>58.507617678535738</v>
      </c>
      <c r="AD1935" s="9">
        <v>68.105109643716474</v>
      </c>
      <c r="AE1935" s="9">
        <v>75.132723269302929</v>
      </c>
      <c r="AF1935" s="9">
        <v>82.290622386277917</v>
      </c>
      <c r="AG1935" s="9">
        <v>82.290622386277917</v>
      </c>
      <c r="AH1935" s="9">
        <v>90.43943145512165</v>
      </c>
      <c r="AI1935" s="9">
        <v>98.380048333692613</v>
      </c>
      <c r="AJ1935" s="9">
        <v>3.0428788910505911</v>
      </c>
    </row>
    <row r="1936" spans="1:36" x14ac:dyDescent="0.25">
      <c r="A1936" t="s">
        <v>5411</v>
      </c>
      <c r="B1936" t="s">
        <v>16</v>
      </c>
      <c r="C1936" t="s">
        <v>17</v>
      </c>
      <c r="D1936">
        <v>44460000</v>
      </c>
      <c r="E1936">
        <v>44469999</v>
      </c>
      <c r="F1936" t="s">
        <v>1733</v>
      </c>
      <c r="G1936" t="str">
        <f t="shared" si="60"/>
        <v>BAI II</v>
      </c>
      <c r="H1936" t="s">
        <v>1700</v>
      </c>
      <c r="I1936" t="s">
        <v>20</v>
      </c>
      <c r="J1936" t="s">
        <v>64</v>
      </c>
      <c r="K1936" s="6">
        <v>0.03</v>
      </c>
      <c r="L1936" s="7">
        <f t="shared" si="61"/>
        <v>2E-3</v>
      </c>
      <c r="M1936" s="7">
        <v>3.0000000000000001E-3</v>
      </c>
      <c r="N1936">
        <v>9</v>
      </c>
      <c r="O1936" s="8">
        <v>22.933916850949441</v>
      </c>
      <c r="P1936" s="9">
        <v>22.933916850949441</v>
      </c>
      <c r="Q1936" s="9">
        <v>22.933916850949441</v>
      </c>
      <c r="R1936" s="9">
        <v>25.173745848546066</v>
      </c>
      <c r="S1936" s="9">
        <v>27.641690539343774</v>
      </c>
      <c r="T1936" s="9">
        <v>29.730378573928668</v>
      </c>
      <c r="U1936" s="9">
        <v>36.183590217329723</v>
      </c>
      <c r="V1936" s="9">
        <v>36.183590217329723</v>
      </c>
      <c r="W1936" s="9">
        <v>36.183590217329723</v>
      </c>
      <c r="X1936" s="9">
        <v>43.522810559209468</v>
      </c>
      <c r="Y1936" s="9">
        <v>43.522810559209468</v>
      </c>
      <c r="Z1936" s="9">
        <v>50.960858783530121</v>
      </c>
      <c r="AA1936" s="9">
        <v>50.960858783530121</v>
      </c>
      <c r="AB1936" s="9">
        <v>58.507617678535738</v>
      </c>
      <c r="AC1936" s="9">
        <v>58.507617678535738</v>
      </c>
      <c r="AD1936" s="9">
        <v>68.105109643716474</v>
      </c>
      <c r="AE1936" s="9">
        <v>75.132723269302929</v>
      </c>
      <c r="AF1936" s="9">
        <v>82.290622386277917</v>
      </c>
      <c r="AG1936" s="9">
        <v>82.290622386277917</v>
      </c>
      <c r="AH1936" s="9">
        <v>90.43943145512165</v>
      </c>
      <c r="AI1936" s="9">
        <v>98.380048333692613</v>
      </c>
      <c r="AJ1936" s="9">
        <v>3.0428788910505911</v>
      </c>
    </row>
    <row r="1937" spans="1:36" x14ac:dyDescent="0.25">
      <c r="A1937" t="s">
        <v>5411</v>
      </c>
      <c r="B1937" t="s">
        <v>16</v>
      </c>
      <c r="C1937" t="s">
        <v>17</v>
      </c>
      <c r="D1937">
        <v>44470000</v>
      </c>
      <c r="E1937">
        <v>44479999</v>
      </c>
      <c r="F1937" t="s">
        <v>491</v>
      </c>
      <c r="G1937" t="str">
        <f t="shared" si="60"/>
        <v>BAI II</v>
      </c>
      <c r="H1937" t="s">
        <v>1700</v>
      </c>
      <c r="I1937" t="s">
        <v>20</v>
      </c>
      <c r="J1937" t="s">
        <v>64</v>
      </c>
      <c r="K1937" s="6">
        <v>0.03</v>
      </c>
      <c r="L1937" s="7">
        <f t="shared" si="61"/>
        <v>2E-3</v>
      </c>
      <c r="M1937" s="7">
        <v>3.0000000000000001E-3</v>
      </c>
      <c r="N1937">
        <v>9</v>
      </c>
      <c r="O1937" s="8">
        <v>22.933916850949441</v>
      </c>
      <c r="P1937" s="9">
        <v>22.933916850949441</v>
      </c>
      <c r="Q1937" s="9">
        <v>22.933916850949441</v>
      </c>
      <c r="R1937" s="9">
        <v>25.173745848546066</v>
      </c>
      <c r="S1937" s="9">
        <v>27.641690539343774</v>
      </c>
      <c r="T1937" s="9">
        <v>29.730378573928668</v>
      </c>
      <c r="U1937" s="9">
        <v>36.183590217329723</v>
      </c>
      <c r="V1937" s="9">
        <v>36.183590217329723</v>
      </c>
      <c r="W1937" s="9">
        <v>36.183590217329723</v>
      </c>
      <c r="X1937" s="9">
        <v>43.522810559209468</v>
      </c>
      <c r="Y1937" s="9">
        <v>43.522810559209468</v>
      </c>
      <c r="Z1937" s="9">
        <v>50.960858783530121</v>
      </c>
      <c r="AA1937" s="9">
        <v>50.960858783530121</v>
      </c>
      <c r="AB1937" s="9">
        <v>58.507617678535738</v>
      </c>
      <c r="AC1937" s="9">
        <v>58.507617678535738</v>
      </c>
      <c r="AD1937" s="9">
        <v>68.105109643716474</v>
      </c>
      <c r="AE1937" s="9">
        <v>75.132723269302929</v>
      </c>
      <c r="AF1937" s="9">
        <v>82.290622386277917</v>
      </c>
      <c r="AG1937" s="9">
        <v>82.290622386277917</v>
      </c>
      <c r="AH1937" s="9">
        <v>90.43943145512165</v>
      </c>
      <c r="AI1937" s="9">
        <v>98.380048333692613</v>
      </c>
      <c r="AJ1937" s="9">
        <v>3.0428788910505911</v>
      </c>
    </row>
    <row r="1938" spans="1:36" x14ac:dyDescent="0.25">
      <c r="A1938" t="s">
        <v>5411</v>
      </c>
      <c r="B1938" t="s">
        <v>16</v>
      </c>
      <c r="C1938" t="s">
        <v>17</v>
      </c>
      <c r="D1938">
        <v>44480000</v>
      </c>
      <c r="E1938">
        <v>44489999</v>
      </c>
      <c r="F1938" t="s">
        <v>1734</v>
      </c>
      <c r="G1938" t="str">
        <f t="shared" si="60"/>
        <v>BAI II</v>
      </c>
      <c r="H1938" t="s">
        <v>1700</v>
      </c>
      <c r="I1938" t="s">
        <v>20</v>
      </c>
      <c r="J1938" t="s">
        <v>64</v>
      </c>
      <c r="K1938" s="6">
        <v>0.03</v>
      </c>
      <c r="L1938" s="7">
        <f t="shared" si="61"/>
        <v>2E-3</v>
      </c>
      <c r="M1938" s="7">
        <v>3.0000000000000001E-3</v>
      </c>
      <c r="N1938">
        <v>9</v>
      </c>
      <c r="O1938" s="8">
        <v>22.933916850949441</v>
      </c>
      <c r="P1938" s="9">
        <v>22.933916850949441</v>
      </c>
      <c r="Q1938" s="9">
        <v>22.933916850949441</v>
      </c>
      <c r="R1938" s="9">
        <v>25.173745848546066</v>
      </c>
      <c r="S1938" s="9">
        <v>27.641690539343774</v>
      </c>
      <c r="T1938" s="9">
        <v>29.730378573928668</v>
      </c>
      <c r="U1938" s="9">
        <v>36.183590217329723</v>
      </c>
      <c r="V1938" s="9">
        <v>36.183590217329723</v>
      </c>
      <c r="W1938" s="9">
        <v>36.183590217329723</v>
      </c>
      <c r="X1938" s="9">
        <v>43.522810559209468</v>
      </c>
      <c r="Y1938" s="9">
        <v>43.522810559209468</v>
      </c>
      <c r="Z1938" s="9">
        <v>50.960858783530121</v>
      </c>
      <c r="AA1938" s="9">
        <v>50.960858783530121</v>
      </c>
      <c r="AB1938" s="9">
        <v>58.507617678535738</v>
      </c>
      <c r="AC1938" s="9">
        <v>58.507617678535738</v>
      </c>
      <c r="AD1938" s="9">
        <v>68.105109643716474</v>
      </c>
      <c r="AE1938" s="9">
        <v>75.132723269302929</v>
      </c>
      <c r="AF1938" s="9">
        <v>82.290622386277917</v>
      </c>
      <c r="AG1938" s="9">
        <v>82.290622386277917</v>
      </c>
      <c r="AH1938" s="9">
        <v>90.43943145512165</v>
      </c>
      <c r="AI1938" s="9">
        <v>98.380048333692613</v>
      </c>
      <c r="AJ1938" s="9">
        <v>3.0428788910505911</v>
      </c>
    </row>
    <row r="1939" spans="1:36" x14ac:dyDescent="0.25">
      <c r="A1939" t="s">
        <v>5411</v>
      </c>
      <c r="B1939" t="s">
        <v>16</v>
      </c>
      <c r="C1939" t="s">
        <v>17</v>
      </c>
      <c r="D1939">
        <v>44490000</v>
      </c>
      <c r="E1939">
        <v>44499999</v>
      </c>
      <c r="F1939" t="s">
        <v>1735</v>
      </c>
      <c r="G1939" t="str">
        <f t="shared" si="60"/>
        <v>BAI II</v>
      </c>
      <c r="H1939" t="s">
        <v>1700</v>
      </c>
      <c r="I1939" t="s">
        <v>20</v>
      </c>
      <c r="J1939" t="s">
        <v>64</v>
      </c>
      <c r="K1939" s="6">
        <v>0.03</v>
      </c>
      <c r="L1939" s="7">
        <f t="shared" si="61"/>
        <v>2E-3</v>
      </c>
      <c r="M1939" s="7">
        <v>3.0000000000000001E-3</v>
      </c>
      <c r="N1939">
        <v>9</v>
      </c>
      <c r="O1939" s="8">
        <v>22.933916850949441</v>
      </c>
      <c r="P1939" s="9">
        <v>22.933916850949441</v>
      </c>
      <c r="Q1939" s="9">
        <v>22.933916850949441</v>
      </c>
      <c r="R1939" s="9">
        <v>25.173745848546066</v>
      </c>
      <c r="S1939" s="9">
        <v>27.641690539343774</v>
      </c>
      <c r="T1939" s="9">
        <v>29.730378573928668</v>
      </c>
      <c r="U1939" s="9">
        <v>36.183590217329723</v>
      </c>
      <c r="V1939" s="9">
        <v>36.183590217329723</v>
      </c>
      <c r="W1939" s="9">
        <v>36.183590217329723</v>
      </c>
      <c r="X1939" s="9">
        <v>43.522810559209468</v>
      </c>
      <c r="Y1939" s="9">
        <v>43.522810559209468</v>
      </c>
      <c r="Z1939" s="9">
        <v>50.960858783530121</v>
      </c>
      <c r="AA1939" s="9">
        <v>50.960858783530121</v>
      </c>
      <c r="AB1939" s="9">
        <v>58.507617678535738</v>
      </c>
      <c r="AC1939" s="9">
        <v>58.507617678535738</v>
      </c>
      <c r="AD1939" s="9">
        <v>68.105109643716474</v>
      </c>
      <c r="AE1939" s="9">
        <v>75.132723269302929</v>
      </c>
      <c r="AF1939" s="9">
        <v>82.290622386277917</v>
      </c>
      <c r="AG1939" s="9">
        <v>82.290622386277917</v>
      </c>
      <c r="AH1939" s="9">
        <v>90.43943145512165</v>
      </c>
      <c r="AI1939" s="9">
        <v>98.380048333692613</v>
      </c>
      <c r="AJ1939" s="9">
        <v>3.0428788910505911</v>
      </c>
    </row>
    <row r="1940" spans="1:36" x14ac:dyDescent="0.25">
      <c r="A1940" t="s">
        <v>5411</v>
      </c>
      <c r="B1940" t="s">
        <v>16</v>
      </c>
      <c r="C1940" t="s">
        <v>17</v>
      </c>
      <c r="D1940">
        <v>44500000</v>
      </c>
      <c r="E1940">
        <v>44519999</v>
      </c>
      <c r="F1940" t="s">
        <v>1736</v>
      </c>
      <c r="G1940" t="str">
        <f t="shared" si="60"/>
        <v>BAI II</v>
      </c>
      <c r="H1940" t="s">
        <v>1700</v>
      </c>
      <c r="I1940" t="s">
        <v>20</v>
      </c>
      <c r="J1940" t="s">
        <v>64</v>
      </c>
      <c r="K1940" s="6">
        <v>0.03</v>
      </c>
      <c r="L1940" s="7">
        <f t="shared" si="61"/>
        <v>2E-3</v>
      </c>
      <c r="M1940" s="7">
        <v>3.0000000000000001E-3</v>
      </c>
      <c r="N1940">
        <v>9</v>
      </c>
      <c r="O1940" s="8">
        <v>22.933916850949441</v>
      </c>
      <c r="P1940" s="9">
        <v>22.933916850949441</v>
      </c>
      <c r="Q1940" s="9">
        <v>22.933916850949441</v>
      </c>
      <c r="R1940" s="9">
        <v>25.173745848546066</v>
      </c>
      <c r="S1940" s="9">
        <v>27.641690539343774</v>
      </c>
      <c r="T1940" s="9">
        <v>29.730378573928668</v>
      </c>
      <c r="U1940" s="9">
        <v>36.183590217329723</v>
      </c>
      <c r="V1940" s="9">
        <v>36.183590217329723</v>
      </c>
      <c r="W1940" s="9">
        <v>36.183590217329723</v>
      </c>
      <c r="X1940" s="9">
        <v>43.522810559209468</v>
      </c>
      <c r="Y1940" s="9">
        <v>43.522810559209468</v>
      </c>
      <c r="Z1940" s="9">
        <v>50.960858783530121</v>
      </c>
      <c r="AA1940" s="9">
        <v>50.960858783530121</v>
      </c>
      <c r="AB1940" s="9">
        <v>58.507617678535738</v>
      </c>
      <c r="AC1940" s="9">
        <v>58.507617678535738</v>
      </c>
      <c r="AD1940" s="9">
        <v>68.105109643716474</v>
      </c>
      <c r="AE1940" s="9">
        <v>75.132723269302929</v>
      </c>
      <c r="AF1940" s="9">
        <v>82.290622386277917</v>
      </c>
      <c r="AG1940" s="9">
        <v>82.290622386277917</v>
      </c>
      <c r="AH1940" s="9">
        <v>90.43943145512165</v>
      </c>
      <c r="AI1940" s="9">
        <v>98.380048333692613</v>
      </c>
      <c r="AJ1940" s="9">
        <v>3.0428788910505911</v>
      </c>
    </row>
    <row r="1941" spans="1:36" x14ac:dyDescent="0.25">
      <c r="A1941" t="s">
        <v>5411</v>
      </c>
      <c r="B1941" t="s">
        <v>16</v>
      </c>
      <c r="C1941" t="s">
        <v>17</v>
      </c>
      <c r="D1941">
        <v>44520000</v>
      </c>
      <c r="E1941">
        <v>44529999</v>
      </c>
      <c r="F1941" t="s">
        <v>1737</v>
      </c>
      <c r="G1941" t="str">
        <f t="shared" si="60"/>
        <v>BAI II</v>
      </c>
      <c r="H1941" t="s">
        <v>1700</v>
      </c>
      <c r="I1941" t="s">
        <v>20</v>
      </c>
      <c r="J1941" t="s">
        <v>64</v>
      </c>
      <c r="K1941" s="6">
        <v>0.03</v>
      </c>
      <c r="L1941" s="7">
        <f t="shared" si="61"/>
        <v>2E-3</v>
      </c>
      <c r="M1941" s="7">
        <v>3.0000000000000001E-3</v>
      </c>
      <c r="N1941">
        <v>9</v>
      </c>
      <c r="O1941" s="8">
        <v>22.933916850949441</v>
      </c>
      <c r="P1941" s="9">
        <v>22.933916850949441</v>
      </c>
      <c r="Q1941" s="9">
        <v>22.933916850949441</v>
      </c>
      <c r="R1941" s="9">
        <v>25.173745848546066</v>
      </c>
      <c r="S1941" s="9">
        <v>27.641690539343774</v>
      </c>
      <c r="T1941" s="9">
        <v>29.730378573928668</v>
      </c>
      <c r="U1941" s="9">
        <v>36.183590217329723</v>
      </c>
      <c r="V1941" s="9">
        <v>36.183590217329723</v>
      </c>
      <c r="W1941" s="9">
        <v>36.183590217329723</v>
      </c>
      <c r="X1941" s="9">
        <v>43.522810559209468</v>
      </c>
      <c r="Y1941" s="9">
        <v>43.522810559209468</v>
      </c>
      <c r="Z1941" s="9">
        <v>50.960858783530121</v>
      </c>
      <c r="AA1941" s="9">
        <v>50.960858783530121</v>
      </c>
      <c r="AB1941" s="9">
        <v>58.507617678535738</v>
      </c>
      <c r="AC1941" s="9">
        <v>58.507617678535738</v>
      </c>
      <c r="AD1941" s="9">
        <v>68.105109643716474</v>
      </c>
      <c r="AE1941" s="9">
        <v>75.132723269302929</v>
      </c>
      <c r="AF1941" s="9">
        <v>82.290622386277917</v>
      </c>
      <c r="AG1941" s="9">
        <v>82.290622386277917</v>
      </c>
      <c r="AH1941" s="9">
        <v>90.43943145512165</v>
      </c>
      <c r="AI1941" s="9">
        <v>98.380048333692613</v>
      </c>
      <c r="AJ1941" s="9">
        <v>3.0428788910505911</v>
      </c>
    </row>
    <row r="1942" spans="1:36" x14ac:dyDescent="0.25">
      <c r="A1942" t="s">
        <v>5411</v>
      </c>
      <c r="B1942" t="s">
        <v>16</v>
      </c>
      <c r="C1942" t="s">
        <v>17</v>
      </c>
      <c r="D1942">
        <v>44530000</v>
      </c>
      <c r="E1942">
        <v>44539999</v>
      </c>
      <c r="F1942" t="s">
        <v>1738</v>
      </c>
      <c r="G1942" t="str">
        <f t="shared" si="60"/>
        <v>BAI II</v>
      </c>
      <c r="H1942" t="s">
        <v>1700</v>
      </c>
      <c r="I1942" t="s">
        <v>20</v>
      </c>
      <c r="J1942" t="s">
        <v>64</v>
      </c>
      <c r="K1942" s="6">
        <v>0.03</v>
      </c>
      <c r="L1942" s="7">
        <f t="shared" si="61"/>
        <v>2E-3</v>
      </c>
      <c r="M1942" s="7">
        <v>3.0000000000000001E-3</v>
      </c>
      <c r="N1942">
        <v>9</v>
      </c>
      <c r="O1942" s="8">
        <v>22.933916850949441</v>
      </c>
      <c r="P1942" s="9">
        <v>22.933916850949441</v>
      </c>
      <c r="Q1942" s="9">
        <v>22.933916850949441</v>
      </c>
      <c r="R1942" s="9">
        <v>25.173745848546066</v>
      </c>
      <c r="S1942" s="9">
        <v>27.641690539343774</v>
      </c>
      <c r="T1942" s="9">
        <v>29.730378573928668</v>
      </c>
      <c r="U1942" s="9">
        <v>36.183590217329723</v>
      </c>
      <c r="V1942" s="9">
        <v>36.183590217329723</v>
      </c>
      <c r="W1942" s="9">
        <v>36.183590217329723</v>
      </c>
      <c r="X1942" s="9">
        <v>43.522810559209468</v>
      </c>
      <c r="Y1942" s="9">
        <v>43.522810559209468</v>
      </c>
      <c r="Z1942" s="9">
        <v>50.960858783530121</v>
      </c>
      <c r="AA1942" s="9">
        <v>50.960858783530121</v>
      </c>
      <c r="AB1942" s="9">
        <v>58.507617678535738</v>
      </c>
      <c r="AC1942" s="9">
        <v>58.507617678535738</v>
      </c>
      <c r="AD1942" s="9">
        <v>68.105109643716474</v>
      </c>
      <c r="AE1942" s="9">
        <v>75.132723269302929</v>
      </c>
      <c r="AF1942" s="9">
        <v>82.290622386277917</v>
      </c>
      <c r="AG1942" s="9">
        <v>82.290622386277917</v>
      </c>
      <c r="AH1942" s="9">
        <v>90.43943145512165</v>
      </c>
      <c r="AI1942" s="9">
        <v>98.380048333692613</v>
      </c>
      <c r="AJ1942" s="9">
        <v>3.0428788910505911</v>
      </c>
    </row>
    <row r="1943" spans="1:36" x14ac:dyDescent="0.25">
      <c r="A1943" t="s">
        <v>5411</v>
      </c>
      <c r="B1943" t="s">
        <v>16</v>
      </c>
      <c r="C1943" t="s">
        <v>17</v>
      </c>
      <c r="D1943">
        <v>44540000</v>
      </c>
      <c r="E1943">
        <v>44549999</v>
      </c>
      <c r="F1943" t="s">
        <v>1739</v>
      </c>
      <c r="G1943" t="str">
        <f t="shared" si="60"/>
        <v>BAI II</v>
      </c>
      <c r="H1943" t="s">
        <v>1700</v>
      </c>
      <c r="I1943" t="s">
        <v>20</v>
      </c>
      <c r="J1943" t="s">
        <v>64</v>
      </c>
      <c r="K1943" s="6">
        <v>0.03</v>
      </c>
      <c r="L1943" s="7">
        <f t="shared" si="61"/>
        <v>2E-3</v>
      </c>
      <c r="M1943" s="7">
        <v>3.0000000000000001E-3</v>
      </c>
      <c r="N1943">
        <v>9</v>
      </c>
      <c r="O1943" s="8">
        <v>22.933916850949441</v>
      </c>
      <c r="P1943" s="9">
        <v>22.933916850949441</v>
      </c>
      <c r="Q1943" s="9">
        <v>22.933916850949441</v>
      </c>
      <c r="R1943" s="9">
        <v>25.173745848546066</v>
      </c>
      <c r="S1943" s="9">
        <v>27.641690539343774</v>
      </c>
      <c r="T1943" s="9">
        <v>29.730378573928668</v>
      </c>
      <c r="U1943" s="9">
        <v>36.183590217329723</v>
      </c>
      <c r="V1943" s="9">
        <v>36.183590217329723</v>
      </c>
      <c r="W1943" s="9">
        <v>36.183590217329723</v>
      </c>
      <c r="X1943" s="9">
        <v>43.522810559209468</v>
      </c>
      <c r="Y1943" s="9">
        <v>43.522810559209468</v>
      </c>
      <c r="Z1943" s="9">
        <v>50.960858783530121</v>
      </c>
      <c r="AA1943" s="9">
        <v>50.960858783530121</v>
      </c>
      <c r="AB1943" s="9">
        <v>58.507617678535738</v>
      </c>
      <c r="AC1943" s="9">
        <v>58.507617678535738</v>
      </c>
      <c r="AD1943" s="9">
        <v>68.105109643716474</v>
      </c>
      <c r="AE1943" s="9">
        <v>75.132723269302929</v>
      </c>
      <c r="AF1943" s="9">
        <v>82.290622386277917</v>
      </c>
      <c r="AG1943" s="9">
        <v>82.290622386277917</v>
      </c>
      <c r="AH1943" s="9">
        <v>90.43943145512165</v>
      </c>
      <c r="AI1943" s="9">
        <v>98.380048333692613</v>
      </c>
      <c r="AJ1943" s="9">
        <v>3.0428788910505911</v>
      </c>
    </row>
    <row r="1944" spans="1:36" x14ac:dyDescent="0.25">
      <c r="A1944" t="s">
        <v>5411</v>
      </c>
      <c r="B1944" t="s">
        <v>16</v>
      </c>
      <c r="C1944" t="s">
        <v>17</v>
      </c>
      <c r="D1944">
        <v>44550000</v>
      </c>
      <c r="E1944">
        <v>44559999</v>
      </c>
      <c r="F1944" t="s">
        <v>1740</v>
      </c>
      <c r="G1944" t="str">
        <f t="shared" si="60"/>
        <v>BAI II</v>
      </c>
      <c r="H1944" t="s">
        <v>1700</v>
      </c>
      <c r="I1944" t="s">
        <v>20</v>
      </c>
      <c r="J1944" t="s">
        <v>64</v>
      </c>
      <c r="K1944" s="6">
        <v>0.03</v>
      </c>
      <c r="L1944" s="7">
        <f t="shared" si="61"/>
        <v>2E-3</v>
      </c>
      <c r="M1944" s="7">
        <v>3.0000000000000001E-3</v>
      </c>
      <c r="N1944">
        <v>9</v>
      </c>
      <c r="O1944" s="8">
        <v>22.933916850949441</v>
      </c>
      <c r="P1944" s="9">
        <v>22.933916850949441</v>
      </c>
      <c r="Q1944" s="9">
        <v>22.933916850949441</v>
      </c>
      <c r="R1944" s="9">
        <v>25.173745848546066</v>
      </c>
      <c r="S1944" s="9">
        <v>27.641690539343774</v>
      </c>
      <c r="T1944" s="9">
        <v>29.730378573928668</v>
      </c>
      <c r="U1944" s="9">
        <v>36.183590217329723</v>
      </c>
      <c r="V1944" s="9">
        <v>36.183590217329723</v>
      </c>
      <c r="W1944" s="9">
        <v>36.183590217329723</v>
      </c>
      <c r="X1944" s="9">
        <v>43.522810559209468</v>
      </c>
      <c r="Y1944" s="9">
        <v>43.522810559209468</v>
      </c>
      <c r="Z1944" s="9">
        <v>50.960858783530121</v>
      </c>
      <c r="AA1944" s="9">
        <v>50.960858783530121</v>
      </c>
      <c r="AB1944" s="9">
        <v>58.507617678535738</v>
      </c>
      <c r="AC1944" s="9">
        <v>58.507617678535738</v>
      </c>
      <c r="AD1944" s="9">
        <v>68.105109643716474</v>
      </c>
      <c r="AE1944" s="9">
        <v>75.132723269302929</v>
      </c>
      <c r="AF1944" s="9">
        <v>82.290622386277917</v>
      </c>
      <c r="AG1944" s="9">
        <v>82.290622386277917</v>
      </c>
      <c r="AH1944" s="9">
        <v>90.43943145512165</v>
      </c>
      <c r="AI1944" s="9">
        <v>98.380048333692613</v>
      </c>
      <c r="AJ1944" s="9">
        <v>3.0428788910505911</v>
      </c>
    </row>
    <row r="1945" spans="1:36" x14ac:dyDescent="0.25">
      <c r="A1945" t="s">
        <v>5411</v>
      </c>
      <c r="B1945" t="s">
        <v>16</v>
      </c>
      <c r="C1945" t="s">
        <v>17</v>
      </c>
      <c r="D1945">
        <v>44560000</v>
      </c>
      <c r="E1945">
        <v>44564999</v>
      </c>
      <c r="F1945" t="s">
        <v>1741</v>
      </c>
      <c r="G1945" t="str">
        <f t="shared" si="60"/>
        <v>BAI II</v>
      </c>
      <c r="H1945" t="s">
        <v>1700</v>
      </c>
      <c r="I1945" t="s">
        <v>20</v>
      </c>
      <c r="J1945" t="s">
        <v>64</v>
      </c>
      <c r="K1945" s="6">
        <v>0.03</v>
      </c>
      <c r="L1945" s="7">
        <f t="shared" si="61"/>
        <v>2E-3</v>
      </c>
      <c r="M1945" s="7">
        <v>3.0000000000000001E-3</v>
      </c>
      <c r="N1945">
        <v>9</v>
      </c>
      <c r="O1945" s="8">
        <v>22.933916850949441</v>
      </c>
      <c r="P1945" s="9">
        <v>22.933916850949441</v>
      </c>
      <c r="Q1945" s="9">
        <v>22.933916850949441</v>
      </c>
      <c r="R1945" s="9">
        <v>25.173745848546066</v>
      </c>
      <c r="S1945" s="9">
        <v>27.641690539343774</v>
      </c>
      <c r="T1945" s="9">
        <v>29.730378573928668</v>
      </c>
      <c r="U1945" s="9">
        <v>36.183590217329723</v>
      </c>
      <c r="V1945" s="9">
        <v>36.183590217329723</v>
      </c>
      <c r="W1945" s="9">
        <v>36.183590217329723</v>
      </c>
      <c r="X1945" s="9">
        <v>43.522810559209468</v>
      </c>
      <c r="Y1945" s="9">
        <v>43.522810559209468</v>
      </c>
      <c r="Z1945" s="9">
        <v>50.960858783530121</v>
      </c>
      <c r="AA1945" s="9">
        <v>50.960858783530121</v>
      </c>
      <c r="AB1945" s="9">
        <v>58.507617678535738</v>
      </c>
      <c r="AC1945" s="9">
        <v>58.507617678535738</v>
      </c>
      <c r="AD1945" s="9">
        <v>68.105109643716474</v>
      </c>
      <c r="AE1945" s="9">
        <v>75.132723269302929</v>
      </c>
      <c r="AF1945" s="9">
        <v>82.290622386277917</v>
      </c>
      <c r="AG1945" s="9">
        <v>82.290622386277917</v>
      </c>
      <c r="AH1945" s="9">
        <v>90.43943145512165</v>
      </c>
      <c r="AI1945" s="9">
        <v>98.380048333692613</v>
      </c>
      <c r="AJ1945" s="9">
        <v>3.0428788910505911</v>
      </c>
    </row>
    <row r="1946" spans="1:36" x14ac:dyDescent="0.25">
      <c r="A1946" t="s">
        <v>5411</v>
      </c>
      <c r="B1946" t="s">
        <v>16</v>
      </c>
      <c r="C1946" t="s">
        <v>17</v>
      </c>
      <c r="D1946">
        <v>44565000</v>
      </c>
      <c r="E1946">
        <v>44569999</v>
      </c>
      <c r="F1946" t="s">
        <v>1742</v>
      </c>
      <c r="G1946" t="str">
        <f t="shared" si="60"/>
        <v>BAI II</v>
      </c>
      <c r="H1946" t="s">
        <v>1700</v>
      </c>
      <c r="I1946" t="s">
        <v>20</v>
      </c>
      <c r="J1946" t="s">
        <v>64</v>
      </c>
      <c r="K1946" s="6">
        <v>0.03</v>
      </c>
      <c r="L1946" s="7">
        <f t="shared" si="61"/>
        <v>2E-3</v>
      </c>
      <c r="M1946" s="7">
        <v>3.0000000000000001E-3</v>
      </c>
      <c r="N1946">
        <v>9</v>
      </c>
      <c r="O1946" s="8">
        <v>22.933916850949441</v>
      </c>
      <c r="P1946" s="9">
        <v>22.933916850949441</v>
      </c>
      <c r="Q1946" s="9">
        <v>22.933916850949441</v>
      </c>
      <c r="R1946" s="9">
        <v>25.173745848546066</v>
      </c>
      <c r="S1946" s="9">
        <v>27.641690539343774</v>
      </c>
      <c r="T1946" s="9">
        <v>29.730378573928668</v>
      </c>
      <c r="U1946" s="9">
        <v>36.183590217329723</v>
      </c>
      <c r="V1946" s="9">
        <v>36.183590217329723</v>
      </c>
      <c r="W1946" s="9">
        <v>36.183590217329723</v>
      </c>
      <c r="X1946" s="9">
        <v>43.522810559209468</v>
      </c>
      <c r="Y1946" s="9">
        <v>43.522810559209468</v>
      </c>
      <c r="Z1946" s="9">
        <v>50.960858783530121</v>
      </c>
      <c r="AA1946" s="9">
        <v>50.960858783530121</v>
      </c>
      <c r="AB1946" s="9">
        <v>58.507617678535738</v>
      </c>
      <c r="AC1946" s="9">
        <v>58.507617678535738</v>
      </c>
      <c r="AD1946" s="9">
        <v>68.105109643716474</v>
      </c>
      <c r="AE1946" s="9">
        <v>75.132723269302929</v>
      </c>
      <c r="AF1946" s="9">
        <v>82.290622386277917</v>
      </c>
      <c r="AG1946" s="9">
        <v>82.290622386277917</v>
      </c>
      <c r="AH1946" s="9">
        <v>90.43943145512165</v>
      </c>
      <c r="AI1946" s="9">
        <v>98.380048333692613</v>
      </c>
      <c r="AJ1946" s="9">
        <v>3.0428788910505911</v>
      </c>
    </row>
    <row r="1947" spans="1:36" x14ac:dyDescent="0.25">
      <c r="A1947" t="s">
        <v>5411</v>
      </c>
      <c r="B1947" t="s">
        <v>16</v>
      </c>
      <c r="C1947" t="s">
        <v>17</v>
      </c>
      <c r="D1947">
        <v>44570000</v>
      </c>
      <c r="E1947">
        <v>44574999</v>
      </c>
      <c r="F1947" t="s">
        <v>1743</v>
      </c>
      <c r="G1947" t="str">
        <f t="shared" si="60"/>
        <v>BAI II</v>
      </c>
      <c r="H1947" t="s">
        <v>1700</v>
      </c>
      <c r="I1947" t="s">
        <v>20</v>
      </c>
      <c r="J1947" t="s">
        <v>64</v>
      </c>
      <c r="K1947" s="6">
        <v>0.03</v>
      </c>
      <c r="L1947" s="7">
        <f t="shared" si="61"/>
        <v>2E-3</v>
      </c>
      <c r="M1947" s="7">
        <v>3.0000000000000001E-3</v>
      </c>
      <c r="N1947">
        <v>9</v>
      </c>
      <c r="O1947" s="8">
        <v>22.933916850949441</v>
      </c>
      <c r="P1947" s="9">
        <v>22.933916850949441</v>
      </c>
      <c r="Q1947" s="9">
        <v>22.933916850949441</v>
      </c>
      <c r="R1947" s="9">
        <v>25.173745848546066</v>
      </c>
      <c r="S1947" s="9">
        <v>27.641690539343774</v>
      </c>
      <c r="T1947" s="9">
        <v>29.730378573928668</v>
      </c>
      <c r="U1947" s="9">
        <v>36.183590217329723</v>
      </c>
      <c r="V1947" s="9">
        <v>36.183590217329723</v>
      </c>
      <c r="W1947" s="9">
        <v>36.183590217329723</v>
      </c>
      <c r="X1947" s="9">
        <v>43.522810559209468</v>
      </c>
      <c r="Y1947" s="9">
        <v>43.522810559209468</v>
      </c>
      <c r="Z1947" s="9">
        <v>50.960858783530121</v>
      </c>
      <c r="AA1947" s="9">
        <v>50.960858783530121</v>
      </c>
      <c r="AB1947" s="9">
        <v>58.507617678535738</v>
      </c>
      <c r="AC1947" s="9">
        <v>58.507617678535738</v>
      </c>
      <c r="AD1947" s="9">
        <v>68.105109643716474</v>
      </c>
      <c r="AE1947" s="9">
        <v>75.132723269302929</v>
      </c>
      <c r="AF1947" s="9">
        <v>82.290622386277917</v>
      </c>
      <c r="AG1947" s="9">
        <v>82.290622386277917</v>
      </c>
      <c r="AH1947" s="9">
        <v>90.43943145512165</v>
      </c>
      <c r="AI1947" s="9">
        <v>98.380048333692613</v>
      </c>
      <c r="AJ1947" s="9">
        <v>3.0428788910505911</v>
      </c>
    </row>
    <row r="1948" spans="1:36" x14ac:dyDescent="0.25">
      <c r="A1948" t="s">
        <v>5411</v>
      </c>
      <c r="B1948" t="s">
        <v>16</v>
      </c>
      <c r="C1948" t="s">
        <v>17</v>
      </c>
      <c r="D1948">
        <v>44575000</v>
      </c>
      <c r="E1948">
        <v>44579999</v>
      </c>
      <c r="F1948" t="s">
        <v>1744</v>
      </c>
      <c r="G1948" t="str">
        <f t="shared" si="60"/>
        <v>BAI II</v>
      </c>
      <c r="H1948" t="s">
        <v>1700</v>
      </c>
      <c r="I1948" t="s">
        <v>20</v>
      </c>
      <c r="J1948" t="s">
        <v>64</v>
      </c>
      <c r="K1948" s="6">
        <v>0.03</v>
      </c>
      <c r="L1948" s="7">
        <f t="shared" si="61"/>
        <v>2E-3</v>
      </c>
      <c r="M1948" s="7">
        <v>3.0000000000000001E-3</v>
      </c>
      <c r="N1948">
        <v>9</v>
      </c>
      <c r="O1948" s="8">
        <v>22.933916850949441</v>
      </c>
      <c r="P1948" s="9">
        <v>22.933916850949441</v>
      </c>
      <c r="Q1948" s="9">
        <v>22.933916850949441</v>
      </c>
      <c r="R1948" s="9">
        <v>25.173745848546066</v>
      </c>
      <c r="S1948" s="9">
        <v>27.641690539343774</v>
      </c>
      <c r="T1948" s="9">
        <v>29.730378573928668</v>
      </c>
      <c r="U1948" s="9">
        <v>36.183590217329723</v>
      </c>
      <c r="V1948" s="9">
        <v>36.183590217329723</v>
      </c>
      <c r="W1948" s="9">
        <v>36.183590217329723</v>
      </c>
      <c r="X1948" s="9">
        <v>43.522810559209468</v>
      </c>
      <c r="Y1948" s="9">
        <v>43.522810559209468</v>
      </c>
      <c r="Z1948" s="9">
        <v>50.960858783530121</v>
      </c>
      <c r="AA1948" s="9">
        <v>50.960858783530121</v>
      </c>
      <c r="AB1948" s="9">
        <v>58.507617678535738</v>
      </c>
      <c r="AC1948" s="9">
        <v>58.507617678535738</v>
      </c>
      <c r="AD1948" s="9">
        <v>68.105109643716474</v>
      </c>
      <c r="AE1948" s="9">
        <v>75.132723269302929</v>
      </c>
      <c r="AF1948" s="9">
        <v>82.290622386277917</v>
      </c>
      <c r="AG1948" s="9">
        <v>82.290622386277917</v>
      </c>
      <c r="AH1948" s="9">
        <v>90.43943145512165</v>
      </c>
      <c r="AI1948" s="9">
        <v>98.380048333692613</v>
      </c>
      <c r="AJ1948" s="9">
        <v>3.0428788910505911</v>
      </c>
    </row>
    <row r="1949" spans="1:36" x14ac:dyDescent="0.25">
      <c r="A1949" t="s">
        <v>5411</v>
      </c>
      <c r="B1949" t="s">
        <v>16</v>
      </c>
      <c r="C1949" t="s">
        <v>17</v>
      </c>
      <c r="D1949">
        <v>44580000</v>
      </c>
      <c r="E1949">
        <v>44589999</v>
      </c>
      <c r="F1949" t="s">
        <v>1745</v>
      </c>
      <c r="G1949" t="str">
        <f t="shared" si="60"/>
        <v>BAI II</v>
      </c>
      <c r="H1949" t="s">
        <v>1700</v>
      </c>
      <c r="I1949" t="s">
        <v>20</v>
      </c>
      <c r="J1949" t="s">
        <v>64</v>
      </c>
      <c r="K1949" s="6">
        <v>0.03</v>
      </c>
      <c r="L1949" s="7">
        <f t="shared" si="61"/>
        <v>2E-3</v>
      </c>
      <c r="M1949" s="7">
        <v>3.0000000000000001E-3</v>
      </c>
      <c r="N1949">
        <v>9</v>
      </c>
      <c r="O1949" s="8">
        <v>22.933916850949441</v>
      </c>
      <c r="P1949" s="9">
        <v>22.933916850949441</v>
      </c>
      <c r="Q1949" s="9">
        <v>22.933916850949441</v>
      </c>
      <c r="R1949" s="9">
        <v>25.173745848546066</v>
      </c>
      <c r="S1949" s="9">
        <v>27.641690539343774</v>
      </c>
      <c r="T1949" s="9">
        <v>29.730378573928668</v>
      </c>
      <c r="U1949" s="9">
        <v>36.183590217329723</v>
      </c>
      <c r="V1949" s="9">
        <v>36.183590217329723</v>
      </c>
      <c r="W1949" s="9">
        <v>36.183590217329723</v>
      </c>
      <c r="X1949" s="9">
        <v>43.522810559209468</v>
      </c>
      <c r="Y1949" s="9">
        <v>43.522810559209468</v>
      </c>
      <c r="Z1949" s="9">
        <v>50.960858783530121</v>
      </c>
      <c r="AA1949" s="9">
        <v>50.960858783530121</v>
      </c>
      <c r="AB1949" s="9">
        <v>58.507617678535738</v>
      </c>
      <c r="AC1949" s="9">
        <v>58.507617678535738</v>
      </c>
      <c r="AD1949" s="9">
        <v>68.105109643716474</v>
      </c>
      <c r="AE1949" s="9">
        <v>75.132723269302929</v>
      </c>
      <c r="AF1949" s="9">
        <v>82.290622386277917</v>
      </c>
      <c r="AG1949" s="9">
        <v>82.290622386277917</v>
      </c>
      <c r="AH1949" s="9">
        <v>90.43943145512165</v>
      </c>
      <c r="AI1949" s="9">
        <v>98.380048333692613</v>
      </c>
      <c r="AJ1949" s="9">
        <v>3.0428788910505911</v>
      </c>
    </row>
    <row r="1950" spans="1:36" x14ac:dyDescent="0.25">
      <c r="A1950" t="s">
        <v>5411</v>
      </c>
      <c r="B1950" t="s">
        <v>16</v>
      </c>
      <c r="C1950" t="s">
        <v>17</v>
      </c>
      <c r="D1950">
        <v>44590000</v>
      </c>
      <c r="E1950">
        <v>44599999</v>
      </c>
      <c r="F1950" t="s">
        <v>1746</v>
      </c>
      <c r="G1950" t="str">
        <f t="shared" si="60"/>
        <v>BAI II</v>
      </c>
      <c r="H1950" t="s">
        <v>1700</v>
      </c>
      <c r="I1950" t="s">
        <v>20</v>
      </c>
      <c r="J1950" t="s">
        <v>64</v>
      </c>
      <c r="K1950" s="6">
        <v>0.03</v>
      </c>
      <c r="L1950" s="7">
        <f t="shared" si="61"/>
        <v>2E-3</v>
      </c>
      <c r="M1950" s="7">
        <v>3.0000000000000001E-3</v>
      </c>
      <c r="N1950">
        <v>15</v>
      </c>
      <c r="O1950" s="8">
        <v>22.933916850949441</v>
      </c>
      <c r="P1950" s="9">
        <v>22.933916850949441</v>
      </c>
      <c r="Q1950" s="9">
        <v>22.933916850949441</v>
      </c>
      <c r="R1950" s="9">
        <v>25.173745848546066</v>
      </c>
      <c r="S1950" s="9">
        <v>27.641690539343774</v>
      </c>
      <c r="T1950" s="9">
        <v>29.730378573928668</v>
      </c>
      <c r="U1950" s="9">
        <v>36.183590217329723</v>
      </c>
      <c r="V1950" s="9">
        <v>36.183590217329723</v>
      </c>
      <c r="W1950" s="9">
        <v>36.183590217329723</v>
      </c>
      <c r="X1950" s="9">
        <v>43.522810559209468</v>
      </c>
      <c r="Y1950" s="9">
        <v>43.522810559209468</v>
      </c>
      <c r="Z1950" s="9">
        <v>50.960858783530121</v>
      </c>
      <c r="AA1950" s="9">
        <v>50.960858783530121</v>
      </c>
      <c r="AB1950" s="9">
        <v>58.507617678535738</v>
      </c>
      <c r="AC1950" s="9">
        <v>58.507617678535738</v>
      </c>
      <c r="AD1950" s="9">
        <v>68.105109643716474</v>
      </c>
      <c r="AE1950" s="9">
        <v>75.132723269302929</v>
      </c>
      <c r="AF1950" s="9">
        <v>82.290622386277917</v>
      </c>
      <c r="AG1950" s="9">
        <v>82.290622386277917</v>
      </c>
      <c r="AH1950" s="9">
        <v>90.43943145512165</v>
      </c>
      <c r="AI1950" s="9">
        <v>98.380048333692613</v>
      </c>
      <c r="AJ1950" s="9">
        <v>3.0428788910505911</v>
      </c>
    </row>
    <row r="1951" spans="1:36" x14ac:dyDescent="0.25">
      <c r="A1951" t="s">
        <v>5411</v>
      </c>
      <c r="B1951" t="s">
        <v>16</v>
      </c>
      <c r="C1951" t="s">
        <v>17</v>
      </c>
      <c r="D1951">
        <v>44600000</v>
      </c>
      <c r="E1951">
        <v>44609999</v>
      </c>
      <c r="F1951" t="s">
        <v>1747</v>
      </c>
      <c r="G1951" t="str">
        <f t="shared" si="60"/>
        <v>BAI II</v>
      </c>
      <c r="H1951" t="s">
        <v>1700</v>
      </c>
      <c r="I1951" t="s">
        <v>20</v>
      </c>
      <c r="J1951" t="s">
        <v>64</v>
      </c>
      <c r="K1951" s="6">
        <v>0.03</v>
      </c>
      <c r="L1951" s="7">
        <f t="shared" si="61"/>
        <v>2E-3</v>
      </c>
      <c r="M1951" s="7">
        <v>3.0000000000000001E-3</v>
      </c>
      <c r="N1951">
        <v>10</v>
      </c>
      <c r="O1951" s="8">
        <v>22.933916850949441</v>
      </c>
      <c r="P1951" s="9">
        <v>22.933916850949441</v>
      </c>
      <c r="Q1951" s="9">
        <v>22.933916850949441</v>
      </c>
      <c r="R1951" s="9">
        <v>25.173745848546066</v>
      </c>
      <c r="S1951" s="9">
        <v>27.641690539343774</v>
      </c>
      <c r="T1951" s="9">
        <v>29.730378573928668</v>
      </c>
      <c r="U1951" s="9">
        <v>36.183590217329723</v>
      </c>
      <c r="V1951" s="9">
        <v>36.183590217329723</v>
      </c>
      <c r="W1951" s="9">
        <v>36.183590217329723</v>
      </c>
      <c r="X1951" s="9">
        <v>43.522810559209468</v>
      </c>
      <c r="Y1951" s="9">
        <v>43.522810559209468</v>
      </c>
      <c r="Z1951" s="9">
        <v>50.960858783530121</v>
      </c>
      <c r="AA1951" s="9">
        <v>50.960858783530121</v>
      </c>
      <c r="AB1951" s="9">
        <v>58.507617678535738</v>
      </c>
      <c r="AC1951" s="9">
        <v>58.507617678535738</v>
      </c>
      <c r="AD1951" s="9">
        <v>68.105109643716474</v>
      </c>
      <c r="AE1951" s="9">
        <v>75.132723269302929</v>
      </c>
      <c r="AF1951" s="9">
        <v>82.290622386277917</v>
      </c>
      <c r="AG1951" s="9">
        <v>82.290622386277917</v>
      </c>
      <c r="AH1951" s="9">
        <v>90.43943145512165</v>
      </c>
      <c r="AI1951" s="9">
        <v>98.380048333692613</v>
      </c>
      <c r="AJ1951" s="9">
        <v>3.0428788910505911</v>
      </c>
    </row>
    <row r="1952" spans="1:36" x14ac:dyDescent="0.25">
      <c r="A1952" t="s">
        <v>5411</v>
      </c>
      <c r="B1952" t="s">
        <v>16</v>
      </c>
      <c r="C1952" t="s">
        <v>17</v>
      </c>
      <c r="D1952">
        <v>44610000</v>
      </c>
      <c r="E1952">
        <v>44619999</v>
      </c>
      <c r="F1952" t="s">
        <v>1748</v>
      </c>
      <c r="G1952" t="str">
        <f t="shared" si="60"/>
        <v>BAI</v>
      </c>
      <c r="H1952" t="s">
        <v>1700</v>
      </c>
      <c r="I1952" t="s">
        <v>20</v>
      </c>
      <c r="J1952" t="s">
        <v>62</v>
      </c>
      <c r="K1952" s="6">
        <v>0.03</v>
      </c>
      <c r="L1952" s="7">
        <f t="shared" si="61"/>
        <v>2E-3</v>
      </c>
      <c r="M1952" s="7">
        <v>3.0000000000000001E-3</v>
      </c>
      <c r="N1952">
        <v>14</v>
      </c>
      <c r="O1952" s="8">
        <v>18.830425793781675</v>
      </c>
      <c r="P1952" s="9">
        <v>18.830425793781675</v>
      </c>
      <c r="Q1952" s="9">
        <v>18.830425793781675</v>
      </c>
      <c r="R1952" s="9">
        <v>20.26742485247707</v>
      </c>
      <c r="S1952" s="9">
        <v>22.358597663519866</v>
      </c>
      <c r="T1952" s="9">
        <v>24.596422700701293</v>
      </c>
      <c r="U1952" s="9">
        <v>30.062806972770321</v>
      </c>
      <c r="V1952" s="9">
        <v>30.062806972770321</v>
      </c>
      <c r="W1952" s="9">
        <v>30.062806972770321</v>
      </c>
      <c r="X1952" s="9">
        <v>36.258834158198169</v>
      </c>
      <c r="Y1952" s="9">
        <v>36.258834158198169</v>
      </c>
      <c r="Z1952" s="9">
        <v>42.662152333319682</v>
      </c>
      <c r="AA1952" s="9">
        <v>42.662152333319682</v>
      </c>
      <c r="AB1952" s="9">
        <v>49.337721288156033</v>
      </c>
      <c r="AC1952" s="9">
        <v>49.337721288156033</v>
      </c>
      <c r="AD1952" s="9">
        <v>56.175614623482943</v>
      </c>
      <c r="AE1952" s="9">
        <v>63.196712014029359</v>
      </c>
      <c r="AF1952" s="9">
        <v>70.424649784246597</v>
      </c>
      <c r="AG1952" s="9">
        <v>70.424649784246597</v>
      </c>
      <c r="AH1952" s="9">
        <v>77.342680781352584</v>
      </c>
      <c r="AI1952" s="9">
        <v>84.743447231394711</v>
      </c>
      <c r="AJ1952" s="9">
        <v>3.0428788910505911</v>
      </c>
    </row>
    <row r="1953" spans="1:36" x14ac:dyDescent="0.25">
      <c r="A1953" t="s">
        <v>5411</v>
      </c>
      <c r="B1953" t="s">
        <v>16</v>
      </c>
      <c r="C1953" t="s">
        <v>17</v>
      </c>
      <c r="D1953">
        <v>44620000</v>
      </c>
      <c r="E1953">
        <v>44629999</v>
      </c>
      <c r="F1953" t="s">
        <v>1749</v>
      </c>
      <c r="G1953" t="str">
        <f t="shared" si="60"/>
        <v>BAI</v>
      </c>
      <c r="H1953" t="s">
        <v>1700</v>
      </c>
      <c r="I1953" t="s">
        <v>20</v>
      </c>
      <c r="J1953" t="s">
        <v>62</v>
      </c>
      <c r="K1953" s="6">
        <v>0.03</v>
      </c>
      <c r="L1953" s="7">
        <f t="shared" si="61"/>
        <v>2E-3</v>
      </c>
      <c r="M1953" s="7">
        <v>3.0000000000000001E-3</v>
      </c>
      <c r="N1953">
        <v>14</v>
      </c>
      <c r="O1953" s="8">
        <v>18.830425793781675</v>
      </c>
      <c r="P1953" s="9">
        <v>18.830425793781675</v>
      </c>
      <c r="Q1953" s="9">
        <v>18.830425793781675</v>
      </c>
      <c r="R1953" s="9">
        <v>20.26742485247707</v>
      </c>
      <c r="S1953" s="9">
        <v>22.358597663519866</v>
      </c>
      <c r="T1953" s="9">
        <v>24.596422700701293</v>
      </c>
      <c r="U1953" s="9">
        <v>30.062806972770321</v>
      </c>
      <c r="V1953" s="9">
        <v>30.062806972770321</v>
      </c>
      <c r="W1953" s="9">
        <v>30.062806972770321</v>
      </c>
      <c r="X1953" s="9">
        <v>36.258834158198169</v>
      </c>
      <c r="Y1953" s="9">
        <v>36.258834158198169</v>
      </c>
      <c r="Z1953" s="9">
        <v>42.662152333319682</v>
      </c>
      <c r="AA1953" s="9">
        <v>42.662152333319682</v>
      </c>
      <c r="AB1953" s="9">
        <v>49.337721288156033</v>
      </c>
      <c r="AC1953" s="9">
        <v>49.337721288156033</v>
      </c>
      <c r="AD1953" s="9">
        <v>56.175614623482943</v>
      </c>
      <c r="AE1953" s="9">
        <v>63.196712014029359</v>
      </c>
      <c r="AF1953" s="9">
        <v>70.424649784246597</v>
      </c>
      <c r="AG1953" s="9">
        <v>70.424649784246597</v>
      </c>
      <c r="AH1953" s="9">
        <v>77.342680781352584</v>
      </c>
      <c r="AI1953" s="9">
        <v>84.743447231394711</v>
      </c>
      <c r="AJ1953" s="9">
        <v>3.0428788910505911</v>
      </c>
    </row>
    <row r="1954" spans="1:36" x14ac:dyDescent="0.25">
      <c r="A1954" t="s">
        <v>5411</v>
      </c>
      <c r="B1954" t="s">
        <v>16</v>
      </c>
      <c r="C1954" t="s">
        <v>17</v>
      </c>
      <c r="D1954">
        <v>44630000</v>
      </c>
      <c r="E1954">
        <v>44634999</v>
      </c>
      <c r="F1954" t="s">
        <v>1750</v>
      </c>
      <c r="G1954" t="str">
        <f t="shared" si="60"/>
        <v>BAI</v>
      </c>
      <c r="H1954" t="s">
        <v>1700</v>
      </c>
      <c r="I1954" t="s">
        <v>20</v>
      </c>
      <c r="J1954" t="s">
        <v>62</v>
      </c>
      <c r="K1954" s="6">
        <v>0.03</v>
      </c>
      <c r="L1954" s="7">
        <f t="shared" si="61"/>
        <v>2E-3</v>
      </c>
      <c r="M1954" s="7">
        <v>3.0000000000000001E-3</v>
      </c>
      <c r="N1954">
        <v>14</v>
      </c>
      <c r="O1954" s="8">
        <v>18.830425793781675</v>
      </c>
      <c r="P1954" s="9">
        <v>18.830425793781675</v>
      </c>
      <c r="Q1954" s="9">
        <v>18.830425793781675</v>
      </c>
      <c r="R1954" s="9">
        <v>20.26742485247707</v>
      </c>
      <c r="S1954" s="9">
        <v>22.358597663519866</v>
      </c>
      <c r="T1954" s="9">
        <v>24.596422700701293</v>
      </c>
      <c r="U1954" s="9">
        <v>30.062806972770321</v>
      </c>
      <c r="V1954" s="9">
        <v>30.062806972770321</v>
      </c>
      <c r="W1954" s="9">
        <v>30.062806972770321</v>
      </c>
      <c r="X1954" s="9">
        <v>36.258834158198169</v>
      </c>
      <c r="Y1954" s="9">
        <v>36.258834158198169</v>
      </c>
      <c r="Z1954" s="9">
        <v>42.662152333319682</v>
      </c>
      <c r="AA1954" s="9">
        <v>42.662152333319682</v>
      </c>
      <c r="AB1954" s="9">
        <v>49.337721288156033</v>
      </c>
      <c r="AC1954" s="9">
        <v>49.337721288156033</v>
      </c>
      <c r="AD1954" s="9">
        <v>56.175614623482943</v>
      </c>
      <c r="AE1954" s="9">
        <v>63.196712014029359</v>
      </c>
      <c r="AF1954" s="9">
        <v>70.424649784246597</v>
      </c>
      <c r="AG1954" s="9">
        <v>70.424649784246597</v>
      </c>
      <c r="AH1954" s="9">
        <v>77.342680781352584</v>
      </c>
      <c r="AI1954" s="9">
        <v>84.743447231394711</v>
      </c>
      <c r="AJ1954" s="9">
        <v>3.0428788910505911</v>
      </c>
    </row>
    <row r="1955" spans="1:36" x14ac:dyDescent="0.25">
      <c r="A1955" t="s">
        <v>5411</v>
      </c>
      <c r="B1955" t="s">
        <v>16</v>
      </c>
      <c r="C1955" t="s">
        <v>17</v>
      </c>
      <c r="D1955">
        <v>44635000</v>
      </c>
      <c r="E1955">
        <v>44639999</v>
      </c>
      <c r="F1955" t="s">
        <v>1751</v>
      </c>
      <c r="G1955" t="str">
        <f t="shared" si="60"/>
        <v>BAI</v>
      </c>
      <c r="H1955" t="s">
        <v>1700</v>
      </c>
      <c r="I1955" t="s">
        <v>20</v>
      </c>
      <c r="J1955" t="s">
        <v>62</v>
      </c>
      <c r="K1955" s="6">
        <v>0.03</v>
      </c>
      <c r="L1955" s="7">
        <f t="shared" si="61"/>
        <v>2E-3</v>
      </c>
      <c r="M1955" s="7">
        <v>3.0000000000000001E-3</v>
      </c>
      <c r="N1955">
        <v>14</v>
      </c>
      <c r="O1955" s="8">
        <v>18.830425793781675</v>
      </c>
      <c r="P1955" s="9">
        <v>18.830425793781675</v>
      </c>
      <c r="Q1955" s="9">
        <v>18.830425793781675</v>
      </c>
      <c r="R1955" s="9">
        <v>20.26742485247707</v>
      </c>
      <c r="S1955" s="9">
        <v>22.358597663519866</v>
      </c>
      <c r="T1955" s="9">
        <v>24.596422700701293</v>
      </c>
      <c r="U1955" s="9">
        <v>30.062806972770321</v>
      </c>
      <c r="V1955" s="9">
        <v>30.062806972770321</v>
      </c>
      <c r="W1955" s="9">
        <v>30.062806972770321</v>
      </c>
      <c r="X1955" s="9">
        <v>36.258834158198169</v>
      </c>
      <c r="Y1955" s="9">
        <v>36.258834158198169</v>
      </c>
      <c r="Z1955" s="9">
        <v>42.662152333319682</v>
      </c>
      <c r="AA1955" s="9">
        <v>42.662152333319682</v>
      </c>
      <c r="AB1955" s="9">
        <v>49.337721288156033</v>
      </c>
      <c r="AC1955" s="9">
        <v>49.337721288156033</v>
      </c>
      <c r="AD1955" s="9">
        <v>56.175614623482943</v>
      </c>
      <c r="AE1955" s="9">
        <v>63.196712014029359</v>
      </c>
      <c r="AF1955" s="9">
        <v>70.424649784246597</v>
      </c>
      <c r="AG1955" s="9">
        <v>70.424649784246597</v>
      </c>
      <c r="AH1955" s="9">
        <v>77.342680781352584</v>
      </c>
      <c r="AI1955" s="9">
        <v>84.743447231394711</v>
      </c>
      <c r="AJ1955" s="9">
        <v>3.0428788910505911</v>
      </c>
    </row>
    <row r="1956" spans="1:36" x14ac:dyDescent="0.25">
      <c r="A1956" t="s">
        <v>5411</v>
      </c>
      <c r="B1956" t="s">
        <v>16</v>
      </c>
      <c r="C1956" t="s">
        <v>17</v>
      </c>
      <c r="D1956">
        <v>44640000</v>
      </c>
      <c r="E1956">
        <v>44641999</v>
      </c>
      <c r="F1956" t="s">
        <v>1752</v>
      </c>
      <c r="G1956" t="str">
        <f t="shared" si="60"/>
        <v>BAI II</v>
      </c>
      <c r="H1956" t="s">
        <v>1700</v>
      </c>
      <c r="I1956" t="s">
        <v>20</v>
      </c>
      <c r="J1956" t="s">
        <v>64</v>
      </c>
      <c r="K1956" s="6">
        <v>0.03</v>
      </c>
      <c r="L1956" s="7">
        <f t="shared" si="61"/>
        <v>2E-3</v>
      </c>
      <c r="M1956" s="7">
        <v>3.0000000000000001E-3</v>
      </c>
      <c r="N1956">
        <v>9</v>
      </c>
      <c r="O1956" s="8">
        <v>22.933916850949441</v>
      </c>
      <c r="P1956" s="9">
        <v>22.933916850949441</v>
      </c>
      <c r="Q1956" s="9">
        <v>22.933916850949441</v>
      </c>
      <c r="R1956" s="9">
        <v>25.173745848546066</v>
      </c>
      <c r="S1956" s="9">
        <v>27.641690539343774</v>
      </c>
      <c r="T1956" s="9">
        <v>29.730378573928668</v>
      </c>
      <c r="U1956" s="9">
        <v>36.183590217329723</v>
      </c>
      <c r="V1956" s="9">
        <v>36.183590217329723</v>
      </c>
      <c r="W1956" s="9">
        <v>36.183590217329723</v>
      </c>
      <c r="X1956" s="9">
        <v>43.522810559209468</v>
      </c>
      <c r="Y1956" s="9">
        <v>43.522810559209468</v>
      </c>
      <c r="Z1956" s="9">
        <v>50.960858783530121</v>
      </c>
      <c r="AA1956" s="9">
        <v>50.960858783530121</v>
      </c>
      <c r="AB1956" s="9">
        <v>58.507617678535738</v>
      </c>
      <c r="AC1956" s="9">
        <v>58.507617678535738</v>
      </c>
      <c r="AD1956" s="9">
        <v>68.105109643716474</v>
      </c>
      <c r="AE1956" s="9">
        <v>75.132723269302929</v>
      </c>
      <c r="AF1956" s="9">
        <v>82.290622386277917</v>
      </c>
      <c r="AG1956" s="9">
        <v>82.290622386277917</v>
      </c>
      <c r="AH1956" s="9">
        <v>90.43943145512165</v>
      </c>
      <c r="AI1956" s="9">
        <v>98.380048333692613</v>
      </c>
      <c r="AJ1956" s="9">
        <v>3.0428788910505911</v>
      </c>
    </row>
    <row r="1957" spans="1:36" x14ac:dyDescent="0.25">
      <c r="A1957" t="s">
        <v>5411</v>
      </c>
      <c r="B1957" t="s">
        <v>16</v>
      </c>
      <c r="C1957" t="s">
        <v>17</v>
      </c>
      <c r="D1957">
        <v>44642000</v>
      </c>
      <c r="E1957">
        <v>44644999</v>
      </c>
      <c r="F1957" t="s">
        <v>1753</v>
      </c>
      <c r="G1957" t="str">
        <f t="shared" si="60"/>
        <v>BAI II</v>
      </c>
      <c r="H1957" t="s">
        <v>1700</v>
      </c>
      <c r="I1957" t="s">
        <v>20</v>
      </c>
      <c r="J1957" t="s">
        <v>64</v>
      </c>
      <c r="K1957" s="6">
        <v>0.03</v>
      </c>
      <c r="L1957" s="7">
        <f t="shared" si="61"/>
        <v>2E-3</v>
      </c>
      <c r="M1957" s="7">
        <v>3.0000000000000001E-3</v>
      </c>
      <c r="N1957">
        <v>10</v>
      </c>
      <c r="O1957" s="8">
        <v>22.933916850949441</v>
      </c>
      <c r="P1957" s="9">
        <v>22.933916850949441</v>
      </c>
      <c r="Q1957" s="9">
        <v>22.933916850949441</v>
      </c>
      <c r="R1957" s="9">
        <v>25.173745848546066</v>
      </c>
      <c r="S1957" s="9">
        <v>27.641690539343774</v>
      </c>
      <c r="T1957" s="9">
        <v>29.730378573928668</v>
      </c>
      <c r="U1957" s="9">
        <v>36.183590217329723</v>
      </c>
      <c r="V1957" s="9">
        <v>36.183590217329723</v>
      </c>
      <c r="W1957" s="9">
        <v>36.183590217329723</v>
      </c>
      <c r="X1957" s="9">
        <v>43.522810559209468</v>
      </c>
      <c r="Y1957" s="9">
        <v>43.522810559209468</v>
      </c>
      <c r="Z1957" s="9">
        <v>50.960858783530121</v>
      </c>
      <c r="AA1957" s="9">
        <v>50.960858783530121</v>
      </c>
      <c r="AB1957" s="9">
        <v>58.507617678535738</v>
      </c>
      <c r="AC1957" s="9">
        <v>58.507617678535738</v>
      </c>
      <c r="AD1957" s="9">
        <v>68.105109643716474</v>
      </c>
      <c r="AE1957" s="9">
        <v>75.132723269302929</v>
      </c>
      <c r="AF1957" s="9">
        <v>82.290622386277917</v>
      </c>
      <c r="AG1957" s="9">
        <v>82.290622386277917</v>
      </c>
      <c r="AH1957" s="9">
        <v>90.43943145512165</v>
      </c>
      <c r="AI1957" s="9">
        <v>98.380048333692613</v>
      </c>
      <c r="AJ1957" s="9">
        <v>3.0428788910505911</v>
      </c>
    </row>
    <row r="1958" spans="1:36" x14ac:dyDescent="0.25">
      <c r="A1958" t="s">
        <v>5411</v>
      </c>
      <c r="B1958" t="s">
        <v>16</v>
      </c>
      <c r="C1958" t="s">
        <v>17</v>
      </c>
      <c r="D1958">
        <v>44645000</v>
      </c>
      <c r="E1958">
        <v>44649999</v>
      </c>
      <c r="F1958" t="s">
        <v>1754</v>
      </c>
      <c r="G1958" t="str">
        <f t="shared" si="60"/>
        <v>BAI</v>
      </c>
      <c r="H1958" t="s">
        <v>1700</v>
      </c>
      <c r="I1958" t="s">
        <v>20</v>
      </c>
      <c r="J1958" t="s">
        <v>62</v>
      </c>
      <c r="K1958" s="6">
        <v>0.03</v>
      </c>
      <c r="L1958" s="7">
        <f t="shared" si="61"/>
        <v>2E-3</v>
      </c>
      <c r="M1958" s="7">
        <v>3.0000000000000001E-3</v>
      </c>
      <c r="N1958">
        <v>14</v>
      </c>
      <c r="O1958" s="8">
        <v>18.830425793781675</v>
      </c>
      <c r="P1958" s="9">
        <v>18.830425793781675</v>
      </c>
      <c r="Q1958" s="9">
        <v>18.830425793781675</v>
      </c>
      <c r="R1958" s="9">
        <v>20.26742485247707</v>
      </c>
      <c r="S1958" s="9">
        <v>22.358597663519866</v>
      </c>
      <c r="T1958" s="9">
        <v>24.596422700701293</v>
      </c>
      <c r="U1958" s="9">
        <v>30.062806972770321</v>
      </c>
      <c r="V1958" s="9">
        <v>30.062806972770321</v>
      </c>
      <c r="W1958" s="9">
        <v>30.062806972770321</v>
      </c>
      <c r="X1958" s="9">
        <v>36.258834158198169</v>
      </c>
      <c r="Y1958" s="9">
        <v>36.258834158198169</v>
      </c>
      <c r="Z1958" s="9">
        <v>42.662152333319682</v>
      </c>
      <c r="AA1958" s="9">
        <v>42.662152333319682</v>
      </c>
      <c r="AB1958" s="9">
        <v>49.337721288156033</v>
      </c>
      <c r="AC1958" s="9">
        <v>49.337721288156033</v>
      </c>
      <c r="AD1958" s="9">
        <v>56.175614623482943</v>
      </c>
      <c r="AE1958" s="9">
        <v>63.196712014029359</v>
      </c>
      <c r="AF1958" s="9">
        <v>70.424649784246597</v>
      </c>
      <c r="AG1958" s="9">
        <v>70.424649784246597</v>
      </c>
      <c r="AH1958" s="9">
        <v>77.342680781352584</v>
      </c>
      <c r="AI1958" s="9">
        <v>84.743447231394711</v>
      </c>
      <c r="AJ1958" s="9">
        <v>3.0428788910505911</v>
      </c>
    </row>
    <row r="1959" spans="1:36" x14ac:dyDescent="0.25">
      <c r="A1959" t="s">
        <v>5411</v>
      </c>
      <c r="B1959" t="s">
        <v>16</v>
      </c>
      <c r="C1959" t="s">
        <v>17</v>
      </c>
      <c r="D1959">
        <v>44650000</v>
      </c>
      <c r="E1959">
        <v>44654999</v>
      </c>
      <c r="F1959" t="s">
        <v>1755</v>
      </c>
      <c r="G1959" t="str">
        <f t="shared" si="60"/>
        <v>BAI II</v>
      </c>
      <c r="H1959" t="s">
        <v>1700</v>
      </c>
      <c r="I1959" t="s">
        <v>20</v>
      </c>
      <c r="J1959" t="s">
        <v>64</v>
      </c>
      <c r="K1959" s="6">
        <v>0.03</v>
      </c>
      <c r="L1959" s="7">
        <f t="shared" si="61"/>
        <v>2E-3</v>
      </c>
      <c r="M1959" s="7">
        <v>3.0000000000000001E-3</v>
      </c>
      <c r="N1959">
        <v>10</v>
      </c>
      <c r="O1959" s="8">
        <v>22.933916850949441</v>
      </c>
      <c r="P1959" s="9">
        <v>22.933916850949441</v>
      </c>
      <c r="Q1959" s="9">
        <v>22.933916850949441</v>
      </c>
      <c r="R1959" s="9">
        <v>25.173745848546066</v>
      </c>
      <c r="S1959" s="9">
        <v>27.641690539343774</v>
      </c>
      <c r="T1959" s="9">
        <v>29.730378573928668</v>
      </c>
      <c r="U1959" s="9">
        <v>36.183590217329723</v>
      </c>
      <c r="V1959" s="9">
        <v>36.183590217329723</v>
      </c>
      <c r="W1959" s="9">
        <v>36.183590217329723</v>
      </c>
      <c r="X1959" s="9">
        <v>43.522810559209468</v>
      </c>
      <c r="Y1959" s="9">
        <v>43.522810559209468</v>
      </c>
      <c r="Z1959" s="9">
        <v>50.960858783530121</v>
      </c>
      <c r="AA1959" s="9">
        <v>50.960858783530121</v>
      </c>
      <c r="AB1959" s="9">
        <v>58.507617678535738</v>
      </c>
      <c r="AC1959" s="9">
        <v>58.507617678535738</v>
      </c>
      <c r="AD1959" s="9">
        <v>68.105109643716474</v>
      </c>
      <c r="AE1959" s="9">
        <v>75.132723269302929</v>
      </c>
      <c r="AF1959" s="9">
        <v>82.290622386277917</v>
      </c>
      <c r="AG1959" s="9">
        <v>82.290622386277917</v>
      </c>
      <c r="AH1959" s="9">
        <v>90.43943145512165</v>
      </c>
      <c r="AI1959" s="9">
        <v>98.380048333692613</v>
      </c>
      <c r="AJ1959" s="9">
        <v>3.0428788910505911</v>
      </c>
    </row>
    <row r="1960" spans="1:36" x14ac:dyDescent="0.25">
      <c r="A1960" t="s">
        <v>5411</v>
      </c>
      <c r="B1960" t="s">
        <v>16</v>
      </c>
      <c r="C1960" t="s">
        <v>17</v>
      </c>
      <c r="D1960">
        <v>44655000</v>
      </c>
      <c r="E1960">
        <v>44659999</v>
      </c>
      <c r="F1960" t="s">
        <v>1756</v>
      </c>
      <c r="G1960" t="str">
        <f t="shared" si="60"/>
        <v>BAI II</v>
      </c>
      <c r="H1960" t="s">
        <v>1700</v>
      </c>
      <c r="I1960" t="s">
        <v>20</v>
      </c>
      <c r="J1960" t="s">
        <v>64</v>
      </c>
      <c r="K1960" s="6">
        <v>0.03</v>
      </c>
      <c r="L1960" s="7">
        <f t="shared" si="61"/>
        <v>2E-3</v>
      </c>
      <c r="M1960" s="7">
        <v>3.0000000000000001E-3</v>
      </c>
      <c r="N1960">
        <v>10</v>
      </c>
      <c r="O1960" s="8">
        <v>22.933916850949441</v>
      </c>
      <c r="P1960" s="9">
        <v>22.933916850949441</v>
      </c>
      <c r="Q1960" s="9">
        <v>22.933916850949441</v>
      </c>
      <c r="R1960" s="9">
        <v>25.173745848546066</v>
      </c>
      <c r="S1960" s="9">
        <v>27.641690539343774</v>
      </c>
      <c r="T1960" s="9">
        <v>29.730378573928668</v>
      </c>
      <c r="U1960" s="9">
        <v>36.183590217329723</v>
      </c>
      <c r="V1960" s="9">
        <v>36.183590217329723</v>
      </c>
      <c r="W1960" s="9">
        <v>36.183590217329723</v>
      </c>
      <c r="X1960" s="9">
        <v>43.522810559209468</v>
      </c>
      <c r="Y1960" s="9">
        <v>43.522810559209468</v>
      </c>
      <c r="Z1960" s="9">
        <v>50.960858783530121</v>
      </c>
      <c r="AA1960" s="9">
        <v>50.960858783530121</v>
      </c>
      <c r="AB1960" s="9">
        <v>58.507617678535738</v>
      </c>
      <c r="AC1960" s="9">
        <v>58.507617678535738</v>
      </c>
      <c r="AD1960" s="9">
        <v>68.105109643716474</v>
      </c>
      <c r="AE1960" s="9">
        <v>75.132723269302929</v>
      </c>
      <c r="AF1960" s="9">
        <v>82.290622386277917</v>
      </c>
      <c r="AG1960" s="9">
        <v>82.290622386277917</v>
      </c>
      <c r="AH1960" s="9">
        <v>90.43943145512165</v>
      </c>
      <c r="AI1960" s="9">
        <v>98.380048333692613</v>
      </c>
      <c r="AJ1960" s="9">
        <v>3.0428788910505911</v>
      </c>
    </row>
    <row r="1961" spans="1:36" x14ac:dyDescent="0.25">
      <c r="A1961" t="s">
        <v>5411</v>
      </c>
      <c r="B1961" t="s">
        <v>16</v>
      </c>
      <c r="C1961" t="s">
        <v>17</v>
      </c>
      <c r="D1961">
        <v>44660000</v>
      </c>
      <c r="E1961">
        <v>44669999</v>
      </c>
      <c r="F1961" t="s">
        <v>1757</v>
      </c>
      <c r="G1961" t="str">
        <f t="shared" si="60"/>
        <v>BAI II</v>
      </c>
      <c r="H1961" t="s">
        <v>1700</v>
      </c>
      <c r="I1961" t="s">
        <v>20</v>
      </c>
      <c r="J1961" t="s">
        <v>64</v>
      </c>
      <c r="K1961" s="6">
        <v>0.03</v>
      </c>
      <c r="L1961" s="7">
        <f t="shared" si="61"/>
        <v>2E-3</v>
      </c>
      <c r="M1961" s="7">
        <v>3.0000000000000001E-3</v>
      </c>
      <c r="N1961">
        <v>10</v>
      </c>
      <c r="O1961" s="8">
        <v>22.933916850949441</v>
      </c>
      <c r="P1961" s="9">
        <v>22.933916850949441</v>
      </c>
      <c r="Q1961" s="9">
        <v>22.933916850949441</v>
      </c>
      <c r="R1961" s="9">
        <v>25.173745848546066</v>
      </c>
      <c r="S1961" s="9">
        <v>27.641690539343774</v>
      </c>
      <c r="T1961" s="9">
        <v>29.730378573928668</v>
      </c>
      <c r="U1961" s="9">
        <v>36.183590217329723</v>
      </c>
      <c r="V1961" s="9">
        <v>36.183590217329723</v>
      </c>
      <c r="W1961" s="9">
        <v>36.183590217329723</v>
      </c>
      <c r="X1961" s="9">
        <v>43.522810559209468</v>
      </c>
      <c r="Y1961" s="9">
        <v>43.522810559209468</v>
      </c>
      <c r="Z1961" s="9">
        <v>50.960858783530121</v>
      </c>
      <c r="AA1961" s="9">
        <v>50.960858783530121</v>
      </c>
      <c r="AB1961" s="9">
        <v>58.507617678535738</v>
      </c>
      <c r="AC1961" s="9">
        <v>58.507617678535738</v>
      </c>
      <c r="AD1961" s="9">
        <v>68.105109643716474</v>
      </c>
      <c r="AE1961" s="9">
        <v>75.132723269302929</v>
      </c>
      <c r="AF1961" s="9">
        <v>82.290622386277917</v>
      </c>
      <c r="AG1961" s="9">
        <v>82.290622386277917</v>
      </c>
      <c r="AH1961" s="9">
        <v>90.43943145512165</v>
      </c>
      <c r="AI1961" s="9">
        <v>98.380048333692613</v>
      </c>
      <c r="AJ1961" s="9">
        <v>3.0428788910505911</v>
      </c>
    </row>
    <row r="1962" spans="1:36" x14ac:dyDescent="0.25">
      <c r="A1962" t="s">
        <v>5411</v>
      </c>
      <c r="B1962" t="s">
        <v>16</v>
      </c>
      <c r="C1962" t="s">
        <v>17</v>
      </c>
      <c r="D1962">
        <v>44670000</v>
      </c>
      <c r="E1962">
        <v>44679999</v>
      </c>
      <c r="F1962" t="s">
        <v>1758</v>
      </c>
      <c r="G1962" t="str">
        <f t="shared" si="60"/>
        <v>BAI II</v>
      </c>
      <c r="H1962" t="s">
        <v>1700</v>
      </c>
      <c r="I1962" t="s">
        <v>20</v>
      </c>
      <c r="J1962" t="s">
        <v>64</v>
      </c>
      <c r="K1962" s="6">
        <v>0.03</v>
      </c>
      <c r="L1962" s="7">
        <f t="shared" si="61"/>
        <v>2E-3</v>
      </c>
      <c r="M1962" s="7">
        <v>3.0000000000000001E-3</v>
      </c>
      <c r="N1962">
        <v>10</v>
      </c>
      <c r="O1962" s="8">
        <v>22.933916850949441</v>
      </c>
      <c r="P1962" s="9">
        <v>22.933916850949441</v>
      </c>
      <c r="Q1962" s="9">
        <v>22.933916850949441</v>
      </c>
      <c r="R1962" s="9">
        <v>25.173745848546066</v>
      </c>
      <c r="S1962" s="9">
        <v>27.641690539343774</v>
      </c>
      <c r="T1962" s="9">
        <v>29.730378573928668</v>
      </c>
      <c r="U1962" s="9">
        <v>36.183590217329723</v>
      </c>
      <c r="V1962" s="9">
        <v>36.183590217329723</v>
      </c>
      <c r="W1962" s="9">
        <v>36.183590217329723</v>
      </c>
      <c r="X1962" s="9">
        <v>43.522810559209468</v>
      </c>
      <c r="Y1962" s="9">
        <v>43.522810559209468</v>
      </c>
      <c r="Z1962" s="9">
        <v>50.960858783530121</v>
      </c>
      <c r="AA1962" s="9">
        <v>50.960858783530121</v>
      </c>
      <c r="AB1962" s="9">
        <v>58.507617678535738</v>
      </c>
      <c r="AC1962" s="9">
        <v>58.507617678535738</v>
      </c>
      <c r="AD1962" s="9">
        <v>68.105109643716474</v>
      </c>
      <c r="AE1962" s="9">
        <v>75.132723269302929</v>
      </c>
      <c r="AF1962" s="9">
        <v>82.290622386277917</v>
      </c>
      <c r="AG1962" s="9">
        <v>82.290622386277917</v>
      </c>
      <c r="AH1962" s="9">
        <v>90.43943145512165</v>
      </c>
      <c r="AI1962" s="9">
        <v>98.380048333692613</v>
      </c>
      <c r="AJ1962" s="9">
        <v>3.0428788910505911</v>
      </c>
    </row>
    <row r="1963" spans="1:36" x14ac:dyDescent="0.25">
      <c r="A1963" t="s">
        <v>5411</v>
      </c>
      <c r="B1963" t="s">
        <v>16</v>
      </c>
      <c r="C1963" t="s">
        <v>17</v>
      </c>
      <c r="D1963">
        <v>44680000</v>
      </c>
      <c r="E1963">
        <v>44689999</v>
      </c>
      <c r="F1963" t="s">
        <v>1759</v>
      </c>
      <c r="G1963" t="str">
        <f t="shared" si="60"/>
        <v>BAI II</v>
      </c>
      <c r="H1963" t="s">
        <v>1700</v>
      </c>
      <c r="I1963" t="s">
        <v>20</v>
      </c>
      <c r="J1963" t="s">
        <v>64</v>
      </c>
      <c r="K1963" s="6">
        <v>0.03</v>
      </c>
      <c r="L1963" s="7">
        <f t="shared" si="61"/>
        <v>2E-3</v>
      </c>
      <c r="M1963" s="7">
        <v>3.0000000000000001E-3</v>
      </c>
      <c r="N1963">
        <v>10</v>
      </c>
      <c r="O1963" s="8">
        <v>22.933916850949441</v>
      </c>
      <c r="P1963" s="9">
        <v>22.933916850949441</v>
      </c>
      <c r="Q1963" s="9">
        <v>22.933916850949441</v>
      </c>
      <c r="R1963" s="9">
        <v>25.173745848546066</v>
      </c>
      <c r="S1963" s="9">
        <v>27.641690539343774</v>
      </c>
      <c r="T1963" s="9">
        <v>29.730378573928668</v>
      </c>
      <c r="U1963" s="9">
        <v>36.183590217329723</v>
      </c>
      <c r="V1963" s="9">
        <v>36.183590217329723</v>
      </c>
      <c r="W1963" s="9">
        <v>36.183590217329723</v>
      </c>
      <c r="X1963" s="9">
        <v>43.522810559209468</v>
      </c>
      <c r="Y1963" s="9">
        <v>43.522810559209468</v>
      </c>
      <c r="Z1963" s="9">
        <v>50.960858783530121</v>
      </c>
      <c r="AA1963" s="9">
        <v>50.960858783530121</v>
      </c>
      <c r="AB1963" s="9">
        <v>58.507617678535738</v>
      </c>
      <c r="AC1963" s="9">
        <v>58.507617678535738</v>
      </c>
      <c r="AD1963" s="9">
        <v>68.105109643716474</v>
      </c>
      <c r="AE1963" s="9">
        <v>75.132723269302929</v>
      </c>
      <c r="AF1963" s="9">
        <v>82.290622386277917</v>
      </c>
      <c r="AG1963" s="9">
        <v>82.290622386277917</v>
      </c>
      <c r="AH1963" s="9">
        <v>90.43943145512165</v>
      </c>
      <c r="AI1963" s="9">
        <v>98.380048333692613</v>
      </c>
      <c r="AJ1963" s="9">
        <v>3.0428788910505911</v>
      </c>
    </row>
    <row r="1964" spans="1:36" x14ac:dyDescent="0.25">
      <c r="A1964" t="s">
        <v>5411</v>
      </c>
      <c r="B1964" t="s">
        <v>16</v>
      </c>
      <c r="C1964" t="s">
        <v>17</v>
      </c>
      <c r="D1964">
        <v>44690000</v>
      </c>
      <c r="E1964">
        <v>44694999</v>
      </c>
      <c r="F1964" t="s">
        <v>1760</v>
      </c>
      <c r="G1964" t="str">
        <f t="shared" si="60"/>
        <v>BAI II</v>
      </c>
      <c r="H1964" t="s">
        <v>1700</v>
      </c>
      <c r="I1964" t="s">
        <v>20</v>
      </c>
      <c r="J1964" t="s">
        <v>64</v>
      </c>
      <c r="K1964" s="6">
        <v>0.03</v>
      </c>
      <c r="L1964" s="7">
        <f t="shared" si="61"/>
        <v>2E-3</v>
      </c>
      <c r="M1964" s="7">
        <v>3.0000000000000001E-3</v>
      </c>
      <c r="N1964">
        <v>13</v>
      </c>
      <c r="O1964" s="8">
        <v>22.933916850949441</v>
      </c>
      <c r="P1964" s="9">
        <v>22.933916850949441</v>
      </c>
      <c r="Q1964" s="9">
        <v>22.933916850949441</v>
      </c>
      <c r="R1964" s="9">
        <v>25.173745848546066</v>
      </c>
      <c r="S1964" s="9">
        <v>27.641690539343774</v>
      </c>
      <c r="T1964" s="9">
        <v>29.730378573928668</v>
      </c>
      <c r="U1964" s="9">
        <v>36.183590217329723</v>
      </c>
      <c r="V1964" s="9">
        <v>36.183590217329723</v>
      </c>
      <c r="W1964" s="9">
        <v>36.183590217329723</v>
      </c>
      <c r="X1964" s="9">
        <v>43.522810559209468</v>
      </c>
      <c r="Y1964" s="9">
        <v>43.522810559209468</v>
      </c>
      <c r="Z1964" s="9">
        <v>50.960858783530121</v>
      </c>
      <c r="AA1964" s="9">
        <v>50.960858783530121</v>
      </c>
      <c r="AB1964" s="9">
        <v>58.507617678535738</v>
      </c>
      <c r="AC1964" s="9">
        <v>58.507617678535738</v>
      </c>
      <c r="AD1964" s="9">
        <v>68.105109643716474</v>
      </c>
      <c r="AE1964" s="9">
        <v>75.132723269302929</v>
      </c>
      <c r="AF1964" s="9">
        <v>82.290622386277917</v>
      </c>
      <c r="AG1964" s="9">
        <v>82.290622386277917</v>
      </c>
      <c r="AH1964" s="9">
        <v>90.43943145512165</v>
      </c>
      <c r="AI1964" s="9">
        <v>98.380048333692613</v>
      </c>
      <c r="AJ1964" s="9">
        <v>3.0428788910505911</v>
      </c>
    </row>
    <row r="1965" spans="1:36" x14ac:dyDescent="0.25">
      <c r="A1965" t="s">
        <v>5411</v>
      </c>
      <c r="B1965" t="s">
        <v>16</v>
      </c>
      <c r="C1965" t="s">
        <v>17</v>
      </c>
      <c r="D1965">
        <v>44695000</v>
      </c>
      <c r="E1965">
        <v>44697999</v>
      </c>
      <c r="F1965" t="s">
        <v>1761</v>
      </c>
      <c r="G1965" t="str">
        <f t="shared" si="60"/>
        <v>BAI II</v>
      </c>
      <c r="H1965" t="s">
        <v>1700</v>
      </c>
      <c r="I1965" t="s">
        <v>20</v>
      </c>
      <c r="J1965" t="s">
        <v>64</v>
      </c>
      <c r="K1965" s="6">
        <v>0.03</v>
      </c>
      <c r="L1965" s="7">
        <f t="shared" si="61"/>
        <v>2E-3</v>
      </c>
      <c r="M1965" s="7">
        <v>3.0000000000000001E-3</v>
      </c>
      <c r="N1965">
        <v>10</v>
      </c>
      <c r="O1965" s="8">
        <v>22.933916850949441</v>
      </c>
      <c r="P1965" s="9">
        <v>22.933916850949441</v>
      </c>
      <c r="Q1965" s="9">
        <v>22.933916850949441</v>
      </c>
      <c r="R1965" s="9">
        <v>25.173745848546066</v>
      </c>
      <c r="S1965" s="9">
        <v>27.641690539343774</v>
      </c>
      <c r="T1965" s="9">
        <v>29.730378573928668</v>
      </c>
      <c r="U1965" s="9">
        <v>36.183590217329723</v>
      </c>
      <c r="V1965" s="9">
        <v>36.183590217329723</v>
      </c>
      <c r="W1965" s="9">
        <v>36.183590217329723</v>
      </c>
      <c r="X1965" s="9">
        <v>43.522810559209468</v>
      </c>
      <c r="Y1965" s="9">
        <v>43.522810559209468</v>
      </c>
      <c r="Z1965" s="9">
        <v>50.960858783530121</v>
      </c>
      <c r="AA1965" s="9">
        <v>50.960858783530121</v>
      </c>
      <c r="AB1965" s="9">
        <v>58.507617678535738</v>
      </c>
      <c r="AC1965" s="9">
        <v>58.507617678535738</v>
      </c>
      <c r="AD1965" s="9">
        <v>68.105109643716474</v>
      </c>
      <c r="AE1965" s="9">
        <v>75.132723269302929</v>
      </c>
      <c r="AF1965" s="9">
        <v>82.290622386277917</v>
      </c>
      <c r="AG1965" s="9">
        <v>82.290622386277917</v>
      </c>
      <c r="AH1965" s="9">
        <v>90.43943145512165</v>
      </c>
      <c r="AI1965" s="9">
        <v>98.380048333692613</v>
      </c>
      <c r="AJ1965" s="9">
        <v>3.0428788910505911</v>
      </c>
    </row>
    <row r="1966" spans="1:36" x14ac:dyDescent="0.25">
      <c r="A1966" t="s">
        <v>5411</v>
      </c>
      <c r="B1966" t="s">
        <v>16</v>
      </c>
      <c r="C1966" t="s">
        <v>17</v>
      </c>
      <c r="D1966">
        <v>44698000</v>
      </c>
      <c r="E1966">
        <v>44699999</v>
      </c>
      <c r="F1966" t="s">
        <v>1762</v>
      </c>
      <c r="G1966" t="str">
        <f t="shared" si="60"/>
        <v>BAI</v>
      </c>
      <c r="H1966" t="s">
        <v>1700</v>
      </c>
      <c r="I1966" t="s">
        <v>20</v>
      </c>
      <c r="J1966" t="s">
        <v>62</v>
      </c>
      <c r="K1966" s="6">
        <v>0.03</v>
      </c>
      <c r="L1966" s="7">
        <f t="shared" si="61"/>
        <v>2E-3</v>
      </c>
      <c r="M1966" s="7">
        <v>3.0000000000000001E-3</v>
      </c>
      <c r="N1966">
        <v>14</v>
      </c>
      <c r="O1966" s="8">
        <v>18.830425793781675</v>
      </c>
      <c r="P1966" s="9">
        <v>18.830425793781675</v>
      </c>
      <c r="Q1966" s="9">
        <v>18.830425793781675</v>
      </c>
      <c r="R1966" s="9">
        <v>20.26742485247707</v>
      </c>
      <c r="S1966" s="9">
        <v>22.358597663519866</v>
      </c>
      <c r="T1966" s="9">
        <v>24.596422700701293</v>
      </c>
      <c r="U1966" s="9">
        <v>30.062806972770321</v>
      </c>
      <c r="V1966" s="9">
        <v>30.062806972770321</v>
      </c>
      <c r="W1966" s="9">
        <v>30.062806972770321</v>
      </c>
      <c r="X1966" s="9">
        <v>36.258834158198169</v>
      </c>
      <c r="Y1966" s="9">
        <v>36.258834158198169</v>
      </c>
      <c r="Z1966" s="9">
        <v>42.662152333319682</v>
      </c>
      <c r="AA1966" s="9">
        <v>42.662152333319682</v>
      </c>
      <c r="AB1966" s="9">
        <v>49.337721288156033</v>
      </c>
      <c r="AC1966" s="9">
        <v>49.337721288156033</v>
      </c>
      <c r="AD1966" s="9">
        <v>56.175614623482943</v>
      </c>
      <c r="AE1966" s="9">
        <v>63.196712014029359</v>
      </c>
      <c r="AF1966" s="9">
        <v>70.424649784246597</v>
      </c>
      <c r="AG1966" s="9">
        <v>70.424649784246597</v>
      </c>
      <c r="AH1966" s="9">
        <v>77.342680781352584</v>
      </c>
      <c r="AI1966" s="9">
        <v>84.743447231394711</v>
      </c>
      <c r="AJ1966" s="9">
        <v>3.0428788910505911</v>
      </c>
    </row>
    <row r="1967" spans="1:36" x14ac:dyDescent="0.25">
      <c r="A1967" t="s">
        <v>5411</v>
      </c>
      <c r="B1967" t="s">
        <v>16</v>
      </c>
      <c r="C1967" t="s">
        <v>17</v>
      </c>
      <c r="D1967">
        <v>44700000</v>
      </c>
      <c r="E1967">
        <v>44709999</v>
      </c>
      <c r="F1967" t="s">
        <v>1763</v>
      </c>
      <c r="G1967" t="str">
        <f t="shared" si="60"/>
        <v>BAI II</v>
      </c>
      <c r="H1967" t="s">
        <v>1700</v>
      </c>
      <c r="I1967" t="s">
        <v>20</v>
      </c>
      <c r="J1967" t="s">
        <v>64</v>
      </c>
      <c r="K1967" s="6">
        <v>0.03</v>
      </c>
      <c r="L1967" s="7">
        <f t="shared" si="61"/>
        <v>2E-3</v>
      </c>
      <c r="M1967" s="7">
        <v>3.0000000000000001E-3</v>
      </c>
      <c r="N1967">
        <v>10</v>
      </c>
      <c r="O1967" s="8">
        <v>22.933916850949441</v>
      </c>
      <c r="P1967" s="9">
        <v>22.933916850949441</v>
      </c>
      <c r="Q1967" s="9">
        <v>22.933916850949441</v>
      </c>
      <c r="R1967" s="9">
        <v>25.173745848546066</v>
      </c>
      <c r="S1967" s="9">
        <v>27.641690539343774</v>
      </c>
      <c r="T1967" s="9">
        <v>29.730378573928668</v>
      </c>
      <c r="U1967" s="9">
        <v>36.183590217329723</v>
      </c>
      <c r="V1967" s="9">
        <v>36.183590217329723</v>
      </c>
      <c r="W1967" s="9">
        <v>36.183590217329723</v>
      </c>
      <c r="X1967" s="9">
        <v>43.522810559209468</v>
      </c>
      <c r="Y1967" s="9">
        <v>43.522810559209468</v>
      </c>
      <c r="Z1967" s="9">
        <v>50.960858783530121</v>
      </c>
      <c r="AA1967" s="9">
        <v>50.960858783530121</v>
      </c>
      <c r="AB1967" s="9">
        <v>58.507617678535738</v>
      </c>
      <c r="AC1967" s="9">
        <v>58.507617678535738</v>
      </c>
      <c r="AD1967" s="9">
        <v>68.105109643716474</v>
      </c>
      <c r="AE1967" s="9">
        <v>75.132723269302929</v>
      </c>
      <c r="AF1967" s="9">
        <v>82.290622386277917</v>
      </c>
      <c r="AG1967" s="9">
        <v>82.290622386277917</v>
      </c>
      <c r="AH1967" s="9">
        <v>90.43943145512165</v>
      </c>
      <c r="AI1967" s="9">
        <v>98.380048333692613</v>
      </c>
      <c r="AJ1967" s="9">
        <v>3.0428788910505911</v>
      </c>
    </row>
    <row r="1968" spans="1:36" x14ac:dyDescent="0.25">
      <c r="A1968" t="s">
        <v>5411</v>
      </c>
      <c r="B1968" t="s">
        <v>16</v>
      </c>
      <c r="C1968" t="s">
        <v>17</v>
      </c>
      <c r="D1968">
        <v>44710000</v>
      </c>
      <c r="E1968">
        <v>44712999</v>
      </c>
      <c r="F1968" t="s">
        <v>1764</v>
      </c>
      <c r="G1968" t="str">
        <f t="shared" si="60"/>
        <v>BAI</v>
      </c>
      <c r="H1968" t="s">
        <v>1700</v>
      </c>
      <c r="I1968" t="s">
        <v>20</v>
      </c>
      <c r="J1968" t="s">
        <v>62</v>
      </c>
      <c r="K1968" s="6">
        <v>0.03</v>
      </c>
      <c r="L1968" s="7">
        <f t="shared" si="61"/>
        <v>2E-3</v>
      </c>
      <c r="M1968" s="7">
        <v>3.0000000000000001E-3</v>
      </c>
      <c r="N1968">
        <v>14</v>
      </c>
      <c r="O1968" s="8">
        <v>18.830425793781675</v>
      </c>
      <c r="P1968" s="9">
        <v>18.830425793781675</v>
      </c>
      <c r="Q1968" s="9">
        <v>18.830425793781675</v>
      </c>
      <c r="R1968" s="9">
        <v>20.26742485247707</v>
      </c>
      <c r="S1968" s="9">
        <v>22.358597663519866</v>
      </c>
      <c r="T1968" s="9">
        <v>24.596422700701293</v>
      </c>
      <c r="U1968" s="9">
        <v>30.062806972770321</v>
      </c>
      <c r="V1968" s="9">
        <v>30.062806972770321</v>
      </c>
      <c r="W1968" s="9">
        <v>30.062806972770321</v>
      </c>
      <c r="X1968" s="9">
        <v>36.258834158198169</v>
      </c>
      <c r="Y1968" s="9">
        <v>36.258834158198169</v>
      </c>
      <c r="Z1968" s="9">
        <v>42.662152333319682</v>
      </c>
      <c r="AA1968" s="9">
        <v>42.662152333319682</v>
      </c>
      <c r="AB1968" s="9">
        <v>49.337721288156033</v>
      </c>
      <c r="AC1968" s="9">
        <v>49.337721288156033</v>
      </c>
      <c r="AD1968" s="9">
        <v>56.175614623482943</v>
      </c>
      <c r="AE1968" s="9">
        <v>63.196712014029359</v>
      </c>
      <c r="AF1968" s="9">
        <v>70.424649784246597</v>
      </c>
      <c r="AG1968" s="9">
        <v>70.424649784246597</v>
      </c>
      <c r="AH1968" s="9">
        <v>77.342680781352584</v>
      </c>
      <c r="AI1968" s="9">
        <v>84.743447231394711</v>
      </c>
      <c r="AJ1968" s="9">
        <v>3.0428788910505911</v>
      </c>
    </row>
    <row r="1969" spans="1:36" x14ac:dyDescent="0.25">
      <c r="A1969" t="s">
        <v>5411</v>
      </c>
      <c r="B1969" t="s">
        <v>16</v>
      </c>
      <c r="C1969" t="s">
        <v>17</v>
      </c>
      <c r="D1969">
        <v>44713000</v>
      </c>
      <c r="E1969">
        <v>44714999</v>
      </c>
      <c r="F1969" t="s">
        <v>1765</v>
      </c>
      <c r="G1969" t="str">
        <f t="shared" si="60"/>
        <v>BAI</v>
      </c>
      <c r="H1969" t="s">
        <v>1700</v>
      </c>
      <c r="I1969" t="s">
        <v>20</v>
      </c>
      <c r="J1969" t="s">
        <v>62</v>
      </c>
      <c r="K1969" s="6">
        <v>0.03</v>
      </c>
      <c r="L1969" s="7">
        <f t="shared" si="61"/>
        <v>2E-3</v>
      </c>
      <c r="M1969" s="7">
        <v>3.0000000000000001E-3</v>
      </c>
      <c r="N1969">
        <v>14</v>
      </c>
      <c r="O1969" s="8">
        <v>18.830425793781675</v>
      </c>
      <c r="P1969" s="9">
        <v>18.830425793781675</v>
      </c>
      <c r="Q1969" s="9">
        <v>18.830425793781675</v>
      </c>
      <c r="R1969" s="9">
        <v>20.26742485247707</v>
      </c>
      <c r="S1969" s="9">
        <v>22.358597663519866</v>
      </c>
      <c r="T1969" s="9">
        <v>24.596422700701293</v>
      </c>
      <c r="U1969" s="9">
        <v>30.062806972770321</v>
      </c>
      <c r="V1969" s="9">
        <v>30.062806972770321</v>
      </c>
      <c r="W1969" s="9">
        <v>30.062806972770321</v>
      </c>
      <c r="X1969" s="9">
        <v>36.258834158198169</v>
      </c>
      <c r="Y1969" s="9">
        <v>36.258834158198169</v>
      </c>
      <c r="Z1969" s="9">
        <v>42.662152333319682</v>
      </c>
      <c r="AA1969" s="9">
        <v>42.662152333319682</v>
      </c>
      <c r="AB1969" s="9">
        <v>49.337721288156033</v>
      </c>
      <c r="AC1969" s="9">
        <v>49.337721288156033</v>
      </c>
      <c r="AD1969" s="9">
        <v>56.175614623482943</v>
      </c>
      <c r="AE1969" s="9">
        <v>63.196712014029359</v>
      </c>
      <c r="AF1969" s="9">
        <v>70.424649784246597</v>
      </c>
      <c r="AG1969" s="9">
        <v>70.424649784246597</v>
      </c>
      <c r="AH1969" s="9">
        <v>77.342680781352584</v>
      </c>
      <c r="AI1969" s="9">
        <v>84.743447231394711</v>
      </c>
      <c r="AJ1969" s="9">
        <v>3.0428788910505911</v>
      </c>
    </row>
    <row r="1970" spans="1:36" x14ac:dyDescent="0.25">
      <c r="A1970" t="s">
        <v>5411</v>
      </c>
      <c r="B1970" t="s">
        <v>16</v>
      </c>
      <c r="C1970" t="s">
        <v>17</v>
      </c>
      <c r="D1970">
        <v>44715000</v>
      </c>
      <c r="E1970">
        <v>44717999</v>
      </c>
      <c r="F1970" t="s">
        <v>1766</v>
      </c>
      <c r="G1970" t="str">
        <f t="shared" si="60"/>
        <v>BAI</v>
      </c>
      <c r="H1970" t="s">
        <v>1700</v>
      </c>
      <c r="I1970" t="s">
        <v>20</v>
      </c>
      <c r="J1970" t="s">
        <v>62</v>
      </c>
      <c r="K1970" s="6">
        <v>0.03</v>
      </c>
      <c r="L1970" s="7">
        <f t="shared" si="61"/>
        <v>2E-3</v>
      </c>
      <c r="M1970" s="7">
        <v>3.0000000000000001E-3</v>
      </c>
      <c r="N1970">
        <v>14</v>
      </c>
      <c r="O1970" s="8">
        <v>18.830425793781675</v>
      </c>
      <c r="P1970" s="9">
        <v>18.830425793781675</v>
      </c>
      <c r="Q1970" s="9">
        <v>18.830425793781675</v>
      </c>
      <c r="R1970" s="9">
        <v>20.26742485247707</v>
      </c>
      <c r="S1970" s="9">
        <v>22.358597663519866</v>
      </c>
      <c r="T1970" s="9">
        <v>24.596422700701293</v>
      </c>
      <c r="U1970" s="9">
        <v>30.062806972770321</v>
      </c>
      <c r="V1970" s="9">
        <v>30.062806972770321</v>
      </c>
      <c r="W1970" s="9">
        <v>30.062806972770321</v>
      </c>
      <c r="X1970" s="9">
        <v>36.258834158198169</v>
      </c>
      <c r="Y1970" s="9">
        <v>36.258834158198169</v>
      </c>
      <c r="Z1970" s="9">
        <v>42.662152333319682</v>
      </c>
      <c r="AA1970" s="9">
        <v>42.662152333319682</v>
      </c>
      <c r="AB1970" s="9">
        <v>49.337721288156033</v>
      </c>
      <c r="AC1970" s="9">
        <v>49.337721288156033</v>
      </c>
      <c r="AD1970" s="9">
        <v>56.175614623482943</v>
      </c>
      <c r="AE1970" s="9">
        <v>63.196712014029359</v>
      </c>
      <c r="AF1970" s="9">
        <v>70.424649784246597</v>
      </c>
      <c r="AG1970" s="9">
        <v>70.424649784246597</v>
      </c>
      <c r="AH1970" s="9">
        <v>77.342680781352584</v>
      </c>
      <c r="AI1970" s="9">
        <v>84.743447231394711</v>
      </c>
      <c r="AJ1970" s="9">
        <v>3.0428788910505911</v>
      </c>
    </row>
    <row r="1971" spans="1:36" x14ac:dyDescent="0.25">
      <c r="A1971" t="s">
        <v>5411</v>
      </c>
      <c r="B1971" t="s">
        <v>16</v>
      </c>
      <c r="C1971" t="s">
        <v>17</v>
      </c>
      <c r="D1971">
        <v>44718000</v>
      </c>
      <c r="E1971">
        <v>44719999</v>
      </c>
      <c r="F1971" t="s">
        <v>1767</v>
      </c>
      <c r="G1971" t="str">
        <f t="shared" si="60"/>
        <v>BAI II</v>
      </c>
      <c r="H1971" t="s">
        <v>1700</v>
      </c>
      <c r="I1971" t="s">
        <v>20</v>
      </c>
      <c r="J1971" t="s">
        <v>64</v>
      </c>
      <c r="K1971" s="6">
        <v>0.03</v>
      </c>
      <c r="L1971" s="7">
        <f t="shared" si="61"/>
        <v>2E-3</v>
      </c>
      <c r="M1971" s="7">
        <v>3.0000000000000001E-3</v>
      </c>
      <c r="N1971">
        <v>13</v>
      </c>
      <c r="O1971" s="8">
        <v>22.933916850949441</v>
      </c>
      <c r="P1971" s="9">
        <v>22.933916850949441</v>
      </c>
      <c r="Q1971" s="9">
        <v>22.933916850949441</v>
      </c>
      <c r="R1971" s="9">
        <v>25.173745848546066</v>
      </c>
      <c r="S1971" s="9">
        <v>27.641690539343774</v>
      </c>
      <c r="T1971" s="9">
        <v>29.730378573928668</v>
      </c>
      <c r="U1971" s="9">
        <v>36.183590217329723</v>
      </c>
      <c r="V1971" s="9">
        <v>36.183590217329723</v>
      </c>
      <c r="W1971" s="9">
        <v>36.183590217329723</v>
      </c>
      <c r="X1971" s="9">
        <v>43.522810559209468</v>
      </c>
      <c r="Y1971" s="9">
        <v>43.522810559209468</v>
      </c>
      <c r="Z1971" s="9">
        <v>50.960858783530121</v>
      </c>
      <c r="AA1971" s="9">
        <v>50.960858783530121</v>
      </c>
      <c r="AB1971" s="9">
        <v>58.507617678535738</v>
      </c>
      <c r="AC1971" s="9">
        <v>58.507617678535738</v>
      </c>
      <c r="AD1971" s="9">
        <v>68.105109643716474</v>
      </c>
      <c r="AE1971" s="9">
        <v>75.132723269302929</v>
      </c>
      <c r="AF1971" s="9">
        <v>82.290622386277917</v>
      </c>
      <c r="AG1971" s="9">
        <v>82.290622386277917</v>
      </c>
      <c r="AH1971" s="9">
        <v>90.43943145512165</v>
      </c>
      <c r="AI1971" s="9">
        <v>98.380048333692613</v>
      </c>
      <c r="AJ1971" s="9">
        <v>3.0428788910505911</v>
      </c>
    </row>
    <row r="1972" spans="1:36" x14ac:dyDescent="0.25">
      <c r="A1972" t="s">
        <v>5411</v>
      </c>
      <c r="B1972" t="s">
        <v>16</v>
      </c>
      <c r="C1972" t="s">
        <v>17</v>
      </c>
      <c r="D1972">
        <v>44720000</v>
      </c>
      <c r="E1972">
        <v>44729999</v>
      </c>
      <c r="F1972" t="s">
        <v>1768</v>
      </c>
      <c r="G1972" t="str">
        <f t="shared" si="60"/>
        <v>BAI II</v>
      </c>
      <c r="H1972" t="s">
        <v>1700</v>
      </c>
      <c r="I1972" t="s">
        <v>20</v>
      </c>
      <c r="J1972" t="s">
        <v>64</v>
      </c>
      <c r="K1972" s="6">
        <v>0.03</v>
      </c>
      <c r="L1972" s="7">
        <f t="shared" si="61"/>
        <v>2E-3</v>
      </c>
      <c r="M1972" s="7">
        <v>3.0000000000000001E-3</v>
      </c>
      <c r="N1972">
        <v>10</v>
      </c>
      <c r="O1972" s="8">
        <v>22.933916850949441</v>
      </c>
      <c r="P1972" s="9">
        <v>22.933916850949441</v>
      </c>
      <c r="Q1972" s="9">
        <v>22.933916850949441</v>
      </c>
      <c r="R1972" s="9">
        <v>25.173745848546066</v>
      </c>
      <c r="S1972" s="9">
        <v>27.641690539343774</v>
      </c>
      <c r="T1972" s="9">
        <v>29.730378573928668</v>
      </c>
      <c r="U1972" s="9">
        <v>36.183590217329723</v>
      </c>
      <c r="V1972" s="9">
        <v>36.183590217329723</v>
      </c>
      <c r="W1972" s="9">
        <v>36.183590217329723</v>
      </c>
      <c r="X1972" s="9">
        <v>43.522810559209468</v>
      </c>
      <c r="Y1972" s="9">
        <v>43.522810559209468</v>
      </c>
      <c r="Z1972" s="9">
        <v>50.960858783530121</v>
      </c>
      <c r="AA1972" s="9">
        <v>50.960858783530121</v>
      </c>
      <c r="AB1972" s="9">
        <v>58.507617678535738</v>
      </c>
      <c r="AC1972" s="9">
        <v>58.507617678535738</v>
      </c>
      <c r="AD1972" s="9">
        <v>68.105109643716474</v>
      </c>
      <c r="AE1972" s="9">
        <v>75.132723269302929</v>
      </c>
      <c r="AF1972" s="9">
        <v>82.290622386277917</v>
      </c>
      <c r="AG1972" s="9">
        <v>82.290622386277917</v>
      </c>
      <c r="AH1972" s="9">
        <v>90.43943145512165</v>
      </c>
      <c r="AI1972" s="9">
        <v>98.380048333692613</v>
      </c>
      <c r="AJ1972" s="9">
        <v>3.0428788910505911</v>
      </c>
    </row>
    <row r="1973" spans="1:36" x14ac:dyDescent="0.25">
      <c r="A1973" t="s">
        <v>5411</v>
      </c>
      <c r="B1973" t="s">
        <v>16</v>
      </c>
      <c r="C1973" t="s">
        <v>17</v>
      </c>
      <c r="D1973">
        <v>44730000</v>
      </c>
      <c r="E1973">
        <v>44739999</v>
      </c>
      <c r="F1973" t="s">
        <v>1769</v>
      </c>
      <c r="G1973" t="str">
        <f t="shared" si="60"/>
        <v>BAI II</v>
      </c>
      <c r="H1973" t="s">
        <v>1700</v>
      </c>
      <c r="I1973" t="s">
        <v>20</v>
      </c>
      <c r="J1973" t="s">
        <v>64</v>
      </c>
      <c r="K1973" s="6">
        <v>0.03</v>
      </c>
      <c r="L1973" s="7">
        <f t="shared" si="61"/>
        <v>2E-3</v>
      </c>
      <c r="M1973" s="7">
        <v>3.0000000000000001E-3</v>
      </c>
      <c r="N1973">
        <v>13</v>
      </c>
      <c r="O1973" s="8">
        <v>22.933916850949441</v>
      </c>
      <c r="P1973" s="9">
        <v>22.933916850949441</v>
      </c>
      <c r="Q1973" s="9">
        <v>22.933916850949441</v>
      </c>
      <c r="R1973" s="9">
        <v>25.173745848546066</v>
      </c>
      <c r="S1973" s="9">
        <v>27.641690539343774</v>
      </c>
      <c r="T1973" s="9">
        <v>29.730378573928668</v>
      </c>
      <c r="U1973" s="9">
        <v>36.183590217329723</v>
      </c>
      <c r="V1973" s="9">
        <v>36.183590217329723</v>
      </c>
      <c r="W1973" s="9">
        <v>36.183590217329723</v>
      </c>
      <c r="X1973" s="9">
        <v>43.522810559209468</v>
      </c>
      <c r="Y1973" s="9">
        <v>43.522810559209468</v>
      </c>
      <c r="Z1973" s="9">
        <v>50.960858783530121</v>
      </c>
      <c r="AA1973" s="9">
        <v>50.960858783530121</v>
      </c>
      <c r="AB1973" s="9">
        <v>58.507617678535738</v>
      </c>
      <c r="AC1973" s="9">
        <v>58.507617678535738</v>
      </c>
      <c r="AD1973" s="9">
        <v>68.105109643716474</v>
      </c>
      <c r="AE1973" s="9">
        <v>75.132723269302929</v>
      </c>
      <c r="AF1973" s="9">
        <v>82.290622386277917</v>
      </c>
      <c r="AG1973" s="9">
        <v>82.290622386277917</v>
      </c>
      <c r="AH1973" s="9">
        <v>90.43943145512165</v>
      </c>
      <c r="AI1973" s="9">
        <v>98.380048333692613</v>
      </c>
      <c r="AJ1973" s="9">
        <v>3.0428788910505911</v>
      </c>
    </row>
    <row r="1974" spans="1:36" x14ac:dyDescent="0.25">
      <c r="A1974" t="s">
        <v>5411</v>
      </c>
      <c r="B1974" t="s">
        <v>16</v>
      </c>
      <c r="C1974" t="s">
        <v>17</v>
      </c>
      <c r="D1974">
        <v>44740000</v>
      </c>
      <c r="E1974">
        <v>44744999</v>
      </c>
      <c r="F1974" t="s">
        <v>1770</v>
      </c>
      <c r="G1974" t="str">
        <f t="shared" si="60"/>
        <v>BAI II</v>
      </c>
      <c r="H1974" t="s">
        <v>1700</v>
      </c>
      <c r="I1974" t="s">
        <v>20</v>
      </c>
      <c r="J1974" t="s">
        <v>64</v>
      </c>
      <c r="K1974" s="6">
        <v>0.03</v>
      </c>
      <c r="L1974" s="7">
        <f t="shared" si="61"/>
        <v>2E-3</v>
      </c>
      <c r="M1974" s="7">
        <v>3.0000000000000001E-3</v>
      </c>
      <c r="N1974">
        <v>14</v>
      </c>
      <c r="O1974" s="8">
        <v>22.933916850949441</v>
      </c>
      <c r="P1974" s="9">
        <v>22.933916850949441</v>
      </c>
      <c r="Q1974" s="9">
        <v>22.933916850949441</v>
      </c>
      <c r="R1974" s="9">
        <v>25.173745848546066</v>
      </c>
      <c r="S1974" s="9">
        <v>27.641690539343774</v>
      </c>
      <c r="T1974" s="9">
        <v>29.730378573928668</v>
      </c>
      <c r="U1974" s="9">
        <v>36.183590217329723</v>
      </c>
      <c r="V1974" s="9">
        <v>36.183590217329723</v>
      </c>
      <c r="W1974" s="9">
        <v>36.183590217329723</v>
      </c>
      <c r="X1974" s="9">
        <v>43.522810559209468</v>
      </c>
      <c r="Y1974" s="9">
        <v>43.522810559209468</v>
      </c>
      <c r="Z1974" s="9">
        <v>50.960858783530121</v>
      </c>
      <c r="AA1974" s="9">
        <v>50.960858783530121</v>
      </c>
      <c r="AB1974" s="9">
        <v>58.507617678535738</v>
      </c>
      <c r="AC1974" s="9">
        <v>58.507617678535738</v>
      </c>
      <c r="AD1974" s="9">
        <v>68.105109643716474</v>
      </c>
      <c r="AE1974" s="9">
        <v>75.132723269302929</v>
      </c>
      <c r="AF1974" s="9">
        <v>82.290622386277917</v>
      </c>
      <c r="AG1974" s="9">
        <v>82.290622386277917</v>
      </c>
      <c r="AH1974" s="9">
        <v>90.43943145512165</v>
      </c>
      <c r="AI1974" s="9">
        <v>98.380048333692613</v>
      </c>
      <c r="AJ1974" s="9">
        <v>3.0428788910505911</v>
      </c>
    </row>
    <row r="1975" spans="1:36" x14ac:dyDescent="0.25">
      <c r="A1975" t="s">
        <v>5411</v>
      </c>
      <c r="B1975" t="s">
        <v>16</v>
      </c>
      <c r="C1975" t="s">
        <v>17</v>
      </c>
      <c r="D1975">
        <v>44745000</v>
      </c>
      <c r="E1975">
        <v>44749999</v>
      </c>
      <c r="F1975" t="s">
        <v>1771</v>
      </c>
      <c r="G1975" t="str">
        <f t="shared" si="60"/>
        <v>BAI II</v>
      </c>
      <c r="H1975" t="s">
        <v>1700</v>
      </c>
      <c r="I1975" t="s">
        <v>20</v>
      </c>
      <c r="J1975" t="s">
        <v>64</v>
      </c>
      <c r="K1975" s="6">
        <v>0.03</v>
      </c>
      <c r="L1975" s="7">
        <f t="shared" si="61"/>
        <v>2E-3</v>
      </c>
      <c r="M1975" s="7">
        <v>3.0000000000000001E-3</v>
      </c>
      <c r="N1975">
        <v>13</v>
      </c>
      <c r="O1975" s="8">
        <v>22.933916850949441</v>
      </c>
      <c r="P1975" s="9">
        <v>22.933916850949441</v>
      </c>
      <c r="Q1975" s="9">
        <v>22.933916850949441</v>
      </c>
      <c r="R1975" s="9">
        <v>25.173745848546066</v>
      </c>
      <c r="S1975" s="9">
        <v>27.641690539343774</v>
      </c>
      <c r="T1975" s="9">
        <v>29.730378573928668</v>
      </c>
      <c r="U1975" s="9">
        <v>36.183590217329723</v>
      </c>
      <c r="V1975" s="9">
        <v>36.183590217329723</v>
      </c>
      <c r="W1975" s="9">
        <v>36.183590217329723</v>
      </c>
      <c r="X1975" s="9">
        <v>43.522810559209468</v>
      </c>
      <c r="Y1975" s="9">
        <v>43.522810559209468</v>
      </c>
      <c r="Z1975" s="9">
        <v>50.960858783530121</v>
      </c>
      <c r="AA1975" s="9">
        <v>50.960858783530121</v>
      </c>
      <c r="AB1975" s="9">
        <v>58.507617678535738</v>
      </c>
      <c r="AC1975" s="9">
        <v>58.507617678535738</v>
      </c>
      <c r="AD1975" s="9">
        <v>68.105109643716474</v>
      </c>
      <c r="AE1975" s="9">
        <v>75.132723269302929</v>
      </c>
      <c r="AF1975" s="9">
        <v>82.290622386277917</v>
      </c>
      <c r="AG1975" s="9">
        <v>82.290622386277917</v>
      </c>
      <c r="AH1975" s="9">
        <v>90.43943145512165</v>
      </c>
      <c r="AI1975" s="9">
        <v>98.380048333692613</v>
      </c>
      <c r="AJ1975" s="9">
        <v>3.0428788910505911</v>
      </c>
    </row>
    <row r="1976" spans="1:36" x14ac:dyDescent="0.25">
      <c r="A1976" t="s">
        <v>5411</v>
      </c>
      <c r="B1976" t="s">
        <v>16</v>
      </c>
      <c r="C1976" t="s">
        <v>17</v>
      </c>
      <c r="D1976">
        <v>44750000</v>
      </c>
      <c r="E1976">
        <v>44754999</v>
      </c>
      <c r="F1976" t="s">
        <v>1772</v>
      </c>
      <c r="G1976" t="str">
        <f t="shared" si="60"/>
        <v>BAI II</v>
      </c>
      <c r="H1976" t="s">
        <v>1700</v>
      </c>
      <c r="I1976" t="s">
        <v>20</v>
      </c>
      <c r="J1976" t="s">
        <v>64</v>
      </c>
      <c r="K1976" s="6">
        <v>0.03</v>
      </c>
      <c r="L1976" s="7">
        <f t="shared" si="61"/>
        <v>2E-3</v>
      </c>
      <c r="M1976" s="7">
        <v>3.0000000000000001E-3</v>
      </c>
      <c r="N1976">
        <v>13</v>
      </c>
      <c r="O1976" s="8">
        <v>22.933916850949441</v>
      </c>
      <c r="P1976" s="9">
        <v>22.933916850949441</v>
      </c>
      <c r="Q1976" s="9">
        <v>22.933916850949441</v>
      </c>
      <c r="R1976" s="9">
        <v>25.173745848546066</v>
      </c>
      <c r="S1976" s="9">
        <v>27.641690539343774</v>
      </c>
      <c r="T1976" s="9">
        <v>29.730378573928668</v>
      </c>
      <c r="U1976" s="9">
        <v>36.183590217329723</v>
      </c>
      <c r="V1976" s="9">
        <v>36.183590217329723</v>
      </c>
      <c r="W1976" s="9">
        <v>36.183590217329723</v>
      </c>
      <c r="X1976" s="9">
        <v>43.522810559209468</v>
      </c>
      <c r="Y1976" s="9">
        <v>43.522810559209468</v>
      </c>
      <c r="Z1976" s="9">
        <v>50.960858783530121</v>
      </c>
      <c r="AA1976" s="9">
        <v>50.960858783530121</v>
      </c>
      <c r="AB1976" s="9">
        <v>58.507617678535738</v>
      </c>
      <c r="AC1976" s="9">
        <v>58.507617678535738</v>
      </c>
      <c r="AD1976" s="9">
        <v>68.105109643716474</v>
      </c>
      <c r="AE1976" s="9">
        <v>75.132723269302929</v>
      </c>
      <c r="AF1976" s="9">
        <v>82.290622386277917</v>
      </c>
      <c r="AG1976" s="9">
        <v>82.290622386277917</v>
      </c>
      <c r="AH1976" s="9">
        <v>90.43943145512165</v>
      </c>
      <c r="AI1976" s="9">
        <v>98.380048333692613</v>
      </c>
      <c r="AJ1976" s="9">
        <v>3.0428788910505911</v>
      </c>
    </row>
    <row r="1977" spans="1:36" x14ac:dyDescent="0.25">
      <c r="A1977" t="s">
        <v>5411</v>
      </c>
      <c r="B1977" t="s">
        <v>16</v>
      </c>
      <c r="C1977" t="s">
        <v>17</v>
      </c>
      <c r="D1977">
        <v>44755000</v>
      </c>
      <c r="E1977">
        <v>44769999</v>
      </c>
      <c r="F1977" t="s">
        <v>1773</v>
      </c>
      <c r="G1977" t="str">
        <f t="shared" si="60"/>
        <v>BAI II</v>
      </c>
      <c r="H1977" t="s">
        <v>1700</v>
      </c>
      <c r="I1977" t="s">
        <v>20</v>
      </c>
      <c r="J1977" t="s">
        <v>64</v>
      </c>
      <c r="K1977" s="6">
        <v>0.03</v>
      </c>
      <c r="L1977" s="7">
        <f t="shared" si="61"/>
        <v>2E-3</v>
      </c>
      <c r="M1977" s="7">
        <v>3.0000000000000001E-3</v>
      </c>
      <c r="N1977">
        <v>14</v>
      </c>
      <c r="O1977" s="8">
        <v>22.933916850949441</v>
      </c>
      <c r="P1977" s="9">
        <v>22.933916850949441</v>
      </c>
      <c r="Q1977" s="9">
        <v>22.933916850949441</v>
      </c>
      <c r="R1977" s="9">
        <v>25.173745848546066</v>
      </c>
      <c r="S1977" s="9">
        <v>27.641690539343774</v>
      </c>
      <c r="T1977" s="9">
        <v>29.730378573928668</v>
      </c>
      <c r="U1977" s="9">
        <v>36.183590217329723</v>
      </c>
      <c r="V1977" s="9">
        <v>36.183590217329723</v>
      </c>
      <c r="W1977" s="9">
        <v>36.183590217329723</v>
      </c>
      <c r="X1977" s="9">
        <v>43.522810559209468</v>
      </c>
      <c r="Y1977" s="9">
        <v>43.522810559209468</v>
      </c>
      <c r="Z1977" s="9">
        <v>50.960858783530121</v>
      </c>
      <c r="AA1977" s="9">
        <v>50.960858783530121</v>
      </c>
      <c r="AB1977" s="9">
        <v>58.507617678535738</v>
      </c>
      <c r="AC1977" s="9">
        <v>58.507617678535738</v>
      </c>
      <c r="AD1977" s="9">
        <v>68.105109643716474</v>
      </c>
      <c r="AE1977" s="9">
        <v>75.132723269302929</v>
      </c>
      <c r="AF1977" s="9">
        <v>82.290622386277917</v>
      </c>
      <c r="AG1977" s="9">
        <v>82.290622386277917</v>
      </c>
      <c r="AH1977" s="9">
        <v>90.43943145512165</v>
      </c>
      <c r="AI1977" s="9">
        <v>98.380048333692613</v>
      </c>
      <c r="AJ1977" s="9">
        <v>3.0428788910505911</v>
      </c>
    </row>
    <row r="1978" spans="1:36" x14ac:dyDescent="0.25">
      <c r="A1978" t="s">
        <v>5411</v>
      </c>
      <c r="B1978" t="s">
        <v>16</v>
      </c>
      <c r="C1978" t="s">
        <v>17</v>
      </c>
      <c r="D1978">
        <v>44770000</v>
      </c>
      <c r="E1978">
        <v>44774999</v>
      </c>
      <c r="F1978" t="s">
        <v>1774</v>
      </c>
      <c r="G1978" t="str">
        <f t="shared" si="60"/>
        <v>BAI II</v>
      </c>
      <c r="H1978" t="s">
        <v>1700</v>
      </c>
      <c r="I1978" t="s">
        <v>20</v>
      </c>
      <c r="J1978" t="s">
        <v>64</v>
      </c>
      <c r="K1978" s="6">
        <v>0.03</v>
      </c>
      <c r="L1978" s="7">
        <f t="shared" si="61"/>
        <v>2E-3</v>
      </c>
      <c r="M1978" s="7">
        <v>3.0000000000000001E-3</v>
      </c>
      <c r="N1978">
        <v>13</v>
      </c>
      <c r="O1978" s="8">
        <v>22.933916850949441</v>
      </c>
      <c r="P1978" s="9">
        <v>22.933916850949441</v>
      </c>
      <c r="Q1978" s="9">
        <v>22.933916850949441</v>
      </c>
      <c r="R1978" s="9">
        <v>25.173745848546066</v>
      </c>
      <c r="S1978" s="9">
        <v>27.641690539343774</v>
      </c>
      <c r="T1978" s="9">
        <v>29.730378573928668</v>
      </c>
      <c r="U1978" s="9">
        <v>36.183590217329723</v>
      </c>
      <c r="V1978" s="9">
        <v>36.183590217329723</v>
      </c>
      <c r="W1978" s="9">
        <v>36.183590217329723</v>
      </c>
      <c r="X1978" s="9">
        <v>43.522810559209468</v>
      </c>
      <c r="Y1978" s="9">
        <v>43.522810559209468</v>
      </c>
      <c r="Z1978" s="9">
        <v>50.960858783530121</v>
      </c>
      <c r="AA1978" s="9">
        <v>50.960858783530121</v>
      </c>
      <c r="AB1978" s="9">
        <v>58.507617678535738</v>
      </c>
      <c r="AC1978" s="9">
        <v>58.507617678535738</v>
      </c>
      <c r="AD1978" s="9">
        <v>68.105109643716474</v>
      </c>
      <c r="AE1978" s="9">
        <v>75.132723269302929</v>
      </c>
      <c r="AF1978" s="9">
        <v>82.290622386277917</v>
      </c>
      <c r="AG1978" s="9">
        <v>82.290622386277917</v>
      </c>
      <c r="AH1978" s="9">
        <v>90.43943145512165</v>
      </c>
      <c r="AI1978" s="9">
        <v>98.380048333692613</v>
      </c>
      <c r="AJ1978" s="9">
        <v>3.0428788910505911</v>
      </c>
    </row>
    <row r="1979" spans="1:36" x14ac:dyDescent="0.25">
      <c r="A1979" t="s">
        <v>5411</v>
      </c>
      <c r="B1979" t="s">
        <v>16</v>
      </c>
      <c r="C1979" t="s">
        <v>17</v>
      </c>
      <c r="D1979">
        <v>44775000</v>
      </c>
      <c r="E1979">
        <v>44779999</v>
      </c>
      <c r="F1979" t="s">
        <v>1775</v>
      </c>
      <c r="G1979" t="str">
        <f t="shared" si="60"/>
        <v>BAI II</v>
      </c>
      <c r="H1979" t="s">
        <v>1700</v>
      </c>
      <c r="I1979" t="s">
        <v>20</v>
      </c>
      <c r="J1979" t="s">
        <v>64</v>
      </c>
      <c r="K1979" s="6">
        <v>0.03</v>
      </c>
      <c r="L1979" s="7">
        <f t="shared" si="61"/>
        <v>2E-3</v>
      </c>
      <c r="M1979" s="7">
        <v>3.0000000000000001E-3</v>
      </c>
      <c r="N1979">
        <v>14</v>
      </c>
      <c r="O1979" s="8">
        <v>22.933916850949441</v>
      </c>
      <c r="P1979" s="9">
        <v>22.933916850949441</v>
      </c>
      <c r="Q1979" s="9">
        <v>22.933916850949441</v>
      </c>
      <c r="R1979" s="9">
        <v>25.173745848546066</v>
      </c>
      <c r="S1979" s="9">
        <v>27.641690539343774</v>
      </c>
      <c r="T1979" s="9">
        <v>29.730378573928668</v>
      </c>
      <c r="U1979" s="9">
        <v>36.183590217329723</v>
      </c>
      <c r="V1979" s="9">
        <v>36.183590217329723</v>
      </c>
      <c r="W1979" s="9">
        <v>36.183590217329723</v>
      </c>
      <c r="X1979" s="9">
        <v>43.522810559209468</v>
      </c>
      <c r="Y1979" s="9">
        <v>43.522810559209468</v>
      </c>
      <c r="Z1979" s="9">
        <v>50.960858783530121</v>
      </c>
      <c r="AA1979" s="9">
        <v>50.960858783530121</v>
      </c>
      <c r="AB1979" s="9">
        <v>58.507617678535738</v>
      </c>
      <c r="AC1979" s="9">
        <v>58.507617678535738</v>
      </c>
      <c r="AD1979" s="9">
        <v>68.105109643716474</v>
      </c>
      <c r="AE1979" s="9">
        <v>75.132723269302929</v>
      </c>
      <c r="AF1979" s="9">
        <v>82.290622386277917</v>
      </c>
      <c r="AG1979" s="9">
        <v>82.290622386277917</v>
      </c>
      <c r="AH1979" s="9">
        <v>90.43943145512165</v>
      </c>
      <c r="AI1979" s="9">
        <v>98.380048333692613</v>
      </c>
      <c r="AJ1979" s="9">
        <v>3.0428788910505911</v>
      </c>
    </row>
    <row r="1980" spans="1:36" x14ac:dyDescent="0.25">
      <c r="A1980" t="s">
        <v>5411</v>
      </c>
      <c r="B1980" t="s">
        <v>16</v>
      </c>
      <c r="C1980" t="s">
        <v>17</v>
      </c>
      <c r="D1980">
        <v>44780000</v>
      </c>
      <c r="E1980">
        <v>44789999</v>
      </c>
      <c r="F1980" t="s">
        <v>1776</v>
      </c>
      <c r="G1980" t="str">
        <f t="shared" si="60"/>
        <v>BAI II</v>
      </c>
      <c r="H1980" t="s">
        <v>1700</v>
      </c>
      <c r="I1980" t="s">
        <v>20</v>
      </c>
      <c r="J1980" t="s">
        <v>64</v>
      </c>
      <c r="K1980" s="6">
        <v>0.03</v>
      </c>
      <c r="L1980" s="7">
        <f t="shared" si="61"/>
        <v>2E-3</v>
      </c>
      <c r="M1980" s="7">
        <v>3.0000000000000001E-3</v>
      </c>
      <c r="N1980">
        <v>11</v>
      </c>
      <c r="O1980" s="8">
        <v>22.933916850949441</v>
      </c>
      <c r="P1980" s="9">
        <v>22.933916850949441</v>
      </c>
      <c r="Q1980" s="9">
        <v>22.933916850949441</v>
      </c>
      <c r="R1980" s="9">
        <v>25.173745848546066</v>
      </c>
      <c r="S1980" s="9">
        <v>27.641690539343774</v>
      </c>
      <c r="T1980" s="9">
        <v>29.730378573928668</v>
      </c>
      <c r="U1980" s="9">
        <v>36.183590217329723</v>
      </c>
      <c r="V1980" s="9">
        <v>36.183590217329723</v>
      </c>
      <c r="W1980" s="9">
        <v>36.183590217329723</v>
      </c>
      <c r="X1980" s="9">
        <v>43.522810559209468</v>
      </c>
      <c r="Y1980" s="9">
        <v>43.522810559209468</v>
      </c>
      <c r="Z1980" s="9">
        <v>50.960858783530121</v>
      </c>
      <c r="AA1980" s="9">
        <v>50.960858783530121</v>
      </c>
      <c r="AB1980" s="9">
        <v>58.507617678535738</v>
      </c>
      <c r="AC1980" s="9">
        <v>58.507617678535738</v>
      </c>
      <c r="AD1980" s="9">
        <v>68.105109643716474</v>
      </c>
      <c r="AE1980" s="9">
        <v>75.132723269302929</v>
      </c>
      <c r="AF1980" s="9">
        <v>82.290622386277917</v>
      </c>
      <c r="AG1980" s="9">
        <v>82.290622386277917</v>
      </c>
      <c r="AH1980" s="9">
        <v>90.43943145512165</v>
      </c>
      <c r="AI1980" s="9">
        <v>98.380048333692613</v>
      </c>
      <c r="AJ1980" s="9">
        <v>3.0428788910505911</v>
      </c>
    </row>
    <row r="1981" spans="1:36" x14ac:dyDescent="0.25">
      <c r="A1981" t="s">
        <v>5411</v>
      </c>
      <c r="B1981" t="s">
        <v>16</v>
      </c>
      <c r="C1981" t="s">
        <v>17</v>
      </c>
      <c r="D1981">
        <v>44790000</v>
      </c>
      <c r="E1981">
        <v>44797999</v>
      </c>
      <c r="F1981" t="s">
        <v>1777</v>
      </c>
      <c r="G1981" t="str">
        <f t="shared" si="60"/>
        <v>BAI II</v>
      </c>
      <c r="H1981" t="s">
        <v>1700</v>
      </c>
      <c r="I1981" t="s">
        <v>20</v>
      </c>
      <c r="J1981" t="s">
        <v>64</v>
      </c>
      <c r="K1981" s="6">
        <v>0.03</v>
      </c>
      <c r="L1981" s="7">
        <f t="shared" si="61"/>
        <v>2E-3</v>
      </c>
      <c r="M1981" s="7">
        <v>3.0000000000000001E-3</v>
      </c>
      <c r="N1981">
        <v>10</v>
      </c>
      <c r="O1981" s="8">
        <v>22.933916850949441</v>
      </c>
      <c r="P1981" s="9">
        <v>22.933916850949441</v>
      </c>
      <c r="Q1981" s="9">
        <v>22.933916850949441</v>
      </c>
      <c r="R1981" s="9">
        <v>25.173745848546066</v>
      </c>
      <c r="S1981" s="9">
        <v>27.641690539343774</v>
      </c>
      <c r="T1981" s="9">
        <v>29.730378573928668</v>
      </c>
      <c r="U1981" s="9">
        <v>36.183590217329723</v>
      </c>
      <c r="V1981" s="9">
        <v>36.183590217329723</v>
      </c>
      <c r="W1981" s="9">
        <v>36.183590217329723</v>
      </c>
      <c r="X1981" s="9">
        <v>43.522810559209468</v>
      </c>
      <c r="Y1981" s="9">
        <v>43.522810559209468</v>
      </c>
      <c r="Z1981" s="9">
        <v>50.960858783530121</v>
      </c>
      <c r="AA1981" s="9">
        <v>50.960858783530121</v>
      </c>
      <c r="AB1981" s="9">
        <v>58.507617678535738</v>
      </c>
      <c r="AC1981" s="9">
        <v>58.507617678535738</v>
      </c>
      <c r="AD1981" s="9">
        <v>68.105109643716474</v>
      </c>
      <c r="AE1981" s="9">
        <v>75.132723269302929</v>
      </c>
      <c r="AF1981" s="9">
        <v>82.290622386277917</v>
      </c>
      <c r="AG1981" s="9">
        <v>82.290622386277917</v>
      </c>
      <c r="AH1981" s="9">
        <v>90.43943145512165</v>
      </c>
      <c r="AI1981" s="9">
        <v>98.380048333692613</v>
      </c>
      <c r="AJ1981" s="9">
        <v>3.0428788910505911</v>
      </c>
    </row>
    <row r="1982" spans="1:36" x14ac:dyDescent="0.25">
      <c r="A1982" t="s">
        <v>5411</v>
      </c>
      <c r="B1982" t="s">
        <v>16</v>
      </c>
      <c r="C1982" t="s">
        <v>17</v>
      </c>
      <c r="D1982">
        <v>44798000</v>
      </c>
      <c r="E1982">
        <v>44799999</v>
      </c>
      <c r="F1982" t="s">
        <v>1778</v>
      </c>
      <c r="G1982" t="str">
        <f t="shared" si="60"/>
        <v>BAI II</v>
      </c>
      <c r="H1982" t="s">
        <v>1700</v>
      </c>
      <c r="I1982" t="s">
        <v>20</v>
      </c>
      <c r="J1982" t="s">
        <v>64</v>
      </c>
      <c r="K1982" s="6">
        <v>0.03</v>
      </c>
      <c r="L1982" s="7">
        <f t="shared" si="61"/>
        <v>2E-3</v>
      </c>
      <c r="M1982" s="7">
        <v>3.0000000000000001E-3</v>
      </c>
      <c r="N1982">
        <v>14</v>
      </c>
      <c r="O1982" s="8">
        <v>22.933916850949441</v>
      </c>
      <c r="P1982" s="9">
        <v>22.933916850949441</v>
      </c>
      <c r="Q1982" s="9">
        <v>22.933916850949441</v>
      </c>
      <c r="R1982" s="9">
        <v>25.173745848546066</v>
      </c>
      <c r="S1982" s="9">
        <v>27.641690539343774</v>
      </c>
      <c r="T1982" s="9">
        <v>29.730378573928668</v>
      </c>
      <c r="U1982" s="9">
        <v>36.183590217329723</v>
      </c>
      <c r="V1982" s="9">
        <v>36.183590217329723</v>
      </c>
      <c r="W1982" s="9">
        <v>36.183590217329723</v>
      </c>
      <c r="X1982" s="9">
        <v>43.522810559209468</v>
      </c>
      <c r="Y1982" s="9">
        <v>43.522810559209468</v>
      </c>
      <c r="Z1982" s="9">
        <v>50.960858783530121</v>
      </c>
      <c r="AA1982" s="9">
        <v>50.960858783530121</v>
      </c>
      <c r="AB1982" s="9">
        <v>58.507617678535738</v>
      </c>
      <c r="AC1982" s="9">
        <v>58.507617678535738</v>
      </c>
      <c r="AD1982" s="9">
        <v>68.105109643716474</v>
      </c>
      <c r="AE1982" s="9">
        <v>75.132723269302929</v>
      </c>
      <c r="AF1982" s="9">
        <v>82.290622386277917</v>
      </c>
      <c r="AG1982" s="9">
        <v>82.290622386277917</v>
      </c>
      <c r="AH1982" s="9">
        <v>90.43943145512165</v>
      </c>
      <c r="AI1982" s="9">
        <v>98.380048333692613</v>
      </c>
      <c r="AJ1982" s="9">
        <v>3.0428788910505911</v>
      </c>
    </row>
    <row r="1983" spans="1:36" x14ac:dyDescent="0.25">
      <c r="A1983" t="s">
        <v>5411</v>
      </c>
      <c r="B1983" t="s">
        <v>16</v>
      </c>
      <c r="C1983" t="s">
        <v>17</v>
      </c>
      <c r="D1983">
        <v>44800000</v>
      </c>
      <c r="E1983">
        <v>44829999</v>
      </c>
      <c r="F1983" t="s">
        <v>1779</v>
      </c>
      <c r="G1983" t="str">
        <f t="shared" si="60"/>
        <v>BAI II</v>
      </c>
      <c r="H1983" t="s">
        <v>1700</v>
      </c>
      <c r="I1983" t="s">
        <v>20</v>
      </c>
      <c r="J1983" t="s">
        <v>64</v>
      </c>
      <c r="K1983" s="6">
        <v>0.03</v>
      </c>
      <c r="L1983" s="7">
        <f t="shared" si="61"/>
        <v>2E-3</v>
      </c>
      <c r="M1983" s="7">
        <v>3.0000000000000001E-3</v>
      </c>
      <c r="N1983">
        <v>10</v>
      </c>
      <c r="O1983" s="8">
        <v>22.933916850949441</v>
      </c>
      <c r="P1983" s="9">
        <v>22.933916850949441</v>
      </c>
      <c r="Q1983" s="9">
        <v>22.933916850949441</v>
      </c>
      <c r="R1983" s="9">
        <v>25.173745848546066</v>
      </c>
      <c r="S1983" s="9">
        <v>27.641690539343774</v>
      </c>
      <c r="T1983" s="9">
        <v>29.730378573928668</v>
      </c>
      <c r="U1983" s="9">
        <v>36.183590217329723</v>
      </c>
      <c r="V1983" s="9">
        <v>36.183590217329723</v>
      </c>
      <c r="W1983" s="9">
        <v>36.183590217329723</v>
      </c>
      <c r="X1983" s="9">
        <v>43.522810559209468</v>
      </c>
      <c r="Y1983" s="9">
        <v>43.522810559209468</v>
      </c>
      <c r="Z1983" s="9">
        <v>50.960858783530121</v>
      </c>
      <c r="AA1983" s="9">
        <v>50.960858783530121</v>
      </c>
      <c r="AB1983" s="9">
        <v>58.507617678535738</v>
      </c>
      <c r="AC1983" s="9">
        <v>58.507617678535738</v>
      </c>
      <c r="AD1983" s="9">
        <v>68.105109643716474</v>
      </c>
      <c r="AE1983" s="9">
        <v>75.132723269302929</v>
      </c>
      <c r="AF1983" s="9">
        <v>82.290622386277917</v>
      </c>
      <c r="AG1983" s="9">
        <v>82.290622386277917</v>
      </c>
      <c r="AH1983" s="9">
        <v>90.43943145512165</v>
      </c>
      <c r="AI1983" s="9">
        <v>98.380048333692613</v>
      </c>
      <c r="AJ1983" s="9">
        <v>3.0428788910505911</v>
      </c>
    </row>
    <row r="1984" spans="1:36" x14ac:dyDescent="0.25">
      <c r="A1984" t="s">
        <v>5411</v>
      </c>
      <c r="B1984" t="s">
        <v>16</v>
      </c>
      <c r="C1984" t="s">
        <v>17</v>
      </c>
      <c r="D1984">
        <v>44830000</v>
      </c>
      <c r="E1984">
        <v>44839999</v>
      </c>
      <c r="F1984" t="s">
        <v>1780</v>
      </c>
      <c r="G1984" t="str">
        <f t="shared" si="60"/>
        <v>BAI II</v>
      </c>
      <c r="H1984" t="s">
        <v>1700</v>
      </c>
      <c r="I1984" t="s">
        <v>20</v>
      </c>
      <c r="J1984" t="s">
        <v>64</v>
      </c>
      <c r="K1984" s="6">
        <v>0.03</v>
      </c>
      <c r="L1984" s="7">
        <f t="shared" si="61"/>
        <v>2E-3</v>
      </c>
      <c r="M1984" s="7">
        <v>3.0000000000000001E-3</v>
      </c>
      <c r="N1984">
        <v>9</v>
      </c>
      <c r="O1984" s="8">
        <v>22.933916850949441</v>
      </c>
      <c r="P1984" s="9">
        <v>22.933916850949441</v>
      </c>
      <c r="Q1984" s="9">
        <v>22.933916850949441</v>
      </c>
      <c r="R1984" s="9">
        <v>25.173745848546066</v>
      </c>
      <c r="S1984" s="9">
        <v>27.641690539343774</v>
      </c>
      <c r="T1984" s="9">
        <v>29.730378573928668</v>
      </c>
      <c r="U1984" s="9">
        <v>36.183590217329723</v>
      </c>
      <c r="V1984" s="9">
        <v>36.183590217329723</v>
      </c>
      <c r="W1984" s="9">
        <v>36.183590217329723</v>
      </c>
      <c r="X1984" s="9">
        <v>43.522810559209468</v>
      </c>
      <c r="Y1984" s="9">
        <v>43.522810559209468</v>
      </c>
      <c r="Z1984" s="9">
        <v>50.960858783530121</v>
      </c>
      <c r="AA1984" s="9">
        <v>50.960858783530121</v>
      </c>
      <c r="AB1984" s="9">
        <v>58.507617678535738</v>
      </c>
      <c r="AC1984" s="9">
        <v>58.507617678535738</v>
      </c>
      <c r="AD1984" s="9">
        <v>68.105109643716474</v>
      </c>
      <c r="AE1984" s="9">
        <v>75.132723269302929</v>
      </c>
      <c r="AF1984" s="9">
        <v>82.290622386277917</v>
      </c>
      <c r="AG1984" s="9">
        <v>82.290622386277917</v>
      </c>
      <c r="AH1984" s="9">
        <v>90.43943145512165</v>
      </c>
      <c r="AI1984" s="9">
        <v>98.380048333692613</v>
      </c>
      <c r="AJ1984" s="9">
        <v>3.0428788910505911</v>
      </c>
    </row>
    <row r="1985" spans="1:36" x14ac:dyDescent="0.25">
      <c r="A1985" t="s">
        <v>5411</v>
      </c>
      <c r="B1985" t="s">
        <v>16</v>
      </c>
      <c r="C1985" t="s">
        <v>17</v>
      </c>
      <c r="D1985">
        <v>44840000</v>
      </c>
      <c r="E1985">
        <v>44849999</v>
      </c>
      <c r="F1985" t="s">
        <v>1781</v>
      </c>
      <c r="G1985" t="str">
        <f t="shared" si="60"/>
        <v>BAI II</v>
      </c>
      <c r="H1985" t="s">
        <v>1700</v>
      </c>
      <c r="I1985" t="s">
        <v>20</v>
      </c>
      <c r="J1985" t="s">
        <v>64</v>
      </c>
      <c r="K1985" s="6">
        <v>0.03</v>
      </c>
      <c r="L1985" s="7">
        <f t="shared" si="61"/>
        <v>2E-3</v>
      </c>
      <c r="M1985" s="7">
        <v>3.0000000000000001E-3</v>
      </c>
      <c r="N1985">
        <v>14</v>
      </c>
      <c r="O1985" s="8">
        <v>22.933916850949441</v>
      </c>
      <c r="P1985" s="9">
        <v>22.933916850949441</v>
      </c>
      <c r="Q1985" s="9">
        <v>22.933916850949441</v>
      </c>
      <c r="R1985" s="9">
        <v>25.173745848546066</v>
      </c>
      <c r="S1985" s="9">
        <v>27.641690539343774</v>
      </c>
      <c r="T1985" s="9">
        <v>29.730378573928668</v>
      </c>
      <c r="U1985" s="9">
        <v>36.183590217329723</v>
      </c>
      <c r="V1985" s="9">
        <v>36.183590217329723</v>
      </c>
      <c r="W1985" s="9">
        <v>36.183590217329723</v>
      </c>
      <c r="X1985" s="9">
        <v>43.522810559209468</v>
      </c>
      <c r="Y1985" s="9">
        <v>43.522810559209468</v>
      </c>
      <c r="Z1985" s="9">
        <v>50.960858783530121</v>
      </c>
      <c r="AA1985" s="9">
        <v>50.960858783530121</v>
      </c>
      <c r="AB1985" s="9">
        <v>58.507617678535738</v>
      </c>
      <c r="AC1985" s="9">
        <v>58.507617678535738</v>
      </c>
      <c r="AD1985" s="9">
        <v>68.105109643716474</v>
      </c>
      <c r="AE1985" s="9">
        <v>75.132723269302929</v>
      </c>
      <c r="AF1985" s="9">
        <v>82.290622386277917</v>
      </c>
      <c r="AG1985" s="9">
        <v>82.290622386277917</v>
      </c>
      <c r="AH1985" s="9">
        <v>90.43943145512165</v>
      </c>
      <c r="AI1985" s="9">
        <v>98.380048333692613</v>
      </c>
      <c r="AJ1985" s="9">
        <v>3.0428788910505911</v>
      </c>
    </row>
    <row r="1986" spans="1:36" x14ac:dyDescent="0.25">
      <c r="A1986" t="s">
        <v>5411</v>
      </c>
      <c r="B1986" t="s">
        <v>16</v>
      </c>
      <c r="C1986" t="s">
        <v>17</v>
      </c>
      <c r="D1986">
        <v>44850000</v>
      </c>
      <c r="E1986">
        <v>44879999</v>
      </c>
      <c r="F1986" t="s">
        <v>1782</v>
      </c>
      <c r="G1986" t="str">
        <f t="shared" si="60"/>
        <v>BAI II</v>
      </c>
      <c r="H1986" t="s">
        <v>1700</v>
      </c>
      <c r="I1986" t="s">
        <v>20</v>
      </c>
      <c r="J1986" t="s">
        <v>64</v>
      </c>
      <c r="K1986" s="6">
        <v>0.03</v>
      </c>
      <c r="L1986" s="7">
        <f t="shared" si="61"/>
        <v>2E-3</v>
      </c>
      <c r="M1986" s="7">
        <v>3.0000000000000001E-3</v>
      </c>
      <c r="N1986">
        <v>9</v>
      </c>
      <c r="O1986" s="8">
        <v>22.933916850949441</v>
      </c>
      <c r="P1986" s="9">
        <v>22.933916850949441</v>
      </c>
      <c r="Q1986" s="9">
        <v>22.933916850949441</v>
      </c>
      <c r="R1986" s="9">
        <v>25.173745848546066</v>
      </c>
      <c r="S1986" s="9">
        <v>27.641690539343774</v>
      </c>
      <c r="T1986" s="9">
        <v>29.730378573928668</v>
      </c>
      <c r="U1986" s="9">
        <v>36.183590217329723</v>
      </c>
      <c r="V1986" s="9">
        <v>36.183590217329723</v>
      </c>
      <c r="W1986" s="9">
        <v>36.183590217329723</v>
      </c>
      <c r="X1986" s="9">
        <v>43.522810559209468</v>
      </c>
      <c r="Y1986" s="9">
        <v>43.522810559209468</v>
      </c>
      <c r="Z1986" s="9">
        <v>50.960858783530121</v>
      </c>
      <c r="AA1986" s="9">
        <v>50.960858783530121</v>
      </c>
      <c r="AB1986" s="9">
        <v>58.507617678535738</v>
      </c>
      <c r="AC1986" s="9">
        <v>58.507617678535738</v>
      </c>
      <c r="AD1986" s="9">
        <v>68.105109643716474</v>
      </c>
      <c r="AE1986" s="9">
        <v>75.132723269302929</v>
      </c>
      <c r="AF1986" s="9">
        <v>82.290622386277917</v>
      </c>
      <c r="AG1986" s="9">
        <v>82.290622386277917</v>
      </c>
      <c r="AH1986" s="9">
        <v>90.43943145512165</v>
      </c>
      <c r="AI1986" s="9">
        <v>98.380048333692613</v>
      </c>
      <c r="AJ1986" s="9">
        <v>3.0428788910505911</v>
      </c>
    </row>
    <row r="1987" spans="1:36" x14ac:dyDescent="0.25">
      <c r="A1987" t="s">
        <v>5411</v>
      </c>
      <c r="B1987" t="s">
        <v>16</v>
      </c>
      <c r="C1987" t="s">
        <v>17</v>
      </c>
      <c r="D1987">
        <v>44880000</v>
      </c>
      <c r="E1987">
        <v>44884999</v>
      </c>
      <c r="F1987" t="s">
        <v>1783</v>
      </c>
      <c r="G1987" t="str">
        <f t="shared" si="60"/>
        <v>BAI II</v>
      </c>
      <c r="H1987" t="s">
        <v>1700</v>
      </c>
      <c r="I1987" t="s">
        <v>20</v>
      </c>
      <c r="J1987" t="s">
        <v>64</v>
      </c>
      <c r="K1987" s="6">
        <v>0.03</v>
      </c>
      <c r="L1987" s="7">
        <f t="shared" si="61"/>
        <v>2E-3</v>
      </c>
      <c r="M1987" s="7">
        <v>3.0000000000000001E-3</v>
      </c>
      <c r="N1987">
        <v>14</v>
      </c>
      <c r="O1987" s="8">
        <v>22.933916850949441</v>
      </c>
      <c r="P1987" s="9">
        <v>22.933916850949441</v>
      </c>
      <c r="Q1987" s="9">
        <v>22.933916850949441</v>
      </c>
      <c r="R1987" s="9">
        <v>25.173745848546066</v>
      </c>
      <c r="S1987" s="9">
        <v>27.641690539343774</v>
      </c>
      <c r="T1987" s="9">
        <v>29.730378573928668</v>
      </c>
      <c r="U1987" s="9">
        <v>36.183590217329723</v>
      </c>
      <c r="V1987" s="9">
        <v>36.183590217329723</v>
      </c>
      <c r="W1987" s="9">
        <v>36.183590217329723</v>
      </c>
      <c r="X1987" s="9">
        <v>43.522810559209468</v>
      </c>
      <c r="Y1987" s="9">
        <v>43.522810559209468</v>
      </c>
      <c r="Z1987" s="9">
        <v>50.960858783530121</v>
      </c>
      <c r="AA1987" s="9">
        <v>50.960858783530121</v>
      </c>
      <c r="AB1987" s="9">
        <v>58.507617678535738</v>
      </c>
      <c r="AC1987" s="9">
        <v>58.507617678535738</v>
      </c>
      <c r="AD1987" s="9">
        <v>68.105109643716474</v>
      </c>
      <c r="AE1987" s="9">
        <v>75.132723269302929</v>
      </c>
      <c r="AF1987" s="9">
        <v>82.290622386277917</v>
      </c>
      <c r="AG1987" s="9">
        <v>82.290622386277917</v>
      </c>
      <c r="AH1987" s="9">
        <v>90.43943145512165</v>
      </c>
      <c r="AI1987" s="9">
        <v>98.380048333692613</v>
      </c>
      <c r="AJ1987" s="9">
        <v>3.0428788910505911</v>
      </c>
    </row>
    <row r="1988" spans="1:36" x14ac:dyDescent="0.25">
      <c r="A1988" t="s">
        <v>5411</v>
      </c>
      <c r="B1988" t="s">
        <v>16</v>
      </c>
      <c r="C1988" t="s">
        <v>17</v>
      </c>
      <c r="D1988">
        <v>44885000</v>
      </c>
      <c r="E1988">
        <v>44889999</v>
      </c>
      <c r="F1988" t="s">
        <v>1784</v>
      </c>
      <c r="G1988" t="str">
        <f t="shared" ref="G1988:G2051" si="62">H1988&amp;IF(J1988="CAPITAL","C",IF(J1988="INTERIOR","I",IF(J1988="INTERIOR II","I II","R")))</f>
        <v>BAI II</v>
      </c>
      <c r="H1988" t="s">
        <v>1700</v>
      </c>
      <c r="I1988" t="s">
        <v>20</v>
      </c>
      <c r="J1988" t="s">
        <v>64</v>
      </c>
      <c r="K1988" s="6">
        <v>0.03</v>
      </c>
      <c r="L1988" s="7">
        <f t="shared" ref="L1988:L2051" si="63">IF(I1988="(0) Não",0.2%,3%)</f>
        <v>2E-3</v>
      </c>
      <c r="M1988" s="7">
        <v>3.0000000000000001E-3</v>
      </c>
      <c r="N1988">
        <v>14</v>
      </c>
      <c r="O1988" s="8">
        <v>22.933916850949441</v>
      </c>
      <c r="P1988" s="9">
        <v>22.933916850949441</v>
      </c>
      <c r="Q1988" s="9">
        <v>22.933916850949441</v>
      </c>
      <c r="R1988" s="9">
        <v>25.173745848546066</v>
      </c>
      <c r="S1988" s="9">
        <v>27.641690539343774</v>
      </c>
      <c r="T1988" s="9">
        <v>29.730378573928668</v>
      </c>
      <c r="U1988" s="9">
        <v>36.183590217329723</v>
      </c>
      <c r="V1988" s="9">
        <v>36.183590217329723</v>
      </c>
      <c r="W1988" s="9">
        <v>36.183590217329723</v>
      </c>
      <c r="X1988" s="9">
        <v>43.522810559209468</v>
      </c>
      <c r="Y1988" s="9">
        <v>43.522810559209468</v>
      </c>
      <c r="Z1988" s="9">
        <v>50.960858783530121</v>
      </c>
      <c r="AA1988" s="9">
        <v>50.960858783530121</v>
      </c>
      <c r="AB1988" s="9">
        <v>58.507617678535738</v>
      </c>
      <c r="AC1988" s="9">
        <v>58.507617678535738</v>
      </c>
      <c r="AD1988" s="9">
        <v>68.105109643716474</v>
      </c>
      <c r="AE1988" s="9">
        <v>75.132723269302929</v>
      </c>
      <c r="AF1988" s="9">
        <v>82.290622386277917</v>
      </c>
      <c r="AG1988" s="9">
        <v>82.290622386277917</v>
      </c>
      <c r="AH1988" s="9">
        <v>90.43943145512165</v>
      </c>
      <c r="AI1988" s="9">
        <v>98.380048333692613</v>
      </c>
      <c r="AJ1988" s="9">
        <v>3.0428788910505911</v>
      </c>
    </row>
    <row r="1989" spans="1:36" x14ac:dyDescent="0.25">
      <c r="A1989" t="s">
        <v>5411</v>
      </c>
      <c r="B1989" t="s">
        <v>16</v>
      </c>
      <c r="C1989" t="s">
        <v>17</v>
      </c>
      <c r="D1989">
        <v>44890000</v>
      </c>
      <c r="E1989">
        <v>44894999</v>
      </c>
      <c r="F1989" t="s">
        <v>1785</v>
      </c>
      <c r="G1989" t="str">
        <f t="shared" si="62"/>
        <v>BAI II</v>
      </c>
      <c r="H1989" t="s">
        <v>1700</v>
      </c>
      <c r="I1989" t="s">
        <v>20</v>
      </c>
      <c r="J1989" t="s">
        <v>64</v>
      </c>
      <c r="K1989" s="6">
        <v>0.03</v>
      </c>
      <c r="L1989" s="7">
        <f t="shared" si="63"/>
        <v>2E-3</v>
      </c>
      <c r="M1989" s="7">
        <v>3.0000000000000001E-3</v>
      </c>
      <c r="N1989">
        <v>14</v>
      </c>
      <c r="O1989" s="8">
        <v>22.933916850949441</v>
      </c>
      <c r="P1989" s="9">
        <v>22.933916850949441</v>
      </c>
      <c r="Q1989" s="9">
        <v>22.933916850949441</v>
      </c>
      <c r="R1989" s="9">
        <v>25.173745848546066</v>
      </c>
      <c r="S1989" s="9">
        <v>27.641690539343774</v>
      </c>
      <c r="T1989" s="9">
        <v>29.730378573928668</v>
      </c>
      <c r="U1989" s="9">
        <v>36.183590217329723</v>
      </c>
      <c r="V1989" s="9">
        <v>36.183590217329723</v>
      </c>
      <c r="W1989" s="9">
        <v>36.183590217329723</v>
      </c>
      <c r="X1989" s="9">
        <v>43.522810559209468</v>
      </c>
      <c r="Y1989" s="9">
        <v>43.522810559209468</v>
      </c>
      <c r="Z1989" s="9">
        <v>50.960858783530121</v>
      </c>
      <c r="AA1989" s="9">
        <v>50.960858783530121</v>
      </c>
      <c r="AB1989" s="9">
        <v>58.507617678535738</v>
      </c>
      <c r="AC1989" s="9">
        <v>58.507617678535738</v>
      </c>
      <c r="AD1989" s="9">
        <v>68.105109643716474</v>
      </c>
      <c r="AE1989" s="9">
        <v>75.132723269302929</v>
      </c>
      <c r="AF1989" s="9">
        <v>82.290622386277917</v>
      </c>
      <c r="AG1989" s="9">
        <v>82.290622386277917</v>
      </c>
      <c r="AH1989" s="9">
        <v>90.43943145512165</v>
      </c>
      <c r="AI1989" s="9">
        <v>98.380048333692613</v>
      </c>
      <c r="AJ1989" s="9">
        <v>3.0428788910505911</v>
      </c>
    </row>
    <row r="1990" spans="1:36" x14ac:dyDescent="0.25">
      <c r="A1990" t="s">
        <v>5411</v>
      </c>
      <c r="B1990" t="s">
        <v>16</v>
      </c>
      <c r="C1990" t="s">
        <v>17</v>
      </c>
      <c r="D1990">
        <v>44895000</v>
      </c>
      <c r="E1990">
        <v>44899999</v>
      </c>
      <c r="F1990" t="s">
        <v>1786</v>
      </c>
      <c r="G1990" t="str">
        <f t="shared" si="62"/>
        <v>BAI II</v>
      </c>
      <c r="H1990" t="s">
        <v>1700</v>
      </c>
      <c r="I1990" t="s">
        <v>20</v>
      </c>
      <c r="J1990" t="s">
        <v>64</v>
      </c>
      <c r="K1990" s="6">
        <v>0.03</v>
      </c>
      <c r="L1990" s="7">
        <f t="shared" si="63"/>
        <v>2E-3</v>
      </c>
      <c r="M1990" s="7">
        <v>3.0000000000000001E-3</v>
      </c>
      <c r="N1990">
        <v>14</v>
      </c>
      <c r="O1990" s="8">
        <v>22.933916850949441</v>
      </c>
      <c r="P1990" s="9">
        <v>22.933916850949441</v>
      </c>
      <c r="Q1990" s="9">
        <v>22.933916850949441</v>
      </c>
      <c r="R1990" s="9">
        <v>25.173745848546066</v>
      </c>
      <c r="S1990" s="9">
        <v>27.641690539343774</v>
      </c>
      <c r="T1990" s="9">
        <v>29.730378573928668</v>
      </c>
      <c r="U1990" s="9">
        <v>36.183590217329723</v>
      </c>
      <c r="V1990" s="9">
        <v>36.183590217329723</v>
      </c>
      <c r="W1990" s="9">
        <v>36.183590217329723</v>
      </c>
      <c r="X1990" s="9">
        <v>43.522810559209468</v>
      </c>
      <c r="Y1990" s="9">
        <v>43.522810559209468</v>
      </c>
      <c r="Z1990" s="9">
        <v>50.960858783530121</v>
      </c>
      <c r="AA1990" s="9">
        <v>50.960858783530121</v>
      </c>
      <c r="AB1990" s="9">
        <v>58.507617678535738</v>
      </c>
      <c r="AC1990" s="9">
        <v>58.507617678535738</v>
      </c>
      <c r="AD1990" s="9">
        <v>68.105109643716474</v>
      </c>
      <c r="AE1990" s="9">
        <v>75.132723269302929</v>
      </c>
      <c r="AF1990" s="9">
        <v>82.290622386277917</v>
      </c>
      <c r="AG1990" s="9">
        <v>82.290622386277917</v>
      </c>
      <c r="AH1990" s="9">
        <v>90.43943145512165</v>
      </c>
      <c r="AI1990" s="9">
        <v>98.380048333692613</v>
      </c>
      <c r="AJ1990" s="9">
        <v>3.0428788910505911</v>
      </c>
    </row>
    <row r="1991" spans="1:36" x14ac:dyDescent="0.25">
      <c r="A1991" t="s">
        <v>5411</v>
      </c>
      <c r="B1991" t="s">
        <v>16</v>
      </c>
      <c r="C1991" t="s">
        <v>17</v>
      </c>
      <c r="D1991">
        <v>44900000</v>
      </c>
      <c r="E1991">
        <v>44904999</v>
      </c>
      <c r="F1991" t="s">
        <v>1787</v>
      </c>
      <c r="G1991" t="str">
        <f t="shared" si="62"/>
        <v>BAI II</v>
      </c>
      <c r="H1991" t="s">
        <v>1700</v>
      </c>
      <c r="I1991" t="s">
        <v>20</v>
      </c>
      <c r="J1991" t="s">
        <v>64</v>
      </c>
      <c r="K1991" s="6">
        <v>0.03</v>
      </c>
      <c r="L1991" s="7">
        <f t="shared" si="63"/>
        <v>2E-3</v>
      </c>
      <c r="M1991" s="7">
        <v>3.0000000000000001E-3</v>
      </c>
      <c r="N1991">
        <v>10</v>
      </c>
      <c r="O1991" s="8">
        <v>22.933916850949441</v>
      </c>
      <c r="P1991" s="9">
        <v>22.933916850949441</v>
      </c>
      <c r="Q1991" s="9">
        <v>22.933916850949441</v>
      </c>
      <c r="R1991" s="9">
        <v>25.173745848546066</v>
      </c>
      <c r="S1991" s="9">
        <v>27.641690539343774</v>
      </c>
      <c r="T1991" s="9">
        <v>29.730378573928668</v>
      </c>
      <c r="U1991" s="9">
        <v>36.183590217329723</v>
      </c>
      <c r="V1991" s="9">
        <v>36.183590217329723</v>
      </c>
      <c r="W1991" s="9">
        <v>36.183590217329723</v>
      </c>
      <c r="X1991" s="9">
        <v>43.522810559209468</v>
      </c>
      <c r="Y1991" s="9">
        <v>43.522810559209468</v>
      </c>
      <c r="Z1991" s="9">
        <v>50.960858783530121</v>
      </c>
      <c r="AA1991" s="9">
        <v>50.960858783530121</v>
      </c>
      <c r="AB1991" s="9">
        <v>58.507617678535738</v>
      </c>
      <c r="AC1991" s="9">
        <v>58.507617678535738</v>
      </c>
      <c r="AD1991" s="9">
        <v>68.105109643716474</v>
      </c>
      <c r="AE1991" s="9">
        <v>75.132723269302929</v>
      </c>
      <c r="AF1991" s="9">
        <v>82.290622386277917</v>
      </c>
      <c r="AG1991" s="9">
        <v>82.290622386277917</v>
      </c>
      <c r="AH1991" s="9">
        <v>90.43943145512165</v>
      </c>
      <c r="AI1991" s="9">
        <v>98.380048333692613</v>
      </c>
      <c r="AJ1991" s="9">
        <v>3.0428788910505911</v>
      </c>
    </row>
    <row r="1992" spans="1:36" x14ac:dyDescent="0.25">
      <c r="A1992" t="s">
        <v>5411</v>
      </c>
      <c r="B1992" t="s">
        <v>16</v>
      </c>
      <c r="C1992" t="s">
        <v>17</v>
      </c>
      <c r="D1992">
        <v>44905000</v>
      </c>
      <c r="E1992">
        <v>44909999</v>
      </c>
      <c r="F1992" t="s">
        <v>1788</v>
      </c>
      <c r="G1992" t="str">
        <f t="shared" si="62"/>
        <v>BAI II</v>
      </c>
      <c r="H1992" t="s">
        <v>1700</v>
      </c>
      <c r="I1992" t="s">
        <v>20</v>
      </c>
      <c r="J1992" t="s">
        <v>64</v>
      </c>
      <c r="K1992" s="6">
        <v>0.03</v>
      </c>
      <c r="L1992" s="7">
        <f t="shared" si="63"/>
        <v>2E-3</v>
      </c>
      <c r="M1992" s="7">
        <v>3.0000000000000001E-3</v>
      </c>
      <c r="N1992">
        <v>14</v>
      </c>
      <c r="O1992" s="8">
        <v>22.933916850949441</v>
      </c>
      <c r="P1992" s="9">
        <v>22.933916850949441</v>
      </c>
      <c r="Q1992" s="9">
        <v>22.933916850949441</v>
      </c>
      <c r="R1992" s="9">
        <v>25.173745848546066</v>
      </c>
      <c r="S1992" s="9">
        <v>27.641690539343774</v>
      </c>
      <c r="T1992" s="9">
        <v>29.730378573928668</v>
      </c>
      <c r="U1992" s="9">
        <v>36.183590217329723</v>
      </c>
      <c r="V1992" s="9">
        <v>36.183590217329723</v>
      </c>
      <c r="W1992" s="9">
        <v>36.183590217329723</v>
      </c>
      <c r="X1992" s="9">
        <v>43.522810559209468</v>
      </c>
      <c r="Y1992" s="9">
        <v>43.522810559209468</v>
      </c>
      <c r="Z1992" s="9">
        <v>50.960858783530121</v>
      </c>
      <c r="AA1992" s="9">
        <v>50.960858783530121</v>
      </c>
      <c r="AB1992" s="9">
        <v>58.507617678535738</v>
      </c>
      <c r="AC1992" s="9">
        <v>58.507617678535738</v>
      </c>
      <c r="AD1992" s="9">
        <v>68.105109643716474</v>
      </c>
      <c r="AE1992" s="9">
        <v>75.132723269302929</v>
      </c>
      <c r="AF1992" s="9">
        <v>82.290622386277917</v>
      </c>
      <c r="AG1992" s="9">
        <v>82.290622386277917</v>
      </c>
      <c r="AH1992" s="9">
        <v>90.43943145512165</v>
      </c>
      <c r="AI1992" s="9">
        <v>98.380048333692613</v>
      </c>
      <c r="AJ1992" s="9">
        <v>3.0428788910505911</v>
      </c>
    </row>
    <row r="1993" spans="1:36" x14ac:dyDescent="0.25">
      <c r="A1993" t="s">
        <v>5411</v>
      </c>
      <c r="B1993" t="s">
        <v>16</v>
      </c>
      <c r="C1993" t="s">
        <v>17</v>
      </c>
      <c r="D1993">
        <v>44910000</v>
      </c>
      <c r="E1993">
        <v>44914999</v>
      </c>
      <c r="F1993" t="s">
        <v>1789</v>
      </c>
      <c r="G1993" t="str">
        <f t="shared" si="62"/>
        <v>BAI II</v>
      </c>
      <c r="H1993" t="s">
        <v>1700</v>
      </c>
      <c r="I1993" t="s">
        <v>20</v>
      </c>
      <c r="J1993" t="s">
        <v>64</v>
      </c>
      <c r="K1993" s="6">
        <v>0.03</v>
      </c>
      <c r="L1993" s="7">
        <f t="shared" si="63"/>
        <v>2E-3</v>
      </c>
      <c r="M1993" s="7">
        <v>3.0000000000000001E-3</v>
      </c>
      <c r="N1993">
        <v>14</v>
      </c>
      <c r="O1993" s="8">
        <v>22.933916850949441</v>
      </c>
      <c r="P1993" s="9">
        <v>22.933916850949441</v>
      </c>
      <c r="Q1993" s="9">
        <v>22.933916850949441</v>
      </c>
      <c r="R1993" s="9">
        <v>25.173745848546066</v>
      </c>
      <c r="S1993" s="9">
        <v>27.641690539343774</v>
      </c>
      <c r="T1993" s="9">
        <v>29.730378573928668</v>
      </c>
      <c r="U1993" s="9">
        <v>36.183590217329723</v>
      </c>
      <c r="V1993" s="9">
        <v>36.183590217329723</v>
      </c>
      <c r="W1993" s="9">
        <v>36.183590217329723</v>
      </c>
      <c r="X1993" s="9">
        <v>43.522810559209468</v>
      </c>
      <c r="Y1993" s="9">
        <v>43.522810559209468</v>
      </c>
      <c r="Z1993" s="9">
        <v>50.960858783530121</v>
      </c>
      <c r="AA1993" s="9">
        <v>50.960858783530121</v>
      </c>
      <c r="AB1993" s="9">
        <v>58.507617678535738</v>
      </c>
      <c r="AC1993" s="9">
        <v>58.507617678535738</v>
      </c>
      <c r="AD1993" s="9">
        <v>68.105109643716474</v>
      </c>
      <c r="AE1993" s="9">
        <v>75.132723269302929</v>
      </c>
      <c r="AF1993" s="9">
        <v>82.290622386277917</v>
      </c>
      <c r="AG1993" s="9">
        <v>82.290622386277917</v>
      </c>
      <c r="AH1993" s="9">
        <v>90.43943145512165</v>
      </c>
      <c r="AI1993" s="9">
        <v>98.380048333692613</v>
      </c>
      <c r="AJ1993" s="9">
        <v>3.0428788910505911</v>
      </c>
    </row>
    <row r="1994" spans="1:36" x14ac:dyDescent="0.25">
      <c r="A1994" t="s">
        <v>5411</v>
      </c>
      <c r="B1994" t="s">
        <v>16</v>
      </c>
      <c r="C1994" t="s">
        <v>17</v>
      </c>
      <c r="D1994">
        <v>44915000</v>
      </c>
      <c r="E1994">
        <v>44919999</v>
      </c>
      <c r="F1994" t="s">
        <v>1790</v>
      </c>
      <c r="G1994" t="str">
        <f t="shared" si="62"/>
        <v>BAI II</v>
      </c>
      <c r="H1994" t="s">
        <v>1700</v>
      </c>
      <c r="I1994" t="s">
        <v>20</v>
      </c>
      <c r="J1994" t="s">
        <v>64</v>
      </c>
      <c r="K1994" s="6">
        <v>0.03</v>
      </c>
      <c r="L1994" s="7">
        <f t="shared" si="63"/>
        <v>2E-3</v>
      </c>
      <c r="M1994" s="7">
        <v>3.0000000000000001E-3</v>
      </c>
      <c r="N1994">
        <v>14</v>
      </c>
      <c r="O1994" s="8">
        <v>22.933916850949441</v>
      </c>
      <c r="P1994" s="9">
        <v>22.933916850949441</v>
      </c>
      <c r="Q1994" s="9">
        <v>22.933916850949441</v>
      </c>
      <c r="R1994" s="9">
        <v>25.173745848546066</v>
      </c>
      <c r="S1994" s="9">
        <v>27.641690539343774</v>
      </c>
      <c r="T1994" s="9">
        <v>29.730378573928668</v>
      </c>
      <c r="U1994" s="9">
        <v>36.183590217329723</v>
      </c>
      <c r="V1994" s="9">
        <v>36.183590217329723</v>
      </c>
      <c r="W1994" s="9">
        <v>36.183590217329723</v>
      </c>
      <c r="X1994" s="9">
        <v>43.522810559209468</v>
      </c>
      <c r="Y1994" s="9">
        <v>43.522810559209468</v>
      </c>
      <c r="Z1994" s="9">
        <v>50.960858783530121</v>
      </c>
      <c r="AA1994" s="9">
        <v>50.960858783530121</v>
      </c>
      <c r="AB1994" s="9">
        <v>58.507617678535738</v>
      </c>
      <c r="AC1994" s="9">
        <v>58.507617678535738</v>
      </c>
      <c r="AD1994" s="9">
        <v>68.105109643716474</v>
      </c>
      <c r="AE1994" s="9">
        <v>75.132723269302929</v>
      </c>
      <c r="AF1994" s="9">
        <v>82.290622386277917</v>
      </c>
      <c r="AG1994" s="9">
        <v>82.290622386277917</v>
      </c>
      <c r="AH1994" s="9">
        <v>90.43943145512165</v>
      </c>
      <c r="AI1994" s="9">
        <v>98.380048333692613</v>
      </c>
      <c r="AJ1994" s="9">
        <v>3.0428788910505911</v>
      </c>
    </row>
    <row r="1995" spans="1:36" x14ac:dyDescent="0.25">
      <c r="A1995" t="s">
        <v>5411</v>
      </c>
      <c r="B1995" t="s">
        <v>16</v>
      </c>
      <c r="C1995" t="s">
        <v>17</v>
      </c>
      <c r="D1995">
        <v>44920000</v>
      </c>
      <c r="E1995">
        <v>44924999</v>
      </c>
      <c r="F1995" t="s">
        <v>1791</v>
      </c>
      <c r="G1995" t="str">
        <f t="shared" si="62"/>
        <v>BAI II</v>
      </c>
      <c r="H1995" t="s">
        <v>1700</v>
      </c>
      <c r="I1995" t="s">
        <v>20</v>
      </c>
      <c r="J1995" t="s">
        <v>64</v>
      </c>
      <c r="K1995" s="6">
        <v>0.03</v>
      </c>
      <c r="L1995" s="7">
        <f t="shared" si="63"/>
        <v>2E-3</v>
      </c>
      <c r="M1995" s="7">
        <v>3.0000000000000001E-3</v>
      </c>
      <c r="N1995">
        <v>14</v>
      </c>
      <c r="O1995" s="8">
        <v>22.933916850949441</v>
      </c>
      <c r="P1995" s="9">
        <v>22.933916850949441</v>
      </c>
      <c r="Q1995" s="9">
        <v>22.933916850949441</v>
      </c>
      <c r="R1995" s="9">
        <v>25.173745848546066</v>
      </c>
      <c r="S1995" s="9">
        <v>27.641690539343774</v>
      </c>
      <c r="T1995" s="9">
        <v>29.730378573928668</v>
      </c>
      <c r="U1995" s="9">
        <v>36.183590217329723</v>
      </c>
      <c r="V1995" s="9">
        <v>36.183590217329723</v>
      </c>
      <c r="W1995" s="9">
        <v>36.183590217329723</v>
      </c>
      <c r="X1995" s="9">
        <v>43.522810559209468</v>
      </c>
      <c r="Y1995" s="9">
        <v>43.522810559209468</v>
      </c>
      <c r="Z1995" s="9">
        <v>50.960858783530121</v>
      </c>
      <c r="AA1995" s="9">
        <v>50.960858783530121</v>
      </c>
      <c r="AB1995" s="9">
        <v>58.507617678535738</v>
      </c>
      <c r="AC1995" s="9">
        <v>58.507617678535738</v>
      </c>
      <c r="AD1995" s="9">
        <v>68.105109643716474</v>
      </c>
      <c r="AE1995" s="9">
        <v>75.132723269302929</v>
      </c>
      <c r="AF1995" s="9">
        <v>82.290622386277917</v>
      </c>
      <c r="AG1995" s="9">
        <v>82.290622386277917</v>
      </c>
      <c r="AH1995" s="9">
        <v>90.43943145512165</v>
      </c>
      <c r="AI1995" s="9">
        <v>98.380048333692613</v>
      </c>
      <c r="AJ1995" s="9">
        <v>3.0428788910505911</v>
      </c>
    </row>
    <row r="1996" spans="1:36" x14ac:dyDescent="0.25">
      <c r="A1996" t="s">
        <v>5411</v>
      </c>
      <c r="B1996" t="s">
        <v>16</v>
      </c>
      <c r="C1996" t="s">
        <v>17</v>
      </c>
      <c r="D1996">
        <v>44925000</v>
      </c>
      <c r="E1996">
        <v>44929999</v>
      </c>
      <c r="F1996" t="s">
        <v>1792</v>
      </c>
      <c r="G1996" t="str">
        <f t="shared" si="62"/>
        <v>BAI II</v>
      </c>
      <c r="H1996" t="s">
        <v>1700</v>
      </c>
      <c r="I1996" t="s">
        <v>20</v>
      </c>
      <c r="J1996" t="s">
        <v>64</v>
      </c>
      <c r="K1996" s="6">
        <v>0.03</v>
      </c>
      <c r="L1996" s="7">
        <f t="shared" si="63"/>
        <v>2E-3</v>
      </c>
      <c r="M1996" s="7">
        <v>3.0000000000000001E-3</v>
      </c>
      <c r="N1996">
        <v>14</v>
      </c>
      <c r="O1996" s="8">
        <v>22.933916850949441</v>
      </c>
      <c r="P1996" s="9">
        <v>22.933916850949441</v>
      </c>
      <c r="Q1996" s="9">
        <v>22.933916850949441</v>
      </c>
      <c r="R1996" s="9">
        <v>25.173745848546066</v>
      </c>
      <c r="S1996" s="9">
        <v>27.641690539343774</v>
      </c>
      <c r="T1996" s="9">
        <v>29.730378573928668</v>
      </c>
      <c r="U1996" s="9">
        <v>36.183590217329723</v>
      </c>
      <c r="V1996" s="9">
        <v>36.183590217329723</v>
      </c>
      <c r="W1996" s="9">
        <v>36.183590217329723</v>
      </c>
      <c r="X1996" s="9">
        <v>43.522810559209468</v>
      </c>
      <c r="Y1996" s="9">
        <v>43.522810559209468</v>
      </c>
      <c r="Z1996" s="9">
        <v>50.960858783530121</v>
      </c>
      <c r="AA1996" s="9">
        <v>50.960858783530121</v>
      </c>
      <c r="AB1996" s="9">
        <v>58.507617678535738</v>
      </c>
      <c r="AC1996" s="9">
        <v>58.507617678535738</v>
      </c>
      <c r="AD1996" s="9">
        <v>68.105109643716474</v>
      </c>
      <c r="AE1996" s="9">
        <v>75.132723269302929</v>
      </c>
      <c r="AF1996" s="9">
        <v>82.290622386277917</v>
      </c>
      <c r="AG1996" s="9">
        <v>82.290622386277917</v>
      </c>
      <c r="AH1996" s="9">
        <v>90.43943145512165</v>
      </c>
      <c r="AI1996" s="9">
        <v>98.380048333692613</v>
      </c>
      <c r="AJ1996" s="9">
        <v>3.0428788910505911</v>
      </c>
    </row>
    <row r="1997" spans="1:36" x14ac:dyDescent="0.25">
      <c r="A1997" t="s">
        <v>5411</v>
      </c>
      <c r="B1997" t="s">
        <v>16</v>
      </c>
      <c r="C1997" t="s">
        <v>17</v>
      </c>
      <c r="D1997">
        <v>44930000</v>
      </c>
      <c r="E1997">
        <v>44939999</v>
      </c>
      <c r="F1997" t="s">
        <v>1793</v>
      </c>
      <c r="G1997" t="str">
        <f t="shared" si="62"/>
        <v>BAI II</v>
      </c>
      <c r="H1997" t="s">
        <v>1700</v>
      </c>
      <c r="I1997" t="s">
        <v>20</v>
      </c>
      <c r="J1997" t="s">
        <v>64</v>
      </c>
      <c r="K1997" s="6">
        <v>0.03</v>
      </c>
      <c r="L1997" s="7">
        <f t="shared" si="63"/>
        <v>2E-3</v>
      </c>
      <c r="M1997" s="7">
        <v>3.0000000000000001E-3</v>
      </c>
      <c r="N1997">
        <v>14</v>
      </c>
      <c r="O1997" s="8">
        <v>22.933916850949441</v>
      </c>
      <c r="P1997" s="9">
        <v>22.933916850949441</v>
      </c>
      <c r="Q1997" s="9">
        <v>22.933916850949441</v>
      </c>
      <c r="R1997" s="9">
        <v>25.173745848546066</v>
      </c>
      <c r="S1997" s="9">
        <v>27.641690539343774</v>
      </c>
      <c r="T1997" s="9">
        <v>29.730378573928668</v>
      </c>
      <c r="U1997" s="9">
        <v>36.183590217329723</v>
      </c>
      <c r="V1997" s="9">
        <v>36.183590217329723</v>
      </c>
      <c r="W1997" s="9">
        <v>36.183590217329723</v>
      </c>
      <c r="X1997" s="9">
        <v>43.522810559209468</v>
      </c>
      <c r="Y1997" s="9">
        <v>43.522810559209468</v>
      </c>
      <c r="Z1997" s="9">
        <v>50.960858783530121</v>
      </c>
      <c r="AA1997" s="9">
        <v>50.960858783530121</v>
      </c>
      <c r="AB1997" s="9">
        <v>58.507617678535738</v>
      </c>
      <c r="AC1997" s="9">
        <v>58.507617678535738</v>
      </c>
      <c r="AD1997" s="9">
        <v>68.105109643716474</v>
      </c>
      <c r="AE1997" s="9">
        <v>75.132723269302929</v>
      </c>
      <c r="AF1997" s="9">
        <v>82.290622386277917</v>
      </c>
      <c r="AG1997" s="9">
        <v>82.290622386277917</v>
      </c>
      <c r="AH1997" s="9">
        <v>90.43943145512165</v>
      </c>
      <c r="AI1997" s="9">
        <v>98.380048333692613</v>
      </c>
      <c r="AJ1997" s="9">
        <v>3.0428788910505911</v>
      </c>
    </row>
    <row r="1998" spans="1:36" x14ac:dyDescent="0.25">
      <c r="A1998" t="s">
        <v>5411</v>
      </c>
      <c r="B1998" t="s">
        <v>16</v>
      </c>
      <c r="C1998" t="s">
        <v>17</v>
      </c>
      <c r="D1998">
        <v>44940000</v>
      </c>
      <c r="E1998">
        <v>44949999</v>
      </c>
      <c r="F1998" t="s">
        <v>1794</v>
      </c>
      <c r="G1998" t="str">
        <f t="shared" si="62"/>
        <v>BAI II</v>
      </c>
      <c r="H1998" t="s">
        <v>1700</v>
      </c>
      <c r="I1998" t="s">
        <v>20</v>
      </c>
      <c r="J1998" t="s">
        <v>64</v>
      </c>
      <c r="K1998" s="6">
        <v>0.03</v>
      </c>
      <c r="L1998" s="7">
        <f t="shared" si="63"/>
        <v>2E-3</v>
      </c>
      <c r="M1998" s="7">
        <v>3.0000000000000001E-3</v>
      </c>
      <c r="N1998">
        <v>14</v>
      </c>
      <c r="O1998" s="8">
        <v>22.933916850949441</v>
      </c>
      <c r="P1998" s="9">
        <v>22.933916850949441</v>
      </c>
      <c r="Q1998" s="9">
        <v>22.933916850949441</v>
      </c>
      <c r="R1998" s="9">
        <v>25.173745848546066</v>
      </c>
      <c r="S1998" s="9">
        <v>27.641690539343774</v>
      </c>
      <c r="T1998" s="9">
        <v>29.730378573928668</v>
      </c>
      <c r="U1998" s="9">
        <v>36.183590217329723</v>
      </c>
      <c r="V1998" s="9">
        <v>36.183590217329723</v>
      </c>
      <c r="W1998" s="9">
        <v>36.183590217329723</v>
      </c>
      <c r="X1998" s="9">
        <v>43.522810559209468</v>
      </c>
      <c r="Y1998" s="9">
        <v>43.522810559209468</v>
      </c>
      <c r="Z1998" s="9">
        <v>50.960858783530121</v>
      </c>
      <c r="AA1998" s="9">
        <v>50.960858783530121</v>
      </c>
      <c r="AB1998" s="9">
        <v>58.507617678535738</v>
      </c>
      <c r="AC1998" s="9">
        <v>58.507617678535738</v>
      </c>
      <c r="AD1998" s="9">
        <v>68.105109643716474</v>
      </c>
      <c r="AE1998" s="9">
        <v>75.132723269302929</v>
      </c>
      <c r="AF1998" s="9">
        <v>82.290622386277917</v>
      </c>
      <c r="AG1998" s="9">
        <v>82.290622386277917</v>
      </c>
      <c r="AH1998" s="9">
        <v>90.43943145512165</v>
      </c>
      <c r="AI1998" s="9">
        <v>98.380048333692613</v>
      </c>
      <c r="AJ1998" s="9">
        <v>3.0428788910505911</v>
      </c>
    </row>
    <row r="1999" spans="1:36" x14ac:dyDescent="0.25">
      <c r="A1999" t="s">
        <v>5411</v>
      </c>
      <c r="B1999" t="s">
        <v>16</v>
      </c>
      <c r="C1999" t="s">
        <v>17</v>
      </c>
      <c r="D1999">
        <v>44950000</v>
      </c>
      <c r="E1999">
        <v>44959999</v>
      </c>
      <c r="F1999" t="s">
        <v>1795</v>
      </c>
      <c r="G1999" t="str">
        <f t="shared" si="62"/>
        <v>BAI II</v>
      </c>
      <c r="H1999" t="s">
        <v>1700</v>
      </c>
      <c r="I1999" t="s">
        <v>20</v>
      </c>
      <c r="J1999" t="s">
        <v>64</v>
      </c>
      <c r="K1999" s="6">
        <v>0.03</v>
      </c>
      <c r="L1999" s="7">
        <f t="shared" si="63"/>
        <v>2E-3</v>
      </c>
      <c r="M1999" s="7">
        <v>3.0000000000000001E-3</v>
      </c>
      <c r="N1999">
        <v>14</v>
      </c>
      <c r="O1999" s="8">
        <v>22.933916850949441</v>
      </c>
      <c r="P1999" s="9">
        <v>22.933916850949441</v>
      </c>
      <c r="Q1999" s="9">
        <v>22.933916850949441</v>
      </c>
      <c r="R1999" s="9">
        <v>25.173745848546066</v>
      </c>
      <c r="S1999" s="9">
        <v>27.641690539343774</v>
      </c>
      <c r="T1999" s="9">
        <v>29.730378573928668</v>
      </c>
      <c r="U1999" s="9">
        <v>36.183590217329723</v>
      </c>
      <c r="V1999" s="9">
        <v>36.183590217329723</v>
      </c>
      <c r="W1999" s="9">
        <v>36.183590217329723</v>
      </c>
      <c r="X1999" s="9">
        <v>43.522810559209468</v>
      </c>
      <c r="Y1999" s="9">
        <v>43.522810559209468</v>
      </c>
      <c r="Z1999" s="9">
        <v>50.960858783530121</v>
      </c>
      <c r="AA1999" s="9">
        <v>50.960858783530121</v>
      </c>
      <c r="AB1999" s="9">
        <v>58.507617678535738</v>
      </c>
      <c r="AC1999" s="9">
        <v>58.507617678535738</v>
      </c>
      <c r="AD1999" s="9">
        <v>68.105109643716474</v>
      </c>
      <c r="AE1999" s="9">
        <v>75.132723269302929</v>
      </c>
      <c r="AF1999" s="9">
        <v>82.290622386277917</v>
      </c>
      <c r="AG1999" s="9">
        <v>82.290622386277917</v>
      </c>
      <c r="AH1999" s="9">
        <v>90.43943145512165</v>
      </c>
      <c r="AI1999" s="9">
        <v>98.380048333692613</v>
      </c>
      <c r="AJ1999" s="9">
        <v>3.0428788910505911</v>
      </c>
    </row>
    <row r="2000" spans="1:36" x14ac:dyDescent="0.25">
      <c r="A2000" t="s">
        <v>5411</v>
      </c>
      <c r="B2000" t="s">
        <v>16</v>
      </c>
      <c r="C2000" t="s">
        <v>17</v>
      </c>
      <c r="D2000">
        <v>44960000</v>
      </c>
      <c r="E2000">
        <v>44969999</v>
      </c>
      <c r="F2000" t="s">
        <v>1796</v>
      </c>
      <c r="G2000" t="str">
        <f t="shared" si="62"/>
        <v>BAI</v>
      </c>
      <c r="H2000" t="s">
        <v>1700</v>
      </c>
      <c r="I2000" t="s">
        <v>20</v>
      </c>
      <c r="J2000" t="s">
        <v>62</v>
      </c>
      <c r="K2000" s="6">
        <v>0.03</v>
      </c>
      <c r="L2000" s="7">
        <f t="shared" si="63"/>
        <v>2E-3</v>
      </c>
      <c r="M2000" s="7">
        <v>3.0000000000000001E-3</v>
      </c>
      <c r="N2000">
        <v>14</v>
      </c>
      <c r="O2000" s="8">
        <v>18.830425793781675</v>
      </c>
      <c r="P2000" s="9">
        <v>18.830425793781675</v>
      </c>
      <c r="Q2000" s="9">
        <v>18.830425793781675</v>
      </c>
      <c r="R2000" s="9">
        <v>20.26742485247707</v>
      </c>
      <c r="S2000" s="9">
        <v>22.358597663519866</v>
      </c>
      <c r="T2000" s="9">
        <v>24.596422700701293</v>
      </c>
      <c r="U2000" s="9">
        <v>30.062806972770321</v>
      </c>
      <c r="V2000" s="9">
        <v>30.062806972770321</v>
      </c>
      <c r="W2000" s="9">
        <v>30.062806972770321</v>
      </c>
      <c r="X2000" s="9">
        <v>36.258834158198169</v>
      </c>
      <c r="Y2000" s="9">
        <v>36.258834158198169</v>
      </c>
      <c r="Z2000" s="9">
        <v>42.662152333319682</v>
      </c>
      <c r="AA2000" s="9">
        <v>42.662152333319682</v>
      </c>
      <c r="AB2000" s="9">
        <v>49.337721288156033</v>
      </c>
      <c r="AC2000" s="9">
        <v>49.337721288156033</v>
      </c>
      <c r="AD2000" s="9">
        <v>56.175614623482943</v>
      </c>
      <c r="AE2000" s="9">
        <v>63.196712014029359</v>
      </c>
      <c r="AF2000" s="9">
        <v>70.424649784246597</v>
      </c>
      <c r="AG2000" s="9">
        <v>70.424649784246597</v>
      </c>
      <c r="AH2000" s="9">
        <v>77.342680781352584</v>
      </c>
      <c r="AI2000" s="9">
        <v>84.743447231394711</v>
      </c>
      <c r="AJ2000" s="9">
        <v>3.0428788910505911</v>
      </c>
    </row>
    <row r="2001" spans="1:36" x14ac:dyDescent="0.25">
      <c r="A2001" t="s">
        <v>5411</v>
      </c>
      <c r="B2001" t="s">
        <v>16</v>
      </c>
      <c r="C2001" t="s">
        <v>17</v>
      </c>
      <c r="D2001">
        <v>44970000</v>
      </c>
      <c r="E2001">
        <v>44989999</v>
      </c>
      <c r="F2001" t="s">
        <v>1797</v>
      </c>
      <c r="G2001" t="str">
        <f t="shared" si="62"/>
        <v>BAI II</v>
      </c>
      <c r="H2001" t="s">
        <v>1700</v>
      </c>
      <c r="I2001" t="s">
        <v>20</v>
      </c>
      <c r="J2001" t="s">
        <v>64</v>
      </c>
      <c r="K2001" s="6">
        <v>0.03</v>
      </c>
      <c r="L2001" s="7">
        <f t="shared" si="63"/>
        <v>2E-3</v>
      </c>
      <c r="M2001" s="7">
        <v>3.0000000000000001E-3</v>
      </c>
      <c r="N2001">
        <v>14</v>
      </c>
      <c r="O2001" s="8">
        <v>22.933916850949441</v>
      </c>
      <c r="P2001" s="9">
        <v>22.933916850949441</v>
      </c>
      <c r="Q2001" s="9">
        <v>22.933916850949441</v>
      </c>
      <c r="R2001" s="9">
        <v>25.173745848546066</v>
      </c>
      <c r="S2001" s="9">
        <v>27.641690539343774</v>
      </c>
      <c r="T2001" s="9">
        <v>29.730378573928668</v>
      </c>
      <c r="U2001" s="9">
        <v>36.183590217329723</v>
      </c>
      <c r="V2001" s="9">
        <v>36.183590217329723</v>
      </c>
      <c r="W2001" s="9">
        <v>36.183590217329723</v>
      </c>
      <c r="X2001" s="9">
        <v>43.522810559209468</v>
      </c>
      <c r="Y2001" s="9">
        <v>43.522810559209468</v>
      </c>
      <c r="Z2001" s="9">
        <v>50.960858783530121</v>
      </c>
      <c r="AA2001" s="9">
        <v>50.960858783530121</v>
      </c>
      <c r="AB2001" s="9">
        <v>58.507617678535738</v>
      </c>
      <c r="AC2001" s="9">
        <v>58.507617678535738</v>
      </c>
      <c r="AD2001" s="9">
        <v>68.105109643716474</v>
      </c>
      <c r="AE2001" s="9">
        <v>75.132723269302929</v>
      </c>
      <c r="AF2001" s="9">
        <v>82.290622386277917</v>
      </c>
      <c r="AG2001" s="9">
        <v>82.290622386277917</v>
      </c>
      <c r="AH2001" s="9">
        <v>90.43943145512165</v>
      </c>
      <c r="AI2001" s="9">
        <v>98.380048333692613</v>
      </c>
      <c r="AJ2001" s="9">
        <v>3.0428788910505911</v>
      </c>
    </row>
    <row r="2002" spans="1:36" x14ac:dyDescent="0.25">
      <c r="A2002" t="s">
        <v>5411</v>
      </c>
      <c r="B2002" t="s">
        <v>16</v>
      </c>
      <c r="C2002" t="s">
        <v>17</v>
      </c>
      <c r="D2002">
        <v>44990000</v>
      </c>
      <c r="E2002">
        <v>44999999</v>
      </c>
      <c r="F2002" t="s">
        <v>1798</v>
      </c>
      <c r="G2002" t="str">
        <f t="shared" si="62"/>
        <v>BAI II</v>
      </c>
      <c r="H2002" t="s">
        <v>1700</v>
      </c>
      <c r="I2002" t="s">
        <v>20</v>
      </c>
      <c r="J2002" t="s">
        <v>64</v>
      </c>
      <c r="K2002" s="6">
        <v>0.03</v>
      </c>
      <c r="L2002" s="7">
        <f t="shared" si="63"/>
        <v>2E-3</v>
      </c>
      <c r="M2002" s="7">
        <v>3.0000000000000001E-3</v>
      </c>
      <c r="N2002">
        <v>14</v>
      </c>
      <c r="O2002" s="8">
        <v>22.933916850949441</v>
      </c>
      <c r="P2002" s="9">
        <v>22.933916850949441</v>
      </c>
      <c r="Q2002" s="9">
        <v>22.933916850949441</v>
      </c>
      <c r="R2002" s="9">
        <v>25.173745848546066</v>
      </c>
      <c r="S2002" s="9">
        <v>27.641690539343774</v>
      </c>
      <c r="T2002" s="9">
        <v>29.730378573928668</v>
      </c>
      <c r="U2002" s="9">
        <v>36.183590217329723</v>
      </c>
      <c r="V2002" s="9">
        <v>36.183590217329723</v>
      </c>
      <c r="W2002" s="9">
        <v>36.183590217329723</v>
      </c>
      <c r="X2002" s="9">
        <v>43.522810559209468</v>
      </c>
      <c r="Y2002" s="9">
        <v>43.522810559209468</v>
      </c>
      <c r="Z2002" s="9">
        <v>50.960858783530121</v>
      </c>
      <c r="AA2002" s="9">
        <v>50.960858783530121</v>
      </c>
      <c r="AB2002" s="9">
        <v>58.507617678535738</v>
      </c>
      <c r="AC2002" s="9">
        <v>58.507617678535738</v>
      </c>
      <c r="AD2002" s="9">
        <v>68.105109643716474</v>
      </c>
      <c r="AE2002" s="9">
        <v>75.132723269302929</v>
      </c>
      <c r="AF2002" s="9">
        <v>82.290622386277917</v>
      </c>
      <c r="AG2002" s="9">
        <v>82.290622386277917</v>
      </c>
      <c r="AH2002" s="9">
        <v>90.43943145512165</v>
      </c>
      <c r="AI2002" s="9">
        <v>98.380048333692613</v>
      </c>
      <c r="AJ2002" s="9">
        <v>3.0428788910505911</v>
      </c>
    </row>
    <row r="2003" spans="1:36" x14ac:dyDescent="0.25">
      <c r="A2003" t="s">
        <v>5411</v>
      </c>
      <c r="B2003" t="s">
        <v>16</v>
      </c>
      <c r="C2003" t="s">
        <v>17</v>
      </c>
      <c r="D2003">
        <v>45000000</v>
      </c>
      <c r="E2003">
        <v>45119999</v>
      </c>
      <c r="F2003" t="s">
        <v>1799</v>
      </c>
      <c r="G2003" t="str">
        <f t="shared" si="62"/>
        <v>BAI</v>
      </c>
      <c r="H2003" t="s">
        <v>1700</v>
      </c>
      <c r="I2003" t="s">
        <v>20</v>
      </c>
      <c r="J2003" t="s">
        <v>62</v>
      </c>
      <c r="K2003" s="6">
        <v>0.03</v>
      </c>
      <c r="L2003" s="7">
        <f t="shared" si="63"/>
        <v>2E-3</v>
      </c>
      <c r="M2003" s="7">
        <v>3.0000000000000001E-3</v>
      </c>
      <c r="N2003">
        <v>8</v>
      </c>
      <c r="O2003" s="8">
        <v>18.830425793781675</v>
      </c>
      <c r="P2003" s="9">
        <v>18.830425793781675</v>
      </c>
      <c r="Q2003" s="9">
        <v>18.830425793781675</v>
      </c>
      <c r="R2003" s="9">
        <v>20.26742485247707</v>
      </c>
      <c r="S2003" s="9">
        <v>22.358597663519866</v>
      </c>
      <c r="T2003" s="9">
        <v>24.596422700701293</v>
      </c>
      <c r="U2003" s="9">
        <v>30.062806972770321</v>
      </c>
      <c r="V2003" s="9">
        <v>30.062806972770321</v>
      </c>
      <c r="W2003" s="9">
        <v>30.062806972770321</v>
      </c>
      <c r="X2003" s="9">
        <v>36.258834158198169</v>
      </c>
      <c r="Y2003" s="9">
        <v>36.258834158198169</v>
      </c>
      <c r="Z2003" s="9">
        <v>42.662152333319682</v>
      </c>
      <c r="AA2003" s="9">
        <v>42.662152333319682</v>
      </c>
      <c r="AB2003" s="9">
        <v>49.337721288156033</v>
      </c>
      <c r="AC2003" s="9">
        <v>49.337721288156033</v>
      </c>
      <c r="AD2003" s="9">
        <v>56.175614623482943</v>
      </c>
      <c r="AE2003" s="9">
        <v>63.196712014029359</v>
      </c>
      <c r="AF2003" s="9">
        <v>70.424649784246597</v>
      </c>
      <c r="AG2003" s="9">
        <v>70.424649784246597</v>
      </c>
      <c r="AH2003" s="9">
        <v>77.342680781352584</v>
      </c>
      <c r="AI2003" s="9">
        <v>84.743447231394711</v>
      </c>
      <c r="AJ2003" s="9">
        <v>3.0428788910505911</v>
      </c>
    </row>
    <row r="2004" spans="1:36" x14ac:dyDescent="0.25">
      <c r="A2004" t="s">
        <v>5411</v>
      </c>
      <c r="B2004" t="s">
        <v>16</v>
      </c>
      <c r="C2004" t="s">
        <v>17</v>
      </c>
      <c r="D2004">
        <v>45120000</v>
      </c>
      <c r="E2004">
        <v>45129999</v>
      </c>
      <c r="F2004" t="s">
        <v>1800</v>
      </c>
      <c r="G2004" t="str">
        <f t="shared" si="62"/>
        <v>BAI II</v>
      </c>
      <c r="H2004" t="s">
        <v>1700</v>
      </c>
      <c r="I2004" t="s">
        <v>20</v>
      </c>
      <c r="J2004" t="s">
        <v>64</v>
      </c>
      <c r="K2004" s="6">
        <v>0.03</v>
      </c>
      <c r="L2004" s="7">
        <f t="shared" si="63"/>
        <v>2E-3</v>
      </c>
      <c r="M2004" s="7">
        <v>3.0000000000000001E-3</v>
      </c>
      <c r="N2004">
        <v>9</v>
      </c>
      <c r="O2004" s="8">
        <v>22.933916850949441</v>
      </c>
      <c r="P2004" s="9">
        <v>22.933916850949441</v>
      </c>
      <c r="Q2004" s="9">
        <v>22.933916850949441</v>
      </c>
      <c r="R2004" s="9">
        <v>25.173745848546066</v>
      </c>
      <c r="S2004" s="9">
        <v>27.641690539343774</v>
      </c>
      <c r="T2004" s="9">
        <v>29.730378573928668</v>
      </c>
      <c r="U2004" s="9">
        <v>36.183590217329723</v>
      </c>
      <c r="V2004" s="9">
        <v>36.183590217329723</v>
      </c>
      <c r="W2004" s="9">
        <v>36.183590217329723</v>
      </c>
      <c r="X2004" s="9">
        <v>43.522810559209468</v>
      </c>
      <c r="Y2004" s="9">
        <v>43.522810559209468</v>
      </c>
      <c r="Z2004" s="9">
        <v>50.960858783530121</v>
      </c>
      <c r="AA2004" s="9">
        <v>50.960858783530121</v>
      </c>
      <c r="AB2004" s="9">
        <v>58.507617678535738</v>
      </c>
      <c r="AC2004" s="9">
        <v>58.507617678535738</v>
      </c>
      <c r="AD2004" s="9">
        <v>68.105109643716474</v>
      </c>
      <c r="AE2004" s="9">
        <v>75.132723269302929</v>
      </c>
      <c r="AF2004" s="9">
        <v>82.290622386277917</v>
      </c>
      <c r="AG2004" s="9">
        <v>82.290622386277917</v>
      </c>
      <c r="AH2004" s="9">
        <v>90.43943145512165</v>
      </c>
      <c r="AI2004" s="9">
        <v>98.380048333692613</v>
      </c>
      <c r="AJ2004" s="9">
        <v>3.0428788910505911</v>
      </c>
    </row>
    <row r="2005" spans="1:36" x14ac:dyDescent="0.25">
      <c r="A2005" t="s">
        <v>5411</v>
      </c>
      <c r="B2005" t="s">
        <v>16</v>
      </c>
      <c r="C2005" t="s">
        <v>17</v>
      </c>
      <c r="D2005">
        <v>45130000</v>
      </c>
      <c r="E2005">
        <v>45139999</v>
      </c>
      <c r="F2005" t="s">
        <v>1801</v>
      </c>
      <c r="G2005" t="str">
        <f t="shared" si="62"/>
        <v>BAI II</v>
      </c>
      <c r="H2005" t="s">
        <v>1700</v>
      </c>
      <c r="I2005" t="s">
        <v>20</v>
      </c>
      <c r="J2005" t="s">
        <v>64</v>
      </c>
      <c r="K2005" s="6">
        <v>0.03</v>
      </c>
      <c r="L2005" s="7">
        <f t="shared" si="63"/>
        <v>2E-3</v>
      </c>
      <c r="M2005" s="7">
        <v>3.0000000000000001E-3</v>
      </c>
      <c r="N2005">
        <v>10</v>
      </c>
      <c r="O2005" s="8">
        <v>22.933916850949441</v>
      </c>
      <c r="P2005" s="9">
        <v>22.933916850949441</v>
      </c>
      <c r="Q2005" s="9">
        <v>22.933916850949441</v>
      </c>
      <c r="R2005" s="9">
        <v>25.173745848546066</v>
      </c>
      <c r="S2005" s="9">
        <v>27.641690539343774</v>
      </c>
      <c r="T2005" s="9">
        <v>29.730378573928668</v>
      </c>
      <c r="U2005" s="9">
        <v>36.183590217329723</v>
      </c>
      <c r="V2005" s="9">
        <v>36.183590217329723</v>
      </c>
      <c r="W2005" s="9">
        <v>36.183590217329723</v>
      </c>
      <c r="X2005" s="9">
        <v>43.522810559209468</v>
      </c>
      <c r="Y2005" s="9">
        <v>43.522810559209468</v>
      </c>
      <c r="Z2005" s="9">
        <v>50.960858783530121</v>
      </c>
      <c r="AA2005" s="9">
        <v>50.960858783530121</v>
      </c>
      <c r="AB2005" s="9">
        <v>58.507617678535738</v>
      </c>
      <c r="AC2005" s="9">
        <v>58.507617678535738</v>
      </c>
      <c r="AD2005" s="9">
        <v>68.105109643716474</v>
      </c>
      <c r="AE2005" s="9">
        <v>75.132723269302929</v>
      </c>
      <c r="AF2005" s="9">
        <v>82.290622386277917</v>
      </c>
      <c r="AG2005" s="9">
        <v>82.290622386277917</v>
      </c>
      <c r="AH2005" s="9">
        <v>90.43943145512165</v>
      </c>
      <c r="AI2005" s="9">
        <v>98.380048333692613</v>
      </c>
      <c r="AJ2005" s="9">
        <v>3.0428788910505911</v>
      </c>
    </row>
    <row r="2006" spans="1:36" x14ac:dyDescent="0.25">
      <c r="A2006" t="s">
        <v>5411</v>
      </c>
      <c r="B2006" t="s">
        <v>16</v>
      </c>
      <c r="C2006" t="s">
        <v>17</v>
      </c>
      <c r="D2006">
        <v>45140000</v>
      </c>
      <c r="E2006">
        <v>45149999</v>
      </c>
      <c r="F2006" t="s">
        <v>1802</v>
      </c>
      <c r="G2006" t="str">
        <f t="shared" si="62"/>
        <v>BAI II</v>
      </c>
      <c r="H2006" t="s">
        <v>1700</v>
      </c>
      <c r="I2006" t="s">
        <v>20</v>
      </c>
      <c r="J2006" t="s">
        <v>64</v>
      </c>
      <c r="K2006" s="6">
        <v>0.03</v>
      </c>
      <c r="L2006" s="7">
        <f t="shared" si="63"/>
        <v>2E-3</v>
      </c>
      <c r="M2006" s="7">
        <v>3.0000000000000001E-3</v>
      </c>
      <c r="N2006">
        <v>9</v>
      </c>
      <c r="O2006" s="8">
        <v>22.933916850949441</v>
      </c>
      <c r="P2006" s="9">
        <v>22.933916850949441</v>
      </c>
      <c r="Q2006" s="9">
        <v>22.933916850949441</v>
      </c>
      <c r="R2006" s="9">
        <v>25.173745848546066</v>
      </c>
      <c r="S2006" s="9">
        <v>27.641690539343774</v>
      </c>
      <c r="T2006" s="9">
        <v>29.730378573928668</v>
      </c>
      <c r="U2006" s="9">
        <v>36.183590217329723</v>
      </c>
      <c r="V2006" s="9">
        <v>36.183590217329723</v>
      </c>
      <c r="W2006" s="9">
        <v>36.183590217329723</v>
      </c>
      <c r="X2006" s="9">
        <v>43.522810559209468</v>
      </c>
      <c r="Y2006" s="9">
        <v>43.522810559209468</v>
      </c>
      <c r="Z2006" s="9">
        <v>50.960858783530121</v>
      </c>
      <c r="AA2006" s="9">
        <v>50.960858783530121</v>
      </c>
      <c r="AB2006" s="9">
        <v>58.507617678535738</v>
      </c>
      <c r="AC2006" s="9">
        <v>58.507617678535738</v>
      </c>
      <c r="AD2006" s="9">
        <v>68.105109643716474</v>
      </c>
      <c r="AE2006" s="9">
        <v>75.132723269302929</v>
      </c>
      <c r="AF2006" s="9">
        <v>82.290622386277917</v>
      </c>
      <c r="AG2006" s="9">
        <v>82.290622386277917</v>
      </c>
      <c r="AH2006" s="9">
        <v>90.43943145512165</v>
      </c>
      <c r="AI2006" s="9">
        <v>98.380048333692613</v>
      </c>
      <c r="AJ2006" s="9">
        <v>3.0428788910505911</v>
      </c>
    </row>
    <row r="2007" spans="1:36" x14ac:dyDescent="0.25">
      <c r="A2007" t="s">
        <v>5411</v>
      </c>
      <c r="B2007" t="s">
        <v>16</v>
      </c>
      <c r="C2007" t="s">
        <v>17</v>
      </c>
      <c r="D2007">
        <v>45150000</v>
      </c>
      <c r="E2007">
        <v>45154999</v>
      </c>
      <c r="F2007" t="s">
        <v>1803</v>
      </c>
      <c r="G2007" t="str">
        <f t="shared" si="62"/>
        <v>BAI II</v>
      </c>
      <c r="H2007" t="s">
        <v>1700</v>
      </c>
      <c r="I2007" t="s">
        <v>20</v>
      </c>
      <c r="J2007" t="s">
        <v>64</v>
      </c>
      <c r="K2007" s="6">
        <v>0.03</v>
      </c>
      <c r="L2007" s="7">
        <f t="shared" si="63"/>
        <v>2E-3</v>
      </c>
      <c r="M2007" s="7">
        <v>3.0000000000000001E-3</v>
      </c>
      <c r="N2007">
        <v>10</v>
      </c>
      <c r="O2007" s="8">
        <v>22.933916850949441</v>
      </c>
      <c r="P2007" s="9">
        <v>22.933916850949441</v>
      </c>
      <c r="Q2007" s="9">
        <v>22.933916850949441</v>
      </c>
      <c r="R2007" s="9">
        <v>25.173745848546066</v>
      </c>
      <c r="S2007" s="9">
        <v>27.641690539343774</v>
      </c>
      <c r="T2007" s="9">
        <v>29.730378573928668</v>
      </c>
      <c r="U2007" s="9">
        <v>36.183590217329723</v>
      </c>
      <c r="V2007" s="9">
        <v>36.183590217329723</v>
      </c>
      <c r="W2007" s="9">
        <v>36.183590217329723</v>
      </c>
      <c r="X2007" s="9">
        <v>43.522810559209468</v>
      </c>
      <c r="Y2007" s="9">
        <v>43.522810559209468</v>
      </c>
      <c r="Z2007" s="9">
        <v>50.960858783530121</v>
      </c>
      <c r="AA2007" s="9">
        <v>50.960858783530121</v>
      </c>
      <c r="AB2007" s="9">
        <v>58.507617678535738</v>
      </c>
      <c r="AC2007" s="9">
        <v>58.507617678535738</v>
      </c>
      <c r="AD2007" s="9">
        <v>68.105109643716474</v>
      </c>
      <c r="AE2007" s="9">
        <v>75.132723269302929</v>
      </c>
      <c r="AF2007" s="9">
        <v>82.290622386277917</v>
      </c>
      <c r="AG2007" s="9">
        <v>82.290622386277917</v>
      </c>
      <c r="AH2007" s="9">
        <v>90.43943145512165</v>
      </c>
      <c r="AI2007" s="9">
        <v>98.380048333692613</v>
      </c>
      <c r="AJ2007" s="9">
        <v>3.0428788910505911</v>
      </c>
    </row>
    <row r="2008" spans="1:36" x14ac:dyDescent="0.25">
      <c r="A2008" t="s">
        <v>5411</v>
      </c>
      <c r="B2008" t="s">
        <v>16</v>
      </c>
      <c r="C2008" t="s">
        <v>17</v>
      </c>
      <c r="D2008">
        <v>45155000</v>
      </c>
      <c r="E2008">
        <v>45156999</v>
      </c>
      <c r="F2008" t="s">
        <v>1804</v>
      </c>
      <c r="G2008" t="str">
        <f t="shared" si="62"/>
        <v>BAI II</v>
      </c>
      <c r="H2008" t="s">
        <v>1700</v>
      </c>
      <c r="I2008" t="s">
        <v>20</v>
      </c>
      <c r="J2008" t="s">
        <v>64</v>
      </c>
      <c r="K2008" s="6">
        <v>0.03</v>
      </c>
      <c r="L2008" s="7">
        <f t="shared" si="63"/>
        <v>2E-3</v>
      </c>
      <c r="M2008" s="7">
        <v>3.0000000000000001E-3</v>
      </c>
      <c r="N2008">
        <v>10</v>
      </c>
      <c r="O2008" s="8">
        <v>22.933916850949441</v>
      </c>
      <c r="P2008" s="9">
        <v>22.933916850949441</v>
      </c>
      <c r="Q2008" s="9">
        <v>22.933916850949441</v>
      </c>
      <c r="R2008" s="9">
        <v>25.173745848546066</v>
      </c>
      <c r="S2008" s="9">
        <v>27.641690539343774</v>
      </c>
      <c r="T2008" s="9">
        <v>29.730378573928668</v>
      </c>
      <c r="U2008" s="9">
        <v>36.183590217329723</v>
      </c>
      <c r="V2008" s="9">
        <v>36.183590217329723</v>
      </c>
      <c r="W2008" s="9">
        <v>36.183590217329723</v>
      </c>
      <c r="X2008" s="9">
        <v>43.522810559209468</v>
      </c>
      <c r="Y2008" s="9">
        <v>43.522810559209468</v>
      </c>
      <c r="Z2008" s="9">
        <v>50.960858783530121</v>
      </c>
      <c r="AA2008" s="9">
        <v>50.960858783530121</v>
      </c>
      <c r="AB2008" s="9">
        <v>58.507617678535738</v>
      </c>
      <c r="AC2008" s="9">
        <v>58.507617678535738</v>
      </c>
      <c r="AD2008" s="9">
        <v>68.105109643716474</v>
      </c>
      <c r="AE2008" s="9">
        <v>75.132723269302929</v>
      </c>
      <c r="AF2008" s="9">
        <v>82.290622386277917</v>
      </c>
      <c r="AG2008" s="9">
        <v>82.290622386277917</v>
      </c>
      <c r="AH2008" s="9">
        <v>90.43943145512165</v>
      </c>
      <c r="AI2008" s="9">
        <v>98.380048333692613</v>
      </c>
      <c r="AJ2008" s="9">
        <v>3.0428788910505911</v>
      </c>
    </row>
    <row r="2009" spans="1:36" x14ac:dyDescent="0.25">
      <c r="A2009" t="s">
        <v>5411</v>
      </c>
      <c r="B2009" t="s">
        <v>16</v>
      </c>
      <c r="C2009" t="s">
        <v>17</v>
      </c>
      <c r="D2009">
        <v>45157000</v>
      </c>
      <c r="E2009">
        <v>45159999</v>
      </c>
      <c r="F2009" t="s">
        <v>1805</v>
      </c>
      <c r="G2009" t="str">
        <f t="shared" si="62"/>
        <v>BAI II</v>
      </c>
      <c r="H2009" t="s">
        <v>1700</v>
      </c>
      <c r="I2009" t="s">
        <v>20</v>
      </c>
      <c r="J2009" t="s">
        <v>64</v>
      </c>
      <c r="K2009" s="6">
        <v>0.03</v>
      </c>
      <c r="L2009" s="7">
        <f t="shared" si="63"/>
        <v>2E-3</v>
      </c>
      <c r="M2009" s="7">
        <v>3.0000000000000001E-3</v>
      </c>
      <c r="N2009">
        <v>10</v>
      </c>
      <c r="O2009" s="8">
        <v>22.933916850949441</v>
      </c>
      <c r="P2009" s="9">
        <v>22.933916850949441</v>
      </c>
      <c r="Q2009" s="9">
        <v>22.933916850949441</v>
      </c>
      <c r="R2009" s="9">
        <v>25.173745848546066</v>
      </c>
      <c r="S2009" s="9">
        <v>27.641690539343774</v>
      </c>
      <c r="T2009" s="9">
        <v>29.730378573928668</v>
      </c>
      <c r="U2009" s="9">
        <v>36.183590217329723</v>
      </c>
      <c r="V2009" s="9">
        <v>36.183590217329723</v>
      </c>
      <c r="W2009" s="9">
        <v>36.183590217329723</v>
      </c>
      <c r="X2009" s="9">
        <v>43.522810559209468</v>
      </c>
      <c r="Y2009" s="9">
        <v>43.522810559209468</v>
      </c>
      <c r="Z2009" s="9">
        <v>50.960858783530121</v>
      </c>
      <c r="AA2009" s="9">
        <v>50.960858783530121</v>
      </c>
      <c r="AB2009" s="9">
        <v>58.507617678535738</v>
      </c>
      <c r="AC2009" s="9">
        <v>58.507617678535738</v>
      </c>
      <c r="AD2009" s="9">
        <v>68.105109643716474</v>
      </c>
      <c r="AE2009" s="9">
        <v>75.132723269302929</v>
      </c>
      <c r="AF2009" s="9">
        <v>82.290622386277917</v>
      </c>
      <c r="AG2009" s="9">
        <v>82.290622386277917</v>
      </c>
      <c r="AH2009" s="9">
        <v>90.43943145512165</v>
      </c>
      <c r="AI2009" s="9">
        <v>98.380048333692613</v>
      </c>
      <c r="AJ2009" s="9">
        <v>3.0428788910505911</v>
      </c>
    </row>
    <row r="2010" spans="1:36" x14ac:dyDescent="0.25">
      <c r="A2010" t="s">
        <v>5411</v>
      </c>
      <c r="B2010" t="s">
        <v>16</v>
      </c>
      <c r="C2010" t="s">
        <v>17</v>
      </c>
      <c r="D2010">
        <v>45160000</v>
      </c>
      <c r="E2010">
        <v>45169999</v>
      </c>
      <c r="F2010" t="s">
        <v>1806</v>
      </c>
      <c r="G2010" t="str">
        <f t="shared" si="62"/>
        <v>BAI II</v>
      </c>
      <c r="H2010" t="s">
        <v>1700</v>
      </c>
      <c r="I2010" t="s">
        <v>20</v>
      </c>
      <c r="J2010" t="s">
        <v>64</v>
      </c>
      <c r="K2010" s="6">
        <v>0.03</v>
      </c>
      <c r="L2010" s="7">
        <f t="shared" si="63"/>
        <v>2E-3</v>
      </c>
      <c r="M2010" s="7">
        <v>3.0000000000000001E-3</v>
      </c>
      <c r="N2010">
        <v>10</v>
      </c>
      <c r="O2010" s="8">
        <v>22.933916850949441</v>
      </c>
      <c r="P2010" s="9">
        <v>22.933916850949441</v>
      </c>
      <c r="Q2010" s="9">
        <v>22.933916850949441</v>
      </c>
      <c r="R2010" s="9">
        <v>25.173745848546066</v>
      </c>
      <c r="S2010" s="9">
        <v>27.641690539343774</v>
      </c>
      <c r="T2010" s="9">
        <v>29.730378573928668</v>
      </c>
      <c r="U2010" s="9">
        <v>36.183590217329723</v>
      </c>
      <c r="V2010" s="9">
        <v>36.183590217329723</v>
      </c>
      <c r="W2010" s="9">
        <v>36.183590217329723</v>
      </c>
      <c r="X2010" s="9">
        <v>43.522810559209468</v>
      </c>
      <c r="Y2010" s="9">
        <v>43.522810559209468</v>
      </c>
      <c r="Z2010" s="9">
        <v>50.960858783530121</v>
      </c>
      <c r="AA2010" s="9">
        <v>50.960858783530121</v>
      </c>
      <c r="AB2010" s="9">
        <v>58.507617678535738</v>
      </c>
      <c r="AC2010" s="9">
        <v>58.507617678535738</v>
      </c>
      <c r="AD2010" s="9">
        <v>68.105109643716474</v>
      </c>
      <c r="AE2010" s="9">
        <v>75.132723269302929</v>
      </c>
      <c r="AF2010" s="9">
        <v>82.290622386277917</v>
      </c>
      <c r="AG2010" s="9">
        <v>82.290622386277917</v>
      </c>
      <c r="AH2010" s="9">
        <v>90.43943145512165</v>
      </c>
      <c r="AI2010" s="9">
        <v>98.380048333692613</v>
      </c>
      <c r="AJ2010" s="9">
        <v>3.0428788910505911</v>
      </c>
    </row>
    <row r="2011" spans="1:36" x14ac:dyDescent="0.25">
      <c r="A2011" t="s">
        <v>5411</v>
      </c>
      <c r="B2011" t="s">
        <v>16</v>
      </c>
      <c r="C2011" t="s">
        <v>17</v>
      </c>
      <c r="D2011">
        <v>45170000</v>
      </c>
      <c r="E2011">
        <v>45176999</v>
      </c>
      <c r="F2011" t="s">
        <v>1807</v>
      </c>
      <c r="G2011" t="str">
        <f t="shared" si="62"/>
        <v>BAI II</v>
      </c>
      <c r="H2011" t="s">
        <v>1700</v>
      </c>
      <c r="I2011" t="s">
        <v>20</v>
      </c>
      <c r="J2011" t="s">
        <v>64</v>
      </c>
      <c r="K2011" s="6">
        <v>0.03</v>
      </c>
      <c r="L2011" s="7">
        <f t="shared" si="63"/>
        <v>2E-3</v>
      </c>
      <c r="M2011" s="7">
        <v>3.0000000000000001E-3</v>
      </c>
      <c r="N2011">
        <v>10</v>
      </c>
      <c r="O2011" s="8">
        <v>22.933916850949441</v>
      </c>
      <c r="P2011" s="9">
        <v>22.933916850949441</v>
      </c>
      <c r="Q2011" s="9">
        <v>22.933916850949441</v>
      </c>
      <c r="R2011" s="9">
        <v>25.173745848546066</v>
      </c>
      <c r="S2011" s="9">
        <v>27.641690539343774</v>
      </c>
      <c r="T2011" s="9">
        <v>29.730378573928668</v>
      </c>
      <c r="U2011" s="9">
        <v>36.183590217329723</v>
      </c>
      <c r="V2011" s="9">
        <v>36.183590217329723</v>
      </c>
      <c r="W2011" s="9">
        <v>36.183590217329723</v>
      </c>
      <c r="X2011" s="9">
        <v>43.522810559209468</v>
      </c>
      <c r="Y2011" s="9">
        <v>43.522810559209468</v>
      </c>
      <c r="Z2011" s="9">
        <v>50.960858783530121</v>
      </c>
      <c r="AA2011" s="9">
        <v>50.960858783530121</v>
      </c>
      <c r="AB2011" s="9">
        <v>58.507617678535738</v>
      </c>
      <c r="AC2011" s="9">
        <v>58.507617678535738</v>
      </c>
      <c r="AD2011" s="9">
        <v>68.105109643716474</v>
      </c>
      <c r="AE2011" s="9">
        <v>75.132723269302929</v>
      </c>
      <c r="AF2011" s="9">
        <v>82.290622386277917</v>
      </c>
      <c r="AG2011" s="9">
        <v>82.290622386277917</v>
      </c>
      <c r="AH2011" s="9">
        <v>90.43943145512165</v>
      </c>
      <c r="AI2011" s="9">
        <v>98.380048333692613</v>
      </c>
      <c r="AJ2011" s="9">
        <v>3.0428788910505911</v>
      </c>
    </row>
    <row r="2012" spans="1:36" x14ac:dyDescent="0.25">
      <c r="A2012" t="s">
        <v>5411</v>
      </c>
      <c r="B2012" t="s">
        <v>16</v>
      </c>
      <c r="C2012" t="s">
        <v>17</v>
      </c>
      <c r="D2012">
        <v>45177000</v>
      </c>
      <c r="E2012">
        <v>45179999</v>
      </c>
      <c r="F2012" t="s">
        <v>1808</v>
      </c>
      <c r="G2012" t="str">
        <f t="shared" si="62"/>
        <v>BAI II</v>
      </c>
      <c r="H2012" t="s">
        <v>1700</v>
      </c>
      <c r="I2012" t="s">
        <v>20</v>
      </c>
      <c r="J2012" t="s">
        <v>64</v>
      </c>
      <c r="K2012" s="6">
        <v>0.03</v>
      </c>
      <c r="L2012" s="7">
        <f t="shared" si="63"/>
        <v>2E-3</v>
      </c>
      <c r="M2012" s="7">
        <v>3.0000000000000001E-3</v>
      </c>
      <c r="N2012">
        <v>14</v>
      </c>
      <c r="O2012" s="8">
        <v>22.933916850949441</v>
      </c>
      <c r="P2012" s="9">
        <v>22.933916850949441</v>
      </c>
      <c r="Q2012" s="9">
        <v>22.933916850949441</v>
      </c>
      <c r="R2012" s="9">
        <v>25.173745848546066</v>
      </c>
      <c r="S2012" s="9">
        <v>27.641690539343774</v>
      </c>
      <c r="T2012" s="9">
        <v>29.730378573928668</v>
      </c>
      <c r="U2012" s="9">
        <v>36.183590217329723</v>
      </c>
      <c r="V2012" s="9">
        <v>36.183590217329723</v>
      </c>
      <c r="W2012" s="9">
        <v>36.183590217329723</v>
      </c>
      <c r="X2012" s="9">
        <v>43.522810559209468</v>
      </c>
      <c r="Y2012" s="9">
        <v>43.522810559209468</v>
      </c>
      <c r="Z2012" s="9">
        <v>50.960858783530121</v>
      </c>
      <c r="AA2012" s="9">
        <v>50.960858783530121</v>
      </c>
      <c r="AB2012" s="9">
        <v>58.507617678535738</v>
      </c>
      <c r="AC2012" s="9">
        <v>58.507617678535738</v>
      </c>
      <c r="AD2012" s="9">
        <v>68.105109643716474</v>
      </c>
      <c r="AE2012" s="9">
        <v>75.132723269302929</v>
      </c>
      <c r="AF2012" s="9">
        <v>82.290622386277917</v>
      </c>
      <c r="AG2012" s="9">
        <v>82.290622386277917</v>
      </c>
      <c r="AH2012" s="9">
        <v>90.43943145512165</v>
      </c>
      <c r="AI2012" s="9">
        <v>98.380048333692613</v>
      </c>
      <c r="AJ2012" s="9">
        <v>3.0428788910505911</v>
      </c>
    </row>
    <row r="2013" spans="1:36" x14ac:dyDescent="0.25">
      <c r="A2013" t="s">
        <v>5411</v>
      </c>
      <c r="B2013" t="s">
        <v>16</v>
      </c>
      <c r="C2013" t="s">
        <v>17</v>
      </c>
      <c r="D2013">
        <v>45180000</v>
      </c>
      <c r="E2013">
        <v>45189999</v>
      </c>
      <c r="F2013" t="s">
        <v>1809</v>
      </c>
      <c r="G2013" t="str">
        <f t="shared" si="62"/>
        <v>BAI II</v>
      </c>
      <c r="H2013" t="s">
        <v>1700</v>
      </c>
      <c r="I2013" t="s">
        <v>20</v>
      </c>
      <c r="J2013" t="s">
        <v>64</v>
      </c>
      <c r="K2013" s="6">
        <v>0.03</v>
      </c>
      <c r="L2013" s="7">
        <f t="shared" si="63"/>
        <v>2E-3</v>
      </c>
      <c r="M2013" s="7">
        <v>3.0000000000000001E-3</v>
      </c>
      <c r="N2013">
        <v>9</v>
      </c>
      <c r="O2013" s="8">
        <v>22.933916850949441</v>
      </c>
      <c r="P2013" s="9">
        <v>22.933916850949441</v>
      </c>
      <c r="Q2013" s="9">
        <v>22.933916850949441</v>
      </c>
      <c r="R2013" s="9">
        <v>25.173745848546066</v>
      </c>
      <c r="S2013" s="9">
        <v>27.641690539343774</v>
      </c>
      <c r="T2013" s="9">
        <v>29.730378573928668</v>
      </c>
      <c r="U2013" s="9">
        <v>36.183590217329723</v>
      </c>
      <c r="V2013" s="9">
        <v>36.183590217329723</v>
      </c>
      <c r="W2013" s="9">
        <v>36.183590217329723</v>
      </c>
      <c r="X2013" s="9">
        <v>43.522810559209468</v>
      </c>
      <c r="Y2013" s="9">
        <v>43.522810559209468</v>
      </c>
      <c r="Z2013" s="9">
        <v>50.960858783530121</v>
      </c>
      <c r="AA2013" s="9">
        <v>50.960858783530121</v>
      </c>
      <c r="AB2013" s="9">
        <v>58.507617678535738</v>
      </c>
      <c r="AC2013" s="9">
        <v>58.507617678535738</v>
      </c>
      <c r="AD2013" s="9">
        <v>68.105109643716474</v>
      </c>
      <c r="AE2013" s="9">
        <v>75.132723269302929</v>
      </c>
      <c r="AF2013" s="9">
        <v>82.290622386277917</v>
      </c>
      <c r="AG2013" s="9">
        <v>82.290622386277917</v>
      </c>
      <c r="AH2013" s="9">
        <v>90.43943145512165</v>
      </c>
      <c r="AI2013" s="9">
        <v>98.380048333692613</v>
      </c>
      <c r="AJ2013" s="9">
        <v>3.0428788910505911</v>
      </c>
    </row>
    <row r="2014" spans="1:36" x14ac:dyDescent="0.25">
      <c r="A2014" t="s">
        <v>5411</v>
      </c>
      <c r="B2014" t="s">
        <v>16</v>
      </c>
      <c r="C2014" t="s">
        <v>17</v>
      </c>
      <c r="D2014">
        <v>45190000</v>
      </c>
      <c r="E2014">
        <v>45199999</v>
      </c>
      <c r="F2014" t="s">
        <v>317</v>
      </c>
      <c r="G2014" t="str">
        <f t="shared" si="62"/>
        <v>BAI II</v>
      </c>
      <c r="H2014" t="s">
        <v>1700</v>
      </c>
      <c r="I2014" t="s">
        <v>20</v>
      </c>
      <c r="J2014" t="s">
        <v>64</v>
      </c>
      <c r="K2014" s="6">
        <v>0.03</v>
      </c>
      <c r="L2014" s="7">
        <f t="shared" si="63"/>
        <v>2E-3</v>
      </c>
      <c r="M2014" s="7">
        <v>3.0000000000000001E-3</v>
      </c>
      <c r="N2014">
        <v>10</v>
      </c>
      <c r="O2014" s="8">
        <v>22.933916850949441</v>
      </c>
      <c r="P2014" s="9">
        <v>22.933916850949441</v>
      </c>
      <c r="Q2014" s="9">
        <v>22.933916850949441</v>
      </c>
      <c r="R2014" s="9">
        <v>25.173745848546066</v>
      </c>
      <c r="S2014" s="9">
        <v>27.641690539343774</v>
      </c>
      <c r="T2014" s="9">
        <v>29.730378573928668</v>
      </c>
      <c r="U2014" s="9">
        <v>36.183590217329723</v>
      </c>
      <c r="V2014" s="9">
        <v>36.183590217329723</v>
      </c>
      <c r="W2014" s="9">
        <v>36.183590217329723</v>
      </c>
      <c r="X2014" s="9">
        <v>43.522810559209468</v>
      </c>
      <c r="Y2014" s="9">
        <v>43.522810559209468</v>
      </c>
      <c r="Z2014" s="9">
        <v>50.960858783530121</v>
      </c>
      <c r="AA2014" s="9">
        <v>50.960858783530121</v>
      </c>
      <c r="AB2014" s="9">
        <v>58.507617678535738</v>
      </c>
      <c r="AC2014" s="9">
        <v>58.507617678535738</v>
      </c>
      <c r="AD2014" s="9">
        <v>68.105109643716474</v>
      </c>
      <c r="AE2014" s="9">
        <v>75.132723269302929</v>
      </c>
      <c r="AF2014" s="9">
        <v>82.290622386277917</v>
      </c>
      <c r="AG2014" s="9">
        <v>82.290622386277917</v>
      </c>
      <c r="AH2014" s="9">
        <v>90.43943145512165</v>
      </c>
      <c r="AI2014" s="9">
        <v>98.380048333692613</v>
      </c>
      <c r="AJ2014" s="9">
        <v>3.0428788910505911</v>
      </c>
    </row>
    <row r="2015" spans="1:36" x14ac:dyDescent="0.25">
      <c r="A2015" t="s">
        <v>5411</v>
      </c>
      <c r="B2015" t="s">
        <v>16</v>
      </c>
      <c r="C2015" t="s">
        <v>17</v>
      </c>
      <c r="D2015">
        <v>45200000</v>
      </c>
      <c r="E2015">
        <v>45214999</v>
      </c>
      <c r="F2015" t="s">
        <v>1810</v>
      </c>
      <c r="G2015" t="str">
        <f t="shared" si="62"/>
        <v>BAI II</v>
      </c>
      <c r="H2015" t="s">
        <v>1700</v>
      </c>
      <c r="I2015" t="s">
        <v>20</v>
      </c>
      <c r="J2015" t="s">
        <v>64</v>
      </c>
      <c r="K2015" s="6">
        <v>0.03</v>
      </c>
      <c r="L2015" s="7">
        <f t="shared" si="63"/>
        <v>2E-3</v>
      </c>
      <c r="M2015" s="7">
        <v>3.0000000000000001E-3</v>
      </c>
      <c r="N2015">
        <v>10</v>
      </c>
      <c r="O2015" s="8">
        <v>22.933916850949441</v>
      </c>
      <c r="P2015" s="9">
        <v>22.933916850949441</v>
      </c>
      <c r="Q2015" s="9">
        <v>22.933916850949441</v>
      </c>
      <c r="R2015" s="9">
        <v>25.173745848546066</v>
      </c>
      <c r="S2015" s="9">
        <v>27.641690539343774</v>
      </c>
      <c r="T2015" s="9">
        <v>29.730378573928668</v>
      </c>
      <c r="U2015" s="9">
        <v>36.183590217329723</v>
      </c>
      <c r="V2015" s="9">
        <v>36.183590217329723</v>
      </c>
      <c r="W2015" s="9">
        <v>36.183590217329723</v>
      </c>
      <c r="X2015" s="9">
        <v>43.522810559209468</v>
      </c>
      <c r="Y2015" s="9">
        <v>43.522810559209468</v>
      </c>
      <c r="Z2015" s="9">
        <v>50.960858783530121</v>
      </c>
      <c r="AA2015" s="9">
        <v>50.960858783530121</v>
      </c>
      <c r="AB2015" s="9">
        <v>58.507617678535738</v>
      </c>
      <c r="AC2015" s="9">
        <v>58.507617678535738</v>
      </c>
      <c r="AD2015" s="9">
        <v>68.105109643716474</v>
      </c>
      <c r="AE2015" s="9">
        <v>75.132723269302929</v>
      </c>
      <c r="AF2015" s="9">
        <v>82.290622386277917</v>
      </c>
      <c r="AG2015" s="9">
        <v>82.290622386277917</v>
      </c>
      <c r="AH2015" s="9">
        <v>90.43943145512165</v>
      </c>
      <c r="AI2015" s="9">
        <v>98.380048333692613</v>
      </c>
      <c r="AJ2015" s="9">
        <v>3.0428788910505911</v>
      </c>
    </row>
    <row r="2016" spans="1:36" x14ac:dyDescent="0.25">
      <c r="A2016" t="s">
        <v>5411</v>
      </c>
      <c r="B2016" t="s">
        <v>16</v>
      </c>
      <c r="C2016" t="s">
        <v>17</v>
      </c>
      <c r="D2016">
        <v>45215000</v>
      </c>
      <c r="E2016">
        <v>45219999</v>
      </c>
      <c r="F2016" t="s">
        <v>1811</v>
      </c>
      <c r="G2016" t="str">
        <f t="shared" si="62"/>
        <v>BAI II</v>
      </c>
      <c r="H2016" t="s">
        <v>1700</v>
      </c>
      <c r="I2016" t="s">
        <v>20</v>
      </c>
      <c r="J2016" t="s">
        <v>64</v>
      </c>
      <c r="K2016" s="6">
        <v>0.03</v>
      </c>
      <c r="L2016" s="7">
        <f t="shared" si="63"/>
        <v>2E-3</v>
      </c>
      <c r="M2016" s="7">
        <v>3.0000000000000001E-3</v>
      </c>
      <c r="N2016">
        <v>11</v>
      </c>
      <c r="O2016" s="8">
        <v>22.933916850949441</v>
      </c>
      <c r="P2016" s="9">
        <v>22.933916850949441</v>
      </c>
      <c r="Q2016" s="9">
        <v>22.933916850949441</v>
      </c>
      <c r="R2016" s="9">
        <v>25.173745848546066</v>
      </c>
      <c r="S2016" s="9">
        <v>27.641690539343774</v>
      </c>
      <c r="T2016" s="9">
        <v>29.730378573928668</v>
      </c>
      <c r="U2016" s="9">
        <v>36.183590217329723</v>
      </c>
      <c r="V2016" s="9">
        <v>36.183590217329723</v>
      </c>
      <c r="W2016" s="9">
        <v>36.183590217329723</v>
      </c>
      <c r="X2016" s="9">
        <v>43.522810559209468</v>
      </c>
      <c r="Y2016" s="9">
        <v>43.522810559209468</v>
      </c>
      <c r="Z2016" s="9">
        <v>50.960858783530121</v>
      </c>
      <c r="AA2016" s="9">
        <v>50.960858783530121</v>
      </c>
      <c r="AB2016" s="9">
        <v>58.507617678535738</v>
      </c>
      <c r="AC2016" s="9">
        <v>58.507617678535738</v>
      </c>
      <c r="AD2016" s="9">
        <v>68.105109643716474</v>
      </c>
      <c r="AE2016" s="9">
        <v>75.132723269302929</v>
      </c>
      <c r="AF2016" s="9">
        <v>82.290622386277917</v>
      </c>
      <c r="AG2016" s="9">
        <v>82.290622386277917</v>
      </c>
      <c r="AH2016" s="9">
        <v>90.43943145512165</v>
      </c>
      <c r="AI2016" s="9">
        <v>98.380048333692613</v>
      </c>
      <c r="AJ2016" s="9">
        <v>3.0428788910505911</v>
      </c>
    </row>
    <row r="2017" spans="1:36" x14ac:dyDescent="0.25">
      <c r="A2017" t="s">
        <v>5411</v>
      </c>
      <c r="B2017" t="s">
        <v>16</v>
      </c>
      <c r="C2017" t="s">
        <v>17</v>
      </c>
      <c r="D2017">
        <v>45220000</v>
      </c>
      <c r="E2017">
        <v>45224999</v>
      </c>
      <c r="F2017" t="s">
        <v>1812</v>
      </c>
      <c r="G2017" t="str">
        <f t="shared" si="62"/>
        <v>BAI II</v>
      </c>
      <c r="H2017" t="s">
        <v>1700</v>
      </c>
      <c r="I2017" t="s">
        <v>20</v>
      </c>
      <c r="J2017" t="s">
        <v>64</v>
      </c>
      <c r="K2017" s="6">
        <v>0.03</v>
      </c>
      <c r="L2017" s="7">
        <f t="shared" si="63"/>
        <v>2E-3</v>
      </c>
      <c r="M2017" s="7">
        <v>3.0000000000000001E-3</v>
      </c>
      <c r="N2017">
        <v>11</v>
      </c>
      <c r="O2017" s="8">
        <v>22.933916850949441</v>
      </c>
      <c r="P2017" s="9">
        <v>22.933916850949441</v>
      </c>
      <c r="Q2017" s="9">
        <v>22.933916850949441</v>
      </c>
      <c r="R2017" s="9">
        <v>25.173745848546066</v>
      </c>
      <c r="S2017" s="9">
        <v>27.641690539343774</v>
      </c>
      <c r="T2017" s="9">
        <v>29.730378573928668</v>
      </c>
      <c r="U2017" s="9">
        <v>36.183590217329723</v>
      </c>
      <c r="V2017" s="9">
        <v>36.183590217329723</v>
      </c>
      <c r="W2017" s="9">
        <v>36.183590217329723</v>
      </c>
      <c r="X2017" s="9">
        <v>43.522810559209468</v>
      </c>
      <c r="Y2017" s="9">
        <v>43.522810559209468</v>
      </c>
      <c r="Z2017" s="9">
        <v>50.960858783530121</v>
      </c>
      <c r="AA2017" s="9">
        <v>50.960858783530121</v>
      </c>
      <c r="AB2017" s="9">
        <v>58.507617678535738</v>
      </c>
      <c r="AC2017" s="9">
        <v>58.507617678535738</v>
      </c>
      <c r="AD2017" s="9">
        <v>68.105109643716474</v>
      </c>
      <c r="AE2017" s="9">
        <v>75.132723269302929</v>
      </c>
      <c r="AF2017" s="9">
        <v>82.290622386277917</v>
      </c>
      <c r="AG2017" s="9">
        <v>82.290622386277917</v>
      </c>
      <c r="AH2017" s="9">
        <v>90.43943145512165</v>
      </c>
      <c r="AI2017" s="9">
        <v>98.380048333692613</v>
      </c>
      <c r="AJ2017" s="9">
        <v>3.0428788910505911</v>
      </c>
    </row>
    <row r="2018" spans="1:36" x14ac:dyDescent="0.25">
      <c r="A2018" t="s">
        <v>5411</v>
      </c>
      <c r="B2018" t="s">
        <v>16</v>
      </c>
      <c r="C2018" t="s">
        <v>17</v>
      </c>
      <c r="D2018">
        <v>45225000</v>
      </c>
      <c r="E2018">
        <v>45229999</v>
      </c>
      <c r="F2018" t="s">
        <v>1813</v>
      </c>
      <c r="G2018" t="str">
        <f t="shared" si="62"/>
        <v>BAI II</v>
      </c>
      <c r="H2018" t="s">
        <v>1700</v>
      </c>
      <c r="I2018" t="s">
        <v>20</v>
      </c>
      <c r="J2018" t="s">
        <v>64</v>
      </c>
      <c r="K2018" s="6">
        <v>0.03</v>
      </c>
      <c r="L2018" s="7">
        <f t="shared" si="63"/>
        <v>2E-3</v>
      </c>
      <c r="M2018" s="7">
        <v>3.0000000000000001E-3</v>
      </c>
      <c r="N2018">
        <v>11</v>
      </c>
      <c r="O2018" s="8">
        <v>22.933916850949441</v>
      </c>
      <c r="P2018" s="9">
        <v>22.933916850949441</v>
      </c>
      <c r="Q2018" s="9">
        <v>22.933916850949441</v>
      </c>
      <c r="R2018" s="9">
        <v>25.173745848546066</v>
      </c>
      <c r="S2018" s="9">
        <v>27.641690539343774</v>
      </c>
      <c r="T2018" s="9">
        <v>29.730378573928668</v>
      </c>
      <c r="U2018" s="9">
        <v>36.183590217329723</v>
      </c>
      <c r="V2018" s="9">
        <v>36.183590217329723</v>
      </c>
      <c r="W2018" s="9">
        <v>36.183590217329723</v>
      </c>
      <c r="X2018" s="9">
        <v>43.522810559209468</v>
      </c>
      <c r="Y2018" s="9">
        <v>43.522810559209468</v>
      </c>
      <c r="Z2018" s="9">
        <v>50.960858783530121</v>
      </c>
      <c r="AA2018" s="9">
        <v>50.960858783530121</v>
      </c>
      <c r="AB2018" s="9">
        <v>58.507617678535738</v>
      </c>
      <c r="AC2018" s="9">
        <v>58.507617678535738</v>
      </c>
      <c r="AD2018" s="9">
        <v>68.105109643716474</v>
      </c>
      <c r="AE2018" s="9">
        <v>75.132723269302929</v>
      </c>
      <c r="AF2018" s="9">
        <v>82.290622386277917</v>
      </c>
      <c r="AG2018" s="9">
        <v>82.290622386277917</v>
      </c>
      <c r="AH2018" s="9">
        <v>90.43943145512165</v>
      </c>
      <c r="AI2018" s="9">
        <v>98.380048333692613</v>
      </c>
      <c r="AJ2018" s="9">
        <v>3.0428788910505911</v>
      </c>
    </row>
    <row r="2019" spans="1:36" x14ac:dyDescent="0.25">
      <c r="A2019" t="s">
        <v>5411</v>
      </c>
      <c r="B2019" t="s">
        <v>16</v>
      </c>
      <c r="C2019" t="s">
        <v>17</v>
      </c>
      <c r="D2019">
        <v>45230000</v>
      </c>
      <c r="E2019">
        <v>45239999</v>
      </c>
      <c r="F2019" t="s">
        <v>1814</v>
      </c>
      <c r="G2019" t="str">
        <f t="shared" si="62"/>
        <v>BAI II</v>
      </c>
      <c r="H2019" t="s">
        <v>1700</v>
      </c>
      <c r="I2019" t="s">
        <v>20</v>
      </c>
      <c r="J2019" t="s">
        <v>64</v>
      </c>
      <c r="K2019" s="6">
        <v>0.03</v>
      </c>
      <c r="L2019" s="7">
        <f t="shared" si="63"/>
        <v>2E-3</v>
      </c>
      <c r="M2019" s="7">
        <v>3.0000000000000001E-3</v>
      </c>
      <c r="N2019">
        <v>11</v>
      </c>
      <c r="O2019" s="8">
        <v>22.933916850949441</v>
      </c>
      <c r="P2019" s="9">
        <v>22.933916850949441</v>
      </c>
      <c r="Q2019" s="9">
        <v>22.933916850949441</v>
      </c>
      <c r="R2019" s="9">
        <v>25.173745848546066</v>
      </c>
      <c r="S2019" s="9">
        <v>27.641690539343774</v>
      </c>
      <c r="T2019" s="9">
        <v>29.730378573928668</v>
      </c>
      <c r="U2019" s="9">
        <v>36.183590217329723</v>
      </c>
      <c r="V2019" s="9">
        <v>36.183590217329723</v>
      </c>
      <c r="W2019" s="9">
        <v>36.183590217329723</v>
      </c>
      <c r="X2019" s="9">
        <v>43.522810559209468</v>
      </c>
      <c r="Y2019" s="9">
        <v>43.522810559209468</v>
      </c>
      <c r="Z2019" s="9">
        <v>50.960858783530121</v>
      </c>
      <c r="AA2019" s="9">
        <v>50.960858783530121</v>
      </c>
      <c r="AB2019" s="9">
        <v>58.507617678535738</v>
      </c>
      <c r="AC2019" s="9">
        <v>58.507617678535738</v>
      </c>
      <c r="AD2019" s="9">
        <v>68.105109643716474</v>
      </c>
      <c r="AE2019" s="9">
        <v>75.132723269302929</v>
      </c>
      <c r="AF2019" s="9">
        <v>82.290622386277917</v>
      </c>
      <c r="AG2019" s="9">
        <v>82.290622386277917</v>
      </c>
      <c r="AH2019" s="9">
        <v>90.43943145512165</v>
      </c>
      <c r="AI2019" s="9">
        <v>98.380048333692613</v>
      </c>
      <c r="AJ2019" s="9">
        <v>3.0428788910505911</v>
      </c>
    </row>
    <row r="2020" spans="1:36" x14ac:dyDescent="0.25">
      <c r="A2020" t="s">
        <v>5411</v>
      </c>
      <c r="B2020" t="s">
        <v>16</v>
      </c>
      <c r="C2020" t="s">
        <v>17</v>
      </c>
      <c r="D2020">
        <v>45240000</v>
      </c>
      <c r="E2020">
        <v>45249999</v>
      </c>
      <c r="F2020" t="s">
        <v>1815</v>
      </c>
      <c r="G2020" t="str">
        <f t="shared" si="62"/>
        <v>BAI II</v>
      </c>
      <c r="H2020" t="s">
        <v>1700</v>
      </c>
      <c r="I2020" t="s">
        <v>20</v>
      </c>
      <c r="J2020" t="s">
        <v>64</v>
      </c>
      <c r="K2020" s="6">
        <v>0.03</v>
      </c>
      <c r="L2020" s="7">
        <f t="shared" si="63"/>
        <v>2E-3</v>
      </c>
      <c r="M2020" s="7">
        <v>3.0000000000000001E-3</v>
      </c>
      <c r="N2020">
        <v>11</v>
      </c>
      <c r="O2020" s="8">
        <v>22.933916850949441</v>
      </c>
      <c r="P2020" s="9">
        <v>22.933916850949441</v>
      </c>
      <c r="Q2020" s="9">
        <v>22.933916850949441</v>
      </c>
      <c r="R2020" s="9">
        <v>25.173745848546066</v>
      </c>
      <c r="S2020" s="9">
        <v>27.641690539343774</v>
      </c>
      <c r="T2020" s="9">
        <v>29.730378573928668</v>
      </c>
      <c r="U2020" s="9">
        <v>36.183590217329723</v>
      </c>
      <c r="V2020" s="9">
        <v>36.183590217329723</v>
      </c>
      <c r="W2020" s="9">
        <v>36.183590217329723</v>
      </c>
      <c r="X2020" s="9">
        <v>43.522810559209468</v>
      </c>
      <c r="Y2020" s="9">
        <v>43.522810559209468</v>
      </c>
      <c r="Z2020" s="9">
        <v>50.960858783530121</v>
      </c>
      <c r="AA2020" s="9">
        <v>50.960858783530121</v>
      </c>
      <c r="AB2020" s="9">
        <v>58.507617678535738</v>
      </c>
      <c r="AC2020" s="9">
        <v>58.507617678535738</v>
      </c>
      <c r="AD2020" s="9">
        <v>68.105109643716474</v>
      </c>
      <c r="AE2020" s="9">
        <v>75.132723269302929</v>
      </c>
      <c r="AF2020" s="9">
        <v>82.290622386277917</v>
      </c>
      <c r="AG2020" s="9">
        <v>82.290622386277917</v>
      </c>
      <c r="AH2020" s="9">
        <v>90.43943145512165</v>
      </c>
      <c r="AI2020" s="9">
        <v>98.380048333692613</v>
      </c>
      <c r="AJ2020" s="9">
        <v>3.0428788910505911</v>
      </c>
    </row>
    <row r="2021" spans="1:36" x14ac:dyDescent="0.25">
      <c r="A2021" t="s">
        <v>5411</v>
      </c>
      <c r="B2021" t="s">
        <v>16</v>
      </c>
      <c r="C2021" t="s">
        <v>17</v>
      </c>
      <c r="D2021">
        <v>45250000</v>
      </c>
      <c r="E2021">
        <v>45254999</v>
      </c>
      <c r="F2021" t="s">
        <v>1816</v>
      </c>
      <c r="G2021" t="str">
        <f t="shared" si="62"/>
        <v>BAI II</v>
      </c>
      <c r="H2021" t="s">
        <v>1700</v>
      </c>
      <c r="I2021" t="s">
        <v>20</v>
      </c>
      <c r="J2021" t="s">
        <v>64</v>
      </c>
      <c r="K2021" s="6">
        <v>0.03</v>
      </c>
      <c r="L2021" s="7">
        <f t="shared" si="63"/>
        <v>2E-3</v>
      </c>
      <c r="M2021" s="7">
        <v>3.0000000000000001E-3</v>
      </c>
      <c r="N2021">
        <v>11</v>
      </c>
      <c r="O2021" s="8">
        <v>22.933916850949441</v>
      </c>
      <c r="P2021" s="9">
        <v>22.933916850949441</v>
      </c>
      <c r="Q2021" s="9">
        <v>22.933916850949441</v>
      </c>
      <c r="R2021" s="9">
        <v>25.173745848546066</v>
      </c>
      <c r="S2021" s="9">
        <v>27.641690539343774</v>
      </c>
      <c r="T2021" s="9">
        <v>29.730378573928668</v>
      </c>
      <c r="U2021" s="9">
        <v>36.183590217329723</v>
      </c>
      <c r="V2021" s="9">
        <v>36.183590217329723</v>
      </c>
      <c r="W2021" s="9">
        <v>36.183590217329723</v>
      </c>
      <c r="X2021" s="9">
        <v>43.522810559209468</v>
      </c>
      <c r="Y2021" s="9">
        <v>43.522810559209468</v>
      </c>
      <c r="Z2021" s="9">
        <v>50.960858783530121</v>
      </c>
      <c r="AA2021" s="9">
        <v>50.960858783530121</v>
      </c>
      <c r="AB2021" s="9">
        <v>58.507617678535738</v>
      </c>
      <c r="AC2021" s="9">
        <v>58.507617678535738</v>
      </c>
      <c r="AD2021" s="9">
        <v>68.105109643716474</v>
      </c>
      <c r="AE2021" s="9">
        <v>75.132723269302929</v>
      </c>
      <c r="AF2021" s="9">
        <v>82.290622386277917</v>
      </c>
      <c r="AG2021" s="9">
        <v>82.290622386277917</v>
      </c>
      <c r="AH2021" s="9">
        <v>90.43943145512165</v>
      </c>
      <c r="AI2021" s="9">
        <v>98.380048333692613</v>
      </c>
      <c r="AJ2021" s="9">
        <v>3.0428788910505911</v>
      </c>
    </row>
    <row r="2022" spans="1:36" x14ac:dyDescent="0.25">
      <c r="A2022" t="s">
        <v>5411</v>
      </c>
      <c r="B2022" t="s">
        <v>16</v>
      </c>
      <c r="C2022" t="s">
        <v>17</v>
      </c>
      <c r="D2022">
        <v>45255000</v>
      </c>
      <c r="E2022">
        <v>45259999</v>
      </c>
      <c r="F2022" t="s">
        <v>1817</v>
      </c>
      <c r="G2022" t="str">
        <f t="shared" si="62"/>
        <v>BAI II</v>
      </c>
      <c r="H2022" t="s">
        <v>1700</v>
      </c>
      <c r="I2022" t="s">
        <v>20</v>
      </c>
      <c r="J2022" t="s">
        <v>64</v>
      </c>
      <c r="K2022" s="6">
        <v>0.03</v>
      </c>
      <c r="L2022" s="7">
        <f t="shared" si="63"/>
        <v>2E-3</v>
      </c>
      <c r="M2022" s="7">
        <v>3.0000000000000001E-3</v>
      </c>
      <c r="N2022">
        <v>10</v>
      </c>
      <c r="O2022" s="8">
        <v>22.933916850949441</v>
      </c>
      <c r="P2022" s="9">
        <v>22.933916850949441</v>
      </c>
      <c r="Q2022" s="9">
        <v>22.933916850949441</v>
      </c>
      <c r="R2022" s="9">
        <v>25.173745848546066</v>
      </c>
      <c r="S2022" s="9">
        <v>27.641690539343774</v>
      </c>
      <c r="T2022" s="9">
        <v>29.730378573928668</v>
      </c>
      <c r="U2022" s="9">
        <v>36.183590217329723</v>
      </c>
      <c r="V2022" s="9">
        <v>36.183590217329723</v>
      </c>
      <c r="W2022" s="9">
        <v>36.183590217329723</v>
      </c>
      <c r="X2022" s="9">
        <v>43.522810559209468</v>
      </c>
      <c r="Y2022" s="9">
        <v>43.522810559209468</v>
      </c>
      <c r="Z2022" s="9">
        <v>50.960858783530121</v>
      </c>
      <c r="AA2022" s="9">
        <v>50.960858783530121</v>
      </c>
      <c r="AB2022" s="9">
        <v>58.507617678535738</v>
      </c>
      <c r="AC2022" s="9">
        <v>58.507617678535738</v>
      </c>
      <c r="AD2022" s="9">
        <v>68.105109643716474</v>
      </c>
      <c r="AE2022" s="9">
        <v>75.132723269302929</v>
      </c>
      <c r="AF2022" s="9">
        <v>82.290622386277917</v>
      </c>
      <c r="AG2022" s="9">
        <v>82.290622386277917</v>
      </c>
      <c r="AH2022" s="9">
        <v>90.43943145512165</v>
      </c>
      <c r="AI2022" s="9">
        <v>98.380048333692613</v>
      </c>
      <c r="AJ2022" s="9">
        <v>3.0428788910505911</v>
      </c>
    </row>
    <row r="2023" spans="1:36" x14ac:dyDescent="0.25">
      <c r="A2023" t="s">
        <v>5411</v>
      </c>
      <c r="B2023" t="s">
        <v>16</v>
      </c>
      <c r="C2023" t="s">
        <v>17</v>
      </c>
      <c r="D2023">
        <v>45260000</v>
      </c>
      <c r="E2023">
        <v>45262999</v>
      </c>
      <c r="F2023" t="s">
        <v>1818</v>
      </c>
      <c r="G2023" t="str">
        <f t="shared" si="62"/>
        <v>BAI II</v>
      </c>
      <c r="H2023" t="s">
        <v>1700</v>
      </c>
      <c r="I2023" t="s">
        <v>20</v>
      </c>
      <c r="J2023" t="s">
        <v>64</v>
      </c>
      <c r="K2023" s="6">
        <v>0.03</v>
      </c>
      <c r="L2023" s="7">
        <f t="shared" si="63"/>
        <v>2E-3</v>
      </c>
      <c r="M2023" s="7">
        <v>3.0000000000000001E-3</v>
      </c>
      <c r="N2023">
        <v>10</v>
      </c>
      <c r="O2023" s="8">
        <v>22.933916850949441</v>
      </c>
      <c r="P2023" s="9">
        <v>22.933916850949441</v>
      </c>
      <c r="Q2023" s="9">
        <v>22.933916850949441</v>
      </c>
      <c r="R2023" s="9">
        <v>25.173745848546066</v>
      </c>
      <c r="S2023" s="9">
        <v>27.641690539343774</v>
      </c>
      <c r="T2023" s="9">
        <v>29.730378573928668</v>
      </c>
      <c r="U2023" s="9">
        <v>36.183590217329723</v>
      </c>
      <c r="V2023" s="9">
        <v>36.183590217329723</v>
      </c>
      <c r="W2023" s="9">
        <v>36.183590217329723</v>
      </c>
      <c r="X2023" s="9">
        <v>43.522810559209468</v>
      </c>
      <c r="Y2023" s="9">
        <v>43.522810559209468</v>
      </c>
      <c r="Z2023" s="9">
        <v>50.960858783530121</v>
      </c>
      <c r="AA2023" s="9">
        <v>50.960858783530121</v>
      </c>
      <c r="AB2023" s="9">
        <v>58.507617678535738</v>
      </c>
      <c r="AC2023" s="9">
        <v>58.507617678535738</v>
      </c>
      <c r="AD2023" s="9">
        <v>68.105109643716474</v>
      </c>
      <c r="AE2023" s="9">
        <v>75.132723269302929</v>
      </c>
      <c r="AF2023" s="9">
        <v>82.290622386277917</v>
      </c>
      <c r="AG2023" s="9">
        <v>82.290622386277917</v>
      </c>
      <c r="AH2023" s="9">
        <v>90.43943145512165</v>
      </c>
      <c r="AI2023" s="9">
        <v>98.380048333692613</v>
      </c>
      <c r="AJ2023" s="9">
        <v>3.0428788910505911</v>
      </c>
    </row>
    <row r="2024" spans="1:36" x14ac:dyDescent="0.25">
      <c r="A2024" t="s">
        <v>5411</v>
      </c>
      <c r="B2024" t="s">
        <v>16</v>
      </c>
      <c r="C2024" t="s">
        <v>17</v>
      </c>
      <c r="D2024">
        <v>45263000</v>
      </c>
      <c r="E2024">
        <v>45264999</v>
      </c>
      <c r="F2024" t="s">
        <v>1819</v>
      </c>
      <c r="G2024" t="str">
        <f t="shared" si="62"/>
        <v>BAI II</v>
      </c>
      <c r="H2024" t="s">
        <v>1700</v>
      </c>
      <c r="I2024" t="s">
        <v>20</v>
      </c>
      <c r="J2024" t="s">
        <v>64</v>
      </c>
      <c r="K2024" s="6">
        <v>0.03</v>
      </c>
      <c r="L2024" s="7">
        <f t="shared" si="63"/>
        <v>2E-3</v>
      </c>
      <c r="M2024" s="7">
        <v>3.0000000000000001E-3</v>
      </c>
      <c r="N2024">
        <v>10</v>
      </c>
      <c r="O2024" s="8">
        <v>22.933916850949441</v>
      </c>
      <c r="P2024" s="9">
        <v>22.933916850949441</v>
      </c>
      <c r="Q2024" s="9">
        <v>22.933916850949441</v>
      </c>
      <c r="R2024" s="9">
        <v>25.173745848546066</v>
      </c>
      <c r="S2024" s="9">
        <v>27.641690539343774</v>
      </c>
      <c r="T2024" s="9">
        <v>29.730378573928668</v>
      </c>
      <c r="U2024" s="9">
        <v>36.183590217329723</v>
      </c>
      <c r="V2024" s="9">
        <v>36.183590217329723</v>
      </c>
      <c r="W2024" s="9">
        <v>36.183590217329723</v>
      </c>
      <c r="X2024" s="9">
        <v>43.522810559209468</v>
      </c>
      <c r="Y2024" s="9">
        <v>43.522810559209468</v>
      </c>
      <c r="Z2024" s="9">
        <v>50.960858783530121</v>
      </c>
      <c r="AA2024" s="9">
        <v>50.960858783530121</v>
      </c>
      <c r="AB2024" s="9">
        <v>58.507617678535738</v>
      </c>
      <c r="AC2024" s="9">
        <v>58.507617678535738</v>
      </c>
      <c r="AD2024" s="9">
        <v>68.105109643716474</v>
      </c>
      <c r="AE2024" s="9">
        <v>75.132723269302929</v>
      </c>
      <c r="AF2024" s="9">
        <v>82.290622386277917</v>
      </c>
      <c r="AG2024" s="9">
        <v>82.290622386277917</v>
      </c>
      <c r="AH2024" s="9">
        <v>90.43943145512165</v>
      </c>
      <c r="AI2024" s="9">
        <v>98.380048333692613</v>
      </c>
      <c r="AJ2024" s="9">
        <v>3.0428788910505911</v>
      </c>
    </row>
    <row r="2025" spans="1:36" x14ac:dyDescent="0.25">
      <c r="A2025" t="s">
        <v>5411</v>
      </c>
      <c r="B2025" t="s">
        <v>16</v>
      </c>
      <c r="C2025" t="s">
        <v>17</v>
      </c>
      <c r="D2025">
        <v>45265000</v>
      </c>
      <c r="E2025">
        <v>45269999</v>
      </c>
      <c r="F2025" t="s">
        <v>1820</v>
      </c>
      <c r="G2025" t="str">
        <f t="shared" si="62"/>
        <v>BAI II</v>
      </c>
      <c r="H2025" t="s">
        <v>1700</v>
      </c>
      <c r="I2025" t="s">
        <v>20</v>
      </c>
      <c r="J2025" t="s">
        <v>64</v>
      </c>
      <c r="K2025" s="6">
        <v>0.03</v>
      </c>
      <c r="L2025" s="7">
        <f t="shared" si="63"/>
        <v>2E-3</v>
      </c>
      <c r="M2025" s="7">
        <v>3.0000000000000001E-3</v>
      </c>
      <c r="N2025">
        <v>10</v>
      </c>
      <c r="O2025" s="8">
        <v>22.933916850949441</v>
      </c>
      <c r="P2025" s="9">
        <v>22.933916850949441</v>
      </c>
      <c r="Q2025" s="9">
        <v>22.933916850949441</v>
      </c>
      <c r="R2025" s="9">
        <v>25.173745848546066</v>
      </c>
      <c r="S2025" s="9">
        <v>27.641690539343774</v>
      </c>
      <c r="T2025" s="9">
        <v>29.730378573928668</v>
      </c>
      <c r="U2025" s="9">
        <v>36.183590217329723</v>
      </c>
      <c r="V2025" s="9">
        <v>36.183590217329723</v>
      </c>
      <c r="W2025" s="9">
        <v>36.183590217329723</v>
      </c>
      <c r="X2025" s="9">
        <v>43.522810559209468</v>
      </c>
      <c r="Y2025" s="9">
        <v>43.522810559209468</v>
      </c>
      <c r="Z2025" s="9">
        <v>50.960858783530121</v>
      </c>
      <c r="AA2025" s="9">
        <v>50.960858783530121</v>
      </c>
      <c r="AB2025" s="9">
        <v>58.507617678535738</v>
      </c>
      <c r="AC2025" s="9">
        <v>58.507617678535738</v>
      </c>
      <c r="AD2025" s="9">
        <v>68.105109643716474</v>
      </c>
      <c r="AE2025" s="9">
        <v>75.132723269302929</v>
      </c>
      <c r="AF2025" s="9">
        <v>82.290622386277917</v>
      </c>
      <c r="AG2025" s="9">
        <v>82.290622386277917</v>
      </c>
      <c r="AH2025" s="9">
        <v>90.43943145512165</v>
      </c>
      <c r="AI2025" s="9">
        <v>98.380048333692613</v>
      </c>
      <c r="AJ2025" s="9">
        <v>3.0428788910505911</v>
      </c>
    </row>
    <row r="2026" spans="1:36" x14ac:dyDescent="0.25">
      <c r="A2026" t="s">
        <v>5411</v>
      </c>
      <c r="B2026" t="s">
        <v>16</v>
      </c>
      <c r="C2026" t="s">
        <v>17</v>
      </c>
      <c r="D2026">
        <v>45270000</v>
      </c>
      <c r="E2026">
        <v>45279999</v>
      </c>
      <c r="F2026" t="s">
        <v>1821</v>
      </c>
      <c r="G2026" t="str">
        <f t="shared" si="62"/>
        <v>BAI II</v>
      </c>
      <c r="H2026" t="s">
        <v>1700</v>
      </c>
      <c r="I2026" t="s">
        <v>20</v>
      </c>
      <c r="J2026" t="s">
        <v>64</v>
      </c>
      <c r="K2026" s="6">
        <v>0.03</v>
      </c>
      <c r="L2026" s="7">
        <f t="shared" si="63"/>
        <v>2E-3</v>
      </c>
      <c r="M2026" s="7">
        <v>3.0000000000000001E-3</v>
      </c>
      <c r="N2026">
        <v>10</v>
      </c>
      <c r="O2026" s="8">
        <v>22.933916850949441</v>
      </c>
      <c r="P2026" s="9">
        <v>22.933916850949441</v>
      </c>
      <c r="Q2026" s="9">
        <v>22.933916850949441</v>
      </c>
      <c r="R2026" s="9">
        <v>25.173745848546066</v>
      </c>
      <c r="S2026" s="9">
        <v>27.641690539343774</v>
      </c>
      <c r="T2026" s="9">
        <v>29.730378573928668</v>
      </c>
      <c r="U2026" s="9">
        <v>36.183590217329723</v>
      </c>
      <c r="V2026" s="9">
        <v>36.183590217329723</v>
      </c>
      <c r="W2026" s="9">
        <v>36.183590217329723</v>
      </c>
      <c r="X2026" s="9">
        <v>43.522810559209468</v>
      </c>
      <c r="Y2026" s="9">
        <v>43.522810559209468</v>
      </c>
      <c r="Z2026" s="9">
        <v>50.960858783530121</v>
      </c>
      <c r="AA2026" s="9">
        <v>50.960858783530121</v>
      </c>
      <c r="AB2026" s="9">
        <v>58.507617678535738</v>
      </c>
      <c r="AC2026" s="9">
        <v>58.507617678535738</v>
      </c>
      <c r="AD2026" s="9">
        <v>68.105109643716474</v>
      </c>
      <c r="AE2026" s="9">
        <v>75.132723269302929</v>
      </c>
      <c r="AF2026" s="9">
        <v>82.290622386277917</v>
      </c>
      <c r="AG2026" s="9">
        <v>82.290622386277917</v>
      </c>
      <c r="AH2026" s="9">
        <v>90.43943145512165</v>
      </c>
      <c r="AI2026" s="9">
        <v>98.380048333692613</v>
      </c>
      <c r="AJ2026" s="9">
        <v>3.0428788910505911</v>
      </c>
    </row>
    <row r="2027" spans="1:36" x14ac:dyDescent="0.25">
      <c r="A2027" t="s">
        <v>5411</v>
      </c>
      <c r="B2027" t="s">
        <v>16</v>
      </c>
      <c r="C2027" t="s">
        <v>17</v>
      </c>
      <c r="D2027">
        <v>45280000</v>
      </c>
      <c r="E2027">
        <v>45289999</v>
      </c>
      <c r="F2027" t="s">
        <v>1822</v>
      </c>
      <c r="G2027" t="str">
        <f t="shared" si="62"/>
        <v>BAI II</v>
      </c>
      <c r="H2027" t="s">
        <v>1700</v>
      </c>
      <c r="I2027" t="s">
        <v>20</v>
      </c>
      <c r="J2027" t="s">
        <v>64</v>
      </c>
      <c r="K2027" s="6">
        <v>0.03</v>
      </c>
      <c r="L2027" s="7">
        <f t="shared" si="63"/>
        <v>2E-3</v>
      </c>
      <c r="M2027" s="7">
        <v>3.0000000000000001E-3</v>
      </c>
      <c r="N2027">
        <v>10</v>
      </c>
      <c r="O2027" s="8">
        <v>22.933916850949441</v>
      </c>
      <c r="P2027" s="9">
        <v>22.933916850949441</v>
      </c>
      <c r="Q2027" s="9">
        <v>22.933916850949441</v>
      </c>
      <c r="R2027" s="9">
        <v>25.173745848546066</v>
      </c>
      <c r="S2027" s="9">
        <v>27.641690539343774</v>
      </c>
      <c r="T2027" s="9">
        <v>29.730378573928668</v>
      </c>
      <c r="U2027" s="9">
        <v>36.183590217329723</v>
      </c>
      <c r="V2027" s="9">
        <v>36.183590217329723</v>
      </c>
      <c r="W2027" s="9">
        <v>36.183590217329723</v>
      </c>
      <c r="X2027" s="9">
        <v>43.522810559209468</v>
      </c>
      <c r="Y2027" s="9">
        <v>43.522810559209468</v>
      </c>
      <c r="Z2027" s="9">
        <v>50.960858783530121</v>
      </c>
      <c r="AA2027" s="9">
        <v>50.960858783530121</v>
      </c>
      <c r="AB2027" s="9">
        <v>58.507617678535738</v>
      </c>
      <c r="AC2027" s="9">
        <v>58.507617678535738</v>
      </c>
      <c r="AD2027" s="9">
        <v>68.105109643716474</v>
      </c>
      <c r="AE2027" s="9">
        <v>75.132723269302929</v>
      </c>
      <c r="AF2027" s="9">
        <v>82.290622386277917</v>
      </c>
      <c r="AG2027" s="9">
        <v>82.290622386277917</v>
      </c>
      <c r="AH2027" s="9">
        <v>90.43943145512165</v>
      </c>
      <c r="AI2027" s="9">
        <v>98.380048333692613</v>
      </c>
      <c r="AJ2027" s="9">
        <v>3.0428788910505911</v>
      </c>
    </row>
    <row r="2028" spans="1:36" x14ac:dyDescent="0.25">
      <c r="A2028" t="s">
        <v>5411</v>
      </c>
      <c r="B2028" t="s">
        <v>16</v>
      </c>
      <c r="C2028" t="s">
        <v>17</v>
      </c>
      <c r="D2028">
        <v>45290000</v>
      </c>
      <c r="E2028">
        <v>45299999</v>
      </c>
      <c r="F2028" t="s">
        <v>1823</v>
      </c>
      <c r="G2028" t="str">
        <f t="shared" si="62"/>
        <v>BAI II</v>
      </c>
      <c r="H2028" t="s">
        <v>1700</v>
      </c>
      <c r="I2028" t="s">
        <v>20</v>
      </c>
      <c r="J2028" t="s">
        <v>64</v>
      </c>
      <c r="K2028" s="6">
        <v>0.03</v>
      </c>
      <c r="L2028" s="7">
        <f t="shared" si="63"/>
        <v>2E-3</v>
      </c>
      <c r="M2028" s="7">
        <v>3.0000000000000001E-3</v>
      </c>
      <c r="N2028">
        <v>11</v>
      </c>
      <c r="O2028" s="8">
        <v>22.933916850949441</v>
      </c>
      <c r="P2028" s="9">
        <v>22.933916850949441</v>
      </c>
      <c r="Q2028" s="9">
        <v>22.933916850949441</v>
      </c>
      <c r="R2028" s="9">
        <v>25.173745848546066</v>
      </c>
      <c r="S2028" s="9">
        <v>27.641690539343774</v>
      </c>
      <c r="T2028" s="9">
        <v>29.730378573928668</v>
      </c>
      <c r="U2028" s="9">
        <v>36.183590217329723</v>
      </c>
      <c r="V2028" s="9">
        <v>36.183590217329723</v>
      </c>
      <c r="W2028" s="9">
        <v>36.183590217329723</v>
      </c>
      <c r="X2028" s="9">
        <v>43.522810559209468</v>
      </c>
      <c r="Y2028" s="9">
        <v>43.522810559209468</v>
      </c>
      <c r="Z2028" s="9">
        <v>50.960858783530121</v>
      </c>
      <c r="AA2028" s="9">
        <v>50.960858783530121</v>
      </c>
      <c r="AB2028" s="9">
        <v>58.507617678535738</v>
      </c>
      <c r="AC2028" s="9">
        <v>58.507617678535738</v>
      </c>
      <c r="AD2028" s="9">
        <v>68.105109643716474</v>
      </c>
      <c r="AE2028" s="9">
        <v>75.132723269302929</v>
      </c>
      <c r="AF2028" s="9">
        <v>82.290622386277917</v>
      </c>
      <c r="AG2028" s="9">
        <v>82.290622386277917</v>
      </c>
      <c r="AH2028" s="9">
        <v>90.43943145512165</v>
      </c>
      <c r="AI2028" s="9">
        <v>98.380048333692613</v>
      </c>
      <c r="AJ2028" s="9">
        <v>3.0428788910505911</v>
      </c>
    </row>
    <row r="2029" spans="1:36" x14ac:dyDescent="0.25">
      <c r="A2029" t="s">
        <v>5411</v>
      </c>
      <c r="B2029" t="s">
        <v>16</v>
      </c>
      <c r="C2029" t="s">
        <v>17</v>
      </c>
      <c r="D2029">
        <v>45300000</v>
      </c>
      <c r="E2029">
        <v>45304999</v>
      </c>
      <c r="F2029" t="s">
        <v>1824</v>
      </c>
      <c r="G2029" t="str">
        <f t="shared" si="62"/>
        <v>BAI II</v>
      </c>
      <c r="H2029" t="s">
        <v>1700</v>
      </c>
      <c r="I2029" t="s">
        <v>20</v>
      </c>
      <c r="J2029" t="s">
        <v>64</v>
      </c>
      <c r="K2029" s="6">
        <v>0.03</v>
      </c>
      <c r="L2029" s="7">
        <f t="shared" si="63"/>
        <v>2E-3</v>
      </c>
      <c r="M2029" s="7">
        <v>3.0000000000000001E-3</v>
      </c>
      <c r="N2029">
        <v>10</v>
      </c>
      <c r="O2029" s="8">
        <v>22.933916850949441</v>
      </c>
      <c r="P2029" s="9">
        <v>22.933916850949441</v>
      </c>
      <c r="Q2029" s="9">
        <v>22.933916850949441</v>
      </c>
      <c r="R2029" s="9">
        <v>25.173745848546066</v>
      </c>
      <c r="S2029" s="9">
        <v>27.641690539343774</v>
      </c>
      <c r="T2029" s="9">
        <v>29.730378573928668</v>
      </c>
      <c r="U2029" s="9">
        <v>36.183590217329723</v>
      </c>
      <c r="V2029" s="9">
        <v>36.183590217329723</v>
      </c>
      <c r="W2029" s="9">
        <v>36.183590217329723</v>
      </c>
      <c r="X2029" s="9">
        <v>43.522810559209468</v>
      </c>
      <c r="Y2029" s="9">
        <v>43.522810559209468</v>
      </c>
      <c r="Z2029" s="9">
        <v>50.960858783530121</v>
      </c>
      <c r="AA2029" s="9">
        <v>50.960858783530121</v>
      </c>
      <c r="AB2029" s="9">
        <v>58.507617678535738</v>
      </c>
      <c r="AC2029" s="9">
        <v>58.507617678535738</v>
      </c>
      <c r="AD2029" s="9">
        <v>68.105109643716474</v>
      </c>
      <c r="AE2029" s="9">
        <v>75.132723269302929</v>
      </c>
      <c r="AF2029" s="9">
        <v>82.290622386277917</v>
      </c>
      <c r="AG2029" s="9">
        <v>82.290622386277917</v>
      </c>
      <c r="AH2029" s="9">
        <v>90.43943145512165</v>
      </c>
      <c r="AI2029" s="9">
        <v>98.380048333692613</v>
      </c>
      <c r="AJ2029" s="9">
        <v>3.0428788910505911</v>
      </c>
    </row>
    <row r="2030" spans="1:36" x14ac:dyDescent="0.25">
      <c r="A2030" t="s">
        <v>5411</v>
      </c>
      <c r="B2030" t="s">
        <v>16</v>
      </c>
      <c r="C2030" t="s">
        <v>17</v>
      </c>
      <c r="D2030">
        <v>45305000</v>
      </c>
      <c r="E2030">
        <v>45309999</v>
      </c>
      <c r="F2030" t="s">
        <v>1825</v>
      </c>
      <c r="G2030" t="str">
        <f t="shared" si="62"/>
        <v>BAI II</v>
      </c>
      <c r="H2030" t="s">
        <v>1700</v>
      </c>
      <c r="I2030" t="s">
        <v>20</v>
      </c>
      <c r="J2030" t="s">
        <v>64</v>
      </c>
      <c r="K2030" s="6">
        <v>0.03</v>
      </c>
      <c r="L2030" s="7">
        <f t="shared" si="63"/>
        <v>2E-3</v>
      </c>
      <c r="M2030" s="7">
        <v>3.0000000000000001E-3</v>
      </c>
      <c r="N2030">
        <v>10</v>
      </c>
      <c r="O2030" s="8">
        <v>22.933916850949441</v>
      </c>
      <c r="P2030" s="9">
        <v>22.933916850949441</v>
      </c>
      <c r="Q2030" s="9">
        <v>22.933916850949441</v>
      </c>
      <c r="R2030" s="9">
        <v>25.173745848546066</v>
      </c>
      <c r="S2030" s="9">
        <v>27.641690539343774</v>
      </c>
      <c r="T2030" s="9">
        <v>29.730378573928668</v>
      </c>
      <c r="U2030" s="9">
        <v>36.183590217329723</v>
      </c>
      <c r="V2030" s="9">
        <v>36.183590217329723</v>
      </c>
      <c r="W2030" s="9">
        <v>36.183590217329723</v>
      </c>
      <c r="X2030" s="9">
        <v>43.522810559209468</v>
      </c>
      <c r="Y2030" s="9">
        <v>43.522810559209468</v>
      </c>
      <c r="Z2030" s="9">
        <v>50.960858783530121</v>
      </c>
      <c r="AA2030" s="9">
        <v>50.960858783530121</v>
      </c>
      <c r="AB2030" s="9">
        <v>58.507617678535738</v>
      </c>
      <c r="AC2030" s="9">
        <v>58.507617678535738</v>
      </c>
      <c r="AD2030" s="9">
        <v>68.105109643716474</v>
      </c>
      <c r="AE2030" s="9">
        <v>75.132723269302929</v>
      </c>
      <c r="AF2030" s="9">
        <v>82.290622386277917</v>
      </c>
      <c r="AG2030" s="9">
        <v>82.290622386277917</v>
      </c>
      <c r="AH2030" s="9">
        <v>90.43943145512165</v>
      </c>
      <c r="AI2030" s="9">
        <v>98.380048333692613</v>
      </c>
      <c r="AJ2030" s="9">
        <v>3.0428788910505911</v>
      </c>
    </row>
    <row r="2031" spans="1:36" x14ac:dyDescent="0.25">
      <c r="A2031" t="s">
        <v>5411</v>
      </c>
      <c r="B2031" t="s">
        <v>16</v>
      </c>
      <c r="C2031" t="s">
        <v>17</v>
      </c>
      <c r="D2031">
        <v>45310000</v>
      </c>
      <c r="E2031">
        <v>45314999</v>
      </c>
      <c r="F2031" t="s">
        <v>1826</v>
      </c>
      <c r="G2031" t="str">
        <f t="shared" si="62"/>
        <v>BAI II</v>
      </c>
      <c r="H2031" t="s">
        <v>1700</v>
      </c>
      <c r="I2031" t="s">
        <v>20</v>
      </c>
      <c r="J2031" t="s">
        <v>64</v>
      </c>
      <c r="K2031" s="6">
        <v>0.03</v>
      </c>
      <c r="L2031" s="7">
        <f t="shared" si="63"/>
        <v>2E-3</v>
      </c>
      <c r="M2031" s="7">
        <v>3.0000000000000001E-3</v>
      </c>
      <c r="N2031">
        <v>11</v>
      </c>
      <c r="O2031" s="8">
        <v>22.933916850949441</v>
      </c>
      <c r="P2031" s="9">
        <v>22.933916850949441</v>
      </c>
      <c r="Q2031" s="9">
        <v>22.933916850949441</v>
      </c>
      <c r="R2031" s="9">
        <v>25.173745848546066</v>
      </c>
      <c r="S2031" s="9">
        <v>27.641690539343774</v>
      </c>
      <c r="T2031" s="9">
        <v>29.730378573928668</v>
      </c>
      <c r="U2031" s="9">
        <v>36.183590217329723</v>
      </c>
      <c r="V2031" s="9">
        <v>36.183590217329723</v>
      </c>
      <c r="W2031" s="9">
        <v>36.183590217329723</v>
      </c>
      <c r="X2031" s="9">
        <v>43.522810559209468</v>
      </c>
      <c r="Y2031" s="9">
        <v>43.522810559209468</v>
      </c>
      <c r="Z2031" s="9">
        <v>50.960858783530121</v>
      </c>
      <c r="AA2031" s="9">
        <v>50.960858783530121</v>
      </c>
      <c r="AB2031" s="9">
        <v>58.507617678535738</v>
      </c>
      <c r="AC2031" s="9">
        <v>58.507617678535738</v>
      </c>
      <c r="AD2031" s="9">
        <v>68.105109643716474</v>
      </c>
      <c r="AE2031" s="9">
        <v>75.132723269302929</v>
      </c>
      <c r="AF2031" s="9">
        <v>82.290622386277917</v>
      </c>
      <c r="AG2031" s="9">
        <v>82.290622386277917</v>
      </c>
      <c r="AH2031" s="9">
        <v>90.43943145512165</v>
      </c>
      <c r="AI2031" s="9">
        <v>98.380048333692613</v>
      </c>
      <c r="AJ2031" s="9">
        <v>3.0428788910505911</v>
      </c>
    </row>
    <row r="2032" spans="1:36" x14ac:dyDescent="0.25">
      <c r="A2032" t="s">
        <v>5411</v>
      </c>
      <c r="B2032" t="s">
        <v>16</v>
      </c>
      <c r="C2032" t="s">
        <v>17</v>
      </c>
      <c r="D2032">
        <v>45315000</v>
      </c>
      <c r="E2032">
        <v>45319999</v>
      </c>
      <c r="F2032" t="s">
        <v>1827</v>
      </c>
      <c r="G2032" t="str">
        <f t="shared" si="62"/>
        <v>BAI</v>
      </c>
      <c r="H2032" t="s">
        <v>1700</v>
      </c>
      <c r="I2032" t="s">
        <v>20</v>
      </c>
      <c r="J2032" t="s">
        <v>62</v>
      </c>
      <c r="K2032" s="6">
        <v>0.03</v>
      </c>
      <c r="L2032" s="7">
        <f t="shared" si="63"/>
        <v>2E-3</v>
      </c>
      <c r="M2032" s="7">
        <v>3.0000000000000001E-3</v>
      </c>
      <c r="N2032">
        <v>14</v>
      </c>
      <c r="O2032" s="8">
        <v>18.830425793781675</v>
      </c>
      <c r="P2032" s="9">
        <v>18.830425793781675</v>
      </c>
      <c r="Q2032" s="9">
        <v>18.830425793781675</v>
      </c>
      <c r="R2032" s="9">
        <v>20.26742485247707</v>
      </c>
      <c r="S2032" s="9">
        <v>22.358597663519866</v>
      </c>
      <c r="T2032" s="9">
        <v>24.596422700701293</v>
      </c>
      <c r="U2032" s="9">
        <v>30.062806972770321</v>
      </c>
      <c r="V2032" s="9">
        <v>30.062806972770321</v>
      </c>
      <c r="W2032" s="9">
        <v>30.062806972770321</v>
      </c>
      <c r="X2032" s="9">
        <v>36.258834158198169</v>
      </c>
      <c r="Y2032" s="9">
        <v>36.258834158198169</v>
      </c>
      <c r="Z2032" s="9">
        <v>42.662152333319682</v>
      </c>
      <c r="AA2032" s="9">
        <v>42.662152333319682</v>
      </c>
      <c r="AB2032" s="9">
        <v>49.337721288156033</v>
      </c>
      <c r="AC2032" s="9">
        <v>49.337721288156033</v>
      </c>
      <c r="AD2032" s="9">
        <v>56.175614623482943</v>
      </c>
      <c r="AE2032" s="9">
        <v>63.196712014029359</v>
      </c>
      <c r="AF2032" s="9">
        <v>70.424649784246597</v>
      </c>
      <c r="AG2032" s="9">
        <v>70.424649784246597</v>
      </c>
      <c r="AH2032" s="9">
        <v>77.342680781352584</v>
      </c>
      <c r="AI2032" s="9">
        <v>84.743447231394711</v>
      </c>
      <c r="AJ2032" s="9">
        <v>3.0428788910505911</v>
      </c>
    </row>
    <row r="2033" spans="1:36" x14ac:dyDescent="0.25">
      <c r="A2033" t="s">
        <v>5411</v>
      </c>
      <c r="B2033" t="s">
        <v>16</v>
      </c>
      <c r="C2033" t="s">
        <v>17</v>
      </c>
      <c r="D2033">
        <v>45320000</v>
      </c>
      <c r="E2033">
        <v>45324999</v>
      </c>
      <c r="F2033" t="s">
        <v>1828</v>
      </c>
      <c r="G2033" t="str">
        <f t="shared" si="62"/>
        <v>BAI II</v>
      </c>
      <c r="H2033" t="s">
        <v>1700</v>
      </c>
      <c r="I2033" t="s">
        <v>20</v>
      </c>
      <c r="J2033" t="s">
        <v>64</v>
      </c>
      <c r="K2033" s="6">
        <v>0.03</v>
      </c>
      <c r="L2033" s="7">
        <f t="shared" si="63"/>
        <v>2E-3</v>
      </c>
      <c r="M2033" s="7">
        <v>3.0000000000000001E-3</v>
      </c>
      <c r="N2033">
        <v>11</v>
      </c>
      <c r="O2033" s="8">
        <v>22.933916850949441</v>
      </c>
      <c r="P2033" s="9">
        <v>22.933916850949441</v>
      </c>
      <c r="Q2033" s="9">
        <v>22.933916850949441</v>
      </c>
      <c r="R2033" s="9">
        <v>25.173745848546066</v>
      </c>
      <c r="S2033" s="9">
        <v>27.641690539343774</v>
      </c>
      <c r="T2033" s="9">
        <v>29.730378573928668</v>
      </c>
      <c r="U2033" s="9">
        <v>36.183590217329723</v>
      </c>
      <c r="V2033" s="9">
        <v>36.183590217329723</v>
      </c>
      <c r="W2033" s="9">
        <v>36.183590217329723</v>
      </c>
      <c r="X2033" s="9">
        <v>43.522810559209468</v>
      </c>
      <c r="Y2033" s="9">
        <v>43.522810559209468</v>
      </c>
      <c r="Z2033" s="9">
        <v>50.960858783530121</v>
      </c>
      <c r="AA2033" s="9">
        <v>50.960858783530121</v>
      </c>
      <c r="AB2033" s="9">
        <v>58.507617678535738</v>
      </c>
      <c r="AC2033" s="9">
        <v>58.507617678535738</v>
      </c>
      <c r="AD2033" s="9">
        <v>68.105109643716474</v>
      </c>
      <c r="AE2033" s="9">
        <v>75.132723269302929</v>
      </c>
      <c r="AF2033" s="9">
        <v>82.290622386277917</v>
      </c>
      <c r="AG2033" s="9">
        <v>82.290622386277917</v>
      </c>
      <c r="AH2033" s="9">
        <v>90.43943145512165</v>
      </c>
      <c r="AI2033" s="9">
        <v>98.380048333692613</v>
      </c>
      <c r="AJ2033" s="9">
        <v>3.0428788910505911</v>
      </c>
    </row>
    <row r="2034" spans="1:36" x14ac:dyDescent="0.25">
      <c r="A2034" t="s">
        <v>5411</v>
      </c>
      <c r="B2034" t="s">
        <v>16</v>
      </c>
      <c r="C2034" t="s">
        <v>17</v>
      </c>
      <c r="D2034">
        <v>45325000</v>
      </c>
      <c r="E2034">
        <v>45329999</v>
      </c>
      <c r="F2034" t="s">
        <v>1829</v>
      </c>
      <c r="G2034" t="str">
        <f t="shared" si="62"/>
        <v>BAI</v>
      </c>
      <c r="H2034" t="s">
        <v>1700</v>
      </c>
      <c r="I2034" t="s">
        <v>20</v>
      </c>
      <c r="J2034" t="s">
        <v>62</v>
      </c>
      <c r="K2034" s="6">
        <v>0.03</v>
      </c>
      <c r="L2034" s="7">
        <f t="shared" si="63"/>
        <v>2E-3</v>
      </c>
      <c r="M2034" s="7">
        <v>3.0000000000000001E-3</v>
      </c>
      <c r="N2034">
        <v>14</v>
      </c>
      <c r="O2034" s="8">
        <v>18.830425793781675</v>
      </c>
      <c r="P2034" s="9">
        <v>18.830425793781675</v>
      </c>
      <c r="Q2034" s="9">
        <v>18.830425793781675</v>
      </c>
      <c r="R2034" s="9">
        <v>20.26742485247707</v>
      </c>
      <c r="S2034" s="9">
        <v>22.358597663519866</v>
      </c>
      <c r="T2034" s="9">
        <v>24.596422700701293</v>
      </c>
      <c r="U2034" s="9">
        <v>30.062806972770321</v>
      </c>
      <c r="V2034" s="9">
        <v>30.062806972770321</v>
      </c>
      <c r="W2034" s="9">
        <v>30.062806972770321</v>
      </c>
      <c r="X2034" s="9">
        <v>36.258834158198169</v>
      </c>
      <c r="Y2034" s="9">
        <v>36.258834158198169</v>
      </c>
      <c r="Z2034" s="9">
        <v>42.662152333319682</v>
      </c>
      <c r="AA2034" s="9">
        <v>42.662152333319682</v>
      </c>
      <c r="AB2034" s="9">
        <v>49.337721288156033</v>
      </c>
      <c r="AC2034" s="9">
        <v>49.337721288156033</v>
      </c>
      <c r="AD2034" s="9">
        <v>56.175614623482943</v>
      </c>
      <c r="AE2034" s="9">
        <v>63.196712014029359</v>
      </c>
      <c r="AF2034" s="9">
        <v>70.424649784246597</v>
      </c>
      <c r="AG2034" s="9">
        <v>70.424649784246597</v>
      </c>
      <c r="AH2034" s="9">
        <v>77.342680781352584</v>
      </c>
      <c r="AI2034" s="9">
        <v>84.743447231394711</v>
      </c>
      <c r="AJ2034" s="9">
        <v>3.0428788910505911</v>
      </c>
    </row>
    <row r="2035" spans="1:36" x14ac:dyDescent="0.25">
      <c r="A2035" t="s">
        <v>5411</v>
      </c>
      <c r="B2035" t="s">
        <v>16</v>
      </c>
      <c r="C2035" t="s">
        <v>17</v>
      </c>
      <c r="D2035">
        <v>45330000</v>
      </c>
      <c r="E2035">
        <v>45339999</v>
      </c>
      <c r="F2035" t="s">
        <v>1830</v>
      </c>
      <c r="G2035" t="str">
        <f t="shared" si="62"/>
        <v>BAI II</v>
      </c>
      <c r="H2035" t="s">
        <v>1700</v>
      </c>
      <c r="I2035" t="s">
        <v>20</v>
      </c>
      <c r="J2035" t="s">
        <v>64</v>
      </c>
      <c r="K2035" s="6">
        <v>0.03</v>
      </c>
      <c r="L2035" s="7">
        <f t="shared" si="63"/>
        <v>2E-3</v>
      </c>
      <c r="M2035" s="7">
        <v>3.0000000000000001E-3</v>
      </c>
      <c r="N2035">
        <v>11</v>
      </c>
      <c r="O2035" s="8">
        <v>22.933916850949441</v>
      </c>
      <c r="P2035" s="9">
        <v>22.933916850949441</v>
      </c>
      <c r="Q2035" s="9">
        <v>22.933916850949441</v>
      </c>
      <c r="R2035" s="9">
        <v>25.173745848546066</v>
      </c>
      <c r="S2035" s="9">
        <v>27.641690539343774</v>
      </c>
      <c r="T2035" s="9">
        <v>29.730378573928668</v>
      </c>
      <c r="U2035" s="9">
        <v>36.183590217329723</v>
      </c>
      <c r="V2035" s="9">
        <v>36.183590217329723</v>
      </c>
      <c r="W2035" s="9">
        <v>36.183590217329723</v>
      </c>
      <c r="X2035" s="9">
        <v>43.522810559209468</v>
      </c>
      <c r="Y2035" s="9">
        <v>43.522810559209468</v>
      </c>
      <c r="Z2035" s="9">
        <v>50.960858783530121</v>
      </c>
      <c r="AA2035" s="9">
        <v>50.960858783530121</v>
      </c>
      <c r="AB2035" s="9">
        <v>58.507617678535738</v>
      </c>
      <c r="AC2035" s="9">
        <v>58.507617678535738</v>
      </c>
      <c r="AD2035" s="9">
        <v>68.105109643716474</v>
      </c>
      <c r="AE2035" s="9">
        <v>75.132723269302929</v>
      </c>
      <c r="AF2035" s="9">
        <v>82.290622386277917</v>
      </c>
      <c r="AG2035" s="9">
        <v>82.290622386277917</v>
      </c>
      <c r="AH2035" s="9">
        <v>90.43943145512165</v>
      </c>
      <c r="AI2035" s="9">
        <v>98.380048333692613</v>
      </c>
      <c r="AJ2035" s="9">
        <v>3.0428788910505911</v>
      </c>
    </row>
    <row r="2036" spans="1:36" x14ac:dyDescent="0.25">
      <c r="A2036" t="s">
        <v>5411</v>
      </c>
      <c r="B2036" t="s">
        <v>16</v>
      </c>
      <c r="C2036" t="s">
        <v>17</v>
      </c>
      <c r="D2036">
        <v>45340000</v>
      </c>
      <c r="E2036">
        <v>45344999</v>
      </c>
      <c r="F2036" t="s">
        <v>1831</v>
      </c>
      <c r="G2036" t="str">
        <f t="shared" si="62"/>
        <v>BAI II</v>
      </c>
      <c r="H2036" t="s">
        <v>1700</v>
      </c>
      <c r="I2036" t="s">
        <v>20</v>
      </c>
      <c r="J2036" t="s">
        <v>64</v>
      </c>
      <c r="K2036" s="6">
        <v>0.03</v>
      </c>
      <c r="L2036" s="7">
        <f t="shared" si="63"/>
        <v>2E-3</v>
      </c>
      <c r="M2036" s="7">
        <v>3.0000000000000001E-3</v>
      </c>
      <c r="N2036">
        <v>11</v>
      </c>
      <c r="O2036" s="8">
        <v>22.933916850949441</v>
      </c>
      <c r="P2036" s="9">
        <v>22.933916850949441</v>
      </c>
      <c r="Q2036" s="9">
        <v>22.933916850949441</v>
      </c>
      <c r="R2036" s="9">
        <v>25.173745848546066</v>
      </c>
      <c r="S2036" s="9">
        <v>27.641690539343774</v>
      </c>
      <c r="T2036" s="9">
        <v>29.730378573928668</v>
      </c>
      <c r="U2036" s="9">
        <v>36.183590217329723</v>
      </c>
      <c r="V2036" s="9">
        <v>36.183590217329723</v>
      </c>
      <c r="W2036" s="9">
        <v>36.183590217329723</v>
      </c>
      <c r="X2036" s="9">
        <v>43.522810559209468</v>
      </c>
      <c r="Y2036" s="9">
        <v>43.522810559209468</v>
      </c>
      <c r="Z2036" s="9">
        <v>50.960858783530121</v>
      </c>
      <c r="AA2036" s="9">
        <v>50.960858783530121</v>
      </c>
      <c r="AB2036" s="9">
        <v>58.507617678535738</v>
      </c>
      <c r="AC2036" s="9">
        <v>58.507617678535738</v>
      </c>
      <c r="AD2036" s="9">
        <v>68.105109643716474</v>
      </c>
      <c r="AE2036" s="9">
        <v>75.132723269302929</v>
      </c>
      <c r="AF2036" s="9">
        <v>82.290622386277917</v>
      </c>
      <c r="AG2036" s="9">
        <v>82.290622386277917</v>
      </c>
      <c r="AH2036" s="9">
        <v>90.43943145512165</v>
      </c>
      <c r="AI2036" s="9">
        <v>98.380048333692613</v>
      </c>
      <c r="AJ2036" s="9">
        <v>3.0428788910505911</v>
      </c>
    </row>
    <row r="2037" spans="1:36" x14ac:dyDescent="0.25">
      <c r="A2037" t="s">
        <v>5411</v>
      </c>
      <c r="B2037" t="s">
        <v>16</v>
      </c>
      <c r="C2037" t="s">
        <v>17</v>
      </c>
      <c r="D2037">
        <v>45345000</v>
      </c>
      <c r="E2037">
        <v>45349999</v>
      </c>
      <c r="F2037" t="s">
        <v>1832</v>
      </c>
      <c r="G2037" t="str">
        <f t="shared" si="62"/>
        <v>BAI II</v>
      </c>
      <c r="H2037" t="s">
        <v>1700</v>
      </c>
      <c r="I2037" t="s">
        <v>20</v>
      </c>
      <c r="J2037" t="s">
        <v>64</v>
      </c>
      <c r="K2037" s="6">
        <v>0.03</v>
      </c>
      <c r="L2037" s="7">
        <f t="shared" si="63"/>
        <v>2E-3</v>
      </c>
      <c r="M2037" s="7">
        <v>3.0000000000000001E-3</v>
      </c>
      <c r="N2037">
        <v>9</v>
      </c>
      <c r="O2037" s="8">
        <v>22.933916850949441</v>
      </c>
      <c r="P2037" s="9">
        <v>22.933916850949441</v>
      </c>
      <c r="Q2037" s="9">
        <v>22.933916850949441</v>
      </c>
      <c r="R2037" s="9">
        <v>25.173745848546066</v>
      </c>
      <c r="S2037" s="9">
        <v>27.641690539343774</v>
      </c>
      <c r="T2037" s="9">
        <v>29.730378573928668</v>
      </c>
      <c r="U2037" s="9">
        <v>36.183590217329723</v>
      </c>
      <c r="V2037" s="9">
        <v>36.183590217329723</v>
      </c>
      <c r="W2037" s="9">
        <v>36.183590217329723</v>
      </c>
      <c r="X2037" s="9">
        <v>43.522810559209468</v>
      </c>
      <c r="Y2037" s="9">
        <v>43.522810559209468</v>
      </c>
      <c r="Z2037" s="9">
        <v>50.960858783530121</v>
      </c>
      <c r="AA2037" s="9">
        <v>50.960858783530121</v>
      </c>
      <c r="AB2037" s="9">
        <v>58.507617678535738</v>
      </c>
      <c r="AC2037" s="9">
        <v>58.507617678535738</v>
      </c>
      <c r="AD2037" s="9">
        <v>68.105109643716474</v>
      </c>
      <c r="AE2037" s="9">
        <v>75.132723269302929</v>
      </c>
      <c r="AF2037" s="9">
        <v>82.290622386277917</v>
      </c>
      <c r="AG2037" s="9">
        <v>82.290622386277917</v>
      </c>
      <c r="AH2037" s="9">
        <v>90.43943145512165</v>
      </c>
      <c r="AI2037" s="9">
        <v>98.380048333692613</v>
      </c>
      <c r="AJ2037" s="9">
        <v>3.0428788910505911</v>
      </c>
    </row>
    <row r="2038" spans="1:36" x14ac:dyDescent="0.25">
      <c r="A2038" t="s">
        <v>5411</v>
      </c>
      <c r="B2038" t="s">
        <v>16</v>
      </c>
      <c r="C2038" t="s">
        <v>17</v>
      </c>
      <c r="D2038">
        <v>45350000</v>
      </c>
      <c r="E2038">
        <v>45354999</v>
      </c>
      <c r="F2038" t="s">
        <v>1833</v>
      </c>
      <c r="G2038" t="str">
        <f t="shared" si="62"/>
        <v>BAI II</v>
      </c>
      <c r="H2038" t="s">
        <v>1700</v>
      </c>
      <c r="I2038" t="s">
        <v>20</v>
      </c>
      <c r="J2038" t="s">
        <v>64</v>
      </c>
      <c r="K2038" s="6">
        <v>0.03</v>
      </c>
      <c r="L2038" s="7">
        <f t="shared" si="63"/>
        <v>2E-3</v>
      </c>
      <c r="M2038" s="7">
        <v>3.0000000000000001E-3</v>
      </c>
      <c r="N2038">
        <v>11</v>
      </c>
      <c r="O2038" s="8">
        <v>22.933916850949441</v>
      </c>
      <c r="P2038" s="9">
        <v>22.933916850949441</v>
      </c>
      <c r="Q2038" s="9">
        <v>22.933916850949441</v>
      </c>
      <c r="R2038" s="9">
        <v>25.173745848546066</v>
      </c>
      <c r="S2038" s="9">
        <v>27.641690539343774</v>
      </c>
      <c r="T2038" s="9">
        <v>29.730378573928668</v>
      </c>
      <c r="U2038" s="9">
        <v>36.183590217329723</v>
      </c>
      <c r="V2038" s="9">
        <v>36.183590217329723</v>
      </c>
      <c r="W2038" s="9">
        <v>36.183590217329723</v>
      </c>
      <c r="X2038" s="9">
        <v>43.522810559209468</v>
      </c>
      <c r="Y2038" s="9">
        <v>43.522810559209468</v>
      </c>
      <c r="Z2038" s="9">
        <v>50.960858783530121</v>
      </c>
      <c r="AA2038" s="9">
        <v>50.960858783530121</v>
      </c>
      <c r="AB2038" s="9">
        <v>58.507617678535738</v>
      </c>
      <c r="AC2038" s="9">
        <v>58.507617678535738</v>
      </c>
      <c r="AD2038" s="9">
        <v>68.105109643716474</v>
      </c>
      <c r="AE2038" s="9">
        <v>75.132723269302929</v>
      </c>
      <c r="AF2038" s="9">
        <v>82.290622386277917</v>
      </c>
      <c r="AG2038" s="9">
        <v>82.290622386277917</v>
      </c>
      <c r="AH2038" s="9">
        <v>90.43943145512165</v>
      </c>
      <c r="AI2038" s="9">
        <v>98.380048333692613</v>
      </c>
      <c r="AJ2038" s="9">
        <v>3.0428788910505911</v>
      </c>
    </row>
    <row r="2039" spans="1:36" x14ac:dyDescent="0.25">
      <c r="A2039" t="s">
        <v>5411</v>
      </c>
      <c r="B2039" t="s">
        <v>16</v>
      </c>
      <c r="C2039" t="s">
        <v>17</v>
      </c>
      <c r="D2039">
        <v>45355000</v>
      </c>
      <c r="E2039">
        <v>45359999</v>
      </c>
      <c r="F2039" t="s">
        <v>1834</v>
      </c>
      <c r="G2039" t="str">
        <f t="shared" si="62"/>
        <v>BAI II</v>
      </c>
      <c r="H2039" t="s">
        <v>1700</v>
      </c>
      <c r="I2039" t="s">
        <v>20</v>
      </c>
      <c r="J2039" t="s">
        <v>64</v>
      </c>
      <c r="K2039" s="6">
        <v>0.03</v>
      </c>
      <c r="L2039" s="7">
        <f t="shared" si="63"/>
        <v>2E-3</v>
      </c>
      <c r="M2039" s="7">
        <v>3.0000000000000001E-3</v>
      </c>
      <c r="N2039">
        <v>11</v>
      </c>
      <c r="O2039" s="8">
        <v>22.933916850949441</v>
      </c>
      <c r="P2039" s="9">
        <v>22.933916850949441</v>
      </c>
      <c r="Q2039" s="9">
        <v>22.933916850949441</v>
      </c>
      <c r="R2039" s="9">
        <v>25.173745848546066</v>
      </c>
      <c r="S2039" s="9">
        <v>27.641690539343774</v>
      </c>
      <c r="T2039" s="9">
        <v>29.730378573928668</v>
      </c>
      <c r="U2039" s="9">
        <v>36.183590217329723</v>
      </c>
      <c r="V2039" s="9">
        <v>36.183590217329723</v>
      </c>
      <c r="W2039" s="9">
        <v>36.183590217329723</v>
      </c>
      <c r="X2039" s="9">
        <v>43.522810559209468</v>
      </c>
      <c r="Y2039" s="9">
        <v>43.522810559209468</v>
      </c>
      <c r="Z2039" s="9">
        <v>50.960858783530121</v>
      </c>
      <c r="AA2039" s="9">
        <v>50.960858783530121</v>
      </c>
      <c r="AB2039" s="9">
        <v>58.507617678535738</v>
      </c>
      <c r="AC2039" s="9">
        <v>58.507617678535738</v>
      </c>
      <c r="AD2039" s="9">
        <v>68.105109643716474</v>
      </c>
      <c r="AE2039" s="9">
        <v>75.132723269302929</v>
      </c>
      <c r="AF2039" s="9">
        <v>82.290622386277917</v>
      </c>
      <c r="AG2039" s="9">
        <v>82.290622386277917</v>
      </c>
      <c r="AH2039" s="9">
        <v>90.43943145512165</v>
      </c>
      <c r="AI2039" s="9">
        <v>98.380048333692613</v>
      </c>
      <c r="AJ2039" s="9">
        <v>3.0428788910505911</v>
      </c>
    </row>
    <row r="2040" spans="1:36" x14ac:dyDescent="0.25">
      <c r="A2040" t="s">
        <v>5411</v>
      </c>
      <c r="B2040" t="s">
        <v>16</v>
      </c>
      <c r="C2040" t="s">
        <v>17</v>
      </c>
      <c r="D2040">
        <v>45360000</v>
      </c>
      <c r="E2040">
        <v>45364999</v>
      </c>
      <c r="F2040" t="s">
        <v>1835</v>
      </c>
      <c r="G2040" t="str">
        <f t="shared" si="62"/>
        <v>BAI II</v>
      </c>
      <c r="H2040" t="s">
        <v>1700</v>
      </c>
      <c r="I2040" t="s">
        <v>20</v>
      </c>
      <c r="J2040" t="s">
        <v>64</v>
      </c>
      <c r="K2040" s="6">
        <v>0.03</v>
      </c>
      <c r="L2040" s="7">
        <f t="shared" si="63"/>
        <v>2E-3</v>
      </c>
      <c r="M2040" s="7">
        <v>3.0000000000000001E-3</v>
      </c>
      <c r="N2040">
        <v>11</v>
      </c>
      <c r="O2040" s="8">
        <v>22.933916850949441</v>
      </c>
      <c r="P2040" s="9">
        <v>22.933916850949441</v>
      </c>
      <c r="Q2040" s="9">
        <v>22.933916850949441</v>
      </c>
      <c r="R2040" s="9">
        <v>25.173745848546066</v>
      </c>
      <c r="S2040" s="9">
        <v>27.641690539343774</v>
      </c>
      <c r="T2040" s="9">
        <v>29.730378573928668</v>
      </c>
      <c r="U2040" s="9">
        <v>36.183590217329723</v>
      </c>
      <c r="V2040" s="9">
        <v>36.183590217329723</v>
      </c>
      <c r="W2040" s="9">
        <v>36.183590217329723</v>
      </c>
      <c r="X2040" s="9">
        <v>43.522810559209468</v>
      </c>
      <c r="Y2040" s="9">
        <v>43.522810559209468</v>
      </c>
      <c r="Z2040" s="9">
        <v>50.960858783530121</v>
      </c>
      <c r="AA2040" s="9">
        <v>50.960858783530121</v>
      </c>
      <c r="AB2040" s="9">
        <v>58.507617678535738</v>
      </c>
      <c r="AC2040" s="9">
        <v>58.507617678535738</v>
      </c>
      <c r="AD2040" s="9">
        <v>68.105109643716474</v>
      </c>
      <c r="AE2040" s="9">
        <v>75.132723269302929</v>
      </c>
      <c r="AF2040" s="9">
        <v>82.290622386277917</v>
      </c>
      <c r="AG2040" s="9">
        <v>82.290622386277917</v>
      </c>
      <c r="AH2040" s="9">
        <v>90.43943145512165</v>
      </c>
      <c r="AI2040" s="9">
        <v>98.380048333692613</v>
      </c>
      <c r="AJ2040" s="9">
        <v>3.0428788910505911</v>
      </c>
    </row>
    <row r="2041" spans="1:36" x14ac:dyDescent="0.25">
      <c r="A2041" t="s">
        <v>5411</v>
      </c>
      <c r="B2041" t="s">
        <v>16</v>
      </c>
      <c r="C2041" t="s">
        <v>17</v>
      </c>
      <c r="D2041">
        <v>45365000</v>
      </c>
      <c r="E2041">
        <v>45369999</v>
      </c>
      <c r="F2041" t="s">
        <v>1836</v>
      </c>
      <c r="G2041" t="str">
        <f t="shared" si="62"/>
        <v>BAI II</v>
      </c>
      <c r="H2041" t="s">
        <v>1700</v>
      </c>
      <c r="I2041" t="s">
        <v>20</v>
      </c>
      <c r="J2041" t="s">
        <v>64</v>
      </c>
      <c r="K2041" s="6">
        <v>0.03</v>
      </c>
      <c r="L2041" s="7">
        <f t="shared" si="63"/>
        <v>2E-3</v>
      </c>
      <c r="M2041" s="7">
        <v>3.0000000000000001E-3</v>
      </c>
      <c r="N2041">
        <v>11</v>
      </c>
      <c r="O2041" s="8">
        <v>22.933916850949441</v>
      </c>
      <c r="P2041" s="9">
        <v>22.933916850949441</v>
      </c>
      <c r="Q2041" s="9">
        <v>22.933916850949441</v>
      </c>
      <c r="R2041" s="9">
        <v>25.173745848546066</v>
      </c>
      <c r="S2041" s="9">
        <v>27.641690539343774</v>
      </c>
      <c r="T2041" s="9">
        <v>29.730378573928668</v>
      </c>
      <c r="U2041" s="9">
        <v>36.183590217329723</v>
      </c>
      <c r="V2041" s="9">
        <v>36.183590217329723</v>
      </c>
      <c r="W2041" s="9">
        <v>36.183590217329723</v>
      </c>
      <c r="X2041" s="9">
        <v>43.522810559209468</v>
      </c>
      <c r="Y2041" s="9">
        <v>43.522810559209468</v>
      </c>
      <c r="Z2041" s="9">
        <v>50.960858783530121</v>
      </c>
      <c r="AA2041" s="9">
        <v>50.960858783530121</v>
      </c>
      <c r="AB2041" s="9">
        <v>58.507617678535738</v>
      </c>
      <c r="AC2041" s="9">
        <v>58.507617678535738</v>
      </c>
      <c r="AD2041" s="9">
        <v>68.105109643716474</v>
      </c>
      <c r="AE2041" s="9">
        <v>75.132723269302929</v>
      </c>
      <c r="AF2041" s="9">
        <v>82.290622386277917</v>
      </c>
      <c r="AG2041" s="9">
        <v>82.290622386277917</v>
      </c>
      <c r="AH2041" s="9">
        <v>90.43943145512165</v>
      </c>
      <c r="AI2041" s="9">
        <v>98.380048333692613</v>
      </c>
      <c r="AJ2041" s="9">
        <v>3.0428788910505911</v>
      </c>
    </row>
    <row r="2042" spans="1:36" x14ac:dyDescent="0.25">
      <c r="A2042" t="s">
        <v>5411</v>
      </c>
      <c r="B2042" t="s">
        <v>16</v>
      </c>
      <c r="C2042" t="s">
        <v>17</v>
      </c>
      <c r="D2042">
        <v>45370000</v>
      </c>
      <c r="E2042">
        <v>45374999</v>
      </c>
      <c r="F2042" t="s">
        <v>1837</v>
      </c>
      <c r="G2042" t="str">
        <f t="shared" si="62"/>
        <v>BAI II</v>
      </c>
      <c r="H2042" t="s">
        <v>1700</v>
      </c>
      <c r="I2042" t="s">
        <v>20</v>
      </c>
      <c r="J2042" t="s">
        <v>64</v>
      </c>
      <c r="K2042" s="6">
        <v>0.03</v>
      </c>
      <c r="L2042" s="7">
        <f t="shared" si="63"/>
        <v>2E-3</v>
      </c>
      <c r="M2042" s="7">
        <v>3.0000000000000001E-3</v>
      </c>
      <c r="N2042">
        <v>11</v>
      </c>
      <c r="O2042" s="8">
        <v>22.933916850949441</v>
      </c>
      <c r="P2042" s="9">
        <v>22.933916850949441</v>
      </c>
      <c r="Q2042" s="9">
        <v>22.933916850949441</v>
      </c>
      <c r="R2042" s="9">
        <v>25.173745848546066</v>
      </c>
      <c r="S2042" s="9">
        <v>27.641690539343774</v>
      </c>
      <c r="T2042" s="9">
        <v>29.730378573928668</v>
      </c>
      <c r="U2042" s="9">
        <v>36.183590217329723</v>
      </c>
      <c r="V2042" s="9">
        <v>36.183590217329723</v>
      </c>
      <c r="W2042" s="9">
        <v>36.183590217329723</v>
      </c>
      <c r="X2042" s="9">
        <v>43.522810559209468</v>
      </c>
      <c r="Y2042" s="9">
        <v>43.522810559209468</v>
      </c>
      <c r="Z2042" s="9">
        <v>50.960858783530121</v>
      </c>
      <c r="AA2042" s="9">
        <v>50.960858783530121</v>
      </c>
      <c r="AB2042" s="9">
        <v>58.507617678535738</v>
      </c>
      <c r="AC2042" s="9">
        <v>58.507617678535738</v>
      </c>
      <c r="AD2042" s="9">
        <v>68.105109643716474</v>
      </c>
      <c r="AE2042" s="9">
        <v>75.132723269302929</v>
      </c>
      <c r="AF2042" s="9">
        <v>82.290622386277917</v>
      </c>
      <c r="AG2042" s="9">
        <v>82.290622386277917</v>
      </c>
      <c r="AH2042" s="9">
        <v>90.43943145512165</v>
      </c>
      <c r="AI2042" s="9">
        <v>98.380048333692613</v>
      </c>
      <c r="AJ2042" s="9">
        <v>3.0428788910505911</v>
      </c>
    </row>
    <row r="2043" spans="1:36" x14ac:dyDescent="0.25">
      <c r="A2043" t="s">
        <v>5411</v>
      </c>
      <c r="B2043" t="s">
        <v>16</v>
      </c>
      <c r="C2043" t="s">
        <v>17</v>
      </c>
      <c r="D2043">
        <v>45375000</v>
      </c>
      <c r="E2043">
        <v>45389999</v>
      </c>
      <c r="F2043" t="s">
        <v>1838</v>
      </c>
      <c r="G2043" t="str">
        <f t="shared" si="62"/>
        <v>BAI II</v>
      </c>
      <c r="H2043" t="s">
        <v>1700</v>
      </c>
      <c r="I2043" t="s">
        <v>20</v>
      </c>
      <c r="J2043" t="s">
        <v>64</v>
      </c>
      <c r="K2043" s="6">
        <v>0.03</v>
      </c>
      <c r="L2043" s="7">
        <f t="shared" si="63"/>
        <v>2E-3</v>
      </c>
      <c r="M2043" s="7">
        <v>3.0000000000000001E-3</v>
      </c>
      <c r="N2043">
        <v>11</v>
      </c>
      <c r="O2043" s="8">
        <v>22.933916850949441</v>
      </c>
      <c r="P2043" s="9">
        <v>22.933916850949441</v>
      </c>
      <c r="Q2043" s="9">
        <v>22.933916850949441</v>
      </c>
      <c r="R2043" s="9">
        <v>25.173745848546066</v>
      </c>
      <c r="S2043" s="9">
        <v>27.641690539343774</v>
      </c>
      <c r="T2043" s="9">
        <v>29.730378573928668</v>
      </c>
      <c r="U2043" s="9">
        <v>36.183590217329723</v>
      </c>
      <c r="V2043" s="9">
        <v>36.183590217329723</v>
      </c>
      <c r="W2043" s="9">
        <v>36.183590217329723</v>
      </c>
      <c r="X2043" s="9">
        <v>43.522810559209468</v>
      </c>
      <c r="Y2043" s="9">
        <v>43.522810559209468</v>
      </c>
      <c r="Z2043" s="9">
        <v>50.960858783530121</v>
      </c>
      <c r="AA2043" s="9">
        <v>50.960858783530121</v>
      </c>
      <c r="AB2043" s="9">
        <v>58.507617678535738</v>
      </c>
      <c r="AC2043" s="9">
        <v>58.507617678535738</v>
      </c>
      <c r="AD2043" s="9">
        <v>68.105109643716474</v>
      </c>
      <c r="AE2043" s="9">
        <v>75.132723269302929</v>
      </c>
      <c r="AF2043" s="9">
        <v>82.290622386277917</v>
      </c>
      <c r="AG2043" s="9">
        <v>82.290622386277917</v>
      </c>
      <c r="AH2043" s="9">
        <v>90.43943145512165</v>
      </c>
      <c r="AI2043" s="9">
        <v>98.380048333692613</v>
      </c>
      <c r="AJ2043" s="9">
        <v>3.0428788910505911</v>
      </c>
    </row>
    <row r="2044" spans="1:36" x14ac:dyDescent="0.25">
      <c r="A2044" t="s">
        <v>5411</v>
      </c>
      <c r="B2044" t="s">
        <v>16</v>
      </c>
      <c r="C2044" t="s">
        <v>17</v>
      </c>
      <c r="D2044">
        <v>45390000</v>
      </c>
      <c r="E2044">
        <v>45399999</v>
      </c>
      <c r="F2044" t="s">
        <v>1839</v>
      </c>
      <c r="G2044" t="str">
        <f t="shared" si="62"/>
        <v>BAI</v>
      </c>
      <c r="H2044" t="s">
        <v>1700</v>
      </c>
      <c r="I2044" t="s">
        <v>20</v>
      </c>
      <c r="J2044" t="s">
        <v>62</v>
      </c>
      <c r="K2044" s="6">
        <v>0.03</v>
      </c>
      <c r="L2044" s="7">
        <f t="shared" si="63"/>
        <v>2E-3</v>
      </c>
      <c r="M2044" s="7">
        <v>3.0000000000000001E-3</v>
      </c>
      <c r="N2044">
        <v>14</v>
      </c>
      <c r="O2044" s="8">
        <v>18.830425793781675</v>
      </c>
      <c r="P2044" s="9">
        <v>18.830425793781675</v>
      </c>
      <c r="Q2044" s="9">
        <v>18.830425793781675</v>
      </c>
      <c r="R2044" s="9">
        <v>20.26742485247707</v>
      </c>
      <c r="S2044" s="9">
        <v>22.358597663519866</v>
      </c>
      <c r="T2044" s="9">
        <v>24.596422700701293</v>
      </c>
      <c r="U2044" s="9">
        <v>30.062806972770321</v>
      </c>
      <c r="V2044" s="9">
        <v>30.062806972770321</v>
      </c>
      <c r="W2044" s="9">
        <v>30.062806972770321</v>
      </c>
      <c r="X2044" s="9">
        <v>36.258834158198169</v>
      </c>
      <c r="Y2044" s="9">
        <v>36.258834158198169</v>
      </c>
      <c r="Z2044" s="9">
        <v>42.662152333319682</v>
      </c>
      <c r="AA2044" s="9">
        <v>42.662152333319682</v>
      </c>
      <c r="AB2044" s="9">
        <v>49.337721288156033</v>
      </c>
      <c r="AC2044" s="9">
        <v>49.337721288156033</v>
      </c>
      <c r="AD2044" s="9">
        <v>56.175614623482943</v>
      </c>
      <c r="AE2044" s="9">
        <v>63.196712014029359</v>
      </c>
      <c r="AF2044" s="9">
        <v>70.424649784246597</v>
      </c>
      <c r="AG2044" s="9">
        <v>70.424649784246597</v>
      </c>
      <c r="AH2044" s="9">
        <v>77.342680781352584</v>
      </c>
      <c r="AI2044" s="9">
        <v>84.743447231394711</v>
      </c>
      <c r="AJ2044" s="9">
        <v>3.0428788910505911</v>
      </c>
    </row>
    <row r="2045" spans="1:36" x14ac:dyDescent="0.25">
      <c r="A2045" t="s">
        <v>5411</v>
      </c>
      <c r="B2045" t="s">
        <v>16</v>
      </c>
      <c r="C2045" t="s">
        <v>17</v>
      </c>
      <c r="D2045">
        <v>45400000</v>
      </c>
      <c r="E2045">
        <v>45415999</v>
      </c>
      <c r="F2045" t="s">
        <v>711</v>
      </c>
      <c r="G2045" t="str">
        <f t="shared" si="62"/>
        <v>BAI II</v>
      </c>
      <c r="H2045" t="s">
        <v>1700</v>
      </c>
      <c r="I2045" t="s">
        <v>20</v>
      </c>
      <c r="J2045" t="s">
        <v>64</v>
      </c>
      <c r="K2045" s="6">
        <v>0.03</v>
      </c>
      <c r="L2045" s="7">
        <f t="shared" si="63"/>
        <v>2E-3</v>
      </c>
      <c r="M2045" s="7">
        <v>3.0000000000000001E-3</v>
      </c>
      <c r="N2045">
        <v>9</v>
      </c>
      <c r="O2045" s="8">
        <v>22.933916850949441</v>
      </c>
      <c r="P2045" s="9">
        <v>22.933916850949441</v>
      </c>
      <c r="Q2045" s="9">
        <v>22.933916850949441</v>
      </c>
      <c r="R2045" s="9">
        <v>25.173745848546066</v>
      </c>
      <c r="S2045" s="9">
        <v>27.641690539343774</v>
      </c>
      <c r="T2045" s="9">
        <v>29.730378573928668</v>
      </c>
      <c r="U2045" s="9">
        <v>36.183590217329723</v>
      </c>
      <c r="V2045" s="9">
        <v>36.183590217329723</v>
      </c>
      <c r="W2045" s="9">
        <v>36.183590217329723</v>
      </c>
      <c r="X2045" s="9">
        <v>43.522810559209468</v>
      </c>
      <c r="Y2045" s="9">
        <v>43.522810559209468</v>
      </c>
      <c r="Z2045" s="9">
        <v>50.960858783530121</v>
      </c>
      <c r="AA2045" s="9">
        <v>50.960858783530121</v>
      </c>
      <c r="AB2045" s="9">
        <v>58.507617678535738</v>
      </c>
      <c r="AC2045" s="9">
        <v>58.507617678535738</v>
      </c>
      <c r="AD2045" s="9">
        <v>68.105109643716474</v>
      </c>
      <c r="AE2045" s="9">
        <v>75.132723269302929</v>
      </c>
      <c r="AF2045" s="9">
        <v>82.290622386277917</v>
      </c>
      <c r="AG2045" s="9">
        <v>82.290622386277917</v>
      </c>
      <c r="AH2045" s="9">
        <v>90.43943145512165</v>
      </c>
      <c r="AI2045" s="9">
        <v>98.380048333692613</v>
      </c>
      <c r="AJ2045" s="9">
        <v>3.0428788910505911</v>
      </c>
    </row>
    <row r="2046" spans="1:36" x14ac:dyDescent="0.25">
      <c r="A2046" t="s">
        <v>5411</v>
      </c>
      <c r="B2046" t="s">
        <v>16</v>
      </c>
      <c r="C2046" t="s">
        <v>17</v>
      </c>
      <c r="D2046">
        <v>45416000</v>
      </c>
      <c r="E2046">
        <v>45419999</v>
      </c>
      <c r="F2046" t="s">
        <v>1840</v>
      </c>
      <c r="G2046" t="str">
        <f t="shared" si="62"/>
        <v>BAI II</v>
      </c>
      <c r="H2046" t="s">
        <v>1700</v>
      </c>
      <c r="I2046" t="s">
        <v>20</v>
      </c>
      <c r="J2046" t="s">
        <v>64</v>
      </c>
      <c r="K2046" s="6">
        <v>0.03</v>
      </c>
      <c r="L2046" s="7">
        <f t="shared" si="63"/>
        <v>2E-3</v>
      </c>
      <c r="M2046" s="7">
        <v>3.0000000000000001E-3</v>
      </c>
      <c r="N2046">
        <v>11</v>
      </c>
      <c r="O2046" s="8">
        <v>22.933916850949441</v>
      </c>
      <c r="P2046" s="9">
        <v>22.933916850949441</v>
      </c>
      <c r="Q2046" s="9">
        <v>22.933916850949441</v>
      </c>
      <c r="R2046" s="9">
        <v>25.173745848546066</v>
      </c>
      <c r="S2046" s="9">
        <v>27.641690539343774</v>
      </c>
      <c r="T2046" s="9">
        <v>29.730378573928668</v>
      </c>
      <c r="U2046" s="9">
        <v>36.183590217329723</v>
      </c>
      <c r="V2046" s="9">
        <v>36.183590217329723</v>
      </c>
      <c r="W2046" s="9">
        <v>36.183590217329723</v>
      </c>
      <c r="X2046" s="9">
        <v>43.522810559209468</v>
      </c>
      <c r="Y2046" s="9">
        <v>43.522810559209468</v>
      </c>
      <c r="Z2046" s="9">
        <v>50.960858783530121</v>
      </c>
      <c r="AA2046" s="9">
        <v>50.960858783530121</v>
      </c>
      <c r="AB2046" s="9">
        <v>58.507617678535738</v>
      </c>
      <c r="AC2046" s="9">
        <v>58.507617678535738</v>
      </c>
      <c r="AD2046" s="9">
        <v>68.105109643716474</v>
      </c>
      <c r="AE2046" s="9">
        <v>75.132723269302929</v>
      </c>
      <c r="AF2046" s="9">
        <v>82.290622386277917</v>
      </c>
      <c r="AG2046" s="9">
        <v>82.290622386277917</v>
      </c>
      <c r="AH2046" s="9">
        <v>90.43943145512165</v>
      </c>
      <c r="AI2046" s="9">
        <v>98.380048333692613</v>
      </c>
      <c r="AJ2046" s="9">
        <v>3.0428788910505911</v>
      </c>
    </row>
    <row r="2047" spans="1:36" x14ac:dyDescent="0.25">
      <c r="A2047" t="s">
        <v>5411</v>
      </c>
      <c r="B2047" t="s">
        <v>16</v>
      </c>
      <c r="C2047" t="s">
        <v>17</v>
      </c>
      <c r="D2047">
        <v>45420000</v>
      </c>
      <c r="E2047">
        <v>45429999</v>
      </c>
      <c r="F2047" t="s">
        <v>1841</v>
      </c>
      <c r="G2047" t="str">
        <f t="shared" si="62"/>
        <v>BAI II</v>
      </c>
      <c r="H2047" t="s">
        <v>1700</v>
      </c>
      <c r="I2047" t="s">
        <v>20</v>
      </c>
      <c r="J2047" t="s">
        <v>64</v>
      </c>
      <c r="K2047" s="6">
        <v>0.03</v>
      </c>
      <c r="L2047" s="7">
        <f t="shared" si="63"/>
        <v>2E-3</v>
      </c>
      <c r="M2047" s="7">
        <v>3.0000000000000001E-3</v>
      </c>
      <c r="N2047">
        <v>10</v>
      </c>
      <c r="O2047" s="8">
        <v>22.933916850949441</v>
      </c>
      <c r="P2047" s="9">
        <v>22.933916850949441</v>
      </c>
      <c r="Q2047" s="9">
        <v>22.933916850949441</v>
      </c>
      <c r="R2047" s="9">
        <v>25.173745848546066</v>
      </c>
      <c r="S2047" s="9">
        <v>27.641690539343774</v>
      </c>
      <c r="T2047" s="9">
        <v>29.730378573928668</v>
      </c>
      <c r="U2047" s="9">
        <v>36.183590217329723</v>
      </c>
      <c r="V2047" s="9">
        <v>36.183590217329723</v>
      </c>
      <c r="W2047" s="9">
        <v>36.183590217329723</v>
      </c>
      <c r="X2047" s="9">
        <v>43.522810559209468</v>
      </c>
      <c r="Y2047" s="9">
        <v>43.522810559209468</v>
      </c>
      <c r="Z2047" s="9">
        <v>50.960858783530121</v>
      </c>
      <c r="AA2047" s="9">
        <v>50.960858783530121</v>
      </c>
      <c r="AB2047" s="9">
        <v>58.507617678535738</v>
      </c>
      <c r="AC2047" s="9">
        <v>58.507617678535738</v>
      </c>
      <c r="AD2047" s="9">
        <v>68.105109643716474</v>
      </c>
      <c r="AE2047" s="9">
        <v>75.132723269302929</v>
      </c>
      <c r="AF2047" s="9">
        <v>82.290622386277917</v>
      </c>
      <c r="AG2047" s="9">
        <v>82.290622386277917</v>
      </c>
      <c r="AH2047" s="9">
        <v>90.43943145512165</v>
      </c>
      <c r="AI2047" s="9">
        <v>98.380048333692613</v>
      </c>
      <c r="AJ2047" s="9">
        <v>3.0428788910505911</v>
      </c>
    </row>
    <row r="2048" spans="1:36" x14ac:dyDescent="0.25">
      <c r="A2048" t="s">
        <v>5411</v>
      </c>
      <c r="B2048" t="s">
        <v>16</v>
      </c>
      <c r="C2048" t="s">
        <v>17</v>
      </c>
      <c r="D2048">
        <v>45430000</v>
      </c>
      <c r="E2048">
        <v>45434999</v>
      </c>
      <c r="F2048" t="s">
        <v>1842</v>
      </c>
      <c r="G2048" t="str">
        <f t="shared" si="62"/>
        <v>BAI II</v>
      </c>
      <c r="H2048" t="s">
        <v>1700</v>
      </c>
      <c r="I2048" t="s">
        <v>20</v>
      </c>
      <c r="J2048" t="s">
        <v>64</v>
      </c>
      <c r="K2048" s="6">
        <v>0.03</v>
      </c>
      <c r="L2048" s="7">
        <f t="shared" si="63"/>
        <v>2E-3</v>
      </c>
      <c r="M2048" s="7">
        <v>3.0000000000000001E-3</v>
      </c>
      <c r="N2048">
        <v>10</v>
      </c>
      <c r="O2048" s="8">
        <v>22.933916850949441</v>
      </c>
      <c r="P2048" s="9">
        <v>22.933916850949441</v>
      </c>
      <c r="Q2048" s="9">
        <v>22.933916850949441</v>
      </c>
      <c r="R2048" s="9">
        <v>25.173745848546066</v>
      </c>
      <c r="S2048" s="9">
        <v>27.641690539343774</v>
      </c>
      <c r="T2048" s="9">
        <v>29.730378573928668</v>
      </c>
      <c r="U2048" s="9">
        <v>36.183590217329723</v>
      </c>
      <c r="V2048" s="9">
        <v>36.183590217329723</v>
      </c>
      <c r="W2048" s="9">
        <v>36.183590217329723</v>
      </c>
      <c r="X2048" s="9">
        <v>43.522810559209468</v>
      </c>
      <c r="Y2048" s="9">
        <v>43.522810559209468</v>
      </c>
      <c r="Z2048" s="9">
        <v>50.960858783530121</v>
      </c>
      <c r="AA2048" s="9">
        <v>50.960858783530121</v>
      </c>
      <c r="AB2048" s="9">
        <v>58.507617678535738</v>
      </c>
      <c r="AC2048" s="9">
        <v>58.507617678535738</v>
      </c>
      <c r="AD2048" s="9">
        <v>68.105109643716474</v>
      </c>
      <c r="AE2048" s="9">
        <v>75.132723269302929</v>
      </c>
      <c r="AF2048" s="9">
        <v>82.290622386277917</v>
      </c>
      <c r="AG2048" s="9">
        <v>82.290622386277917</v>
      </c>
      <c r="AH2048" s="9">
        <v>90.43943145512165</v>
      </c>
      <c r="AI2048" s="9">
        <v>98.380048333692613</v>
      </c>
      <c r="AJ2048" s="9">
        <v>3.0428788910505911</v>
      </c>
    </row>
    <row r="2049" spans="1:36" x14ac:dyDescent="0.25">
      <c r="A2049" t="s">
        <v>5411</v>
      </c>
      <c r="B2049" t="s">
        <v>16</v>
      </c>
      <c r="C2049" t="s">
        <v>17</v>
      </c>
      <c r="D2049">
        <v>45435000</v>
      </c>
      <c r="E2049">
        <v>45435999</v>
      </c>
      <c r="F2049" t="s">
        <v>1843</v>
      </c>
      <c r="G2049" t="str">
        <f t="shared" si="62"/>
        <v>BAI II</v>
      </c>
      <c r="H2049" t="s">
        <v>1700</v>
      </c>
      <c r="I2049" t="s">
        <v>20</v>
      </c>
      <c r="J2049" t="s">
        <v>64</v>
      </c>
      <c r="K2049" s="6">
        <v>0.03</v>
      </c>
      <c r="L2049" s="7">
        <f t="shared" si="63"/>
        <v>2E-3</v>
      </c>
      <c r="M2049" s="7">
        <v>3.0000000000000001E-3</v>
      </c>
      <c r="N2049">
        <v>14</v>
      </c>
      <c r="O2049" s="8">
        <v>22.933916850949441</v>
      </c>
      <c r="P2049" s="9">
        <v>22.933916850949441</v>
      </c>
      <c r="Q2049" s="9">
        <v>22.933916850949441</v>
      </c>
      <c r="R2049" s="9">
        <v>25.173745848546066</v>
      </c>
      <c r="S2049" s="9">
        <v>27.641690539343774</v>
      </c>
      <c r="T2049" s="9">
        <v>29.730378573928668</v>
      </c>
      <c r="U2049" s="9">
        <v>36.183590217329723</v>
      </c>
      <c r="V2049" s="9">
        <v>36.183590217329723</v>
      </c>
      <c r="W2049" s="9">
        <v>36.183590217329723</v>
      </c>
      <c r="X2049" s="9">
        <v>43.522810559209468</v>
      </c>
      <c r="Y2049" s="9">
        <v>43.522810559209468</v>
      </c>
      <c r="Z2049" s="9">
        <v>50.960858783530121</v>
      </c>
      <c r="AA2049" s="9">
        <v>50.960858783530121</v>
      </c>
      <c r="AB2049" s="9">
        <v>58.507617678535738</v>
      </c>
      <c r="AC2049" s="9">
        <v>58.507617678535738</v>
      </c>
      <c r="AD2049" s="9">
        <v>68.105109643716474</v>
      </c>
      <c r="AE2049" s="9">
        <v>75.132723269302929</v>
      </c>
      <c r="AF2049" s="9">
        <v>82.290622386277917</v>
      </c>
      <c r="AG2049" s="9">
        <v>82.290622386277917</v>
      </c>
      <c r="AH2049" s="9">
        <v>90.43943145512165</v>
      </c>
      <c r="AI2049" s="9">
        <v>98.380048333692613</v>
      </c>
      <c r="AJ2049" s="9">
        <v>3.0428788910505911</v>
      </c>
    </row>
    <row r="2050" spans="1:36" x14ac:dyDescent="0.25">
      <c r="A2050" t="s">
        <v>5411</v>
      </c>
      <c r="B2050" t="s">
        <v>16</v>
      </c>
      <c r="C2050" t="s">
        <v>17</v>
      </c>
      <c r="D2050">
        <v>45436000</v>
      </c>
      <c r="E2050">
        <v>45439999</v>
      </c>
      <c r="F2050" t="s">
        <v>1844</v>
      </c>
      <c r="G2050" t="str">
        <f t="shared" si="62"/>
        <v>BAI II</v>
      </c>
      <c r="H2050" t="s">
        <v>1700</v>
      </c>
      <c r="I2050" t="s">
        <v>20</v>
      </c>
      <c r="J2050" t="s">
        <v>64</v>
      </c>
      <c r="K2050" s="6">
        <v>0.03</v>
      </c>
      <c r="L2050" s="7">
        <f t="shared" si="63"/>
        <v>2E-3</v>
      </c>
      <c r="M2050" s="7">
        <v>3.0000000000000001E-3</v>
      </c>
      <c r="N2050">
        <v>11</v>
      </c>
      <c r="O2050" s="8">
        <v>22.933916850949441</v>
      </c>
      <c r="P2050" s="9">
        <v>22.933916850949441</v>
      </c>
      <c r="Q2050" s="9">
        <v>22.933916850949441</v>
      </c>
      <c r="R2050" s="9">
        <v>25.173745848546066</v>
      </c>
      <c r="S2050" s="9">
        <v>27.641690539343774</v>
      </c>
      <c r="T2050" s="9">
        <v>29.730378573928668</v>
      </c>
      <c r="U2050" s="9">
        <v>36.183590217329723</v>
      </c>
      <c r="V2050" s="9">
        <v>36.183590217329723</v>
      </c>
      <c r="W2050" s="9">
        <v>36.183590217329723</v>
      </c>
      <c r="X2050" s="9">
        <v>43.522810559209468</v>
      </c>
      <c r="Y2050" s="9">
        <v>43.522810559209468</v>
      </c>
      <c r="Z2050" s="9">
        <v>50.960858783530121</v>
      </c>
      <c r="AA2050" s="9">
        <v>50.960858783530121</v>
      </c>
      <c r="AB2050" s="9">
        <v>58.507617678535738</v>
      </c>
      <c r="AC2050" s="9">
        <v>58.507617678535738</v>
      </c>
      <c r="AD2050" s="9">
        <v>68.105109643716474</v>
      </c>
      <c r="AE2050" s="9">
        <v>75.132723269302929</v>
      </c>
      <c r="AF2050" s="9">
        <v>82.290622386277917</v>
      </c>
      <c r="AG2050" s="9">
        <v>82.290622386277917</v>
      </c>
      <c r="AH2050" s="9">
        <v>90.43943145512165</v>
      </c>
      <c r="AI2050" s="9">
        <v>98.380048333692613</v>
      </c>
      <c r="AJ2050" s="9">
        <v>3.0428788910505911</v>
      </c>
    </row>
    <row r="2051" spans="1:36" x14ac:dyDescent="0.25">
      <c r="A2051" t="s">
        <v>5411</v>
      </c>
      <c r="B2051" t="s">
        <v>16</v>
      </c>
      <c r="C2051" t="s">
        <v>17</v>
      </c>
      <c r="D2051">
        <v>45440000</v>
      </c>
      <c r="E2051">
        <v>45442999</v>
      </c>
      <c r="F2051" t="s">
        <v>1845</v>
      </c>
      <c r="G2051" t="str">
        <f t="shared" si="62"/>
        <v>BAI II</v>
      </c>
      <c r="H2051" t="s">
        <v>1700</v>
      </c>
      <c r="I2051" t="s">
        <v>20</v>
      </c>
      <c r="J2051" t="s">
        <v>64</v>
      </c>
      <c r="K2051" s="6">
        <v>0.03</v>
      </c>
      <c r="L2051" s="7">
        <f t="shared" si="63"/>
        <v>2E-3</v>
      </c>
      <c r="M2051" s="7">
        <v>3.0000000000000001E-3</v>
      </c>
      <c r="N2051">
        <v>10</v>
      </c>
      <c r="O2051" s="8">
        <v>22.933916850949441</v>
      </c>
      <c r="P2051" s="9">
        <v>22.933916850949441</v>
      </c>
      <c r="Q2051" s="9">
        <v>22.933916850949441</v>
      </c>
      <c r="R2051" s="9">
        <v>25.173745848546066</v>
      </c>
      <c r="S2051" s="9">
        <v>27.641690539343774</v>
      </c>
      <c r="T2051" s="9">
        <v>29.730378573928668</v>
      </c>
      <c r="U2051" s="9">
        <v>36.183590217329723</v>
      </c>
      <c r="V2051" s="9">
        <v>36.183590217329723</v>
      </c>
      <c r="W2051" s="9">
        <v>36.183590217329723</v>
      </c>
      <c r="X2051" s="9">
        <v>43.522810559209468</v>
      </c>
      <c r="Y2051" s="9">
        <v>43.522810559209468</v>
      </c>
      <c r="Z2051" s="9">
        <v>50.960858783530121</v>
      </c>
      <c r="AA2051" s="9">
        <v>50.960858783530121</v>
      </c>
      <c r="AB2051" s="9">
        <v>58.507617678535738</v>
      </c>
      <c r="AC2051" s="9">
        <v>58.507617678535738</v>
      </c>
      <c r="AD2051" s="9">
        <v>68.105109643716474</v>
      </c>
      <c r="AE2051" s="9">
        <v>75.132723269302929</v>
      </c>
      <c r="AF2051" s="9">
        <v>82.290622386277917</v>
      </c>
      <c r="AG2051" s="9">
        <v>82.290622386277917</v>
      </c>
      <c r="AH2051" s="9">
        <v>90.43943145512165</v>
      </c>
      <c r="AI2051" s="9">
        <v>98.380048333692613</v>
      </c>
      <c r="AJ2051" s="9">
        <v>3.0428788910505911</v>
      </c>
    </row>
    <row r="2052" spans="1:36" x14ac:dyDescent="0.25">
      <c r="A2052" t="s">
        <v>5411</v>
      </c>
      <c r="B2052" t="s">
        <v>16</v>
      </c>
      <c r="C2052" t="s">
        <v>17</v>
      </c>
      <c r="D2052">
        <v>45443000</v>
      </c>
      <c r="E2052">
        <v>45444999</v>
      </c>
      <c r="F2052" t="s">
        <v>1846</v>
      </c>
      <c r="G2052" t="str">
        <f t="shared" ref="G2052:G2115" si="64">H2052&amp;IF(J2052="CAPITAL","C",IF(J2052="INTERIOR","I",IF(J2052="INTERIOR II","I II","R")))</f>
        <v>BAI II</v>
      </c>
      <c r="H2052" t="s">
        <v>1700</v>
      </c>
      <c r="I2052" t="s">
        <v>20</v>
      </c>
      <c r="J2052" t="s">
        <v>64</v>
      </c>
      <c r="K2052" s="6">
        <v>0.03</v>
      </c>
      <c r="L2052" s="7">
        <f t="shared" ref="L2052:L2115" si="65">IF(I2052="(0) Não",0.2%,3%)</f>
        <v>2E-3</v>
      </c>
      <c r="M2052" s="7">
        <v>3.0000000000000001E-3</v>
      </c>
      <c r="N2052">
        <v>14</v>
      </c>
      <c r="O2052" s="8">
        <v>22.933916850949441</v>
      </c>
      <c r="P2052" s="9">
        <v>22.933916850949441</v>
      </c>
      <c r="Q2052" s="9">
        <v>22.933916850949441</v>
      </c>
      <c r="R2052" s="9">
        <v>25.173745848546066</v>
      </c>
      <c r="S2052" s="9">
        <v>27.641690539343774</v>
      </c>
      <c r="T2052" s="9">
        <v>29.730378573928668</v>
      </c>
      <c r="U2052" s="9">
        <v>36.183590217329723</v>
      </c>
      <c r="V2052" s="9">
        <v>36.183590217329723</v>
      </c>
      <c r="W2052" s="9">
        <v>36.183590217329723</v>
      </c>
      <c r="X2052" s="9">
        <v>43.522810559209468</v>
      </c>
      <c r="Y2052" s="9">
        <v>43.522810559209468</v>
      </c>
      <c r="Z2052" s="9">
        <v>50.960858783530121</v>
      </c>
      <c r="AA2052" s="9">
        <v>50.960858783530121</v>
      </c>
      <c r="AB2052" s="9">
        <v>58.507617678535738</v>
      </c>
      <c r="AC2052" s="9">
        <v>58.507617678535738</v>
      </c>
      <c r="AD2052" s="9">
        <v>68.105109643716474</v>
      </c>
      <c r="AE2052" s="9">
        <v>75.132723269302929</v>
      </c>
      <c r="AF2052" s="9">
        <v>82.290622386277917</v>
      </c>
      <c r="AG2052" s="9">
        <v>82.290622386277917</v>
      </c>
      <c r="AH2052" s="9">
        <v>90.43943145512165</v>
      </c>
      <c r="AI2052" s="9">
        <v>98.380048333692613</v>
      </c>
      <c r="AJ2052" s="9">
        <v>3.0428788910505911</v>
      </c>
    </row>
    <row r="2053" spans="1:36" x14ac:dyDescent="0.25">
      <c r="A2053" t="s">
        <v>5411</v>
      </c>
      <c r="B2053" t="s">
        <v>16</v>
      </c>
      <c r="C2053" t="s">
        <v>17</v>
      </c>
      <c r="D2053">
        <v>45445000</v>
      </c>
      <c r="E2053">
        <v>45449999</v>
      </c>
      <c r="F2053" t="s">
        <v>1847</v>
      </c>
      <c r="G2053" t="str">
        <f t="shared" si="64"/>
        <v>BAI II</v>
      </c>
      <c r="H2053" t="s">
        <v>1700</v>
      </c>
      <c r="I2053" t="s">
        <v>20</v>
      </c>
      <c r="J2053" t="s">
        <v>64</v>
      </c>
      <c r="K2053" s="6">
        <v>0.03</v>
      </c>
      <c r="L2053" s="7">
        <f t="shared" si="65"/>
        <v>2E-3</v>
      </c>
      <c r="M2053" s="7">
        <v>3.0000000000000001E-3</v>
      </c>
      <c r="N2053">
        <v>14</v>
      </c>
      <c r="O2053" s="8">
        <v>22.933916850949441</v>
      </c>
      <c r="P2053" s="9">
        <v>22.933916850949441</v>
      </c>
      <c r="Q2053" s="9">
        <v>22.933916850949441</v>
      </c>
      <c r="R2053" s="9">
        <v>25.173745848546066</v>
      </c>
      <c r="S2053" s="9">
        <v>27.641690539343774</v>
      </c>
      <c r="T2053" s="9">
        <v>29.730378573928668</v>
      </c>
      <c r="U2053" s="9">
        <v>36.183590217329723</v>
      </c>
      <c r="V2053" s="9">
        <v>36.183590217329723</v>
      </c>
      <c r="W2053" s="9">
        <v>36.183590217329723</v>
      </c>
      <c r="X2053" s="9">
        <v>43.522810559209468</v>
      </c>
      <c r="Y2053" s="9">
        <v>43.522810559209468</v>
      </c>
      <c r="Z2053" s="9">
        <v>50.960858783530121</v>
      </c>
      <c r="AA2053" s="9">
        <v>50.960858783530121</v>
      </c>
      <c r="AB2053" s="9">
        <v>58.507617678535738</v>
      </c>
      <c r="AC2053" s="9">
        <v>58.507617678535738</v>
      </c>
      <c r="AD2053" s="9">
        <v>68.105109643716474</v>
      </c>
      <c r="AE2053" s="9">
        <v>75.132723269302929</v>
      </c>
      <c r="AF2053" s="9">
        <v>82.290622386277917</v>
      </c>
      <c r="AG2053" s="9">
        <v>82.290622386277917</v>
      </c>
      <c r="AH2053" s="9">
        <v>90.43943145512165</v>
      </c>
      <c r="AI2053" s="9">
        <v>98.380048333692613</v>
      </c>
      <c r="AJ2053" s="9">
        <v>3.0428788910505911</v>
      </c>
    </row>
    <row r="2054" spans="1:36" x14ac:dyDescent="0.25">
      <c r="A2054" t="s">
        <v>5411</v>
      </c>
      <c r="B2054" t="s">
        <v>16</v>
      </c>
      <c r="C2054" t="s">
        <v>17</v>
      </c>
      <c r="D2054">
        <v>45450000</v>
      </c>
      <c r="E2054">
        <v>45451999</v>
      </c>
      <c r="F2054" t="s">
        <v>1848</v>
      </c>
      <c r="G2054" t="str">
        <f t="shared" si="64"/>
        <v>BAI II</v>
      </c>
      <c r="H2054" t="s">
        <v>1700</v>
      </c>
      <c r="I2054" t="s">
        <v>20</v>
      </c>
      <c r="J2054" t="s">
        <v>64</v>
      </c>
      <c r="K2054" s="6">
        <v>0.03</v>
      </c>
      <c r="L2054" s="7">
        <f t="shared" si="65"/>
        <v>2E-3</v>
      </c>
      <c r="M2054" s="7">
        <v>3.0000000000000001E-3</v>
      </c>
      <c r="N2054">
        <v>11</v>
      </c>
      <c r="O2054" s="8">
        <v>22.933916850949441</v>
      </c>
      <c r="P2054" s="9">
        <v>22.933916850949441</v>
      </c>
      <c r="Q2054" s="9">
        <v>22.933916850949441</v>
      </c>
      <c r="R2054" s="9">
        <v>25.173745848546066</v>
      </c>
      <c r="S2054" s="9">
        <v>27.641690539343774</v>
      </c>
      <c r="T2054" s="9">
        <v>29.730378573928668</v>
      </c>
      <c r="U2054" s="9">
        <v>36.183590217329723</v>
      </c>
      <c r="V2054" s="9">
        <v>36.183590217329723</v>
      </c>
      <c r="W2054" s="9">
        <v>36.183590217329723</v>
      </c>
      <c r="X2054" s="9">
        <v>43.522810559209468</v>
      </c>
      <c r="Y2054" s="9">
        <v>43.522810559209468</v>
      </c>
      <c r="Z2054" s="9">
        <v>50.960858783530121</v>
      </c>
      <c r="AA2054" s="9">
        <v>50.960858783530121</v>
      </c>
      <c r="AB2054" s="9">
        <v>58.507617678535738</v>
      </c>
      <c r="AC2054" s="9">
        <v>58.507617678535738</v>
      </c>
      <c r="AD2054" s="9">
        <v>68.105109643716474</v>
      </c>
      <c r="AE2054" s="9">
        <v>75.132723269302929</v>
      </c>
      <c r="AF2054" s="9">
        <v>82.290622386277917</v>
      </c>
      <c r="AG2054" s="9">
        <v>82.290622386277917</v>
      </c>
      <c r="AH2054" s="9">
        <v>90.43943145512165</v>
      </c>
      <c r="AI2054" s="9">
        <v>98.380048333692613</v>
      </c>
      <c r="AJ2054" s="9">
        <v>3.0428788910505911</v>
      </c>
    </row>
    <row r="2055" spans="1:36" x14ac:dyDescent="0.25">
      <c r="A2055" t="s">
        <v>5411</v>
      </c>
      <c r="B2055" t="s">
        <v>16</v>
      </c>
      <c r="C2055" t="s">
        <v>17</v>
      </c>
      <c r="D2055">
        <v>45452000</v>
      </c>
      <c r="E2055">
        <v>45454999</v>
      </c>
      <c r="F2055" t="s">
        <v>1849</v>
      </c>
      <c r="G2055" t="str">
        <f t="shared" si="64"/>
        <v>BAI II</v>
      </c>
      <c r="H2055" t="s">
        <v>1700</v>
      </c>
      <c r="I2055" t="s">
        <v>20</v>
      </c>
      <c r="J2055" t="s">
        <v>64</v>
      </c>
      <c r="K2055" s="6">
        <v>0.03</v>
      </c>
      <c r="L2055" s="7">
        <f t="shared" si="65"/>
        <v>2E-3</v>
      </c>
      <c r="M2055" s="7">
        <v>3.0000000000000001E-3</v>
      </c>
      <c r="N2055">
        <v>11</v>
      </c>
      <c r="O2055" s="8">
        <v>22.933916850949441</v>
      </c>
      <c r="P2055" s="9">
        <v>22.933916850949441</v>
      </c>
      <c r="Q2055" s="9">
        <v>22.933916850949441</v>
      </c>
      <c r="R2055" s="9">
        <v>25.173745848546066</v>
      </c>
      <c r="S2055" s="9">
        <v>27.641690539343774</v>
      </c>
      <c r="T2055" s="9">
        <v>29.730378573928668</v>
      </c>
      <c r="U2055" s="9">
        <v>36.183590217329723</v>
      </c>
      <c r="V2055" s="9">
        <v>36.183590217329723</v>
      </c>
      <c r="W2055" s="9">
        <v>36.183590217329723</v>
      </c>
      <c r="X2055" s="9">
        <v>43.522810559209468</v>
      </c>
      <c r="Y2055" s="9">
        <v>43.522810559209468</v>
      </c>
      <c r="Z2055" s="9">
        <v>50.960858783530121</v>
      </c>
      <c r="AA2055" s="9">
        <v>50.960858783530121</v>
      </c>
      <c r="AB2055" s="9">
        <v>58.507617678535738</v>
      </c>
      <c r="AC2055" s="9">
        <v>58.507617678535738</v>
      </c>
      <c r="AD2055" s="9">
        <v>68.105109643716474</v>
      </c>
      <c r="AE2055" s="9">
        <v>75.132723269302929</v>
      </c>
      <c r="AF2055" s="9">
        <v>82.290622386277917</v>
      </c>
      <c r="AG2055" s="9">
        <v>82.290622386277917</v>
      </c>
      <c r="AH2055" s="9">
        <v>90.43943145512165</v>
      </c>
      <c r="AI2055" s="9">
        <v>98.380048333692613</v>
      </c>
      <c r="AJ2055" s="9">
        <v>3.0428788910505911</v>
      </c>
    </row>
    <row r="2056" spans="1:36" x14ac:dyDescent="0.25">
      <c r="A2056" t="s">
        <v>5411</v>
      </c>
      <c r="B2056" t="s">
        <v>16</v>
      </c>
      <c r="C2056" t="s">
        <v>17</v>
      </c>
      <c r="D2056">
        <v>45455000</v>
      </c>
      <c r="E2056">
        <v>45459999</v>
      </c>
      <c r="F2056" t="s">
        <v>1850</v>
      </c>
      <c r="G2056" t="str">
        <f t="shared" si="64"/>
        <v>BAI II</v>
      </c>
      <c r="H2056" t="s">
        <v>1700</v>
      </c>
      <c r="I2056" t="s">
        <v>20</v>
      </c>
      <c r="J2056" t="s">
        <v>64</v>
      </c>
      <c r="K2056" s="6">
        <v>0.03</v>
      </c>
      <c r="L2056" s="7">
        <f t="shared" si="65"/>
        <v>2E-3</v>
      </c>
      <c r="M2056" s="7">
        <v>3.0000000000000001E-3</v>
      </c>
      <c r="N2056">
        <v>11</v>
      </c>
      <c r="O2056" s="8">
        <v>22.933916850949441</v>
      </c>
      <c r="P2056" s="9">
        <v>22.933916850949441</v>
      </c>
      <c r="Q2056" s="9">
        <v>22.933916850949441</v>
      </c>
      <c r="R2056" s="9">
        <v>25.173745848546066</v>
      </c>
      <c r="S2056" s="9">
        <v>27.641690539343774</v>
      </c>
      <c r="T2056" s="9">
        <v>29.730378573928668</v>
      </c>
      <c r="U2056" s="9">
        <v>36.183590217329723</v>
      </c>
      <c r="V2056" s="9">
        <v>36.183590217329723</v>
      </c>
      <c r="W2056" s="9">
        <v>36.183590217329723</v>
      </c>
      <c r="X2056" s="9">
        <v>43.522810559209468</v>
      </c>
      <c r="Y2056" s="9">
        <v>43.522810559209468</v>
      </c>
      <c r="Z2056" s="9">
        <v>50.960858783530121</v>
      </c>
      <c r="AA2056" s="9">
        <v>50.960858783530121</v>
      </c>
      <c r="AB2056" s="9">
        <v>58.507617678535738</v>
      </c>
      <c r="AC2056" s="9">
        <v>58.507617678535738</v>
      </c>
      <c r="AD2056" s="9">
        <v>68.105109643716474</v>
      </c>
      <c r="AE2056" s="9">
        <v>75.132723269302929</v>
      </c>
      <c r="AF2056" s="9">
        <v>82.290622386277917</v>
      </c>
      <c r="AG2056" s="9">
        <v>82.290622386277917</v>
      </c>
      <c r="AH2056" s="9">
        <v>90.43943145512165</v>
      </c>
      <c r="AI2056" s="9">
        <v>98.380048333692613</v>
      </c>
      <c r="AJ2056" s="9">
        <v>3.0428788910505911</v>
      </c>
    </row>
    <row r="2057" spans="1:36" x14ac:dyDescent="0.25">
      <c r="A2057" t="s">
        <v>5411</v>
      </c>
      <c r="B2057" t="s">
        <v>16</v>
      </c>
      <c r="C2057" t="s">
        <v>17</v>
      </c>
      <c r="D2057">
        <v>45460000</v>
      </c>
      <c r="E2057">
        <v>45464999</v>
      </c>
      <c r="F2057" t="s">
        <v>1851</v>
      </c>
      <c r="G2057" t="str">
        <f t="shared" si="64"/>
        <v>BAI II</v>
      </c>
      <c r="H2057" t="s">
        <v>1700</v>
      </c>
      <c r="I2057" t="s">
        <v>20</v>
      </c>
      <c r="J2057" t="s">
        <v>64</v>
      </c>
      <c r="K2057" s="6">
        <v>0.03</v>
      </c>
      <c r="L2057" s="7">
        <f t="shared" si="65"/>
        <v>2E-3</v>
      </c>
      <c r="M2057" s="7">
        <v>3.0000000000000001E-3</v>
      </c>
      <c r="N2057">
        <v>11</v>
      </c>
      <c r="O2057" s="8">
        <v>22.933916850949441</v>
      </c>
      <c r="P2057" s="9">
        <v>22.933916850949441</v>
      </c>
      <c r="Q2057" s="9">
        <v>22.933916850949441</v>
      </c>
      <c r="R2057" s="9">
        <v>25.173745848546066</v>
      </c>
      <c r="S2057" s="9">
        <v>27.641690539343774</v>
      </c>
      <c r="T2057" s="9">
        <v>29.730378573928668</v>
      </c>
      <c r="U2057" s="9">
        <v>36.183590217329723</v>
      </c>
      <c r="V2057" s="9">
        <v>36.183590217329723</v>
      </c>
      <c r="W2057" s="9">
        <v>36.183590217329723</v>
      </c>
      <c r="X2057" s="9">
        <v>43.522810559209468</v>
      </c>
      <c r="Y2057" s="9">
        <v>43.522810559209468</v>
      </c>
      <c r="Z2057" s="9">
        <v>50.960858783530121</v>
      </c>
      <c r="AA2057" s="9">
        <v>50.960858783530121</v>
      </c>
      <c r="AB2057" s="9">
        <v>58.507617678535738</v>
      </c>
      <c r="AC2057" s="9">
        <v>58.507617678535738</v>
      </c>
      <c r="AD2057" s="9">
        <v>68.105109643716474</v>
      </c>
      <c r="AE2057" s="9">
        <v>75.132723269302929</v>
      </c>
      <c r="AF2057" s="9">
        <v>82.290622386277917</v>
      </c>
      <c r="AG2057" s="9">
        <v>82.290622386277917</v>
      </c>
      <c r="AH2057" s="9">
        <v>90.43943145512165</v>
      </c>
      <c r="AI2057" s="9">
        <v>98.380048333692613</v>
      </c>
      <c r="AJ2057" s="9">
        <v>3.0428788910505911</v>
      </c>
    </row>
    <row r="2058" spans="1:36" x14ac:dyDescent="0.25">
      <c r="A2058" t="s">
        <v>5411</v>
      </c>
      <c r="B2058" t="s">
        <v>16</v>
      </c>
      <c r="C2058" t="s">
        <v>17</v>
      </c>
      <c r="D2058">
        <v>45465000</v>
      </c>
      <c r="E2058">
        <v>45469999</v>
      </c>
      <c r="F2058" t="s">
        <v>1852</v>
      </c>
      <c r="G2058" t="str">
        <f t="shared" si="64"/>
        <v>BAI II</v>
      </c>
      <c r="H2058" t="s">
        <v>1700</v>
      </c>
      <c r="I2058" t="s">
        <v>20</v>
      </c>
      <c r="J2058" t="s">
        <v>64</v>
      </c>
      <c r="K2058" s="6">
        <v>0.03</v>
      </c>
      <c r="L2058" s="7">
        <f t="shared" si="65"/>
        <v>2E-3</v>
      </c>
      <c r="M2058" s="7">
        <v>3.0000000000000001E-3</v>
      </c>
      <c r="N2058">
        <v>11</v>
      </c>
      <c r="O2058" s="8">
        <v>22.933916850949441</v>
      </c>
      <c r="P2058" s="9">
        <v>22.933916850949441</v>
      </c>
      <c r="Q2058" s="9">
        <v>22.933916850949441</v>
      </c>
      <c r="R2058" s="9">
        <v>25.173745848546066</v>
      </c>
      <c r="S2058" s="9">
        <v>27.641690539343774</v>
      </c>
      <c r="T2058" s="9">
        <v>29.730378573928668</v>
      </c>
      <c r="U2058" s="9">
        <v>36.183590217329723</v>
      </c>
      <c r="V2058" s="9">
        <v>36.183590217329723</v>
      </c>
      <c r="W2058" s="9">
        <v>36.183590217329723</v>
      </c>
      <c r="X2058" s="9">
        <v>43.522810559209468</v>
      </c>
      <c r="Y2058" s="9">
        <v>43.522810559209468</v>
      </c>
      <c r="Z2058" s="9">
        <v>50.960858783530121</v>
      </c>
      <c r="AA2058" s="9">
        <v>50.960858783530121</v>
      </c>
      <c r="AB2058" s="9">
        <v>58.507617678535738</v>
      </c>
      <c r="AC2058" s="9">
        <v>58.507617678535738</v>
      </c>
      <c r="AD2058" s="9">
        <v>68.105109643716474</v>
      </c>
      <c r="AE2058" s="9">
        <v>75.132723269302929</v>
      </c>
      <c r="AF2058" s="9">
        <v>82.290622386277917</v>
      </c>
      <c r="AG2058" s="9">
        <v>82.290622386277917</v>
      </c>
      <c r="AH2058" s="9">
        <v>90.43943145512165</v>
      </c>
      <c r="AI2058" s="9">
        <v>98.380048333692613</v>
      </c>
      <c r="AJ2058" s="9">
        <v>3.0428788910505911</v>
      </c>
    </row>
    <row r="2059" spans="1:36" x14ac:dyDescent="0.25">
      <c r="A2059" t="s">
        <v>5411</v>
      </c>
      <c r="B2059" t="s">
        <v>16</v>
      </c>
      <c r="C2059" t="s">
        <v>17</v>
      </c>
      <c r="D2059">
        <v>45470000</v>
      </c>
      <c r="E2059">
        <v>45479999</v>
      </c>
      <c r="F2059" t="s">
        <v>1853</v>
      </c>
      <c r="G2059" t="str">
        <f t="shared" si="64"/>
        <v>BAI II</v>
      </c>
      <c r="H2059" t="s">
        <v>1700</v>
      </c>
      <c r="I2059" t="s">
        <v>20</v>
      </c>
      <c r="J2059" t="s">
        <v>64</v>
      </c>
      <c r="K2059" s="6">
        <v>0.03</v>
      </c>
      <c r="L2059" s="7">
        <f t="shared" si="65"/>
        <v>2E-3</v>
      </c>
      <c r="M2059" s="7">
        <v>3.0000000000000001E-3</v>
      </c>
      <c r="N2059">
        <v>11</v>
      </c>
      <c r="O2059" s="8">
        <v>22.933916850949441</v>
      </c>
      <c r="P2059" s="9">
        <v>22.933916850949441</v>
      </c>
      <c r="Q2059" s="9">
        <v>22.933916850949441</v>
      </c>
      <c r="R2059" s="9">
        <v>25.173745848546066</v>
      </c>
      <c r="S2059" s="9">
        <v>27.641690539343774</v>
      </c>
      <c r="T2059" s="9">
        <v>29.730378573928668</v>
      </c>
      <c r="U2059" s="9">
        <v>36.183590217329723</v>
      </c>
      <c r="V2059" s="9">
        <v>36.183590217329723</v>
      </c>
      <c r="W2059" s="9">
        <v>36.183590217329723</v>
      </c>
      <c r="X2059" s="9">
        <v>43.522810559209468</v>
      </c>
      <c r="Y2059" s="9">
        <v>43.522810559209468</v>
      </c>
      <c r="Z2059" s="9">
        <v>50.960858783530121</v>
      </c>
      <c r="AA2059" s="9">
        <v>50.960858783530121</v>
      </c>
      <c r="AB2059" s="9">
        <v>58.507617678535738</v>
      </c>
      <c r="AC2059" s="9">
        <v>58.507617678535738</v>
      </c>
      <c r="AD2059" s="9">
        <v>68.105109643716474</v>
      </c>
      <c r="AE2059" s="9">
        <v>75.132723269302929</v>
      </c>
      <c r="AF2059" s="9">
        <v>82.290622386277917</v>
      </c>
      <c r="AG2059" s="9">
        <v>82.290622386277917</v>
      </c>
      <c r="AH2059" s="9">
        <v>90.43943145512165</v>
      </c>
      <c r="AI2059" s="9">
        <v>98.380048333692613</v>
      </c>
      <c r="AJ2059" s="9">
        <v>3.0428788910505911</v>
      </c>
    </row>
    <row r="2060" spans="1:36" x14ac:dyDescent="0.25">
      <c r="A2060" t="s">
        <v>5411</v>
      </c>
      <c r="B2060" t="s">
        <v>16</v>
      </c>
      <c r="C2060" t="s">
        <v>17</v>
      </c>
      <c r="D2060">
        <v>45480000</v>
      </c>
      <c r="E2060">
        <v>45489999</v>
      </c>
      <c r="F2060" t="s">
        <v>1854</v>
      </c>
      <c r="G2060" t="str">
        <f t="shared" si="64"/>
        <v>BAI II</v>
      </c>
      <c r="H2060" t="s">
        <v>1700</v>
      </c>
      <c r="I2060" t="s">
        <v>20</v>
      </c>
      <c r="J2060" t="s">
        <v>64</v>
      </c>
      <c r="K2060" s="6">
        <v>0.03</v>
      </c>
      <c r="L2060" s="7">
        <f t="shared" si="65"/>
        <v>2E-3</v>
      </c>
      <c r="M2060" s="7">
        <v>3.0000000000000001E-3</v>
      </c>
      <c r="N2060">
        <v>11</v>
      </c>
      <c r="O2060" s="8">
        <v>22.933916850949441</v>
      </c>
      <c r="P2060" s="9">
        <v>22.933916850949441</v>
      </c>
      <c r="Q2060" s="9">
        <v>22.933916850949441</v>
      </c>
      <c r="R2060" s="9">
        <v>25.173745848546066</v>
      </c>
      <c r="S2060" s="9">
        <v>27.641690539343774</v>
      </c>
      <c r="T2060" s="9">
        <v>29.730378573928668</v>
      </c>
      <c r="U2060" s="9">
        <v>36.183590217329723</v>
      </c>
      <c r="V2060" s="9">
        <v>36.183590217329723</v>
      </c>
      <c r="W2060" s="9">
        <v>36.183590217329723</v>
      </c>
      <c r="X2060" s="9">
        <v>43.522810559209468</v>
      </c>
      <c r="Y2060" s="9">
        <v>43.522810559209468</v>
      </c>
      <c r="Z2060" s="9">
        <v>50.960858783530121</v>
      </c>
      <c r="AA2060" s="9">
        <v>50.960858783530121</v>
      </c>
      <c r="AB2060" s="9">
        <v>58.507617678535738</v>
      </c>
      <c r="AC2060" s="9">
        <v>58.507617678535738</v>
      </c>
      <c r="AD2060" s="9">
        <v>68.105109643716474</v>
      </c>
      <c r="AE2060" s="9">
        <v>75.132723269302929</v>
      </c>
      <c r="AF2060" s="9">
        <v>82.290622386277917</v>
      </c>
      <c r="AG2060" s="9">
        <v>82.290622386277917</v>
      </c>
      <c r="AH2060" s="9">
        <v>90.43943145512165</v>
      </c>
      <c r="AI2060" s="9">
        <v>98.380048333692613</v>
      </c>
      <c r="AJ2060" s="9">
        <v>3.0428788910505911</v>
      </c>
    </row>
    <row r="2061" spans="1:36" x14ac:dyDescent="0.25">
      <c r="A2061" t="s">
        <v>5411</v>
      </c>
      <c r="B2061" t="s">
        <v>16</v>
      </c>
      <c r="C2061" t="s">
        <v>17</v>
      </c>
      <c r="D2061">
        <v>45490000</v>
      </c>
      <c r="E2061">
        <v>45499999</v>
      </c>
      <c r="F2061" t="s">
        <v>1855</v>
      </c>
      <c r="G2061" t="str">
        <f t="shared" si="64"/>
        <v>BAI II</v>
      </c>
      <c r="H2061" t="s">
        <v>1700</v>
      </c>
      <c r="I2061" t="s">
        <v>20</v>
      </c>
      <c r="J2061" t="s">
        <v>64</v>
      </c>
      <c r="K2061" s="6">
        <v>0.03</v>
      </c>
      <c r="L2061" s="7">
        <f t="shared" si="65"/>
        <v>2E-3</v>
      </c>
      <c r="M2061" s="7">
        <v>3.0000000000000001E-3</v>
      </c>
      <c r="N2061">
        <v>10</v>
      </c>
      <c r="O2061" s="8">
        <v>22.933916850949441</v>
      </c>
      <c r="P2061" s="9">
        <v>22.933916850949441</v>
      </c>
      <c r="Q2061" s="9">
        <v>22.933916850949441</v>
      </c>
      <c r="R2061" s="9">
        <v>25.173745848546066</v>
      </c>
      <c r="S2061" s="9">
        <v>27.641690539343774</v>
      </c>
      <c r="T2061" s="9">
        <v>29.730378573928668</v>
      </c>
      <c r="U2061" s="9">
        <v>36.183590217329723</v>
      </c>
      <c r="V2061" s="9">
        <v>36.183590217329723</v>
      </c>
      <c r="W2061" s="9">
        <v>36.183590217329723</v>
      </c>
      <c r="X2061" s="9">
        <v>43.522810559209468</v>
      </c>
      <c r="Y2061" s="9">
        <v>43.522810559209468</v>
      </c>
      <c r="Z2061" s="9">
        <v>50.960858783530121</v>
      </c>
      <c r="AA2061" s="9">
        <v>50.960858783530121</v>
      </c>
      <c r="AB2061" s="9">
        <v>58.507617678535738</v>
      </c>
      <c r="AC2061" s="9">
        <v>58.507617678535738</v>
      </c>
      <c r="AD2061" s="9">
        <v>68.105109643716474</v>
      </c>
      <c r="AE2061" s="9">
        <v>75.132723269302929</v>
      </c>
      <c r="AF2061" s="9">
        <v>82.290622386277917</v>
      </c>
      <c r="AG2061" s="9">
        <v>82.290622386277917</v>
      </c>
      <c r="AH2061" s="9">
        <v>90.43943145512165</v>
      </c>
      <c r="AI2061" s="9">
        <v>98.380048333692613</v>
      </c>
      <c r="AJ2061" s="9">
        <v>3.0428788910505911</v>
      </c>
    </row>
    <row r="2062" spans="1:36" x14ac:dyDescent="0.25">
      <c r="A2062" t="s">
        <v>5411</v>
      </c>
      <c r="B2062" t="s">
        <v>16</v>
      </c>
      <c r="C2062" t="s">
        <v>17</v>
      </c>
      <c r="D2062">
        <v>45500000</v>
      </c>
      <c r="E2062">
        <v>45519999</v>
      </c>
      <c r="F2062" t="s">
        <v>1856</v>
      </c>
      <c r="G2062" t="str">
        <f t="shared" si="64"/>
        <v>BAI II</v>
      </c>
      <c r="H2062" t="s">
        <v>1700</v>
      </c>
      <c r="I2062" t="s">
        <v>20</v>
      </c>
      <c r="J2062" t="s">
        <v>64</v>
      </c>
      <c r="K2062" s="6">
        <v>0.03</v>
      </c>
      <c r="L2062" s="7">
        <f t="shared" si="65"/>
        <v>2E-3</v>
      </c>
      <c r="M2062" s="7">
        <v>3.0000000000000001E-3</v>
      </c>
      <c r="N2062">
        <v>11</v>
      </c>
      <c r="O2062" s="8">
        <v>22.933916850949441</v>
      </c>
      <c r="P2062" s="9">
        <v>22.933916850949441</v>
      </c>
      <c r="Q2062" s="9">
        <v>22.933916850949441</v>
      </c>
      <c r="R2062" s="9">
        <v>25.173745848546066</v>
      </c>
      <c r="S2062" s="9">
        <v>27.641690539343774</v>
      </c>
      <c r="T2062" s="9">
        <v>29.730378573928668</v>
      </c>
      <c r="U2062" s="9">
        <v>36.183590217329723</v>
      </c>
      <c r="V2062" s="9">
        <v>36.183590217329723</v>
      </c>
      <c r="W2062" s="9">
        <v>36.183590217329723</v>
      </c>
      <c r="X2062" s="9">
        <v>43.522810559209468</v>
      </c>
      <c r="Y2062" s="9">
        <v>43.522810559209468</v>
      </c>
      <c r="Z2062" s="9">
        <v>50.960858783530121</v>
      </c>
      <c r="AA2062" s="9">
        <v>50.960858783530121</v>
      </c>
      <c r="AB2062" s="9">
        <v>58.507617678535738</v>
      </c>
      <c r="AC2062" s="9">
        <v>58.507617678535738</v>
      </c>
      <c r="AD2062" s="9">
        <v>68.105109643716474</v>
      </c>
      <c r="AE2062" s="9">
        <v>75.132723269302929</v>
      </c>
      <c r="AF2062" s="9">
        <v>82.290622386277917</v>
      </c>
      <c r="AG2062" s="9">
        <v>82.290622386277917</v>
      </c>
      <c r="AH2062" s="9">
        <v>90.43943145512165</v>
      </c>
      <c r="AI2062" s="9">
        <v>98.380048333692613</v>
      </c>
      <c r="AJ2062" s="9">
        <v>3.0428788910505911</v>
      </c>
    </row>
    <row r="2063" spans="1:36" x14ac:dyDescent="0.25">
      <c r="A2063" t="s">
        <v>5411</v>
      </c>
      <c r="B2063" t="s">
        <v>16</v>
      </c>
      <c r="C2063" t="s">
        <v>17</v>
      </c>
      <c r="D2063">
        <v>45520000</v>
      </c>
      <c r="E2063">
        <v>45529999</v>
      </c>
      <c r="F2063" t="s">
        <v>1857</v>
      </c>
      <c r="G2063" t="str">
        <f t="shared" si="64"/>
        <v>BAI II</v>
      </c>
      <c r="H2063" t="s">
        <v>1700</v>
      </c>
      <c r="I2063" t="s">
        <v>20</v>
      </c>
      <c r="J2063" t="s">
        <v>64</v>
      </c>
      <c r="K2063" s="6">
        <v>0.03</v>
      </c>
      <c r="L2063" s="7">
        <f t="shared" si="65"/>
        <v>2E-3</v>
      </c>
      <c r="M2063" s="7">
        <v>3.0000000000000001E-3</v>
      </c>
      <c r="N2063">
        <v>14</v>
      </c>
      <c r="O2063" s="8">
        <v>22.933916850949441</v>
      </c>
      <c r="P2063" s="9">
        <v>22.933916850949441</v>
      </c>
      <c r="Q2063" s="9">
        <v>22.933916850949441</v>
      </c>
      <c r="R2063" s="9">
        <v>25.173745848546066</v>
      </c>
      <c r="S2063" s="9">
        <v>27.641690539343774</v>
      </c>
      <c r="T2063" s="9">
        <v>29.730378573928668</v>
      </c>
      <c r="U2063" s="9">
        <v>36.183590217329723</v>
      </c>
      <c r="V2063" s="9">
        <v>36.183590217329723</v>
      </c>
      <c r="W2063" s="9">
        <v>36.183590217329723</v>
      </c>
      <c r="X2063" s="9">
        <v>43.522810559209468</v>
      </c>
      <c r="Y2063" s="9">
        <v>43.522810559209468</v>
      </c>
      <c r="Z2063" s="9">
        <v>50.960858783530121</v>
      </c>
      <c r="AA2063" s="9">
        <v>50.960858783530121</v>
      </c>
      <c r="AB2063" s="9">
        <v>58.507617678535738</v>
      </c>
      <c r="AC2063" s="9">
        <v>58.507617678535738</v>
      </c>
      <c r="AD2063" s="9">
        <v>68.105109643716474</v>
      </c>
      <c r="AE2063" s="9">
        <v>75.132723269302929</v>
      </c>
      <c r="AF2063" s="9">
        <v>82.290622386277917</v>
      </c>
      <c r="AG2063" s="9">
        <v>82.290622386277917</v>
      </c>
      <c r="AH2063" s="9">
        <v>90.43943145512165</v>
      </c>
      <c r="AI2063" s="9">
        <v>98.380048333692613</v>
      </c>
      <c r="AJ2063" s="9">
        <v>3.0428788910505911</v>
      </c>
    </row>
    <row r="2064" spans="1:36" x14ac:dyDescent="0.25">
      <c r="A2064" t="s">
        <v>5411</v>
      </c>
      <c r="B2064" t="s">
        <v>16</v>
      </c>
      <c r="C2064" t="s">
        <v>17</v>
      </c>
      <c r="D2064">
        <v>45530000</v>
      </c>
      <c r="E2064">
        <v>45539999</v>
      </c>
      <c r="F2064" t="s">
        <v>1858</v>
      </c>
      <c r="G2064" t="str">
        <f t="shared" si="64"/>
        <v>BAI II</v>
      </c>
      <c r="H2064" t="s">
        <v>1700</v>
      </c>
      <c r="I2064" t="s">
        <v>20</v>
      </c>
      <c r="J2064" t="s">
        <v>64</v>
      </c>
      <c r="K2064" s="6">
        <v>0.03</v>
      </c>
      <c r="L2064" s="7">
        <f t="shared" si="65"/>
        <v>2E-3</v>
      </c>
      <c r="M2064" s="7">
        <v>3.0000000000000001E-3</v>
      </c>
      <c r="N2064">
        <v>14</v>
      </c>
      <c r="O2064" s="8">
        <v>22.933916850949441</v>
      </c>
      <c r="P2064" s="9">
        <v>22.933916850949441</v>
      </c>
      <c r="Q2064" s="9">
        <v>22.933916850949441</v>
      </c>
      <c r="R2064" s="9">
        <v>25.173745848546066</v>
      </c>
      <c r="S2064" s="9">
        <v>27.641690539343774</v>
      </c>
      <c r="T2064" s="9">
        <v>29.730378573928668</v>
      </c>
      <c r="U2064" s="9">
        <v>36.183590217329723</v>
      </c>
      <c r="V2064" s="9">
        <v>36.183590217329723</v>
      </c>
      <c r="W2064" s="9">
        <v>36.183590217329723</v>
      </c>
      <c r="X2064" s="9">
        <v>43.522810559209468</v>
      </c>
      <c r="Y2064" s="9">
        <v>43.522810559209468</v>
      </c>
      <c r="Z2064" s="9">
        <v>50.960858783530121</v>
      </c>
      <c r="AA2064" s="9">
        <v>50.960858783530121</v>
      </c>
      <c r="AB2064" s="9">
        <v>58.507617678535738</v>
      </c>
      <c r="AC2064" s="9">
        <v>58.507617678535738</v>
      </c>
      <c r="AD2064" s="9">
        <v>68.105109643716474</v>
      </c>
      <c r="AE2064" s="9">
        <v>75.132723269302929</v>
      </c>
      <c r="AF2064" s="9">
        <v>82.290622386277917</v>
      </c>
      <c r="AG2064" s="9">
        <v>82.290622386277917</v>
      </c>
      <c r="AH2064" s="9">
        <v>90.43943145512165</v>
      </c>
      <c r="AI2064" s="9">
        <v>98.380048333692613</v>
      </c>
      <c r="AJ2064" s="9">
        <v>3.0428788910505911</v>
      </c>
    </row>
    <row r="2065" spans="1:36" x14ac:dyDescent="0.25">
      <c r="A2065" t="s">
        <v>5411</v>
      </c>
      <c r="B2065" t="s">
        <v>16</v>
      </c>
      <c r="C2065" t="s">
        <v>17</v>
      </c>
      <c r="D2065">
        <v>45540000</v>
      </c>
      <c r="E2065">
        <v>45544999</v>
      </c>
      <c r="F2065" t="s">
        <v>1859</v>
      </c>
      <c r="G2065" t="str">
        <f t="shared" si="64"/>
        <v>BAI II</v>
      </c>
      <c r="H2065" t="s">
        <v>1700</v>
      </c>
      <c r="I2065" t="s">
        <v>20</v>
      </c>
      <c r="J2065" t="s">
        <v>64</v>
      </c>
      <c r="K2065" s="6">
        <v>0.03</v>
      </c>
      <c r="L2065" s="7">
        <f t="shared" si="65"/>
        <v>2E-3</v>
      </c>
      <c r="M2065" s="7">
        <v>3.0000000000000001E-3</v>
      </c>
      <c r="N2065">
        <v>11</v>
      </c>
      <c r="O2065" s="8">
        <v>22.933916850949441</v>
      </c>
      <c r="P2065" s="9">
        <v>22.933916850949441</v>
      </c>
      <c r="Q2065" s="9">
        <v>22.933916850949441</v>
      </c>
      <c r="R2065" s="9">
        <v>25.173745848546066</v>
      </c>
      <c r="S2065" s="9">
        <v>27.641690539343774</v>
      </c>
      <c r="T2065" s="9">
        <v>29.730378573928668</v>
      </c>
      <c r="U2065" s="9">
        <v>36.183590217329723</v>
      </c>
      <c r="V2065" s="9">
        <v>36.183590217329723</v>
      </c>
      <c r="W2065" s="9">
        <v>36.183590217329723</v>
      </c>
      <c r="X2065" s="9">
        <v>43.522810559209468</v>
      </c>
      <c r="Y2065" s="9">
        <v>43.522810559209468</v>
      </c>
      <c r="Z2065" s="9">
        <v>50.960858783530121</v>
      </c>
      <c r="AA2065" s="9">
        <v>50.960858783530121</v>
      </c>
      <c r="AB2065" s="9">
        <v>58.507617678535738</v>
      </c>
      <c r="AC2065" s="9">
        <v>58.507617678535738</v>
      </c>
      <c r="AD2065" s="9">
        <v>68.105109643716474</v>
      </c>
      <c r="AE2065" s="9">
        <v>75.132723269302929</v>
      </c>
      <c r="AF2065" s="9">
        <v>82.290622386277917</v>
      </c>
      <c r="AG2065" s="9">
        <v>82.290622386277917</v>
      </c>
      <c r="AH2065" s="9">
        <v>90.43943145512165</v>
      </c>
      <c r="AI2065" s="9">
        <v>98.380048333692613</v>
      </c>
      <c r="AJ2065" s="9">
        <v>3.0428788910505911</v>
      </c>
    </row>
    <row r="2066" spans="1:36" x14ac:dyDescent="0.25">
      <c r="A2066" t="s">
        <v>5411</v>
      </c>
      <c r="B2066" t="s">
        <v>16</v>
      </c>
      <c r="C2066" t="s">
        <v>17</v>
      </c>
      <c r="D2066">
        <v>45545000</v>
      </c>
      <c r="E2066">
        <v>45549999</v>
      </c>
      <c r="F2066" t="s">
        <v>1860</v>
      </c>
      <c r="G2066" t="str">
        <f t="shared" si="64"/>
        <v>BAI II</v>
      </c>
      <c r="H2066" t="s">
        <v>1700</v>
      </c>
      <c r="I2066" t="s">
        <v>20</v>
      </c>
      <c r="J2066" t="s">
        <v>64</v>
      </c>
      <c r="K2066" s="6">
        <v>0.03</v>
      </c>
      <c r="L2066" s="7">
        <f t="shared" si="65"/>
        <v>2E-3</v>
      </c>
      <c r="M2066" s="7">
        <v>3.0000000000000001E-3</v>
      </c>
      <c r="N2066">
        <v>11</v>
      </c>
      <c r="O2066" s="8">
        <v>22.933916850949441</v>
      </c>
      <c r="P2066" s="9">
        <v>22.933916850949441</v>
      </c>
      <c r="Q2066" s="9">
        <v>22.933916850949441</v>
      </c>
      <c r="R2066" s="9">
        <v>25.173745848546066</v>
      </c>
      <c r="S2066" s="9">
        <v>27.641690539343774</v>
      </c>
      <c r="T2066" s="9">
        <v>29.730378573928668</v>
      </c>
      <c r="U2066" s="9">
        <v>36.183590217329723</v>
      </c>
      <c r="V2066" s="9">
        <v>36.183590217329723</v>
      </c>
      <c r="W2066" s="9">
        <v>36.183590217329723</v>
      </c>
      <c r="X2066" s="9">
        <v>43.522810559209468</v>
      </c>
      <c r="Y2066" s="9">
        <v>43.522810559209468</v>
      </c>
      <c r="Z2066" s="9">
        <v>50.960858783530121</v>
      </c>
      <c r="AA2066" s="9">
        <v>50.960858783530121</v>
      </c>
      <c r="AB2066" s="9">
        <v>58.507617678535738</v>
      </c>
      <c r="AC2066" s="9">
        <v>58.507617678535738</v>
      </c>
      <c r="AD2066" s="9">
        <v>68.105109643716474</v>
      </c>
      <c r="AE2066" s="9">
        <v>75.132723269302929</v>
      </c>
      <c r="AF2066" s="9">
        <v>82.290622386277917</v>
      </c>
      <c r="AG2066" s="9">
        <v>82.290622386277917</v>
      </c>
      <c r="AH2066" s="9">
        <v>90.43943145512165</v>
      </c>
      <c r="AI2066" s="9">
        <v>98.380048333692613</v>
      </c>
      <c r="AJ2066" s="9">
        <v>3.0428788910505911</v>
      </c>
    </row>
    <row r="2067" spans="1:36" x14ac:dyDescent="0.25">
      <c r="A2067" t="s">
        <v>5411</v>
      </c>
      <c r="B2067" t="s">
        <v>16</v>
      </c>
      <c r="C2067" t="s">
        <v>17</v>
      </c>
      <c r="D2067">
        <v>45550000</v>
      </c>
      <c r="E2067">
        <v>45559999</v>
      </c>
      <c r="F2067" t="s">
        <v>1861</v>
      </c>
      <c r="G2067" t="str">
        <f t="shared" si="64"/>
        <v>BAI II</v>
      </c>
      <c r="H2067" t="s">
        <v>1700</v>
      </c>
      <c r="I2067" t="s">
        <v>20</v>
      </c>
      <c r="J2067" t="s">
        <v>64</v>
      </c>
      <c r="K2067" s="6">
        <v>0.03</v>
      </c>
      <c r="L2067" s="7">
        <f t="shared" si="65"/>
        <v>2E-3</v>
      </c>
      <c r="M2067" s="7">
        <v>3.0000000000000001E-3</v>
      </c>
      <c r="N2067">
        <v>11</v>
      </c>
      <c r="O2067" s="8">
        <v>22.933916850949441</v>
      </c>
      <c r="P2067" s="9">
        <v>22.933916850949441</v>
      </c>
      <c r="Q2067" s="9">
        <v>22.933916850949441</v>
      </c>
      <c r="R2067" s="9">
        <v>25.173745848546066</v>
      </c>
      <c r="S2067" s="9">
        <v>27.641690539343774</v>
      </c>
      <c r="T2067" s="9">
        <v>29.730378573928668</v>
      </c>
      <c r="U2067" s="9">
        <v>36.183590217329723</v>
      </c>
      <c r="V2067" s="9">
        <v>36.183590217329723</v>
      </c>
      <c r="W2067" s="9">
        <v>36.183590217329723</v>
      </c>
      <c r="X2067" s="9">
        <v>43.522810559209468</v>
      </c>
      <c r="Y2067" s="9">
        <v>43.522810559209468</v>
      </c>
      <c r="Z2067" s="9">
        <v>50.960858783530121</v>
      </c>
      <c r="AA2067" s="9">
        <v>50.960858783530121</v>
      </c>
      <c r="AB2067" s="9">
        <v>58.507617678535738</v>
      </c>
      <c r="AC2067" s="9">
        <v>58.507617678535738</v>
      </c>
      <c r="AD2067" s="9">
        <v>68.105109643716474</v>
      </c>
      <c r="AE2067" s="9">
        <v>75.132723269302929</v>
      </c>
      <c r="AF2067" s="9">
        <v>82.290622386277917</v>
      </c>
      <c r="AG2067" s="9">
        <v>82.290622386277917</v>
      </c>
      <c r="AH2067" s="9">
        <v>90.43943145512165</v>
      </c>
      <c r="AI2067" s="9">
        <v>98.380048333692613</v>
      </c>
      <c r="AJ2067" s="9">
        <v>3.0428788910505911</v>
      </c>
    </row>
    <row r="2068" spans="1:36" x14ac:dyDescent="0.25">
      <c r="A2068" t="s">
        <v>5411</v>
      </c>
      <c r="B2068" t="s">
        <v>16</v>
      </c>
      <c r="C2068" t="s">
        <v>17</v>
      </c>
      <c r="D2068">
        <v>45560000</v>
      </c>
      <c r="E2068">
        <v>45569999</v>
      </c>
      <c r="F2068" t="s">
        <v>1862</v>
      </c>
      <c r="G2068" t="str">
        <f t="shared" si="64"/>
        <v>BAI II</v>
      </c>
      <c r="H2068" t="s">
        <v>1700</v>
      </c>
      <c r="I2068" t="s">
        <v>20</v>
      </c>
      <c r="J2068" t="s">
        <v>64</v>
      </c>
      <c r="K2068" s="6">
        <v>0.03</v>
      </c>
      <c r="L2068" s="7">
        <f t="shared" si="65"/>
        <v>2E-3</v>
      </c>
      <c r="M2068" s="7">
        <v>3.0000000000000001E-3</v>
      </c>
      <c r="N2068">
        <v>11</v>
      </c>
      <c r="O2068" s="8">
        <v>22.933916850949441</v>
      </c>
      <c r="P2068" s="9">
        <v>22.933916850949441</v>
      </c>
      <c r="Q2068" s="9">
        <v>22.933916850949441</v>
      </c>
      <c r="R2068" s="9">
        <v>25.173745848546066</v>
      </c>
      <c r="S2068" s="9">
        <v>27.641690539343774</v>
      </c>
      <c r="T2068" s="9">
        <v>29.730378573928668</v>
      </c>
      <c r="U2068" s="9">
        <v>36.183590217329723</v>
      </c>
      <c r="V2068" s="9">
        <v>36.183590217329723</v>
      </c>
      <c r="W2068" s="9">
        <v>36.183590217329723</v>
      </c>
      <c r="X2068" s="9">
        <v>43.522810559209468</v>
      </c>
      <c r="Y2068" s="9">
        <v>43.522810559209468</v>
      </c>
      <c r="Z2068" s="9">
        <v>50.960858783530121</v>
      </c>
      <c r="AA2068" s="9">
        <v>50.960858783530121</v>
      </c>
      <c r="AB2068" s="9">
        <v>58.507617678535738</v>
      </c>
      <c r="AC2068" s="9">
        <v>58.507617678535738</v>
      </c>
      <c r="AD2068" s="9">
        <v>68.105109643716474</v>
      </c>
      <c r="AE2068" s="9">
        <v>75.132723269302929</v>
      </c>
      <c r="AF2068" s="9">
        <v>82.290622386277917</v>
      </c>
      <c r="AG2068" s="9">
        <v>82.290622386277917</v>
      </c>
      <c r="AH2068" s="9">
        <v>90.43943145512165</v>
      </c>
      <c r="AI2068" s="9">
        <v>98.380048333692613</v>
      </c>
      <c r="AJ2068" s="9">
        <v>3.0428788910505911</v>
      </c>
    </row>
    <row r="2069" spans="1:36" x14ac:dyDescent="0.25">
      <c r="A2069" t="s">
        <v>5411</v>
      </c>
      <c r="B2069" t="s">
        <v>16</v>
      </c>
      <c r="C2069" t="s">
        <v>17</v>
      </c>
      <c r="D2069">
        <v>45570000</v>
      </c>
      <c r="E2069">
        <v>45579999</v>
      </c>
      <c r="F2069" t="s">
        <v>1863</v>
      </c>
      <c r="G2069" t="str">
        <f t="shared" si="64"/>
        <v>BAI II</v>
      </c>
      <c r="H2069" t="s">
        <v>1700</v>
      </c>
      <c r="I2069" t="s">
        <v>20</v>
      </c>
      <c r="J2069" t="s">
        <v>64</v>
      </c>
      <c r="K2069" s="6">
        <v>0.03</v>
      </c>
      <c r="L2069" s="7">
        <f t="shared" si="65"/>
        <v>2E-3</v>
      </c>
      <c r="M2069" s="7">
        <v>3.0000000000000001E-3</v>
      </c>
      <c r="N2069">
        <v>9</v>
      </c>
      <c r="O2069" s="8">
        <v>22.933916850949441</v>
      </c>
      <c r="P2069" s="9">
        <v>22.933916850949441</v>
      </c>
      <c r="Q2069" s="9">
        <v>22.933916850949441</v>
      </c>
      <c r="R2069" s="9">
        <v>25.173745848546066</v>
      </c>
      <c r="S2069" s="9">
        <v>27.641690539343774</v>
      </c>
      <c r="T2069" s="9">
        <v>29.730378573928668</v>
      </c>
      <c r="U2069" s="9">
        <v>36.183590217329723</v>
      </c>
      <c r="V2069" s="9">
        <v>36.183590217329723</v>
      </c>
      <c r="W2069" s="9">
        <v>36.183590217329723</v>
      </c>
      <c r="X2069" s="9">
        <v>43.522810559209468</v>
      </c>
      <c r="Y2069" s="9">
        <v>43.522810559209468</v>
      </c>
      <c r="Z2069" s="9">
        <v>50.960858783530121</v>
      </c>
      <c r="AA2069" s="9">
        <v>50.960858783530121</v>
      </c>
      <c r="AB2069" s="9">
        <v>58.507617678535738</v>
      </c>
      <c r="AC2069" s="9">
        <v>58.507617678535738</v>
      </c>
      <c r="AD2069" s="9">
        <v>68.105109643716474</v>
      </c>
      <c r="AE2069" s="9">
        <v>75.132723269302929</v>
      </c>
      <c r="AF2069" s="9">
        <v>82.290622386277917</v>
      </c>
      <c r="AG2069" s="9">
        <v>82.290622386277917</v>
      </c>
      <c r="AH2069" s="9">
        <v>90.43943145512165</v>
      </c>
      <c r="AI2069" s="9">
        <v>98.380048333692613</v>
      </c>
      <c r="AJ2069" s="9">
        <v>3.0428788910505911</v>
      </c>
    </row>
    <row r="2070" spans="1:36" x14ac:dyDescent="0.25">
      <c r="A2070" t="s">
        <v>5411</v>
      </c>
      <c r="B2070" t="s">
        <v>16</v>
      </c>
      <c r="C2070" t="s">
        <v>17</v>
      </c>
      <c r="D2070">
        <v>45580000</v>
      </c>
      <c r="E2070">
        <v>45584999</v>
      </c>
      <c r="F2070" t="s">
        <v>1864</v>
      </c>
      <c r="G2070" t="str">
        <f t="shared" si="64"/>
        <v>BAI II</v>
      </c>
      <c r="H2070" t="s">
        <v>1700</v>
      </c>
      <c r="I2070" t="s">
        <v>20</v>
      </c>
      <c r="J2070" t="s">
        <v>64</v>
      </c>
      <c r="K2070" s="6">
        <v>0.03</v>
      </c>
      <c r="L2070" s="7">
        <f t="shared" si="65"/>
        <v>2E-3</v>
      </c>
      <c r="M2070" s="7">
        <v>3.0000000000000001E-3</v>
      </c>
      <c r="N2070">
        <v>11</v>
      </c>
      <c r="O2070" s="8">
        <v>22.933916850949441</v>
      </c>
      <c r="P2070" s="9">
        <v>22.933916850949441</v>
      </c>
      <c r="Q2070" s="9">
        <v>22.933916850949441</v>
      </c>
      <c r="R2070" s="9">
        <v>25.173745848546066</v>
      </c>
      <c r="S2070" s="9">
        <v>27.641690539343774</v>
      </c>
      <c r="T2070" s="9">
        <v>29.730378573928668</v>
      </c>
      <c r="U2070" s="9">
        <v>36.183590217329723</v>
      </c>
      <c r="V2070" s="9">
        <v>36.183590217329723</v>
      </c>
      <c r="W2070" s="9">
        <v>36.183590217329723</v>
      </c>
      <c r="X2070" s="9">
        <v>43.522810559209468</v>
      </c>
      <c r="Y2070" s="9">
        <v>43.522810559209468</v>
      </c>
      <c r="Z2070" s="9">
        <v>50.960858783530121</v>
      </c>
      <c r="AA2070" s="9">
        <v>50.960858783530121</v>
      </c>
      <c r="AB2070" s="9">
        <v>58.507617678535738</v>
      </c>
      <c r="AC2070" s="9">
        <v>58.507617678535738</v>
      </c>
      <c r="AD2070" s="9">
        <v>68.105109643716474</v>
      </c>
      <c r="AE2070" s="9">
        <v>75.132723269302929</v>
      </c>
      <c r="AF2070" s="9">
        <v>82.290622386277917</v>
      </c>
      <c r="AG2070" s="9">
        <v>82.290622386277917</v>
      </c>
      <c r="AH2070" s="9">
        <v>90.43943145512165</v>
      </c>
      <c r="AI2070" s="9">
        <v>98.380048333692613</v>
      </c>
      <c r="AJ2070" s="9">
        <v>3.0428788910505911</v>
      </c>
    </row>
    <row r="2071" spans="1:36" x14ac:dyDescent="0.25">
      <c r="A2071" t="s">
        <v>5411</v>
      </c>
      <c r="B2071" t="s">
        <v>16</v>
      </c>
      <c r="C2071" t="s">
        <v>17</v>
      </c>
      <c r="D2071">
        <v>45585000</v>
      </c>
      <c r="E2071">
        <v>45589999</v>
      </c>
      <c r="F2071" t="s">
        <v>1865</v>
      </c>
      <c r="G2071" t="str">
        <f t="shared" si="64"/>
        <v>BAI II</v>
      </c>
      <c r="H2071" t="s">
        <v>1700</v>
      </c>
      <c r="I2071" t="s">
        <v>20</v>
      </c>
      <c r="J2071" t="s">
        <v>64</v>
      </c>
      <c r="K2071" s="6">
        <v>0.03</v>
      </c>
      <c r="L2071" s="7">
        <f t="shared" si="65"/>
        <v>2E-3</v>
      </c>
      <c r="M2071" s="7">
        <v>3.0000000000000001E-3</v>
      </c>
      <c r="N2071">
        <v>11</v>
      </c>
      <c r="O2071" s="8">
        <v>22.933916850949441</v>
      </c>
      <c r="P2071" s="9">
        <v>22.933916850949441</v>
      </c>
      <c r="Q2071" s="9">
        <v>22.933916850949441</v>
      </c>
      <c r="R2071" s="9">
        <v>25.173745848546066</v>
      </c>
      <c r="S2071" s="9">
        <v>27.641690539343774</v>
      </c>
      <c r="T2071" s="9">
        <v>29.730378573928668</v>
      </c>
      <c r="U2071" s="9">
        <v>36.183590217329723</v>
      </c>
      <c r="V2071" s="9">
        <v>36.183590217329723</v>
      </c>
      <c r="W2071" s="9">
        <v>36.183590217329723</v>
      </c>
      <c r="X2071" s="9">
        <v>43.522810559209468</v>
      </c>
      <c r="Y2071" s="9">
        <v>43.522810559209468</v>
      </c>
      <c r="Z2071" s="9">
        <v>50.960858783530121</v>
      </c>
      <c r="AA2071" s="9">
        <v>50.960858783530121</v>
      </c>
      <c r="AB2071" s="9">
        <v>58.507617678535738</v>
      </c>
      <c r="AC2071" s="9">
        <v>58.507617678535738</v>
      </c>
      <c r="AD2071" s="9">
        <v>68.105109643716474</v>
      </c>
      <c r="AE2071" s="9">
        <v>75.132723269302929</v>
      </c>
      <c r="AF2071" s="9">
        <v>82.290622386277917</v>
      </c>
      <c r="AG2071" s="9">
        <v>82.290622386277917</v>
      </c>
      <c r="AH2071" s="9">
        <v>90.43943145512165</v>
      </c>
      <c r="AI2071" s="9">
        <v>98.380048333692613</v>
      </c>
      <c r="AJ2071" s="9">
        <v>3.0428788910505911</v>
      </c>
    </row>
    <row r="2072" spans="1:36" x14ac:dyDescent="0.25">
      <c r="A2072" t="s">
        <v>5411</v>
      </c>
      <c r="B2072" t="s">
        <v>16</v>
      </c>
      <c r="C2072" t="s">
        <v>17</v>
      </c>
      <c r="D2072">
        <v>45590000</v>
      </c>
      <c r="E2072">
        <v>45599999</v>
      </c>
      <c r="F2072" t="s">
        <v>1866</v>
      </c>
      <c r="G2072" t="str">
        <f t="shared" si="64"/>
        <v>BAI II</v>
      </c>
      <c r="H2072" t="s">
        <v>1700</v>
      </c>
      <c r="I2072" t="s">
        <v>20</v>
      </c>
      <c r="J2072" t="s">
        <v>64</v>
      </c>
      <c r="K2072" s="6">
        <v>0.03</v>
      </c>
      <c r="L2072" s="7">
        <f t="shared" si="65"/>
        <v>2E-3</v>
      </c>
      <c r="M2072" s="7">
        <v>3.0000000000000001E-3</v>
      </c>
      <c r="N2072">
        <v>11</v>
      </c>
      <c r="O2072" s="8">
        <v>22.933916850949441</v>
      </c>
      <c r="P2072" s="9">
        <v>22.933916850949441</v>
      </c>
      <c r="Q2072" s="9">
        <v>22.933916850949441</v>
      </c>
      <c r="R2072" s="9">
        <v>25.173745848546066</v>
      </c>
      <c r="S2072" s="9">
        <v>27.641690539343774</v>
      </c>
      <c r="T2072" s="9">
        <v>29.730378573928668</v>
      </c>
      <c r="U2072" s="9">
        <v>36.183590217329723</v>
      </c>
      <c r="V2072" s="9">
        <v>36.183590217329723</v>
      </c>
      <c r="W2072" s="9">
        <v>36.183590217329723</v>
      </c>
      <c r="X2072" s="9">
        <v>43.522810559209468</v>
      </c>
      <c r="Y2072" s="9">
        <v>43.522810559209468</v>
      </c>
      <c r="Z2072" s="9">
        <v>50.960858783530121</v>
      </c>
      <c r="AA2072" s="9">
        <v>50.960858783530121</v>
      </c>
      <c r="AB2072" s="9">
        <v>58.507617678535738</v>
      </c>
      <c r="AC2072" s="9">
        <v>58.507617678535738</v>
      </c>
      <c r="AD2072" s="9">
        <v>68.105109643716474</v>
      </c>
      <c r="AE2072" s="9">
        <v>75.132723269302929</v>
      </c>
      <c r="AF2072" s="9">
        <v>82.290622386277917</v>
      </c>
      <c r="AG2072" s="9">
        <v>82.290622386277917</v>
      </c>
      <c r="AH2072" s="9">
        <v>90.43943145512165</v>
      </c>
      <c r="AI2072" s="9">
        <v>98.380048333692613</v>
      </c>
      <c r="AJ2072" s="9">
        <v>3.0428788910505911</v>
      </c>
    </row>
    <row r="2073" spans="1:36" x14ac:dyDescent="0.25">
      <c r="A2073" t="s">
        <v>5411</v>
      </c>
      <c r="B2073" t="s">
        <v>16</v>
      </c>
      <c r="C2073" t="s">
        <v>17</v>
      </c>
      <c r="D2073">
        <v>45600000</v>
      </c>
      <c r="E2073">
        <v>45614999</v>
      </c>
      <c r="F2073" t="s">
        <v>1867</v>
      </c>
      <c r="G2073" t="str">
        <f t="shared" si="64"/>
        <v>BAI II</v>
      </c>
      <c r="H2073" t="s">
        <v>1700</v>
      </c>
      <c r="I2073" t="s">
        <v>20</v>
      </c>
      <c r="J2073" t="s">
        <v>64</v>
      </c>
      <c r="K2073" s="6">
        <v>0.03</v>
      </c>
      <c r="L2073" s="7">
        <f t="shared" si="65"/>
        <v>2E-3</v>
      </c>
      <c r="M2073" s="7">
        <v>3.0000000000000001E-3</v>
      </c>
      <c r="N2073">
        <v>10</v>
      </c>
      <c r="O2073" s="8">
        <v>22.933916850949441</v>
      </c>
      <c r="P2073" s="9">
        <v>22.933916850949441</v>
      </c>
      <c r="Q2073" s="9">
        <v>22.933916850949441</v>
      </c>
      <c r="R2073" s="9">
        <v>25.173745848546066</v>
      </c>
      <c r="S2073" s="9">
        <v>27.641690539343774</v>
      </c>
      <c r="T2073" s="9">
        <v>29.730378573928668</v>
      </c>
      <c r="U2073" s="9">
        <v>36.183590217329723</v>
      </c>
      <c r="V2073" s="9">
        <v>36.183590217329723</v>
      </c>
      <c r="W2073" s="9">
        <v>36.183590217329723</v>
      </c>
      <c r="X2073" s="9">
        <v>43.522810559209468</v>
      </c>
      <c r="Y2073" s="9">
        <v>43.522810559209468</v>
      </c>
      <c r="Z2073" s="9">
        <v>50.960858783530121</v>
      </c>
      <c r="AA2073" s="9">
        <v>50.960858783530121</v>
      </c>
      <c r="AB2073" s="9">
        <v>58.507617678535738</v>
      </c>
      <c r="AC2073" s="9">
        <v>58.507617678535738</v>
      </c>
      <c r="AD2073" s="9">
        <v>68.105109643716474</v>
      </c>
      <c r="AE2073" s="9">
        <v>75.132723269302929</v>
      </c>
      <c r="AF2073" s="9">
        <v>82.290622386277917</v>
      </c>
      <c r="AG2073" s="9">
        <v>82.290622386277917</v>
      </c>
      <c r="AH2073" s="9">
        <v>90.43943145512165</v>
      </c>
      <c r="AI2073" s="9">
        <v>98.380048333692613</v>
      </c>
      <c r="AJ2073" s="9">
        <v>3.0428788910505911</v>
      </c>
    </row>
    <row r="2074" spans="1:36" x14ac:dyDescent="0.25">
      <c r="A2074" t="s">
        <v>5411</v>
      </c>
      <c r="B2074" t="s">
        <v>16</v>
      </c>
      <c r="C2074" t="s">
        <v>17</v>
      </c>
      <c r="D2074">
        <v>45615000</v>
      </c>
      <c r="E2074">
        <v>45619999</v>
      </c>
      <c r="F2074" t="s">
        <v>1868</v>
      </c>
      <c r="G2074" t="str">
        <f t="shared" si="64"/>
        <v>BAI II</v>
      </c>
      <c r="H2074" t="s">
        <v>1700</v>
      </c>
      <c r="I2074" t="s">
        <v>20</v>
      </c>
      <c r="J2074" t="s">
        <v>64</v>
      </c>
      <c r="K2074" s="6">
        <v>0.03</v>
      </c>
      <c r="L2074" s="7">
        <f t="shared" si="65"/>
        <v>2E-3</v>
      </c>
      <c r="M2074" s="7">
        <v>3.0000000000000001E-3</v>
      </c>
      <c r="N2074">
        <v>11</v>
      </c>
      <c r="O2074" s="8">
        <v>22.933916850949441</v>
      </c>
      <c r="P2074" s="9">
        <v>22.933916850949441</v>
      </c>
      <c r="Q2074" s="9">
        <v>22.933916850949441</v>
      </c>
      <c r="R2074" s="9">
        <v>25.173745848546066</v>
      </c>
      <c r="S2074" s="9">
        <v>27.641690539343774</v>
      </c>
      <c r="T2074" s="9">
        <v>29.730378573928668</v>
      </c>
      <c r="U2074" s="9">
        <v>36.183590217329723</v>
      </c>
      <c r="V2074" s="9">
        <v>36.183590217329723</v>
      </c>
      <c r="W2074" s="9">
        <v>36.183590217329723</v>
      </c>
      <c r="X2074" s="9">
        <v>43.522810559209468</v>
      </c>
      <c r="Y2074" s="9">
        <v>43.522810559209468</v>
      </c>
      <c r="Z2074" s="9">
        <v>50.960858783530121</v>
      </c>
      <c r="AA2074" s="9">
        <v>50.960858783530121</v>
      </c>
      <c r="AB2074" s="9">
        <v>58.507617678535738</v>
      </c>
      <c r="AC2074" s="9">
        <v>58.507617678535738</v>
      </c>
      <c r="AD2074" s="9">
        <v>68.105109643716474</v>
      </c>
      <c r="AE2074" s="9">
        <v>75.132723269302929</v>
      </c>
      <c r="AF2074" s="9">
        <v>82.290622386277917</v>
      </c>
      <c r="AG2074" s="9">
        <v>82.290622386277917</v>
      </c>
      <c r="AH2074" s="9">
        <v>90.43943145512165</v>
      </c>
      <c r="AI2074" s="9">
        <v>98.380048333692613</v>
      </c>
      <c r="AJ2074" s="9">
        <v>3.0428788910505911</v>
      </c>
    </row>
    <row r="2075" spans="1:36" x14ac:dyDescent="0.25">
      <c r="A2075" t="s">
        <v>5411</v>
      </c>
      <c r="B2075" t="s">
        <v>16</v>
      </c>
      <c r="C2075" t="s">
        <v>17</v>
      </c>
      <c r="D2075">
        <v>45620000</v>
      </c>
      <c r="E2075">
        <v>45621999</v>
      </c>
      <c r="F2075" t="s">
        <v>1869</v>
      </c>
      <c r="G2075" t="str">
        <f t="shared" si="64"/>
        <v>BAI II</v>
      </c>
      <c r="H2075" t="s">
        <v>1700</v>
      </c>
      <c r="I2075" t="s">
        <v>20</v>
      </c>
      <c r="J2075" t="s">
        <v>64</v>
      </c>
      <c r="K2075" s="6">
        <v>0.03</v>
      </c>
      <c r="L2075" s="7">
        <f t="shared" si="65"/>
        <v>2E-3</v>
      </c>
      <c r="M2075" s="7">
        <v>3.0000000000000001E-3</v>
      </c>
      <c r="N2075">
        <v>11</v>
      </c>
      <c r="O2075" s="8">
        <v>22.933916850949441</v>
      </c>
      <c r="P2075" s="9">
        <v>22.933916850949441</v>
      </c>
      <c r="Q2075" s="9">
        <v>22.933916850949441</v>
      </c>
      <c r="R2075" s="9">
        <v>25.173745848546066</v>
      </c>
      <c r="S2075" s="9">
        <v>27.641690539343774</v>
      </c>
      <c r="T2075" s="9">
        <v>29.730378573928668</v>
      </c>
      <c r="U2075" s="9">
        <v>36.183590217329723</v>
      </c>
      <c r="V2075" s="9">
        <v>36.183590217329723</v>
      </c>
      <c r="W2075" s="9">
        <v>36.183590217329723</v>
      </c>
      <c r="X2075" s="9">
        <v>43.522810559209468</v>
      </c>
      <c r="Y2075" s="9">
        <v>43.522810559209468</v>
      </c>
      <c r="Z2075" s="9">
        <v>50.960858783530121</v>
      </c>
      <c r="AA2075" s="9">
        <v>50.960858783530121</v>
      </c>
      <c r="AB2075" s="9">
        <v>58.507617678535738</v>
      </c>
      <c r="AC2075" s="9">
        <v>58.507617678535738</v>
      </c>
      <c r="AD2075" s="9">
        <v>68.105109643716474</v>
      </c>
      <c r="AE2075" s="9">
        <v>75.132723269302929</v>
      </c>
      <c r="AF2075" s="9">
        <v>82.290622386277917</v>
      </c>
      <c r="AG2075" s="9">
        <v>82.290622386277917</v>
      </c>
      <c r="AH2075" s="9">
        <v>90.43943145512165</v>
      </c>
      <c r="AI2075" s="9">
        <v>98.380048333692613</v>
      </c>
      <c r="AJ2075" s="9">
        <v>3.0428788910505911</v>
      </c>
    </row>
    <row r="2076" spans="1:36" x14ac:dyDescent="0.25">
      <c r="A2076" t="s">
        <v>5411</v>
      </c>
      <c r="B2076" t="s">
        <v>16</v>
      </c>
      <c r="C2076" t="s">
        <v>17</v>
      </c>
      <c r="D2076">
        <v>45622000</v>
      </c>
      <c r="E2076">
        <v>45624999</v>
      </c>
      <c r="F2076" t="s">
        <v>1870</v>
      </c>
      <c r="G2076" t="str">
        <f t="shared" si="64"/>
        <v>BAI II</v>
      </c>
      <c r="H2076" t="s">
        <v>1700</v>
      </c>
      <c r="I2076" t="s">
        <v>20</v>
      </c>
      <c r="J2076" t="s">
        <v>64</v>
      </c>
      <c r="K2076" s="6">
        <v>0.03</v>
      </c>
      <c r="L2076" s="7">
        <f t="shared" si="65"/>
        <v>2E-3</v>
      </c>
      <c r="M2076" s="7">
        <v>3.0000000000000001E-3</v>
      </c>
      <c r="N2076">
        <v>11</v>
      </c>
      <c r="O2076" s="8">
        <v>22.933916850949441</v>
      </c>
      <c r="P2076" s="9">
        <v>22.933916850949441</v>
      </c>
      <c r="Q2076" s="9">
        <v>22.933916850949441</v>
      </c>
      <c r="R2076" s="9">
        <v>25.173745848546066</v>
      </c>
      <c r="S2076" s="9">
        <v>27.641690539343774</v>
      </c>
      <c r="T2076" s="9">
        <v>29.730378573928668</v>
      </c>
      <c r="U2076" s="9">
        <v>36.183590217329723</v>
      </c>
      <c r="V2076" s="9">
        <v>36.183590217329723</v>
      </c>
      <c r="W2076" s="9">
        <v>36.183590217329723</v>
      </c>
      <c r="X2076" s="9">
        <v>43.522810559209468</v>
      </c>
      <c r="Y2076" s="9">
        <v>43.522810559209468</v>
      </c>
      <c r="Z2076" s="9">
        <v>50.960858783530121</v>
      </c>
      <c r="AA2076" s="9">
        <v>50.960858783530121</v>
      </c>
      <c r="AB2076" s="9">
        <v>58.507617678535738</v>
      </c>
      <c r="AC2076" s="9">
        <v>58.507617678535738</v>
      </c>
      <c r="AD2076" s="9">
        <v>68.105109643716474</v>
      </c>
      <c r="AE2076" s="9">
        <v>75.132723269302929</v>
      </c>
      <c r="AF2076" s="9">
        <v>82.290622386277917</v>
      </c>
      <c r="AG2076" s="9">
        <v>82.290622386277917</v>
      </c>
      <c r="AH2076" s="9">
        <v>90.43943145512165</v>
      </c>
      <c r="AI2076" s="9">
        <v>98.380048333692613</v>
      </c>
      <c r="AJ2076" s="9">
        <v>3.0428788910505911</v>
      </c>
    </row>
    <row r="2077" spans="1:36" x14ac:dyDescent="0.25">
      <c r="A2077" t="s">
        <v>5411</v>
      </c>
      <c r="B2077" t="s">
        <v>16</v>
      </c>
      <c r="C2077" t="s">
        <v>17</v>
      </c>
      <c r="D2077">
        <v>45625000</v>
      </c>
      <c r="E2077">
        <v>45629999</v>
      </c>
      <c r="F2077" t="s">
        <v>1871</v>
      </c>
      <c r="G2077" t="str">
        <f t="shared" si="64"/>
        <v>BAI II</v>
      </c>
      <c r="H2077" t="s">
        <v>1700</v>
      </c>
      <c r="I2077" t="s">
        <v>20</v>
      </c>
      <c r="J2077" t="s">
        <v>64</v>
      </c>
      <c r="K2077" s="6">
        <v>0.03</v>
      </c>
      <c r="L2077" s="7">
        <f t="shared" si="65"/>
        <v>2E-3</v>
      </c>
      <c r="M2077" s="7">
        <v>3.0000000000000001E-3</v>
      </c>
      <c r="N2077">
        <v>11</v>
      </c>
      <c r="O2077" s="8">
        <v>22.933916850949441</v>
      </c>
      <c r="P2077" s="9">
        <v>22.933916850949441</v>
      </c>
      <c r="Q2077" s="9">
        <v>22.933916850949441</v>
      </c>
      <c r="R2077" s="9">
        <v>25.173745848546066</v>
      </c>
      <c r="S2077" s="9">
        <v>27.641690539343774</v>
      </c>
      <c r="T2077" s="9">
        <v>29.730378573928668</v>
      </c>
      <c r="U2077" s="9">
        <v>36.183590217329723</v>
      </c>
      <c r="V2077" s="9">
        <v>36.183590217329723</v>
      </c>
      <c r="W2077" s="9">
        <v>36.183590217329723</v>
      </c>
      <c r="X2077" s="9">
        <v>43.522810559209468</v>
      </c>
      <c r="Y2077" s="9">
        <v>43.522810559209468</v>
      </c>
      <c r="Z2077" s="9">
        <v>50.960858783530121</v>
      </c>
      <c r="AA2077" s="9">
        <v>50.960858783530121</v>
      </c>
      <c r="AB2077" s="9">
        <v>58.507617678535738</v>
      </c>
      <c r="AC2077" s="9">
        <v>58.507617678535738</v>
      </c>
      <c r="AD2077" s="9">
        <v>68.105109643716474</v>
      </c>
      <c r="AE2077" s="9">
        <v>75.132723269302929</v>
      </c>
      <c r="AF2077" s="9">
        <v>82.290622386277917</v>
      </c>
      <c r="AG2077" s="9">
        <v>82.290622386277917</v>
      </c>
      <c r="AH2077" s="9">
        <v>90.43943145512165</v>
      </c>
      <c r="AI2077" s="9">
        <v>98.380048333692613</v>
      </c>
      <c r="AJ2077" s="9">
        <v>3.0428788910505911</v>
      </c>
    </row>
    <row r="2078" spans="1:36" x14ac:dyDescent="0.25">
      <c r="A2078" t="s">
        <v>5411</v>
      </c>
      <c r="B2078" t="s">
        <v>16</v>
      </c>
      <c r="C2078" t="s">
        <v>17</v>
      </c>
      <c r="D2078">
        <v>45630000</v>
      </c>
      <c r="E2078">
        <v>45637999</v>
      </c>
      <c r="F2078" t="s">
        <v>1872</v>
      </c>
      <c r="G2078" t="str">
        <f t="shared" si="64"/>
        <v>BAI II</v>
      </c>
      <c r="H2078" t="s">
        <v>1700</v>
      </c>
      <c r="I2078" t="s">
        <v>20</v>
      </c>
      <c r="J2078" t="s">
        <v>64</v>
      </c>
      <c r="K2078" s="6">
        <v>0.03</v>
      </c>
      <c r="L2078" s="7">
        <f t="shared" si="65"/>
        <v>2E-3</v>
      </c>
      <c r="M2078" s="7">
        <v>3.0000000000000001E-3</v>
      </c>
      <c r="N2078">
        <v>11</v>
      </c>
      <c r="O2078" s="8">
        <v>22.933916850949441</v>
      </c>
      <c r="P2078" s="9">
        <v>22.933916850949441</v>
      </c>
      <c r="Q2078" s="9">
        <v>22.933916850949441</v>
      </c>
      <c r="R2078" s="9">
        <v>25.173745848546066</v>
      </c>
      <c r="S2078" s="9">
        <v>27.641690539343774</v>
      </c>
      <c r="T2078" s="9">
        <v>29.730378573928668</v>
      </c>
      <c r="U2078" s="9">
        <v>36.183590217329723</v>
      </c>
      <c r="V2078" s="9">
        <v>36.183590217329723</v>
      </c>
      <c r="W2078" s="9">
        <v>36.183590217329723</v>
      </c>
      <c r="X2078" s="9">
        <v>43.522810559209468</v>
      </c>
      <c r="Y2078" s="9">
        <v>43.522810559209468</v>
      </c>
      <c r="Z2078" s="9">
        <v>50.960858783530121</v>
      </c>
      <c r="AA2078" s="9">
        <v>50.960858783530121</v>
      </c>
      <c r="AB2078" s="9">
        <v>58.507617678535738</v>
      </c>
      <c r="AC2078" s="9">
        <v>58.507617678535738</v>
      </c>
      <c r="AD2078" s="9">
        <v>68.105109643716474</v>
      </c>
      <c r="AE2078" s="9">
        <v>75.132723269302929</v>
      </c>
      <c r="AF2078" s="9">
        <v>82.290622386277917</v>
      </c>
      <c r="AG2078" s="9">
        <v>82.290622386277917</v>
      </c>
      <c r="AH2078" s="9">
        <v>90.43943145512165</v>
      </c>
      <c r="AI2078" s="9">
        <v>98.380048333692613</v>
      </c>
      <c r="AJ2078" s="9">
        <v>3.0428788910505911</v>
      </c>
    </row>
    <row r="2079" spans="1:36" x14ac:dyDescent="0.25">
      <c r="A2079" t="s">
        <v>5411</v>
      </c>
      <c r="B2079" t="s">
        <v>16</v>
      </c>
      <c r="C2079" t="s">
        <v>17</v>
      </c>
      <c r="D2079">
        <v>45638000</v>
      </c>
      <c r="E2079">
        <v>45639999</v>
      </c>
      <c r="F2079" t="s">
        <v>1873</v>
      </c>
      <c r="G2079" t="str">
        <f t="shared" si="64"/>
        <v>BAI II</v>
      </c>
      <c r="H2079" t="s">
        <v>1700</v>
      </c>
      <c r="I2079" t="s">
        <v>20</v>
      </c>
      <c r="J2079" t="s">
        <v>64</v>
      </c>
      <c r="K2079" s="6">
        <v>0.03</v>
      </c>
      <c r="L2079" s="7">
        <f t="shared" si="65"/>
        <v>2E-3</v>
      </c>
      <c r="M2079" s="7">
        <v>3.0000000000000001E-3</v>
      </c>
      <c r="N2079">
        <v>11</v>
      </c>
      <c r="O2079" s="8">
        <v>22.933916850949441</v>
      </c>
      <c r="P2079" s="9">
        <v>22.933916850949441</v>
      </c>
      <c r="Q2079" s="9">
        <v>22.933916850949441</v>
      </c>
      <c r="R2079" s="9">
        <v>25.173745848546066</v>
      </c>
      <c r="S2079" s="9">
        <v>27.641690539343774</v>
      </c>
      <c r="T2079" s="9">
        <v>29.730378573928668</v>
      </c>
      <c r="U2079" s="9">
        <v>36.183590217329723</v>
      </c>
      <c r="V2079" s="9">
        <v>36.183590217329723</v>
      </c>
      <c r="W2079" s="9">
        <v>36.183590217329723</v>
      </c>
      <c r="X2079" s="9">
        <v>43.522810559209468</v>
      </c>
      <c r="Y2079" s="9">
        <v>43.522810559209468</v>
      </c>
      <c r="Z2079" s="9">
        <v>50.960858783530121</v>
      </c>
      <c r="AA2079" s="9">
        <v>50.960858783530121</v>
      </c>
      <c r="AB2079" s="9">
        <v>58.507617678535738</v>
      </c>
      <c r="AC2079" s="9">
        <v>58.507617678535738</v>
      </c>
      <c r="AD2079" s="9">
        <v>68.105109643716474</v>
      </c>
      <c r="AE2079" s="9">
        <v>75.132723269302929</v>
      </c>
      <c r="AF2079" s="9">
        <v>82.290622386277917</v>
      </c>
      <c r="AG2079" s="9">
        <v>82.290622386277917</v>
      </c>
      <c r="AH2079" s="9">
        <v>90.43943145512165</v>
      </c>
      <c r="AI2079" s="9">
        <v>98.380048333692613</v>
      </c>
      <c r="AJ2079" s="9">
        <v>3.0428788910505911</v>
      </c>
    </row>
    <row r="2080" spans="1:36" x14ac:dyDescent="0.25">
      <c r="A2080" t="s">
        <v>5411</v>
      </c>
      <c r="B2080" t="s">
        <v>16</v>
      </c>
      <c r="C2080" t="s">
        <v>17</v>
      </c>
      <c r="D2080">
        <v>45640000</v>
      </c>
      <c r="E2080">
        <v>45644999</v>
      </c>
      <c r="F2080" t="s">
        <v>1874</v>
      </c>
      <c r="G2080" t="str">
        <f t="shared" si="64"/>
        <v>BAI II</v>
      </c>
      <c r="H2080" t="s">
        <v>1700</v>
      </c>
      <c r="I2080" t="s">
        <v>20</v>
      </c>
      <c r="J2080" t="s">
        <v>64</v>
      </c>
      <c r="K2080" s="6">
        <v>0.03</v>
      </c>
      <c r="L2080" s="7">
        <f t="shared" si="65"/>
        <v>2E-3</v>
      </c>
      <c r="M2080" s="7">
        <v>3.0000000000000001E-3</v>
      </c>
      <c r="N2080">
        <v>11</v>
      </c>
      <c r="O2080" s="8">
        <v>22.933916850949441</v>
      </c>
      <c r="P2080" s="9">
        <v>22.933916850949441</v>
      </c>
      <c r="Q2080" s="9">
        <v>22.933916850949441</v>
      </c>
      <c r="R2080" s="9">
        <v>25.173745848546066</v>
      </c>
      <c r="S2080" s="9">
        <v>27.641690539343774</v>
      </c>
      <c r="T2080" s="9">
        <v>29.730378573928668</v>
      </c>
      <c r="U2080" s="9">
        <v>36.183590217329723</v>
      </c>
      <c r="V2080" s="9">
        <v>36.183590217329723</v>
      </c>
      <c r="W2080" s="9">
        <v>36.183590217329723</v>
      </c>
      <c r="X2080" s="9">
        <v>43.522810559209468</v>
      </c>
      <c r="Y2080" s="9">
        <v>43.522810559209468</v>
      </c>
      <c r="Z2080" s="9">
        <v>50.960858783530121</v>
      </c>
      <c r="AA2080" s="9">
        <v>50.960858783530121</v>
      </c>
      <c r="AB2080" s="9">
        <v>58.507617678535738</v>
      </c>
      <c r="AC2080" s="9">
        <v>58.507617678535738</v>
      </c>
      <c r="AD2080" s="9">
        <v>68.105109643716474</v>
      </c>
      <c r="AE2080" s="9">
        <v>75.132723269302929</v>
      </c>
      <c r="AF2080" s="9">
        <v>82.290622386277917</v>
      </c>
      <c r="AG2080" s="9">
        <v>82.290622386277917</v>
      </c>
      <c r="AH2080" s="9">
        <v>90.43943145512165</v>
      </c>
      <c r="AI2080" s="9">
        <v>98.380048333692613</v>
      </c>
      <c r="AJ2080" s="9">
        <v>3.0428788910505911</v>
      </c>
    </row>
    <row r="2081" spans="1:36" x14ac:dyDescent="0.25">
      <c r="A2081" t="s">
        <v>5411</v>
      </c>
      <c r="B2081" t="s">
        <v>16</v>
      </c>
      <c r="C2081" t="s">
        <v>17</v>
      </c>
      <c r="D2081">
        <v>45645000</v>
      </c>
      <c r="E2081">
        <v>45649999</v>
      </c>
      <c r="F2081" t="s">
        <v>1875</v>
      </c>
      <c r="G2081" t="str">
        <f t="shared" si="64"/>
        <v>BAI II</v>
      </c>
      <c r="H2081" t="s">
        <v>1700</v>
      </c>
      <c r="I2081" t="s">
        <v>20</v>
      </c>
      <c r="J2081" t="s">
        <v>64</v>
      </c>
      <c r="K2081" s="6">
        <v>0.03</v>
      </c>
      <c r="L2081" s="7">
        <f t="shared" si="65"/>
        <v>2E-3</v>
      </c>
      <c r="M2081" s="7">
        <v>3.0000000000000001E-3</v>
      </c>
      <c r="N2081">
        <v>11</v>
      </c>
      <c r="O2081" s="8">
        <v>22.933916850949441</v>
      </c>
      <c r="P2081" s="9">
        <v>22.933916850949441</v>
      </c>
      <c r="Q2081" s="9">
        <v>22.933916850949441</v>
      </c>
      <c r="R2081" s="9">
        <v>25.173745848546066</v>
      </c>
      <c r="S2081" s="9">
        <v>27.641690539343774</v>
      </c>
      <c r="T2081" s="9">
        <v>29.730378573928668</v>
      </c>
      <c r="U2081" s="9">
        <v>36.183590217329723</v>
      </c>
      <c r="V2081" s="9">
        <v>36.183590217329723</v>
      </c>
      <c r="W2081" s="9">
        <v>36.183590217329723</v>
      </c>
      <c r="X2081" s="9">
        <v>43.522810559209468</v>
      </c>
      <c r="Y2081" s="9">
        <v>43.522810559209468</v>
      </c>
      <c r="Z2081" s="9">
        <v>50.960858783530121</v>
      </c>
      <c r="AA2081" s="9">
        <v>50.960858783530121</v>
      </c>
      <c r="AB2081" s="9">
        <v>58.507617678535738</v>
      </c>
      <c r="AC2081" s="9">
        <v>58.507617678535738</v>
      </c>
      <c r="AD2081" s="9">
        <v>68.105109643716474</v>
      </c>
      <c r="AE2081" s="9">
        <v>75.132723269302929</v>
      </c>
      <c r="AF2081" s="9">
        <v>82.290622386277917</v>
      </c>
      <c r="AG2081" s="9">
        <v>82.290622386277917</v>
      </c>
      <c r="AH2081" s="9">
        <v>90.43943145512165</v>
      </c>
      <c r="AI2081" s="9">
        <v>98.380048333692613</v>
      </c>
      <c r="AJ2081" s="9">
        <v>3.0428788910505911</v>
      </c>
    </row>
    <row r="2082" spans="1:36" x14ac:dyDescent="0.25">
      <c r="A2082" t="s">
        <v>5411</v>
      </c>
      <c r="B2082" t="s">
        <v>16</v>
      </c>
      <c r="C2082" t="s">
        <v>17</v>
      </c>
      <c r="D2082">
        <v>45650000</v>
      </c>
      <c r="E2082">
        <v>45650015</v>
      </c>
      <c r="F2082" t="s">
        <v>1876</v>
      </c>
      <c r="G2082" t="str">
        <f t="shared" si="64"/>
        <v>BAI II</v>
      </c>
      <c r="H2082" t="s">
        <v>1700</v>
      </c>
      <c r="I2082" t="s">
        <v>20</v>
      </c>
      <c r="J2082" t="s">
        <v>64</v>
      </c>
      <c r="K2082" s="6">
        <v>0.03</v>
      </c>
      <c r="L2082" s="7">
        <f t="shared" si="65"/>
        <v>2E-3</v>
      </c>
      <c r="M2082" s="7">
        <v>3.0000000000000001E-3</v>
      </c>
      <c r="N2082">
        <v>10</v>
      </c>
      <c r="O2082" s="8">
        <v>22.933916850949441</v>
      </c>
      <c r="P2082" s="9">
        <v>22.933916850949441</v>
      </c>
      <c r="Q2082" s="9">
        <v>22.933916850949441</v>
      </c>
      <c r="R2082" s="9">
        <v>25.173745848546066</v>
      </c>
      <c r="S2082" s="9">
        <v>27.641690539343774</v>
      </c>
      <c r="T2082" s="9">
        <v>29.730378573928668</v>
      </c>
      <c r="U2082" s="9">
        <v>36.183590217329723</v>
      </c>
      <c r="V2082" s="9">
        <v>36.183590217329723</v>
      </c>
      <c r="W2082" s="9">
        <v>36.183590217329723</v>
      </c>
      <c r="X2082" s="9">
        <v>43.522810559209468</v>
      </c>
      <c r="Y2082" s="9">
        <v>43.522810559209468</v>
      </c>
      <c r="Z2082" s="9">
        <v>50.960858783530121</v>
      </c>
      <c r="AA2082" s="9">
        <v>50.960858783530121</v>
      </c>
      <c r="AB2082" s="9">
        <v>58.507617678535738</v>
      </c>
      <c r="AC2082" s="9">
        <v>58.507617678535738</v>
      </c>
      <c r="AD2082" s="9">
        <v>68.105109643716474</v>
      </c>
      <c r="AE2082" s="9">
        <v>75.132723269302929</v>
      </c>
      <c r="AF2082" s="9">
        <v>82.290622386277917</v>
      </c>
      <c r="AG2082" s="9">
        <v>82.290622386277917</v>
      </c>
      <c r="AH2082" s="9">
        <v>90.43943145512165</v>
      </c>
      <c r="AI2082" s="9">
        <v>98.380048333692613</v>
      </c>
      <c r="AJ2082" s="9">
        <v>3.0428788910505911</v>
      </c>
    </row>
    <row r="2083" spans="1:36" x14ac:dyDescent="0.25">
      <c r="A2083" t="s">
        <v>5411</v>
      </c>
      <c r="B2083" t="s">
        <v>16</v>
      </c>
      <c r="C2083" t="s">
        <v>17</v>
      </c>
      <c r="D2083">
        <v>45650016</v>
      </c>
      <c r="E2083">
        <v>45662972</v>
      </c>
      <c r="F2083" t="s">
        <v>1876</v>
      </c>
      <c r="G2083" t="str">
        <f t="shared" si="64"/>
        <v>BAI II</v>
      </c>
      <c r="H2083" t="s">
        <v>1700</v>
      </c>
      <c r="I2083" t="s">
        <v>20</v>
      </c>
      <c r="J2083" t="s">
        <v>64</v>
      </c>
      <c r="K2083" s="6">
        <v>0.03</v>
      </c>
      <c r="L2083" s="7">
        <f t="shared" si="65"/>
        <v>2E-3</v>
      </c>
      <c r="M2083" s="7">
        <v>3.0000000000000001E-3</v>
      </c>
      <c r="N2083">
        <v>10</v>
      </c>
      <c r="O2083" s="8">
        <v>22.933916850949441</v>
      </c>
      <c r="P2083" s="9">
        <v>22.933916850949441</v>
      </c>
      <c r="Q2083" s="9">
        <v>22.933916850949441</v>
      </c>
      <c r="R2083" s="9">
        <v>25.173745848546066</v>
      </c>
      <c r="S2083" s="9">
        <v>27.641690539343774</v>
      </c>
      <c r="T2083" s="9">
        <v>29.730378573928668</v>
      </c>
      <c r="U2083" s="9">
        <v>36.183590217329723</v>
      </c>
      <c r="V2083" s="9">
        <v>36.183590217329723</v>
      </c>
      <c r="W2083" s="9">
        <v>36.183590217329723</v>
      </c>
      <c r="X2083" s="9">
        <v>43.522810559209468</v>
      </c>
      <c r="Y2083" s="9">
        <v>43.522810559209468</v>
      </c>
      <c r="Z2083" s="9">
        <v>50.960858783530121</v>
      </c>
      <c r="AA2083" s="9">
        <v>50.960858783530121</v>
      </c>
      <c r="AB2083" s="9">
        <v>58.507617678535738</v>
      </c>
      <c r="AC2083" s="9">
        <v>58.507617678535738</v>
      </c>
      <c r="AD2083" s="9">
        <v>68.105109643716474</v>
      </c>
      <c r="AE2083" s="9">
        <v>75.132723269302929</v>
      </c>
      <c r="AF2083" s="9">
        <v>82.290622386277917</v>
      </c>
      <c r="AG2083" s="9">
        <v>82.290622386277917</v>
      </c>
      <c r="AH2083" s="9">
        <v>90.43943145512165</v>
      </c>
      <c r="AI2083" s="9">
        <v>98.380048333692613</v>
      </c>
      <c r="AJ2083" s="9">
        <v>3.0428788910505911</v>
      </c>
    </row>
    <row r="2084" spans="1:36" x14ac:dyDescent="0.25">
      <c r="A2084" t="s">
        <v>5411</v>
      </c>
      <c r="B2084" t="s">
        <v>16</v>
      </c>
      <c r="C2084" t="s">
        <v>17</v>
      </c>
      <c r="D2084">
        <v>45662973</v>
      </c>
      <c r="E2084">
        <v>45674999</v>
      </c>
      <c r="F2084" t="s">
        <v>1876</v>
      </c>
      <c r="G2084" t="str">
        <f t="shared" si="64"/>
        <v>BAI II</v>
      </c>
      <c r="H2084" t="s">
        <v>1700</v>
      </c>
      <c r="I2084" t="s">
        <v>20</v>
      </c>
      <c r="J2084" t="s">
        <v>64</v>
      </c>
      <c r="K2084" s="6">
        <v>0.03</v>
      </c>
      <c r="L2084" s="7">
        <f t="shared" si="65"/>
        <v>2E-3</v>
      </c>
      <c r="M2084" s="7">
        <v>3.0000000000000001E-3</v>
      </c>
      <c r="N2084">
        <v>14</v>
      </c>
      <c r="O2084" s="8">
        <v>22.933916850949441</v>
      </c>
      <c r="P2084" s="9">
        <v>22.933916850949441</v>
      </c>
      <c r="Q2084" s="9">
        <v>22.933916850949441</v>
      </c>
      <c r="R2084" s="9">
        <v>25.173745848546066</v>
      </c>
      <c r="S2084" s="9">
        <v>27.641690539343774</v>
      </c>
      <c r="T2084" s="9">
        <v>29.730378573928668</v>
      </c>
      <c r="U2084" s="9">
        <v>36.183590217329723</v>
      </c>
      <c r="V2084" s="9">
        <v>36.183590217329723</v>
      </c>
      <c r="W2084" s="9">
        <v>36.183590217329723</v>
      </c>
      <c r="X2084" s="9">
        <v>43.522810559209468</v>
      </c>
      <c r="Y2084" s="9">
        <v>43.522810559209468</v>
      </c>
      <c r="Z2084" s="9">
        <v>50.960858783530121</v>
      </c>
      <c r="AA2084" s="9">
        <v>50.960858783530121</v>
      </c>
      <c r="AB2084" s="9">
        <v>58.507617678535738</v>
      </c>
      <c r="AC2084" s="9">
        <v>58.507617678535738</v>
      </c>
      <c r="AD2084" s="9">
        <v>68.105109643716474</v>
      </c>
      <c r="AE2084" s="9">
        <v>75.132723269302929</v>
      </c>
      <c r="AF2084" s="9">
        <v>82.290622386277917</v>
      </c>
      <c r="AG2084" s="9">
        <v>82.290622386277917</v>
      </c>
      <c r="AH2084" s="9">
        <v>90.43943145512165</v>
      </c>
      <c r="AI2084" s="9">
        <v>98.380048333692613</v>
      </c>
      <c r="AJ2084" s="9">
        <v>3.0428788910505911</v>
      </c>
    </row>
    <row r="2085" spans="1:36" x14ac:dyDescent="0.25">
      <c r="A2085" t="s">
        <v>5411</v>
      </c>
      <c r="B2085" t="s">
        <v>16</v>
      </c>
      <c r="C2085" t="s">
        <v>17</v>
      </c>
      <c r="D2085">
        <v>45675000</v>
      </c>
      <c r="E2085">
        <v>45679999</v>
      </c>
      <c r="F2085" t="s">
        <v>1877</v>
      </c>
      <c r="G2085" t="str">
        <f t="shared" si="64"/>
        <v>BAI II</v>
      </c>
      <c r="H2085" t="s">
        <v>1700</v>
      </c>
      <c r="I2085" t="s">
        <v>20</v>
      </c>
      <c r="J2085" t="s">
        <v>64</v>
      </c>
      <c r="K2085" s="6">
        <v>0.03</v>
      </c>
      <c r="L2085" s="7">
        <f t="shared" si="65"/>
        <v>2E-3</v>
      </c>
      <c r="M2085" s="7">
        <v>3.0000000000000001E-3</v>
      </c>
      <c r="N2085">
        <v>11</v>
      </c>
      <c r="O2085" s="8">
        <v>22.933916850949441</v>
      </c>
      <c r="P2085" s="9">
        <v>22.933916850949441</v>
      </c>
      <c r="Q2085" s="9">
        <v>22.933916850949441</v>
      </c>
      <c r="R2085" s="9">
        <v>25.173745848546066</v>
      </c>
      <c r="S2085" s="9">
        <v>27.641690539343774</v>
      </c>
      <c r="T2085" s="9">
        <v>29.730378573928668</v>
      </c>
      <c r="U2085" s="9">
        <v>36.183590217329723</v>
      </c>
      <c r="V2085" s="9">
        <v>36.183590217329723</v>
      </c>
      <c r="W2085" s="9">
        <v>36.183590217329723</v>
      </c>
      <c r="X2085" s="9">
        <v>43.522810559209468</v>
      </c>
      <c r="Y2085" s="9">
        <v>43.522810559209468</v>
      </c>
      <c r="Z2085" s="9">
        <v>50.960858783530121</v>
      </c>
      <c r="AA2085" s="9">
        <v>50.960858783530121</v>
      </c>
      <c r="AB2085" s="9">
        <v>58.507617678535738</v>
      </c>
      <c r="AC2085" s="9">
        <v>58.507617678535738</v>
      </c>
      <c r="AD2085" s="9">
        <v>68.105109643716474</v>
      </c>
      <c r="AE2085" s="9">
        <v>75.132723269302929</v>
      </c>
      <c r="AF2085" s="9">
        <v>82.290622386277917</v>
      </c>
      <c r="AG2085" s="9">
        <v>82.290622386277917</v>
      </c>
      <c r="AH2085" s="9">
        <v>90.43943145512165</v>
      </c>
      <c r="AI2085" s="9">
        <v>98.380048333692613</v>
      </c>
      <c r="AJ2085" s="9">
        <v>3.0428788910505911</v>
      </c>
    </row>
    <row r="2086" spans="1:36" x14ac:dyDescent="0.25">
      <c r="A2086" t="s">
        <v>5411</v>
      </c>
      <c r="B2086" t="s">
        <v>16</v>
      </c>
      <c r="C2086" t="s">
        <v>17</v>
      </c>
      <c r="D2086">
        <v>45680000</v>
      </c>
      <c r="E2086">
        <v>45689999</v>
      </c>
      <c r="F2086" t="s">
        <v>1878</v>
      </c>
      <c r="G2086" t="str">
        <f t="shared" si="64"/>
        <v>BAI II</v>
      </c>
      <c r="H2086" t="s">
        <v>1700</v>
      </c>
      <c r="I2086" t="s">
        <v>20</v>
      </c>
      <c r="J2086" t="s">
        <v>64</v>
      </c>
      <c r="K2086" s="6">
        <v>0.03</v>
      </c>
      <c r="L2086" s="7">
        <f t="shared" si="65"/>
        <v>2E-3</v>
      </c>
      <c r="M2086" s="7">
        <v>3.0000000000000001E-3</v>
      </c>
      <c r="N2086">
        <v>11</v>
      </c>
      <c r="O2086" s="8">
        <v>22.933916850949441</v>
      </c>
      <c r="P2086" s="9">
        <v>22.933916850949441</v>
      </c>
      <c r="Q2086" s="9">
        <v>22.933916850949441</v>
      </c>
      <c r="R2086" s="9">
        <v>25.173745848546066</v>
      </c>
      <c r="S2086" s="9">
        <v>27.641690539343774</v>
      </c>
      <c r="T2086" s="9">
        <v>29.730378573928668</v>
      </c>
      <c r="U2086" s="9">
        <v>36.183590217329723</v>
      </c>
      <c r="V2086" s="9">
        <v>36.183590217329723</v>
      </c>
      <c r="W2086" s="9">
        <v>36.183590217329723</v>
      </c>
      <c r="X2086" s="9">
        <v>43.522810559209468</v>
      </c>
      <c r="Y2086" s="9">
        <v>43.522810559209468</v>
      </c>
      <c r="Z2086" s="9">
        <v>50.960858783530121</v>
      </c>
      <c r="AA2086" s="9">
        <v>50.960858783530121</v>
      </c>
      <c r="AB2086" s="9">
        <v>58.507617678535738</v>
      </c>
      <c r="AC2086" s="9">
        <v>58.507617678535738</v>
      </c>
      <c r="AD2086" s="9">
        <v>68.105109643716474</v>
      </c>
      <c r="AE2086" s="9">
        <v>75.132723269302929</v>
      </c>
      <c r="AF2086" s="9">
        <v>82.290622386277917</v>
      </c>
      <c r="AG2086" s="9">
        <v>82.290622386277917</v>
      </c>
      <c r="AH2086" s="9">
        <v>90.43943145512165</v>
      </c>
      <c r="AI2086" s="9">
        <v>98.380048333692613</v>
      </c>
      <c r="AJ2086" s="9">
        <v>3.0428788910505911</v>
      </c>
    </row>
    <row r="2087" spans="1:36" x14ac:dyDescent="0.25">
      <c r="A2087" t="s">
        <v>5411</v>
      </c>
      <c r="B2087" t="s">
        <v>16</v>
      </c>
      <c r="C2087" t="s">
        <v>17</v>
      </c>
      <c r="D2087">
        <v>45690000</v>
      </c>
      <c r="E2087">
        <v>45694999</v>
      </c>
      <c r="F2087" t="s">
        <v>1879</v>
      </c>
      <c r="G2087" t="str">
        <f t="shared" si="64"/>
        <v>BAI II</v>
      </c>
      <c r="H2087" t="s">
        <v>1700</v>
      </c>
      <c r="I2087" t="s">
        <v>20</v>
      </c>
      <c r="J2087" t="s">
        <v>64</v>
      </c>
      <c r="K2087" s="6">
        <v>0.03</v>
      </c>
      <c r="L2087" s="7">
        <f t="shared" si="65"/>
        <v>2E-3</v>
      </c>
      <c r="M2087" s="7">
        <v>3.0000000000000001E-3</v>
      </c>
      <c r="N2087">
        <v>14</v>
      </c>
      <c r="O2087" s="8">
        <v>22.933916850949441</v>
      </c>
      <c r="P2087" s="9">
        <v>22.933916850949441</v>
      </c>
      <c r="Q2087" s="9">
        <v>22.933916850949441</v>
      </c>
      <c r="R2087" s="9">
        <v>25.173745848546066</v>
      </c>
      <c r="S2087" s="9">
        <v>27.641690539343774</v>
      </c>
      <c r="T2087" s="9">
        <v>29.730378573928668</v>
      </c>
      <c r="U2087" s="9">
        <v>36.183590217329723</v>
      </c>
      <c r="V2087" s="9">
        <v>36.183590217329723</v>
      </c>
      <c r="W2087" s="9">
        <v>36.183590217329723</v>
      </c>
      <c r="X2087" s="9">
        <v>43.522810559209468</v>
      </c>
      <c r="Y2087" s="9">
        <v>43.522810559209468</v>
      </c>
      <c r="Z2087" s="9">
        <v>50.960858783530121</v>
      </c>
      <c r="AA2087" s="9">
        <v>50.960858783530121</v>
      </c>
      <c r="AB2087" s="9">
        <v>58.507617678535738</v>
      </c>
      <c r="AC2087" s="9">
        <v>58.507617678535738</v>
      </c>
      <c r="AD2087" s="9">
        <v>68.105109643716474</v>
      </c>
      <c r="AE2087" s="9">
        <v>75.132723269302929</v>
      </c>
      <c r="AF2087" s="9">
        <v>82.290622386277917</v>
      </c>
      <c r="AG2087" s="9">
        <v>82.290622386277917</v>
      </c>
      <c r="AH2087" s="9">
        <v>90.43943145512165</v>
      </c>
      <c r="AI2087" s="9">
        <v>98.380048333692613</v>
      </c>
      <c r="AJ2087" s="9">
        <v>3.0428788910505911</v>
      </c>
    </row>
    <row r="2088" spans="1:36" x14ac:dyDescent="0.25">
      <c r="A2088" t="s">
        <v>5411</v>
      </c>
      <c r="B2088" t="s">
        <v>16</v>
      </c>
      <c r="C2088" t="s">
        <v>17</v>
      </c>
      <c r="D2088">
        <v>45695000</v>
      </c>
      <c r="E2088">
        <v>45699999</v>
      </c>
      <c r="F2088" t="s">
        <v>1880</v>
      </c>
      <c r="G2088" t="str">
        <f t="shared" si="64"/>
        <v>BAI II</v>
      </c>
      <c r="H2088" t="s">
        <v>1700</v>
      </c>
      <c r="I2088" t="s">
        <v>20</v>
      </c>
      <c r="J2088" t="s">
        <v>64</v>
      </c>
      <c r="K2088" s="6">
        <v>0.03</v>
      </c>
      <c r="L2088" s="7">
        <f t="shared" si="65"/>
        <v>2E-3</v>
      </c>
      <c r="M2088" s="7">
        <v>3.0000000000000001E-3</v>
      </c>
      <c r="N2088">
        <v>11</v>
      </c>
      <c r="O2088" s="8">
        <v>22.933916850949441</v>
      </c>
      <c r="P2088" s="9">
        <v>22.933916850949441</v>
      </c>
      <c r="Q2088" s="9">
        <v>22.933916850949441</v>
      </c>
      <c r="R2088" s="9">
        <v>25.173745848546066</v>
      </c>
      <c r="S2088" s="9">
        <v>27.641690539343774</v>
      </c>
      <c r="T2088" s="9">
        <v>29.730378573928668</v>
      </c>
      <c r="U2088" s="9">
        <v>36.183590217329723</v>
      </c>
      <c r="V2088" s="9">
        <v>36.183590217329723</v>
      </c>
      <c r="W2088" s="9">
        <v>36.183590217329723</v>
      </c>
      <c r="X2088" s="9">
        <v>43.522810559209468</v>
      </c>
      <c r="Y2088" s="9">
        <v>43.522810559209468</v>
      </c>
      <c r="Z2088" s="9">
        <v>50.960858783530121</v>
      </c>
      <c r="AA2088" s="9">
        <v>50.960858783530121</v>
      </c>
      <c r="AB2088" s="9">
        <v>58.507617678535738</v>
      </c>
      <c r="AC2088" s="9">
        <v>58.507617678535738</v>
      </c>
      <c r="AD2088" s="9">
        <v>68.105109643716474</v>
      </c>
      <c r="AE2088" s="9">
        <v>75.132723269302929</v>
      </c>
      <c r="AF2088" s="9">
        <v>82.290622386277917</v>
      </c>
      <c r="AG2088" s="9">
        <v>82.290622386277917</v>
      </c>
      <c r="AH2088" s="9">
        <v>90.43943145512165</v>
      </c>
      <c r="AI2088" s="9">
        <v>98.380048333692613</v>
      </c>
      <c r="AJ2088" s="9">
        <v>3.0428788910505911</v>
      </c>
    </row>
    <row r="2089" spans="1:36" x14ac:dyDescent="0.25">
      <c r="A2089" t="s">
        <v>5411</v>
      </c>
      <c r="B2089" t="s">
        <v>16</v>
      </c>
      <c r="C2089" t="s">
        <v>17</v>
      </c>
      <c r="D2089">
        <v>45700000</v>
      </c>
      <c r="E2089">
        <v>45709999</v>
      </c>
      <c r="F2089" t="s">
        <v>1881</v>
      </c>
      <c r="G2089" t="str">
        <f t="shared" si="64"/>
        <v>BAI II</v>
      </c>
      <c r="H2089" t="s">
        <v>1700</v>
      </c>
      <c r="I2089" t="s">
        <v>20</v>
      </c>
      <c r="J2089" t="s">
        <v>64</v>
      </c>
      <c r="K2089" s="6">
        <v>0.03</v>
      </c>
      <c r="L2089" s="7">
        <f t="shared" si="65"/>
        <v>2E-3</v>
      </c>
      <c r="M2089" s="7">
        <v>3.0000000000000001E-3</v>
      </c>
      <c r="N2089">
        <v>9</v>
      </c>
      <c r="O2089" s="8">
        <v>22.933916850949441</v>
      </c>
      <c r="P2089" s="9">
        <v>22.933916850949441</v>
      </c>
      <c r="Q2089" s="9">
        <v>22.933916850949441</v>
      </c>
      <c r="R2089" s="9">
        <v>25.173745848546066</v>
      </c>
      <c r="S2089" s="9">
        <v>27.641690539343774</v>
      </c>
      <c r="T2089" s="9">
        <v>29.730378573928668</v>
      </c>
      <c r="U2089" s="9">
        <v>36.183590217329723</v>
      </c>
      <c r="V2089" s="9">
        <v>36.183590217329723</v>
      </c>
      <c r="W2089" s="9">
        <v>36.183590217329723</v>
      </c>
      <c r="X2089" s="9">
        <v>43.522810559209468</v>
      </c>
      <c r="Y2089" s="9">
        <v>43.522810559209468</v>
      </c>
      <c r="Z2089" s="9">
        <v>50.960858783530121</v>
      </c>
      <c r="AA2089" s="9">
        <v>50.960858783530121</v>
      </c>
      <c r="AB2089" s="9">
        <v>58.507617678535738</v>
      </c>
      <c r="AC2089" s="9">
        <v>58.507617678535738</v>
      </c>
      <c r="AD2089" s="9">
        <v>68.105109643716474</v>
      </c>
      <c r="AE2089" s="9">
        <v>75.132723269302929</v>
      </c>
      <c r="AF2089" s="9">
        <v>82.290622386277917</v>
      </c>
      <c r="AG2089" s="9">
        <v>82.290622386277917</v>
      </c>
      <c r="AH2089" s="9">
        <v>90.43943145512165</v>
      </c>
      <c r="AI2089" s="9">
        <v>98.380048333692613</v>
      </c>
      <c r="AJ2089" s="9">
        <v>3.0428788910505911</v>
      </c>
    </row>
    <row r="2090" spans="1:36" x14ac:dyDescent="0.25">
      <c r="A2090" t="s">
        <v>5411</v>
      </c>
      <c r="B2090" t="s">
        <v>16</v>
      </c>
      <c r="C2090" t="s">
        <v>17</v>
      </c>
      <c r="D2090">
        <v>45710000</v>
      </c>
      <c r="E2090">
        <v>45710970</v>
      </c>
      <c r="F2090" t="s">
        <v>1882</v>
      </c>
      <c r="G2090" t="str">
        <f t="shared" si="64"/>
        <v>BAI II</v>
      </c>
      <c r="H2090" t="s">
        <v>1700</v>
      </c>
      <c r="I2090" t="s">
        <v>20</v>
      </c>
      <c r="J2090" t="s">
        <v>64</v>
      </c>
      <c r="K2090" s="6">
        <v>0.03</v>
      </c>
      <c r="L2090" s="7">
        <f t="shared" si="65"/>
        <v>2E-3</v>
      </c>
      <c r="M2090" s="7">
        <v>3.0000000000000001E-3</v>
      </c>
      <c r="N2090">
        <v>10</v>
      </c>
      <c r="O2090" s="8">
        <v>22.933916850949441</v>
      </c>
      <c r="P2090" s="9">
        <v>22.933916850949441</v>
      </c>
      <c r="Q2090" s="9">
        <v>22.933916850949441</v>
      </c>
      <c r="R2090" s="9">
        <v>25.173745848546066</v>
      </c>
      <c r="S2090" s="9">
        <v>27.641690539343774</v>
      </c>
      <c r="T2090" s="9">
        <v>29.730378573928668</v>
      </c>
      <c r="U2090" s="9">
        <v>36.183590217329723</v>
      </c>
      <c r="V2090" s="9">
        <v>36.183590217329723</v>
      </c>
      <c r="W2090" s="9">
        <v>36.183590217329723</v>
      </c>
      <c r="X2090" s="9">
        <v>43.522810559209468</v>
      </c>
      <c r="Y2090" s="9">
        <v>43.522810559209468</v>
      </c>
      <c r="Z2090" s="9">
        <v>50.960858783530121</v>
      </c>
      <c r="AA2090" s="9">
        <v>50.960858783530121</v>
      </c>
      <c r="AB2090" s="9">
        <v>58.507617678535738</v>
      </c>
      <c r="AC2090" s="9">
        <v>58.507617678535738</v>
      </c>
      <c r="AD2090" s="9">
        <v>68.105109643716474</v>
      </c>
      <c r="AE2090" s="9">
        <v>75.132723269302929</v>
      </c>
      <c r="AF2090" s="9">
        <v>82.290622386277917</v>
      </c>
      <c r="AG2090" s="9">
        <v>82.290622386277917</v>
      </c>
      <c r="AH2090" s="9">
        <v>90.43943145512165</v>
      </c>
      <c r="AI2090" s="9">
        <v>98.380048333692613</v>
      </c>
      <c r="AJ2090" s="9">
        <v>3.0428788910505911</v>
      </c>
    </row>
    <row r="2091" spans="1:36" x14ac:dyDescent="0.25">
      <c r="A2091" t="s">
        <v>5411</v>
      </c>
      <c r="B2091" t="s">
        <v>16</v>
      </c>
      <c r="C2091" t="s">
        <v>17</v>
      </c>
      <c r="D2091">
        <v>45710971</v>
      </c>
      <c r="E2091">
        <v>45711999</v>
      </c>
      <c r="F2091" t="s">
        <v>1883</v>
      </c>
      <c r="G2091" t="str">
        <f t="shared" si="64"/>
        <v>BAI II</v>
      </c>
      <c r="H2091" t="s">
        <v>1700</v>
      </c>
      <c r="I2091" t="s">
        <v>20</v>
      </c>
      <c r="J2091" t="s">
        <v>64</v>
      </c>
      <c r="K2091" s="6">
        <v>0.03</v>
      </c>
      <c r="L2091" s="7">
        <f t="shared" si="65"/>
        <v>2E-3</v>
      </c>
      <c r="M2091" s="7">
        <v>3.0000000000000001E-3</v>
      </c>
      <c r="N2091">
        <v>11</v>
      </c>
      <c r="O2091" s="8">
        <v>22.933916850949441</v>
      </c>
      <c r="P2091" s="9">
        <v>22.933916850949441</v>
      </c>
      <c r="Q2091" s="9">
        <v>22.933916850949441</v>
      </c>
      <c r="R2091" s="9">
        <v>25.173745848546066</v>
      </c>
      <c r="S2091" s="9">
        <v>27.641690539343774</v>
      </c>
      <c r="T2091" s="9">
        <v>29.730378573928668</v>
      </c>
      <c r="U2091" s="9">
        <v>36.183590217329723</v>
      </c>
      <c r="V2091" s="9">
        <v>36.183590217329723</v>
      </c>
      <c r="W2091" s="9">
        <v>36.183590217329723</v>
      </c>
      <c r="X2091" s="9">
        <v>43.522810559209468</v>
      </c>
      <c r="Y2091" s="9">
        <v>43.522810559209468</v>
      </c>
      <c r="Z2091" s="9">
        <v>50.960858783530121</v>
      </c>
      <c r="AA2091" s="9">
        <v>50.960858783530121</v>
      </c>
      <c r="AB2091" s="9">
        <v>58.507617678535738</v>
      </c>
      <c r="AC2091" s="9">
        <v>58.507617678535738</v>
      </c>
      <c r="AD2091" s="9">
        <v>68.105109643716474</v>
      </c>
      <c r="AE2091" s="9">
        <v>75.132723269302929</v>
      </c>
      <c r="AF2091" s="9">
        <v>82.290622386277917</v>
      </c>
      <c r="AG2091" s="9">
        <v>82.290622386277917</v>
      </c>
      <c r="AH2091" s="9">
        <v>90.43943145512165</v>
      </c>
      <c r="AI2091" s="9">
        <v>98.380048333692613</v>
      </c>
      <c r="AJ2091" s="9">
        <v>3.0428788910505911</v>
      </c>
    </row>
    <row r="2092" spans="1:36" x14ac:dyDescent="0.25">
      <c r="A2092" t="s">
        <v>5411</v>
      </c>
      <c r="B2092" t="s">
        <v>16</v>
      </c>
      <c r="C2092" t="s">
        <v>17</v>
      </c>
      <c r="D2092">
        <v>45712000</v>
      </c>
      <c r="E2092">
        <v>45712970</v>
      </c>
      <c r="F2092" t="s">
        <v>1883</v>
      </c>
      <c r="G2092" t="str">
        <f t="shared" si="64"/>
        <v>BAI II</v>
      </c>
      <c r="H2092" t="s">
        <v>1700</v>
      </c>
      <c r="I2092" t="s">
        <v>20</v>
      </c>
      <c r="J2092" t="s">
        <v>64</v>
      </c>
      <c r="K2092" s="6">
        <v>0.03</v>
      </c>
      <c r="L2092" s="7">
        <f t="shared" si="65"/>
        <v>2E-3</v>
      </c>
      <c r="M2092" s="7">
        <v>3.0000000000000001E-3</v>
      </c>
      <c r="N2092">
        <v>10</v>
      </c>
      <c r="O2092" s="8">
        <v>22.933916850949441</v>
      </c>
      <c r="P2092" s="9">
        <v>22.933916850949441</v>
      </c>
      <c r="Q2092" s="9">
        <v>22.933916850949441</v>
      </c>
      <c r="R2092" s="9">
        <v>25.173745848546066</v>
      </c>
      <c r="S2092" s="9">
        <v>27.641690539343774</v>
      </c>
      <c r="T2092" s="9">
        <v>29.730378573928668</v>
      </c>
      <c r="U2092" s="9">
        <v>36.183590217329723</v>
      </c>
      <c r="V2092" s="9">
        <v>36.183590217329723</v>
      </c>
      <c r="W2092" s="9">
        <v>36.183590217329723</v>
      </c>
      <c r="X2092" s="9">
        <v>43.522810559209468</v>
      </c>
      <c r="Y2092" s="9">
        <v>43.522810559209468</v>
      </c>
      <c r="Z2092" s="9">
        <v>50.960858783530121</v>
      </c>
      <c r="AA2092" s="9">
        <v>50.960858783530121</v>
      </c>
      <c r="AB2092" s="9">
        <v>58.507617678535738</v>
      </c>
      <c r="AC2092" s="9">
        <v>58.507617678535738</v>
      </c>
      <c r="AD2092" s="9">
        <v>68.105109643716474</v>
      </c>
      <c r="AE2092" s="9">
        <v>75.132723269302929</v>
      </c>
      <c r="AF2092" s="9">
        <v>82.290622386277917</v>
      </c>
      <c r="AG2092" s="9">
        <v>82.290622386277917</v>
      </c>
      <c r="AH2092" s="9">
        <v>90.43943145512165</v>
      </c>
      <c r="AI2092" s="9">
        <v>98.380048333692613</v>
      </c>
      <c r="AJ2092" s="9">
        <v>3.0428788910505911</v>
      </c>
    </row>
    <row r="2093" spans="1:36" x14ac:dyDescent="0.25">
      <c r="A2093" t="s">
        <v>5411</v>
      </c>
      <c r="B2093" t="s">
        <v>16</v>
      </c>
      <c r="C2093" t="s">
        <v>17</v>
      </c>
      <c r="D2093">
        <v>45712971</v>
      </c>
      <c r="E2093">
        <v>45719999</v>
      </c>
      <c r="F2093" t="s">
        <v>1883</v>
      </c>
      <c r="G2093" t="str">
        <f t="shared" si="64"/>
        <v>BAI II</v>
      </c>
      <c r="H2093" t="s">
        <v>1700</v>
      </c>
      <c r="I2093" t="s">
        <v>20</v>
      </c>
      <c r="J2093" t="s">
        <v>64</v>
      </c>
      <c r="K2093" s="6">
        <v>0.03</v>
      </c>
      <c r="L2093" s="7">
        <f t="shared" si="65"/>
        <v>2E-3</v>
      </c>
      <c r="M2093" s="7">
        <v>3.0000000000000001E-3</v>
      </c>
      <c r="N2093">
        <v>11</v>
      </c>
      <c r="O2093" s="8">
        <v>22.933916850949441</v>
      </c>
      <c r="P2093" s="9">
        <v>22.933916850949441</v>
      </c>
      <c r="Q2093" s="9">
        <v>22.933916850949441</v>
      </c>
      <c r="R2093" s="9">
        <v>25.173745848546066</v>
      </c>
      <c r="S2093" s="9">
        <v>27.641690539343774</v>
      </c>
      <c r="T2093" s="9">
        <v>29.730378573928668</v>
      </c>
      <c r="U2093" s="9">
        <v>36.183590217329723</v>
      </c>
      <c r="V2093" s="9">
        <v>36.183590217329723</v>
      </c>
      <c r="W2093" s="9">
        <v>36.183590217329723</v>
      </c>
      <c r="X2093" s="9">
        <v>43.522810559209468</v>
      </c>
      <c r="Y2093" s="9">
        <v>43.522810559209468</v>
      </c>
      <c r="Z2093" s="9">
        <v>50.960858783530121</v>
      </c>
      <c r="AA2093" s="9">
        <v>50.960858783530121</v>
      </c>
      <c r="AB2093" s="9">
        <v>58.507617678535738</v>
      </c>
      <c r="AC2093" s="9">
        <v>58.507617678535738</v>
      </c>
      <c r="AD2093" s="9">
        <v>68.105109643716474</v>
      </c>
      <c r="AE2093" s="9">
        <v>75.132723269302929</v>
      </c>
      <c r="AF2093" s="9">
        <v>82.290622386277917</v>
      </c>
      <c r="AG2093" s="9">
        <v>82.290622386277917</v>
      </c>
      <c r="AH2093" s="9">
        <v>90.43943145512165</v>
      </c>
      <c r="AI2093" s="9">
        <v>98.380048333692613</v>
      </c>
      <c r="AJ2093" s="9">
        <v>3.0428788910505911</v>
      </c>
    </row>
    <row r="2094" spans="1:36" x14ac:dyDescent="0.25">
      <c r="A2094" t="s">
        <v>5411</v>
      </c>
      <c r="B2094" t="s">
        <v>16</v>
      </c>
      <c r="C2094" t="s">
        <v>17</v>
      </c>
      <c r="D2094">
        <v>45720000</v>
      </c>
      <c r="E2094">
        <v>45720993</v>
      </c>
      <c r="F2094" t="s">
        <v>1884</v>
      </c>
      <c r="G2094" t="str">
        <f t="shared" si="64"/>
        <v>BAI II</v>
      </c>
      <c r="H2094" t="s">
        <v>1700</v>
      </c>
      <c r="I2094" t="s">
        <v>20</v>
      </c>
      <c r="J2094" t="s">
        <v>64</v>
      </c>
      <c r="K2094" s="6">
        <v>0.03</v>
      </c>
      <c r="L2094" s="7">
        <f t="shared" si="65"/>
        <v>2E-3</v>
      </c>
      <c r="M2094" s="7">
        <v>3.0000000000000001E-3</v>
      </c>
      <c r="N2094">
        <v>10</v>
      </c>
      <c r="O2094" s="8">
        <v>22.933916850949441</v>
      </c>
      <c r="P2094" s="9">
        <v>22.933916850949441</v>
      </c>
      <c r="Q2094" s="9">
        <v>22.933916850949441</v>
      </c>
      <c r="R2094" s="9">
        <v>25.173745848546066</v>
      </c>
      <c r="S2094" s="9">
        <v>27.641690539343774</v>
      </c>
      <c r="T2094" s="9">
        <v>29.730378573928668</v>
      </c>
      <c r="U2094" s="9">
        <v>36.183590217329723</v>
      </c>
      <c r="V2094" s="9">
        <v>36.183590217329723</v>
      </c>
      <c r="W2094" s="9">
        <v>36.183590217329723</v>
      </c>
      <c r="X2094" s="9">
        <v>43.522810559209468</v>
      </c>
      <c r="Y2094" s="9">
        <v>43.522810559209468</v>
      </c>
      <c r="Z2094" s="9">
        <v>50.960858783530121</v>
      </c>
      <c r="AA2094" s="9">
        <v>50.960858783530121</v>
      </c>
      <c r="AB2094" s="9">
        <v>58.507617678535738</v>
      </c>
      <c r="AC2094" s="9">
        <v>58.507617678535738</v>
      </c>
      <c r="AD2094" s="9">
        <v>68.105109643716474</v>
      </c>
      <c r="AE2094" s="9">
        <v>75.132723269302929</v>
      </c>
      <c r="AF2094" s="9">
        <v>82.290622386277917</v>
      </c>
      <c r="AG2094" s="9">
        <v>82.290622386277917</v>
      </c>
      <c r="AH2094" s="9">
        <v>90.43943145512165</v>
      </c>
      <c r="AI2094" s="9">
        <v>98.380048333692613</v>
      </c>
      <c r="AJ2094" s="9">
        <v>3.0428788910505911</v>
      </c>
    </row>
    <row r="2095" spans="1:36" x14ac:dyDescent="0.25">
      <c r="A2095" t="s">
        <v>5411</v>
      </c>
      <c r="B2095" t="s">
        <v>16</v>
      </c>
      <c r="C2095" t="s">
        <v>17</v>
      </c>
      <c r="D2095">
        <v>45720994</v>
      </c>
      <c r="E2095">
        <v>45724999</v>
      </c>
      <c r="F2095" t="s">
        <v>1884</v>
      </c>
      <c r="G2095" t="str">
        <f t="shared" si="64"/>
        <v>BAI II</v>
      </c>
      <c r="H2095" t="s">
        <v>1700</v>
      </c>
      <c r="I2095" t="s">
        <v>20</v>
      </c>
      <c r="J2095" t="s">
        <v>64</v>
      </c>
      <c r="K2095" s="6">
        <v>0.03</v>
      </c>
      <c r="L2095" s="7">
        <f t="shared" si="65"/>
        <v>2E-3</v>
      </c>
      <c r="M2095" s="7">
        <v>3.0000000000000001E-3</v>
      </c>
      <c r="N2095">
        <v>11</v>
      </c>
      <c r="O2095" s="8">
        <v>22.933916850949441</v>
      </c>
      <c r="P2095" s="9">
        <v>22.933916850949441</v>
      </c>
      <c r="Q2095" s="9">
        <v>22.933916850949441</v>
      </c>
      <c r="R2095" s="9">
        <v>25.173745848546066</v>
      </c>
      <c r="S2095" s="9">
        <v>27.641690539343774</v>
      </c>
      <c r="T2095" s="9">
        <v>29.730378573928668</v>
      </c>
      <c r="U2095" s="9">
        <v>36.183590217329723</v>
      </c>
      <c r="V2095" s="9">
        <v>36.183590217329723</v>
      </c>
      <c r="W2095" s="9">
        <v>36.183590217329723</v>
      </c>
      <c r="X2095" s="9">
        <v>43.522810559209468</v>
      </c>
      <c r="Y2095" s="9">
        <v>43.522810559209468</v>
      </c>
      <c r="Z2095" s="9">
        <v>50.960858783530121</v>
      </c>
      <c r="AA2095" s="9">
        <v>50.960858783530121</v>
      </c>
      <c r="AB2095" s="9">
        <v>58.507617678535738</v>
      </c>
      <c r="AC2095" s="9">
        <v>58.507617678535738</v>
      </c>
      <c r="AD2095" s="9">
        <v>68.105109643716474</v>
      </c>
      <c r="AE2095" s="9">
        <v>75.132723269302929</v>
      </c>
      <c r="AF2095" s="9">
        <v>82.290622386277917</v>
      </c>
      <c r="AG2095" s="9">
        <v>82.290622386277917</v>
      </c>
      <c r="AH2095" s="9">
        <v>90.43943145512165</v>
      </c>
      <c r="AI2095" s="9">
        <v>98.380048333692613</v>
      </c>
      <c r="AJ2095" s="9">
        <v>3.0428788910505911</v>
      </c>
    </row>
    <row r="2096" spans="1:36" x14ac:dyDescent="0.25">
      <c r="A2096" t="s">
        <v>5411</v>
      </c>
      <c r="B2096" t="s">
        <v>16</v>
      </c>
      <c r="C2096" t="s">
        <v>17</v>
      </c>
      <c r="D2096">
        <v>45725000</v>
      </c>
      <c r="E2096">
        <v>45729999</v>
      </c>
      <c r="F2096" t="s">
        <v>1885</v>
      </c>
      <c r="G2096" t="str">
        <f t="shared" si="64"/>
        <v>BAI II</v>
      </c>
      <c r="H2096" t="s">
        <v>1700</v>
      </c>
      <c r="I2096" t="s">
        <v>20</v>
      </c>
      <c r="J2096" t="s">
        <v>64</v>
      </c>
      <c r="K2096" s="6">
        <v>0.03</v>
      </c>
      <c r="L2096" s="7">
        <f t="shared" si="65"/>
        <v>2E-3</v>
      </c>
      <c r="M2096" s="7">
        <v>3.0000000000000001E-3</v>
      </c>
      <c r="N2096">
        <v>11</v>
      </c>
      <c r="O2096" s="8">
        <v>22.933916850949441</v>
      </c>
      <c r="P2096" s="9">
        <v>22.933916850949441</v>
      </c>
      <c r="Q2096" s="9">
        <v>22.933916850949441</v>
      </c>
      <c r="R2096" s="9">
        <v>25.173745848546066</v>
      </c>
      <c r="S2096" s="9">
        <v>27.641690539343774</v>
      </c>
      <c r="T2096" s="9">
        <v>29.730378573928668</v>
      </c>
      <c r="U2096" s="9">
        <v>36.183590217329723</v>
      </c>
      <c r="V2096" s="9">
        <v>36.183590217329723</v>
      </c>
      <c r="W2096" s="9">
        <v>36.183590217329723</v>
      </c>
      <c r="X2096" s="9">
        <v>43.522810559209468</v>
      </c>
      <c r="Y2096" s="9">
        <v>43.522810559209468</v>
      </c>
      <c r="Z2096" s="9">
        <v>50.960858783530121</v>
      </c>
      <c r="AA2096" s="9">
        <v>50.960858783530121</v>
      </c>
      <c r="AB2096" s="9">
        <v>58.507617678535738</v>
      </c>
      <c r="AC2096" s="9">
        <v>58.507617678535738</v>
      </c>
      <c r="AD2096" s="9">
        <v>68.105109643716474</v>
      </c>
      <c r="AE2096" s="9">
        <v>75.132723269302929</v>
      </c>
      <c r="AF2096" s="9">
        <v>82.290622386277917</v>
      </c>
      <c r="AG2096" s="9">
        <v>82.290622386277917</v>
      </c>
      <c r="AH2096" s="9">
        <v>90.43943145512165</v>
      </c>
      <c r="AI2096" s="9">
        <v>98.380048333692613</v>
      </c>
      <c r="AJ2096" s="9">
        <v>3.0428788910505911</v>
      </c>
    </row>
    <row r="2097" spans="1:36" x14ac:dyDescent="0.25">
      <c r="A2097" t="s">
        <v>5411</v>
      </c>
      <c r="B2097" t="s">
        <v>16</v>
      </c>
      <c r="C2097" t="s">
        <v>17</v>
      </c>
      <c r="D2097">
        <v>45730000</v>
      </c>
      <c r="E2097">
        <v>45739999</v>
      </c>
      <c r="F2097" t="s">
        <v>1886</v>
      </c>
      <c r="G2097" t="str">
        <f t="shared" si="64"/>
        <v>BAI II</v>
      </c>
      <c r="H2097" t="s">
        <v>1700</v>
      </c>
      <c r="I2097" t="s">
        <v>20</v>
      </c>
      <c r="J2097" t="s">
        <v>64</v>
      </c>
      <c r="K2097" s="6">
        <v>0.03</v>
      </c>
      <c r="L2097" s="7">
        <f t="shared" si="65"/>
        <v>2E-3</v>
      </c>
      <c r="M2097" s="7">
        <v>3.0000000000000001E-3</v>
      </c>
      <c r="N2097">
        <v>11</v>
      </c>
      <c r="O2097" s="8">
        <v>22.933916850949441</v>
      </c>
      <c r="P2097" s="9">
        <v>22.933916850949441</v>
      </c>
      <c r="Q2097" s="9">
        <v>22.933916850949441</v>
      </c>
      <c r="R2097" s="9">
        <v>25.173745848546066</v>
      </c>
      <c r="S2097" s="9">
        <v>27.641690539343774</v>
      </c>
      <c r="T2097" s="9">
        <v>29.730378573928668</v>
      </c>
      <c r="U2097" s="9">
        <v>36.183590217329723</v>
      </c>
      <c r="V2097" s="9">
        <v>36.183590217329723</v>
      </c>
      <c r="W2097" s="9">
        <v>36.183590217329723</v>
      </c>
      <c r="X2097" s="9">
        <v>43.522810559209468</v>
      </c>
      <c r="Y2097" s="9">
        <v>43.522810559209468</v>
      </c>
      <c r="Z2097" s="9">
        <v>50.960858783530121</v>
      </c>
      <c r="AA2097" s="9">
        <v>50.960858783530121</v>
      </c>
      <c r="AB2097" s="9">
        <v>58.507617678535738</v>
      </c>
      <c r="AC2097" s="9">
        <v>58.507617678535738</v>
      </c>
      <c r="AD2097" s="9">
        <v>68.105109643716474</v>
      </c>
      <c r="AE2097" s="9">
        <v>75.132723269302929</v>
      </c>
      <c r="AF2097" s="9">
        <v>82.290622386277917</v>
      </c>
      <c r="AG2097" s="9">
        <v>82.290622386277917</v>
      </c>
      <c r="AH2097" s="9">
        <v>90.43943145512165</v>
      </c>
      <c r="AI2097" s="9">
        <v>98.380048333692613</v>
      </c>
      <c r="AJ2097" s="9">
        <v>3.0428788910505911</v>
      </c>
    </row>
    <row r="2098" spans="1:36" x14ac:dyDescent="0.25">
      <c r="A2098" t="s">
        <v>5411</v>
      </c>
      <c r="B2098" t="s">
        <v>16</v>
      </c>
      <c r="C2098" t="s">
        <v>17</v>
      </c>
      <c r="D2098">
        <v>45740000</v>
      </c>
      <c r="E2098">
        <v>45740970</v>
      </c>
      <c r="F2098" t="s">
        <v>1887</v>
      </c>
      <c r="G2098" t="str">
        <f t="shared" si="64"/>
        <v>BAI II</v>
      </c>
      <c r="H2098" t="s">
        <v>1700</v>
      </c>
      <c r="I2098" t="s">
        <v>20</v>
      </c>
      <c r="J2098" t="s">
        <v>64</v>
      </c>
      <c r="K2098" s="6">
        <v>0.03</v>
      </c>
      <c r="L2098" s="7">
        <f t="shared" si="65"/>
        <v>2E-3</v>
      </c>
      <c r="M2098" s="7">
        <v>3.0000000000000001E-3</v>
      </c>
      <c r="N2098">
        <v>10</v>
      </c>
      <c r="O2098" s="8">
        <v>22.933916850949441</v>
      </c>
      <c r="P2098" s="9">
        <v>22.933916850949441</v>
      </c>
      <c r="Q2098" s="9">
        <v>22.933916850949441</v>
      </c>
      <c r="R2098" s="9">
        <v>25.173745848546066</v>
      </c>
      <c r="S2098" s="9">
        <v>27.641690539343774</v>
      </c>
      <c r="T2098" s="9">
        <v>29.730378573928668</v>
      </c>
      <c r="U2098" s="9">
        <v>36.183590217329723</v>
      </c>
      <c r="V2098" s="9">
        <v>36.183590217329723</v>
      </c>
      <c r="W2098" s="9">
        <v>36.183590217329723</v>
      </c>
      <c r="X2098" s="9">
        <v>43.522810559209468</v>
      </c>
      <c r="Y2098" s="9">
        <v>43.522810559209468</v>
      </c>
      <c r="Z2098" s="9">
        <v>50.960858783530121</v>
      </c>
      <c r="AA2098" s="9">
        <v>50.960858783530121</v>
      </c>
      <c r="AB2098" s="9">
        <v>58.507617678535738</v>
      </c>
      <c r="AC2098" s="9">
        <v>58.507617678535738</v>
      </c>
      <c r="AD2098" s="9">
        <v>68.105109643716474</v>
      </c>
      <c r="AE2098" s="9">
        <v>75.132723269302929</v>
      </c>
      <c r="AF2098" s="9">
        <v>82.290622386277917</v>
      </c>
      <c r="AG2098" s="9">
        <v>82.290622386277917</v>
      </c>
      <c r="AH2098" s="9">
        <v>90.43943145512165</v>
      </c>
      <c r="AI2098" s="9">
        <v>98.380048333692613</v>
      </c>
      <c r="AJ2098" s="9">
        <v>3.0428788910505911</v>
      </c>
    </row>
    <row r="2099" spans="1:36" x14ac:dyDescent="0.25">
      <c r="A2099" t="s">
        <v>5411</v>
      </c>
      <c r="B2099" t="s">
        <v>16</v>
      </c>
      <c r="C2099" t="s">
        <v>17</v>
      </c>
      <c r="D2099">
        <v>45740971</v>
      </c>
      <c r="E2099">
        <v>45744999</v>
      </c>
      <c r="F2099" t="s">
        <v>1887</v>
      </c>
      <c r="G2099" t="str">
        <f t="shared" si="64"/>
        <v>BAI II</v>
      </c>
      <c r="H2099" t="s">
        <v>1700</v>
      </c>
      <c r="I2099" t="s">
        <v>20</v>
      </c>
      <c r="J2099" t="s">
        <v>64</v>
      </c>
      <c r="K2099" s="6">
        <v>0.03</v>
      </c>
      <c r="L2099" s="7">
        <f t="shared" si="65"/>
        <v>2E-3</v>
      </c>
      <c r="M2099" s="7">
        <v>3.0000000000000001E-3</v>
      </c>
      <c r="N2099">
        <v>11</v>
      </c>
      <c r="O2099" s="8">
        <v>22.933916850949441</v>
      </c>
      <c r="P2099" s="9">
        <v>22.933916850949441</v>
      </c>
      <c r="Q2099" s="9">
        <v>22.933916850949441</v>
      </c>
      <c r="R2099" s="9">
        <v>25.173745848546066</v>
      </c>
      <c r="S2099" s="9">
        <v>27.641690539343774</v>
      </c>
      <c r="T2099" s="9">
        <v>29.730378573928668</v>
      </c>
      <c r="U2099" s="9">
        <v>36.183590217329723</v>
      </c>
      <c r="V2099" s="9">
        <v>36.183590217329723</v>
      </c>
      <c r="W2099" s="9">
        <v>36.183590217329723</v>
      </c>
      <c r="X2099" s="9">
        <v>43.522810559209468</v>
      </c>
      <c r="Y2099" s="9">
        <v>43.522810559209468</v>
      </c>
      <c r="Z2099" s="9">
        <v>50.960858783530121</v>
      </c>
      <c r="AA2099" s="9">
        <v>50.960858783530121</v>
      </c>
      <c r="AB2099" s="9">
        <v>58.507617678535738</v>
      </c>
      <c r="AC2099" s="9">
        <v>58.507617678535738</v>
      </c>
      <c r="AD2099" s="9">
        <v>68.105109643716474</v>
      </c>
      <c r="AE2099" s="9">
        <v>75.132723269302929</v>
      </c>
      <c r="AF2099" s="9">
        <v>82.290622386277917</v>
      </c>
      <c r="AG2099" s="9">
        <v>82.290622386277917</v>
      </c>
      <c r="AH2099" s="9">
        <v>90.43943145512165</v>
      </c>
      <c r="AI2099" s="9">
        <v>98.380048333692613</v>
      </c>
      <c r="AJ2099" s="9">
        <v>3.0428788910505911</v>
      </c>
    </row>
    <row r="2100" spans="1:36" x14ac:dyDescent="0.25">
      <c r="A2100" t="s">
        <v>5411</v>
      </c>
      <c r="B2100" t="s">
        <v>16</v>
      </c>
      <c r="C2100" t="s">
        <v>17</v>
      </c>
      <c r="D2100">
        <v>45745000</v>
      </c>
      <c r="E2100">
        <v>45745990</v>
      </c>
      <c r="F2100" t="s">
        <v>1888</v>
      </c>
      <c r="G2100" t="str">
        <f t="shared" si="64"/>
        <v>BAI II</v>
      </c>
      <c r="H2100" t="s">
        <v>1700</v>
      </c>
      <c r="I2100" t="s">
        <v>20</v>
      </c>
      <c r="J2100" t="s">
        <v>64</v>
      </c>
      <c r="K2100" s="6">
        <v>0.03</v>
      </c>
      <c r="L2100" s="7">
        <f t="shared" si="65"/>
        <v>2E-3</v>
      </c>
      <c r="M2100" s="7">
        <v>3.0000000000000001E-3</v>
      </c>
      <c r="N2100">
        <v>10</v>
      </c>
      <c r="O2100" s="8">
        <v>22.933916850949441</v>
      </c>
      <c r="P2100" s="9">
        <v>22.933916850949441</v>
      </c>
      <c r="Q2100" s="9">
        <v>22.933916850949441</v>
      </c>
      <c r="R2100" s="9">
        <v>25.173745848546066</v>
      </c>
      <c r="S2100" s="9">
        <v>27.641690539343774</v>
      </c>
      <c r="T2100" s="9">
        <v>29.730378573928668</v>
      </c>
      <c r="U2100" s="9">
        <v>36.183590217329723</v>
      </c>
      <c r="V2100" s="9">
        <v>36.183590217329723</v>
      </c>
      <c r="W2100" s="9">
        <v>36.183590217329723</v>
      </c>
      <c r="X2100" s="9">
        <v>43.522810559209468</v>
      </c>
      <c r="Y2100" s="9">
        <v>43.522810559209468</v>
      </c>
      <c r="Z2100" s="9">
        <v>50.960858783530121</v>
      </c>
      <c r="AA2100" s="9">
        <v>50.960858783530121</v>
      </c>
      <c r="AB2100" s="9">
        <v>58.507617678535738</v>
      </c>
      <c r="AC2100" s="9">
        <v>58.507617678535738</v>
      </c>
      <c r="AD2100" s="9">
        <v>68.105109643716474</v>
      </c>
      <c r="AE2100" s="9">
        <v>75.132723269302929</v>
      </c>
      <c r="AF2100" s="9">
        <v>82.290622386277917</v>
      </c>
      <c r="AG2100" s="9">
        <v>82.290622386277917</v>
      </c>
      <c r="AH2100" s="9">
        <v>90.43943145512165</v>
      </c>
      <c r="AI2100" s="9">
        <v>98.380048333692613</v>
      </c>
      <c r="AJ2100" s="9">
        <v>3.0428788910505911</v>
      </c>
    </row>
    <row r="2101" spans="1:36" x14ac:dyDescent="0.25">
      <c r="A2101" t="s">
        <v>5411</v>
      </c>
      <c r="B2101" t="s">
        <v>16</v>
      </c>
      <c r="C2101" t="s">
        <v>17</v>
      </c>
      <c r="D2101">
        <v>45745991</v>
      </c>
      <c r="E2101">
        <v>45749999</v>
      </c>
      <c r="F2101" t="s">
        <v>1888</v>
      </c>
      <c r="G2101" t="str">
        <f t="shared" si="64"/>
        <v>BAI II</v>
      </c>
      <c r="H2101" t="s">
        <v>1700</v>
      </c>
      <c r="I2101" t="s">
        <v>20</v>
      </c>
      <c r="J2101" t="s">
        <v>64</v>
      </c>
      <c r="K2101" s="6">
        <v>0.03</v>
      </c>
      <c r="L2101" s="7">
        <f t="shared" si="65"/>
        <v>2E-3</v>
      </c>
      <c r="M2101" s="7">
        <v>3.0000000000000001E-3</v>
      </c>
      <c r="N2101">
        <v>11</v>
      </c>
      <c r="O2101" s="8">
        <v>22.933916850949441</v>
      </c>
      <c r="P2101" s="9">
        <v>22.933916850949441</v>
      </c>
      <c r="Q2101" s="9">
        <v>22.933916850949441</v>
      </c>
      <c r="R2101" s="9">
        <v>25.173745848546066</v>
      </c>
      <c r="S2101" s="9">
        <v>27.641690539343774</v>
      </c>
      <c r="T2101" s="9">
        <v>29.730378573928668</v>
      </c>
      <c r="U2101" s="9">
        <v>36.183590217329723</v>
      </c>
      <c r="V2101" s="9">
        <v>36.183590217329723</v>
      </c>
      <c r="W2101" s="9">
        <v>36.183590217329723</v>
      </c>
      <c r="X2101" s="9">
        <v>43.522810559209468</v>
      </c>
      <c r="Y2101" s="9">
        <v>43.522810559209468</v>
      </c>
      <c r="Z2101" s="9">
        <v>50.960858783530121</v>
      </c>
      <c r="AA2101" s="9">
        <v>50.960858783530121</v>
      </c>
      <c r="AB2101" s="9">
        <v>58.507617678535738</v>
      </c>
      <c r="AC2101" s="9">
        <v>58.507617678535738</v>
      </c>
      <c r="AD2101" s="9">
        <v>68.105109643716474</v>
      </c>
      <c r="AE2101" s="9">
        <v>75.132723269302929</v>
      </c>
      <c r="AF2101" s="9">
        <v>82.290622386277917</v>
      </c>
      <c r="AG2101" s="9">
        <v>82.290622386277917</v>
      </c>
      <c r="AH2101" s="9">
        <v>90.43943145512165</v>
      </c>
      <c r="AI2101" s="9">
        <v>98.380048333692613</v>
      </c>
      <c r="AJ2101" s="9">
        <v>3.0428788910505911</v>
      </c>
    </row>
    <row r="2102" spans="1:36" x14ac:dyDescent="0.25">
      <c r="A2102" t="s">
        <v>5411</v>
      </c>
      <c r="B2102" t="s">
        <v>16</v>
      </c>
      <c r="C2102" t="s">
        <v>17</v>
      </c>
      <c r="D2102">
        <v>45750000</v>
      </c>
      <c r="E2102">
        <v>45759999</v>
      </c>
      <c r="F2102" t="s">
        <v>1889</v>
      </c>
      <c r="G2102" t="str">
        <f t="shared" si="64"/>
        <v>BAI II</v>
      </c>
      <c r="H2102" t="s">
        <v>1700</v>
      </c>
      <c r="I2102" t="s">
        <v>20</v>
      </c>
      <c r="J2102" t="s">
        <v>64</v>
      </c>
      <c r="K2102" s="6">
        <v>0.03</v>
      </c>
      <c r="L2102" s="7">
        <f t="shared" si="65"/>
        <v>2E-3</v>
      </c>
      <c r="M2102" s="7">
        <v>3.0000000000000001E-3</v>
      </c>
      <c r="N2102">
        <v>11</v>
      </c>
      <c r="O2102" s="8">
        <v>22.933916850949441</v>
      </c>
      <c r="P2102" s="9">
        <v>22.933916850949441</v>
      </c>
      <c r="Q2102" s="9">
        <v>22.933916850949441</v>
      </c>
      <c r="R2102" s="9">
        <v>25.173745848546066</v>
      </c>
      <c r="S2102" s="9">
        <v>27.641690539343774</v>
      </c>
      <c r="T2102" s="9">
        <v>29.730378573928668</v>
      </c>
      <c r="U2102" s="9">
        <v>36.183590217329723</v>
      </c>
      <c r="V2102" s="9">
        <v>36.183590217329723</v>
      </c>
      <c r="W2102" s="9">
        <v>36.183590217329723</v>
      </c>
      <c r="X2102" s="9">
        <v>43.522810559209468</v>
      </c>
      <c r="Y2102" s="9">
        <v>43.522810559209468</v>
      </c>
      <c r="Z2102" s="9">
        <v>50.960858783530121</v>
      </c>
      <c r="AA2102" s="9">
        <v>50.960858783530121</v>
      </c>
      <c r="AB2102" s="9">
        <v>58.507617678535738</v>
      </c>
      <c r="AC2102" s="9">
        <v>58.507617678535738</v>
      </c>
      <c r="AD2102" s="9">
        <v>68.105109643716474</v>
      </c>
      <c r="AE2102" s="9">
        <v>75.132723269302929</v>
      </c>
      <c r="AF2102" s="9">
        <v>82.290622386277917</v>
      </c>
      <c r="AG2102" s="9">
        <v>82.290622386277917</v>
      </c>
      <c r="AH2102" s="9">
        <v>90.43943145512165</v>
      </c>
      <c r="AI2102" s="9">
        <v>98.380048333692613</v>
      </c>
      <c r="AJ2102" s="9">
        <v>3.0428788910505911</v>
      </c>
    </row>
    <row r="2103" spans="1:36" x14ac:dyDescent="0.25">
      <c r="A2103" t="s">
        <v>5411</v>
      </c>
      <c r="B2103" t="s">
        <v>16</v>
      </c>
      <c r="C2103" t="s">
        <v>17</v>
      </c>
      <c r="D2103">
        <v>45760000</v>
      </c>
      <c r="E2103">
        <v>45769999</v>
      </c>
      <c r="F2103" t="s">
        <v>1890</v>
      </c>
      <c r="G2103" t="str">
        <f t="shared" si="64"/>
        <v>BAI II</v>
      </c>
      <c r="H2103" t="s">
        <v>1700</v>
      </c>
      <c r="I2103" t="s">
        <v>20</v>
      </c>
      <c r="J2103" t="s">
        <v>64</v>
      </c>
      <c r="K2103" s="6">
        <v>0.03</v>
      </c>
      <c r="L2103" s="7">
        <f t="shared" si="65"/>
        <v>2E-3</v>
      </c>
      <c r="M2103" s="7">
        <v>3.0000000000000001E-3</v>
      </c>
      <c r="N2103">
        <v>10</v>
      </c>
      <c r="O2103" s="8">
        <v>22.933916850949441</v>
      </c>
      <c r="P2103" s="9">
        <v>22.933916850949441</v>
      </c>
      <c r="Q2103" s="9">
        <v>22.933916850949441</v>
      </c>
      <c r="R2103" s="9">
        <v>25.173745848546066</v>
      </c>
      <c r="S2103" s="9">
        <v>27.641690539343774</v>
      </c>
      <c r="T2103" s="9">
        <v>29.730378573928668</v>
      </c>
      <c r="U2103" s="9">
        <v>36.183590217329723</v>
      </c>
      <c r="V2103" s="9">
        <v>36.183590217329723</v>
      </c>
      <c r="W2103" s="9">
        <v>36.183590217329723</v>
      </c>
      <c r="X2103" s="9">
        <v>43.522810559209468</v>
      </c>
      <c r="Y2103" s="9">
        <v>43.522810559209468</v>
      </c>
      <c r="Z2103" s="9">
        <v>50.960858783530121</v>
      </c>
      <c r="AA2103" s="9">
        <v>50.960858783530121</v>
      </c>
      <c r="AB2103" s="9">
        <v>58.507617678535738</v>
      </c>
      <c r="AC2103" s="9">
        <v>58.507617678535738</v>
      </c>
      <c r="AD2103" s="9">
        <v>68.105109643716474</v>
      </c>
      <c r="AE2103" s="9">
        <v>75.132723269302929</v>
      </c>
      <c r="AF2103" s="9">
        <v>82.290622386277917</v>
      </c>
      <c r="AG2103" s="9">
        <v>82.290622386277917</v>
      </c>
      <c r="AH2103" s="9">
        <v>90.43943145512165</v>
      </c>
      <c r="AI2103" s="9">
        <v>98.380048333692613</v>
      </c>
      <c r="AJ2103" s="9">
        <v>3.0428788910505911</v>
      </c>
    </row>
    <row r="2104" spans="1:36" x14ac:dyDescent="0.25">
      <c r="A2104" t="s">
        <v>5411</v>
      </c>
      <c r="B2104" t="s">
        <v>16</v>
      </c>
      <c r="C2104" t="s">
        <v>17</v>
      </c>
      <c r="D2104">
        <v>45770000</v>
      </c>
      <c r="E2104">
        <v>45779999</v>
      </c>
      <c r="F2104" t="s">
        <v>1891</v>
      </c>
      <c r="G2104" t="str">
        <f t="shared" si="64"/>
        <v>BAI II</v>
      </c>
      <c r="H2104" t="s">
        <v>1700</v>
      </c>
      <c r="I2104" t="s">
        <v>20</v>
      </c>
      <c r="J2104" t="s">
        <v>64</v>
      </c>
      <c r="K2104" s="6">
        <v>0.03</v>
      </c>
      <c r="L2104" s="7">
        <f t="shared" si="65"/>
        <v>2E-3</v>
      </c>
      <c r="M2104" s="7">
        <v>3.0000000000000001E-3</v>
      </c>
      <c r="N2104">
        <v>10</v>
      </c>
      <c r="O2104" s="8">
        <v>22.933916850949441</v>
      </c>
      <c r="P2104" s="9">
        <v>22.933916850949441</v>
      </c>
      <c r="Q2104" s="9">
        <v>22.933916850949441</v>
      </c>
      <c r="R2104" s="9">
        <v>25.173745848546066</v>
      </c>
      <c r="S2104" s="9">
        <v>27.641690539343774</v>
      </c>
      <c r="T2104" s="9">
        <v>29.730378573928668</v>
      </c>
      <c r="U2104" s="9">
        <v>36.183590217329723</v>
      </c>
      <c r="V2104" s="9">
        <v>36.183590217329723</v>
      </c>
      <c r="W2104" s="9">
        <v>36.183590217329723</v>
      </c>
      <c r="X2104" s="9">
        <v>43.522810559209468</v>
      </c>
      <c r="Y2104" s="9">
        <v>43.522810559209468</v>
      </c>
      <c r="Z2104" s="9">
        <v>50.960858783530121</v>
      </c>
      <c r="AA2104" s="9">
        <v>50.960858783530121</v>
      </c>
      <c r="AB2104" s="9">
        <v>58.507617678535738</v>
      </c>
      <c r="AC2104" s="9">
        <v>58.507617678535738</v>
      </c>
      <c r="AD2104" s="9">
        <v>68.105109643716474</v>
      </c>
      <c r="AE2104" s="9">
        <v>75.132723269302929</v>
      </c>
      <c r="AF2104" s="9">
        <v>82.290622386277917</v>
      </c>
      <c r="AG2104" s="9">
        <v>82.290622386277917</v>
      </c>
      <c r="AH2104" s="9">
        <v>90.43943145512165</v>
      </c>
      <c r="AI2104" s="9">
        <v>98.380048333692613</v>
      </c>
      <c r="AJ2104" s="9">
        <v>3.0428788910505911</v>
      </c>
    </row>
    <row r="2105" spans="1:36" x14ac:dyDescent="0.25">
      <c r="A2105" t="s">
        <v>5411</v>
      </c>
      <c r="B2105" t="s">
        <v>16</v>
      </c>
      <c r="C2105" t="s">
        <v>17</v>
      </c>
      <c r="D2105">
        <v>45780000</v>
      </c>
      <c r="E2105">
        <v>45789999</v>
      </c>
      <c r="F2105" t="s">
        <v>1892</v>
      </c>
      <c r="G2105" t="str">
        <f t="shared" si="64"/>
        <v>BAI II</v>
      </c>
      <c r="H2105" t="s">
        <v>1700</v>
      </c>
      <c r="I2105" t="s">
        <v>20</v>
      </c>
      <c r="J2105" t="s">
        <v>64</v>
      </c>
      <c r="K2105" s="6">
        <v>0.03</v>
      </c>
      <c r="L2105" s="7">
        <f t="shared" si="65"/>
        <v>2E-3</v>
      </c>
      <c r="M2105" s="7">
        <v>3.0000000000000001E-3</v>
      </c>
      <c r="N2105">
        <v>11</v>
      </c>
      <c r="O2105" s="8">
        <v>22.933916850949441</v>
      </c>
      <c r="P2105" s="9">
        <v>22.933916850949441</v>
      </c>
      <c r="Q2105" s="9">
        <v>22.933916850949441</v>
      </c>
      <c r="R2105" s="9">
        <v>25.173745848546066</v>
      </c>
      <c r="S2105" s="9">
        <v>27.641690539343774</v>
      </c>
      <c r="T2105" s="9">
        <v>29.730378573928668</v>
      </c>
      <c r="U2105" s="9">
        <v>36.183590217329723</v>
      </c>
      <c r="V2105" s="9">
        <v>36.183590217329723</v>
      </c>
      <c r="W2105" s="9">
        <v>36.183590217329723</v>
      </c>
      <c r="X2105" s="9">
        <v>43.522810559209468</v>
      </c>
      <c r="Y2105" s="9">
        <v>43.522810559209468</v>
      </c>
      <c r="Z2105" s="9">
        <v>50.960858783530121</v>
      </c>
      <c r="AA2105" s="9">
        <v>50.960858783530121</v>
      </c>
      <c r="AB2105" s="9">
        <v>58.507617678535738</v>
      </c>
      <c r="AC2105" s="9">
        <v>58.507617678535738</v>
      </c>
      <c r="AD2105" s="9">
        <v>68.105109643716474</v>
      </c>
      <c r="AE2105" s="9">
        <v>75.132723269302929</v>
      </c>
      <c r="AF2105" s="9">
        <v>82.290622386277917</v>
      </c>
      <c r="AG2105" s="9">
        <v>82.290622386277917</v>
      </c>
      <c r="AH2105" s="9">
        <v>90.43943145512165</v>
      </c>
      <c r="AI2105" s="9">
        <v>98.380048333692613</v>
      </c>
      <c r="AJ2105" s="9">
        <v>3.0428788910505911</v>
      </c>
    </row>
    <row r="2106" spans="1:36" x14ac:dyDescent="0.25">
      <c r="A2106" t="s">
        <v>5411</v>
      </c>
      <c r="B2106" t="s">
        <v>16</v>
      </c>
      <c r="C2106" t="s">
        <v>17</v>
      </c>
      <c r="D2106">
        <v>45790000</v>
      </c>
      <c r="E2106">
        <v>45799999</v>
      </c>
      <c r="F2106" t="s">
        <v>1893</v>
      </c>
      <c r="G2106" t="str">
        <f t="shared" si="64"/>
        <v>BAI II</v>
      </c>
      <c r="H2106" t="s">
        <v>1700</v>
      </c>
      <c r="I2106" t="s">
        <v>20</v>
      </c>
      <c r="J2106" t="s">
        <v>64</v>
      </c>
      <c r="K2106" s="6">
        <v>0.03</v>
      </c>
      <c r="L2106" s="7">
        <f t="shared" si="65"/>
        <v>2E-3</v>
      </c>
      <c r="M2106" s="7">
        <v>3.0000000000000001E-3</v>
      </c>
      <c r="N2106">
        <v>11</v>
      </c>
      <c r="O2106" s="8">
        <v>22.933916850949441</v>
      </c>
      <c r="P2106" s="9">
        <v>22.933916850949441</v>
      </c>
      <c r="Q2106" s="9">
        <v>22.933916850949441</v>
      </c>
      <c r="R2106" s="9">
        <v>25.173745848546066</v>
      </c>
      <c r="S2106" s="9">
        <v>27.641690539343774</v>
      </c>
      <c r="T2106" s="9">
        <v>29.730378573928668</v>
      </c>
      <c r="U2106" s="9">
        <v>36.183590217329723</v>
      </c>
      <c r="V2106" s="9">
        <v>36.183590217329723</v>
      </c>
      <c r="W2106" s="9">
        <v>36.183590217329723</v>
      </c>
      <c r="X2106" s="9">
        <v>43.522810559209468</v>
      </c>
      <c r="Y2106" s="9">
        <v>43.522810559209468</v>
      </c>
      <c r="Z2106" s="9">
        <v>50.960858783530121</v>
      </c>
      <c r="AA2106" s="9">
        <v>50.960858783530121</v>
      </c>
      <c r="AB2106" s="9">
        <v>58.507617678535738</v>
      </c>
      <c r="AC2106" s="9">
        <v>58.507617678535738</v>
      </c>
      <c r="AD2106" s="9">
        <v>68.105109643716474</v>
      </c>
      <c r="AE2106" s="9">
        <v>75.132723269302929</v>
      </c>
      <c r="AF2106" s="9">
        <v>82.290622386277917</v>
      </c>
      <c r="AG2106" s="9">
        <v>82.290622386277917</v>
      </c>
      <c r="AH2106" s="9">
        <v>90.43943145512165</v>
      </c>
      <c r="AI2106" s="9">
        <v>98.380048333692613</v>
      </c>
      <c r="AJ2106" s="9">
        <v>3.0428788910505911</v>
      </c>
    </row>
    <row r="2107" spans="1:36" x14ac:dyDescent="0.25">
      <c r="A2107" t="s">
        <v>5411</v>
      </c>
      <c r="B2107" t="s">
        <v>16</v>
      </c>
      <c r="C2107" t="s">
        <v>17</v>
      </c>
      <c r="D2107">
        <v>45800000</v>
      </c>
      <c r="E2107">
        <v>45800970</v>
      </c>
      <c r="F2107" t="s">
        <v>1894</v>
      </c>
      <c r="G2107" t="str">
        <f t="shared" si="64"/>
        <v>BAI II</v>
      </c>
      <c r="H2107" t="s">
        <v>1700</v>
      </c>
      <c r="I2107" t="s">
        <v>20</v>
      </c>
      <c r="J2107" t="s">
        <v>64</v>
      </c>
      <c r="K2107" s="6">
        <v>0.03</v>
      </c>
      <c r="L2107" s="7">
        <f t="shared" si="65"/>
        <v>2E-3</v>
      </c>
      <c r="M2107" s="7">
        <v>3.0000000000000001E-3</v>
      </c>
      <c r="N2107">
        <v>10</v>
      </c>
      <c r="O2107" s="8">
        <v>22.933916850949441</v>
      </c>
      <c r="P2107" s="9">
        <v>22.933916850949441</v>
      </c>
      <c r="Q2107" s="9">
        <v>22.933916850949441</v>
      </c>
      <c r="R2107" s="9">
        <v>25.173745848546066</v>
      </c>
      <c r="S2107" s="9">
        <v>27.641690539343774</v>
      </c>
      <c r="T2107" s="9">
        <v>29.730378573928668</v>
      </c>
      <c r="U2107" s="9">
        <v>36.183590217329723</v>
      </c>
      <c r="V2107" s="9">
        <v>36.183590217329723</v>
      </c>
      <c r="W2107" s="9">
        <v>36.183590217329723</v>
      </c>
      <c r="X2107" s="9">
        <v>43.522810559209468</v>
      </c>
      <c r="Y2107" s="9">
        <v>43.522810559209468</v>
      </c>
      <c r="Z2107" s="9">
        <v>50.960858783530121</v>
      </c>
      <c r="AA2107" s="9">
        <v>50.960858783530121</v>
      </c>
      <c r="AB2107" s="9">
        <v>58.507617678535738</v>
      </c>
      <c r="AC2107" s="9">
        <v>58.507617678535738</v>
      </c>
      <c r="AD2107" s="9">
        <v>68.105109643716474</v>
      </c>
      <c r="AE2107" s="9">
        <v>75.132723269302929</v>
      </c>
      <c r="AF2107" s="9">
        <v>82.290622386277917</v>
      </c>
      <c r="AG2107" s="9">
        <v>82.290622386277917</v>
      </c>
      <c r="AH2107" s="9">
        <v>90.43943145512165</v>
      </c>
      <c r="AI2107" s="9">
        <v>98.380048333692613</v>
      </c>
      <c r="AJ2107" s="9">
        <v>3.0428788910505911</v>
      </c>
    </row>
    <row r="2108" spans="1:36" x14ac:dyDescent="0.25">
      <c r="A2108" t="s">
        <v>5411</v>
      </c>
      <c r="B2108" t="s">
        <v>16</v>
      </c>
      <c r="C2108" t="s">
        <v>17</v>
      </c>
      <c r="D2108">
        <v>45800971</v>
      </c>
      <c r="E2108">
        <v>45806999</v>
      </c>
      <c r="F2108" t="s">
        <v>1894</v>
      </c>
      <c r="G2108" t="str">
        <f t="shared" si="64"/>
        <v>BAI II</v>
      </c>
      <c r="H2108" t="s">
        <v>1700</v>
      </c>
      <c r="I2108" t="s">
        <v>20</v>
      </c>
      <c r="J2108" t="s">
        <v>64</v>
      </c>
      <c r="K2108" s="6">
        <v>0.03</v>
      </c>
      <c r="L2108" s="7">
        <f t="shared" si="65"/>
        <v>2E-3</v>
      </c>
      <c r="M2108" s="7">
        <v>3.0000000000000001E-3</v>
      </c>
      <c r="N2108">
        <v>11</v>
      </c>
      <c r="O2108" s="8">
        <v>22.933916850949441</v>
      </c>
      <c r="P2108" s="9">
        <v>22.933916850949441</v>
      </c>
      <c r="Q2108" s="9">
        <v>22.933916850949441</v>
      </c>
      <c r="R2108" s="9">
        <v>25.173745848546066</v>
      </c>
      <c r="S2108" s="9">
        <v>27.641690539343774</v>
      </c>
      <c r="T2108" s="9">
        <v>29.730378573928668</v>
      </c>
      <c r="U2108" s="9">
        <v>36.183590217329723</v>
      </c>
      <c r="V2108" s="9">
        <v>36.183590217329723</v>
      </c>
      <c r="W2108" s="9">
        <v>36.183590217329723</v>
      </c>
      <c r="X2108" s="9">
        <v>43.522810559209468</v>
      </c>
      <c r="Y2108" s="9">
        <v>43.522810559209468</v>
      </c>
      <c r="Z2108" s="9">
        <v>50.960858783530121</v>
      </c>
      <c r="AA2108" s="9">
        <v>50.960858783530121</v>
      </c>
      <c r="AB2108" s="9">
        <v>58.507617678535738</v>
      </c>
      <c r="AC2108" s="9">
        <v>58.507617678535738</v>
      </c>
      <c r="AD2108" s="9">
        <v>68.105109643716474</v>
      </c>
      <c r="AE2108" s="9">
        <v>75.132723269302929</v>
      </c>
      <c r="AF2108" s="9">
        <v>82.290622386277917</v>
      </c>
      <c r="AG2108" s="9">
        <v>82.290622386277917</v>
      </c>
      <c r="AH2108" s="9">
        <v>90.43943145512165</v>
      </c>
      <c r="AI2108" s="9">
        <v>98.380048333692613</v>
      </c>
      <c r="AJ2108" s="9">
        <v>3.0428788910505911</v>
      </c>
    </row>
    <row r="2109" spans="1:36" x14ac:dyDescent="0.25">
      <c r="A2109" t="s">
        <v>5411</v>
      </c>
      <c r="B2109" t="s">
        <v>16</v>
      </c>
      <c r="C2109" t="s">
        <v>17</v>
      </c>
      <c r="D2109">
        <v>45807000</v>
      </c>
      <c r="E2109">
        <v>45807970</v>
      </c>
      <c r="F2109" t="s">
        <v>1895</v>
      </c>
      <c r="G2109" t="str">
        <f t="shared" si="64"/>
        <v>BAI II</v>
      </c>
      <c r="H2109" t="s">
        <v>1700</v>
      </c>
      <c r="I2109" t="s">
        <v>20</v>
      </c>
      <c r="J2109" t="s">
        <v>64</v>
      </c>
      <c r="K2109" s="6">
        <v>0.03</v>
      </c>
      <c r="L2109" s="7">
        <f t="shared" si="65"/>
        <v>2E-3</v>
      </c>
      <c r="M2109" s="7">
        <v>3.0000000000000001E-3</v>
      </c>
      <c r="N2109">
        <v>10</v>
      </c>
      <c r="O2109" s="8">
        <v>22.933916850949441</v>
      </c>
      <c r="P2109" s="9">
        <v>22.933916850949441</v>
      </c>
      <c r="Q2109" s="9">
        <v>22.933916850949441</v>
      </c>
      <c r="R2109" s="9">
        <v>25.173745848546066</v>
      </c>
      <c r="S2109" s="9">
        <v>27.641690539343774</v>
      </c>
      <c r="T2109" s="9">
        <v>29.730378573928668</v>
      </c>
      <c r="U2109" s="9">
        <v>36.183590217329723</v>
      </c>
      <c r="V2109" s="9">
        <v>36.183590217329723</v>
      </c>
      <c r="W2109" s="9">
        <v>36.183590217329723</v>
      </c>
      <c r="X2109" s="9">
        <v>43.522810559209468</v>
      </c>
      <c r="Y2109" s="9">
        <v>43.522810559209468</v>
      </c>
      <c r="Z2109" s="9">
        <v>50.960858783530121</v>
      </c>
      <c r="AA2109" s="9">
        <v>50.960858783530121</v>
      </c>
      <c r="AB2109" s="9">
        <v>58.507617678535738</v>
      </c>
      <c r="AC2109" s="9">
        <v>58.507617678535738</v>
      </c>
      <c r="AD2109" s="9">
        <v>68.105109643716474</v>
      </c>
      <c r="AE2109" s="9">
        <v>75.132723269302929</v>
      </c>
      <c r="AF2109" s="9">
        <v>82.290622386277917</v>
      </c>
      <c r="AG2109" s="9">
        <v>82.290622386277917</v>
      </c>
      <c r="AH2109" s="9">
        <v>90.43943145512165</v>
      </c>
      <c r="AI2109" s="9">
        <v>98.380048333692613</v>
      </c>
      <c r="AJ2109" s="9">
        <v>3.0428788910505911</v>
      </c>
    </row>
    <row r="2110" spans="1:36" x14ac:dyDescent="0.25">
      <c r="A2110" t="s">
        <v>5411</v>
      </c>
      <c r="B2110" t="s">
        <v>16</v>
      </c>
      <c r="C2110" t="s">
        <v>17</v>
      </c>
      <c r="D2110">
        <v>45807971</v>
      </c>
      <c r="E2110">
        <v>45809999</v>
      </c>
      <c r="F2110" t="s">
        <v>1895</v>
      </c>
      <c r="G2110" t="str">
        <f t="shared" si="64"/>
        <v>BAI II</v>
      </c>
      <c r="H2110" t="s">
        <v>1700</v>
      </c>
      <c r="I2110" t="s">
        <v>20</v>
      </c>
      <c r="J2110" t="s">
        <v>64</v>
      </c>
      <c r="K2110" s="6">
        <v>0.03</v>
      </c>
      <c r="L2110" s="7">
        <f t="shared" si="65"/>
        <v>2E-3</v>
      </c>
      <c r="M2110" s="7">
        <v>3.0000000000000001E-3</v>
      </c>
      <c r="N2110">
        <v>11</v>
      </c>
      <c r="O2110" s="8">
        <v>22.933916850949441</v>
      </c>
      <c r="P2110" s="9">
        <v>22.933916850949441</v>
      </c>
      <c r="Q2110" s="9">
        <v>22.933916850949441</v>
      </c>
      <c r="R2110" s="9">
        <v>25.173745848546066</v>
      </c>
      <c r="S2110" s="9">
        <v>27.641690539343774</v>
      </c>
      <c r="T2110" s="9">
        <v>29.730378573928668</v>
      </c>
      <c r="U2110" s="9">
        <v>36.183590217329723</v>
      </c>
      <c r="V2110" s="9">
        <v>36.183590217329723</v>
      </c>
      <c r="W2110" s="9">
        <v>36.183590217329723</v>
      </c>
      <c r="X2110" s="9">
        <v>43.522810559209468</v>
      </c>
      <c r="Y2110" s="9">
        <v>43.522810559209468</v>
      </c>
      <c r="Z2110" s="9">
        <v>50.960858783530121</v>
      </c>
      <c r="AA2110" s="9">
        <v>50.960858783530121</v>
      </c>
      <c r="AB2110" s="9">
        <v>58.507617678535738</v>
      </c>
      <c r="AC2110" s="9">
        <v>58.507617678535738</v>
      </c>
      <c r="AD2110" s="9">
        <v>68.105109643716474</v>
      </c>
      <c r="AE2110" s="9">
        <v>75.132723269302929</v>
      </c>
      <c r="AF2110" s="9">
        <v>82.290622386277917</v>
      </c>
      <c r="AG2110" s="9">
        <v>82.290622386277917</v>
      </c>
      <c r="AH2110" s="9">
        <v>90.43943145512165</v>
      </c>
      <c r="AI2110" s="9">
        <v>98.380048333692613</v>
      </c>
      <c r="AJ2110" s="9">
        <v>3.0428788910505911</v>
      </c>
    </row>
    <row r="2111" spans="1:36" x14ac:dyDescent="0.25">
      <c r="A2111" t="s">
        <v>5411</v>
      </c>
      <c r="B2111" t="s">
        <v>16</v>
      </c>
      <c r="C2111" t="s">
        <v>17</v>
      </c>
      <c r="D2111">
        <v>45810000</v>
      </c>
      <c r="E2111">
        <v>45815970</v>
      </c>
      <c r="F2111" t="s">
        <v>1896</v>
      </c>
      <c r="G2111" t="str">
        <f t="shared" si="64"/>
        <v>BAI II</v>
      </c>
      <c r="H2111" t="s">
        <v>1700</v>
      </c>
      <c r="I2111" t="s">
        <v>20</v>
      </c>
      <c r="J2111" t="s">
        <v>64</v>
      </c>
      <c r="K2111" s="6">
        <v>0.03</v>
      </c>
      <c r="L2111" s="7">
        <f t="shared" si="65"/>
        <v>2E-3</v>
      </c>
      <c r="M2111" s="7">
        <v>3.0000000000000001E-3</v>
      </c>
      <c r="N2111">
        <v>10</v>
      </c>
      <c r="O2111" s="8">
        <v>22.933916850949441</v>
      </c>
      <c r="P2111" s="9">
        <v>22.933916850949441</v>
      </c>
      <c r="Q2111" s="9">
        <v>22.933916850949441</v>
      </c>
      <c r="R2111" s="9">
        <v>25.173745848546066</v>
      </c>
      <c r="S2111" s="9">
        <v>27.641690539343774</v>
      </c>
      <c r="T2111" s="9">
        <v>29.730378573928668</v>
      </c>
      <c r="U2111" s="9">
        <v>36.183590217329723</v>
      </c>
      <c r="V2111" s="9">
        <v>36.183590217329723</v>
      </c>
      <c r="W2111" s="9">
        <v>36.183590217329723</v>
      </c>
      <c r="X2111" s="9">
        <v>43.522810559209468</v>
      </c>
      <c r="Y2111" s="9">
        <v>43.522810559209468</v>
      </c>
      <c r="Z2111" s="9">
        <v>50.960858783530121</v>
      </c>
      <c r="AA2111" s="9">
        <v>50.960858783530121</v>
      </c>
      <c r="AB2111" s="9">
        <v>58.507617678535738</v>
      </c>
      <c r="AC2111" s="9">
        <v>58.507617678535738</v>
      </c>
      <c r="AD2111" s="9">
        <v>68.105109643716474</v>
      </c>
      <c r="AE2111" s="9">
        <v>75.132723269302929</v>
      </c>
      <c r="AF2111" s="9">
        <v>82.290622386277917</v>
      </c>
      <c r="AG2111" s="9">
        <v>82.290622386277917</v>
      </c>
      <c r="AH2111" s="9">
        <v>90.43943145512165</v>
      </c>
      <c r="AI2111" s="9">
        <v>98.380048333692613</v>
      </c>
      <c r="AJ2111" s="9">
        <v>3.0428788910505911</v>
      </c>
    </row>
    <row r="2112" spans="1:36" x14ac:dyDescent="0.25">
      <c r="A2112" t="s">
        <v>5411</v>
      </c>
      <c r="B2112" t="s">
        <v>16</v>
      </c>
      <c r="C2112" t="s">
        <v>17</v>
      </c>
      <c r="D2112">
        <v>45815971</v>
      </c>
      <c r="E2112">
        <v>45815999</v>
      </c>
      <c r="F2112" t="s">
        <v>1897</v>
      </c>
      <c r="G2112" t="str">
        <f t="shared" si="64"/>
        <v>BAI II</v>
      </c>
      <c r="H2112" t="s">
        <v>1700</v>
      </c>
      <c r="I2112" t="s">
        <v>20</v>
      </c>
      <c r="J2112" t="s">
        <v>64</v>
      </c>
      <c r="K2112" s="6">
        <v>0.03</v>
      </c>
      <c r="L2112" s="7">
        <f t="shared" si="65"/>
        <v>2E-3</v>
      </c>
      <c r="M2112" s="7">
        <v>3.0000000000000001E-3</v>
      </c>
      <c r="N2112">
        <v>11</v>
      </c>
      <c r="O2112" s="8">
        <v>22.933916850949441</v>
      </c>
      <c r="P2112" s="9">
        <v>22.933916850949441</v>
      </c>
      <c r="Q2112" s="9">
        <v>22.933916850949441</v>
      </c>
      <c r="R2112" s="9">
        <v>25.173745848546066</v>
      </c>
      <c r="S2112" s="9">
        <v>27.641690539343774</v>
      </c>
      <c r="T2112" s="9">
        <v>29.730378573928668</v>
      </c>
      <c r="U2112" s="9">
        <v>36.183590217329723</v>
      </c>
      <c r="V2112" s="9">
        <v>36.183590217329723</v>
      </c>
      <c r="W2112" s="9">
        <v>36.183590217329723</v>
      </c>
      <c r="X2112" s="9">
        <v>43.522810559209468</v>
      </c>
      <c r="Y2112" s="9">
        <v>43.522810559209468</v>
      </c>
      <c r="Z2112" s="9">
        <v>50.960858783530121</v>
      </c>
      <c r="AA2112" s="9">
        <v>50.960858783530121</v>
      </c>
      <c r="AB2112" s="9">
        <v>58.507617678535738</v>
      </c>
      <c r="AC2112" s="9">
        <v>58.507617678535738</v>
      </c>
      <c r="AD2112" s="9">
        <v>68.105109643716474</v>
      </c>
      <c r="AE2112" s="9">
        <v>75.132723269302929</v>
      </c>
      <c r="AF2112" s="9">
        <v>82.290622386277917</v>
      </c>
      <c r="AG2112" s="9">
        <v>82.290622386277917</v>
      </c>
      <c r="AH2112" s="9">
        <v>90.43943145512165</v>
      </c>
      <c r="AI2112" s="9">
        <v>98.380048333692613</v>
      </c>
      <c r="AJ2112" s="9">
        <v>3.0428788910505911</v>
      </c>
    </row>
    <row r="2113" spans="1:36" x14ac:dyDescent="0.25">
      <c r="A2113" t="s">
        <v>5411</v>
      </c>
      <c r="B2113" t="s">
        <v>16</v>
      </c>
      <c r="C2113" t="s">
        <v>17</v>
      </c>
      <c r="D2113">
        <v>45816000</v>
      </c>
      <c r="E2113">
        <v>45816970</v>
      </c>
      <c r="F2113" t="s">
        <v>1897</v>
      </c>
      <c r="G2113" t="str">
        <f t="shared" si="64"/>
        <v>BAI II</v>
      </c>
      <c r="H2113" t="s">
        <v>1700</v>
      </c>
      <c r="I2113" t="s">
        <v>20</v>
      </c>
      <c r="J2113" t="s">
        <v>64</v>
      </c>
      <c r="K2113" s="6">
        <v>0.03</v>
      </c>
      <c r="L2113" s="7">
        <f t="shared" si="65"/>
        <v>2E-3</v>
      </c>
      <c r="M2113" s="7">
        <v>3.0000000000000001E-3</v>
      </c>
      <c r="N2113">
        <v>10</v>
      </c>
      <c r="O2113" s="8">
        <v>22.933916850949441</v>
      </c>
      <c r="P2113" s="9">
        <v>22.933916850949441</v>
      </c>
      <c r="Q2113" s="9">
        <v>22.933916850949441</v>
      </c>
      <c r="R2113" s="9">
        <v>25.173745848546066</v>
      </c>
      <c r="S2113" s="9">
        <v>27.641690539343774</v>
      </c>
      <c r="T2113" s="9">
        <v>29.730378573928668</v>
      </c>
      <c r="U2113" s="9">
        <v>36.183590217329723</v>
      </c>
      <c r="V2113" s="9">
        <v>36.183590217329723</v>
      </c>
      <c r="W2113" s="9">
        <v>36.183590217329723</v>
      </c>
      <c r="X2113" s="9">
        <v>43.522810559209468</v>
      </c>
      <c r="Y2113" s="9">
        <v>43.522810559209468</v>
      </c>
      <c r="Z2113" s="9">
        <v>50.960858783530121</v>
      </c>
      <c r="AA2113" s="9">
        <v>50.960858783530121</v>
      </c>
      <c r="AB2113" s="9">
        <v>58.507617678535738</v>
      </c>
      <c r="AC2113" s="9">
        <v>58.507617678535738</v>
      </c>
      <c r="AD2113" s="9">
        <v>68.105109643716474</v>
      </c>
      <c r="AE2113" s="9">
        <v>75.132723269302929</v>
      </c>
      <c r="AF2113" s="9">
        <v>82.290622386277917</v>
      </c>
      <c r="AG2113" s="9">
        <v>82.290622386277917</v>
      </c>
      <c r="AH2113" s="9">
        <v>90.43943145512165</v>
      </c>
      <c r="AI2113" s="9">
        <v>98.380048333692613</v>
      </c>
      <c r="AJ2113" s="9">
        <v>3.0428788910505911</v>
      </c>
    </row>
    <row r="2114" spans="1:36" x14ac:dyDescent="0.25">
      <c r="A2114" t="s">
        <v>5411</v>
      </c>
      <c r="B2114" t="s">
        <v>16</v>
      </c>
      <c r="C2114" t="s">
        <v>17</v>
      </c>
      <c r="D2114">
        <v>45816971</v>
      </c>
      <c r="E2114">
        <v>45817999</v>
      </c>
      <c r="F2114" t="s">
        <v>1897</v>
      </c>
      <c r="G2114" t="str">
        <f t="shared" si="64"/>
        <v>BAI II</v>
      </c>
      <c r="H2114" t="s">
        <v>1700</v>
      </c>
      <c r="I2114" t="s">
        <v>20</v>
      </c>
      <c r="J2114" t="s">
        <v>64</v>
      </c>
      <c r="K2114" s="6">
        <v>0.03</v>
      </c>
      <c r="L2114" s="7">
        <f t="shared" si="65"/>
        <v>2E-3</v>
      </c>
      <c r="M2114" s="7">
        <v>3.0000000000000001E-3</v>
      </c>
      <c r="N2114">
        <v>11</v>
      </c>
      <c r="O2114" s="8">
        <v>22.933916850949441</v>
      </c>
      <c r="P2114" s="9">
        <v>22.933916850949441</v>
      </c>
      <c r="Q2114" s="9">
        <v>22.933916850949441</v>
      </c>
      <c r="R2114" s="9">
        <v>25.173745848546066</v>
      </c>
      <c r="S2114" s="9">
        <v>27.641690539343774</v>
      </c>
      <c r="T2114" s="9">
        <v>29.730378573928668</v>
      </c>
      <c r="U2114" s="9">
        <v>36.183590217329723</v>
      </c>
      <c r="V2114" s="9">
        <v>36.183590217329723</v>
      </c>
      <c r="W2114" s="9">
        <v>36.183590217329723</v>
      </c>
      <c r="X2114" s="9">
        <v>43.522810559209468</v>
      </c>
      <c r="Y2114" s="9">
        <v>43.522810559209468</v>
      </c>
      <c r="Z2114" s="9">
        <v>50.960858783530121</v>
      </c>
      <c r="AA2114" s="9">
        <v>50.960858783530121</v>
      </c>
      <c r="AB2114" s="9">
        <v>58.507617678535738</v>
      </c>
      <c r="AC2114" s="9">
        <v>58.507617678535738</v>
      </c>
      <c r="AD2114" s="9">
        <v>68.105109643716474</v>
      </c>
      <c r="AE2114" s="9">
        <v>75.132723269302929</v>
      </c>
      <c r="AF2114" s="9">
        <v>82.290622386277917</v>
      </c>
      <c r="AG2114" s="9">
        <v>82.290622386277917</v>
      </c>
      <c r="AH2114" s="9">
        <v>90.43943145512165</v>
      </c>
      <c r="AI2114" s="9">
        <v>98.380048333692613</v>
      </c>
      <c r="AJ2114" s="9">
        <v>3.0428788910505911</v>
      </c>
    </row>
    <row r="2115" spans="1:36" x14ac:dyDescent="0.25">
      <c r="A2115" t="s">
        <v>5411</v>
      </c>
      <c r="B2115" t="s">
        <v>16</v>
      </c>
      <c r="C2115" t="s">
        <v>17</v>
      </c>
      <c r="D2115">
        <v>45818000</v>
      </c>
      <c r="E2115">
        <v>45819999</v>
      </c>
      <c r="F2115" t="s">
        <v>1897</v>
      </c>
      <c r="G2115" t="str">
        <f t="shared" si="64"/>
        <v>BAI II</v>
      </c>
      <c r="H2115" t="s">
        <v>1700</v>
      </c>
      <c r="I2115" t="s">
        <v>20</v>
      </c>
      <c r="J2115" t="s">
        <v>64</v>
      </c>
      <c r="K2115" s="6">
        <v>0.03</v>
      </c>
      <c r="L2115" s="7">
        <f t="shared" si="65"/>
        <v>2E-3</v>
      </c>
      <c r="M2115" s="7">
        <v>3.0000000000000001E-3</v>
      </c>
      <c r="N2115">
        <v>10</v>
      </c>
      <c r="O2115" s="8">
        <v>22.933916850949441</v>
      </c>
      <c r="P2115" s="9">
        <v>22.933916850949441</v>
      </c>
      <c r="Q2115" s="9">
        <v>22.933916850949441</v>
      </c>
      <c r="R2115" s="9">
        <v>25.173745848546066</v>
      </c>
      <c r="S2115" s="9">
        <v>27.641690539343774</v>
      </c>
      <c r="T2115" s="9">
        <v>29.730378573928668</v>
      </c>
      <c r="U2115" s="9">
        <v>36.183590217329723</v>
      </c>
      <c r="V2115" s="9">
        <v>36.183590217329723</v>
      </c>
      <c r="W2115" s="9">
        <v>36.183590217329723</v>
      </c>
      <c r="X2115" s="9">
        <v>43.522810559209468</v>
      </c>
      <c r="Y2115" s="9">
        <v>43.522810559209468</v>
      </c>
      <c r="Z2115" s="9">
        <v>50.960858783530121</v>
      </c>
      <c r="AA2115" s="9">
        <v>50.960858783530121</v>
      </c>
      <c r="AB2115" s="9">
        <v>58.507617678535738</v>
      </c>
      <c r="AC2115" s="9">
        <v>58.507617678535738</v>
      </c>
      <c r="AD2115" s="9">
        <v>68.105109643716474</v>
      </c>
      <c r="AE2115" s="9">
        <v>75.132723269302929</v>
      </c>
      <c r="AF2115" s="9">
        <v>82.290622386277917</v>
      </c>
      <c r="AG2115" s="9">
        <v>82.290622386277917</v>
      </c>
      <c r="AH2115" s="9">
        <v>90.43943145512165</v>
      </c>
      <c r="AI2115" s="9">
        <v>98.380048333692613</v>
      </c>
      <c r="AJ2115" s="9">
        <v>3.0428788910505911</v>
      </c>
    </row>
    <row r="2116" spans="1:36" x14ac:dyDescent="0.25">
      <c r="A2116" t="s">
        <v>5411</v>
      </c>
      <c r="B2116" t="s">
        <v>16</v>
      </c>
      <c r="C2116" t="s">
        <v>17</v>
      </c>
      <c r="D2116">
        <v>45820000</v>
      </c>
      <c r="E2116">
        <v>45831899</v>
      </c>
      <c r="F2116" t="s">
        <v>1897</v>
      </c>
      <c r="G2116" t="str">
        <f t="shared" ref="G2116:G2179" si="66">H2116&amp;IF(J2116="CAPITAL","C",IF(J2116="INTERIOR","I",IF(J2116="INTERIOR II","I II","R")))</f>
        <v>BAI II</v>
      </c>
      <c r="H2116" t="s">
        <v>1700</v>
      </c>
      <c r="I2116" t="s">
        <v>20</v>
      </c>
      <c r="J2116" t="s">
        <v>64</v>
      </c>
      <c r="K2116" s="6">
        <v>0.03</v>
      </c>
      <c r="L2116" s="7">
        <f t="shared" ref="L2116:L2179" si="67">IF(I2116="(0) Não",0.2%,3%)</f>
        <v>2E-3</v>
      </c>
      <c r="M2116" s="7">
        <v>3.0000000000000001E-3</v>
      </c>
      <c r="N2116">
        <v>10</v>
      </c>
      <c r="O2116" s="8">
        <v>22.933916850949441</v>
      </c>
      <c r="P2116" s="9">
        <v>22.933916850949441</v>
      </c>
      <c r="Q2116" s="9">
        <v>22.933916850949441</v>
      </c>
      <c r="R2116" s="9">
        <v>25.173745848546066</v>
      </c>
      <c r="S2116" s="9">
        <v>27.641690539343774</v>
      </c>
      <c r="T2116" s="9">
        <v>29.730378573928668</v>
      </c>
      <c r="U2116" s="9">
        <v>36.183590217329723</v>
      </c>
      <c r="V2116" s="9">
        <v>36.183590217329723</v>
      </c>
      <c r="W2116" s="9">
        <v>36.183590217329723</v>
      </c>
      <c r="X2116" s="9">
        <v>43.522810559209468</v>
      </c>
      <c r="Y2116" s="9">
        <v>43.522810559209468</v>
      </c>
      <c r="Z2116" s="9">
        <v>50.960858783530121</v>
      </c>
      <c r="AA2116" s="9">
        <v>50.960858783530121</v>
      </c>
      <c r="AB2116" s="9">
        <v>58.507617678535738</v>
      </c>
      <c r="AC2116" s="9">
        <v>58.507617678535738</v>
      </c>
      <c r="AD2116" s="9">
        <v>68.105109643716474</v>
      </c>
      <c r="AE2116" s="9">
        <v>75.132723269302929</v>
      </c>
      <c r="AF2116" s="9">
        <v>82.290622386277917</v>
      </c>
      <c r="AG2116" s="9">
        <v>82.290622386277917</v>
      </c>
      <c r="AH2116" s="9">
        <v>90.43943145512165</v>
      </c>
      <c r="AI2116" s="9">
        <v>98.380048333692613</v>
      </c>
      <c r="AJ2116" s="9">
        <v>3.0428788910505911</v>
      </c>
    </row>
    <row r="2117" spans="1:36" x14ac:dyDescent="0.25">
      <c r="A2117" t="s">
        <v>5411</v>
      </c>
      <c r="B2117" t="s">
        <v>16</v>
      </c>
      <c r="C2117" t="s">
        <v>17</v>
      </c>
      <c r="D2117">
        <v>45831900</v>
      </c>
      <c r="E2117">
        <v>45833999</v>
      </c>
      <c r="F2117" t="s">
        <v>1898</v>
      </c>
      <c r="G2117" t="str">
        <f t="shared" si="66"/>
        <v>BAI II</v>
      </c>
      <c r="H2117" t="s">
        <v>1700</v>
      </c>
      <c r="I2117" t="s">
        <v>20</v>
      </c>
      <c r="J2117" t="s">
        <v>64</v>
      </c>
      <c r="K2117" s="6">
        <v>0.03</v>
      </c>
      <c r="L2117" s="7">
        <f t="shared" si="67"/>
        <v>2E-3</v>
      </c>
      <c r="M2117" s="7">
        <v>3.0000000000000001E-3</v>
      </c>
      <c r="N2117">
        <v>10</v>
      </c>
      <c r="O2117" s="8">
        <v>22.933916850949441</v>
      </c>
      <c r="P2117" s="9">
        <v>22.933916850949441</v>
      </c>
      <c r="Q2117" s="9">
        <v>22.933916850949441</v>
      </c>
      <c r="R2117" s="9">
        <v>25.173745848546066</v>
      </c>
      <c r="S2117" s="9">
        <v>27.641690539343774</v>
      </c>
      <c r="T2117" s="9">
        <v>29.730378573928668</v>
      </c>
      <c r="U2117" s="9">
        <v>36.183590217329723</v>
      </c>
      <c r="V2117" s="9">
        <v>36.183590217329723</v>
      </c>
      <c r="W2117" s="9">
        <v>36.183590217329723</v>
      </c>
      <c r="X2117" s="9">
        <v>43.522810559209468</v>
      </c>
      <c r="Y2117" s="9">
        <v>43.522810559209468</v>
      </c>
      <c r="Z2117" s="9">
        <v>50.960858783530121</v>
      </c>
      <c r="AA2117" s="9">
        <v>50.960858783530121</v>
      </c>
      <c r="AB2117" s="9">
        <v>58.507617678535738</v>
      </c>
      <c r="AC2117" s="9">
        <v>58.507617678535738</v>
      </c>
      <c r="AD2117" s="9">
        <v>68.105109643716474</v>
      </c>
      <c r="AE2117" s="9">
        <v>75.132723269302929</v>
      </c>
      <c r="AF2117" s="9">
        <v>82.290622386277917</v>
      </c>
      <c r="AG2117" s="9">
        <v>82.290622386277917</v>
      </c>
      <c r="AH2117" s="9">
        <v>90.43943145512165</v>
      </c>
      <c r="AI2117" s="9">
        <v>98.380048333692613</v>
      </c>
      <c r="AJ2117" s="9">
        <v>3.0428788910505911</v>
      </c>
    </row>
    <row r="2118" spans="1:36" x14ac:dyDescent="0.25">
      <c r="A2118" t="s">
        <v>5411</v>
      </c>
      <c r="B2118" t="s">
        <v>16</v>
      </c>
      <c r="C2118" t="s">
        <v>17</v>
      </c>
      <c r="D2118">
        <v>45834000</v>
      </c>
      <c r="E2118">
        <v>45835999</v>
      </c>
      <c r="F2118" t="s">
        <v>1899</v>
      </c>
      <c r="G2118" t="str">
        <f t="shared" si="66"/>
        <v>BAI II</v>
      </c>
      <c r="H2118" t="s">
        <v>1700</v>
      </c>
      <c r="I2118" t="s">
        <v>20</v>
      </c>
      <c r="J2118" t="s">
        <v>64</v>
      </c>
      <c r="K2118" s="6">
        <v>0.03</v>
      </c>
      <c r="L2118" s="7">
        <f t="shared" si="67"/>
        <v>2E-3</v>
      </c>
      <c r="M2118" s="7">
        <v>3.0000000000000001E-3</v>
      </c>
      <c r="N2118">
        <v>10</v>
      </c>
      <c r="O2118" s="8">
        <v>22.933916850949441</v>
      </c>
      <c r="P2118" s="9">
        <v>22.933916850949441</v>
      </c>
      <c r="Q2118" s="9">
        <v>22.933916850949441</v>
      </c>
      <c r="R2118" s="9">
        <v>25.173745848546066</v>
      </c>
      <c r="S2118" s="9">
        <v>27.641690539343774</v>
      </c>
      <c r="T2118" s="9">
        <v>29.730378573928668</v>
      </c>
      <c r="U2118" s="9">
        <v>36.183590217329723</v>
      </c>
      <c r="V2118" s="9">
        <v>36.183590217329723</v>
      </c>
      <c r="W2118" s="9">
        <v>36.183590217329723</v>
      </c>
      <c r="X2118" s="9">
        <v>43.522810559209468</v>
      </c>
      <c r="Y2118" s="9">
        <v>43.522810559209468</v>
      </c>
      <c r="Z2118" s="9">
        <v>50.960858783530121</v>
      </c>
      <c r="AA2118" s="9">
        <v>50.960858783530121</v>
      </c>
      <c r="AB2118" s="9">
        <v>58.507617678535738</v>
      </c>
      <c r="AC2118" s="9">
        <v>58.507617678535738</v>
      </c>
      <c r="AD2118" s="9">
        <v>68.105109643716474</v>
      </c>
      <c r="AE2118" s="9">
        <v>75.132723269302929</v>
      </c>
      <c r="AF2118" s="9">
        <v>82.290622386277917</v>
      </c>
      <c r="AG2118" s="9">
        <v>82.290622386277917</v>
      </c>
      <c r="AH2118" s="9">
        <v>90.43943145512165</v>
      </c>
      <c r="AI2118" s="9">
        <v>98.380048333692613</v>
      </c>
      <c r="AJ2118" s="9">
        <v>3.0428788910505911</v>
      </c>
    </row>
    <row r="2119" spans="1:36" x14ac:dyDescent="0.25">
      <c r="A2119" t="s">
        <v>5411</v>
      </c>
      <c r="B2119" t="s">
        <v>16</v>
      </c>
      <c r="C2119" t="s">
        <v>17</v>
      </c>
      <c r="D2119">
        <v>45836000</v>
      </c>
      <c r="E2119">
        <v>45836970</v>
      </c>
      <c r="F2119" t="s">
        <v>1900</v>
      </c>
      <c r="G2119" t="str">
        <f t="shared" si="66"/>
        <v>BAI II</v>
      </c>
      <c r="H2119" t="s">
        <v>1700</v>
      </c>
      <c r="I2119" t="s">
        <v>20</v>
      </c>
      <c r="J2119" t="s">
        <v>64</v>
      </c>
      <c r="K2119" s="6">
        <v>0.03</v>
      </c>
      <c r="L2119" s="7">
        <f t="shared" si="67"/>
        <v>2E-3</v>
      </c>
      <c r="M2119" s="7">
        <v>3.0000000000000001E-3</v>
      </c>
      <c r="N2119">
        <v>10</v>
      </c>
      <c r="O2119" s="8">
        <v>22.933916850949441</v>
      </c>
      <c r="P2119" s="9">
        <v>22.933916850949441</v>
      </c>
      <c r="Q2119" s="9">
        <v>22.933916850949441</v>
      </c>
      <c r="R2119" s="9">
        <v>25.173745848546066</v>
      </c>
      <c r="S2119" s="9">
        <v>27.641690539343774</v>
      </c>
      <c r="T2119" s="9">
        <v>29.730378573928668</v>
      </c>
      <c r="U2119" s="9">
        <v>36.183590217329723</v>
      </c>
      <c r="V2119" s="9">
        <v>36.183590217329723</v>
      </c>
      <c r="W2119" s="9">
        <v>36.183590217329723</v>
      </c>
      <c r="X2119" s="9">
        <v>43.522810559209468</v>
      </c>
      <c r="Y2119" s="9">
        <v>43.522810559209468</v>
      </c>
      <c r="Z2119" s="9">
        <v>50.960858783530121</v>
      </c>
      <c r="AA2119" s="9">
        <v>50.960858783530121</v>
      </c>
      <c r="AB2119" s="9">
        <v>58.507617678535738</v>
      </c>
      <c r="AC2119" s="9">
        <v>58.507617678535738</v>
      </c>
      <c r="AD2119" s="9">
        <v>68.105109643716474</v>
      </c>
      <c r="AE2119" s="9">
        <v>75.132723269302929</v>
      </c>
      <c r="AF2119" s="9">
        <v>82.290622386277917</v>
      </c>
      <c r="AG2119" s="9">
        <v>82.290622386277917</v>
      </c>
      <c r="AH2119" s="9">
        <v>90.43943145512165</v>
      </c>
      <c r="AI2119" s="9">
        <v>98.380048333692613</v>
      </c>
      <c r="AJ2119" s="9">
        <v>3.0428788910505911</v>
      </c>
    </row>
    <row r="2120" spans="1:36" x14ac:dyDescent="0.25">
      <c r="A2120" t="s">
        <v>5411</v>
      </c>
      <c r="B2120" t="s">
        <v>16</v>
      </c>
      <c r="C2120" t="s">
        <v>17</v>
      </c>
      <c r="D2120">
        <v>45836971</v>
      </c>
      <c r="E2120">
        <v>45839999</v>
      </c>
      <c r="F2120" t="s">
        <v>1900</v>
      </c>
      <c r="G2120" t="str">
        <f t="shared" si="66"/>
        <v>BAI II</v>
      </c>
      <c r="H2120" t="s">
        <v>1700</v>
      </c>
      <c r="I2120" t="s">
        <v>20</v>
      </c>
      <c r="J2120" t="s">
        <v>64</v>
      </c>
      <c r="K2120" s="6">
        <v>0.03</v>
      </c>
      <c r="L2120" s="7">
        <f t="shared" si="67"/>
        <v>2E-3</v>
      </c>
      <c r="M2120" s="7">
        <v>3.0000000000000001E-3</v>
      </c>
      <c r="N2120">
        <v>11</v>
      </c>
      <c r="O2120" s="8">
        <v>22.933916850949441</v>
      </c>
      <c r="P2120" s="9">
        <v>22.933916850949441</v>
      </c>
      <c r="Q2120" s="9">
        <v>22.933916850949441</v>
      </c>
      <c r="R2120" s="9">
        <v>25.173745848546066</v>
      </c>
      <c r="S2120" s="9">
        <v>27.641690539343774</v>
      </c>
      <c r="T2120" s="9">
        <v>29.730378573928668</v>
      </c>
      <c r="U2120" s="9">
        <v>36.183590217329723</v>
      </c>
      <c r="V2120" s="9">
        <v>36.183590217329723</v>
      </c>
      <c r="W2120" s="9">
        <v>36.183590217329723</v>
      </c>
      <c r="X2120" s="9">
        <v>43.522810559209468</v>
      </c>
      <c r="Y2120" s="9">
        <v>43.522810559209468</v>
      </c>
      <c r="Z2120" s="9">
        <v>50.960858783530121</v>
      </c>
      <c r="AA2120" s="9">
        <v>50.960858783530121</v>
      </c>
      <c r="AB2120" s="9">
        <v>58.507617678535738</v>
      </c>
      <c r="AC2120" s="9">
        <v>58.507617678535738</v>
      </c>
      <c r="AD2120" s="9">
        <v>68.105109643716474</v>
      </c>
      <c r="AE2120" s="9">
        <v>75.132723269302929</v>
      </c>
      <c r="AF2120" s="9">
        <v>82.290622386277917</v>
      </c>
      <c r="AG2120" s="9">
        <v>82.290622386277917</v>
      </c>
      <c r="AH2120" s="9">
        <v>90.43943145512165</v>
      </c>
      <c r="AI2120" s="9">
        <v>98.380048333692613</v>
      </c>
      <c r="AJ2120" s="9">
        <v>3.0428788910505911</v>
      </c>
    </row>
    <row r="2121" spans="1:36" x14ac:dyDescent="0.25">
      <c r="A2121" t="s">
        <v>5411</v>
      </c>
      <c r="B2121" t="s">
        <v>16</v>
      </c>
      <c r="C2121" t="s">
        <v>17</v>
      </c>
      <c r="D2121">
        <v>45840000</v>
      </c>
      <c r="E2121">
        <v>45847999</v>
      </c>
      <c r="F2121" t="s">
        <v>1901</v>
      </c>
      <c r="G2121" t="str">
        <f t="shared" si="66"/>
        <v>BAI II</v>
      </c>
      <c r="H2121" t="s">
        <v>1700</v>
      </c>
      <c r="I2121" t="s">
        <v>20</v>
      </c>
      <c r="J2121" t="s">
        <v>64</v>
      </c>
      <c r="K2121" s="6">
        <v>0.03</v>
      </c>
      <c r="L2121" s="7">
        <f t="shared" si="67"/>
        <v>2E-3</v>
      </c>
      <c r="M2121" s="7">
        <v>3.0000000000000001E-3</v>
      </c>
      <c r="N2121">
        <v>10</v>
      </c>
      <c r="O2121" s="8">
        <v>22.933916850949441</v>
      </c>
      <c r="P2121" s="9">
        <v>22.933916850949441</v>
      </c>
      <c r="Q2121" s="9">
        <v>22.933916850949441</v>
      </c>
      <c r="R2121" s="9">
        <v>25.173745848546066</v>
      </c>
      <c r="S2121" s="9">
        <v>27.641690539343774</v>
      </c>
      <c r="T2121" s="9">
        <v>29.730378573928668</v>
      </c>
      <c r="U2121" s="9">
        <v>36.183590217329723</v>
      </c>
      <c r="V2121" s="9">
        <v>36.183590217329723</v>
      </c>
      <c r="W2121" s="9">
        <v>36.183590217329723</v>
      </c>
      <c r="X2121" s="9">
        <v>43.522810559209468</v>
      </c>
      <c r="Y2121" s="9">
        <v>43.522810559209468</v>
      </c>
      <c r="Z2121" s="9">
        <v>50.960858783530121</v>
      </c>
      <c r="AA2121" s="9">
        <v>50.960858783530121</v>
      </c>
      <c r="AB2121" s="9">
        <v>58.507617678535738</v>
      </c>
      <c r="AC2121" s="9">
        <v>58.507617678535738</v>
      </c>
      <c r="AD2121" s="9">
        <v>68.105109643716474</v>
      </c>
      <c r="AE2121" s="9">
        <v>75.132723269302929</v>
      </c>
      <c r="AF2121" s="9">
        <v>82.290622386277917</v>
      </c>
      <c r="AG2121" s="9">
        <v>82.290622386277917</v>
      </c>
      <c r="AH2121" s="9">
        <v>90.43943145512165</v>
      </c>
      <c r="AI2121" s="9">
        <v>98.380048333692613</v>
      </c>
      <c r="AJ2121" s="9">
        <v>3.0428788910505911</v>
      </c>
    </row>
    <row r="2122" spans="1:36" x14ac:dyDescent="0.25">
      <c r="A2122" t="s">
        <v>5411</v>
      </c>
      <c r="B2122" t="s">
        <v>16</v>
      </c>
      <c r="C2122" t="s">
        <v>17</v>
      </c>
      <c r="D2122">
        <v>45848000</v>
      </c>
      <c r="E2122">
        <v>45848970</v>
      </c>
      <c r="F2122" t="s">
        <v>1902</v>
      </c>
      <c r="G2122" t="str">
        <f t="shared" si="66"/>
        <v>BAI II</v>
      </c>
      <c r="H2122" t="s">
        <v>1700</v>
      </c>
      <c r="I2122" t="s">
        <v>20</v>
      </c>
      <c r="J2122" t="s">
        <v>64</v>
      </c>
      <c r="K2122" s="6">
        <v>0.03</v>
      </c>
      <c r="L2122" s="7">
        <f t="shared" si="67"/>
        <v>2E-3</v>
      </c>
      <c r="M2122" s="7">
        <v>3.0000000000000001E-3</v>
      </c>
      <c r="N2122">
        <v>10</v>
      </c>
      <c r="O2122" s="8">
        <v>22.933916850949441</v>
      </c>
      <c r="P2122" s="9">
        <v>22.933916850949441</v>
      </c>
      <c r="Q2122" s="9">
        <v>22.933916850949441</v>
      </c>
      <c r="R2122" s="9">
        <v>25.173745848546066</v>
      </c>
      <c r="S2122" s="9">
        <v>27.641690539343774</v>
      </c>
      <c r="T2122" s="9">
        <v>29.730378573928668</v>
      </c>
      <c r="U2122" s="9">
        <v>36.183590217329723</v>
      </c>
      <c r="V2122" s="9">
        <v>36.183590217329723</v>
      </c>
      <c r="W2122" s="9">
        <v>36.183590217329723</v>
      </c>
      <c r="X2122" s="9">
        <v>43.522810559209468</v>
      </c>
      <c r="Y2122" s="9">
        <v>43.522810559209468</v>
      </c>
      <c r="Z2122" s="9">
        <v>50.960858783530121</v>
      </c>
      <c r="AA2122" s="9">
        <v>50.960858783530121</v>
      </c>
      <c r="AB2122" s="9">
        <v>58.507617678535738</v>
      </c>
      <c r="AC2122" s="9">
        <v>58.507617678535738</v>
      </c>
      <c r="AD2122" s="9">
        <v>68.105109643716474</v>
      </c>
      <c r="AE2122" s="9">
        <v>75.132723269302929</v>
      </c>
      <c r="AF2122" s="9">
        <v>82.290622386277917</v>
      </c>
      <c r="AG2122" s="9">
        <v>82.290622386277917</v>
      </c>
      <c r="AH2122" s="9">
        <v>90.43943145512165</v>
      </c>
      <c r="AI2122" s="9">
        <v>98.380048333692613</v>
      </c>
      <c r="AJ2122" s="9">
        <v>3.0428788910505911</v>
      </c>
    </row>
    <row r="2123" spans="1:36" x14ac:dyDescent="0.25">
      <c r="A2123" t="s">
        <v>5411</v>
      </c>
      <c r="B2123" t="s">
        <v>16</v>
      </c>
      <c r="C2123" t="s">
        <v>17</v>
      </c>
      <c r="D2123">
        <v>45848971</v>
      </c>
      <c r="E2123">
        <v>45849999</v>
      </c>
      <c r="F2123" t="s">
        <v>1902</v>
      </c>
      <c r="G2123" t="str">
        <f t="shared" si="66"/>
        <v>BAI II</v>
      </c>
      <c r="H2123" t="s">
        <v>1700</v>
      </c>
      <c r="I2123" t="s">
        <v>20</v>
      </c>
      <c r="J2123" t="s">
        <v>64</v>
      </c>
      <c r="K2123" s="6">
        <v>0.03</v>
      </c>
      <c r="L2123" s="7">
        <f t="shared" si="67"/>
        <v>2E-3</v>
      </c>
      <c r="M2123" s="7">
        <v>3.0000000000000001E-3</v>
      </c>
      <c r="N2123">
        <v>11</v>
      </c>
      <c r="O2123" s="8">
        <v>22.933916850949441</v>
      </c>
      <c r="P2123" s="9">
        <v>22.933916850949441</v>
      </c>
      <c r="Q2123" s="9">
        <v>22.933916850949441</v>
      </c>
      <c r="R2123" s="9">
        <v>25.173745848546066</v>
      </c>
      <c r="S2123" s="9">
        <v>27.641690539343774</v>
      </c>
      <c r="T2123" s="9">
        <v>29.730378573928668</v>
      </c>
      <c r="U2123" s="9">
        <v>36.183590217329723</v>
      </c>
      <c r="V2123" s="9">
        <v>36.183590217329723</v>
      </c>
      <c r="W2123" s="9">
        <v>36.183590217329723</v>
      </c>
      <c r="X2123" s="9">
        <v>43.522810559209468</v>
      </c>
      <c r="Y2123" s="9">
        <v>43.522810559209468</v>
      </c>
      <c r="Z2123" s="9">
        <v>50.960858783530121</v>
      </c>
      <c r="AA2123" s="9">
        <v>50.960858783530121</v>
      </c>
      <c r="AB2123" s="9">
        <v>58.507617678535738</v>
      </c>
      <c r="AC2123" s="9">
        <v>58.507617678535738</v>
      </c>
      <c r="AD2123" s="9">
        <v>68.105109643716474</v>
      </c>
      <c r="AE2123" s="9">
        <v>75.132723269302929</v>
      </c>
      <c r="AF2123" s="9">
        <v>82.290622386277917</v>
      </c>
      <c r="AG2123" s="9">
        <v>82.290622386277917</v>
      </c>
      <c r="AH2123" s="9">
        <v>90.43943145512165</v>
      </c>
      <c r="AI2123" s="9">
        <v>98.380048333692613</v>
      </c>
      <c r="AJ2123" s="9">
        <v>3.0428788910505911</v>
      </c>
    </row>
    <row r="2124" spans="1:36" x14ac:dyDescent="0.25">
      <c r="A2124" t="s">
        <v>5411</v>
      </c>
      <c r="B2124" t="s">
        <v>16</v>
      </c>
      <c r="C2124" t="s">
        <v>17</v>
      </c>
      <c r="D2124">
        <v>45850000</v>
      </c>
      <c r="E2124">
        <v>45850971</v>
      </c>
      <c r="F2124" t="s">
        <v>1903</v>
      </c>
      <c r="G2124" t="str">
        <f t="shared" si="66"/>
        <v>BAI II</v>
      </c>
      <c r="H2124" t="s">
        <v>1700</v>
      </c>
      <c r="I2124" t="s">
        <v>20</v>
      </c>
      <c r="J2124" t="s">
        <v>64</v>
      </c>
      <c r="K2124" s="6">
        <v>0.03</v>
      </c>
      <c r="L2124" s="7">
        <f t="shared" si="67"/>
        <v>2E-3</v>
      </c>
      <c r="M2124" s="7">
        <v>3.0000000000000001E-3</v>
      </c>
      <c r="N2124">
        <v>10</v>
      </c>
      <c r="O2124" s="8">
        <v>22.933916850949441</v>
      </c>
      <c r="P2124" s="9">
        <v>22.933916850949441</v>
      </c>
      <c r="Q2124" s="9">
        <v>22.933916850949441</v>
      </c>
      <c r="R2124" s="9">
        <v>25.173745848546066</v>
      </c>
      <c r="S2124" s="9">
        <v>27.641690539343774</v>
      </c>
      <c r="T2124" s="9">
        <v>29.730378573928668</v>
      </c>
      <c r="U2124" s="9">
        <v>36.183590217329723</v>
      </c>
      <c r="V2124" s="9">
        <v>36.183590217329723</v>
      </c>
      <c r="W2124" s="9">
        <v>36.183590217329723</v>
      </c>
      <c r="X2124" s="9">
        <v>43.522810559209468</v>
      </c>
      <c r="Y2124" s="9">
        <v>43.522810559209468</v>
      </c>
      <c r="Z2124" s="9">
        <v>50.960858783530121</v>
      </c>
      <c r="AA2124" s="9">
        <v>50.960858783530121</v>
      </c>
      <c r="AB2124" s="9">
        <v>58.507617678535738</v>
      </c>
      <c r="AC2124" s="9">
        <v>58.507617678535738</v>
      </c>
      <c r="AD2124" s="9">
        <v>68.105109643716474</v>
      </c>
      <c r="AE2124" s="9">
        <v>75.132723269302929</v>
      </c>
      <c r="AF2124" s="9">
        <v>82.290622386277917</v>
      </c>
      <c r="AG2124" s="9">
        <v>82.290622386277917</v>
      </c>
      <c r="AH2124" s="9">
        <v>90.43943145512165</v>
      </c>
      <c r="AI2124" s="9">
        <v>98.380048333692613</v>
      </c>
      <c r="AJ2124" s="9">
        <v>3.0428788910505911</v>
      </c>
    </row>
    <row r="2125" spans="1:36" x14ac:dyDescent="0.25">
      <c r="A2125" t="s">
        <v>5411</v>
      </c>
      <c r="B2125" t="s">
        <v>16</v>
      </c>
      <c r="C2125" t="s">
        <v>17</v>
      </c>
      <c r="D2125">
        <v>45850972</v>
      </c>
      <c r="E2125">
        <v>45854999</v>
      </c>
      <c r="F2125" t="s">
        <v>1903</v>
      </c>
      <c r="G2125" t="str">
        <f t="shared" si="66"/>
        <v>BAI II</v>
      </c>
      <c r="H2125" t="s">
        <v>1700</v>
      </c>
      <c r="I2125" t="s">
        <v>20</v>
      </c>
      <c r="J2125" t="s">
        <v>64</v>
      </c>
      <c r="K2125" s="6">
        <v>0.03</v>
      </c>
      <c r="L2125" s="7">
        <f t="shared" si="67"/>
        <v>2E-3</v>
      </c>
      <c r="M2125" s="7">
        <v>3.0000000000000001E-3</v>
      </c>
      <c r="N2125">
        <v>11</v>
      </c>
      <c r="O2125" s="8">
        <v>22.933916850949441</v>
      </c>
      <c r="P2125" s="9">
        <v>22.933916850949441</v>
      </c>
      <c r="Q2125" s="9">
        <v>22.933916850949441</v>
      </c>
      <c r="R2125" s="9">
        <v>25.173745848546066</v>
      </c>
      <c r="S2125" s="9">
        <v>27.641690539343774</v>
      </c>
      <c r="T2125" s="9">
        <v>29.730378573928668</v>
      </c>
      <c r="U2125" s="9">
        <v>36.183590217329723</v>
      </c>
      <c r="V2125" s="9">
        <v>36.183590217329723</v>
      </c>
      <c r="W2125" s="9">
        <v>36.183590217329723</v>
      </c>
      <c r="X2125" s="9">
        <v>43.522810559209468</v>
      </c>
      <c r="Y2125" s="9">
        <v>43.522810559209468</v>
      </c>
      <c r="Z2125" s="9">
        <v>50.960858783530121</v>
      </c>
      <c r="AA2125" s="9">
        <v>50.960858783530121</v>
      </c>
      <c r="AB2125" s="9">
        <v>58.507617678535738</v>
      </c>
      <c r="AC2125" s="9">
        <v>58.507617678535738</v>
      </c>
      <c r="AD2125" s="9">
        <v>68.105109643716474</v>
      </c>
      <c r="AE2125" s="9">
        <v>75.132723269302929</v>
      </c>
      <c r="AF2125" s="9">
        <v>82.290622386277917</v>
      </c>
      <c r="AG2125" s="9">
        <v>82.290622386277917</v>
      </c>
      <c r="AH2125" s="9">
        <v>90.43943145512165</v>
      </c>
      <c r="AI2125" s="9">
        <v>98.380048333692613</v>
      </c>
      <c r="AJ2125" s="9">
        <v>3.0428788910505911</v>
      </c>
    </row>
    <row r="2126" spans="1:36" x14ac:dyDescent="0.25">
      <c r="A2126" t="s">
        <v>5411</v>
      </c>
      <c r="B2126" t="s">
        <v>16</v>
      </c>
      <c r="C2126" t="s">
        <v>17</v>
      </c>
      <c r="D2126">
        <v>45855000</v>
      </c>
      <c r="E2126">
        <v>45855991</v>
      </c>
      <c r="F2126" t="s">
        <v>1904</v>
      </c>
      <c r="G2126" t="str">
        <f t="shared" si="66"/>
        <v>BAI II</v>
      </c>
      <c r="H2126" t="s">
        <v>1700</v>
      </c>
      <c r="I2126" t="s">
        <v>20</v>
      </c>
      <c r="J2126" t="s">
        <v>64</v>
      </c>
      <c r="K2126" s="6">
        <v>0.03</v>
      </c>
      <c r="L2126" s="7">
        <f t="shared" si="67"/>
        <v>2E-3</v>
      </c>
      <c r="M2126" s="7">
        <v>3.0000000000000001E-3</v>
      </c>
      <c r="N2126">
        <v>10</v>
      </c>
      <c r="O2126" s="8">
        <v>22.933916850949441</v>
      </c>
      <c r="P2126" s="9">
        <v>22.933916850949441</v>
      </c>
      <c r="Q2126" s="9">
        <v>22.933916850949441</v>
      </c>
      <c r="R2126" s="9">
        <v>25.173745848546066</v>
      </c>
      <c r="S2126" s="9">
        <v>27.641690539343774</v>
      </c>
      <c r="T2126" s="9">
        <v>29.730378573928668</v>
      </c>
      <c r="U2126" s="9">
        <v>36.183590217329723</v>
      </c>
      <c r="V2126" s="9">
        <v>36.183590217329723</v>
      </c>
      <c r="W2126" s="9">
        <v>36.183590217329723</v>
      </c>
      <c r="X2126" s="9">
        <v>43.522810559209468</v>
      </c>
      <c r="Y2126" s="9">
        <v>43.522810559209468</v>
      </c>
      <c r="Z2126" s="9">
        <v>50.960858783530121</v>
      </c>
      <c r="AA2126" s="9">
        <v>50.960858783530121</v>
      </c>
      <c r="AB2126" s="9">
        <v>58.507617678535738</v>
      </c>
      <c r="AC2126" s="9">
        <v>58.507617678535738</v>
      </c>
      <c r="AD2126" s="9">
        <v>68.105109643716474</v>
      </c>
      <c r="AE2126" s="9">
        <v>75.132723269302929</v>
      </c>
      <c r="AF2126" s="9">
        <v>82.290622386277917</v>
      </c>
      <c r="AG2126" s="9">
        <v>82.290622386277917</v>
      </c>
      <c r="AH2126" s="9">
        <v>90.43943145512165</v>
      </c>
      <c r="AI2126" s="9">
        <v>98.380048333692613</v>
      </c>
      <c r="AJ2126" s="9">
        <v>3.0428788910505911</v>
      </c>
    </row>
    <row r="2127" spans="1:36" x14ac:dyDescent="0.25">
      <c r="A2127" t="s">
        <v>5411</v>
      </c>
      <c r="B2127" t="s">
        <v>16</v>
      </c>
      <c r="C2127" t="s">
        <v>17</v>
      </c>
      <c r="D2127">
        <v>45855992</v>
      </c>
      <c r="E2127">
        <v>45859999</v>
      </c>
      <c r="F2127" t="s">
        <v>1905</v>
      </c>
      <c r="G2127" t="str">
        <f t="shared" si="66"/>
        <v>BAI II</v>
      </c>
      <c r="H2127" t="s">
        <v>1700</v>
      </c>
      <c r="I2127" t="s">
        <v>20</v>
      </c>
      <c r="J2127" t="s">
        <v>64</v>
      </c>
      <c r="K2127" s="6">
        <v>0.03</v>
      </c>
      <c r="L2127" s="7">
        <f t="shared" si="67"/>
        <v>2E-3</v>
      </c>
      <c r="M2127" s="7">
        <v>3.0000000000000001E-3</v>
      </c>
      <c r="N2127">
        <v>11</v>
      </c>
      <c r="O2127" s="8">
        <v>22.933916850949441</v>
      </c>
      <c r="P2127" s="9">
        <v>22.933916850949441</v>
      </c>
      <c r="Q2127" s="9">
        <v>22.933916850949441</v>
      </c>
      <c r="R2127" s="9">
        <v>25.173745848546066</v>
      </c>
      <c r="S2127" s="9">
        <v>27.641690539343774</v>
      </c>
      <c r="T2127" s="9">
        <v>29.730378573928668</v>
      </c>
      <c r="U2127" s="9">
        <v>36.183590217329723</v>
      </c>
      <c r="V2127" s="9">
        <v>36.183590217329723</v>
      </c>
      <c r="W2127" s="9">
        <v>36.183590217329723</v>
      </c>
      <c r="X2127" s="9">
        <v>43.522810559209468</v>
      </c>
      <c r="Y2127" s="9">
        <v>43.522810559209468</v>
      </c>
      <c r="Z2127" s="9">
        <v>50.960858783530121</v>
      </c>
      <c r="AA2127" s="9">
        <v>50.960858783530121</v>
      </c>
      <c r="AB2127" s="9">
        <v>58.507617678535738</v>
      </c>
      <c r="AC2127" s="9">
        <v>58.507617678535738</v>
      </c>
      <c r="AD2127" s="9">
        <v>68.105109643716474</v>
      </c>
      <c r="AE2127" s="9">
        <v>75.132723269302929</v>
      </c>
      <c r="AF2127" s="9">
        <v>82.290622386277917</v>
      </c>
      <c r="AG2127" s="9">
        <v>82.290622386277917</v>
      </c>
      <c r="AH2127" s="9">
        <v>90.43943145512165</v>
      </c>
      <c r="AI2127" s="9">
        <v>98.380048333692613</v>
      </c>
      <c r="AJ2127" s="9">
        <v>3.0428788910505911</v>
      </c>
    </row>
    <row r="2128" spans="1:36" x14ac:dyDescent="0.25">
      <c r="A2128" t="s">
        <v>5411</v>
      </c>
      <c r="B2128" t="s">
        <v>16</v>
      </c>
      <c r="C2128" t="s">
        <v>17</v>
      </c>
      <c r="D2128">
        <v>45860000</v>
      </c>
      <c r="E2128">
        <v>45864999</v>
      </c>
      <c r="F2128" t="s">
        <v>1906</v>
      </c>
      <c r="G2128" t="str">
        <f t="shared" si="66"/>
        <v>BAI II</v>
      </c>
      <c r="H2128" t="s">
        <v>1700</v>
      </c>
      <c r="I2128" t="s">
        <v>20</v>
      </c>
      <c r="J2128" t="s">
        <v>64</v>
      </c>
      <c r="K2128" s="6">
        <v>0.03</v>
      </c>
      <c r="L2128" s="7">
        <f t="shared" si="67"/>
        <v>2E-3</v>
      </c>
      <c r="M2128" s="7">
        <v>3.0000000000000001E-3</v>
      </c>
      <c r="N2128">
        <v>14</v>
      </c>
      <c r="O2128" s="8">
        <v>22.933916850949441</v>
      </c>
      <c r="P2128" s="9">
        <v>22.933916850949441</v>
      </c>
      <c r="Q2128" s="9">
        <v>22.933916850949441</v>
      </c>
      <c r="R2128" s="9">
        <v>25.173745848546066</v>
      </c>
      <c r="S2128" s="9">
        <v>27.641690539343774</v>
      </c>
      <c r="T2128" s="9">
        <v>29.730378573928668</v>
      </c>
      <c r="U2128" s="9">
        <v>36.183590217329723</v>
      </c>
      <c r="V2128" s="9">
        <v>36.183590217329723</v>
      </c>
      <c r="W2128" s="9">
        <v>36.183590217329723</v>
      </c>
      <c r="X2128" s="9">
        <v>43.522810559209468</v>
      </c>
      <c r="Y2128" s="9">
        <v>43.522810559209468</v>
      </c>
      <c r="Z2128" s="9">
        <v>50.960858783530121</v>
      </c>
      <c r="AA2128" s="9">
        <v>50.960858783530121</v>
      </c>
      <c r="AB2128" s="9">
        <v>58.507617678535738</v>
      </c>
      <c r="AC2128" s="9">
        <v>58.507617678535738</v>
      </c>
      <c r="AD2128" s="9">
        <v>68.105109643716474</v>
      </c>
      <c r="AE2128" s="9">
        <v>75.132723269302929</v>
      </c>
      <c r="AF2128" s="9">
        <v>82.290622386277917</v>
      </c>
      <c r="AG2128" s="9">
        <v>82.290622386277917</v>
      </c>
      <c r="AH2128" s="9">
        <v>90.43943145512165</v>
      </c>
      <c r="AI2128" s="9">
        <v>98.380048333692613</v>
      </c>
      <c r="AJ2128" s="9">
        <v>3.0428788910505911</v>
      </c>
    </row>
    <row r="2129" spans="1:36" x14ac:dyDescent="0.25">
      <c r="A2129" t="s">
        <v>5411</v>
      </c>
      <c r="B2129" t="s">
        <v>16</v>
      </c>
      <c r="C2129" t="s">
        <v>17</v>
      </c>
      <c r="D2129">
        <v>45865000</v>
      </c>
      <c r="E2129">
        <v>45869999</v>
      </c>
      <c r="F2129" t="s">
        <v>1907</v>
      </c>
      <c r="G2129" t="str">
        <f t="shared" si="66"/>
        <v>BAI II</v>
      </c>
      <c r="H2129" t="s">
        <v>1700</v>
      </c>
      <c r="I2129" t="s">
        <v>20</v>
      </c>
      <c r="J2129" t="s">
        <v>64</v>
      </c>
      <c r="K2129" s="6">
        <v>0.03</v>
      </c>
      <c r="L2129" s="7">
        <f t="shared" si="67"/>
        <v>2E-3</v>
      </c>
      <c r="M2129" s="7">
        <v>3.0000000000000001E-3</v>
      </c>
      <c r="N2129">
        <v>11</v>
      </c>
      <c r="O2129" s="8">
        <v>22.933916850949441</v>
      </c>
      <c r="P2129" s="9">
        <v>22.933916850949441</v>
      </c>
      <c r="Q2129" s="9">
        <v>22.933916850949441</v>
      </c>
      <c r="R2129" s="9">
        <v>25.173745848546066</v>
      </c>
      <c r="S2129" s="9">
        <v>27.641690539343774</v>
      </c>
      <c r="T2129" s="9">
        <v>29.730378573928668</v>
      </c>
      <c r="U2129" s="9">
        <v>36.183590217329723</v>
      </c>
      <c r="V2129" s="9">
        <v>36.183590217329723</v>
      </c>
      <c r="W2129" s="9">
        <v>36.183590217329723</v>
      </c>
      <c r="X2129" s="9">
        <v>43.522810559209468</v>
      </c>
      <c r="Y2129" s="9">
        <v>43.522810559209468</v>
      </c>
      <c r="Z2129" s="9">
        <v>50.960858783530121</v>
      </c>
      <c r="AA2129" s="9">
        <v>50.960858783530121</v>
      </c>
      <c r="AB2129" s="9">
        <v>58.507617678535738</v>
      </c>
      <c r="AC2129" s="9">
        <v>58.507617678535738</v>
      </c>
      <c r="AD2129" s="9">
        <v>68.105109643716474</v>
      </c>
      <c r="AE2129" s="9">
        <v>75.132723269302929</v>
      </c>
      <c r="AF2129" s="9">
        <v>82.290622386277917</v>
      </c>
      <c r="AG2129" s="9">
        <v>82.290622386277917</v>
      </c>
      <c r="AH2129" s="9">
        <v>90.43943145512165</v>
      </c>
      <c r="AI2129" s="9">
        <v>98.380048333692613</v>
      </c>
      <c r="AJ2129" s="9">
        <v>3.0428788910505911</v>
      </c>
    </row>
    <row r="2130" spans="1:36" x14ac:dyDescent="0.25">
      <c r="A2130" t="s">
        <v>5411</v>
      </c>
      <c r="B2130" t="s">
        <v>16</v>
      </c>
      <c r="C2130" t="s">
        <v>17</v>
      </c>
      <c r="D2130">
        <v>45870000</v>
      </c>
      <c r="E2130">
        <v>45879999</v>
      </c>
      <c r="F2130" t="s">
        <v>1908</v>
      </c>
      <c r="G2130" t="str">
        <f t="shared" si="66"/>
        <v>BAI II</v>
      </c>
      <c r="H2130" t="s">
        <v>1700</v>
      </c>
      <c r="I2130" t="s">
        <v>20</v>
      </c>
      <c r="J2130" t="s">
        <v>64</v>
      </c>
      <c r="K2130" s="6">
        <v>0.03</v>
      </c>
      <c r="L2130" s="7">
        <f t="shared" si="67"/>
        <v>2E-3</v>
      </c>
      <c r="M2130" s="7">
        <v>3.0000000000000001E-3</v>
      </c>
      <c r="N2130">
        <v>11</v>
      </c>
      <c r="O2130" s="8">
        <v>22.933916850949441</v>
      </c>
      <c r="P2130" s="9">
        <v>22.933916850949441</v>
      </c>
      <c r="Q2130" s="9">
        <v>22.933916850949441</v>
      </c>
      <c r="R2130" s="9">
        <v>25.173745848546066</v>
      </c>
      <c r="S2130" s="9">
        <v>27.641690539343774</v>
      </c>
      <c r="T2130" s="9">
        <v>29.730378573928668</v>
      </c>
      <c r="U2130" s="9">
        <v>36.183590217329723</v>
      </c>
      <c r="V2130" s="9">
        <v>36.183590217329723</v>
      </c>
      <c r="W2130" s="9">
        <v>36.183590217329723</v>
      </c>
      <c r="X2130" s="9">
        <v>43.522810559209468</v>
      </c>
      <c r="Y2130" s="9">
        <v>43.522810559209468</v>
      </c>
      <c r="Z2130" s="9">
        <v>50.960858783530121</v>
      </c>
      <c r="AA2130" s="9">
        <v>50.960858783530121</v>
      </c>
      <c r="AB2130" s="9">
        <v>58.507617678535738</v>
      </c>
      <c r="AC2130" s="9">
        <v>58.507617678535738</v>
      </c>
      <c r="AD2130" s="9">
        <v>68.105109643716474</v>
      </c>
      <c r="AE2130" s="9">
        <v>75.132723269302929</v>
      </c>
      <c r="AF2130" s="9">
        <v>82.290622386277917</v>
      </c>
      <c r="AG2130" s="9">
        <v>82.290622386277917</v>
      </c>
      <c r="AH2130" s="9">
        <v>90.43943145512165</v>
      </c>
      <c r="AI2130" s="9">
        <v>98.380048333692613</v>
      </c>
      <c r="AJ2130" s="9">
        <v>3.0428788910505911</v>
      </c>
    </row>
    <row r="2131" spans="1:36" x14ac:dyDescent="0.25">
      <c r="A2131" t="s">
        <v>5411</v>
      </c>
      <c r="B2131" t="s">
        <v>16</v>
      </c>
      <c r="C2131" t="s">
        <v>17</v>
      </c>
      <c r="D2131">
        <v>45880000</v>
      </c>
      <c r="E2131">
        <v>45889999</v>
      </c>
      <c r="F2131" t="s">
        <v>1909</v>
      </c>
      <c r="G2131" t="str">
        <f t="shared" si="66"/>
        <v>BAI II</v>
      </c>
      <c r="H2131" t="s">
        <v>1700</v>
      </c>
      <c r="I2131" t="s">
        <v>20</v>
      </c>
      <c r="J2131" t="s">
        <v>64</v>
      </c>
      <c r="K2131" s="6">
        <v>0.03</v>
      </c>
      <c r="L2131" s="7">
        <f t="shared" si="67"/>
        <v>2E-3</v>
      </c>
      <c r="M2131" s="7">
        <v>3.0000000000000001E-3</v>
      </c>
      <c r="N2131">
        <v>11</v>
      </c>
      <c r="O2131" s="8">
        <v>22.933916850949441</v>
      </c>
      <c r="P2131" s="9">
        <v>22.933916850949441</v>
      </c>
      <c r="Q2131" s="9">
        <v>22.933916850949441</v>
      </c>
      <c r="R2131" s="9">
        <v>25.173745848546066</v>
      </c>
      <c r="S2131" s="9">
        <v>27.641690539343774</v>
      </c>
      <c r="T2131" s="9">
        <v>29.730378573928668</v>
      </c>
      <c r="U2131" s="9">
        <v>36.183590217329723</v>
      </c>
      <c r="V2131" s="9">
        <v>36.183590217329723</v>
      </c>
      <c r="W2131" s="9">
        <v>36.183590217329723</v>
      </c>
      <c r="X2131" s="9">
        <v>43.522810559209468</v>
      </c>
      <c r="Y2131" s="9">
        <v>43.522810559209468</v>
      </c>
      <c r="Z2131" s="9">
        <v>50.960858783530121</v>
      </c>
      <c r="AA2131" s="9">
        <v>50.960858783530121</v>
      </c>
      <c r="AB2131" s="9">
        <v>58.507617678535738</v>
      </c>
      <c r="AC2131" s="9">
        <v>58.507617678535738</v>
      </c>
      <c r="AD2131" s="9">
        <v>68.105109643716474</v>
      </c>
      <c r="AE2131" s="9">
        <v>75.132723269302929</v>
      </c>
      <c r="AF2131" s="9">
        <v>82.290622386277917</v>
      </c>
      <c r="AG2131" s="9">
        <v>82.290622386277917</v>
      </c>
      <c r="AH2131" s="9">
        <v>90.43943145512165</v>
      </c>
      <c r="AI2131" s="9">
        <v>98.380048333692613</v>
      </c>
      <c r="AJ2131" s="9">
        <v>3.0428788910505911</v>
      </c>
    </row>
    <row r="2132" spans="1:36" x14ac:dyDescent="0.25">
      <c r="A2132" t="s">
        <v>5411</v>
      </c>
      <c r="B2132" t="s">
        <v>16</v>
      </c>
      <c r="C2132" t="s">
        <v>17</v>
      </c>
      <c r="D2132">
        <v>45890000</v>
      </c>
      <c r="E2132">
        <v>45899999</v>
      </c>
      <c r="F2132" t="s">
        <v>1910</v>
      </c>
      <c r="G2132" t="str">
        <f t="shared" si="66"/>
        <v>BAI II</v>
      </c>
      <c r="H2132" t="s">
        <v>1700</v>
      </c>
      <c r="I2132" t="s">
        <v>20</v>
      </c>
      <c r="J2132" t="s">
        <v>64</v>
      </c>
      <c r="K2132" s="6">
        <v>0.03</v>
      </c>
      <c r="L2132" s="7">
        <f t="shared" si="67"/>
        <v>2E-3</v>
      </c>
      <c r="M2132" s="7">
        <v>3.0000000000000001E-3</v>
      </c>
      <c r="N2132">
        <v>11</v>
      </c>
      <c r="O2132" s="8">
        <v>22.933916850949441</v>
      </c>
      <c r="P2132" s="9">
        <v>22.933916850949441</v>
      </c>
      <c r="Q2132" s="9">
        <v>22.933916850949441</v>
      </c>
      <c r="R2132" s="9">
        <v>25.173745848546066</v>
      </c>
      <c r="S2132" s="9">
        <v>27.641690539343774</v>
      </c>
      <c r="T2132" s="9">
        <v>29.730378573928668</v>
      </c>
      <c r="U2132" s="9">
        <v>36.183590217329723</v>
      </c>
      <c r="V2132" s="9">
        <v>36.183590217329723</v>
      </c>
      <c r="W2132" s="9">
        <v>36.183590217329723</v>
      </c>
      <c r="X2132" s="9">
        <v>43.522810559209468</v>
      </c>
      <c r="Y2132" s="9">
        <v>43.522810559209468</v>
      </c>
      <c r="Z2132" s="9">
        <v>50.960858783530121</v>
      </c>
      <c r="AA2132" s="9">
        <v>50.960858783530121</v>
      </c>
      <c r="AB2132" s="9">
        <v>58.507617678535738</v>
      </c>
      <c r="AC2132" s="9">
        <v>58.507617678535738</v>
      </c>
      <c r="AD2132" s="9">
        <v>68.105109643716474</v>
      </c>
      <c r="AE2132" s="9">
        <v>75.132723269302929</v>
      </c>
      <c r="AF2132" s="9">
        <v>82.290622386277917</v>
      </c>
      <c r="AG2132" s="9">
        <v>82.290622386277917</v>
      </c>
      <c r="AH2132" s="9">
        <v>90.43943145512165</v>
      </c>
      <c r="AI2132" s="9">
        <v>98.380048333692613</v>
      </c>
      <c r="AJ2132" s="9">
        <v>3.0428788910505911</v>
      </c>
    </row>
    <row r="2133" spans="1:36" x14ac:dyDescent="0.25">
      <c r="A2133" t="s">
        <v>5411</v>
      </c>
      <c r="B2133" t="s">
        <v>16</v>
      </c>
      <c r="C2133" t="s">
        <v>17</v>
      </c>
      <c r="D2133">
        <v>45900000</v>
      </c>
      <c r="E2133">
        <v>45900970</v>
      </c>
      <c r="F2133" t="s">
        <v>1911</v>
      </c>
      <c r="G2133" t="str">
        <f t="shared" si="66"/>
        <v>BAI II</v>
      </c>
      <c r="H2133" t="s">
        <v>1700</v>
      </c>
      <c r="I2133" t="s">
        <v>20</v>
      </c>
      <c r="J2133" t="s">
        <v>64</v>
      </c>
      <c r="K2133" s="6">
        <v>0.03</v>
      </c>
      <c r="L2133" s="7">
        <f t="shared" si="67"/>
        <v>2E-3</v>
      </c>
      <c r="M2133" s="7">
        <v>3.0000000000000001E-3</v>
      </c>
      <c r="N2133">
        <v>10</v>
      </c>
      <c r="O2133" s="8">
        <v>22.933916850949441</v>
      </c>
      <c r="P2133" s="9">
        <v>22.933916850949441</v>
      </c>
      <c r="Q2133" s="9">
        <v>22.933916850949441</v>
      </c>
      <c r="R2133" s="9">
        <v>25.173745848546066</v>
      </c>
      <c r="S2133" s="9">
        <v>27.641690539343774</v>
      </c>
      <c r="T2133" s="9">
        <v>29.730378573928668</v>
      </c>
      <c r="U2133" s="9">
        <v>36.183590217329723</v>
      </c>
      <c r="V2133" s="9">
        <v>36.183590217329723</v>
      </c>
      <c r="W2133" s="9">
        <v>36.183590217329723</v>
      </c>
      <c r="X2133" s="9">
        <v>43.522810559209468</v>
      </c>
      <c r="Y2133" s="9">
        <v>43.522810559209468</v>
      </c>
      <c r="Z2133" s="9">
        <v>50.960858783530121</v>
      </c>
      <c r="AA2133" s="9">
        <v>50.960858783530121</v>
      </c>
      <c r="AB2133" s="9">
        <v>58.507617678535738</v>
      </c>
      <c r="AC2133" s="9">
        <v>58.507617678535738</v>
      </c>
      <c r="AD2133" s="9">
        <v>68.105109643716474</v>
      </c>
      <c r="AE2133" s="9">
        <v>75.132723269302929</v>
      </c>
      <c r="AF2133" s="9">
        <v>82.290622386277917</v>
      </c>
      <c r="AG2133" s="9">
        <v>82.290622386277917</v>
      </c>
      <c r="AH2133" s="9">
        <v>90.43943145512165</v>
      </c>
      <c r="AI2133" s="9">
        <v>98.380048333692613</v>
      </c>
      <c r="AJ2133" s="9">
        <v>3.0428788910505911</v>
      </c>
    </row>
    <row r="2134" spans="1:36" x14ac:dyDescent="0.25">
      <c r="A2134" t="s">
        <v>5411</v>
      </c>
      <c r="B2134" t="s">
        <v>16</v>
      </c>
      <c r="C2134" t="s">
        <v>17</v>
      </c>
      <c r="D2134">
        <v>45900971</v>
      </c>
      <c r="E2134">
        <v>45909999</v>
      </c>
      <c r="F2134" t="s">
        <v>1911</v>
      </c>
      <c r="G2134" t="str">
        <f t="shared" si="66"/>
        <v>BAI II</v>
      </c>
      <c r="H2134" t="s">
        <v>1700</v>
      </c>
      <c r="I2134" t="s">
        <v>20</v>
      </c>
      <c r="J2134" t="s">
        <v>64</v>
      </c>
      <c r="K2134" s="6">
        <v>0.03</v>
      </c>
      <c r="L2134" s="7">
        <f t="shared" si="67"/>
        <v>2E-3</v>
      </c>
      <c r="M2134" s="7">
        <v>3.0000000000000001E-3</v>
      </c>
      <c r="N2134">
        <v>11</v>
      </c>
      <c r="O2134" s="8">
        <v>22.933916850949441</v>
      </c>
      <c r="P2134" s="9">
        <v>22.933916850949441</v>
      </c>
      <c r="Q2134" s="9">
        <v>22.933916850949441</v>
      </c>
      <c r="R2134" s="9">
        <v>25.173745848546066</v>
      </c>
      <c r="S2134" s="9">
        <v>27.641690539343774</v>
      </c>
      <c r="T2134" s="9">
        <v>29.730378573928668</v>
      </c>
      <c r="U2134" s="9">
        <v>36.183590217329723</v>
      </c>
      <c r="V2134" s="9">
        <v>36.183590217329723</v>
      </c>
      <c r="W2134" s="9">
        <v>36.183590217329723</v>
      </c>
      <c r="X2134" s="9">
        <v>43.522810559209468</v>
      </c>
      <c r="Y2134" s="9">
        <v>43.522810559209468</v>
      </c>
      <c r="Z2134" s="9">
        <v>50.960858783530121</v>
      </c>
      <c r="AA2134" s="9">
        <v>50.960858783530121</v>
      </c>
      <c r="AB2134" s="9">
        <v>58.507617678535738</v>
      </c>
      <c r="AC2134" s="9">
        <v>58.507617678535738</v>
      </c>
      <c r="AD2134" s="9">
        <v>68.105109643716474</v>
      </c>
      <c r="AE2134" s="9">
        <v>75.132723269302929</v>
      </c>
      <c r="AF2134" s="9">
        <v>82.290622386277917</v>
      </c>
      <c r="AG2134" s="9">
        <v>82.290622386277917</v>
      </c>
      <c r="AH2134" s="9">
        <v>90.43943145512165</v>
      </c>
      <c r="AI2134" s="9">
        <v>98.380048333692613</v>
      </c>
      <c r="AJ2134" s="9">
        <v>3.0428788910505911</v>
      </c>
    </row>
    <row r="2135" spans="1:36" x14ac:dyDescent="0.25">
      <c r="A2135" t="s">
        <v>5411</v>
      </c>
      <c r="B2135" t="s">
        <v>16</v>
      </c>
      <c r="C2135" t="s">
        <v>17</v>
      </c>
      <c r="D2135">
        <v>45910000</v>
      </c>
      <c r="E2135">
        <v>45910972</v>
      </c>
      <c r="F2135" t="s">
        <v>1912</v>
      </c>
      <c r="G2135" t="str">
        <f t="shared" si="66"/>
        <v>BAI II</v>
      </c>
      <c r="H2135" t="s">
        <v>1700</v>
      </c>
      <c r="I2135" t="s">
        <v>20</v>
      </c>
      <c r="J2135" t="s">
        <v>64</v>
      </c>
      <c r="K2135" s="6">
        <v>0.03</v>
      </c>
      <c r="L2135" s="7">
        <f t="shared" si="67"/>
        <v>2E-3</v>
      </c>
      <c r="M2135" s="7">
        <v>3.0000000000000001E-3</v>
      </c>
      <c r="N2135">
        <v>10</v>
      </c>
      <c r="O2135" s="8">
        <v>22.933916850949441</v>
      </c>
      <c r="P2135" s="9">
        <v>22.933916850949441</v>
      </c>
      <c r="Q2135" s="9">
        <v>22.933916850949441</v>
      </c>
      <c r="R2135" s="9">
        <v>25.173745848546066</v>
      </c>
      <c r="S2135" s="9">
        <v>27.641690539343774</v>
      </c>
      <c r="T2135" s="9">
        <v>29.730378573928668</v>
      </c>
      <c r="U2135" s="9">
        <v>36.183590217329723</v>
      </c>
      <c r="V2135" s="9">
        <v>36.183590217329723</v>
      </c>
      <c r="W2135" s="9">
        <v>36.183590217329723</v>
      </c>
      <c r="X2135" s="9">
        <v>43.522810559209468</v>
      </c>
      <c r="Y2135" s="9">
        <v>43.522810559209468</v>
      </c>
      <c r="Z2135" s="9">
        <v>50.960858783530121</v>
      </c>
      <c r="AA2135" s="9">
        <v>50.960858783530121</v>
      </c>
      <c r="AB2135" s="9">
        <v>58.507617678535738</v>
      </c>
      <c r="AC2135" s="9">
        <v>58.507617678535738</v>
      </c>
      <c r="AD2135" s="9">
        <v>68.105109643716474</v>
      </c>
      <c r="AE2135" s="9">
        <v>75.132723269302929</v>
      </c>
      <c r="AF2135" s="9">
        <v>82.290622386277917</v>
      </c>
      <c r="AG2135" s="9">
        <v>82.290622386277917</v>
      </c>
      <c r="AH2135" s="9">
        <v>90.43943145512165</v>
      </c>
      <c r="AI2135" s="9">
        <v>98.380048333692613</v>
      </c>
      <c r="AJ2135" s="9">
        <v>3.0428788910505911</v>
      </c>
    </row>
    <row r="2136" spans="1:36" x14ac:dyDescent="0.25">
      <c r="A2136" t="s">
        <v>5411</v>
      </c>
      <c r="B2136" t="s">
        <v>16</v>
      </c>
      <c r="C2136" t="s">
        <v>17</v>
      </c>
      <c r="D2136">
        <v>45910973</v>
      </c>
      <c r="E2136">
        <v>45919999</v>
      </c>
      <c r="F2136" t="s">
        <v>1912</v>
      </c>
      <c r="G2136" t="str">
        <f t="shared" si="66"/>
        <v>BAI II</v>
      </c>
      <c r="H2136" t="s">
        <v>1700</v>
      </c>
      <c r="I2136" t="s">
        <v>20</v>
      </c>
      <c r="J2136" t="s">
        <v>64</v>
      </c>
      <c r="K2136" s="6">
        <v>0.03</v>
      </c>
      <c r="L2136" s="7">
        <f t="shared" si="67"/>
        <v>2E-3</v>
      </c>
      <c r="M2136" s="7">
        <v>3.0000000000000001E-3</v>
      </c>
      <c r="N2136">
        <v>11</v>
      </c>
      <c r="O2136" s="8">
        <v>22.933916850949441</v>
      </c>
      <c r="P2136" s="9">
        <v>22.933916850949441</v>
      </c>
      <c r="Q2136" s="9">
        <v>22.933916850949441</v>
      </c>
      <c r="R2136" s="9">
        <v>25.173745848546066</v>
      </c>
      <c r="S2136" s="9">
        <v>27.641690539343774</v>
      </c>
      <c r="T2136" s="9">
        <v>29.730378573928668</v>
      </c>
      <c r="U2136" s="9">
        <v>36.183590217329723</v>
      </c>
      <c r="V2136" s="9">
        <v>36.183590217329723</v>
      </c>
      <c r="W2136" s="9">
        <v>36.183590217329723</v>
      </c>
      <c r="X2136" s="9">
        <v>43.522810559209468</v>
      </c>
      <c r="Y2136" s="9">
        <v>43.522810559209468</v>
      </c>
      <c r="Z2136" s="9">
        <v>50.960858783530121</v>
      </c>
      <c r="AA2136" s="9">
        <v>50.960858783530121</v>
      </c>
      <c r="AB2136" s="9">
        <v>58.507617678535738</v>
      </c>
      <c r="AC2136" s="9">
        <v>58.507617678535738</v>
      </c>
      <c r="AD2136" s="9">
        <v>68.105109643716474</v>
      </c>
      <c r="AE2136" s="9">
        <v>75.132723269302929</v>
      </c>
      <c r="AF2136" s="9">
        <v>82.290622386277917</v>
      </c>
      <c r="AG2136" s="9">
        <v>82.290622386277917</v>
      </c>
      <c r="AH2136" s="9">
        <v>90.43943145512165</v>
      </c>
      <c r="AI2136" s="9">
        <v>98.380048333692613</v>
      </c>
      <c r="AJ2136" s="9">
        <v>3.0428788910505911</v>
      </c>
    </row>
    <row r="2137" spans="1:36" x14ac:dyDescent="0.25">
      <c r="A2137" t="s">
        <v>5411</v>
      </c>
      <c r="B2137" t="s">
        <v>16</v>
      </c>
      <c r="C2137" t="s">
        <v>17</v>
      </c>
      <c r="D2137">
        <v>45920000</v>
      </c>
      <c r="E2137">
        <v>45920970</v>
      </c>
      <c r="F2137" t="s">
        <v>1913</v>
      </c>
      <c r="G2137" t="str">
        <f t="shared" si="66"/>
        <v>BAI II</v>
      </c>
      <c r="H2137" t="s">
        <v>1700</v>
      </c>
      <c r="I2137" t="s">
        <v>20</v>
      </c>
      <c r="J2137" t="s">
        <v>64</v>
      </c>
      <c r="K2137" s="6">
        <v>0.03</v>
      </c>
      <c r="L2137" s="7">
        <f t="shared" si="67"/>
        <v>2E-3</v>
      </c>
      <c r="M2137" s="7">
        <v>3.0000000000000001E-3</v>
      </c>
      <c r="N2137">
        <v>10</v>
      </c>
      <c r="O2137" s="8">
        <v>22.933916850949441</v>
      </c>
      <c r="P2137" s="9">
        <v>22.933916850949441</v>
      </c>
      <c r="Q2137" s="9">
        <v>22.933916850949441</v>
      </c>
      <c r="R2137" s="9">
        <v>25.173745848546066</v>
      </c>
      <c r="S2137" s="9">
        <v>27.641690539343774</v>
      </c>
      <c r="T2137" s="9">
        <v>29.730378573928668</v>
      </c>
      <c r="U2137" s="9">
        <v>36.183590217329723</v>
      </c>
      <c r="V2137" s="9">
        <v>36.183590217329723</v>
      </c>
      <c r="W2137" s="9">
        <v>36.183590217329723</v>
      </c>
      <c r="X2137" s="9">
        <v>43.522810559209468</v>
      </c>
      <c r="Y2137" s="9">
        <v>43.522810559209468</v>
      </c>
      <c r="Z2137" s="9">
        <v>50.960858783530121</v>
      </c>
      <c r="AA2137" s="9">
        <v>50.960858783530121</v>
      </c>
      <c r="AB2137" s="9">
        <v>58.507617678535738</v>
      </c>
      <c r="AC2137" s="9">
        <v>58.507617678535738</v>
      </c>
      <c r="AD2137" s="9">
        <v>68.105109643716474</v>
      </c>
      <c r="AE2137" s="9">
        <v>75.132723269302929</v>
      </c>
      <c r="AF2137" s="9">
        <v>82.290622386277917</v>
      </c>
      <c r="AG2137" s="9">
        <v>82.290622386277917</v>
      </c>
      <c r="AH2137" s="9">
        <v>90.43943145512165</v>
      </c>
      <c r="AI2137" s="9">
        <v>98.380048333692613</v>
      </c>
      <c r="AJ2137" s="9">
        <v>3.0428788910505911</v>
      </c>
    </row>
    <row r="2138" spans="1:36" x14ac:dyDescent="0.25">
      <c r="A2138" t="s">
        <v>5411</v>
      </c>
      <c r="B2138" t="s">
        <v>16</v>
      </c>
      <c r="C2138" t="s">
        <v>17</v>
      </c>
      <c r="D2138">
        <v>45920971</v>
      </c>
      <c r="E2138">
        <v>45929999</v>
      </c>
      <c r="F2138" t="s">
        <v>1914</v>
      </c>
      <c r="G2138" t="str">
        <f t="shared" si="66"/>
        <v>BAI II</v>
      </c>
      <c r="H2138" t="s">
        <v>1700</v>
      </c>
      <c r="I2138" t="s">
        <v>20</v>
      </c>
      <c r="J2138" t="s">
        <v>64</v>
      </c>
      <c r="K2138" s="6">
        <v>0.03</v>
      </c>
      <c r="L2138" s="7">
        <f t="shared" si="67"/>
        <v>2E-3</v>
      </c>
      <c r="M2138" s="7">
        <v>3.0000000000000001E-3</v>
      </c>
      <c r="N2138">
        <v>10</v>
      </c>
      <c r="O2138" s="8">
        <v>22.933916850949441</v>
      </c>
      <c r="P2138" s="9">
        <v>22.933916850949441</v>
      </c>
      <c r="Q2138" s="9">
        <v>22.933916850949441</v>
      </c>
      <c r="R2138" s="9">
        <v>25.173745848546066</v>
      </c>
      <c r="S2138" s="9">
        <v>27.641690539343774</v>
      </c>
      <c r="T2138" s="9">
        <v>29.730378573928668</v>
      </c>
      <c r="U2138" s="9">
        <v>36.183590217329723</v>
      </c>
      <c r="V2138" s="9">
        <v>36.183590217329723</v>
      </c>
      <c r="W2138" s="9">
        <v>36.183590217329723</v>
      </c>
      <c r="X2138" s="9">
        <v>43.522810559209468</v>
      </c>
      <c r="Y2138" s="9">
        <v>43.522810559209468</v>
      </c>
      <c r="Z2138" s="9">
        <v>50.960858783530121</v>
      </c>
      <c r="AA2138" s="9">
        <v>50.960858783530121</v>
      </c>
      <c r="AB2138" s="9">
        <v>58.507617678535738</v>
      </c>
      <c r="AC2138" s="9">
        <v>58.507617678535738</v>
      </c>
      <c r="AD2138" s="9">
        <v>68.105109643716474</v>
      </c>
      <c r="AE2138" s="9">
        <v>75.132723269302929</v>
      </c>
      <c r="AF2138" s="9">
        <v>82.290622386277917</v>
      </c>
      <c r="AG2138" s="9">
        <v>82.290622386277917</v>
      </c>
      <c r="AH2138" s="9">
        <v>90.43943145512165</v>
      </c>
      <c r="AI2138" s="9">
        <v>98.380048333692613</v>
      </c>
      <c r="AJ2138" s="9">
        <v>3.0428788910505911</v>
      </c>
    </row>
    <row r="2139" spans="1:36" x14ac:dyDescent="0.25">
      <c r="A2139" t="s">
        <v>5411</v>
      </c>
      <c r="B2139" t="s">
        <v>16</v>
      </c>
      <c r="C2139" t="s">
        <v>17</v>
      </c>
      <c r="D2139">
        <v>45930000</v>
      </c>
      <c r="E2139">
        <v>45930970</v>
      </c>
      <c r="F2139" t="s">
        <v>1915</v>
      </c>
      <c r="G2139" t="str">
        <f t="shared" si="66"/>
        <v>BAI II</v>
      </c>
      <c r="H2139" t="s">
        <v>1700</v>
      </c>
      <c r="I2139" t="s">
        <v>20</v>
      </c>
      <c r="J2139" t="s">
        <v>64</v>
      </c>
      <c r="K2139" s="6">
        <v>0.03</v>
      </c>
      <c r="L2139" s="7">
        <f t="shared" si="67"/>
        <v>2E-3</v>
      </c>
      <c r="M2139" s="7">
        <v>3.0000000000000001E-3</v>
      </c>
      <c r="N2139">
        <v>10</v>
      </c>
      <c r="O2139" s="8">
        <v>22.933916850949441</v>
      </c>
      <c r="P2139" s="9">
        <v>22.933916850949441</v>
      </c>
      <c r="Q2139" s="9">
        <v>22.933916850949441</v>
      </c>
      <c r="R2139" s="9">
        <v>25.173745848546066</v>
      </c>
      <c r="S2139" s="9">
        <v>27.641690539343774</v>
      </c>
      <c r="T2139" s="9">
        <v>29.730378573928668</v>
      </c>
      <c r="U2139" s="9">
        <v>36.183590217329723</v>
      </c>
      <c r="V2139" s="9">
        <v>36.183590217329723</v>
      </c>
      <c r="W2139" s="9">
        <v>36.183590217329723</v>
      </c>
      <c r="X2139" s="9">
        <v>43.522810559209468</v>
      </c>
      <c r="Y2139" s="9">
        <v>43.522810559209468</v>
      </c>
      <c r="Z2139" s="9">
        <v>50.960858783530121</v>
      </c>
      <c r="AA2139" s="9">
        <v>50.960858783530121</v>
      </c>
      <c r="AB2139" s="9">
        <v>58.507617678535738</v>
      </c>
      <c r="AC2139" s="9">
        <v>58.507617678535738</v>
      </c>
      <c r="AD2139" s="9">
        <v>68.105109643716474</v>
      </c>
      <c r="AE2139" s="9">
        <v>75.132723269302929</v>
      </c>
      <c r="AF2139" s="9">
        <v>82.290622386277917</v>
      </c>
      <c r="AG2139" s="9">
        <v>82.290622386277917</v>
      </c>
      <c r="AH2139" s="9">
        <v>90.43943145512165</v>
      </c>
      <c r="AI2139" s="9">
        <v>98.380048333692613</v>
      </c>
      <c r="AJ2139" s="9">
        <v>3.0428788910505911</v>
      </c>
    </row>
    <row r="2140" spans="1:36" x14ac:dyDescent="0.25">
      <c r="A2140" t="s">
        <v>5411</v>
      </c>
      <c r="B2140" t="s">
        <v>16</v>
      </c>
      <c r="C2140" t="s">
        <v>17</v>
      </c>
      <c r="D2140">
        <v>45930971</v>
      </c>
      <c r="E2140">
        <v>45939999</v>
      </c>
      <c r="F2140" t="s">
        <v>1915</v>
      </c>
      <c r="G2140" t="str">
        <f t="shared" si="66"/>
        <v>BAI II</v>
      </c>
      <c r="H2140" t="s">
        <v>1700</v>
      </c>
      <c r="I2140" t="s">
        <v>20</v>
      </c>
      <c r="J2140" t="s">
        <v>64</v>
      </c>
      <c r="K2140" s="6">
        <v>0.03</v>
      </c>
      <c r="L2140" s="7">
        <f t="shared" si="67"/>
        <v>2E-3</v>
      </c>
      <c r="M2140" s="7">
        <v>3.0000000000000001E-3</v>
      </c>
      <c r="N2140">
        <v>11</v>
      </c>
      <c r="O2140" s="8">
        <v>22.933916850949441</v>
      </c>
      <c r="P2140" s="9">
        <v>22.933916850949441</v>
      </c>
      <c r="Q2140" s="9">
        <v>22.933916850949441</v>
      </c>
      <c r="R2140" s="9">
        <v>25.173745848546066</v>
      </c>
      <c r="S2140" s="9">
        <v>27.641690539343774</v>
      </c>
      <c r="T2140" s="9">
        <v>29.730378573928668</v>
      </c>
      <c r="U2140" s="9">
        <v>36.183590217329723</v>
      </c>
      <c r="V2140" s="9">
        <v>36.183590217329723</v>
      </c>
      <c r="W2140" s="9">
        <v>36.183590217329723</v>
      </c>
      <c r="X2140" s="9">
        <v>43.522810559209468</v>
      </c>
      <c r="Y2140" s="9">
        <v>43.522810559209468</v>
      </c>
      <c r="Z2140" s="9">
        <v>50.960858783530121</v>
      </c>
      <c r="AA2140" s="9">
        <v>50.960858783530121</v>
      </c>
      <c r="AB2140" s="9">
        <v>58.507617678535738</v>
      </c>
      <c r="AC2140" s="9">
        <v>58.507617678535738</v>
      </c>
      <c r="AD2140" s="9">
        <v>68.105109643716474</v>
      </c>
      <c r="AE2140" s="9">
        <v>75.132723269302929</v>
      </c>
      <c r="AF2140" s="9">
        <v>82.290622386277917</v>
      </c>
      <c r="AG2140" s="9">
        <v>82.290622386277917</v>
      </c>
      <c r="AH2140" s="9">
        <v>90.43943145512165</v>
      </c>
      <c r="AI2140" s="9">
        <v>98.380048333692613</v>
      </c>
      <c r="AJ2140" s="9">
        <v>3.0428788910505911</v>
      </c>
    </row>
    <row r="2141" spans="1:36" x14ac:dyDescent="0.25">
      <c r="A2141" t="s">
        <v>5411</v>
      </c>
      <c r="B2141" t="s">
        <v>16</v>
      </c>
      <c r="C2141" t="s">
        <v>17</v>
      </c>
      <c r="D2141">
        <v>45940000</v>
      </c>
      <c r="E2141">
        <v>45940970</v>
      </c>
      <c r="F2141" t="s">
        <v>1916</v>
      </c>
      <c r="G2141" t="str">
        <f t="shared" si="66"/>
        <v>BAI II</v>
      </c>
      <c r="H2141" t="s">
        <v>1700</v>
      </c>
      <c r="I2141" t="s">
        <v>20</v>
      </c>
      <c r="J2141" t="s">
        <v>64</v>
      </c>
      <c r="K2141" s="6">
        <v>0.03</v>
      </c>
      <c r="L2141" s="7">
        <f t="shared" si="67"/>
        <v>2E-3</v>
      </c>
      <c r="M2141" s="7">
        <v>3.0000000000000001E-3</v>
      </c>
      <c r="N2141">
        <v>10</v>
      </c>
      <c r="O2141" s="8">
        <v>22.933916850949441</v>
      </c>
      <c r="P2141" s="9">
        <v>22.933916850949441</v>
      </c>
      <c r="Q2141" s="9">
        <v>22.933916850949441</v>
      </c>
      <c r="R2141" s="9">
        <v>25.173745848546066</v>
      </c>
      <c r="S2141" s="9">
        <v>27.641690539343774</v>
      </c>
      <c r="T2141" s="9">
        <v>29.730378573928668</v>
      </c>
      <c r="U2141" s="9">
        <v>36.183590217329723</v>
      </c>
      <c r="V2141" s="9">
        <v>36.183590217329723</v>
      </c>
      <c r="W2141" s="9">
        <v>36.183590217329723</v>
      </c>
      <c r="X2141" s="9">
        <v>43.522810559209468</v>
      </c>
      <c r="Y2141" s="9">
        <v>43.522810559209468</v>
      </c>
      <c r="Z2141" s="9">
        <v>50.960858783530121</v>
      </c>
      <c r="AA2141" s="9">
        <v>50.960858783530121</v>
      </c>
      <c r="AB2141" s="9">
        <v>58.507617678535738</v>
      </c>
      <c r="AC2141" s="9">
        <v>58.507617678535738</v>
      </c>
      <c r="AD2141" s="9">
        <v>68.105109643716474</v>
      </c>
      <c r="AE2141" s="9">
        <v>75.132723269302929</v>
      </c>
      <c r="AF2141" s="9">
        <v>82.290622386277917</v>
      </c>
      <c r="AG2141" s="9">
        <v>82.290622386277917</v>
      </c>
      <c r="AH2141" s="9">
        <v>90.43943145512165</v>
      </c>
      <c r="AI2141" s="9">
        <v>98.380048333692613</v>
      </c>
      <c r="AJ2141" s="9">
        <v>3.0428788910505911</v>
      </c>
    </row>
    <row r="2142" spans="1:36" x14ac:dyDescent="0.25">
      <c r="A2142" t="s">
        <v>5411</v>
      </c>
      <c r="B2142" t="s">
        <v>16</v>
      </c>
      <c r="C2142" t="s">
        <v>17</v>
      </c>
      <c r="D2142">
        <v>45940971</v>
      </c>
      <c r="E2142">
        <v>45949999</v>
      </c>
      <c r="F2142" t="s">
        <v>1916</v>
      </c>
      <c r="G2142" t="str">
        <f t="shared" si="66"/>
        <v>BAI II</v>
      </c>
      <c r="H2142" t="s">
        <v>1700</v>
      </c>
      <c r="I2142" t="s">
        <v>20</v>
      </c>
      <c r="J2142" t="s">
        <v>64</v>
      </c>
      <c r="K2142" s="6">
        <v>0.03</v>
      </c>
      <c r="L2142" s="7">
        <f t="shared" si="67"/>
        <v>2E-3</v>
      </c>
      <c r="M2142" s="7">
        <v>3.0000000000000001E-3</v>
      </c>
      <c r="N2142">
        <v>10</v>
      </c>
      <c r="O2142" s="8">
        <v>22.933916850949441</v>
      </c>
      <c r="P2142" s="9">
        <v>22.933916850949441</v>
      </c>
      <c r="Q2142" s="9">
        <v>22.933916850949441</v>
      </c>
      <c r="R2142" s="9">
        <v>25.173745848546066</v>
      </c>
      <c r="S2142" s="9">
        <v>27.641690539343774</v>
      </c>
      <c r="T2142" s="9">
        <v>29.730378573928668</v>
      </c>
      <c r="U2142" s="9">
        <v>36.183590217329723</v>
      </c>
      <c r="V2142" s="9">
        <v>36.183590217329723</v>
      </c>
      <c r="W2142" s="9">
        <v>36.183590217329723</v>
      </c>
      <c r="X2142" s="9">
        <v>43.522810559209468</v>
      </c>
      <c r="Y2142" s="9">
        <v>43.522810559209468</v>
      </c>
      <c r="Z2142" s="9">
        <v>50.960858783530121</v>
      </c>
      <c r="AA2142" s="9">
        <v>50.960858783530121</v>
      </c>
      <c r="AB2142" s="9">
        <v>58.507617678535738</v>
      </c>
      <c r="AC2142" s="9">
        <v>58.507617678535738</v>
      </c>
      <c r="AD2142" s="9">
        <v>68.105109643716474</v>
      </c>
      <c r="AE2142" s="9">
        <v>75.132723269302929</v>
      </c>
      <c r="AF2142" s="9">
        <v>82.290622386277917</v>
      </c>
      <c r="AG2142" s="9">
        <v>82.290622386277917</v>
      </c>
      <c r="AH2142" s="9">
        <v>90.43943145512165</v>
      </c>
      <c r="AI2142" s="9">
        <v>98.380048333692613</v>
      </c>
      <c r="AJ2142" s="9">
        <v>3.0428788910505911</v>
      </c>
    </row>
    <row r="2143" spans="1:36" x14ac:dyDescent="0.25">
      <c r="A2143" t="s">
        <v>5411</v>
      </c>
      <c r="B2143" t="s">
        <v>16</v>
      </c>
      <c r="C2143" t="s">
        <v>17</v>
      </c>
      <c r="D2143">
        <v>45950000</v>
      </c>
      <c r="E2143">
        <v>45950970</v>
      </c>
      <c r="F2143" t="s">
        <v>1917</v>
      </c>
      <c r="G2143" t="str">
        <f t="shared" si="66"/>
        <v>BAI II</v>
      </c>
      <c r="H2143" t="s">
        <v>1700</v>
      </c>
      <c r="I2143" t="s">
        <v>20</v>
      </c>
      <c r="J2143" t="s">
        <v>64</v>
      </c>
      <c r="K2143" s="6">
        <v>0.03</v>
      </c>
      <c r="L2143" s="7">
        <f t="shared" si="67"/>
        <v>2E-3</v>
      </c>
      <c r="M2143" s="7">
        <v>3.0000000000000001E-3</v>
      </c>
      <c r="N2143">
        <v>10</v>
      </c>
      <c r="O2143" s="8">
        <v>22.933916850949441</v>
      </c>
      <c r="P2143" s="9">
        <v>22.933916850949441</v>
      </c>
      <c r="Q2143" s="9">
        <v>22.933916850949441</v>
      </c>
      <c r="R2143" s="9">
        <v>25.173745848546066</v>
      </c>
      <c r="S2143" s="9">
        <v>27.641690539343774</v>
      </c>
      <c r="T2143" s="9">
        <v>29.730378573928668</v>
      </c>
      <c r="U2143" s="9">
        <v>36.183590217329723</v>
      </c>
      <c r="V2143" s="9">
        <v>36.183590217329723</v>
      </c>
      <c r="W2143" s="9">
        <v>36.183590217329723</v>
      </c>
      <c r="X2143" s="9">
        <v>43.522810559209468</v>
      </c>
      <c r="Y2143" s="9">
        <v>43.522810559209468</v>
      </c>
      <c r="Z2143" s="9">
        <v>50.960858783530121</v>
      </c>
      <c r="AA2143" s="9">
        <v>50.960858783530121</v>
      </c>
      <c r="AB2143" s="9">
        <v>58.507617678535738</v>
      </c>
      <c r="AC2143" s="9">
        <v>58.507617678535738</v>
      </c>
      <c r="AD2143" s="9">
        <v>68.105109643716474</v>
      </c>
      <c r="AE2143" s="9">
        <v>75.132723269302929</v>
      </c>
      <c r="AF2143" s="9">
        <v>82.290622386277917</v>
      </c>
      <c r="AG2143" s="9">
        <v>82.290622386277917</v>
      </c>
      <c r="AH2143" s="9">
        <v>90.43943145512165</v>
      </c>
      <c r="AI2143" s="9">
        <v>98.380048333692613</v>
      </c>
      <c r="AJ2143" s="9">
        <v>3.0428788910505911</v>
      </c>
    </row>
    <row r="2144" spans="1:36" x14ac:dyDescent="0.25">
      <c r="A2144" t="s">
        <v>5411</v>
      </c>
      <c r="B2144" t="s">
        <v>16</v>
      </c>
      <c r="C2144" t="s">
        <v>17</v>
      </c>
      <c r="D2144">
        <v>45950971</v>
      </c>
      <c r="E2144">
        <v>45954999</v>
      </c>
      <c r="F2144" t="s">
        <v>1917</v>
      </c>
      <c r="G2144" t="str">
        <f t="shared" si="66"/>
        <v>BAI II</v>
      </c>
      <c r="H2144" t="s">
        <v>1700</v>
      </c>
      <c r="I2144" t="s">
        <v>20</v>
      </c>
      <c r="J2144" t="s">
        <v>64</v>
      </c>
      <c r="K2144" s="6">
        <v>0.03</v>
      </c>
      <c r="L2144" s="7">
        <f t="shared" si="67"/>
        <v>2E-3</v>
      </c>
      <c r="M2144" s="7">
        <v>3.0000000000000001E-3</v>
      </c>
      <c r="N2144">
        <v>11</v>
      </c>
      <c r="O2144" s="8">
        <v>22.933916850949441</v>
      </c>
      <c r="P2144" s="9">
        <v>22.933916850949441</v>
      </c>
      <c r="Q2144" s="9">
        <v>22.933916850949441</v>
      </c>
      <c r="R2144" s="9">
        <v>25.173745848546066</v>
      </c>
      <c r="S2144" s="9">
        <v>27.641690539343774</v>
      </c>
      <c r="T2144" s="9">
        <v>29.730378573928668</v>
      </c>
      <c r="U2144" s="9">
        <v>36.183590217329723</v>
      </c>
      <c r="V2144" s="9">
        <v>36.183590217329723</v>
      </c>
      <c r="W2144" s="9">
        <v>36.183590217329723</v>
      </c>
      <c r="X2144" s="9">
        <v>43.522810559209468</v>
      </c>
      <c r="Y2144" s="9">
        <v>43.522810559209468</v>
      </c>
      <c r="Z2144" s="9">
        <v>50.960858783530121</v>
      </c>
      <c r="AA2144" s="9">
        <v>50.960858783530121</v>
      </c>
      <c r="AB2144" s="9">
        <v>58.507617678535738</v>
      </c>
      <c r="AC2144" s="9">
        <v>58.507617678535738</v>
      </c>
      <c r="AD2144" s="9">
        <v>68.105109643716474</v>
      </c>
      <c r="AE2144" s="9">
        <v>75.132723269302929</v>
      </c>
      <c r="AF2144" s="9">
        <v>82.290622386277917</v>
      </c>
      <c r="AG2144" s="9">
        <v>82.290622386277917</v>
      </c>
      <c r="AH2144" s="9">
        <v>90.43943145512165</v>
      </c>
      <c r="AI2144" s="9">
        <v>98.380048333692613</v>
      </c>
      <c r="AJ2144" s="9">
        <v>3.0428788910505911</v>
      </c>
    </row>
    <row r="2145" spans="1:36" x14ac:dyDescent="0.25">
      <c r="A2145" t="s">
        <v>5411</v>
      </c>
      <c r="B2145" t="s">
        <v>16</v>
      </c>
      <c r="C2145" t="s">
        <v>17</v>
      </c>
      <c r="D2145">
        <v>45955000</v>
      </c>
      <c r="E2145">
        <v>45955970</v>
      </c>
      <c r="F2145" t="s">
        <v>1918</v>
      </c>
      <c r="G2145" t="str">
        <f t="shared" si="66"/>
        <v>BAI II</v>
      </c>
      <c r="H2145" t="s">
        <v>1700</v>
      </c>
      <c r="I2145" t="s">
        <v>20</v>
      </c>
      <c r="J2145" t="s">
        <v>64</v>
      </c>
      <c r="K2145" s="6">
        <v>0.03</v>
      </c>
      <c r="L2145" s="7">
        <f t="shared" si="67"/>
        <v>2E-3</v>
      </c>
      <c r="M2145" s="7">
        <v>3.0000000000000001E-3</v>
      </c>
      <c r="N2145">
        <v>10</v>
      </c>
      <c r="O2145" s="8">
        <v>22.933916850949441</v>
      </c>
      <c r="P2145" s="9">
        <v>22.933916850949441</v>
      </c>
      <c r="Q2145" s="9">
        <v>22.933916850949441</v>
      </c>
      <c r="R2145" s="9">
        <v>25.173745848546066</v>
      </c>
      <c r="S2145" s="9">
        <v>27.641690539343774</v>
      </c>
      <c r="T2145" s="9">
        <v>29.730378573928668</v>
      </c>
      <c r="U2145" s="9">
        <v>36.183590217329723</v>
      </c>
      <c r="V2145" s="9">
        <v>36.183590217329723</v>
      </c>
      <c r="W2145" s="9">
        <v>36.183590217329723</v>
      </c>
      <c r="X2145" s="9">
        <v>43.522810559209468</v>
      </c>
      <c r="Y2145" s="9">
        <v>43.522810559209468</v>
      </c>
      <c r="Z2145" s="9">
        <v>50.960858783530121</v>
      </c>
      <c r="AA2145" s="9">
        <v>50.960858783530121</v>
      </c>
      <c r="AB2145" s="9">
        <v>58.507617678535738</v>
      </c>
      <c r="AC2145" s="9">
        <v>58.507617678535738</v>
      </c>
      <c r="AD2145" s="9">
        <v>68.105109643716474</v>
      </c>
      <c r="AE2145" s="9">
        <v>75.132723269302929</v>
      </c>
      <c r="AF2145" s="9">
        <v>82.290622386277917</v>
      </c>
      <c r="AG2145" s="9">
        <v>82.290622386277917</v>
      </c>
      <c r="AH2145" s="9">
        <v>90.43943145512165</v>
      </c>
      <c r="AI2145" s="9">
        <v>98.380048333692613</v>
      </c>
      <c r="AJ2145" s="9">
        <v>3.0428788910505911</v>
      </c>
    </row>
    <row r="2146" spans="1:36" x14ac:dyDescent="0.25">
      <c r="A2146" t="s">
        <v>5411</v>
      </c>
      <c r="B2146" t="s">
        <v>16</v>
      </c>
      <c r="C2146" t="s">
        <v>17</v>
      </c>
      <c r="D2146">
        <v>45955971</v>
      </c>
      <c r="E2146">
        <v>45959999</v>
      </c>
      <c r="F2146" t="s">
        <v>1918</v>
      </c>
      <c r="G2146" t="str">
        <f t="shared" si="66"/>
        <v>BAI II</v>
      </c>
      <c r="H2146" t="s">
        <v>1700</v>
      </c>
      <c r="I2146" t="s">
        <v>20</v>
      </c>
      <c r="J2146" t="s">
        <v>64</v>
      </c>
      <c r="K2146" s="6">
        <v>0.03</v>
      </c>
      <c r="L2146" s="7">
        <f t="shared" si="67"/>
        <v>2E-3</v>
      </c>
      <c r="M2146" s="7">
        <v>3.0000000000000001E-3</v>
      </c>
      <c r="N2146">
        <v>10</v>
      </c>
      <c r="O2146" s="8">
        <v>22.933916850949441</v>
      </c>
      <c r="P2146" s="9">
        <v>22.933916850949441</v>
      </c>
      <c r="Q2146" s="9">
        <v>22.933916850949441</v>
      </c>
      <c r="R2146" s="9">
        <v>25.173745848546066</v>
      </c>
      <c r="S2146" s="9">
        <v>27.641690539343774</v>
      </c>
      <c r="T2146" s="9">
        <v>29.730378573928668</v>
      </c>
      <c r="U2146" s="9">
        <v>36.183590217329723</v>
      </c>
      <c r="V2146" s="9">
        <v>36.183590217329723</v>
      </c>
      <c r="W2146" s="9">
        <v>36.183590217329723</v>
      </c>
      <c r="X2146" s="9">
        <v>43.522810559209468</v>
      </c>
      <c r="Y2146" s="9">
        <v>43.522810559209468</v>
      </c>
      <c r="Z2146" s="9">
        <v>50.960858783530121</v>
      </c>
      <c r="AA2146" s="9">
        <v>50.960858783530121</v>
      </c>
      <c r="AB2146" s="9">
        <v>58.507617678535738</v>
      </c>
      <c r="AC2146" s="9">
        <v>58.507617678535738</v>
      </c>
      <c r="AD2146" s="9">
        <v>68.105109643716474</v>
      </c>
      <c r="AE2146" s="9">
        <v>75.132723269302929</v>
      </c>
      <c r="AF2146" s="9">
        <v>82.290622386277917</v>
      </c>
      <c r="AG2146" s="9">
        <v>82.290622386277917</v>
      </c>
      <c r="AH2146" s="9">
        <v>90.43943145512165</v>
      </c>
      <c r="AI2146" s="9">
        <v>98.380048333692613</v>
      </c>
      <c r="AJ2146" s="9">
        <v>3.0428788910505911</v>
      </c>
    </row>
    <row r="2147" spans="1:36" x14ac:dyDescent="0.25">
      <c r="A2147" t="s">
        <v>5411</v>
      </c>
      <c r="B2147" t="s">
        <v>16</v>
      </c>
      <c r="C2147" t="s">
        <v>17</v>
      </c>
      <c r="D2147">
        <v>45960000</v>
      </c>
      <c r="E2147">
        <v>45960970</v>
      </c>
      <c r="F2147" t="s">
        <v>1919</v>
      </c>
      <c r="G2147" t="str">
        <f t="shared" si="66"/>
        <v>BAI II</v>
      </c>
      <c r="H2147" t="s">
        <v>1700</v>
      </c>
      <c r="I2147" t="s">
        <v>20</v>
      </c>
      <c r="J2147" t="s">
        <v>64</v>
      </c>
      <c r="K2147" s="6">
        <v>0.03</v>
      </c>
      <c r="L2147" s="7">
        <f t="shared" si="67"/>
        <v>2E-3</v>
      </c>
      <c r="M2147" s="7">
        <v>3.0000000000000001E-3</v>
      </c>
      <c r="N2147">
        <v>10</v>
      </c>
      <c r="O2147" s="8">
        <v>22.933916850949441</v>
      </c>
      <c r="P2147" s="9">
        <v>22.933916850949441</v>
      </c>
      <c r="Q2147" s="9">
        <v>22.933916850949441</v>
      </c>
      <c r="R2147" s="9">
        <v>25.173745848546066</v>
      </c>
      <c r="S2147" s="9">
        <v>27.641690539343774</v>
      </c>
      <c r="T2147" s="9">
        <v>29.730378573928668</v>
      </c>
      <c r="U2147" s="9">
        <v>36.183590217329723</v>
      </c>
      <c r="V2147" s="9">
        <v>36.183590217329723</v>
      </c>
      <c r="W2147" s="9">
        <v>36.183590217329723</v>
      </c>
      <c r="X2147" s="9">
        <v>43.522810559209468</v>
      </c>
      <c r="Y2147" s="9">
        <v>43.522810559209468</v>
      </c>
      <c r="Z2147" s="9">
        <v>50.960858783530121</v>
      </c>
      <c r="AA2147" s="9">
        <v>50.960858783530121</v>
      </c>
      <c r="AB2147" s="9">
        <v>58.507617678535738</v>
      </c>
      <c r="AC2147" s="9">
        <v>58.507617678535738</v>
      </c>
      <c r="AD2147" s="9">
        <v>68.105109643716474</v>
      </c>
      <c r="AE2147" s="9">
        <v>75.132723269302929</v>
      </c>
      <c r="AF2147" s="9">
        <v>82.290622386277917</v>
      </c>
      <c r="AG2147" s="9">
        <v>82.290622386277917</v>
      </c>
      <c r="AH2147" s="9">
        <v>90.43943145512165</v>
      </c>
      <c r="AI2147" s="9">
        <v>98.380048333692613</v>
      </c>
      <c r="AJ2147" s="9">
        <v>3.0428788910505911</v>
      </c>
    </row>
    <row r="2148" spans="1:36" x14ac:dyDescent="0.25">
      <c r="A2148" t="s">
        <v>5411</v>
      </c>
      <c r="B2148" t="s">
        <v>16</v>
      </c>
      <c r="C2148" t="s">
        <v>17</v>
      </c>
      <c r="D2148">
        <v>45960971</v>
      </c>
      <c r="E2148">
        <v>45969999</v>
      </c>
      <c r="F2148" t="s">
        <v>1920</v>
      </c>
      <c r="G2148" t="str">
        <f t="shared" si="66"/>
        <v>BAI II</v>
      </c>
      <c r="H2148" t="s">
        <v>1700</v>
      </c>
      <c r="I2148" t="s">
        <v>20</v>
      </c>
      <c r="J2148" t="s">
        <v>64</v>
      </c>
      <c r="K2148" s="6">
        <v>0.03</v>
      </c>
      <c r="L2148" s="7">
        <f t="shared" si="67"/>
        <v>2E-3</v>
      </c>
      <c r="M2148" s="7">
        <v>3.0000000000000001E-3</v>
      </c>
      <c r="N2148">
        <v>11</v>
      </c>
      <c r="O2148" s="8">
        <v>22.933916850949441</v>
      </c>
      <c r="P2148" s="9">
        <v>22.933916850949441</v>
      </c>
      <c r="Q2148" s="9">
        <v>22.933916850949441</v>
      </c>
      <c r="R2148" s="9">
        <v>25.173745848546066</v>
      </c>
      <c r="S2148" s="9">
        <v>27.641690539343774</v>
      </c>
      <c r="T2148" s="9">
        <v>29.730378573928668</v>
      </c>
      <c r="U2148" s="9">
        <v>36.183590217329723</v>
      </c>
      <c r="V2148" s="9">
        <v>36.183590217329723</v>
      </c>
      <c r="W2148" s="9">
        <v>36.183590217329723</v>
      </c>
      <c r="X2148" s="9">
        <v>43.522810559209468</v>
      </c>
      <c r="Y2148" s="9">
        <v>43.522810559209468</v>
      </c>
      <c r="Z2148" s="9">
        <v>50.960858783530121</v>
      </c>
      <c r="AA2148" s="9">
        <v>50.960858783530121</v>
      </c>
      <c r="AB2148" s="9">
        <v>58.507617678535738</v>
      </c>
      <c r="AC2148" s="9">
        <v>58.507617678535738</v>
      </c>
      <c r="AD2148" s="9">
        <v>68.105109643716474</v>
      </c>
      <c r="AE2148" s="9">
        <v>75.132723269302929</v>
      </c>
      <c r="AF2148" s="9">
        <v>82.290622386277917</v>
      </c>
      <c r="AG2148" s="9">
        <v>82.290622386277917</v>
      </c>
      <c r="AH2148" s="9">
        <v>90.43943145512165</v>
      </c>
      <c r="AI2148" s="9">
        <v>98.380048333692613</v>
      </c>
      <c r="AJ2148" s="9">
        <v>3.0428788910505911</v>
      </c>
    </row>
    <row r="2149" spans="1:36" x14ac:dyDescent="0.25">
      <c r="A2149" t="s">
        <v>5411</v>
      </c>
      <c r="B2149" t="s">
        <v>16</v>
      </c>
      <c r="C2149" t="s">
        <v>17</v>
      </c>
      <c r="D2149">
        <v>45970000</v>
      </c>
      <c r="E2149">
        <v>45970970</v>
      </c>
      <c r="F2149" t="s">
        <v>1921</v>
      </c>
      <c r="G2149" t="str">
        <f t="shared" si="66"/>
        <v>BAI II</v>
      </c>
      <c r="H2149" t="s">
        <v>1700</v>
      </c>
      <c r="I2149" t="s">
        <v>20</v>
      </c>
      <c r="J2149" t="s">
        <v>64</v>
      </c>
      <c r="K2149" s="6">
        <v>0.03</v>
      </c>
      <c r="L2149" s="7">
        <f t="shared" si="67"/>
        <v>2E-3</v>
      </c>
      <c r="M2149" s="7">
        <v>3.0000000000000001E-3</v>
      </c>
      <c r="N2149">
        <v>10</v>
      </c>
      <c r="O2149" s="8">
        <v>22.933916850949441</v>
      </c>
      <c r="P2149" s="9">
        <v>22.933916850949441</v>
      </c>
      <c r="Q2149" s="9">
        <v>22.933916850949441</v>
      </c>
      <c r="R2149" s="9">
        <v>25.173745848546066</v>
      </c>
      <c r="S2149" s="9">
        <v>27.641690539343774</v>
      </c>
      <c r="T2149" s="9">
        <v>29.730378573928668</v>
      </c>
      <c r="U2149" s="9">
        <v>36.183590217329723</v>
      </c>
      <c r="V2149" s="9">
        <v>36.183590217329723</v>
      </c>
      <c r="W2149" s="9">
        <v>36.183590217329723</v>
      </c>
      <c r="X2149" s="9">
        <v>43.522810559209468</v>
      </c>
      <c r="Y2149" s="9">
        <v>43.522810559209468</v>
      </c>
      <c r="Z2149" s="9">
        <v>50.960858783530121</v>
      </c>
      <c r="AA2149" s="9">
        <v>50.960858783530121</v>
      </c>
      <c r="AB2149" s="9">
        <v>58.507617678535738</v>
      </c>
      <c r="AC2149" s="9">
        <v>58.507617678535738</v>
      </c>
      <c r="AD2149" s="9">
        <v>68.105109643716474</v>
      </c>
      <c r="AE2149" s="9">
        <v>75.132723269302929</v>
      </c>
      <c r="AF2149" s="9">
        <v>82.290622386277917</v>
      </c>
      <c r="AG2149" s="9">
        <v>82.290622386277917</v>
      </c>
      <c r="AH2149" s="9">
        <v>90.43943145512165</v>
      </c>
      <c r="AI2149" s="9">
        <v>98.380048333692613</v>
      </c>
      <c r="AJ2149" s="9">
        <v>3.0428788910505911</v>
      </c>
    </row>
    <row r="2150" spans="1:36" x14ac:dyDescent="0.25">
      <c r="A2150" t="s">
        <v>5411</v>
      </c>
      <c r="B2150" t="s">
        <v>16</v>
      </c>
      <c r="C2150" t="s">
        <v>17</v>
      </c>
      <c r="D2150">
        <v>45970971</v>
      </c>
      <c r="E2150">
        <v>45979999</v>
      </c>
      <c r="F2150" t="s">
        <v>1922</v>
      </c>
      <c r="G2150" t="str">
        <f t="shared" si="66"/>
        <v>BAI II</v>
      </c>
      <c r="H2150" t="s">
        <v>1700</v>
      </c>
      <c r="I2150" t="s">
        <v>20</v>
      </c>
      <c r="J2150" t="s">
        <v>64</v>
      </c>
      <c r="K2150" s="6">
        <v>0.03</v>
      </c>
      <c r="L2150" s="7">
        <f t="shared" si="67"/>
        <v>2E-3</v>
      </c>
      <c r="M2150" s="7">
        <v>3.0000000000000001E-3</v>
      </c>
      <c r="N2150">
        <v>11</v>
      </c>
      <c r="O2150" s="8">
        <v>22.933916850949441</v>
      </c>
      <c r="P2150" s="9">
        <v>22.933916850949441</v>
      </c>
      <c r="Q2150" s="9">
        <v>22.933916850949441</v>
      </c>
      <c r="R2150" s="9">
        <v>25.173745848546066</v>
      </c>
      <c r="S2150" s="9">
        <v>27.641690539343774</v>
      </c>
      <c r="T2150" s="9">
        <v>29.730378573928668</v>
      </c>
      <c r="U2150" s="9">
        <v>36.183590217329723</v>
      </c>
      <c r="V2150" s="9">
        <v>36.183590217329723</v>
      </c>
      <c r="W2150" s="9">
        <v>36.183590217329723</v>
      </c>
      <c r="X2150" s="9">
        <v>43.522810559209468</v>
      </c>
      <c r="Y2150" s="9">
        <v>43.522810559209468</v>
      </c>
      <c r="Z2150" s="9">
        <v>50.960858783530121</v>
      </c>
      <c r="AA2150" s="9">
        <v>50.960858783530121</v>
      </c>
      <c r="AB2150" s="9">
        <v>58.507617678535738</v>
      </c>
      <c r="AC2150" s="9">
        <v>58.507617678535738</v>
      </c>
      <c r="AD2150" s="9">
        <v>68.105109643716474</v>
      </c>
      <c r="AE2150" s="9">
        <v>75.132723269302929</v>
      </c>
      <c r="AF2150" s="9">
        <v>82.290622386277917</v>
      </c>
      <c r="AG2150" s="9">
        <v>82.290622386277917</v>
      </c>
      <c r="AH2150" s="9">
        <v>90.43943145512165</v>
      </c>
      <c r="AI2150" s="9">
        <v>98.380048333692613</v>
      </c>
      <c r="AJ2150" s="9">
        <v>3.0428788910505911</v>
      </c>
    </row>
    <row r="2151" spans="1:36" x14ac:dyDescent="0.25">
      <c r="A2151" t="s">
        <v>5411</v>
      </c>
      <c r="B2151" t="s">
        <v>16</v>
      </c>
      <c r="C2151" t="s">
        <v>17</v>
      </c>
      <c r="D2151">
        <v>45980000</v>
      </c>
      <c r="E2151">
        <v>45980971</v>
      </c>
      <c r="F2151" t="s">
        <v>1923</v>
      </c>
      <c r="G2151" t="str">
        <f t="shared" si="66"/>
        <v>BAI II</v>
      </c>
      <c r="H2151" t="s">
        <v>1700</v>
      </c>
      <c r="I2151" t="s">
        <v>20</v>
      </c>
      <c r="J2151" t="s">
        <v>64</v>
      </c>
      <c r="K2151" s="6">
        <v>0.03</v>
      </c>
      <c r="L2151" s="7">
        <f t="shared" si="67"/>
        <v>2E-3</v>
      </c>
      <c r="M2151" s="7">
        <v>3.0000000000000001E-3</v>
      </c>
      <c r="N2151">
        <v>10</v>
      </c>
      <c r="O2151" s="8">
        <v>22.933916850949441</v>
      </c>
      <c r="P2151" s="9">
        <v>22.933916850949441</v>
      </c>
      <c r="Q2151" s="9">
        <v>22.933916850949441</v>
      </c>
      <c r="R2151" s="9">
        <v>25.173745848546066</v>
      </c>
      <c r="S2151" s="9">
        <v>27.641690539343774</v>
      </c>
      <c r="T2151" s="9">
        <v>29.730378573928668</v>
      </c>
      <c r="U2151" s="9">
        <v>36.183590217329723</v>
      </c>
      <c r="V2151" s="9">
        <v>36.183590217329723</v>
      </c>
      <c r="W2151" s="9">
        <v>36.183590217329723</v>
      </c>
      <c r="X2151" s="9">
        <v>43.522810559209468</v>
      </c>
      <c r="Y2151" s="9">
        <v>43.522810559209468</v>
      </c>
      <c r="Z2151" s="9">
        <v>50.960858783530121</v>
      </c>
      <c r="AA2151" s="9">
        <v>50.960858783530121</v>
      </c>
      <c r="AB2151" s="9">
        <v>58.507617678535738</v>
      </c>
      <c r="AC2151" s="9">
        <v>58.507617678535738</v>
      </c>
      <c r="AD2151" s="9">
        <v>68.105109643716474</v>
      </c>
      <c r="AE2151" s="9">
        <v>75.132723269302929</v>
      </c>
      <c r="AF2151" s="9">
        <v>82.290622386277917</v>
      </c>
      <c r="AG2151" s="9">
        <v>82.290622386277917</v>
      </c>
      <c r="AH2151" s="9">
        <v>90.43943145512165</v>
      </c>
      <c r="AI2151" s="9">
        <v>98.380048333692613</v>
      </c>
      <c r="AJ2151" s="9">
        <v>3.0428788910505911</v>
      </c>
    </row>
    <row r="2152" spans="1:36" x14ac:dyDescent="0.25">
      <c r="A2152" t="s">
        <v>5411</v>
      </c>
      <c r="B2152" t="s">
        <v>16</v>
      </c>
      <c r="C2152" t="s">
        <v>17</v>
      </c>
      <c r="D2152">
        <v>45980972</v>
      </c>
      <c r="E2152">
        <v>45989999</v>
      </c>
      <c r="F2152" t="s">
        <v>1924</v>
      </c>
      <c r="G2152" t="str">
        <f t="shared" si="66"/>
        <v>BAI II</v>
      </c>
      <c r="H2152" t="s">
        <v>1700</v>
      </c>
      <c r="I2152" t="s">
        <v>20</v>
      </c>
      <c r="J2152" t="s">
        <v>64</v>
      </c>
      <c r="K2152" s="6">
        <v>0.03</v>
      </c>
      <c r="L2152" s="7">
        <f t="shared" si="67"/>
        <v>2E-3</v>
      </c>
      <c r="M2152" s="7">
        <v>3.0000000000000001E-3</v>
      </c>
      <c r="N2152">
        <v>11</v>
      </c>
      <c r="O2152" s="8">
        <v>22.933916850949441</v>
      </c>
      <c r="P2152" s="9">
        <v>22.933916850949441</v>
      </c>
      <c r="Q2152" s="9">
        <v>22.933916850949441</v>
      </c>
      <c r="R2152" s="9">
        <v>25.173745848546066</v>
      </c>
      <c r="S2152" s="9">
        <v>27.641690539343774</v>
      </c>
      <c r="T2152" s="9">
        <v>29.730378573928668</v>
      </c>
      <c r="U2152" s="9">
        <v>36.183590217329723</v>
      </c>
      <c r="V2152" s="9">
        <v>36.183590217329723</v>
      </c>
      <c r="W2152" s="9">
        <v>36.183590217329723</v>
      </c>
      <c r="X2152" s="9">
        <v>43.522810559209468</v>
      </c>
      <c r="Y2152" s="9">
        <v>43.522810559209468</v>
      </c>
      <c r="Z2152" s="9">
        <v>50.960858783530121</v>
      </c>
      <c r="AA2152" s="9">
        <v>50.960858783530121</v>
      </c>
      <c r="AB2152" s="9">
        <v>58.507617678535738</v>
      </c>
      <c r="AC2152" s="9">
        <v>58.507617678535738</v>
      </c>
      <c r="AD2152" s="9">
        <v>68.105109643716474</v>
      </c>
      <c r="AE2152" s="9">
        <v>75.132723269302929</v>
      </c>
      <c r="AF2152" s="9">
        <v>82.290622386277917</v>
      </c>
      <c r="AG2152" s="9">
        <v>82.290622386277917</v>
      </c>
      <c r="AH2152" s="9">
        <v>90.43943145512165</v>
      </c>
      <c r="AI2152" s="9">
        <v>98.380048333692613</v>
      </c>
      <c r="AJ2152" s="9">
        <v>3.0428788910505911</v>
      </c>
    </row>
    <row r="2153" spans="1:36" x14ac:dyDescent="0.25">
      <c r="A2153" t="s">
        <v>5411</v>
      </c>
      <c r="B2153" t="s">
        <v>16</v>
      </c>
      <c r="C2153" t="s">
        <v>17</v>
      </c>
      <c r="D2153">
        <v>45990000</v>
      </c>
      <c r="E2153">
        <v>45996899</v>
      </c>
      <c r="F2153" t="s">
        <v>1924</v>
      </c>
      <c r="G2153" t="str">
        <f t="shared" si="66"/>
        <v>BAI II</v>
      </c>
      <c r="H2153" t="s">
        <v>1700</v>
      </c>
      <c r="I2153" t="s">
        <v>20</v>
      </c>
      <c r="J2153" t="s">
        <v>64</v>
      </c>
      <c r="K2153" s="6">
        <v>0.03</v>
      </c>
      <c r="L2153" s="7">
        <f t="shared" si="67"/>
        <v>2E-3</v>
      </c>
      <c r="M2153" s="7">
        <v>3.0000000000000001E-3</v>
      </c>
      <c r="N2153">
        <v>10</v>
      </c>
      <c r="O2153" s="8">
        <v>22.933916850949441</v>
      </c>
      <c r="P2153" s="9">
        <v>22.933916850949441</v>
      </c>
      <c r="Q2153" s="9">
        <v>22.933916850949441</v>
      </c>
      <c r="R2153" s="9">
        <v>25.173745848546066</v>
      </c>
      <c r="S2153" s="9">
        <v>27.641690539343774</v>
      </c>
      <c r="T2153" s="9">
        <v>29.730378573928668</v>
      </c>
      <c r="U2153" s="9">
        <v>36.183590217329723</v>
      </c>
      <c r="V2153" s="9">
        <v>36.183590217329723</v>
      </c>
      <c r="W2153" s="9">
        <v>36.183590217329723</v>
      </c>
      <c r="X2153" s="9">
        <v>43.522810559209468</v>
      </c>
      <c r="Y2153" s="9">
        <v>43.522810559209468</v>
      </c>
      <c r="Z2153" s="9">
        <v>50.960858783530121</v>
      </c>
      <c r="AA2153" s="9">
        <v>50.960858783530121</v>
      </c>
      <c r="AB2153" s="9">
        <v>58.507617678535738</v>
      </c>
      <c r="AC2153" s="9">
        <v>58.507617678535738</v>
      </c>
      <c r="AD2153" s="9">
        <v>68.105109643716474</v>
      </c>
      <c r="AE2153" s="9">
        <v>75.132723269302929</v>
      </c>
      <c r="AF2153" s="9">
        <v>82.290622386277917</v>
      </c>
      <c r="AG2153" s="9">
        <v>82.290622386277917</v>
      </c>
      <c r="AH2153" s="9">
        <v>90.43943145512165</v>
      </c>
      <c r="AI2153" s="9">
        <v>98.380048333692613</v>
      </c>
      <c r="AJ2153" s="9">
        <v>3.0428788910505911</v>
      </c>
    </row>
    <row r="2154" spans="1:36" x14ac:dyDescent="0.25">
      <c r="A2154" t="s">
        <v>5411</v>
      </c>
      <c r="B2154" t="s">
        <v>16</v>
      </c>
      <c r="C2154" t="s">
        <v>17</v>
      </c>
      <c r="D2154">
        <v>45996900</v>
      </c>
      <c r="E2154">
        <v>45999999</v>
      </c>
      <c r="F2154" t="s">
        <v>1925</v>
      </c>
      <c r="G2154" t="str">
        <f t="shared" si="66"/>
        <v>BAI II</v>
      </c>
      <c r="H2154" t="s">
        <v>1700</v>
      </c>
      <c r="I2154" t="s">
        <v>20</v>
      </c>
      <c r="J2154" t="s">
        <v>64</v>
      </c>
      <c r="K2154" s="6">
        <v>0.03</v>
      </c>
      <c r="L2154" s="7">
        <f t="shared" si="67"/>
        <v>2E-3</v>
      </c>
      <c r="M2154" s="7">
        <v>3.0000000000000001E-3</v>
      </c>
      <c r="N2154">
        <v>10</v>
      </c>
      <c r="O2154" s="8">
        <v>22.933916850949441</v>
      </c>
      <c r="P2154" s="9">
        <v>22.933916850949441</v>
      </c>
      <c r="Q2154" s="9">
        <v>22.933916850949441</v>
      </c>
      <c r="R2154" s="9">
        <v>25.173745848546066</v>
      </c>
      <c r="S2154" s="9">
        <v>27.641690539343774</v>
      </c>
      <c r="T2154" s="9">
        <v>29.730378573928668</v>
      </c>
      <c r="U2154" s="9">
        <v>36.183590217329723</v>
      </c>
      <c r="V2154" s="9">
        <v>36.183590217329723</v>
      </c>
      <c r="W2154" s="9">
        <v>36.183590217329723</v>
      </c>
      <c r="X2154" s="9">
        <v>43.522810559209468</v>
      </c>
      <c r="Y2154" s="9">
        <v>43.522810559209468</v>
      </c>
      <c r="Z2154" s="9">
        <v>50.960858783530121</v>
      </c>
      <c r="AA2154" s="9">
        <v>50.960858783530121</v>
      </c>
      <c r="AB2154" s="9">
        <v>58.507617678535738</v>
      </c>
      <c r="AC2154" s="9">
        <v>58.507617678535738</v>
      </c>
      <c r="AD2154" s="9">
        <v>68.105109643716474</v>
      </c>
      <c r="AE2154" s="9">
        <v>75.132723269302929</v>
      </c>
      <c r="AF2154" s="9">
        <v>82.290622386277917</v>
      </c>
      <c r="AG2154" s="9">
        <v>82.290622386277917</v>
      </c>
      <c r="AH2154" s="9">
        <v>90.43943145512165</v>
      </c>
      <c r="AI2154" s="9">
        <v>98.380048333692613</v>
      </c>
      <c r="AJ2154" s="9">
        <v>3.0428788910505911</v>
      </c>
    </row>
    <row r="2155" spans="1:36" x14ac:dyDescent="0.25">
      <c r="A2155" t="s">
        <v>5411</v>
      </c>
      <c r="B2155" t="s">
        <v>16</v>
      </c>
      <c r="C2155" t="s">
        <v>17</v>
      </c>
      <c r="D2155">
        <v>46000000</v>
      </c>
      <c r="E2155">
        <v>46099999</v>
      </c>
      <c r="F2155" t="s">
        <v>1926</v>
      </c>
      <c r="G2155" t="str">
        <f t="shared" si="66"/>
        <v>BAI II</v>
      </c>
      <c r="H2155" t="s">
        <v>1700</v>
      </c>
      <c r="I2155" t="s">
        <v>22</v>
      </c>
      <c r="J2155" t="s">
        <v>64</v>
      </c>
      <c r="K2155" s="6">
        <v>0.03</v>
      </c>
      <c r="L2155" s="7">
        <f t="shared" si="67"/>
        <v>0.03</v>
      </c>
      <c r="M2155" s="7">
        <v>3.0000000000000001E-3</v>
      </c>
      <c r="N2155">
        <v>9</v>
      </c>
      <c r="O2155" s="8">
        <v>22.933916850949441</v>
      </c>
      <c r="P2155" s="9">
        <v>22.933916850949441</v>
      </c>
      <c r="Q2155" s="9">
        <v>22.933916850949441</v>
      </c>
      <c r="R2155" s="9">
        <v>25.173745848546066</v>
      </c>
      <c r="S2155" s="9">
        <v>27.641690539343774</v>
      </c>
      <c r="T2155" s="9">
        <v>29.730378573928668</v>
      </c>
      <c r="U2155" s="9">
        <v>36.183590217329723</v>
      </c>
      <c r="V2155" s="9">
        <v>36.183590217329723</v>
      </c>
      <c r="W2155" s="9">
        <v>36.183590217329723</v>
      </c>
      <c r="X2155" s="9">
        <v>43.522810559209468</v>
      </c>
      <c r="Y2155" s="9">
        <v>43.522810559209468</v>
      </c>
      <c r="Z2155" s="9">
        <v>50.960858783530121</v>
      </c>
      <c r="AA2155" s="9">
        <v>50.960858783530121</v>
      </c>
      <c r="AB2155" s="9">
        <v>58.507617678535738</v>
      </c>
      <c r="AC2155" s="9">
        <v>58.507617678535738</v>
      </c>
      <c r="AD2155" s="9">
        <v>68.105109643716474</v>
      </c>
      <c r="AE2155" s="9">
        <v>75.132723269302929</v>
      </c>
      <c r="AF2155" s="9">
        <v>82.290622386277917</v>
      </c>
      <c r="AG2155" s="9">
        <v>82.290622386277917</v>
      </c>
      <c r="AH2155" s="9">
        <v>90.43943145512165</v>
      </c>
      <c r="AI2155" s="9">
        <v>98.380048333692613</v>
      </c>
      <c r="AJ2155" s="9">
        <v>3.0428788910505911</v>
      </c>
    </row>
    <row r="2156" spans="1:36" x14ac:dyDescent="0.25">
      <c r="A2156" t="s">
        <v>5411</v>
      </c>
      <c r="B2156" t="s">
        <v>16</v>
      </c>
      <c r="C2156" t="s">
        <v>17</v>
      </c>
      <c r="D2156">
        <v>46100000</v>
      </c>
      <c r="E2156">
        <v>46109999</v>
      </c>
      <c r="F2156" t="s">
        <v>1927</v>
      </c>
      <c r="G2156" t="str">
        <f t="shared" si="66"/>
        <v>BAI II</v>
      </c>
      <c r="H2156" t="s">
        <v>1700</v>
      </c>
      <c r="I2156" t="s">
        <v>22</v>
      </c>
      <c r="J2156" t="s">
        <v>64</v>
      </c>
      <c r="K2156" s="6">
        <v>0.03</v>
      </c>
      <c r="L2156" s="7">
        <f t="shared" si="67"/>
        <v>0.03</v>
      </c>
      <c r="M2156" s="7">
        <v>3.0000000000000001E-3</v>
      </c>
      <c r="N2156">
        <v>9</v>
      </c>
      <c r="O2156" s="8">
        <v>22.933916850949441</v>
      </c>
      <c r="P2156" s="9">
        <v>22.933916850949441</v>
      </c>
      <c r="Q2156" s="9">
        <v>22.933916850949441</v>
      </c>
      <c r="R2156" s="9">
        <v>25.173745848546066</v>
      </c>
      <c r="S2156" s="9">
        <v>27.641690539343774</v>
      </c>
      <c r="T2156" s="9">
        <v>29.730378573928668</v>
      </c>
      <c r="U2156" s="9">
        <v>36.183590217329723</v>
      </c>
      <c r="V2156" s="9">
        <v>36.183590217329723</v>
      </c>
      <c r="W2156" s="9">
        <v>36.183590217329723</v>
      </c>
      <c r="X2156" s="9">
        <v>43.522810559209468</v>
      </c>
      <c r="Y2156" s="9">
        <v>43.522810559209468</v>
      </c>
      <c r="Z2156" s="9">
        <v>50.960858783530121</v>
      </c>
      <c r="AA2156" s="9">
        <v>50.960858783530121</v>
      </c>
      <c r="AB2156" s="9">
        <v>58.507617678535738</v>
      </c>
      <c r="AC2156" s="9">
        <v>58.507617678535738</v>
      </c>
      <c r="AD2156" s="9">
        <v>68.105109643716474</v>
      </c>
      <c r="AE2156" s="9">
        <v>75.132723269302929</v>
      </c>
      <c r="AF2156" s="9">
        <v>82.290622386277917</v>
      </c>
      <c r="AG2156" s="9">
        <v>82.290622386277917</v>
      </c>
      <c r="AH2156" s="9">
        <v>90.43943145512165</v>
      </c>
      <c r="AI2156" s="9">
        <v>98.380048333692613</v>
      </c>
      <c r="AJ2156" s="9">
        <v>3.0428788910505911</v>
      </c>
    </row>
    <row r="2157" spans="1:36" x14ac:dyDescent="0.25">
      <c r="A2157" t="s">
        <v>5411</v>
      </c>
      <c r="B2157" t="s">
        <v>16</v>
      </c>
      <c r="C2157" t="s">
        <v>17</v>
      </c>
      <c r="D2157">
        <v>46110000</v>
      </c>
      <c r="E2157">
        <v>46129999</v>
      </c>
      <c r="F2157" t="s">
        <v>1928</v>
      </c>
      <c r="G2157" t="str">
        <f t="shared" si="66"/>
        <v>BAI II</v>
      </c>
      <c r="H2157" t="s">
        <v>1700</v>
      </c>
      <c r="I2157" t="s">
        <v>20</v>
      </c>
      <c r="J2157" t="s">
        <v>64</v>
      </c>
      <c r="K2157" s="6">
        <v>0.03</v>
      </c>
      <c r="L2157" s="7">
        <f t="shared" si="67"/>
        <v>2E-3</v>
      </c>
      <c r="M2157" s="7">
        <v>3.0000000000000001E-3</v>
      </c>
      <c r="N2157">
        <v>14</v>
      </c>
      <c r="O2157" s="8">
        <v>22.933916850949441</v>
      </c>
      <c r="P2157" s="9">
        <v>22.933916850949441</v>
      </c>
      <c r="Q2157" s="9">
        <v>22.933916850949441</v>
      </c>
      <c r="R2157" s="9">
        <v>25.173745848546066</v>
      </c>
      <c r="S2157" s="9">
        <v>27.641690539343774</v>
      </c>
      <c r="T2157" s="9">
        <v>29.730378573928668</v>
      </c>
      <c r="U2157" s="9">
        <v>36.183590217329723</v>
      </c>
      <c r="V2157" s="9">
        <v>36.183590217329723</v>
      </c>
      <c r="W2157" s="9">
        <v>36.183590217329723</v>
      </c>
      <c r="X2157" s="9">
        <v>43.522810559209468</v>
      </c>
      <c r="Y2157" s="9">
        <v>43.522810559209468</v>
      </c>
      <c r="Z2157" s="9">
        <v>50.960858783530121</v>
      </c>
      <c r="AA2157" s="9">
        <v>50.960858783530121</v>
      </c>
      <c r="AB2157" s="9">
        <v>58.507617678535738</v>
      </c>
      <c r="AC2157" s="9">
        <v>58.507617678535738</v>
      </c>
      <c r="AD2157" s="9">
        <v>68.105109643716474</v>
      </c>
      <c r="AE2157" s="9">
        <v>75.132723269302929</v>
      </c>
      <c r="AF2157" s="9">
        <v>82.290622386277917</v>
      </c>
      <c r="AG2157" s="9">
        <v>82.290622386277917</v>
      </c>
      <c r="AH2157" s="9">
        <v>90.43943145512165</v>
      </c>
      <c r="AI2157" s="9">
        <v>98.380048333692613</v>
      </c>
      <c r="AJ2157" s="9">
        <v>3.0428788910505911</v>
      </c>
    </row>
    <row r="2158" spans="1:36" x14ac:dyDescent="0.25">
      <c r="A2158" t="s">
        <v>5411</v>
      </c>
      <c r="B2158" t="s">
        <v>16</v>
      </c>
      <c r="C2158" t="s">
        <v>17</v>
      </c>
      <c r="D2158">
        <v>46130000</v>
      </c>
      <c r="E2158">
        <v>46139999</v>
      </c>
      <c r="F2158" t="s">
        <v>1929</v>
      </c>
      <c r="G2158" t="str">
        <f t="shared" si="66"/>
        <v>BAI II</v>
      </c>
      <c r="H2158" t="s">
        <v>1700</v>
      </c>
      <c r="I2158" t="s">
        <v>20</v>
      </c>
      <c r="J2158" t="s">
        <v>64</v>
      </c>
      <c r="K2158" s="6">
        <v>0.03</v>
      </c>
      <c r="L2158" s="7">
        <f t="shared" si="67"/>
        <v>2E-3</v>
      </c>
      <c r="M2158" s="7">
        <v>3.0000000000000001E-3</v>
      </c>
      <c r="N2158">
        <v>14</v>
      </c>
      <c r="O2158" s="8">
        <v>22.933916850949441</v>
      </c>
      <c r="P2158" s="9">
        <v>22.933916850949441</v>
      </c>
      <c r="Q2158" s="9">
        <v>22.933916850949441</v>
      </c>
      <c r="R2158" s="9">
        <v>25.173745848546066</v>
      </c>
      <c r="S2158" s="9">
        <v>27.641690539343774</v>
      </c>
      <c r="T2158" s="9">
        <v>29.730378573928668</v>
      </c>
      <c r="U2158" s="9">
        <v>36.183590217329723</v>
      </c>
      <c r="V2158" s="9">
        <v>36.183590217329723</v>
      </c>
      <c r="W2158" s="9">
        <v>36.183590217329723</v>
      </c>
      <c r="X2158" s="9">
        <v>43.522810559209468</v>
      </c>
      <c r="Y2158" s="9">
        <v>43.522810559209468</v>
      </c>
      <c r="Z2158" s="9">
        <v>50.960858783530121</v>
      </c>
      <c r="AA2158" s="9">
        <v>50.960858783530121</v>
      </c>
      <c r="AB2158" s="9">
        <v>58.507617678535738</v>
      </c>
      <c r="AC2158" s="9">
        <v>58.507617678535738</v>
      </c>
      <c r="AD2158" s="9">
        <v>68.105109643716474</v>
      </c>
      <c r="AE2158" s="9">
        <v>75.132723269302929</v>
      </c>
      <c r="AF2158" s="9">
        <v>82.290622386277917</v>
      </c>
      <c r="AG2158" s="9">
        <v>82.290622386277917</v>
      </c>
      <c r="AH2158" s="9">
        <v>90.43943145512165</v>
      </c>
      <c r="AI2158" s="9">
        <v>98.380048333692613</v>
      </c>
      <c r="AJ2158" s="9">
        <v>3.0428788910505911</v>
      </c>
    </row>
    <row r="2159" spans="1:36" x14ac:dyDescent="0.25">
      <c r="A2159" t="s">
        <v>5411</v>
      </c>
      <c r="B2159" t="s">
        <v>16</v>
      </c>
      <c r="C2159" t="s">
        <v>17</v>
      </c>
      <c r="D2159">
        <v>46140000</v>
      </c>
      <c r="E2159">
        <v>46164999</v>
      </c>
      <c r="F2159" t="s">
        <v>1930</v>
      </c>
      <c r="G2159" t="str">
        <f t="shared" si="66"/>
        <v>BAI II</v>
      </c>
      <c r="H2159" t="s">
        <v>1700</v>
      </c>
      <c r="I2159" t="s">
        <v>20</v>
      </c>
      <c r="J2159" t="s">
        <v>64</v>
      </c>
      <c r="K2159" s="6">
        <v>0.03</v>
      </c>
      <c r="L2159" s="7">
        <f t="shared" si="67"/>
        <v>2E-3</v>
      </c>
      <c r="M2159" s="7">
        <v>3.0000000000000001E-3</v>
      </c>
      <c r="N2159">
        <v>9</v>
      </c>
      <c r="O2159" s="8">
        <v>22.933916850949441</v>
      </c>
      <c r="P2159" s="9">
        <v>22.933916850949441</v>
      </c>
      <c r="Q2159" s="9">
        <v>22.933916850949441</v>
      </c>
      <c r="R2159" s="9">
        <v>25.173745848546066</v>
      </c>
      <c r="S2159" s="9">
        <v>27.641690539343774</v>
      </c>
      <c r="T2159" s="9">
        <v>29.730378573928668</v>
      </c>
      <c r="U2159" s="9">
        <v>36.183590217329723</v>
      </c>
      <c r="V2159" s="9">
        <v>36.183590217329723</v>
      </c>
      <c r="W2159" s="9">
        <v>36.183590217329723</v>
      </c>
      <c r="X2159" s="9">
        <v>43.522810559209468</v>
      </c>
      <c r="Y2159" s="9">
        <v>43.522810559209468</v>
      </c>
      <c r="Z2159" s="9">
        <v>50.960858783530121</v>
      </c>
      <c r="AA2159" s="9">
        <v>50.960858783530121</v>
      </c>
      <c r="AB2159" s="9">
        <v>58.507617678535738</v>
      </c>
      <c r="AC2159" s="9">
        <v>58.507617678535738</v>
      </c>
      <c r="AD2159" s="9">
        <v>68.105109643716474</v>
      </c>
      <c r="AE2159" s="9">
        <v>75.132723269302929</v>
      </c>
      <c r="AF2159" s="9">
        <v>82.290622386277917</v>
      </c>
      <c r="AG2159" s="9">
        <v>82.290622386277917</v>
      </c>
      <c r="AH2159" s="9">
        <v>90.43943145512165</v>
      </c>
      <c r="AI2159" s="9">
        <v>98.380048333692613</v>
      </c>
      <c r="AJ2159" s="9">
        <v>3.0428788910505911</v>
      </c>
    </row>
    <row r="2160" spans="1:36" x14ac:dyDescent="0.25">
      <c r="A2160" t="s">
        <v>5411</v>
      </c>
      <c r="B2160" t="s">
        <v>16</v>
      </c>
      <c r="C2160" t="s">
        <v>17</v>
      </c>
      <c r="D2160">
        <v>46165000</v>
      </c>
      <c r="E2160">
        <v>46169999</v>
      </c>
      <c r="F2160" t="s">
        <v>1931</v>
      </c>
      <c r="G2160" t="str">
        <f t="shared" si="66"/>
        <v>BAI II</v>
      </c>
      <c r="H2160" t="s">
        <v>1700</v>
      </c>
      <c r="I2160" t="s">
        <v>20</v>
      </c>
      <c r="J2160" t="s">
        <v>64</v>
      </c>
      <c r="K2160" s="6">
        <v>0.03</v>
      </c>
      <c r="L2160" s="7">
        <f t="shared" si="67"/>
        <v>2E-3</v>
      </c>
      <c r="M2160" s="7">
        <v>3.0000000000000001E-3</v>
      </c>
      <c r="N2160">
        <v>10</v>
      </c>
      <c r="O2160" s="8">
        <v>22.933916850949441</v>
      </c>
      <c r="P2160" s="9">
        <v>22.933916850949441</v>
      </c>
      <c r="Q2160" s="9">
        <v>22.933916850949441</v>
      </c>
      <c r="R2160" s="9">
        <v>25.173745848546066</v>
      </c>
      <c r="S2160" s="9">
        <v>27.641690539343774</v>
      </c>
      <c r="T2160" s="9">
        <v>29.730378573928668</v>
      </c>
      <c r="U2160" s="9">
        <v>36.183590217329723</v>
      </c>
      <c r="V2160" s="9">
        <v>36.183590217329723</v>
      </c>
      <c r="W2160" s="9">
        <v>36.183590217329723</v>
      </c>
      <c r="X2160" s="9">
        <v>43.522810559209468</v>
      </c>
      <c r="Y2160" s="9">
        <v>43.522810559209468</v>
      </c>
      <c r="Z2160" s="9">
        <v>50.960858783530121</v>
      </c>
      <c r="AA2160" s="9">
        <v>50.960858783530121</v>
      </c>
      <c r="AB2160" s="9">
        <v>58.507617678535738</v>
      </c>
      <c r="AC2160" s="9">
        <v>58.507617678535738</v>
      </c>
      <c r="AD2160" s="9">
        <v>68.105109643716474</v>
      </c>
      <c r="AE2160" s="9">
        <v>75.132723269302929</v>
      </c>
      <c r="AF2160" s="9">
        <v>82.290622386277917</v>
      </c>
      <c r="AG2160" s="9">
        <v>82.290622386277917</v>
      </c>
      <c r="AH2160" s="9">
        <v>90.43943145512165</v>
      </c>
      <c r="AI2160" s="9">
        <v>98.380048333692613</v>
      </c>
      <c r="AJ2160" s="9">
        <v>3.0428788910505911</v>
      </c>
    </row>
    <row r="2161" spans="1:36" x14ac:dyDescent="0.25">
      <c r="A2161" t="s">
        <v>5411</v>
      </c>
      <c r="B2161" t="s">
        <v>16</v>
      </c>
      <c r="C2161" t="s">
        <v>17</v>
      </c>
      <c r="D2161">
        <v>46170000</v>
      </c>
      <c r="E2161">
        <v>46179999</v>
      </c>
      <c r="F2161" t="s">
        <v>1932</v>
      </c>
      <c r="G2161" t="str">
        <f t="shared" si="66"/>
        <v>BAI II</v>
      </c>
      <c r="H2161" t="s">
        <v>1700</v>
      </c>
      <c r="I2161" t="s">
        <v>20</v>
      </c>
      <c r="J2161" t="s">
        <v>64</v>
      </c>
      <c r="K2161" s="6">
        <v>0.03</v>
      </c>
      <c r="L2161" s="7">
        <f t="shared" si="67"/>
        <v>2E-3</v>
      </c>
      <c r="M2161" s="7">
        <v>3.0000000000000001E-3</v>
      </c>
      <c r="N2161">
        <v>10</v>
      </c>
      <c r="O2161" s="8">
        <v>22.933916850949441</v>
      </c>
      <c r="P2161" s="9">
        <v>22.933916850949441</v>
      </c>
      <c r="Q2161" s="9">
        <v>22.933916850949441</v>
      </c>
      <c r="R2161" s="9">
        <v>25.173745848546066</v>
      </c>
      <c r="S2161" s="9">
        <v>27.641690539343774</v>
      </c>
      <c r="T2161" s="9">
        <v>29.730378573928668</v>
      </c>
      <c r="U2161" s="9">
        <v>36.183590217329723</v>
      </c>
      <c r="V2161" s="9">
        <v>36.183590217329723</v>
      </c>
      <c r="W2161" s="9">
        <v>36.183590217329723</v>
      </c>
      <c r="X2161" s="9">
        <v>43.522810559209468</v>
      </c>
      <c r="Y2161" s="9">
        <v>43.522810559209468</v>
      </c>
      <c r="Z2161" s="9">
        <v>50.960858783530121</v>
      </c>
      <c r="AA2161" s="9">
        <v>50.960858783530121</v>
      </c>
      <c r="AB2161" s="9">
        <v>58.507617678535738</v>
      </c>
      <c r="AC2161" s="9">
        <v>58.507617678535738</v>
      </c>
      <c r="AD2161" s="9">
        <v>68.105109643716474</v>
      </c>
      <c r="AE2161" s="9">
        <v>75.132723269302929</v>
      </c>
      <c r="AF2161" s="9">
        <v>82.290622386277917</v>
      </c>
      <c r="AG2161" s="9">
        <v>82.290622386277917</v>
      </c>
      <c r="AH2161" s="9">
        <v>90.43943145512165</v>
      </c>
      <c r="AI2161" s="9">
        <v>98.380048333692613</v>
      </c>
      <c r="AJ2161" s="9">
        <v>3.0428788910505911</v>
      </c>
    </row>
    <row r="2162" spans="1:36" x14ac:dyDescent="0.25">
      <c r="A2162" t="s">
        <v>5411</v>
      </c>
      <c r="B2162" t="s">
        <v>16</v>
      </c>
      <c r="C2162" t="s">
        <v>17</v>
      </c>
      <c r="D2162">
        <v>46180000</v>
      </c>
      <c r="E2162">
        <v>46189999</v>
      </c>
      <c r="F2162" t="s">
        <v>1933</v>
      </c>
      <c r="G2162" t="str">
        <f t="shared" si="66"/>
        <v>BAI II</v>
      </c>
      <c r="H2162" t="s">
        <v>1700</v>
      </c>
      <c r="I2162" t="s">
        <v>20</v>
      </c>
      <c r="J2162" t="s">
        <v>64</v>
      </c>
      <c r="K2162" s="6">
        <v>0.03</v>
      </c>
      <c r="L2162" s="7">
        <f t="shared" si="67"/>
        <v>2E-3</v>
      </c>
      <c r="M2162" s="7">
        <v>3.0000000000000001E-3</v>
      </c>
      <c r="N2162">
        <v>10</v>
      </c>
      <c r="O2162" s="8">
        <v>22.933916850949441</v>
      </c>
      <c r="P2162" s="9">
        <v>22.933916850949441</v>
      </c>
      <c r="Q2162" s="9">
        <v>22.933916850949441</v>
      </c>
      <c r="R2162" s="9">
        <v>25.173745848546066</v>
      </c>
      <c r="S2162" s="9">
        <v>27.641690539343774</v>
      </c>
      <c r="T2162" s="9">
        <v>29.730378573928668</v>
      </c>
      <c r="U2162" s="9">
        <v>36.183590217329723</v>
      </c>
      <c r="V2162" s="9">
        <v>36.183590217329723</v>
      </c>
      <c r="W2162" s="9">
        <v>36.183590217329723</v>
      </c>
      <c r="X2162" s="9">
        <v>43.522810559209468</v>
      </c>
      <c r="Y2162" s="9">
        <v>43.522810559209468</v>
      </c>
      <c r="Z2162" s="9">
        <v>50.960858783530121</v>
      </c>
      <c r="AA2162" s="9">
        <v>50.960858783530121</v>
      </c>
      <c r="AB2162" s="9">
        <v>58.507617678535738</v>
      </c>
      <c r="AC2162" s="9">
        <v>58.507617678535738</v>
      </c>
      <c r="AD2162" s="9">
        <v>68.105109643716474</v>
      </c>
      <c r="AE2162" s="9">
        <v>75.132723269302929</v>
      </c>
      <c r="AF2162" s="9">
        <v>82.290622386277917</v>
      </c>
      <c r="AG2162" s="9">
        <v>82.290622386277917</v>
      </c>
      <c r="AH2162" s="9">
        <v>90.43943145512165</v>
      </c>
      <c r="AI2162" s="9">
        <v>98.380048333692613</v>
      </c>
      <c r="AJ2162" s="9">
        <v>3.0428788910505911</v>
      </c>
    </row>
    <row r="2163" spans="1:36" x14ac:dyDescent="0.25">
      <c r="A2163" t="s">
        <v>5411</v>
      </c>
      <c r="B2163" t="s">
        <v>16</v>
      </c>
      <c r="C2163" t="s">
        <v>17</v>
      </c>
      <c r="D2163">
        <v>46190000</v>
      </c>
      <c r="E2163">
        <v>46199999</v>
      </c>
      <c r="F2163" t="s">
        <v>1934</v>
      </c>
      <c r="G2163" t="str">
        <f t="shared" si="66"/>
        <v>BAI II</v>
      </c>
      <c r="H2163" t="s">
        <v>1700</v>
      </c>
      <c r="I2163" t="s">
        <v>20</v>
      </c>
      <c r="J2163" t="s">
        <v>64</v>
      </c>
      <c r="K2163" s="6">
        <v>0.03</v>
      </c>
      <c r="L2163" s="7">
        <f t="shared" si="67"/>
        <v>2E-3</v>
      </c>
      <c r="M2163" s="7">
        <v>3.0000000000000001E-3</v>
      </c>
      <c r="N2163">
        <v>9</v>
      </c>
      <c r="O2163" s="8">
        <v>22.933916850949441</v>
      </c>
      <c r="P2163" s="9">
        <v>22.933916850949441</v>
      </c>
      <c r="Q2163" s="9">
        <v>22.933916850949441</v>
      </c>
      <c r="R2163" s="9">
        <v>25.173745848546066</v>
      </c>
      <c r="S2163" s="9">
        <v>27.641690539343774</v>
      </c>
      <c r="T2163" s="9">
        <v>29.730378573928668</v>
      </c>
      <c r="U2163" s="9">
        <v>36.183590217329723</v>
      </c>
      <c r="V2163" s="9">
        <v>36.183590217329723</v>
      </c>
      <c r="W2163" s="9">
        <v>36.183590217329723</v>
      </c>
      <c r="X2163" s="9">
        <v>43.522810559209468</v>
      </c>
      <c r="Y2163" s="9">
        <v>43.522810559209468</v>
      </c>
      <c r="Z2163" s="9">
        <v>50.960858783530121</v>
      </c>
      <c r="AA2163" s="9">
        <v>50.960858783530121</v>
      </c>
      <c r="AB2163" s="9">
        <v>58.507617678535738</v>
      </c>
      <c r="AC2163" s="9">
        <v>58.507617678535738</v>
      </c>
      <c r="AD2163" s="9">
        <v>68.105109643716474</v>
      </c>
      <c r="AE2163" s="9">
        <v>75.132723269302929</v>
      </c>
      <c r="AF2163" s="9">
        <v>82.290622386277917</v>
      </c>
      <c r="AG2163" s="9">
        <v>82.290622386277917</v>
      </c>
      <c r="AH2163" s="9">
        <v>90.43943145512165</v>
      </c>
      <c r="AI2163" s="9">
        <v>98.380048333692613</v>
      </c>
      <c r="AJ2163" s="9">
        <v>3.0428788910505911</v>
      </c>
    </row>
    <row r="2164" spans="1:36" x14ac:dyDescent="0.25">
      <c r="A2164" t="s">
        <v>5411</v>
      </c>
      <c r="B2164" t="s">
        <v>16</v>
      </c>
      <c r="C2164" t="s">
        <v>17</v>
      </c>
      <c r="D2164">
        <v>46200000</v>
      </c>
      <c r="E2164">
        <v>46204999</v>
      </c>
      <c r="F2164" t="s">
        <v>1935</v>
      </c>
      <c r="G2164" t="str">
        <f t="shared" si="66"/>
        <v>BAI II</v>
      </c>
      <c r="H2164" t="s">
        <v>1700</v>
      </c>
      <c r="I2164" t="s">
        <v>20</v>
      </c>
      <c r="J2164" t="s">
        <v>64</v>
      </c>
      <c r="K2164" s="6">
        <v>0.03</v>
      </c>
      <c r="L2164" s="7">
        <f t="shared" si="67"/>
        <v>2E-3</v>
      </c>
      <c r="M2164" s="7">
        <v>3.0000000000000001E-3</v>
      </c>
      <c r="N2164">
        <v>14</v>
      </c>
      <c r="O2164" s="8">
        <v>22.933916850949441</v>
      </c>
      <c r="P2164" s="9">
        <v>22.933916850949441</v>
      </c>
      <c r="Q2164" s="9">
        <v>22.933916850949441</v>
      </c>
      <c r="R2164" s="9">
        <v>25.173745848546066</v>
      </c>
      <c r="S2164" s="9">
        <v>27.641690539343774</v>
      </c>
      <c r="T2164" s="9">
        <v>29.730378573928668</v>
      </c>
      <c r="U2164" s="9">
        <v>36.183590217329723</v>
      </c>
      <c r="V2164" s="9">
        <v>36.183590217329723</v>
      </c>
      <c r="W2164" s="9">
        <v>36.183590217329723</v>
      </c>
      <c r="X2164" s="9">
        <v>43.522810559209468</v>
      </c>
      <c r="Y2164" s="9">
        <v>43.522810559209468</v>
      </c>
      <c r="Z2164" s="9">
        <v>50.960858783530121</v>
      </c>
      <c r="AA2164" s="9">
        <v>50.960858783530121</v>
      </c>
      <c r="AB2164" s="9">
        <v>58.507617678535738</v>
      </c>
      <c r="AC2164" s="9">
        <v>58.507617678535738</v>
      </c>
      <c r="AD2164" s="9">
        <v>68.105109643716474</v>
      </c>
      <c r="AE2164" s="9">
        <v>75.132723269302929</v>
      </c>
      <c r="AF2164" s="9">
        <v>82.290622386277917</v>
      </c>
      <c r="AG2164" s="9">
        <v>82.290622386277917</v>
      </c>
      <c r="AH2164" s="9">
        <v>90.43943145512165</v>
      </c>
      <c r="AI2164" s="9">
        <v>98.380048333692613</v>
      </c>
      <c r="AJ2164" s="9">
        <v>3.0428788910505911</v>
      </c>
    </row>
    <row r="2165" spans="1:36" x14ac:dyDescent="0.25">
      <c r="A2165" t="s">
        <v>5411</v>
      </c>
      <c r="B2165" t="s">
        <v>16</v>
      </c>
      <c r="C2165" t="s">
        <v>17</v>
      </c>
      <c r="D2165">
        <v>46205000</v>
      </c>
      <c r="E2165">
        <v>46219999</v>
      </c>
      <c r="F2165" t="s">
        <v>1936</v>
      </c>
      <c r="G2165" t="str">
        <f t="shared" si="66"/>
        <v>BAI II</v>
      </c>
      <c r="H2165" t="s">
        <v>1700</v>
      </c>
      <c r="I2165" t="s">
        <v>20</v>
      </c>
      <c r="J2165" t="s">
        <v>64</v>
      </c>
      <c r="K2165" s="6">
        <v>0.03</v>
      </c>
      <c r="L2165" s="7">
        <f t="shared" si="67"/>
        <v>2E-3</v>
      </c>
      <c r="M2165" s="7">
        <v>3.0000000000000001E-3</v>
      </c>
      <c r="N2165">
        <v>14</v>
      </c>
      <c r="O2165" s="8">
        <v>22.933916850949441</v>
      </c>
      <c r="P2165" s="9">
        <v>22.933916850949441</v>
      </c>
      <c r="Q2165" s="9">
        <v>22.933916850949441</v>
      </c>
      <c r="R2165" s="9">
        <v>25.173745848546066</v>
      </c>
      <c r="S2165" s="9">
        <v>27.641690539343774</v>
      </c>
      <c r="T2165" s="9">
        <v>29.730378573928668</v>
      </c>
      <c r="U2165" s="9">
        <v>36.183590217329723</v>
      </c>
      <c r="V2165" s="9">
        <v>36.183590217329723</v>
      </c>
      <c r="W2165" s="9">
        <v>36.183590217329723</v>
      </c>
      <c r="X2165" s="9">
        <v>43.522810559209468</v>
      </c>
      <c r="Y2165" s="9">
        <v>43.522810559209468</v>
      </c>
      <c r="Z2165" s="9">
        <v>50.960858783530121</v>
      </c>
      <c r="AA2165" s="9">
        <v>50.960858783530121</v>
      </c>
      <c r="AB2165" s="9">
        <v>58.507617678535738</v>
      </c>
      <c r="AC2165" s="9">
        <v>58.507617678535738</v>
      </c>
      <c r="AD2165" s="9">
        <v>68.105109643716474</v>
      </c>
      <c r="AE2165" s="9">
        <v>75.132723269302929</v>
      </c>
      <c r="AF2165" s="9">
        <v>82.290622386277917</v>
      </c>
      <c r="AG2165" s="9">
        <v>82.290622386277917</v>
      </c>
      <c r="AH2165" s="9">
        <v>90.43943145512165</v>
      </c>
      <c r="AI2165" s="9">
        <v>98.380048333692613</v>
      </c>
      <c r="AJ2165" s="9">
        <v>3.0428788910505911</v>
      </c>
    </row>
    <row r="2166" spans="1:36" x14ac:dyDescent="0.25">
      <c r="A2166" t="s">
        <v>5411</v>
      </c>
      <c r="B2166" t="s">
        <v>16</v>
      </c>
      <c r="C2166" t="s">
        <v>17</v>
      </c>
      <c r="D2166">
        <v>46220000</v>
      </c>
      <c r="E2166">
        <v>46249999</v>
      </c>
      <c r="F2166" t="s">
        <v>1937</v>
      </c>
      <c r="G2166" t="str">
        <f t="shared" si="66"/>
        <v>BAI II</v>
      </c>
      <c r="H2166" t="s">
        <v>1700</v>
      </c>
      <c r="I2166" t="s">
        <v>20</v>
      </c>
      <c r="J2166" t="s">
        <v>64</v>
      </c>
      <c r="K2166" s="6">
        <v>0.03</v>
      </c>
      <c r="L2166" s="7">
        <f t="shared" si="67"/>
        <v>2E-3</v>
      </c>
      <c r="M2166" s="7">
        <v>3.0000000000000001E-3</v>
      </c>
      <c r="N2166">
        <v>14</v>
      </c>
      <c r="O2166" s="8">
        <v>22.933916850949441</v>
      </c>
      <c r="P2166" s="9">
        <v>22.933916850949441</v>
      </c>
      <c r="Q2166" s="9">
        <v>22.933916850949441</v>
      </c>
      <c r="R2166" s="9">
        <v>25.173745848546066</v>
      </c>
      <c r="S2166" s="9">
        <v>27.641690539343774</v>
      </c>
      <c r="T2166" s="9">
        <v>29.730378573928668</v>
      </c>
      <c r="U2166" s="9">
        <v>36.183590217329723</v>
      </c>
      <c r="V2166" s="9">
        <v>36.183590217329723</v>
      </c>
      <c r="W2166" s="9">
        <v>36.183590217329723</v>
      </c>
      <c r="X2166" s="9">
        <v>43.522810559209468</v>
      </c>
      <c r="Y2166" s="9">
        <v>43.522810559209468</v>
      </c>
      <c r="Z2166" s="9">
        <v>50.960858783530121</v>
      </c>
      <c r="AA2166" s="9">
        <v>50.960858783530121</v>
      </c>
      <c r="AB2166" s="9">
        <v>58.507617678535738</v>
      </c>
      <c r="AC2166" s="9">
        <v>58.507617678535738</v>
      </c>
      <c r="AD2166" s="9">
        <v>68.105109643716474</v>
      </c>
      <c r="AE2166" s="9">
        <v>75.132723269302929</v>
      </c>
      <c r="AF2166" s="9">
        <v>82.290622386277917</v>
      </c>
      <c r="AG2166" s="9">
        <v>82.290622386277917</v>
      </c>
      <c r="AH2166" s="9">
        <v>90.43943145512165</v>
      </c>
      <c r="AI2166" s="9">
        <v>98.380048333692613</v>
      </c>
      <c r="AJ2166" s="9">
        <v>3.0428788910505911</v>
      </c>
    </row>
    <row r="2167" spans="1:36" x14ac:dyDescent="0.25">
      <c r="A2167" t="s">
        <v>5411</v>
      </c>
      <c r="B2167" t="s">
        <v>16</v>
      </c>
      <c r="C2167" t="s">
        <v>17</v>
      </c>
      <c r="D2167">
        <v>46250000</v>
      </c>
      <c r="E2167">
        <v>46254999</v>
      </c>
      <c r="F2167" t="s">
        <v>1938</v>
      </c>
      <c r="G2167" t="str">
        <f t="shared" si="66"/>
        <v>BAI II</v>
      </c>
      <c r="H2167" t="s">
        <v>1700</v>
      </c>
      <c r="I2167" t="s">
        <v>20</v>
      </c>
      <c r="J2167" t="s">
        <v>64</v>
      </c>
      <c r="K2167" s="6">
        <v>0.03</v>
      </c>
      <c r="L2167" s="7">
        <f t="shared" si="67"/>
        <v>2E-3</v>
      </c>
      <c r="M2167" s="7">
        <v>3.0000000000000001E-3</v>
      </c>
      <c r="N2167">
        <v>14</v>
      </c>
      <c r="O2167" s="8">
        <v>22.933916850949441</v>
      </c>
      <c r="P2167" s="9">
        <v>22.933916850949441</v>
      </c>
      <c r="Q2167" s="9">
        <v>22.933916850949441</v>
      </c>
      <c r="R2167" s="9">
        <v>25.173745848546066</v>
      </c>
      <c r="S2167" s="9">
        <v>27.641690539343774</v>
      </c>
      <c r="T2167" s="9">
        <v>29.730378573928668</v>
      </c>
      <c r="U2167" s="9">
        <v>36.183590217329723</v>
      </c>
      <c r="V2167" s="9">
        <v>36.183590217329723</v>
      </c>
      <c r="W2167" s="9">
        <v>36.183590217329723</v>
      </c>
      <c r="X2167" s="9">
        <v>43.522810559209468</v>
      </c>
      <c r="Y2167" s="9">
        <v>43.522810559209468</v>
      </c>
      <c r="Z2167" s="9">
        <v>50.960858783530121</v>
      </c>
      <c r="AA2167" s="9">
        <v>50.960858783530121</v>
      </c>
      <c r="AB2167" s="9">
        <v>58.507617678535738</v>
      </c>
      <c r="AC2167" s="9">
        <v>58.507617678535738</v>
      </c>
      <c r="AD2167" s="9">
        <v>68.105109643716474</v>
      </c>
      <c r="AE2167" s="9">
        <v>75.132723269302929</v>
      </c>
      <c r="AF2167" s="9">
        <v>82.290622386277917</v>
      </c>
      <c r="AG2167" s="9">
        <v>82.290622386277917</v>
      </c>
      <c r="AH2167" s="9">
        <v>90.43943145512165</v>
      </c>
      <c r="AI2167" s="9">
        <v>98.380048333692613</v>
      </c>
      <c r="AJ2167" s="9">
        <v>3.0428788910505911</v>
      </c>
    </row>
    <row r="2168" spans="1:36" x14ac:dyDescent="0.25">
      <c r="A2168" t="s">
        <v>5411</v>
      </c>
      <c r="B2168" t="s">
        <v>16</v>
      </c>
      <c r="C2168" t="s">
        <v>17</v>
      </c>
      <c r="D2168">
        <v>46255000</v>
      </c>
      <c r="E2168">
        <v>46269999</v>
      </c>
      <c r="F2168" t="s">
        <v>1939</v>
      </c>
      <c r="G2168" t="str">
        <f t="shared" si="66"/>
        <v>BAI II</v>
      </c>
      <c r="H2168" t="s">
        <v>1700</v>
      </c>
      <c r="I2168" t="s">
        <v>20</v>
      </c>
      <c r="J2168" t="s">
        <v>64</v>
      </c>
      <c r="K2168" s="6">
        <v>0.03</v>
      </c>
      <c r="L2168" s="7">
        <f t="shared" si="67"/>
        <v>2E-3</v>
      </c>
      <c r="M2168" s="7">
        <v>3.0000000000000001E-3</v>
      </c>
      <c r="N2168">
        <v>14</v>
      </c>
      <c r="O2168" s="8">
        <v>22.933916850949441</v>
      </c>
      <c r="P2168" s="9">
        <v>22.933916850949441</v>
      </c>
      <c r="Q2168" s="9">
        <v>22.933916850949441</v>
      </c>
      <c r="R2168" s="9">
        <v>25.173745848546066</v>
      </c>
      <c r="S2168" s="9">
        <v>27.641690539343774</v>
      </c>
      <c r="T2168" s="9">
        <v>29.730378573928668</v>
      </c>
      <c r="U2168" s="9">
        <v>36.183590217329723</v>
      </c>
      <c r="V2168" s="9">
        <v>36.183590217329723</v>
      </c>
      <c r="W2168" s="9">
        <v>36.183590217329723</v>
      </c>
      <c r="X2168" s="9">
        <v>43.522810559209468</v>
      </c>
      <c r="Y2168" s="9">
        <v>43.522810559209468</v>
      </c>
      <c r="Z2168" s="9">
        <v>50.960858783530121</v>
      </c>
      <c r="AA2168" s="9">
        <v>50.960858783530121</v>
      </c>
      <c r="AB2168" s="9">
        <v>58.507617678535738</v>
      </c>
      <c r="AC2168" s="9">
        <v>58.507617678535738</v>
      </c>
      <c r="AD2168" s="9">
        <v>68.105109643716474</v>
      </c>
      <c r="AE2168" s="9">
        <v>75.132723269302929</v>
      </c>
      <c r="AF2168" s="9">
        <v>82.290622386277917</v>
      </c>
      <c r="AG2168" s="9">
        <v>82.290622386277917</v>
      </c>
      <c r="AH2168" s="9">
        <v>90.43943145512165</v>
      </c>
      <c r="AI2168" s="9">
        <v>98.380048333692613</v>
      </c>
      <c r="AJ2168" s="9">
        <v>3.0428788910505911</v>
      </c>
    </row>
    <row r="2169" spans="1:36" x14ac:dyDescent="0.25">
      <c r="A2169" t="s">
        <v>5411</v>
      </c>
      <c r="B2169" t="s">
        <v>16</v>
      </c>
      <c r="C2169" t="s">
        <v>17</v>
      </c>
      <c r="D2169">
        <v>46270000</v>
      </c>
      <c r="E2169">
        <v>46279999</v>
      </c>
      <c r="F2169" t="s">
        <v>1940</v>
      </c>
      <c r="G2169" t="str">
        <f t="shared" si="66"/>
        <v>BAI II</v>
      </c>
      <c r="H2169" t="s">
        <v>1700</v>
      </c>
      <c r="I2169" t="s">
        <v>20</v>
      </c>
      <c r="J2169" t="s">
        <v>64</v>
      </c>
      <c r="K2169" s="6">
        <v>0.03</v>
      </c>
      <c r="L2169" s="7">
        <f t="shared" si="67"/>
        <v>2E-3</v>
      </c>
      <c r="M2169" s="7">
        <v>3.0000000000000001E-3</v>
      </c>
      <c r="N2169">
        <v>14</v>
      </c>
      <c r="O2169" s="8">
        <v>22.933916850949441</v>
      </c>
      <c r="P2169" s="9">
        <v>22.933916850949441</v>
      </c>
      <c r="Q2169" s="9">
        <v>22.933916850949441</v>
      </c>
      <c r="R2169" s="9">
        <v>25.173745848546066</v>
      </c>
      <c r="S2169" s="9">
        <v>27.641690539343774</v>
      </c>
      <c r="T2169" s="9">
        <v>29.730378573928668</v>
      </c>
      <c r="U2169" s="9">
        <v>36.183590217329723</v>
      </c>
      <c r="V2169" s="9">
        <v>36.183590217329723</v>
      </c>
      <c r="W2169" s="9">
        <v>36.183590217329723</v>
      </c>
      <c r="X2169" s="9">
        <v>43.522810559209468</v>
      </c>
      <c r="Y2169" s="9">
        <v>43.522810559209468</v>
      </c>
      <c r="Z2169" s="9">
        <v>50.960858783530121</v>
      </c>
      <c r="AA2169" s="9">
        <v>50.960858783530121</v>
      </c>
      <c r="AB2169" s="9">
        <v>58.507617678535738</v>
      </c>
      <c r="AC2169" s="9">
        <v>58.507617678535738</v>
      </c>
      <c r="AD2169" s="9">
        <v>68.105109643716474</v>
      </c>
      <c r="AE2169" s="9">
        <v>75.132723269302929</v>
      </c>
      <c r="AF2169" s="9">
        <v>82.290622386277917</v>
      </c>
      <c r="AG2169" s="9">
        <v>82.290622386277917</v>
      </c>
      <c r="AH2169" s="9">
        <v>90.43943145512165</v>
      </c>
      <c r="AI2169" s="9">
        <v>98.380048333692613</v>
      </c>
      <c r="AJ2169" s="9">
        <v>3.0428788910505911</v>
      </c>
    </row>
    <row r="2170" spans="1:36" x14ac:dyDescent="0.25">
      <c r="A2170" t="s">
        <v>5411</v>
      </c>
      <c r="B2170" t="s">
        <v>16</v>
      </c>
      <c r="C2170" t="s">
        <v>17</v>
      </c>
      <c r="D2170">
        <v>46280000</v>
      </c>
      <c r="E2170">
        <v>46289999</v>
      </c>
      <c r="F2170" t="s">
        <v>1941</v>
      </c>
      <c r="G2170" t="str">
        <f t="shared" si="66"/>
        <v>BAI II</v>
      </c>
      <c r="H2170" t="s">
        <v>1700</v>
      </c>
      <c r="I2170" t="s">
        <v>20</v>
      </c>
      <c r="J2170" t="s">
        <v>64</v>
      </c>
      <c r="K2170" s="6">
        <v>0.03</v>
      </c>
      <c r="L2170" s="7">
        <f t="shared" si="67"/>
        <v>2E-3</v>
      </c>
      <c r="M2170" s="7">
        <v>3.0000000000000001E-3</v>
      </c>
      <c r="N2170">
        <v>14</v>
      </c>
      <c r="O2170" s="8">
        <v>22.933916850949441</v>
      </c>
      <c r="P2170" s="9">
        <v>22.933916850949441</v>
      </c>
      <c r="Q2170" s="9">
        <v>22.933916850949441</v>
      </c>
      <c r="R2170" s="9">
        <v>25.173745848546066</v>
      </c>
      <c r="S2170" s="9">
        <v>27.641690539343774</v>
      </c>
      <c r="T2170" s="9">
        <v>29.730378573928668</v>
      </c>
      <c r="U2170" s="9">
        <v>36.183590217329723</v>
      </c>
      <c r="V2170" s="9">
        <v>36.183590217329723</v>
      </c>
      <c r="W2170" s="9">
        <v>36.183590217329723</v>
      </c>
      <c r="X2170" s="9">
        <v>43.522810559209468</v>
      </c>
      <c r="Y2170" s="9">
        <v>43.522810559209468</v>
      </c>
      <c r="Z2170" s="9">
        <v>50.960858783530121</v>
      </c>
      <c r="AA2170" s="9">
        <v>50.960858783530121</v>
      </c>
      <c r="AB2170" s="9">
        <v>58.507617678535738</v>
      </c>
      <c r="AC2170" s="9">
        <v>58.507617678535738</v>
      </c>
      <c r="AD2170" s="9">
        <v>68.105109643716474</v>
      </c>
      <c r="AE2170" s="9">
        <v>75.132723269302929</v>
      </c>
      <c r="AF2170" s="9">
        <v>82.290622386277917</v>
      </c>
      <c r="AG2170" s="9">
        <v>82.290622386277917</v>
      </c>
      <c r="AH2170" s="9">
        <v>90.43943145512165</v>
      </c>
      <c r="AI2170" s="9">
        <v>98.380048333692613</v>
      </c>
      <c r="AJ2170" s="9">
        <v>3.0428788910505911</v>
      </c>
    </row>
    <row r="2171" spans="1:36" x14ac:dyDescent="0.25">
      <c r="A2171" t="s">
        <v>5411</v>
      </c>
      <c r="B2171" t="s">
        <v>16</v>
      </c>
      <c r="C2171" t="s">
        <v>17</v>
      </c>
      <c r="D2171">
        <v>46290000</v>
      </c>
      <c r="E2171">
        <v>46299999</v>
      </c>
      <c r="F2171" t="s">
        <v>1942</v>
      </c>
      <c r="G2171" t="str">
        <f t="shared" si="66"/>
        <v>BAI II</v>
      </c>
      <c r="H2171" t="s">
        <v>1700</v>
      </c>
      <c r="I2171" t="s">
        <v>20</v>
      </c>
      <c r="J2171" t="s">
        <v>64</v>
      </c>
      <c r="K2171" s="6">
        <v>0.03</v>
      </c>
      <c r="L2171" s="7">
        <f t="shared" si="67"/>
        <v>2E-3</v>
      </c>
      <c r="M2171" s="7">
        <v>3.0000000000000001E-3</v>
      </c>
      <c r="N2171">
        <v>11</v>
      </c>
      <c r="O2171" s="8">
        <v>22.933916850949441</v>
      </c>
      <c r="P2171" s="9">
        <v>22.933916850949441</v>
      </c>
      <c r="Q2171" s="9">
        <v>22.933916850949441</v>
      </c>
      <c r="R2171" s="9">
        <v>25.173745848546066</v>
      </c>
      <c r="S2171" s="9">
        <v>27.641690539343774</v>
      </c>
      <c r="T2171" s="9">
        <v>29.730378573928668</v>
      </c>
      <c r="U2171" s="9">
        <v>36.183590217329723</v>
      </c>
      <c r="V2171" s="9">
        <v>36.183590217329723</v>
      </c>
      <c r="W2171" s="9">
        <v>36.183590217329723</v>
      </c>
      <c r="X2171" s="9">
        <v>43.522810559209468</v>
      </c>
      <c r="Y2171" s="9">
        <v>43.522810559209468</v>
      </c>
      <c r="Z2171" s="9">
        <v>50.960858783530121</v>
      </c>
      <c r="AA2171" s="9">
        <v>50.960858783530121</v>
      </c>
      <c r="AB2171" s="9">
        <v>58.507617678535738</v>
      </c>
      <c r="AC2171" s="9">
        <v>58.507617678535738</v>
      </c>
      <c r="AD2171" s="9">
        <v>68.105109643716474</v>
      </c>
      <c r="AE2171" s="9">
        <v>75.132723269302929</v>
      </c>
      <c r="AF2171" s="9">
        <v>82.290622386277917</v>
      </c>
      <c r="AG2171" s="9">
        <v>82.290622386277917</v>
      </c>
      <c r="AH2171" s="9">
        <v>90.43943145512165</v>
      </c>
      <c r="AI2171" s="9">
        <v>98.380048333692613</v>
      </c>
      <c r="AJ2171" s="9">
        <v>3.0428788910505911</v>
      </c>
    </row>
    <row r="2172" spans="1:36" x14ac:dyDescent="0.25">
      <c r="A2172" t="s">
        <v>5411</v>
      </c>
      <c r="B2172" t="s">
        <v>16</v>
      </c>
      <c r="C2172" t="s">
        <v>17</v>
      </c>
      <c r="D2172">
        <v>46300000</v>
      </c>
      <c r="E2172">
        <v>46309999</v>
      </c>
      <c r="F2172" t="s">
        <v>1943</v>
      </c>
      <c r="G2172" t="str">
        <f t="shared" si="66"/>
        <v>BAI II</v>
      </c>
      <c r="H2172" t="s">
        <v>1700</v>
      </c>
      <c r="I2172" t="s">
        <v>20</v>
      </c>
      <c r="J2172" t="s">
        <v>64</v>
      </c>
      <c r="K2172" s="6">
        <v>0.03</v>
      </c>
      <c r="L2172" s="7">
        <f t="shared" si="67"/>
        <v>2E-3</v>
      </c>
      <c r="M2172" s="7">
        <v>3.0000000000000001E-3</v>
      </c>
      <c r="N2172">
        <v>11</v>
      </c>
      <c r="O2172" s="8">
        <v>22.933916850949441</v>
      </c>
      <c r="P2172" s="9">
        <v>22.933916850949441</v>
      </c>
      <c r="Q2172" s="9">
        <v>22.933916850949441</v>
      </c>
      <c r="R2172" s="9">
        <v>25.173745848546066</v>
      </c>
      <c r="S2172" s="9">
        <v>27.641690539343774</v>
      </c>
      <c r="T2172" s="9">
        <v>29.730378573928668</v>
      </c>
      <c r="U2172" s="9">
        <v>36.183590217329723</v>
      </c>
      <c r="V2172" s="9">
        <v>36.183590217329723</v>
      </c>
      <c r="W2172" s="9">
        <v>36.183590217329723</v>
      </c>
      <c r="X2172" s="9">
        <v>43.522810559209468</v>
      </c>
      <c r="Y2172" s="9">
        <v>43.522810559209468</v>
      </c>
      <c r="Z2172" s="9">
        <v>50.960858783530121</v>
      </c>
      <c r="AA2172" s="9">
        <v>50.960858783530121</v>
      </c>
      <c r="AB2172" s="9">
        <v>58.507617678535738</v>
      </c>
      <c r="AC2172" s="9">
        <v>58.507617678535738</v>
      </c>
      <c r="AD2172" s="9">
        <v>68.105109643716474</v>
      </c>
      <c r="AE2172" s="9">
        <v>75.132723269302929</v>
      </c>
      <c r="AF2172" s="9">
        <v>82.290622386277917</v>
      </c>
      <c r="AG2172" s="9">
        <v>82.290622386277917</v>
      </c>
      <c r="AH2172" s="9">
        <v>90.43943145512165</v>
      </c>
      <c r="AI2172" s="9">
        <v>98.380048333692613</v>
      </c>
      <c r="AJ2172" s="9">
        <v>3.0428788910505911</v>
      </c>
    </row>
    <row r="2173" spans="1:36" x14ac:dyDescent="0.25">
      <c r="A2173" t="s">
        <v>5411</v>
      </c>
      <c r="B2173" t="s">
        <v>16</v>
      </c>
      <c r="C2173" t="s">
        <v>17</v>
      </c>
      <c r="D2173">
        <v>46310000</v>
      </c>
      <c r="E2173">
        <v>46329999</v>
      </c>
      <c r="F2173" t="s">
        <v>1944</v>
      </c>
      <c r="G2173" t="str">
        <f t="shared" si="66"/>
        <v>BAI II</v>
      </c>
      <c r="H2173" t="s">
        <v>1700</v>
      </c>
      <c r="I2173" t="s">
        <v>20</v>
      </c>
      <c r="J2173" t="s">
        <v>64</v>
      </c>
      <c r="K2173" s="6">
        <v>0.03</v>
      </c>
      <c r="L2173" s="7">
        <f t="shared" si="67"/>
        <v>2E-3</v>
      </c>
      <c r="M2173" s="7">
        <v>3.0000000000000001E-3</v>
      </c>
      <c r="N2173">
        <v>11</v>
      </c>
      <c r="O2173" s="8">
        <v>22.933916850949441</v>
      </c>
      <c r="P2173" s="9">
        <v>22.933916850949441</v>
      </c>
      <c r="Q2173" s="9">
        <v>22.933916850949441</v>
      </c>
      <c r="R2173" s="9">
        <v>25.173745848546066</v>
      </c>
      <c r="S2173" s="9">
        <v>27.641690539343774</v>
      </c>
      <c r="T2173" s="9">
        <v>29.730378573928668</v>
      </c>
      <c r="U2173" s="9">
        <v>36.183590217329723</v>
      </c>
      <c r="V2173" s="9">
        <v>36.183590217329723</v>
      </c>
      <c r="W2173" s="9">
        <v>36.183590217329723</v>
      </c>
      <c r="X2173" s="9">
        <v>43.522810559209468</v>
      </c>
      <c r="Y2173" s="9">
        <v>43.522810559209468</v>
      </c>
      <c r="Z2173" s="9">
        <v>50.960858783530121</v>
      </c>
      <c r="AA2173" s="9">
        <v>50.960858783530121</v>
      </c>
      <c r="AB2173" s="9">
        <v>58.507617678535738</v>
      </c>
      <c r="AC2173" s="9">
        <v>58.507617678535738</v>
      </c>
      <c r="AD2173" s="9">
        <v>68.105109643716474</v>
      </c>
      <c r="AE2173" s="9">
        <v>75.132723269302929</v>
      </c>
      <c r="AF2173" s="9">
        <v>82.290622386277917</v>
      </c>
      <c r="AG2173" s="9">
        <v>82.290622386277917</v>
      </c>
      <c r="AH2173" s="9">
        <v>90.43943145512165</v>
      </c>
      <c r="AI2173" s="9">
        <v>98.380048333692613</v>
      </c>
      <c r="AJ2173" s="9">
        <v>3.0428788910505911</v>
      </c>
    </row>
    <row r="2174" spans="1:36" x14ac:dyDescent="0.25">
      <c r="A2174" t="s">
        <v>5411</v>
      </c>
      <c r="B2174" t="s">
        <v>16</v>
      </c>
      <c r="C2174" t="s">
        <v>17</v>
      </c>
      <c r="D2174">
        <v>46330000</v>
      </c>
      <c r="E2174">
        <v>46349999</v>
      </c>
      <c r="F2174" t="s">
        <v>1945</v>
      </c>
      <c r="G2174" t="str">
        <f t="shared" si="66"/>
        <v>BAI II</v>
      </c>
      <c r="H2174" t="s">
        <v>1700</v>
      </c>
      <c r="I2174" t="s">
        <v>20</v>
      </c>
      <c r="J2174" t="s">
        <v>64</v>
      </c>
      <c r="K2174" s="6">
        <v>0.03</v>
      </c>
      <c r="L2174" s="7">
        <f t="shared" si="67"/>
        <v>2E-3</v>
      </c>
      <c r="M2174" s="7">
        <v>3.0000000000000001E-3</v>
      </c>
      <c r="N2174">
        <v>11</v>
      </c>
      <c r="O2174" s="8">
        <v>22.933916850949441</v>
      </c>
      <c r="P2174" s="9">
        <v>22.933916850949441</v>
      </c>
      <c r="Q2174" s="9">
        <v>22.933916850949441</v>
      </c>
      <c r="R2174" s="9">
        <v>25.173745848546066</v>
      </c>
      <c r="S2174" s="9">
        <v>27.641690539343774</v>
      </c>
      <c r="T2174" s="9">
        <v>29.730378573928668</v>
      </c>
      <c r="U2174" s="9">
        <v>36.183590217329723</v>
      </c>
      <c r="V2174" s="9">
        <v>36.183590217329723</v>
      </c>
      <c r="W2174" s="9">
        <v>36.183590217329723</v>
      </c>
      <c r="X2174" s="9">
        <v>43.522810559209468</v>
      </c>
      <c r="Y2174" s="9">
        <v>43.522810559209468</v>
      </c>
      <c r="Z2174" s="9">
        <v>50.960858783530121</v>
      </c>
      <c r="AA2174" s="9">
        <v>50.960858783530121</v>
      </c>
      <c r="AB2174" s="9">
        <v>58.507617678535738</v>
      </c>
      <c r="AC2174" s="9">
        <v>58.507617678535738</v>
      </c>
      <c r="AD2174" s="9">
        <v>68.105109643716474</v>
      </c>
      <c r="AE2174" s="9">
        <v>75.132723269302929</v>
      </c>
      <c r="AF2174" s="9">
        <v>82.290622386277917</v>
      </c>
      <c r="AG2174" s="9">
        <v>82.290622386277917</v>
      </c>
      <c r="AH2174" s="9">
        <v>90.43943145512165</v>
      </c>
      <c r="AI2174" s="9">
        <v>98.380048333692613</v>
      </c>
      <c r="AJ2174" s="9">
        <v>3.0428788910505911</v>
      </c>
    </row>
    <row r="2175" spans="1:36" x14ac:dyDescent="0.25">
      <c r="A2175" t="s">
        <v>5411</v>
      </c>
      <c r="B2175" t="s">
        <v>16</v>
      </c>
      <c r="C2175" t="s">
        <v>17</v>
      </c>
      <c r="D2175">
        <v>46350000</v>
      </c>
      <c r="E2175">
        <v>46359999</v>
      </c>
      <c r="F2175" t="s">
        <v>1946</v>
      </c>
      <c r="G2175" t="str">
        <f t="shared" si="66"/>
        <v>BAI II</v>
      </c>
      <c r="H2175" t="s">
        <v>1700</v>
      </c>
      <c r="I2175" t="s">
        <v>20</v>
      </c>
      <c r="J2175" t="s">
        <v>64</v>
      </c>
      <c r="K2175" s="6">
        <v>0.03</v>
      </c>
      <c r="L2175" s="7">
        <f t="shared" si="67"/>
        <v>2E-3</v>
      </c>
      <c r="M2175" s="7">
        <v>3.0000000000000001E-3</v>
      </c>
      <c r="N2175">
        <v>11</v>
      </c>
      <c r="O2175" s="8">
        <v>22.933916850949441</v>
      </c>
      <c r="P2175" s="9">
        <v>22.933916850949441</v>
      </c>
      <c r="Q2175" s="9">
        <v>22.933916850949441</v>
      </c>
      <c r="R2175" s="9">
        <v>25.173745848546066</v>
      </c>
      <c r="S2175" s="9">
        <v>27.641690539343774</v>
      </c>
      <c r="T2175" s="9">
        <v>29.730378573928668</v>
      </c>
      <c r="U2175" s="9">
        <v>36.183590217329723</v>
      </c>
      <c r="V2175" s="9">
        <v>36.183590217329723</v>
      </c>
      <c r="W2175" s="9">
        <v>36.183590217329723</v>
      </c>
      <c r="X2175" s="9">
        <v>43.522810559209468</v>
      </c>
      <c r="Y2175" s="9">
        <v>43.522810559209468</v>
      </c>
      <c r="Z2175" s="9">
        <v>50.960858783530121</v>
      </c>
      <c r="AA2175" s="9">
        <v>50.960858783530121</v>
      </c>
      <c r="AB2175" s="9">
        <v>58.507617678535738</v>
      </c>
      <c r="AC2175" s="9">
        <v>58.507617678535738</v>
      </c>
      <c r="AD2175" s="9">
        <v>68.105109643716474</v>
      </c>
      <c r="AE2175" s="9">
        <v>75.132723269302929</v>
      </c>
      <c r="AF2175" s="9">
        <v>82.290622386277917</v>
      </c>
      <c r="AG2175" s="9">
        <v>82.290622386277917</v>
      </c>
      <c r="AH2175" s="9">
        <v>90.43943145512165</v>
      </c>
      <c r="AI2175" s="9">
        <v>98.380048333692613</v>
      </c>
      <c r="AJ2175" s="9">
        <v>3.0428788910505911</v>
      </c>
    </row>
    <row r="2176" spans="1:36" x14ac:dyDescent="0.25">
      <c r="A2176" t="s">
        <v>5411</v>
      </c>
      <c r="B2176" t="s">
        <v>16</v>
      </c>
      <c r="C2176" t="s">
        <v>17</v>
      </c>
      <c r="D2176">
        <v>46360000</v>
      </c>
      <c r="E2176">
        <v>46379999</v>
      </c>
      <c r="F2176" t="s">
        <v>1947</v>
      </c>
      <c r="G2176" t="str">
        <f t="shared" si="66"/>
        <v>BAI II</v>
      </c>
      <c r="H2176" t="s">
        <v>1700</v>
      </c>
      <c r="I2176" t="s">
        <v>20</v>
      </c>
      <c r="J2176" t="s">
        <v>64</v>
      </c>
      <c r="K2176" s="6">
        <v>0.03</v>
      </c>
      <c r="L2176" s="7">
        <f t="shared" si="67"/>
        <v>2E-3</v>
      </c>
      <c r="M2176" s="7">
        <v>3.0000000000000001E-3</v>
      </c>
      <c r="N2176">
        <v>11</v>
      </c>
      <c r="O2176" s="8">
        <v>22.933916850949441</v>
      </c>
      <c r="P2176" s="9">
        <v>22.933916850949441</v>
      </c>
      <c r="Q2176" s="9">
        <v>22.933916850949441</v>
      </c>
      <c r="R2176" s="9">
        <v>25.173745848546066</v>
      </c>
      <c r="S2176" s="9">
        <v>27.641690539343774</v>
      </c>
      <c r="T2176" s="9">
        <v>29.730378573928668</v>
      </c>
      <c r="U2176" s="9">
        <v>36.183590217329723</v>
      </c>
      <c r="V2176" s="9">
        <v>36.183590217329723</v>
      </c>
      <c r="W2176" s="9">
        <v>36.183590217329723</v>
      </c>
      <c r="X2176" s="9">
        <v>43.522810559209468</v>
      </c>
      <c r="Y2176" s="9">
        <v>43.522810559209468</v>
      </c>
      <c r="Z2176" s="9">
        <v>50.960858783530121</v>
      </c>
      <c r="AA2176" s="9">
        <v>50.960858783530121</v>
      </c>
      <c r="AB2176" s="9">
        <v>58.507617678535738</v>
      </c>
      <c r="AC2176" s="9">
        <v>58.507617678535738</v>
      </c>
      <c r="AD2176" s="9">
        <v>68.105109643716474</v>
      </c>
      <c r="AE2176" s="9">
        <v>75.132723269302929</v>
      </c>
      <c r="AF2176" s="9">
        <v>82.290622386277917</v>
      </c>
      <c r="AG2176" s="9">
        <v>82.290622386277917</v>
      </c>
      <c r="AH2176" s="9">
        <v>90.43943145512165</v>
      </c>
      <c r="AI2176" s="9">
        <v>98.380048333692613</v>
      </c>
      <c r="AJ2176" s="9">
        <v>3.0428788910505911</v>
      </c>
    </row>
    <row r="2177" spans="1:36" x14ac:dyDescent="0.25">
      <c r="A2177" t="s">
        <v>5411</v>
      </c>
      <c r="B2177" t="s">
        <v>16</v>
      </c>
      <c r="C2177" t="s">
        <v>17</v>
      </c>
      <c r="D2177">
        <v>46380000</v>
      </c>
      <c r="E2177">
        <v>46389999</v>
      </c>
      <c r="F2177" t="s">
        <v>1948</v>
      </c>
      <c r="G2177" t="str">
        <f t="shared" si="66"/>
        <v>BAI II</v>
      </c>
      <c r="H2177" t="s">
        <v>1700</v>
      </c>
      <c r="I2177" t="s">
        <v>20</v>
      </c>
      <c r="J2177" t="s">
        <v>64</v>
      </c>
      <c r="K2177" s="6">
        <v>0.03</v>
      </c>
      <c r="L2177" s="7">
        <f t="shared" si="67"/>
        <v>2E-3</v>
      </c>
      <c r="M2177" s="7">
        <v>3.0000000000000001E-3</v>
      </c>
      <c r="N2177">
        <v>11</v>
      </c>
      <c r="O2177" s="8">
        <v>22.933916850949441</v>
      </c>
      <c r="P2177" s="9">
        <v>22.933916850949441</v>
      </c>
      <c r="Q2177" s="9">
        <v>22.933916850949441</v>
      </c>
      <c r="R2177" s="9">
        <v>25.173745848546066</v>
      </c>
      <c r="S2177" s="9">
        <v>27.641690539343774</v>
      </c>
      <c r="T2177" s="9">
        <v>29.730378573928668</v>
      </c>
      <c r="U2177" s="9">
        <v>36.183590217329723</v>
      </c>
      <c r="V2177" s="9">
        <v>36.183590217329723</v>
      </c>
      <c r="W2177" s="9">
        <v>36.183590217329723</v>
      </c>
      <c r="X2177" s="9">
        <v>43.522810559209468</v>
      </c>
      <c r="Y2177" s="9">
        <v>43.522810559209468</v>
      </c>
      <c r="Z2177" s="9">
        <v>50.960858783530121</v>
      </c>
      <c r="AA2177" s="9">
        <v>50.960858783530121</v>
      </c>
      <c r="AB2177" s="9">
        <v>58.507617678535738</v>
      </c>
      <c r="AC2177" s="9">
        <v>58.507617678535738</v>
      </c>
      <c r="AD2177" s="9">
        <v>68.105109643716474</v>
      </c>
      <c r="AE2177" s="9">
        <v>75.132723269302929</v>
      </c>
      <c r="AF2177" s="9">
        <v>82.290622386277917</v>
      </c>
      <c r="AG2177" s="9">
        <v>82.290622386277917</v>
      </c>
      <c r="AH2177" s="9">
        <v>90.43943145512165</v>
      </c>
      <c r="AI2177" s="9">
        <v>98.380048333692613</v>
      </c>
      <c r="AJ2177" s="9">
        <v>3.0428788910505911</v>
      </c>
    </row>
    <row r="2178" spans="1:36" x14ac:dyDescent="0.25">
      <c r="A2178" t="s">
        <v>5411</v>
      </c>
      <c r="B2178" t="s">
        <v>16</v>
      </c>
      <c r="C2178" t="s">
        <v>17</v>
      </c>
      <c r="D2178">
        <v>46390000</v>
      </c>
      <c r="E2178">
        <v>46399999</v>
      </c>
      <c r="F2178" t="s">
        <v>1949</v>
      </c>
      <c r="G2178" t="str">
        <f t="shared" si="66"/>
        <v>BAI II</v>
      </c>
      <c r="H2178" t="s">
        <v>1700</v>
      </c>
      <c r="I2178" t="s">
        <v>20</v>
      </c>
      <c r="J2178" t="s">
        <v>64</v>
      </c>
      <c r="K2178" s="6">
        <v>0.03</v>
      </c>
      <c r="L2178" s="7">
        <f t="shared" si="67"/>
        <v>2E-3</v>
      </c>
      <c r="M2178" s="7">
        <v>3.0000000000000001E-3</v>
      </c>
      <c r="N2178">
        <v>11</v>
      </c>
      <c r="O2178" s="8">
        <v>22.933916850949441</v>
      </c>
      <c r="P2178" s="9">
        <v>22.933916850949441</v>
      </c>
      <c r="Q2178" s="9">
        <v>22.933916850949441</v>
      </c>
      <c r="R2178" s="9">
        <v>25.173745848546066</v>
      </c>
      <c r="S2178" s="9">
        <v>27.641690539343774</v>
      </c>
      <c r="T2178" s="9">
        <v>29.730378573928668</v>
      </c>
      <c r="U2178" s="9">
        <v>36.183590217329723</v>
      </c>
      <c r="V2178" s="9">
        <v>36.183590217329723</v>
      </c>
      <c r="W2178" s="9">
        <v>36.183590217329723</v>
      </c>
      <c r="X2178" s="9">
        <v>43.522810559209468</v>
      </c>
      <c r="Y2178" s="9">
        <v>43.522810559209468</v>
      </c>
      <c r="Z2178" s="9">
        <v>50.960858783530121</v>
      </c>
      <c r="AA2178" s="9">
        <v>50.960858783530121</v>
      </c>
      <c r="AB2178" s="9">
        <v>58.507617678535738</v>
      </c>
      <c r="AC2178" s="9">
        <v>58.507617678535738</v>
      </c>
      <c r="AD2178" s="9">
        <v>68.105109643716474</v>
      </c>
      <c r="AE2178" s="9">
        <v>75.132723269302929</v>
      </c>
      <c r="AF2178" s="9">
        <v>82.290622386277917</v>
      </c>
      <c r="AG2178" s="9">
        <v>82.290622386277917</v>
      </c>
      <c r="AH2178" s="9">
        <v>90.43943145512165</v>
      </c>
      <c r="AI2178" s="9">
        <v>98.380048333692613</v>
      </c>
      <c r="AJ2178" s="9">
        <v>3.0428788910505911</v>
      </c>
    </row>
    <row r="2179" spans="1:36" x14ac:dyDescent="0.25">
      <c r="A2179" t="s">
        <v>5411</v>
      </c>
      <c r="B2179" t="s">
        <v>16</v>
      </c>
      <c r="C2179" t="s">
        <v>17</v>
      </c>
      <c r="D2179">
        <v>46400000</v>
      </c>
      <c r="E2179">
        <v>46424999</v>
      </c>
      <c r="F2179" t="s">
        <v>1950</v>
      </c>
      <c r="G2179" t="str">
        <f t="shared" si="66"/>
        <v>BAI II</v>
      </c>
      <c r="H2179" t="s">
        <v>1700</v>
      </c>
      <c r="I2179" t="s">
        <v>20</v>
      </c>
      <c r="J2179" t="s">
        <v>64</v>
      </c>
      <c r="K2179" s="6">
        <v>0.03</v>
      </c>
      <c r="L2179" s="7">
        <f t="shared" si="67"/>
        <v>2E-3</v>
      </c>
      <c r="M2179" s="7">
        <v>3.0000000000000001E-3</v>
      </c>
      <c r="N2179">
        <v>9</v>
      </c>
      <c r="O2179" s="8">
        <v>22.933916850949441</v>
      </c>
      <c r="P2179" s="9">
        <v>22.933916850949441</v>
      </c>
      <c r="Q2179" s="9">
        <v>22.933916850949441</v>
      </c>
      <c r="R2179" s="9">
        <v>25.173745848546066</v>
      </c>
      <c r="S2179" s="9">
        <v>27.641690539343774</v>
      </c>
      <c r="T2179" s="9">
        <v>29.730378573928668</v>
      </c>
      <c r="U2179" s="9">
        <v>36.183590217329723</v>
      </c>
      <c r="V2179" s="9">
        <v>36.183590217329723</v>
      </c>
      <c r="W2179" s="9">
        <v>36.183590217329723</v>
      </c>
      <c r="X2179" s="9">
        <v>43.522810559209468</v>
      </c>
      <c r="Y2179" s="9">
        <v>43.522810559209468</v>
      </c>
      <c r="Z2179" s="9">
        <v>50.960858783530121</v>
      </c>
      <c r="AA2179" s="9">
        <v>50.960858783530121</v>
      </c>
      <c r="AB2179" s="9">
        <v>58.507617678535738</v>
      </c>
      <c r="AC2179" s="9">
        <v>58.507617678535738</v>
      </c>
      <c r="AD2179" s="9">
        <v>68.105109643716474</v>
      </c>
      <c r="AE2179" s="9">
        <v>75.132723269302929</v>
      </c>
      <c r="AF2179" s="9">
        <v>82.290622386277917</v>
      </c>
      <c r="AG2179" s="9">
        <v>82.290622386277917</v>
      </c>
      <c r="AH2179" s="9">
        <v>90.43943145512165</v>
      </c>
      <c r="AI2179" s="9">
        <v>98.380048333692613</v>
      </c>
      <c r="AJ2179" s="9">
        <v>3.0428788910505911</v>
      </c>
    </row>
    <row r="2180" spans="1:36" x14ac:dyDescent="0.25">
      <c r="A2180" t="s">
        <v>5411</v>
      </c>
      <c r="B2180" t="s">
        <v>16</v>
      </c>
      <c r="C2180" t="s">
        <v>17</v>
      </c>
      <c r="D2180">
        <v>46425000</v>
      </c>
      <c r="E2180">
        <v>46429999</v>
      </c>
      <c r="F2180" t="s">
        <v>1951</v>
      </c>
      <c r="G2180" t="str">
        <f t="shared" ref="G2180:G2243" si="68">H2180&amp;IF(J2180="CAPITAL","C",IF(J2180="INTERIOR","I",IF(J2180="INTERIOR II","I II","R")))</f>
        <v>BAI II</v>
      </c>
      <c r="H2180" t="s">
        <v>1700</v>
      </c>
      <c r="I2180" t="s">
        <v>20</v>
      </c>
      <c r="J2180" t="s">
        <v>64</v>
      </c>
      <c r="K2180" s="6">
        <v>0.03</v>
      </c>
      <c r="L2180" s="7">
        <f t="shared" ref="L2180:L2243" si="69">IF(I2180="(0) Não",0.2%,3%)</f>
        <v>2E-3</v>
      </c>
      <c r="M2180" s="7">
        <v>3.0000000000000001E-3</v>
      </c>
      <c r="N2180">
        <v>14</v>
      </c>
      <c r="O2180" s="8">
        <v>22.933916850949441</v>
      </c>
      <c r="P2180" s="9">
        <v>22.933916850949441</v>
      </c>
      <c r="Q2180" s="9">
        <v>22.933916850949441</v>
      </c>
      <c r="R2180" s="9">
        <v>25.173745848546066</v>
      </c>
      <c r="S2180" s="9">
        <v>27.641690539343774</v>
      </c>
      <c r="T2180" s="9">
        <v>29.730378573928668</v>
      </c>
      <c r="U2180" s="9">
        <v>36.183590217329723</v>
      </c>
      <c r="V2180" s="9">
        <v>36.183590217329723</v>
      </c>
      <c r="W2180" s="9">
        <v>36.183590217329723</v>
      </c>
      <c r="X2180" s="9">
        <v>43.522810559209468</v>
      </c>
      <c r="Y2180" s="9">
        <v>43.522810559209468</v>
      </c>
      <c r="Z2180" s="9">
        <v>50.960858783530121</v>
      </c>
      <c r="AA2180" s="9">
        <v>50.960858783530121</v>
      </c>
      <c r="AB2180" s="9">
        <v>58.507617678535738</v>
      </c>
      <c r="AC2180" s="9">
        <v>58.507617678535738</v>
      </c>
      <c r="AD2180" s="9">
        <v>68.105109643716474</v>
      </c>
      <c r="AE2180" s="9">
        <v>75.132723269302929</v>
      </c>
      <c r="AF2180" s="9">
        <v>82.290622386277917</v>
      </c>
      <c r="AG2180" s="9">
        <v>82.290622386277917</v>
      </c>
      <c r="AH2180" s="9">
        <v>90.43943145512165</v>
      </c>
      <c r="AI2180" s="9">
        <v>98.380048333692613</v>
      </c>
      <c r="AJ2180" s="9">
        <v>3.0428788910505911</v>
      </c>
    </row>
    <row r="2181" spans="1:36" x14ac:dyDescent="0.25">
      <c r="A2181" t="s">
        <v>5411</v>
      </c>
      <c r="B2181" t="s">
        <v>16</v>
      </c>
      <c r="C2181" t="s">
        <v>17</v>
      </c>
      <c r="D2181">
        <v>46430000</v>
      </c>
      <c r="E2181">
        <v>46437999</v>
      </c>
      <c r="F2181" t="s">
        <v>1952</v>
      </c>
      <c r="G2181" t="str">
        <f t="shared" si="68"/>
        <v>BAI II</v>
      </c>
      <c r="H2181" t="s">
        <v>1700</v>
      </c>
      <c r="I2181" t="s">
        <v>20</v>
      </c>
      <c r="J2181" t="s">
        <v>64</v>
      </c>
      <c r="K2181" s="6">
        <v>0.03</v>
      </c>
      <c r="L2181" s="7">
        <f t="shared" si="69"/>
        <v>2E-3</v>
      </c>
      <c r="M2181" s="7">
        <v>3.0000000000000001E-3</v>
      </c>
      <c r="N2181">
        <v>10</v>
      </c>
      <c r="O2181" s="8">
        <v>22.933916850949441</v>
      </c>
      <c r="P2181" s="9">
        <v>22.933916850949441</v>
      </c>
      <c r="Q2181" s="9">
        <v>22.933916850949441</v>
      </c>
      <c r="R2181" s="9">
        <v>25.173745848546066</v>
      </c>
      <c r="S2181" s="9">
        <v>27.641690539343774</v>
      </c>
      <c r="T2181" s="9">
        <v>29.730378573928668</v>
      </c>
      <c r="U2181" s="9">
        <v>36.183590217329723</v>
      </c>
      <c r="V2181" s="9">
        <v>36.183590217329723</v>
      </c>
      <c r="W2181" s="9">
        <v>36.183590217329723</v>
      </c>
      <c r="X2181" s="9">
        <v>43.522810559209468</v>
      </c>
      <c r="Y2181" s="9">
        <v>43.522810559209468</v>
      </c>
      <c r="Z2181" s="9">
        <v>50.960858783530121</v>
      </c>
      <c r="AA2181" s="9">
        <v>50.960858783530121</v>
      </c>
      <c r="AB2181" s="9">
        <v>58.507617678535738</v>
      </c>
      <c r="AC2181" s="9">
        <v>58.507617678535738</v>
      </c>
      <c r="AD2181" s="9">
        <v>68.105109643716474</v>
      </c>
      <c r="AE2181" s="9">
        <v>75.132723269302929</v>
      </c>
      <c r="AF2181" s="9">
        <v>82.290622386277917</v>
      </c>
      <c r="AG2181" s="9">
        <v>82.290622386277917</v>
      </c>
      <c r="AH2181" s="9">
        <v>90.43943145512165</v>
      </c>
      <c r="AI2181" s="9">
        <v>98.380048333692613</v>
      </c>
      <c r="AJ2181" s="9">
        <v>3.0428788910505911</v>
      </c>
    </row>
    <row r="2182" spans="1:36" x14ac:dyDescent="0.25">
      <c r="A2182" t="s">
        <v>5411</v>
      </c>
      <c r="B2182" t="s">
        <v>16</v>
      </c>
      <c r="C2182" t="s">
        <v>17</v>
      </c>
      <c r="D2182">
        <v>46438000</v>
      </c>
      <c r="E2182">
        <v>46439999</v>
      </c>
      <c r="F2182" t="s">
        <v>1953</v>
      </c>
      <c r="G2182" t="str">
        <f t="shared" si="68"/>
        <v>BAI II</v>
      </c>
      <c r="H2182" t="s">
        <v>1700</v>
      </c>
      <c r="I2182" t="s">
        <v>20</v>
      </c>
      <c r="J2182" t="s">
        <v>64</v>
      </c>
      <c r="K2182" s="6">
        <v>0.03</v>
      </c>
      <c r="L2182" s="7">
        <f t="shared" si="69"/>
        <v>2E-3</v>
      </c>
      <c r="M2182" s="7">
        <v>3.0000000000000001E-3</v>
      </c>
      <c r="N2182">
        <v>11</v>
      </c>
      <c r="O2182" s="8">
        <v>22.933916850949441</v>
      </c>
      <c r="P2182" s="9">
        <v>22.933916850949441</v>
      </c>
      <c r="Q2182" s="9">
        <v>22.933916850949441</v>
      </c>
      <c r="R2182" s="9">
        <v>25.173745848546066</v>
      </c>
      <c r="S2182" s="9">
        <v>27.641690539343774</v>
      </c>
      <c r="T2182" s="9">
        <v>29.730378573928668</v>
      </c>
      <c r="U2182" s="9">
        <v>36.183590217329723</v>
      </c>
      <c r="V2182" s="9">
        <v>36.183590217329723</v>
      </c>
      <c r="W2182" s="9">
        <v>36.183590217329723</v>
      </c>
      <c r="X2182" s="9">
        <v>43.522810559209468</v>
      </c>
      <c r="Y2182" s="9">
        <v>43.522810559209468</v>
      </c>
      <c r="Z2182" s="9">
        <v>50.960858783530121</v>
      </c>
      <c r="AA2182" s="9">
        <v>50.960858783530121</v>
      </c>
      <c r="AB2182" s="9">
        <v>58.507617678535738</v>
      </c>
      <c r="AC2182" s="9">
        <v>58.507617678535738</v>
      </c>
      <c r="AD2182" s="9">
        <v>68.105109643716474</v>
      </c>
      <c r="AE2182" s="9">
        <v>75.132723269302929</v>
      </c>
      <c r="AF2182" s="9">
        <v>82.290622386277917</v>
      </c>
      <c r="AG2182" s="9">
        <v>82.290622386277917</v>
      </c>
      <c r="AH2182" s="9">
        <v>90.43943145512165</v>
      </c>
      <c r="AI2182" s="9">
        <v>98.380048333692613</v>
      </c>
      <c r="AJ2182" s="9">
        <v>3.0428788910505911</v>
      </c>
    </row>
    <row r="2183" spans="1:36" x14ac:dyDescent="0.25">
      <c r="A2183" t="s">
        <v>5411</v>
      </c>
      <c r="B2183" t="s">
        <v>16</v>
      </c>
      <c r="C2183" t="s">
        <v>17</v>
      </c>
      <c r="D2183">
        <v>46440000</v>
      </c>
      <c r="E2183">
        <v>46444999</v>
      </c>
      <c r="F2183" t="s">
        <v>1954</v>
      </c>
      <c r="G2183" t="str">
        <f t="shared" si="68"/>
        <v>BAI II</v>
      </c>
      <c r="H2183" t="s">
        <v>1700</v>
      </c>
      <c r="I2183" t="s">
        <v>20</v>
      </c>
      <c r="J2183" t="s">
        <v>64</v>
      </c>
      <c r="K2183" s="6">
        <v>0.03</v>
      </c>
      <c r="L2183" s="7">
        <f t="shared" si="69"/>
        <v>2E-3</v>
      </c>
      <c r="M2183" s="7">
        <v>3.0000000000000001E-3</v>
      </c>
      <c r="N2183">
        <v>11</v>
      </c>
      <c r="O2183" s="8">
        <v>22.933916850949441</v>
      </c>
      <c r="P2183" s="9">
        <v>22.933916850949441</v>
      </c>
      <c r="Q2183" s="9">
        <v>22.933916850949441</v>
      </c>
      <c r="R2183" s="9">
        <v>25.173745848546066</v>
      </c>
      <c r="S2183" s="9">
        <v>27.641690539343774</v>
      </c>
      <c r="T2183" s="9">
        <v>29.730378573928668</v>
      </c>
      <c r="U2183" s="9">
        <v>36.183590217329723</v>
      </c>
      <c r="V2183" s="9">
        <v>36.183590217329723</v>
      </c>
      <c r="W2183" s="9">
        <v>36.183590217329723</v>
      </c>
      <c r="X2183" s="9">
        <v>43.522810559209468</v>
      </c>
      <c r="Y2183" s="9">
        <v>43.522810559209468</v>
      </c>
      <c r="Z2183" s="9">
        <v>50.960858783530121</v>
      </c>
      <c r="AA2183" s="9">
        <v>50.960858783530121</v>
      </c>
      <c r="AB2183" s="9">
        <v>58.507617678535738</v>
      </c>
      <c r="AC2183" s="9">
        <v>58.507617678535738</v>
      </c>
      <c r="AD2183" s="9">
        <v>68.105109643716474</v>
      </c>
      <c r="AE2183" s="9">
        <v>75.132723269302929</v>
      </c>
      <c r="AF2183" s="9">
        <v>82.290622386277917</v>
      </c>
      <c r="AG2183" s="9">
        <v>82.290622386277917</v>
      </c>
      <c r="AH2183" s="9">
        <v>90.43943145512165</v>
      </c>
      <c r="AI2183" s="9">
        <v>98.380048333692613</v>
      </c>
      <c r="AJ2183" s="9">
        <v>3.0428788910505911</v>
      </c>
    </row>
    <row r="2184" spans="1:36" x14ac:dyDescent="0.25">
      <c r="A2184" t="s">
        <v>5411</v>
      </c>
      <c r="B2184" t="s">
        <v>16</v>
      </c>
      <c r="C2184" t="s">
        <v>17</v>
      </c>
      <c r="D2184">
        <v>46445000</v>
      </c>
      <c r="E2184">
        <v>46445999</v>
      </c>
      <c r="F2184" t="s">
        <v>1955</v>
      </c>
      <c r="G2184" t="str">
        <f t="shared" si="68"/>
        <v>BAI II</v>
      </c>
      <c r="H2184" t="s">
        <v>1700</v>
      </c>
      <c r="I2184" t="s">
        <v>20</v>
      </c>
      <c r="J2184" t="s">
        <v>64</v>
      </c>
      <c r="K2184" s="6">
        <v>0.03</v>
      </c>
      <c r="L2184" s="7">
        <f t="shared" si="69"/>
        <v>2E-3</v>
      </c>
      <c r="M2184" s="7">
        <v>3.0000000000000001E-3</v>
      </c>
      <c r="N2184">
        <v>11</v>
      </c>
      <c r="O2184" s="8">
        <v>22.933916850949441</v>
      </c>
      <c r="P2184" s="9">
        <v>22.933916850949441</v>
      </c>
      <c r="Q2184" s="9">
        <v>22.933916850949441</v>
      </c>
      <c r="R2184" s="9">
        <v>25.173745848546066</v>
      </c>
      <c r="S2184" s="9">
        <v>27.641690539343774</v>
      </c>
      <c r="T2184" s="9">
        <v>29.730378573928668</v>
      </c>
      <c r="U2184" s="9">
        <v>36.183590217329723</v>
      </c>
      <c r="V2184" s="9">
        <v>36.183590217329723</v>
      </c>
      <c r="W2184" s="9">
        <v>36.183590217329723</v>
      </c>
      <c r="X2184" s="9">
        <v>43.522810559209468</v>
      </c>
      <c r="Y2184" s="9">
        <v>43.522810559209468</v>
      </c>
      <c r="Z2184" s="9">
        <v>50.960858783530121</v>
      </c>
      <c r="AA2184" s="9">
        <v>50.960858783530121</v>
      </c>
      <c r="AB2184" s="9">
        <v>58.507617678535738</v>
      </c>
      <c r="AC2184" s="9">
        <v>58.507617678535738</v>
      </c>
      <c r="AD2184" s="9">
        <v>68.105109643716474</v>
      </c>
      <c r="AE2184" s="9">
        <v>75.132723269302929</v>
      </c>
      <c r="AF2184" s="9">
        <v>82.290622386277917</v>
      </c>
      <c r="AG2184" s="9">
        <v>82.290622386277917</v>
      </c>
      <c r="AH2184" s="9">
        <v>90.43943145512165</v>
      </c>
      <c r="AI2184" s="9">
        <v>98.380048333692613</v>
      </c>
      <c r="AJ2184" s="9">
        <v>3.0428788910505911</v>
      </c>
    </row>
    <row r="2185" spans="1:36" x14ac:dyDescent="0.25">
      <c r="A2185" t="s">
        <v>5411</v>
      </c>
      <c r="B2185" t="s">
        <v>16</v>
      </c>
      <c r="C2185" t="s">
        <v>17</v>
      </c>
      <c r="D2185">
        <v>46446000</v>
      </c>
      <c r="E2185">
        <v>46449999</v>
      </c>
      <c r="F2185" t="s">
        <v>1956</v>
      </c>
      <c r="G2185" t="str">
        <f t="shared" si="68"/>
        <v>BAI II</v>
      </c>
      <c r="H2185" t="s">
        <v>1700</v>
      </c>
      <c r="I2185" t="s">
        <v>20</v>
      </c>
      <c r="J2185" t="s">
        <v>64</v>
      </c>
      <c r="K2185" s="6">
        <v>0.03</v>
      </c>
      <c r="L2185" s="7">
        <f t="shared" si="69"/>
        <v>2E-3</v>
      </c>
      <c r="M2185" s="7">
        <v>3.0000000000000001E-3</v>
      </c>
      <c r="N2185">
        <v>10</v>
      </c>
      <c r="O2185" s="8">
        <v>22.933916850949441</v>
      </c>
      <c r="P2185" s="9">
        <v>22.933916850949441</v>
      </c>
      <c r="Q2185" s="9">
        <v>22.933916850949441</v>
      </c>
      <c r="R2185" s="9">
        <v>25.173745848546066</v>
      </c>
      <c r="S2185" s="9">
        <v>27.641690539343774</v>
      </c>
      <c r="T2185" s="9">
        <v>29.730378573928668</v>
      </c>
      <c r="U2185" s="9">
        <v>36.183590217329723</v>
      </c>
      <c r="V2185" s="9">
        <v>36.183590217329723</v>
      </c>
      <c r="W2185" s="9">
        <v>36.183590217329723</v>
      </c>
      <c r="X2185" s="9">
        <v>43.522810559209468</v>
      </c>
      <c r="Y2185" s="9">
        <v>43.522810559209468</v>
      </c>
      <c r="Z2185" s="9">
        <v>50.960858783530121</v>
      </c>
      <c r="AA2185" s="9">
        <v>50.960858783530121</v>
      </c>
      <c r="AB2185" s="9">
        <v>58.507617678535738</v>
      </c>
      <c r="AC2185" s="9">
        <v>58.507617678535738</v>
      </c>
      <c r="AD2185" s="9">
        <v>68.105109643716474</v>
      </c>
      <c r="AE2185" s="9">
        <v>75.132723269302929</v>
      </c>
      <c r="AF2185" s="9">
        <v>82.290622386277917</v>
      </c>
      <c r="AG2185" s="9">
        <v>82.290622386277917</v>
      </c>
      <c r="AH2185" s="9">
        <v>90.43943145512165</v>
      </c>
      <c r="AI2185" s="9">
        <v>98.380048333692613</v>
      </c>
      <c r="AJ2185" s="9">
        <v>3.0428788910505911</v>
      </c>
    </row>
    <row r="2186" spans="1:36" x14ac:dyDescent="0.25">
      <c r="A2186" t="s">
        <v>5411</v>
      </c>
      <c r="B2186" t="s">
        <v>16</v>
      </c>
      <c r="C2186" t="s">
        <v>17</v>
      </c>
      <c r="D2186">
        <v>46450000</v>
      </c>
      <c r="E2186">
        <v>46459999</v>
      </c>
      <c r="F2186" t="s">
        <v>1957</v>
      </c>
      <c r="G2186" t="str">
        <f t="shared" si="68"/>
        <v>BAI II</v>
      </c>
      <c r="H2186" t="s">
        <v>1700</v>
      </c>
      <c r="I2186" t="s">
        <v>20</v>
      </c>
      <c r="J2186" t="s">
        <v>64</v>
      </c>
      <c r="K2186" s="6">
        <v>0.03</v>
      </c>
      <c r="L2186" s="7">
        <f t="shared" si="69"/>
        <v>2E-3</v>
      </c>
      <c r="M2186" s="7">
        <v>3.0000000000000001E-3</v>
      </c>
      <c r="N2186">
        <v>11</v>
      </c>
      <c r="O2186" s="8">
        <v>22.933916850949441</v>
      </c>
      <c r="P2186" s="9">
        <v>22.933916850949441</v>
      </c>
      <c r="Q2186" s="9">
        <v>22.933916850949441</v>
      </c>
      <c r="R2186" s="9">
        <v>25.173745848546066</v>
      </c>
      <c r="S2186" s="9">
        <v>27.641690539343774</v>
      </c>
      <c r="T2186" s="9">
        <v>29.730378573928668</v>
      </c>
      <c r="U2186" s="9">
        <v>36.183590217329723</v>
      </c>
      <c r="V2186" s="9">
        <v>36.183590217329723</v>
      </c>
      <c r="W2186" s="9">
        <v>36.183590217329723</v>
      </c>
      <c r="X2186" s="9">
        <v>43.522810559209468</v>
      </c>
      <c r="Y2186" s="9">
        <v>43.522810559209468</v>
      </c>
      <c r="Z2186" s="9">
        <v>50.960858783530121</v>
      </c>
      <c r="AA2186" s="9">
        <v>50.960858783530121</v>
      </c>
      <c r="AB2186" s="9">
        <v>58.507617678535738</v>
      </c>
      <c r="AC2186" s="9">
        <v>58.507617678535738</v>
      </c>
      <c r="AD2186" s="9">
        <v>68.105109643716474</v>
      </c>
      <c r="AE2186" s="9">
        <v>75.132723269302929</v>
      </c>
      <c r="AF2186" s="9">
        <v>82.290622386277917</v>
      </c>
      <c r="AG2186" s="9">
        <v>82.290622386277917</v>
      </c>
      <c r="AH2186" s="9">
        <v>90.43943145512165</v>
      </c>
      <c r="AI2186" s="9">
        <v>98.380048333692613</v>
      </c>
      <c r="AJ2186" s="9">
        <v>3.0428788910505911</v>
      </c>
    </row>
    <row r="2187" spans="1:36" x14ac:dyDescent="0.25">
      <c r="A2187" t="s">
        <v>5411</v>
      </c>
      <c r="B2187" t="s">
        <v>16</v>
      </c>
      <c r="C2187" t="s">
        <v>17</v>
      </c>
      <c r="D2187">
        <v>46460000</v>
      </c>
      <c r="E2187">
        <v>46469999</v>
      </c>
      <c r="F2187" t="s">
        <v>1958</v>
      </c>
      <c r="G2187" t="str">
        <f t="shared" si="68"/>
        <v>BAI II</v>
      </c>
      <c r="H2187" t="s">
        <v>1700</v>
      </c>
      <c r="I2187" t="s">
        <v>20</v>
      </c>
      <c r="J2187" t="s">
        <v>64</v>
      </c>
      <c r="K2187" s="6">
        <v>0.03</v>
      </c>
      <c r="L2187" s="7">
        <f t="shared" si="69"/>
        <v>2E-3</v>
      </c>
      <c r="M2187" s="7">
        <v>3.0000000000000001E-3</v>
      </c>
      <c r="N2187">
        <v>11</v>
      </c>
      <c r="O2187" s="8">
        <v>22.933916850949441</v>
      </c>
      <c r="P2187" s="9">
        <v>22.933916850949441</v>
      </c>
      <c r="Q2187" s="9">
        <v>22.933916850949441</v>
      </c>
      <c r="R2187" s="9">
        <v>25.173745848546066</v>
      </c>
      <c r="S2187" s="9">
        <v>27.641690539343774</v>
      </c>
      <c r="T2187" s="9">
        <v>29.730378573928668</v>
      </c>
      <c r="U2187" s="9">
        <v>36.183590217329723</v>
      </c>
      <c r="V2187" s="9">
        <v>36.183590217329723</v>
      </c>
      <c r="W2187" s="9">
        <v>36.183590217329723</v>
      </c>
      <c r="X2187" s="9">
        <v>43.522810559209468</v>
      </c>
      <c r="Y2187" s="9">
        <v>43.522810559209468</v>
      </c>
      <c r="Z2187" s="9">
        <v>50.960858783530121</v>
      </c>
      <c r="AA2187" s="9">
        <v>50.960858783530121</v>
      </c>
      <c r="AB2187" s="9">
        <v>58.507617678535738</v>
      </c>
      <c r="AC2187" s="9">
        <v>58.507617678535738</v>
      </c>
      <c r="AD2187" s="9">
        <v>68.105109643716474</v>
      </c>
      <c r="AE2187" s="9">
        <v>75.132723269302929</v>
      </c>
      <c r="AF2187" s="9">
        <v>82.290622386277917</v>
      </c>
      <c r="AG2187" s="9">
        <v>82.290622386277917</v>
      </c>
      <c r="AH2187" s="9">
        <v>90.43943145512165</v>
      </c>
      <c r="AI2187" s="9">
        <v>98.380048333692613</v>
      </c>
      <c r="AJ2187" s="9">
        <v>3.0428788910505911</v>
      </c>
    </row>
    <row r="2188" spans="1:36" x14ac:dyDescent="0.25">
      <c r="A2188" t="s">
        <v>5411</v>
      </c>
      <c r="B2188" t="s">
        <v>16</v>
      </c>
      <c r="C2188" t="s">
        <v>17</v>
      </c>
      <c r="D2188">
        <v>46470000</v>
      </c>
      <c r="E2188">
        <v>46479999</v>
      </c>
      <c r="F2188" t="s">
        <v>1959</v>
      </c>
      <c r="G2188" t="str">
        <f t="shared" si="68"/>
        <v>BAI II</v>
      </c>
      <c r="H2188" t="s">
        <v>1700</v>
      </c>
      <c r="I2188" t="s">
        <v>20</v>
      </c>
      <c r="J2188" t="s">
        <v>64</v>
      </c>
      <c r="K2188" s="6">
        <v>0.03</v>
      </c>
      <c r="L2188" s="7">
        <f t="shared" si="69"/>
        <v>2E-3</v>
      </c>
      <c r="M2188" s="7">
        <v>3.0000000000000001E-3</v>
      </c>
      <c r="N2188">
        <v>9</v>
      </c>
      <c r="O2188" s="8">
        <v>22.933916850949441</v>
      </c>
      <c r="P2188" s="9">
        <v>22.933916850949441</v>
      </c>
      <c r="Q2188" s="9">
        <v>22.933916850949441</v>
      </c>
      <c r="R2188" s="9">
        <v>25.173745848546066</v>
      </c>
      <c r="S2188" s="9">
        <v>27.641690539343774</v>
      </c>
      <c r="T2188" s="9">
        <v>29.730378573928668</v>
      </c>
      <c r="U2188" s="9">
        <v>36.183590217329723</v>
      </c>
      <c r="V2188" s="9">
        <v>36.183590217329723</v>
      </c>
      <c r="W2188" s="9">
        <v>36.183590217329723</v>
      </c>
      <c r="X2188" s="9">
        <v>43.522810559209468</v>
      </c>
      <c r="Y2188" s="9">
        <v>43.522810559209468</v>
      </c>
      <c r="Z2188" s="9">
        <v>50.960858783530121</v>
      </c>
      <c r="AA2188" s="9">
        <v>50.960858783530121</v>
      </c>
      <c r="AB2188" s="9">
        <v>58.507617678535738</v>
      </c>
      <c r="AC2188" s="9">
        <v>58.507617678535738</v>
      </c>
      <c r="AD2188" s="9">
        <v>68.105109643716474</v>
      </c>
      <c r="AE2188" s="9">
        <v>75.132723269302929</v>
      </c>
      <c r="AF2188" s="9">
        <v>82.290622386277917</v>
      </c>
      <c r="AG2188" s="9">
        <v>82.290622386277917</v>
      </c>
      <c r="AH2188" s="9">
        <v>90.43943145512165</v>
      </c>
      <c r="AI2188" s="9">
        <v>98.380048333692613</v>
      </c>
      <c r="AJ2188" s="9">
        <v>3.0428788910505911</v>
      </c>
    </row>
    <row r="2189" spans="1:36" x14ac:dyDescent="0.25">
      <c r="A2189" t="s">
        <v>5411</v>
      </c>
      <c r="B2189" t="s">
        <v>16</v>
      </c>
      <c r="C2189" t="s">
        <v>17</v>
      </c>
      <c r="D2189">
        <v>46480000</v>
      </c>
      <c r="E2189">
        <v>46489999</v>
      </c>
      <c r="F2189" t="s">
        <v>1960</v>
      </c>
      <c r="G2189" t="str">
        <f t="shared" si="68"/>
        <v>BAI II</v>
      </c>
      <c r="H2189" t="s">
        <v>1700</v>
      </c>
      <c r="I2189" t="s">
        <v>20</v>
      </c>
      <c r="J2189" t="s">
        <v>64</v>
      </c>
      <c r="K2189" s="6">
        <v>0.03</v>
      </c>
      <c r="L2189" s="7">
        <f t="shared" si="69"/>
        <v>2E-3</v>
      </c>
      <c r="M2189" s="7">
        <v>3.0000000000000001E-3</v>
      </c>
      <c r="N2189">
        <v>11</v>
      </c>
      <c r="O2189" s="8">
        <v>22.933916850949441</v>
      </c>
      <c r="P2189" s="9">
        <v>22.933916850949441</v>
      </c>
      <c r="Q2189" s="9">
        <v>22.933916850949441</v>
      </c>
      <c r="R2189" s="9">
        <v>25.173745848546066</v>
      </c>
      <c r="S2189" s="9">
        <v>27.641690539343774</v>
      </c>
      <c r="T2189" s="9">
        <v>29.730378573928668</v>
      </c>
      <c r="U2189" s="9">
        <v>36.183590217329723</v>
      </c>
      <c r="V2189" s="9">
        <v>36.183590217329723</v>
      </c>
      <c r="W2189" s="9">
        <v>36.183590217329723</v>
      </c>
      <c r="X2189" s="9">
        <v>43.522810559209468</v>
      </c>
      <c r="Y2189" s="9">
        <v>43.522810559209468</v>
      </c>
      <c r="Z2189" s="9">
        <v>50.960858783530121</v>
      </c>
      <c r="AA2189" s="9">
        <v>50.960858783530121</v>
      </c>
      <c r="AB2189" s="9">
        <v>58.507617678535738</v>
      </c>
      <c r="AC2189" s="9">
        <v>58.507617678535738</v>
      </c>
      <c r="AD2189" s="9">
        <v>68.105109643716474</v>
      </c>
      <c r="AE2189" s="9">
        <v>75.132723269302929</v>
      </c>
      <c r="AF2189" s="9">
        <v>82.290622386277917</v>
      </c>
      <c r="AG2189" s="9">
        <v>82.290622386277917</v>
      </c>
      <c r="AH2189" s="9">
        <v>90.43943145512165</v>
      </c>
      <c r="AI2189" s="9">
        <v>98.380048333692613</v>
      </c>
      <c r="AJ2189" s="9">
        <v>3.0428788910505911</v>
      </c>
    </row>
    <row r="2190" spans="1:36" x14ac:dyDescent="0.25">
      <c r="A2190" t="s">
        <v>5411</v>
      </c>
      <c r="B2190" t="s">
        <v>16</v>
      </c>
      <c r="C2190" t="s">
        <v>17</v>
      </c>
      <c r="D2190">
        <v>46490000</v>
      </c>
      <c r="E2190">
        <v>46499999</v>
      </c>
      <c r="F2190" t="s">
        <v>1961</v>
      </c>
      <c r="G2190" t="str">
        <f t="shared" si="68"/>
        <v>BAI II</v>
      </c>
      <c r="H2190" t="s">
        <v>1700</v>
      </c>
      <c r="I2190" t="s">
        <v>20</v>
      </c>
      <c r="J2190" t="s">
        <v>64</v>
      </c>
      <c r="K2190" s="6">
        <v>0.03</v>
      </c>
      <c r="L2190" s="7">
        <f t="shared" si="69"/>
        <v>2E-3</v>
      </c>
      <c r="M2190" s="7">
        <v>3.0000000000000001E-3</v>
      </c>
      <c r="N2190">
        <v>10</v>
      </c>
      <c r="O2190" s="8">
        <v>22.933916850949441</v>
      </c>
      <c r="P2190" s="9">
        <v>22.933916850949441</v>
      </c>
      <c r="Q2190" s="9">
        <v>22.933916850949441</v>
      </c>
      <c r="R2190" s="9">
        <v>25.173745848546066</v>
      </c>
      <c r="S2190" s="9">
        <v>27.641690539343774</v>
      </c>
      <c r="T2190" s="9">
        <v>29.730378573928668</v>
      </c>
      <c r="U2190" s="9">
        <v>36.183590217329723</v>
      </c>
      <c r="V2190" s="9">
        <v>36.183590217329723</v>
      </c>
      <c r="W2190" s="9">
        <v>36.183590217329723</v>
      </c>
      <c r="X2190" s="9">
        <v>43.522810559209468</v>
      </c>
      <c r="Y2190" s="9">
        <v>43.522810559209468</v>
      </c>
      <c r="Z2190" s="9">
        <v>50.960858783530121</v>
      </c>
      <c r="AA2190" s="9">
        <v>50.960858783530121</v>
      </c>
      <c r="AB2190" s="9">
        <v>58.507617678535738</v>
      </c>
      <c r="AC2190" s="9">
        <v>58.507617678535738</v>
      </c>
      <c r="AD2190" s="9">
        <v>68.105109643716474</v>
      </c>
      <c r="AE2190" s="9">
        <v>75.132723269302929</v>
      </c>
      <c r="AF2190" s="9">
        <v>82.290622386277917</v>
      </c>
      <c r="AG2190" s="9">
        <v>82.290622386277917</v>
      </c>
      <c r="AH2190" s="9">
        <v>90.43943145512165</v>
      </c>
      <c r="AI2190" s="9">
        <v>98.380048333692613</v>
      </c>
      <c r="AJ2190" s="9">
        <v>3.0428788910505911</v>
      </c>
    </row>
    <row r="2191" spans="1:36" x14ac:dyDescent="0.25">
      <c r="A2191" t="s">
        <v>5411</v>
      </c>
      <c r="B2191" t="s">
        <v>16</v>
      </c>
      <c r="C2191" t="s">
        <v>17</v>
      </c>
      <c r="D2191">
        <v>46500000</v>
      </c>
      <c r="E2191">
        <v>46529999</v>
      </c>
      <c r="F2191" t="s">
        <v>1962</v>
      </c>
      <c r="G2191" t="str">
        <f t="shared" si="68"/>
        <v>BAI II</v>
      </c>
      <c r="H2191" t="s">
        <v>1700</v>
      </c>
      <c r="I2191" t="s">
        <v>20</v>
      </c>
      <c r="J2191" t="s">
        <v>64</v>
      </c>
      <c r="K2191" s="6">
        <v>0.03</v>
      </c>
      <c r="L2191" s="7">
        <f t="shared" si="69"/>
        <v>2E-3</v>
      </c>
      <c r="M2191" s="7">
        <v>3.0000000000000001E-3</v>
      </c>
      <c r="N2191">
        <v>10</v>
      </c>
      <c r="O2191" s="8">
        <v>22.933916850949441</v>
      </c>
      <c r="P2191" s="9">
        <v>22.933916850949441</v>
      </c>
      <c r="Q2191" s="9">
        <v>22.933916850949441</v>
      </c>
      <c r="R2191" s="9">
        <v>25.173745848546066</v>
      </c>
      <c r="S2191" s="9">
        <v>27.641690539343774</v>
      </c>
      <c r="T2191" s="9">
        <v>29.730378573928668</v>
      </c>
      <c r="U2191" s="9">
        <v>36.183590217329723</v>
      </c>
      <c r="V2191" s="9">
        <v>36.183590217329723</v>
      </c>
      <c r="W2191" s="9">
        <v>36.183590217329723</v>
      </c>
      <c r="X2191" s="9">
        <v>43.522810559209468</v>
      </c>
      <c r="Y2191" s="9">
        <v>43.522810559209468</v>
      </c>
      <c r="Z2191" s="9">
        <v>50.960858783530121</v>
      </c>
      <c r="AA2191" s="9">
        <v>50.960858783530121</v>
      </c>
      <c r="AB2191" s="9">
        <v>58.507617678535738</v>
      </c>
      <c r="AC2191" s="9">
        <v>58.507617678535738</v>
      </c>
      <c r="AD2191" s="9">
        <v>68.105109643716474</v>
      </c>
      <c r="AE2191" s="9">
        <v>75.132723269302929</v>
      </c>
      <c r="AF2191" s="9">
        <v>82.290622386277917</v>
      </c>
      <c r="AG2191" s="9">
        <v>82.290622386277917</v>
      </c>
      <c r="AH2191" s="9">
        <v>90.43943145512165</v>
      </c>
      <c r="AI2191" s="9">
        <v>98.380048333692613</v>
      </c>
      <c r="AJ2191" s="9">
        <v>3.0428788910505911</v>
      </c>
    </row>
    <row r="2192" spans="1:36" x14ac:dyDescent="0.25">
      <c r="A2192" t="s">
        <v>5411</v>
      </c>
      <c r="B2192" t="s">
        <v>16</v>
      </c>
      <c r="C2192" t="s">
        <v>17</v>
      </c>
      <c r="D2192">
        <v>46530000</v>
      </c>
      <c r="E2192">
        <v>46539999</v>
      </c>
      <c r="F2192" t="s">
        <v>1963</v>
      </c>
      <c r="G2192" t="str">
        <f t="shared" si="68"/>
        <v>BAI</v>
      </c>
      <c r="H2192" t="s">
        <v>1700</v>
      </c>
      <c r="I2192" t="s">
        <v>20</v>
      </c>
      <c r="J2192" t="s">
        <v>62</v>
      </c>
      <c r="K2192" s="6">
        <v>0.03</v>
      </c>
      <c r="L2192" s="7">
        <f t="shared" si="69"/>
        <v>2E-3</v>
      </c>
      <c r="M2192" s="7">
        <v>3.0000000000000001E-3</v>
      </c>
      <c r="N2192">
        <v>14</v>
      </c>
      <c r="O2192" s="8">
        <v>18.830425793781675</v>
      </c>
      <c r="P2192" s="9">
        <v>18.830425793781675</v>
      </c>
      <c r="Q2192" s="9">
        <v>18.830425793781675</v>
      </c>
      <c r="R2192" s="9">
        <v>20.26742485247707</v>
      </c>
      <c r="S2192" s="9">
        <v>22.358597663519866</v>
      </c>
      <c r="T2192" s="9">
        <v>24.596422700701293</v>
      </c>
      <c r="U2192" s="9">
        <v>30.062806972770321</v>
      </c>
      <c r="V2192" s="9">
        <v>30.062806972770321</v>
      </c>
      <c r="W2192" s="9">
        <v>30.062806972770321</v>
      </c>
      <c r="X2192" s="9">
        <v>36.258834158198169</v>
      </c>
      <c r="Y2192" s="9">
        <v>36.258834158198169</v>
      </c>
      <c r="Z2192" s="9">
        <v>42.662152333319682</v>
      </c>
      <c r="AA2192" s="9">
        <v>42.662152333319682</v>
      </c>
      <c r="AB2192" s="9">
        <v>49.337721288156033</v>
      </c>
      <c r="AC2192" s="9">
        <v>49.337721288156033</v>
      </c>
      <c r="AD2192" s="9">
        <v>56.175614623482943</v>
      </c>
      <c r="AE2192" s="9">
        <v>63.196712014029359</v>
      </c>
      <c r="AF2192" s="9">
        <v>70.424649784246597</v>
      </c>
      <c r="AG2192" s="9">
        <v>70.424649784246597</v>
      </c>
      <c r="AH2192" s="9">
        <v>77.342680781352584</v>
      </c>
      <c r="AI2192" s="9">
        <v>84.743447231394711</v>
      </c>
      <c r="AJ2192" s="9">
        <v>3.0428788910505911</v>
      </c>
    </row>
    <row r="2193" spans="1:36" x14ac:dyDescent="0.25">
      <c r="A2193" t="s">
        <v>5411</v>
      </c>
      <c r="B2193" t="s">
        <v>16</v>
      </c>
      <c r="C2193" t="s">
        <v>17</v>
      </c>
      <c r="D2193">
        <v>46540000</v>
      </c>
      <c r="E2193">
        <v>46549999</v>
      </c>
      <c r="F2193" t="s">
        <v>1964</v>
      </c>
      <c r="G2193" t="str">
        <f t="shared" si="68"/>
        <v>BAI II</v>
      </c>
      <c r="H2193" t="s">
        <v>1700</v>
      </c>
      <c r="I2193" t="s">
        <v>20</v>
      </c>
      <c r="J2193" t="s">
        <v>64</v>
      </c>
      <c r="K2193" s="6">
        <v>0.03</v>
      </c>
      <c r="L2193" s="7">
        <f t="shared" si="69"/>
        <v>2E-3</v>
      </c>
      <c r="M2193" s="7">
        <v>3.0000000000000001E-3</v>
      </c>
      <c r="N2193">
        <v>14</v>
      </c>
      <c r="O2193" s="8">
        <v>22.933916850949441</v>
      </c>
      <c r="P2193" s="9">
        <v>22.933916850949441</v>
      </c>
      <c r="Q2193" s="9">
        <v>22.933916850949441</v>
      </c>
      <c r="R2193" s="9">
        <v>25.173745848546066</v>
      </c>
      <c r="S2193" s="9">
        <v>27.641690539343774</v>
      </c>
      <c r="T2193" s="9">
        <v>29.730378573928668</v>
      </c>
      <c r="U2193" s="9">
        <v>36.183590217329723</v>
      </c>
      <c r="V2193" s="9">
        <v>36.183590217329723</v>
      </c>
      <c r="W2193" s="9">
        <v>36.183590217329723</v>
      </c>
      <c r="X2193" s="9">
        <v>43.522810559209468</v>
      </c>
      <c r="Y2193" s="9">
        <v>43.522810559209468</v>
      </c>
      <c r="Z2193" s="9">
        <v>50.960858783530121</v>
      </c>
      <c r="AA2193" s="9">
        <v>50.960858783530121</v>
      </c>
      <c r="AB2193" s="9">
        <v>58.507617678535738</v>
      </c>
      <c r="AC2193" s="9">
        <v>58.507617678535738</v>
      </c>
      <c r="AD2193" s="9">
        <v>68.105109643716474</v>
      </c>
      <c r="AE2193" s="9">
        <v>75.132723269302929</v>
      </c>
      <c r="AF2193" s="9">
        <v>82.290622386277917</v>
      </c>
      <c r="AG2193" s="9">
        <v>82.290622386277917</v>
      </c>
      <c r="AH2193" s="9">
        <v>90.43943145512165</v>
      </c>
      <c r="AI2193" s="9">
        <v>98.380048333692613</v>
      </c>
      <c r="AJ2193" s="9">
        <v>3.0428788910505911</v>
      </c>
    </row>
    <row r="2194" spans="1:36" x14ac:dyDescent="0.25">
      <c r="A2194" t="s">
        <v>5411</v>
      </c>
      <c r="B2194" t="s">
        <v>16</v>
      </c>
      <c r="C2194" t="s">
        <v>17</v>
      </c>
      <c r="D2194">
        <v>46550000</v>
      </c>
      <c r="E2194">
        <v>46569999</v>
      </c>
      <c r="F2194" t="s">
        <v>1965</v>
      </c>
      <c r="G2194" t="str">
        <f t="shared" si="68"/>
        <v>BAI II</v>
      </c>
      <c r="H2194" t="s">
        <v>1700</v>
      </c>
      <c r="I2194" t="s">
        <v>20</v>
      </c>
      <c r="J2194" t="s">
        <v>64</v>
      </c>
      <c r="K2194" s="6">
        <v>0.03</v>
      </c>
      <c r="L2194" s="7">
        <f t="shared" si="69"/>
        <v>2E-3</v>
      </c>
      <c r="M2194" s="7">
        <v>3.0000000000000001E-3</v>
      </c>
      <c r="N2194">
        <v>10</v>
      </c>
      <c r="O2194" s="8">
        <v>22.933916850949441</v>
      </c>
      <c r="P2194" s="9">
        <v>22.933916850949441</v>
      </c>
      <c r="Q2194" s="9">
        <v>22.933916850949441</v>
      </c>
      <c r="R2194" s="9">
        <v>25.173745848546066</v>
      </c>
      <c r="S2194" s="9">
        <v>27.641690539343774</v>
      </c>
      <c r="T2194" s="9">
        <v>29.730378573928668</v>
      </c>
      <c r="U2194" s="9">
        <v>36.183590217329723</v>
      </c>
      <c r="V2194" s="9">
        <v>36.183590217329723</v>
      </c>
      <c r="W2194" s="9">
        <v>36.183590217329723</v>
      </c>
      <c r="X2194" s="9">
        <v>43.522810559209468</v>
      </c>
      <c r="Y2194" s="9">
        <v>43.522810559209468</v>
      </c>
      <c r="Z2194" s="9">
        <v>50.960858783530121</v>
      </c>
      <c r="AA2194" s="9">
        <v>50.960858783530121</v>
      </c>
      <c r="AB2194" s="9">
        <v>58.507617678535738</v>
      </c>
      <c r="AC2194" s="9">
        <v>58.507617678535738</v>
      </c>
      <c r="AD2194" s="9">
        <v>68.105109643716474</v>
      </c>
      <c r="AE2194" s="9">
        <v>75.132723269302929</v>
      </c>
      <c r="AF2194" s="9">
        <v>82.290622386277917</v>
      </c>
      <c r="AG2194" s="9">
        <v>82.290622386277917</v>
      </c>
      <c r="AH2194" s="9">
        <v>90.43943145512165</v>
      </c>
      <c r="AI2194" s="9">
        <v>98.380048333692613</v>
      </c>
      <c r="AJ2194" s="9">
        <v>3.0428788910505911</v>
      </c>
    </row>
    <row r="2195" spans="1:36" x14ac:dyDescent="0.25">
      <c r="A2195" t="s">
        <v>5411</v>
      </c>
      <c r="B2195" t="s">
        <v>16</v>
      </c>
      <c r="C2195" t="s">
        <v>17</v>
      </c>
      <c r="D2195">
        <v>46570000</v>
      </c>
      <c r="E2195">
        <v>46574999</v>
      </c>
      <c r="F2195" t="s">
        <v>1966</v>
      </c>
      <c r="G2195" t="str">
        <f t="shared" si="68"/>
        <v>BAI II</v>
      </c>
      <c r="H2195" t="s">
        <v>1700</v>
      </c>
      <c r="I2195" t="s">
        <v>20</v>
      </c>
      <c r="J2195" t="s">
        <v>64</v>
      </c>
      <c r="K2195" s="6">
        <v>0.03</v>
      </c>
      <c r="L2195" s="7">
        <f t="shared" si="69"/>
        <v>2E-3</v>
      </c>
      <c r="M2195" s="7">
        <v>3.0000000000000001E-3</v>
      </c>
      <c r="N2195">
        <v>10</v>
      </c>
      <c r="O2195" s="8">
        <v>22.933916850949441</v>
      </c>
      <c r="P2195" s="9">
        <v>22.933916850949441</v>
      </c>
      <c r="Q2195" s="9">
        <v>22.933916850949441</v>
      </c>
      <c r="R2195" s="9">
        <v>25.173745848546066</v>
      </c>
      <c r="S2195" s="9">
        <v>27.641690539343774</v>
      </c>
      <c r="T2195" s="9">
        <v>29.730378573928668</v>
      </c>
      <c r="U2195" s="9">
        <v>36.183590217329723</v>
      </c>
      <c r="V2195" s="9">
        <v>36.183590217329723</v>
      </c>
      <c r="W2195" s="9">
        <v>36.183590217329723</v>
      </c>
      <c r="X2195" s="9">
        <v>43.522810559209468</v>
      </c>
      <c r="Y2195" s="9">
        <v>43.522810559209468</v>
      </c>
      <c r="Z2195" s="9">
        <v>50.960858783530121</v>
      </c>
      <c r="AA2195" s="9">
        <v>50.960858783530121</v>
      </c>
      <c r="AB2195" s="9">
        <v>58.507617678535738</v>
      </c>
      <c r="AC2195" s="9">
        <v>58.507617678535738</v>
      </c>
      <c r="AD2195" s="9">
        <v>68.105109643716474</v>
      </c>
      <c r="AE2195" s="9">
        <v>75.132723269302929</v>
      </c>
      <c r="AF2195" s="9">
        <v>82.290622386277917</v>
      </c>
      <c r="AG2195" s="9">
        <v>82.290622386277917</v>
      </c>
      <c r="AH2195" s="9">
        <v>90.43943145512165</v>
      </c>
      <c r="AI2195" s="9">
        <v>98.380048333692613</v>
      </c>
      <c r="AJ2195" s="9">
        <v>3.0428788910505911</v>
      </c>
    </row>
    <row r="2196" spans="1:36" x14ac:dyDescent="0.25">
      <c r="A2196" t="s">
        <v>5411</v>
      </c>
      <c r="B2196" t="s">
        <v>16</v>
      </c>
      <c r="C2196" t="s">
        <v>17</v>
      </c>
      <c r="D2196">
        <v>46575000</v>
      </c>
      <c r="E2196">
        <v>46579999</v>
      </c>
      <c r="F2196" t="s">
        <v>1967</v>
      </c>
      <c r="G2196" t="str">
        <f t="shared" si="68"/>
        <v>BAI II</v>
      </c>
      <c r="H2196" t="s">
        <v>1700</v>
      </c>
      <c r="I2196" t="s">
        <v>20</v>
      </c>
      <c r="J2196" t="s">
        <v>64</v>
      </c>
      <c r="K2196" s="6">
        <v>0.03</v>
      </c>
      <c r="L2196" s="7">
        <f t="shared" si="69"/>
        <v>2E-3</v>
      </c>
      <c r="M2196" s="7">
        <v>3.0000000000000001E-3</v>
      </c>
      <c r="N2196">
        <v>10</v>
      </c>
      <c r="O2196" s="8">
        <v>22.933916850949441</v>
      </c>
      <c r="P2196" s="9">
        <v>22.933916850949441</v>
      </c>
      <c r="Q2196" s="9">
        <v>22.933916850949441</v>
      </c>
      <c r="R2196" s="9">
        <v>25.173745848546066</v>
      </c>
      <c r="S2196" s="9">
        <v>27.641690539343774</v>
      </c>
      <c r="T2196" s="9">
        <v>29.730378573928668</v>
      </c>
      <c r="U2196" s="9">
        <v>36.183590217329723</v>
      </c>
      <c r="V2196" s="9">
        <v>36.183590217329723</v>
      </c>
      <c r="W2196" s="9">
        <v>36.183590217329723</v>
      </c>
      <c r="X2196" s="9">
        <v>43.522810559209468</v>
      </c>
      <c r="Y2196" s="9">
        <v>43.522810559209468</v>
      </c>
      <c r="Z2196" s="9">
        <v>50.960858783530121</v>
      </c>
      <c r="AA2196" s="9">
        <v>50.960858783530121</v>
      </c>
      <c r="AB2196" s="9">
        <v>58.507617678535738</v>
      </c>
      <c r="AC2196" s="9">
        <v>58.507617678535738</v>
      </c>
      <c r="AD2196" s="9">
        <v>68.105109643716474</v>
      </c>
      <c r="AE2196" s="9">
        <v>75.132723269302929</v>
      </c>
      <c r="AF2196" s="9">
        <v>82.290622386277917</v>
      </c>
      <c r="AG2196" s="9">
        <v>82.290622386277917</v>
      </c>
      <c r="AH2196" s="9">
        <v>90.43943145512165</v>
      </c>
      <c r="AI2196" s="9">
        <v>98.380048333692613</v>
      </c>
      <c r="AJ2196" s="9">
        <v>3.0428788910505911</v>
      </c>
    </row>
    <row r="2197" spans="1:36" x14ac:dyDescent="0.25">
      <c r="A2197" t="s">
        <v>5411</v>
      </c>
      <c r="B2197" t="s">
        <v>16</v>
      </c>
      <c r="C2197" t="s">
        <v>17</v>
      </c>
      <c r="D2197">
        <v>46580000</v>
      </c>
      <c r="E2197">
        <v>46599999</v>
      </c>
      <c r="F2197" t="s">
        <v>1968</v>
      </c>
      <c r="G2197" t="str">
        <f t="shared" si="68"/>
        <v>BAI II</v>
      </c>
      <c r="H2197" t="s">
        <v>1700</v>
      </c>
      <c r="I2197" t="s">
        <v>20</v>
      </c>
      <c r="J2197" t="s">
        <v>64</v>
      </c>
      <c r="K2197" s="6">
        <v>0.03</v>
      </c>
      <c r="L2197" s="7">
        <f t="shared" si="69"/>
        <v>2E-3</v>
      </c>
      <c r="M2197" s="7">
        <v>3.0000000000000001E-3</v>
      </c>
      <c r="N2197">
        <v>9</v>
      </c>
      <c r="O2197" s="8">
        <v>22.933916850949441</v>
      </c>
      <c r="P2197" s="9">
        <v>22.933916850949441</v>
      </c>
      <c r="Q2197" s="9">
        <v>22.933916850949441</v>
      </c>
      <c r="R2197" s="9">
        <v>25.173745848546066</v>
      </c>
      <c r="S2197" s="9">
        <v>27.641690539343774</v>
      </c>
      <c r="T2197" s="9">
        <v>29.730378573928668</v>
      </c>
      <c r="U2197" s="9">
        <v>36.183590217329723</v>
      </c>
      <c r="V2197" s="9">
        <v>36.183590217329723</v>
      </c>
      <c r="W2197" s="9">
        <v>36.183590217329723</v>
      </c>
      <c r="X2197" s="9">
        <v>43.522810559209468</v>
      </c>
      <c r="Y2197" s="9">
        <v>43.522810559209468</v>
      </c>
      <c r="Z2197" s="9">
        <v>50.960858783530121</v>
      </c>
      <c r="AA2197" s="9">
        <v>50.960858783530121</v>
      </c>
      <c r="AB2197" s="9">
        <v>58.507617678535738</v>
      </c>
      <c r="AC2197" s="9">
        <v>58.507617678535738</v>
      </c>
      <c r="AD2197" s="9">
        <v>68.105109643716474</v>
      </c>
      <c r="AE2197" s="9">
        <v>75.132723269302929</v>
      </c>
      <c r="AF2197" s="9">
        <v>82.290622386277917</v>
      </c>
      <c r="AG2197" s="9">
        <v>82.290622386277917</v>
      </c>
      <c r="AH2197" s="9">
        <v>90.43943145512165</v>
      </c>
      <c r="AI2197" s="9">
        <v>98.380048333692613</v>
      </c>
      <c r="AJ2197" s="9">
        <v>3.0428788910505911</v>
      </c>
    </row>
    <row r="2198" spans="1:36" x14ac:dyDescent="0.25">
      <c r="A2198" t="s">
        <v>5411</v>
      </c>
      <c r="B2198" t="s">
        <v>16</v>
      </c>
      <c r="C2198" t="s">
        <v>17</v>
      </c>
      <c r="D2198">
        <v>46600000</v>
      </c>
      <c r="E2198">
        <v>46619999</v>
      </c>
      <c r="F2198" t="s">
        <v>1969</v>
      </c>
      <c r="G2198" t="str">
        <f t="shared" si="68"/>
        <v>BAI II</v>
      </c>
      <c r="H2198" t="s">
        <v>1700</v>
      </c>
      <c r="I2198" t="s">
        <v>20</v>
      </c>
      <c r="J2198" t="s">
        <v>64</v>
      </c>
      <c r="K2198" s="6">
        <v>0.03</v>
      </c>
      <c r="L2198" s="7">
        <f t="shared" si="69"/>
        <v>2E-3</v>
      </c>
      <c r="M2198" s="7">
        <v>3.0000000000000001E-3</v>
      </c>
      <c r="N2198">
        <v>10</v>
      </c>
      <c r="O2198" s="8">
        <v>22.933916850949441</v>
      </c>
      <c r="P2198" s="9">
        <v>22.933916850949441</v>
      </c>
      <c r="Q2198" s="9">
        <v>22.933916850949441</v>
      </c>
      <c r="R2198" s="9">
        <v>25.173745848546066</v>
      </c>
      <c r="S2198" s="9">
        <v>27.641690539343774</v>
      </c>
      <c r="T2198" s="9">
        <v>29.730378573928668</v>
      </c>
      <c r="U2198" s="9">
        <v>36.183590217329723</v>
      </c>
      <c r="V2198" s="9">
        <v>36.183590217329723</v>
      </c>
      <c r="W2198" s="9">
        <v>36.183590217329723</v>
      </c>
      <c r="X2198" s="9">
        <v>43.522810559209468</v>
      </c>
      <c r="Y2198" s="9">
        <v>43.522810559209468</v>
      </c>
      <c r="Z2198" s="9">
        <v>50.960858783530121</v>
      </c>
      <c r="AA2198" s="9">
        <v>50.960858783530121</v>
      </c>
      <c r="AB2198" s="9">
        <v>58.507617678535738</v>
      </c>
      <c r="AC2198" s="9">
        <v>58.507617678535738</v>
      </c>
      <c r="AD2198" s="9">
        <v>68.105109643716474</v>
      </c>
      <c r="AE2198" s="9">
        <v>75.132723269302929</v>
      </c>
      <c r="AF2198" s="9">
        <v>82.290622386277917</v>
      </c>
      <c r="AG2198" s="9">
        <v>82.290622386277917</v>
      </c>
      <c r="AH2198" s="9">
        <v>90.43943145512165</v>
      </c>
      <c r="AI2198" s="9">
        <v>98.380048333692613</v>
      </c>
      <c r="AJ2198" s="9">
        <v>3.0428788910505911</v>
      </c>
    </row>
    <row r="2199" spans="1:36" x14ac:dyDescent="0.25">
      <c r="A2199" t="s">
        <v>5411</v>
      </c>
      <c r="B2199" t="s">
        <v>16</v>
      </c>
      <c r="C2199" t="s">
        <v>17</v>
      </c>
      <c r="D2199">
        <v>46620000</v>
      </c>
      <c r="E2199">
        <v>46639999</v>
      </c>
      <c r="F2199" t="s">
        <v>1970</v>
      </c>
      <c r="G2199" t="str">
        <f t="shared" si="68"/>
        <v>BAI II</v>
      </c>
      <c r="H2199" t="s">
        <v>1700</v>
      </c>
      <c r="I2199" t="s">
        <v>20</v>
      </c>
      <c r="J2199" t="s">
        <v>64</v>
      </c>
      <c r="K2199" s="6">
        <v>0.03</v>
      </c>
      <c r="L2199" s="7">
        <f t="shared" si="69"/>
        <v>2E-3</v>
      </c>
      <c r="M2199" s="7">
        <v>3.0000000000000001E-3</v>
      </c>
      <c r="N2199">
        <v>10</v>
      </c>
      <c r="O2199" s="8">
        <v>22.933916850949441</v>
      </c>
      <c r="P2199" s="9">
        <v>22.933916850949441</v>
      </c>
      <c r="Q2199" s="9">
        <v>22.933916850949441</v>
      </c>
      <c r="R2199" s="9">
        <v>25.173745848546066</v>
      </c>
      <c r="S2199" s="9">
        <v>27.641690539343774</v>
      </c>
      <c r="T2199" s="9">
        <v>29.730378573928668</v>
      </c>
      <c r="U2199" s="9">
        <v>36.183590217329723</v>
      </c>
      <c r="V2199" s="9">
        <v>36.183590217329723</v>
      </c>
      <c r="W2199" s="9">
        <v>36.183590217329723</v>
      </c>
      <c r="X2199" s="9">
        <v>43.522810559209468</v>
      </c>
      <c r="Y2199" s="9">
        <v>43.522810559209468</v>
      </c>
      <c r="Z2199" s="9">
        <v>50.960858783530121</v>
      </c>
      <c r="AA2199" s="9">
        <v>50.960858783530121</v>
      </c>
      <c r="AB2199" s="9">
        <v>58.507617678535738</v>
      </c>
      <c r="AC2199" s="9">
        <v>58.507617678535738</v>
      </c>
      <c r="AD2199" s="9">
        <v>68.105109643716474</v>
      </c>
      <c r="AE2199" s="9">
        <v>75.132723269302929</v>
      </c>
      <c r="AF2199" s="9">
        <v>82.290622386277917</v>
      </c>
      <c r="AG2199" s="9">
        <v>82.290622386277917</v>
      </c>
      <c r="AH2199" s="9">
        <v>90.43943145512165</v>
      </c>
      <c r="AI2199" s="9">
        <v>98.380048333692613</v>
      </c>
      <c r="AJ2199" s="9">
        <v>3.0428788910505911</v>
      </c>
    </row>
    <row r="2200" spans="1:36" x14ac:dyDescent="0.25">
      <c r="A2200" t="s">
        <v>5411</v>
      </c>
      <c r="B2200" t="s">
        <v>16</v>
      </c>
      <c r="C2200" t="s">
        <v>17</v>
      </c>
      <c r="D2200">
        <v>46640000</v>
      </c>
      <c r="E2200">
        <v>46649999</v>
      </c>
      <c r="F2200" t="s">
        <v>1971</v>
      </c>
      <c r="G2200" t="str">
        <f t="shared" si="68"/>
        <v>BAI II</v>
      </c>
      <c r="H2200" t="s">
        <v>1700</v>
      </c>
      <c r="I2200" t="s">
        <v>20</v>
      </c>
      <c r="J2200" t="s">
        <v>64</v>
      </c>
      <c r="K2200" s="6">
        <v>0.03</v>
      </c>
      <c r="L2200" s="7">
        <f t="shared" si="69"/>
        <v>2E-3</v>
      </c>
      <c r="M2200" s="7">
        <v>3.0000000000000001E-3</v>
      </c>
      <c r="N2200">
        <v>10</v>
      </c>
      <c r="O2200" s="8">
        <v>22.933916850949441</v>
      </c>
      <c r="P2200" s="9">
        <v>22.933916850949441</v>
      </c>
      <c r="Q2200" s="9">
        <v>22.933916850949441</v>
      </c>
      <c r="R2200" s="9">
        <v>25.173745848546066</v>
      </c>
      <c r="S2200" s="9">
        <v>27.641690539343774</v>
      </c>
      <c r="T2200" s="9">
        <v>29.730378573928668</v>
      </c>
      <c r="U2200" s="9">
        <v>36.183590217329723</v>
      </c>
      <c r="V2200" s="9">
        <v>36.183590217329723</v>
      </c>
      <c r="W2200" s="9">
        <v>36.183590217329723</v>
      </c>
      <c r="X2200" s="9">
        <v>43.522810559209468</v>
      </c>
      <c r="Y2200" s="9">
        <v>43.522810559209468</v>
      </c>
      <c r="Z2200" s="9">
        <v>50.960858783530121</v>
      </c>
      <c r="AA2200" s="9">
        <v>50.960858783530121</v>
      </c>
      <c r="AB2200" s="9">
        <v>58.507617678535738</v>
      </c>
      <c r="AC2200" s="9">
        <v>58.507617678535738</v>
      </c>
      <c r="AD2200" s="9">
        <v>68.105109643716474</v>
      </c>
      <c r="AE2200" s="9">
        <v>75.132723269302929</v>
      </c>
      <c r="AF2200" s="9">
        <v>82.290622386277917</v>
      </c>
      <c r="AG2200" s="9">
        <v>82.290622386277917</v>
      </c>
      <c r="AH2200" s="9">
        <v>90.43943145512165</v>
      </c>
      <c r="AI2200" s="9">
        <v>98.380048333692613</v>
      </c>
      <c r="AJ2200" s="9">
        <v>3.0428788910505911</v>
      </c>
    </row>
    <row r="2201" spans="1:36" x14ac:dyDescent="0.25">
      <c r="A2201" t="s">
        <v>5411</v>
      </c>
      <c r="B2201" t="s">
        <v>16</v>
      </c>
      <c r="C2201" t="s">
        <v>17</v>
      </c>
      <c r="D2201">
        <v>46650000</v>
      </c>
      <c r="E2201">
        <v>46669999</v>
      </c>
      <c r="F2201" t="s">
        <v>1972</v>
      </c>
      <c r="G2201" t="str">
        <f t="shared" si="68"/>
        <v>BAI II</v>
      </c>
      <c r="H2201" t="s">
        <v>1700</v>
      </c>
      <c r="I2201" t="s">
        <v>20</v>
      </c>
      <c r="J2201" t="s">
        <v>64</v>
      </c>
      <c r="K2201" s="6">
        <v>0.03</v>
      </c>
      <c r="L2201" s="7">
        <f t="shared" si="69"/>
        <v>2E-3</v>
      </c>
      <c r="M2201" s="7">
        <v>3.0000000000000001E-3</v>
      </c>
      <c r="N2201">
        <v>10</v>
      </c>
      <c r="O2201" s="8">
        <v>22.933916850949441</v>
      </c>
      <c r="P2201" s="9">
        <v>22.933916850949441</v>
      </c>
      <c r="Q2201" s="9">
        <v>22.933916850949441</v>
      </c>
      <c r="R2201" s="9">
        <v>25.173745848546066</v>
      </c>
      <c r="S2201" s="9">
        <v>27.641690539343774</v>
      </c>
      <c r="T2201" s="9">
        <v>29.730378573928668</v>
      </c>
      <c r="U2201" s="9">
        <v>36.183590217329723</v>
      </c>
      <c r="V2201" s="9">
        <v>36.183590217329723</v>
      </c>
      <c r="W2201" s="9">
        <v>36.183590217329723</v>
      </c>
      <c r="X2201" s="9">
        <v>43.522810559209468</v>
      </c>
      <c r="Y2201" s="9">
        <v>43.522810559209468</v>
      </c>
      <c r="Z2201" s="9">
        <v>50.960858783530121</v>
      </c>
      <c r="AA2201" s="9">
        <v>50.960858783530121</v>
      </c>
      <c r="AB2201" s="9">
        <v>58.507617678535738</v>
      </c>
      <c r="AC2201" s="9">
        <v>58.507617678535738</v>
      </c>
      <c r="AD2201" s="9">
        <v>68.105109643716474</v>
      </c>
      <c r="AE2201" s="9">
        <v>75.132723269302929</v>
      </c>
      <c r="AF2201" s="9">
        <v>82.290622386277917</v>
      </c>
      <c r="AG2201" s="9">
        <v>82.290622386277917</v>
      </c>
      <c r="AH2201" s="9">
        <v>90.43943145512165</v>
      </c>
      <c r="AI2201" s="9">
        <v>98.380048333692613</v>
      </c>
      <c r="AJ2201" s="9">
        <v>3.0428788910505911</v>
      </c>
    </row>
    <row r="2202" spans="1:36" x14ac:dyDescent="0.25">
      <c r="A2202" t="s">
        <v>5411</v>
      </c>
      <c r="B2202" t="s">
        <v>16</v>
      </c>
      <c r="C2202" t="s">
        <v>17</v>
      </c>
      <c r="D2202">
        <v>46670000</v>
      </c>
      <c r="E2202">
        <v>46689999</v>
      </c>
      <c r="F2202" t="s">
        <v>1973</v>
      </c>
      <c r="G2202" t="str">
        <f t="shared" si="68"/>
        <v>BAI II</v>
      </c>
      <c r="H2202" t="s">
        <v>1700</v>
      </c>
      <c r="I2202" t="s">
        <v>20</v>
      </c>
      <c r="J2202" t="s">
        <v>64</v>
      </c>
      <c r="K2202" s="6">
        <v>0.03</v>
      </c>
      <c r="L2202" s="7">
        <f t="shared" si="69"/>
        <v>2E-3</v>
      </c>
      <c r="M2202" s="7">
        <v>3.0000000000000001E-3</v>
      </c>
      <c r="N2202">
        <v>10</v>
      </c>
      <c r="O2202" s="8">
        <v>22.933916850949441</v>
      </c>
      <c r="P2202" s="9">
        <v>22.933916850949441</v>
      </c>
      <c r="Q2202" s="9">
        <v>22.933916850949441</v>
      </c>
      <c r="R2202" s="9">
        <v>25.173745848546066</v>
      </c>
      <c r="S2202" s="9">
        <v>27.641690539343774</v>
      </c>
      <c r="T2202" s="9">
        <v>29.730378573928668</v>
      </c>
      <c r="U2202" s="9">
        <v>36.183590217329723</v>
      </c>
      <c r="V2202" s="9">
        <v>36.183590217329723</v>
      </c>
      <c r="W2202" s="9">
        <v>36.183590217329723</v>
      </c>
      <c r="X2202" s="9">
        <v>43.522810559209468</v>
      </c>
      <c r="Y2202" s="9">
        <v>43.522810559209468</v>
      </c>
      <c r="Z2202" s="9">
        <v>50.960858783530121</v>
      </c>
      <c r="AA2202" s="9">
        <v>50.960858783530121</v>
      </c>
      <c r="AB2202" s="9">
        <v>58.507617678535738</v>
      </c>
      <c r="AC2202" s="9">
        <v>58.507617678535738</v>
      </c>
      <c r="AD2202" s="9">
        <v>68.105109643716474</v>
      </c>
      <c r="AE2202" s="9">
        <v>75.132723269302929</v>
      </c>
      <c r="AF2202" s="9">
        <v>82.290622386277917</v>
      </c>
      <c r="AG2202" s="9">
        <v>82.290622386277917</v>
      </c>
      <c r="AH2202" s="9">
        <v>90.43943145512165</v>
      </c>
      <c r="AI2202" s="9">
        <v>98.380048333692613</v>
      </c>
      <c r="AJ2202" s="9">
        <v>3.0428788910505911</v>
      </c>
    </row>
    <row r="2203" spans="1:36" x14ac:dyDescent="0.25">
      <c r="A2203" t="s">
        <v>5411</v>
      </c>
      <c r="B2203" t="s">
        <v>16</v>
      </c>
      <c r="C2203" t="s">
        <v>17</v>
      </c>
      <c r="D2203">
        <v>46690000</v>
      </c>
      <c r="E2203">
        <v>46699999</v>
      </c>
      <c r="F2203" t="s">
        <v>1974</v>
      </c>
      <c r="G2203" t="str">
        <f t="shared" si="68"/>
        <v>BAI II</v>
      </c>
      <c r="H2203" t="s">
        <v>1700</v>
      </c>
      <c r="I2203" t="s">
        <v>20</v>
      </c>
      <c r="J2203" t="s">
        <v>64</v>
      </c>
      <c r="K2203" s="6">
        <v>0.03</v>
      </c>
      <c r="L2203" s="7">
        <f t="shared" si="69"/>
        <v>2E-3</v>
      </c>
      <c r="M2203" s="7">
        <v>3.0000000000000001E-3</v>
      </c>
      <c r="N2203">
        <v>10</v>
      </c>
      <c r="O2203" s="8">
        <v>22.933916850949441</v>
      </c>
      <c r="P2203" s="9">
        <v>22.933916850949441</v>
      </c>
      <c r="Q2203" s="9">
        <v>22.933916850949441</v>
      </c>
      <c r="R2203" s="9">
        <v>25.173745848546066</v>
      </c>
      <c r="S2203" s="9">
        <v>27.641690539343774</v>
      </c>
      <c r="T2203" s="9">
        <v>29.730378573928668</v>
      </c>
      <c r="U2203" s="9">
        <v>36.183590217329723</v>
      </c>
      <c r="V2203" s="9">
        <v>36.183590217329723</v>
      </c>
      <c r="W2203" s="9">
        <v>36.183590217329723</v>
      </c>
      <c r="X2203" s="9">
        <v>43.522810559209468</v>
      </c>
      <c r="Y2203" s="9">
        <v>43.522810559209468</v>
      </c>
      <c r="Z2203" s="9">
        <v>50.960858783530121</v>
      </c>
      <c r="AA2203" s="9">
        <v>50.960858783530121</v>
      </c>
      <c r="AB2203" s="9">
        <v>58.507617678535738</v>
      </c>
      <c r="AC2203" s="9">
        <v>58.507617678535738</v>
      </c>
      <c r="AD2203" s="9">
        <v>68.105109643716474</v>
      </c>
      <c r="AE2203" s="9">
        <v>75.132723269302929</v>
      </c>
      <c r="AF2203" s="9">
        <v>82.290622386277917</v>
      </c>
      <c r="AG2203" s="9">
        <v>82.290622386277917</v>
      </c>
      <c r="AH2203" s="9">
        <v>90.43943145512165</v>
      </c>
      <c r="AI2203" s="9">
        <v>98.380048333692613</v>
      </c>
      <c r="AJ2203" s="9">
        <v>3.0428788910505911</v>
      </c>
    </row>
    <row r="2204" spans="1:36" x14ac:dyDescent="0.25">
      <c r="A2204" t="s">
        <v>5411</v>
      </c>
      <c r="B2204" t="s">
        <v>16</v>
      </c>
      <c r="C2204" t="s">
        <v>17</v>
      </c>
      <c r="D2204">
        <v>46700000</v>
      </c>
      <c r="E2204">
        <v>46729999</v>
      </c>
      <c r="F2204" t="s">
        <v>1975</v>
      </c>
      <c r="G2204" t="str">
        <f t="shared" si="68"/>
        <v>BAI II</v>
      </c>
      <c r="H2204" t="s">
        <v>1700</v>
      </c>
      <c r="I2204" t="s">
        <v>20</v>
      </c>
      <c r="J2204" t="s">
        <v>64</v>
      </c>
      <c r="K2204" s="6">
        <v>0.03</v>
      </c>
      <c r="L2204" s="7">
        <f t="shared" si="69"/>
        <v>2E-3</v>
      </c>
      <c r="M2204" s="7">
        <v>3.0000000000000001E-3</v>
      </c>
      <c r="N2204">
        <v>14</v>
      </c>
      <c r="O2204" s="8">
        <v>22.933916850949441</v>
      </c>
      <c r="P2204" s="9">
        <v>22.933916850949441</v>
      </c>
      <c r="Q2204" s="9">
        <v>22.933916850949441</v>
      </c>
      <c r="R2204" s="9">
        <v>25.173745848546066</v>
      </c>
      <c r="S2204" s="9">
        <v>27.641690539343774</v>
      </c>
      <c r="T2204" s="9">
        <v>29.730378573928668</v>
      </c>
      <c r="U2204" s="9">
        <v>36.183590217329723</v>
      </c>
      <c r="V2204" s="9">
        <v>36.183590217329723</v>
      </c>
      <c r="W2204" s="9">
        <v>36.183590217329723</v>
      </c>
      <c r="X2204" s="9">
        <v>43.522810559209468</v>
      </c>
      <c r="Y2204" s="9">
        <v>43.522810559209468</v>
      </c>
      <c r="Z2204" s="9">
        <v>50.960858783530121</v>
      </c>
      <c r="AA2204" s="9">
        <v>50.960858783530121</v>
      </c>
      <c r="AB2204" s="9">
        <v>58.507617678535738</v>
      </c>
      <c r="AC2204" s="9">
        <v>58.507617678535738</v>
      </c>
      <c r="AD2204" s="9">
        <v>68.105109643716474</v>
      </c>
      <c r="AE2204" s="9">
        <v>75.132723269302929</v>
      </c>
      <c r="AF2204" s="9">
        <v>82.290622386277917</v>
      </c>
      <c r="AG2204" s="9">
        <v>82.290622386277917</v>
      </c>
      <c r="AH2204" s="9">
        <v>90.43943145512165</v>
      </c>
      <c r="AI2204" s="9">
        <v>98.380048333692613</v>
      </c>
      <c r="AJ2204" s="9">
        <v>3.0428788910505911</v>
      </c>
    </row>
    <row r="2205" spans="1:36" x14ac:dyDescent="0.25">
      <c r="A2205" t="s">
        <v>5411</v>
      </c>
      <c r="B2205" t="s">
        <v>16</v>
      </c>
      <c r="C2205" t="s">
        <v>17</v>
      </c>
      <c r="D2205">
        <v>46730000</v>
      </c>
      <c r="E2205">
        <v>46739999</v>
      </c>
      <c r="F2205" t="s">
        <v>292</v>
      </c>
      <c r="G2205" t="str">
        <f t="shared" si="68"/>
        <v>BAI II</v>
      </c>
      <c r="H2205" t="s">
        <v>1700</v>
      </c>
      <c r="I2205" t="s">
        <v>20</v>
      </c>
      <c r="J2205" t="s">
        <v>64</v>
      </c>
      <c r="K2205" s="6">
        <v>0.03</v>
      </c>
      <c r="L2205" s="7">
        <f t="shared" si="69"/>
        <v>2E-3</v>
      </c>
      <c r="M2205" s="7">
        <v>3.0000000000000001E-3</v>
      </c>
      <c r="N2205">
        <v>14</v>
      </c>
      <c r="O2205" s="8">
        <v>22.933916850949441</v>
      </c>
      <c r="P2205" s="9">
        <v>22.933916850949441</v>
      </c>
      <c r="Q2205" s="9">
        <v>22.933916850949441</v>
      </c>
      <c r="R2205" s="9">
        <v>25.173745848546066</v>
      </c>
      <c r="S2205" s="9">
        <v>27.641690539343774</v>
      </c>
      <c r="T2205" s="9">
        <v>29.730378573928668</v>
      </c>
      <c r="U2205" s="9">
        <v>36.183590217329723</v>
      </c>
      <c r="V2205" s="9">
        <v>36.183590217329723</v>
      </c>
      <c r="W2205" s="9">
        <v>36.183590217329723</v>
      </c>
      <c r="X2205" s="9">
        <v>43.522810559209468</v>
      </c>
      <c r="Y2205" s="9">
        <v>43.522810559209468</v>
      </c>
      <c r="Z2205" s="9">
        <v>50.960858783530121</v>
      </c>
      <c r="AA2205" s="9">
        <v>50.960858783530121</v>
      </c>
      <c r="AB2205" s="9">
        <v>58.507617678535738</v>
      </c>
      <c r="AC2205" s="9">
        <v>58.507617678535738</v>
      </c>
      <c r="AD2205" s="9">
        <v>68.105109643716474</v>
      </c>
      <c r="AE2205" s="9">
        <v>75.132723269302929</v>
      </c>
      <c r="AF2205" s="9">
        <v>82.290622386277917</v>
      </c>
      <c r="AG2205" s="9">
        <v>82.290622386277917</v>
      </c>
      <c r="AH2205" s="9">
        <v>90.43943145512165</v>
      </c>
      <c r="AI2205" s="9">
        <v>98.380048333692613</v>
      </c>
      <c r="AJ2205" s="9">
        <v>3.0428788910505911</v>
      </c>
    </row>
    <row r="2206" spans="1:36" x14ac:dyDescent="0.25">
      <c r="A2206" t="s">
        <v>5411</v>
      </c>
      <c r="B2206" t="s">
        <v>16</v>
      </c>
      <c r="C2206" t="s">
        <v>17</v>
      </c>
      <c r="D2206">
        <v>46740000</v>
      </c>
      <c r="E2206">
        <v>46749999</v>
      </c>
      <c r="F2206" t="s">
        <v>1976</v>
      </c>
      <c r="G2206" t="str">
        <f t="shared" si="68"/>
        <v>BAI II</v>
      </c>
      <c r="H2206" t="s">
        <v>1700</v>
      </c>
      <c r="I2206" t="s">
        <v>20</v>
      </c>
      <c r="J2206" t="s">
        <v>64</v>
      </c>
      <c r="K2206" s="6">
        <v>0.03</v>
      </c>
      <c r="L2206" s="7">
        <f t="shared" si="69"/>
        <v>2E-3</v>
      </c>
      <c r="M2206" s="7">
        <v>3.0000000000000001E-3</v>
      </c>
      <c r="N2206">
        <v>14</v>
      </c>
      <c r="O2206" s="8">
        <v>22.933916850949441</v>
      </c>
      <c r="P2206" s="9">
        <v>22.933916850949441</v>
      </c>
      <c r="Q2206" s="9">
        <v>22.933916850949441</v>
      </c>
      <c r="R2206" s="9">
        <v>25.173745848546066</v>
      </c>
      <c r="S2206" s="9">
        <v>27.641690539343774</v>
      </c>
      <c r="T2206" s="9">
        <v>29.730378573928668</v>
      </c>
      <c r="U2206" s="9">
        <v>36.183590217329723</v>
      </c>
      <c r="V2206" s="9">
        <v>36.183590217329723</v>
      </c>
      <c r="W2206" s="9">
        <v>36.183590217329723</v>
      </c>
      <c r="X2206" s="9">
        <v>43.522810559209468</v>
      </c>
      <c r="Y2206" s="9">
        <v>43.522810559209468</v>
      </c>
      <c r="Z2206" s="9">
        <v>50.960858783530121</v>
      </c>
      <c r="AA2206" s="9">
        <v>50.960858783530121</v>
      </c>
      <c r="AB2206" s="9">
        <v>58.507617678535738</v>
      </c>
      <c r="AC2206" s="9">
        <v>58.507617678535738</v>
      </c>
      <c r="AD2206" s="9">
        <v>68.105109643716474</v>
      </c>
      <c r="AE2206" s="9">
        <v>75.132723269302929</v>
      </c>
      <c r="AF2206" s="9">
        <v>82.290622386277917</v>
      </c>
      <c r="AG2206" s="9">
        <v>82.290622386277917</v>
      </c>
      <c r="AH2206" s="9">
        <v>90.43943145512165</v>
      </c>
      <c r="AI2206" s="9">
        <v>98.380048333692613</v>
      </c>
      <c r="AJ2206" s="9">
        <v>3.0428788910505911</v>
      </c>
    </row>
    <row r="2207" spans="1:36" x14ac:dyDescent="0.25">
      <c r="A2207" t="s">
        <v>5411</v>
      </c>
      <c r="B2207" t="s">
        <v>16</v>
      </c>
      <c r="C2207" t="s">
        <v>17</v>
      </c>
      <c r="D2207">
        <v>46750000</v>
      </c>
      <c r="E2207">
        <v>46759999</v>
      </c>
      <c r="F2207" t="s">
        <v>1977</v>
      </c>
      <c r="G2207" t="str">
        <f t="shared" si="68"/>
        <v>BAI II</v>
      </c>
      <c r="H2207" t="s">
        <v>1700</v>
      </c>
      <c r="I2207" t="s">
        <v>20</v>
      </c>
      <c r="J2207" t="s">
        <v>64</v>
      </c>
      <c r="K2207" s="6">
        <v>0.03</v>
      </c>
      <c r="L2207" s="7">
        <f t="shared" si="69"/>
        <v>2E-3</v>
      </c>
      <c r="M2207" s="7">
        <v>3.0000000000000001E-3</v>
      </c>
      <c r="N2207">
        <v>9</v>
      </c>
      <c r="O2207" s="8">
        <v>22.933916850949441</v>
      </c>
      <c r="P2207" s="9">
        <v>22.933916850949441</v>
      </c>
      <c r="Q2207" s="9">
        <v>22.933916850949441</v>
      </c>
      <c r="R2207" s="9">
        <v>25.173745848546066</v>
      </c>
      <c r="S2207" s="9">
        <v>27.641690539343774</v>
      </c>
      <c r="T2207" s="9">
        <v>29.730378573928668</v>
      </c>
      <c r="U2207" s="9">
        <v>36.183590217329723</v>
      </c>
      <c r="V2207" s="9">
        <v>36.183590217329723</v>
      </c>
      <c r="W2207" s="9">
        <v>36.183590217329723</v>
      </c>
      <c r="X2207" s="9">
        <v>43.522810559209468</v>
      </c>
      <c r="Y2207" s="9">
        <v>43.522810559209468</v>
      </c>
      <c r="Z2207" s="9">
        <v>50.960858783530121</v>
      </c>
      <c r="AA2207" s="9">
        <v>50.960858783530121</v>
      </c>
      <c r="AB2207" s="9">
        <v>58.507617678535738</v>
      </c>
      <c r="AC2207" s="9">
        <v>58.507617678535738</v>
      </c>
      <c r="AD2207" s="9">
        <v>68.105109643716474</v>
      </c>
      <c r="AE2207" s="9">
        <v>75.132723269302929</v>
      </c>
      <c r="AF2207" s="9">
        <v>82.290622386277917</v>
      </c>
      <c r="AG2207" s="9">
        <v>82.290622386277917</v>
      </c>
      <c r="AH2207" s="9">
        <v>90.43943145512165</v>
      </c>
      <c r="AI2207" s="9">
        <v>98.380048333692613</v>
      </c>
      <c r="AJ2207" s="9">
        <v>3.0428788910505911</v>
      </c>
    </row>
    <row r="2208" spans="1:36" x14ac:dyDescent="0.25">
      <c r="A2208" t="s">
        <v>5411</v>
      </c>
      <c r="B2208" t="s">
        <v>16</v>
      </c>
      <c r="C2208" t="s">
        <v>17</v>
      </c>
      <c r="D2208">
        <v>46760000</v>
      </c>
      <c r="E2208">
        <v>46764999</v>
      </c>
      <c r="F2208" t="s">
        <v>1978</v>
      </c>
      <c r="G2208" t="str">
        <f t="shared" si="68"/>
        <v>BAI II</v>
      </c>
      <c r="H2208" t="s">
        <v>1700</v>
      </c>
      <c r="I2208" t="s">
        <v>20</v>
      </c>
      <c r="J2208" t="s">
        <v>64</v>
      </c>
      <c r="K2208" s="6">
        <v>0.03</v>
      </c>
      <c r="L2208" s="7">
        <f t="shared" si="69"/>
        <v>2E-3</v>
      </c>
      <c r="M2208" s="7">
        <v>3.0000000000000001E-3</v>
      </c>
      <c r="N2208">
        <v>10</v>
      </c>
      <c r="O2208" s="8">
        <v>22.933916850949441</v>
      </c>
      <c r="P2208" s="9">
        <v>22.933916850949441</v>
      </c>
      <c r="Q2208" s="9">
        <v>22.933916850949441</v>
      </c>
      <c r="R2208" s="9">
        <v>25.173745848546066</v>
      </c>
      <c r="S2208" s="9">
        <v>27.641690539343774</v>
      </c>
      <c r="T2208" s="9">
        <v>29.730378573928668</v>
      </c>
      <c r="U2208" s="9">
        <v>36.183590217329723</v>
      </c>
      <c r="V2208" s="9">
        <v>36.183590217329723</v>
      </c>
      <c r="W2208" s="9">
        <v>36.183590217329723</v>
      </c>
      <c r="X2208" s="9">
        <v>43.522810559209468</v>
      </c>
      <c r="Y2208" s="9">
        <v>43.522810559209468</v>
      </c>
      <c r="Z2208" s="9">
        <v>50.960858783530121</v>
      </c>
      <c r="AA2208" s="9">
        <v>50.960858783530121</v>
      </c>
      <c r="AB2208" s="9">
        <v>58.507617678535738</v>
      </c>
      <c r="AC2208" s="9">
        <v>58.507617678535738</v>
      </c>
      <c r="AD2208" s="9">
        <v>68.105109643716474</v>
      </c>
      <c r="AE2208" s="9">
        <v>75.132723269302929</v>
      </c>
      <c r="AF2208" s="9">
        <v>82.290622386277917</v>
      </c>
      <c r="AG2208" s="9">
        <v>82.290622386277917</v>
      </c>
      <c r="AH2208" s="9">
        <v>90.43943145512165</v>
      </c>
      <c r="AI2208" s="9">
        <v>98.380048333692613</v>
      </c>
      <c r="AJ2208" s="9">
        <v>3.0428788910505911</v>
      </c>
    </row>
    <row r="2209" spans="1:36" x14ac:dyDescent="0.25">
      <c r="A2209" t="s">
        <v>5411</v>
      </c>
      <c r="B2209" t="s">
        <v>16</v>
      </c>
      <c r="C2209" t="s">
        <v>17</v>
      </c>
      <c r="D2209">
        <v>46765000</v>
      </c>
      <c r="E2209">
        <v>46769999</v>
      </c>
      <c r="F2209" t="s">
        <v>1979</v>
      </c>
      <c r="G2209" t="str">
        <f t="shared" si="68"/>
        <v>BAI II</v>
      </c>
      <c r="H2209" t="s">
        <v>1700</v>
      </c>
      <c r="I2209" t="s">
        <v>20</v>
      </c>
      <c r="J2209" t="s">
        <v>64</v>
      </c>
      <c r="K2209" s="6">
        <v>0.03</v>
      </c>
      <c r="L2209" s="7">
        <f t="shared" si="69"/>
        <v>2E-3</v>
      </c>
      <c r="M2209" s="7">
        <v>3.0000000000000001E-3</v>
      </c>
      <c r="N2209">
        <v>10</v>
      </c>
      <c r="O2209" s="8">
        <v>22.933916850949441</v>
      </c>
      <c r="P2209" s="9">
        <v>22.933916850949441</v>
      </c>
      <c r="Q2209" s="9">
        <v>22.933916850949441</v>
      </c>
      <c r="R2209" s="9">
        <v>25.173745848546066</v>
      </c>
      <c r="S2209" s="9">
        <v>27.641690539343774</v>
      </c>
      <c r="T2209" s="9">
        <v>29.730378573928668</v>
      </c>
      <c r="U2209" s="9">
        <v>36.183590217329723</v>
      </c>
      <c r="V2209" s="9">
        <v>36.183590217329723</v>
      </c>
      <c r="W2209" s="9">
        <v>36.183590217329723</v>
      </c>
      <c r="X2209" s="9">
        <v>43.522810559209468</v>
      </c>
      <c r="Y2209" s="9">
        <v>43.522810559209468</v>
      </c>
      <c r="Z2209" s="9">
        <v>50.960858783530121</v>
      </c>
      <c r="AA2209" s="9">
        <v>50.960858783530121</v>
      </c>
      <c r="AB2209" s="9">
        <v>58.507617678535738</v>
      </c>
      <c r="AC2209" s="9">
        <v>58.507617678535738</v>
      </c>
      <c r="AD2209" s="9">
        <v>68.105109643716474</v>
      </c>
      <c r="AE2209" s="9">
        <v>75.132723269302929</v>
      </c>
      <c r="AF2209" s="9">
        <v>82.290622386277917</v>
      </c>
      <c r="AG2209" s="9">
        <v>82.290622386277917</v>
      </c>
      <c r="AH2209" s="9">
        <v>90.43943145512165</v>
      </c>
      <c r="AI2209" s="9">
        <v>98.380048333692613</v>
      </c>
      <c r="AJ2209" s="9">
        <v>3.0428788910505911</v>
      </c>
    </row>
    <row r="2210" spans="1:36" x14ac:dyDescent="0.25">
      <c r="A2210" t="s">
        <v>5411</v>
      </c>
      <c r="B2210" t="s">
        <v>16</v>
      </c>
      <c r="C2210" t="s">
        <v>17</v>
      </c>
      <c r="D2210">
        <v>46770000</v>
      </c>
      <c r="E2210">
        <v>46779999</v>
      </c>
      <c r="F2210" t="s">
        <v>1980</v>
      </c>
      <c r="G2210" t="str">
        <f t="shared" si="68"/>
        <v>BAI II</v>
      </c>
      <c r="H2210" t="s">
        <v>1700</v>
      </c>
      <c r="I2210" t="s">
        <v>20</v>
      </c>
      <c r="J2210" t="s">
        <v>64</v>
      </c>
      <c r="K2210" s="6">
        <v>0.03</v>
      </c>
      <c r="L2210" s="7">
        <f t="shared" si="69"/>
        <v>2E-3</v>
      </c>
      <c r="M2210" s="7">
        <v>3.0000000000000001E-3</v>
      </c>
      <c r="N2210">
        <v>11</v>
      </c>
      <c r="O2210" s="8">
        <v>22.933916850949441</v>
      </c>
      <c r="P2210" s="9">
        <v>22.933916850949441</v>
      </c>
      <c r="Q2210" s="9">
        <v>22.933916850949441</v>
      </c>
      <c r="R2210" s="9">
        <v>25.173745848546066</v>
      </c>
      <c r="S2210" s="9">
        <v>27.641690539343774</v>
      </c>
      <c r="T2210" s="9">
        <v>29.730378573928668</v>
      </c>
      <c r="U2210" s="9">
        <v>36.183590217329723</v>
      </c>
      <c r="V2210" s="9">
        <v>36.183590217329723</v>
      </c>
      <c r="W2210" s="9">
        <v>36.183590217329723</v>
      </c>
      <c r="X2210" s="9">
        <v>43.522810559209468</v>
      </c>
      <c r="Y2210" s="9">
        <v>43.522810559209468</v>
      </c>
      <c r="Z2210" s="9">
        <v>50.960858783530121</v>
      </c>
      <c r="AA2210" s="9">
        <v>50.960858783530121</v>
      </c>
      <c r="AB2210" s="9">
        <v>58.507617678535738</v>
      </c>
      <c r="AC2210" s="9">
        <v>58.507617678535738</v>
      </c>
      <c r="AD2210" s="9">
        <v>68.105109643716474</v>
      </c>
      <c r="AE2210" s="9">
        <v>75.132723269302929</v>
      </c>
      <c r="AF2210" s="9">
        <v>82.290622386277917</v>
      </c>
      <c r="AG2210" s="9">
        <v>82.290622386277917</v>
      </c>
      <c r="AH2210" s="9">
        <v>90.43943145512165</v>
      </c>
      <c r="AI2210" s="9">
        <v>98.380048333692613</v>
      </c>
      <c r="AJ2210" s="9">
        <v>3.0428788910505911</v>
      </c>
    </row>
    <row r="2211" spans="1:36" x14ac:dyDescent="0.25">
      <c r="A2211" t="s">
        <v>5411</v>
      </c>
      <c r="B2211" t="s">
        <v>16</v>
      </c>
      <c r="C2211" t="s">
        <v>17</v>
      </c>
      <c r="D2211">
        <v>46780000</v>
      </c>
      <c r="E2211">
        <v>46789999</v>
      </c>
      <c r="F2211" t="s">
        <v>1981</v>
      </c>
      <c r="G2211" t="str">
        <f t="shared" si="68"/>
        <v>BAI</v>
      </c>
      <c r="H2211" t="s">
        <v>1700</v>
      </c>
      <c r="I2211" t="s">
        <v>20</v>
      </c>
      <c r="J2211" t="s">
        <v>62</v>
      </c>
      <c r="K2211" s="6">
        <v>0.03</v>
      </c>
      <c r="L2211" s="7">
        <f t="shared" si="69"/>
        <v>2E-3</v>
      </c>
      <c r="M2211" s="7">
        <v>3.0000000000000001E-3</v>
      </c>
      <c r="N2211">
        <v>11</v>
      </c>
      <c r="O2211" s="8">
        <v>18.830425793781675</v>
      </c>
      <c r="P2211" s="9">
        <v>18.830425793781675</v>
      </c>
      <c r="Q2211" s="9">
        <v>18.830425793781675</v>
      </c>
      <c r="R2211" s="9">
        <v>20.26742485247707</v>
      </c>
      <c r="S2211" s="9">
        <v>22.358597663519866</v>
      </c>
      <c r="T2211" s="9">
        <v>24.596422700701293</v>
      </c>
      <c r="U2211" s="9">
        <v>30.062806972770321</v>
      </c>
      <c r="V2211" s="9">
        <v>30.062806972770321</v>
      </c>
      <c r="W2211" s="9">
        <v>30.062806972770321</v>
      </c>
      <c r="X2211" s="9">
        <v>36.258834158198169</v>
      </c>
      <c r="Y2211" s="9">
        <v>36.258834158198169</v>
      </c>
      <c r="Z2211" s="9">
        <v>42.662152333319682</v>
      </c>
      <c r="AA2211" s="9">
        <v>42.662152333319682</v>
      </c>
      <c r="AB2211" s="9">
        <v>49.337721288156033</v>
      </c>
      <c r="AC2211" s="9">
        <v>49.337721288156033</v>
      </c>
      <c r="AD2211" s="9">
        <v>56.175614623482943</v>
      </c>
      <c r="AE2211" s="9">
        <v>63.196712014029359</v>
      </c>
      <c r="AF2211" s="9">
        <v>70.424649784246597</v>
      </c>
      <c r="AG2211" s="9">
        <v>70.424649784246597</v>
      </c>
      <c r="AH2211" s="9">
        <v>77.342680781352584</v>
      </c>
      <c r="AI2211" s="9">
        <v>84.743447231394711</v>
      </c>
      <c r="AJ2211" s="9">
        <v>3.0428788910505911</v>
      </c>
    </row>
    <row r="2212" spans="1:36" x14ac:dyDescent="0.25">
      <c r="A2212" t="s">
        <v>5411</v>
      </c>
      <c r="B2212" t="s">
        <v>16</v>
      </c>
      <c r="C2212" t="s">
        <v>17</v>
      </c>
      <c r="D2212">
        <v>46790000</v>
      </c>
      <c r="E2212">
        <v>46799999</v>
      </c>
      <c r="F2212" t="s">
        <v>1982</v>
      </c>
      <c r="G2212" t="str">
        <f t="shared" si="68"/>
        <v>BAI II</v>
      </c>
      <c r="H2212" t="s">
        <v>1700</v>
      </c>
      <c r="I2212" t="s">
        <v>20</v>
      </c>
      <c r="J2212" t="s">
        <v>64</v>
      </c>
      <c r="K2212" s="6">
        <v>0.03</v>
      </c>
      <c r="L2212" s="7">
        <f t="shared" si="69"/>
        <v>2E-3</v>
      </c>
      <c r="M2212" s="7">
        <v>3.0000000000000001E-3</v>
      </c>
      <c r="N2212">
        <v>9</v>
      </c>
      <c r="O2212" s="8">
        <v>22.933916850949441</v>
      </c>
      <c r="P2212" s="9">
        <v>22.933916850949441</v>
      </c>
      <c r="Q2212" s="9">
        <v>22.933916850949441</v>
      </c>
      <c r="R2212" s="9">
        <v>25.173745848546066</v>
      </c>
      <c r="S2212" s="9">
        <v>27.641690539343774</v>
      </c>
      <c r="T2212" s="9">
        <v>29.730378573928668</v>
      </c>
      <c r="U2212" s="9">
        <v>36.183590217329723</v>
      </c>
      <c r="V2212" s="9">
        <v>36.183590217329723</v>
      </c>
      <c r="W2212" s="9">
        <v>36.183590217329723</v>
      </c>
      <c r="X2212" s="9">
        <v>43.522810559209468</v>
      </c>
      <c r="Y2212" s="9">
        <v>43.522810559209468</v>
      </c>
      <c r="Z2212" s="9">
        <v>50.960858783530121</v>
      </c>
      <c r="AA2212" s="9">
        <v>50.960858783530121</v>
      </c>
      <c r="AB2212" s="9">
        <v>58.507617678535738</v>
      </c>
      <c r="AC2212" s="9">
        <v>58.507617678535738</v>
      </c>
      <c r="AD2212" s="9">
        <v>68.105109643716474</v>
      </c>
      <c r="AE2212" s="9">
        <v>75.132723269302929</v>
      </c>
      <c r="AF2212" s="9">
        <v>82.290622386277917</v>
      </c>
      <c r="AG2212" s="9">
        <v>82.290622386277917</v>
      </c>
      <c r="AH2212" s="9">
        <v>90.43943145512165</v>
      </c>
      <c r="AI2212" s="9">
        <v>98.380048333692613</v>
      </c>
      <c r="AJ2212" s="9">
        <v>3.0428788910505911</v>
      </c>
    </row>
    <row r="2213" spans="1:36" x14ac:dyDescent="0.25">
      <c r="A2213" t="s">
        <v>5411</v>
      </c>
      <c r="B2213" t="s">
        <v>16</v>
      </c>
      <c r="C2213" t="s">
        <v>17</v>
      </c>
      <c r="D2213">
        <v>46800000</v>
      </c>
      <c r="E2213">
        <v>46804999</v>
      </c>
      <c r="F2213" t="s">
        <v>1983</v>
      </c>
      <c r="G2213" t="str">
        <f t="shared" si="68"/>
        <v>BAI II</v>
      </c>
      <c r="H2213" t="s">
        <v>1700</v>
      </c>
      <c r="I2213" t="s">
        <v>20</v>
      </c>
      <c r="J2213" t="s">
        <v>64</v>
      </c>
      <c r="K2213" s="6">
        <v>0.03</v>
      </c>
      <c r="L2213" s="7">
        <f t="shared" si="69"/>
        <v>2E-3</v>
      </c>
      <c r="M2213" s="7">
        <v>3.0000000000000001E-3</v>
      </c>
      <c r="N2213">
        <v>10</v>
      </c>
      <c r="O2213" s="8">
        <v>22.933916850949441</v>
      </c>
      <c r="P2213" s="9">
        <v>22.933916850949441</v>
      </c>
      <c r="Q2213" s="9">
        <v>22.933916850949441</v>
      </c>
      <c r="R2213" s="9">
        <v>25.173745848546066</v>
      </c>
      <c r="S2213" s="9">
        <v>27.641690539343774</v>
      </c>
      <c r="T2213" s="9">
        <v>29.730378573928668</v>
      </c>
      <c r="U2213" s="9">
        <v>36.183590217329723</v>
      </c>
      <c r="V2213" s="9">
        <v>36.183590217329723</v>
      </c>
      <c r="W2213" s="9">
        <v>36.183590217329723</v>
      </c>
      <c r="X2213" s="9">
        <v>43.522810559209468</v>
      </c>
      <c r="Y2213" s="9">
        <v>43.522810559209468</v>
      </c>
      <c r="Z2213" s="9">
        <v>50.960858783530121</v>
      </c>
      <c r="AA2213" s="9">
        <v>50.960858783530121</v>
      </c>
      <c r="AB2213" s="9">
        <v>58.507617678535738</v>
      </c>
      <c r="AC2213" s="9">
        <v>58.507617678535738</v>
      </c>
      <c r="AD2213" s="9">
        <v>68.105109643716474</v>
      </c>
      <c r="AE2213" s="9">
        <v>75.132723269302929</v>
      </c>
      <c r="AF2213" s="9">
        <v>82.290622386277917</v>
      </c>
      <c r="AG2213" s="9">
        <v>82.290622386277917</v>
      </c>
      <c r="AH2213" s="9">
        <v>90.43943145512165</v>
      </c>
      <c r="AI2213" s="9">
        <v>98.380048333692613</v>
      </c>
      <c r="AJ2213" s="9">
        <v>3.0428788910505911</v>
      </c>
    </row>
    <row r="2214" spans="1:36" x14ac:dyDescent="0.25">
      <c r="A2214" t="s">
        <v>5411</v>
      </c>
      <c r="B2214" t="s">
        <v>16</v>
      </c>
      <c r="C2214" t="s">
        <v>17</v>
      </c>
      <c r="D2214">
        <v>46805000</v>
      </c>
      <c r="E2214">
        <v>46809999</v>
      </c>
      <c r="F2214" t="s">
        <v>1984</v>
      </c>
      <c r="G2214" t="str">
        <f t="shared" si="68"/>
        <v>BAI</v>
      </c>
      <c r="H2214" t="s">
        <v>1700</v>
      </c>
      <c r="I2214" t="s">
        <v>20</v>
      </c>
      <c r="J2214" t="s">
        <v>62</v>
      </c>
      <c r="K2214" s="6">
        <v>0.03</v>
      </c>
      <c r="L2214" s="7">
        <f t="shared" si="69"/>
        <v>2E-3</v>
      </c>
      <c r="M2214" s="7">
        <v>3.0000000000000001E-3</v>
      </c>
      <c r="N2214">
        <v>12</v>
      </c>
      <c r="O2214" s="8">
        <v>18.830425793781675</v>
      </c>
      <c r="P2214" s="9">
        <v>18.830425793781675</v>
      </c>
      <c r="Q2214" s="9">
        <v>18.830425793781675</v>
      </c>
      <c r="R2214" s="9">
        <v>20.26742485247707</v>
      </c>
      <c r="S2214" s="9">
        <v>22.358597663519866</v>
      </c>
      <c r="T2214" s="9">
        <v>24.596422700701293</v>
      </c>
      <c r="U2214" s="9">
        <v>30.062806972770321</v>
      </c>
      <c r="V2214" s="9">
        <v>30.062806972770321</v>
      </c>
      <c r="W2214" s="9">
        <v>30.062806972770321</v>
      </c>
      <c r="X2214" s="9">
        <v>36.258834158198169</v>
      </c>
      <c r="Y2214" s="9">
        <v>36.258834158198169</v>
      </c>
      <c r="Z2214" s="9">
        <v>42.662152333319682</v>
      </c>
      <c r="AA2214" s="9">
        <v>42.662152333319682</v>
      </c>
      <c r="AB2214" s="9">
        <v>49.337721288156033</v>
      </c>
      <c r="AC2214" s="9">
        <v>49.337721288156033</v>
      </c>
      <c r="AD2214" s="9">
        <v>56.175614623482943</v>
      </c>
      <c r="AE2214" s="9">
        <v>63.196712014029359</v>
      </c>
      <c r="AF2214" s="9">
        <v>70.424649784246597</v>
      </c>
      <c r="AG2214" s="9">
        <v>70.424649784246597</v>
      </c>
      <c r="AH2214" s="9">
        <v>77.342680781352584</v>
      </c>
      <c r="AI2214" s="9">
        <v>84.743447231394711</v>
      </c>
      <c r="AJ2214" s="9">
        <v>3.0428788910505911</v>
      </c>
    </row>
    <row r="2215" spans="1:36" x14ac:dyDescent="0.25">
      <c r="A2215" t="s">
        <v>5411</v>
      </c>
      <c r="B2215" t="s">
        <v>16</v>
      </c>
      <c r="C2215" t="s">
        <v>17</v>
      </c>
      <c r="D2215">
        <v>46810000</v>
      </c>
      <c r="E2215">
        <v>46819999</v>
      </c>
      <c r="F2215" t="s">
        <v>1985</v>
      </c>
      <c r="G2215" t="str">
        <f t="shared" si="68"/>
        <v>BAI II</v>
      </c>
      <c r="H2215" t="s">
        <v>1700</v>
      </c>
      <c r="I2215" t="s">
        <v>20</v>
      </c>
      <c r="J2215" t="s">
        <v>64</v>
      </c>
      <c r="K2215" s="6">
        <v>0.03</v>
      </c>
      <c r="L2215" s="7">
        <f t="shared" si="69"/>
        <v>2E-3</v>
      </c>
      <c r="M2215" s="7">
        <v>3.0000000000000001E-3</v>
      </c>
      <c r="N2215">
        <v>12</v>
      </c>
      <c r="O2215" s="8">
        <v>22.933916850949441</v>
      </c>
      <c r="P2215" s="9">
        <v>22.933916850949441</v>
      </c>
      <c r="Q2215" s="9">
        <v>22.933916850949441</v>
      </c>
      <c r="R2215" s="9">
        <v>25.173745848546066</v>
      </c>
      <c r="S2215" s="9">
        <v>27.641690539343774</v>
      </c>
      <c r="T2215" s="9">
        <v>29.730378573928668</v>
      </c>
      <c r="U2215" s="9">
        <v>36.183590217329723</v>
      </c>
      <c r="V2215" s="9">
        <v>36.183590217329723</v>
      </c>
      <c r="W2215" s="9">
        <v>36.183590217329723</v>
      </c>
      <c r="X2215" s="9">
        <v>43.522810559209468</v>
      </c>
      <c r="Y2215" s="9">
        <v>43.522810559209468</v>
      </c>
      <c r="Z2215" s="9">
        <v>50.960858783530121</v>
      </c>
      <c r="AA2215" s="9">
        <v>50.960858783530121</v>
      </c>
      <c r="AB2215" s="9">
        <v>58.507617678535738</v>
      </c>
      <c r="AC2215" s="9">
        <v>58.507617678535738</v>
      </c>
      <c r="AD2215" s="9">
        <v>68.105109643716474</v>
      </c>
      <c r="AE2215" s="9">
        <v>75.132723269302929</v>
      </c>
      <c r="AF2215" s="9">
        <v>82.290622386277917</v>
      </c>
      <c r="AG2215" s="9">
        <v>82.290622386277917</v>
      </c>
      <c r="AH2215" s="9">
        <v>90.43943145512165</v>
      </c>
      <c r="AI2215" s="9">
        <v>98.380048333692613</v>
      </c>
      <c r="AJ2215" s="9">
        <v>3.0428788910505911</v>
      </c>
    </row>
    <row r="2216" spans="1:36" x14ac:dyDescent="0.25">
      <c r="A2216" t="s">
        <v>5411</v>
      </c>
      <c r="B2216" t="s">
        <v>16</v>
      </c>
      <c r="C2216" t="s">
        <v>17</v>
      </c>
      <c r="D2216">
        <v>46820000</v>
      </c>
      <c r="E2216">
        <v>46824999</v>
      </c>
      <c r="F2216" t="s">
        <v>1986</v>
      </c>
      <c r="G2216" t="str">
        <f t="shared" si="68"/>
        <v>BAI II</v>
      </c>
      <c r="H2216" t="s">
        <v>1700</v>
      </c>
      <c r="I2216" t="s">
        <v>20</v>
      </c>
      <c r="J2216" t="s">
        <v>64</v>
      </c>
      <c r="K2216" s="6">
        <v>0.03</v>
      </c>
      <c r="L2216" s="7">
        <f t="shared" si="69"/>
        <v>2E-3</v>
      </c>
      <c r="M2216" s="7">
        <v>3.0000000000000001E-3</v>
      </c>
      <c r="N2216">
        <v>12</v>
      </c>
      <c r="O2216" s="8">
        <v>22.933916850949441</v>
      </c>
      <c r="P2216" s="9">
        <v>22.933916850949441</v>
      </c>
      <c r="Q2216" s="9">
        <v>22.933916850949441</v>
      </c>
      <c r="R2216" s="9">
        <v>25.173745848546066</v>
      </c>
      <c r="S2216" s="9">
        <v>27.641690539343774</v>
      </c>
      <c r="T2216" s="9">
        <v>29.730378573928668</v>
      </c>
      <c r="U2216" s="9">
        <v>36.183590217329723</v>
      </c>
      <c r="V2216" s="9">
        <v>36.183590217329723</v>
      </c>
      <c r="W2216" s="9">
        <v>36.183590217329723</v>
      </c>
      <c r="X2216" s="9">
        <v>43.522810559209468</v>
      </c>
      <c r="Y2216" s="9">
        <v>43.522810559209468</v>
      </c>
      <c r="Z2216" s="9">
        <v>50.960858783530121</v>
      </c>
      <c r="AA2216" s="9">
        <v>50.960858783530121</v>
      </c>
      <c r="AB2216" s="9">
        <v>58.507617678535738</v>
      </c>
      <c r="AC2216" s="9">
        <v>58.507617678535738</v>
      </c>
      <c r="AD2216" s="9">
        <v>68.105109643716474</v>
      </c>
      <c r="AE2216" s="9">
        <v>75.132723269302929</v>
      </c>
      <c r="AF2216" s="9">
        <v>82.290622386277917</v>
      </c>
      <c r="AG2216" s="9">
        <v>82.290622386277917</v>
      </c>
      <c r="AH2216" s="9">
        <v>90.43943145512165</v>
      </c>
      <c r="AI2216" s="9">
        <v>98.380048333692613</v>
      </c>
      <c r="AJ2216" s="9">
        <v>3.0428788910505911</v>
      </c>
    </row>
    <row r="2217" spans="1:36" x14ac:dyDescent="0.25">
      <c r="A2217" t="s">
        <v>5411</v>
      </c>
      <c r="B2217" t="s">
        <v>16</v>
      </c>
      <c r="C2217" t="s">
        <v>17</v>
      </c>
      <c r="D2217">
        <v>46825000</v>
      </c>
      <c r="E2217">
        <v>46829999</v>
      </c>
      <c r="F2217" t="s">
        <v>1987</v>
      </c>
      <c r="G2217" t="str">
        <f t="shared" si="68"/>
        <v>BAI II</v>
      </c>
      <c r="H2217" t="s">
        <v>1700</v>
      </c>
      <c r="I2217" t="s">
        <v>20</v>
      </c>
      <c r="J2217" t="s">
        <v>64</v>
      </c>
      <c r="K2217" s="6">
        <v>0.03</v>
      </c>
      <c r="L2217" s="7">
        <f t="shared" si="69"/>
        <v>2E-3</v>
      </c>
      <c r="M2217" s="7">
        <v>3.0000000000000001E-3</v>
      </c>
      <c r="N2217">
        <v>9</v>
      </c>
      <c r="O2217" s="8">
        <v>22.933916850949441</v>
      </c>
      <c r="P2217" s="9">
        <v>22.933916850949441</v>
      </c>
      <c r="Q2217" s="9">
        <v>22.933916850949441</v>
      </c>
      <c r="R2217" s="9">
        <v>25.173745848546066</v>
      </c>
      <c r="S2217" s="9">
        <v>27.641690539343774</v>
      </c>
      <c r="T2217" s="9">
        <v>29.730378573928668</v>
      </c>
      <c r="U2217" s="9">
        <v>36.183590217329723</v>
      </c>
      <c r="V2217" s="9">
        <v>36.183590217329723</v>
      </c>
      <c r="W2217" s="9">
        <v>36.183590217329723</v>
      </c>
      <c r="X2217" s="9">
        <v>43.522810559209468</v>
      </c>
      <c r="Y2217" s="9">
        <v>43.522810559209468</v>
      </c>
      <c r="Z2217" s="9">
        <v>50.960858783530121</v>
      </c>
      <c r="AA2217" s="9">
        <v>50.960858783530121</v>
      </c>
      <c r="AB2217" s="9">
        <v>58.507617678535738</v>
      </c>
      <c r="AC2217" s="9">
        <v>58.507617678535738</v>
      </c>
      <c r="AD2217" s="9">
        <v>68.105109643716474</v>
      </c>
      <c r="AE2217" s="9">
        <v>75.132723269302929</v>
      </c>
      <c r="AF2217" s="9">
        <v>82.290622386277917</v>
      </c>
      <c r="AG2217" s="9">
        <v>82.290622386277917</v>
      </c>
      <c r="AH2217" s="9">
        <v>90.43943145512165</v>
      </c>
      <c r="AI2217" s="9">
        <v>98.380048333692613</v>
      </c>
      <c r="AJ2217" s="9">
        <v>3.0428788910505911</v>
      </c>
    </row>
    <row r="2218" spans="1:36" x14ac:dyDescent="0.25">
      <c r="A2218" t="s">
        <v>5411</v>
      </c>
      <c r="B2218" t="s">
        <v>16</v>
      </c>
      <c r="C2218" t="s">
        <v>17</v>
      </c>
      <c r="D2218">
        <v>46830000</v>
      </c>
      <c r="E2218">
        <v>46834999</v>
      </c>
      <c r="F2218" t="s">
        <v>1988</v>
      </c>
      <c r="G2218" t="str">
        <f t="shared" si="68"/>
        <v>BAI</v>
      </c>
      <c r="H2218" t="s">
        <v>1700</v>
      </c>
      <c r="I2218" t="s">
        <v>20</v>
      </c>
      <c r="J2218" t="s">
        <v>62</v>
      </c>
      <c r="K2218" s="6">
        <v>0.03</v>
      </c>
      <c r="L2218" s="7">
        <f t="shared" si="69"/>
        <v>2E-3</v>
      </c>
      <c r="M2218" s="7">
        <v>3.0000000000000001E-3</v>
      </c>
      <c r="N2218">
        <v>8</v>
      </c>
      <c r="O2218" s="8">
        <v>18.830425793781675</v>
      </c>
      <c r="P2218" s="9">
        <v>18.830425793781675</v>
      </c>
      <c r="Q2218" s="9">
        <v>18.830425793781675</v>
      </c>
      <c r="R2218" s="9">
        <v>20.26742485247707</v>
      </c>
      <c r="S2218" s="9">
        <v>22.358597663519866</v>
      </c>
      <c r="T2218" s="9">
        <v>24.596422700701293</v>
      </c>
      <c r="U2218" s="9">
        <v>30.062806972770321</v>
      </c>
      <c r="V2218" s="9">
        <v>30.062806972770321</v>
      </c>
      <c r="W2218" s="9">
        <v>30.062806972770321</v>
      </c>
      <c r="X2218" s="9">
        <v>36.258834158198169</v>
      </c>
      <c r="Y2218" s="9">
        <v>36.258834158198169</v>
      </c>
      <c r="Z2218" s="9">
        <v>42.662152333319682</v>
      </c>
      <c r="AA2218" s="9">
        <v>42.662152333319682</v>
      </c>
      <c r="AB2218" s="9">
        <v>49.337721288156033</v>
      </c>
      <c r="AC2218" s="9">
        <v>49.337721288156033</v>
      </c>
      <c r="AD2218" s="9">
        <v>56.175614623482943</v>
      </c>
      <c r="AE2218" s="9">
        <v>63.196712014029359</v>
      </c>
      <c r="AF2218" s="9">
        <v>70.424649784246597</v>
      </c>
      <c r="AG2218" s="9">
        <v>70.424649784246597</v>
      </c>
      <c r="AH2218" s="9">
        <v>77.342680781352584</v>
      </c>
      <c r="AI2218" s="9">
        <v>84.743447231394711</v>
      </c>
      <c r="AJ2218" s="9">
        <v>3.0428788910505911</v>
      </c>
    </row>
    <row r="2219" spans="1:36" x14ac:dyDescent="0.25">
      <c r="A2219" t="s">
        <v>5411</v>
      </c>
      <c r="B2219" t="s">
        <v>16</v>
      </c>
      <c r="C2219" t="s">
        <v>17</v>
      </c>
      <c r="D2219">
        <v>46835000</v>
      </c>
      <c r="E2219">
        <v>46839999</v>
      </c>
      <c r="F2219" t="s">
        <v>1989</v>
      </c>
      <c r="G2219" t="str">
        <f t="shared" si="68"/>
        <v>BAI II</v>
      </c>
      <c r="H2219" t="s">
        <v>1700</v>
      </c>
      <c r="I2219" t="s">
        <v>20</v>
      </c>
      <c r="J2219" t="s">
        <v>64</v>
      </c>
      <c r="K2219" s="6">
        <v>0.03</v>
      </c>
      <c r="L2219" s="7">
        <f t="shared" si="69"/>
        <v>2E-3</v>
      </c>
      <c r="M2219" s="7">
        <v>3.0000000000000001E-3</v>
      </c>
      <c r="N2219">
        <v>9</v>
      </c>
      <c r="O2219" s="8">
        <v>22.933916850949441</v>
      </c>
      <c r="P2219" s="9">
        <v>22.933916850949441</v>
      </c>
      <c r="Q2219" s="9">
        <v>22.933916850949441</v>
      </c>
      <c r="R2219" s="9">
        <v>25.173745848546066</v>
      </c>
      <c r="S2219" s="9">
        <v>27.641690539343774</v>
      </c>
      <c r="T2219" s="9">
        <v>29.730378573928668</v>
      </c>
      <c r="U2219" s="9">
        <v>36.183590217329723</v>
      </c>
      <c r="V2219" s="9">
        <v>36.183590217329723</v>
      </c>
      <c r="W2219" s="9">
        <v>36.183590217329723</v>
      </c>
      <c r="X2219" s="9">
        <v>43.522810559209468</v>
      </c>
      <c r="Y2219" s="9">
        <v>43.522810559209468</v>
      </c>
      <c r="Z2219" s="9">
        <v>50.960858783530121</v>
      </c>
      <c r="AA2219" s="9">
        <v>50.960858783530121</v>
      </c>
      <c r="AB2219" s="9">
        <v>58.507617678535738</v>
      </c>
      <c r="AC2219" s="9">
        <v>58.507617678535738</v>
      </c>
      <c r="AD2219" s="9">
        <v>68.105109643716474</v>
      </c>
      <c r="AE2219" s="9">
        <v>75.132723269302929</v>
      </c>
      <c r="AF2219" s="9">
        <v>82.290622386277917</v>
      </c>
      <c r="AG2219" s="9">
        <v>82.290622386277917</v>
      </c>
      <c r="AH2219" s="9">
        <v>90.43943145512165</v>
      </c>
      <c r="AI2219" s="9">
        <v>98.380048333692613</v>
      </c>
      <c r="AJ2219" s="9">
        <v>3.0428788910505911</v>
      </c>
    </row>
    <row r="2220" spans="1:36" x14ac:dyDescent="0.25">
      <c r="A2220" t="s">
        <v>5411</v>
      </c>
      <c r="B2220" t="s">
        <v>16</v>
      </c>
      <c r="C2220" t="s">
        <v>17</v>
      </c>
      <c r="D2220">
        <v>46840000</v>
      </c>
      <c r="E2220">
        <v>46849999</v>
      </c>
      <c r="F2220" t="s">
        <v>1990</v>
      </c>
      <c r="G2220" t="str">
        <f t="shared" si="68"/>
        <v>BAI II</v>
      </c>
      <c r="H2220" t="s">
        <v>1700</v>
      </c>
      <c r="I2220" t="s">
        <v>20</v>
      </c>
      <c r="J2220" t="s">
        <v>64</v>
      </c>
      <c r="K2220" s="6">
        <v>0.03</v>
      </c>
      <c r="L2220" s="7">
        <f t="shared" si="69"/>
        <v>2E-3</v>
      </c>
      <c r="M2220" s="7">
        <v>3.0000000000000001E-3</v>
      </c>
      <c r="N2220">
        <v>9</v>
      </c>
      <c r="O2220" s="8">
        <v>22.933916850949441</v>
      </c>
      <c r="P2220" s="9">
        <v>22.933916850949441</v>
      </c>
      <c r="Q2220" s="9">
        <v>22.933916850949441</v>
      </c>
      <c r="R2220" s="9">
        <v>25.173745848546066</v>
      </c>
      <c r="S2220" s="9">
        <v>27.641690539343774</v>
      </c>
      <c r="T2220" s="9">
        <v>29.730378573928668</v>
      </c>
      <c r="U2220" s="9">
        <v>36.183590217329723</v>
      </c>
      <c r="V2220" s="9">
        <v>36.183590217329723</v>
      </c>
      <c r="W2220" s="9">
        <v>36.183590217329723</v>
      </c>
      <c r="X2220" s="9">
        <v>43.522810559209468</v>
      </c>
      <c r="Y2220" s="9">
        <v>43.522810559209468</v>
      </c>
      <c r="Z2220" s="9">
        <v>50.960858783530121</v>
      </c>
      <c r="AA2220" s="9">
        <v>50.960858783530121</v>
      </c>
      <c r="AB2220" s="9">
        <v>58.507617678535738</v>
      </c>
      <c r="AC2220" s="9">
        <v>58.507617678535738</v>
      </c>
      <c r="AD2220" s="9">
        <v>68.105109643716474</v>
      </c>
      <c r="AE2220" s="9">
        <v>75.132723269302929</v>
      </c>
      <c r="AF2220" s="9">
        <v>82.290622386277917</v>
      </c>
      <c r="AG2220" s="9">
        <v>82.290622386277917</v>
      </c>
      <c r="AH2220" s="9">
        <v>90.43943145512165</v>
      </c>
      <c r="AI2220" s="9">
        <v>98.380048333692613</v>
      </c>
      <c r="AJ2220" s="9">
        <v>3.0428788910505911</v>
      </c>
    </row>
    <row r="2221" spans="1:36" x14ac:dyDescent="0.25">
      <c r="A2221" t="s">
        <v>5411</v>
      </c>
      <c r="B2221" t="s">
        <v>16</v>
      </c>
      <c r="C2221" t="s">
        <v>17</v>
      </c>
      <c r="D2221">
        <v>46850000</v>
      </c>
      <c r="E2221">
        <v>46859999</v>
      </c>
      <c r="F2221" t="s">
        <v>1991</v>
      </c>
      <c r="G2221" t="str">
        <f t="shared" si="68"/>
        <v>BAI</v>
      </c>
      <c r="H2221" t="s">
        <v>1700</v>
      </c>
      <c r="I2221" t="s">
        <v>20</v>
      </c>
      <c r="J2221" t="s">
        <v>62</v>
      </c>
      <c r="K2221" s="6">
        <v>0.03</v>
      </c>
      <c r="L2221" s="7">
        <f t="shared" si="69"/>
        <v>2E-3</v>
      </c>
      <c r="M2221" s="7">
        <v>3.0000000000000001E-3</v>
      </c>
      <c r="N2221">
        <v>11</v>
      </c>
      <c r="O2221" s="8">
        <v>18.830425793781675</v>
      </c>
      <c r="P2221" s="9">
        <v>18.830425793781675</v>
      </c>
      <c r="Q2221" s="9">
        <v>18.830425793781675</v>
      </c>
      <c r="R2221" s="9">
        <v>20.26742485247707</v>
      </c>
      <c r="S2221" s="9">
        <v>22.358597663519866</v>
      </c>
      <c r="T2221" s="9">
        <v>24.596422700701293</v>
      </c>
      <c r="U2221" s="9">
        <v>30.062806972770321</v>
      </c>
      <c r="V2221" s="9">
        <v>30.062806972770321</v>
      </c>
      <c r="W2221" s="9">
        <v>30.062806972770321</v>
      </c>
      <c r="X2221" s="9">
        <v>36.258834158198169</v>
      </c>
      <c r="Y2221" s="9">
        <v>36.258834158198169</v>
      </c>
      <c r="Z2221" s="9">
        <v>42.662152333319682</v>
      </c>
      <c r="AA2221" s="9">
        <v>42.662152333319682</v>
      </c>
      <c r="AB2221" s="9">
        <v>49.337721288156033</v>
      </c>
      <c r="AC2221" s="9">
        <v>49.337721288156033</v>
      </c>
      <c r="AD2221" s="9">
        <v>56.175614623482943</v>
      </c>
      <c r="AE2221" s="9">
        <v>63.196712014029359</v>
      </c>
      <c r="AF2221" s="9">
        <v>70.424649784246597</v>
      </c>
      <c r="AG2221" s="9">
        <v>70.424649784246597</v>
      </c>
      <c r="AH2221" s="9">
        <v>77.342680781352584</v>
      </c>
      <c r="AI2221" s="9">
        <v>84.743447231394711</v>
      </c>
      <c r="AJ2221" s="9">
        <v>3.0428788910505911</v>
      </c>
    </row>
    <row r="2222" spans="1:36" x14ac:dyDescent="0.25">
      <c r="A2222" t="s">
        <v>5411</v>
      </c>
      <c r="B2222" t="s">
        <v>16</v>
      </c>
      <c r="C2222" t="s">
        <v>17</v>
      </c>
      <c r="D2222">
        <v>46860000</v>
      </c>
      <c r="E2222">
        <v>46874999</v>
      </c>
      <c r="F2222" t="s">
        <v>1992</v>
      </c>
      <c r="G2222" t="str">
        <f t="shared" si="68"/>
        <v>BAI</v>
      </c>
      <c r="H2222" t="s">
        <v>1700</v>
      </c>
      <c r="I2222" t="s">
        <v>20</v>
      </c>
      <c r="J2222" t="s">
        <v>62</v>
      </c>
      <c r="K2222" s="6">
        <v>0.03</v>
      </c>
      <c r="L2222" s="7">
        <f t="shared" si="69"/>
        <v>2E-3</v>
      </c>
      <c r="M2222" s="7">
        <v>3.0000000000000001E-3</v>
      </c>
      <c r="N2222">
        <v>14</v>
      </c>
      <c r="O2222" s="8">
        <v>18.830425793781675</v>
      </c>
      <c r="P2222" s="9">
        <v>18.830425793781675</v>
      </c>
      <c r="Q2222" s="9">
        <v>18.830425793781675</v>
      </c>
      <c r="R2222" s="9">
        <v>20.26742485247707</v>
      </c>
      <c r="S2222" s="9">
        <v>22.358597663519866</v>
      </c>
      <c r="T2222" s="9">
        <v>24.596422700701293</v>
      </c>
      <c r="U2222" s="9">
        <v>30.062806972770321</v>
      </c>
      <c r="V2222" s="9">
        <v>30.062806972770321</v>
      </c>
      <c r="W2222" s="9">
        <v>30.062806972770321</v>
      </c>
      <c r="X2222" s="9">
        <v>36.258834158198169</v>
      </c>
      <c r="Y2222" s="9">
        <v>36.258834158198169</v>
      </c>
      <c r="Z2222" s="9">
        <v>42.662152333319682</v>
      </c>
      <c r="AA2222" s="9">
        <v>42.662152333319682</v>
      </c>
      <c r="AB2222" s="9">
        <v>49.337721288156033</v>
      </c>
      <c r="AC2222" s="9">
        <v>49.337721288156033</v>
      </c>
      <c r="AD2222" s="9">
        <v>56.175614623482943</v>
      </c>
      <c r="AE2222" s="9">
        <v>63.196712014029359</v>
      </c>
      <c r="AF2222" s="9">
        <v>70.424649784246597</v>
      </c>
      <c r="AG2222" s="9">
        <v>70.424649784246597</v>
      </c>
      <c r="AH2222" s="9">
        <v>77.342680781352584</v>
      </c>
      <c r="AI2222" s="9">
        <v>84.743447231394711</v>
      </c>
      <c r="AJ2222" s="9">
        <v>3.0428788910505911</v>
      </c>
    </row>
    <row r="2223" spans="1:36" x14ac:dyDescent="0.25">
      <c r="A2223" t="s">
        <v>5411</v>
      </c>
      <c r="B2223" t="s">
        <v>16</v>
      </c>
      <c r="C2223" t="s">
        <v>17</v>
      </c>
      <c r="D2223">
        <v>46875000</v>
      </c>
      <c r="E2223">
        <v>46879999</v>
      </c>
      <c r="F2223" t="s">
        <v>1993</v>
      </c>
      <c r="G2223" t="str">
        <f t="shared" si="68"/>
        <v>BAI II</v>
      </c>
      <c r="H2223" t="s">
        <v>1700</v>
      </c>
      <c r="I2223" t="s">
        <v>20</v>
      </c>
      <c r="J2223" t="s">
        <v>64</v>
      </c>
      <c r="K2223" s="6">
        <v>0.03</v>
      </c>
      <c r="L2223" s="7">
        <f t="shared" si="69"/>
        <v>2E-3</v>
      </c>
      <c r="M2223" s="7">
        <v>3.0000000000000001E-3</v>
      </c>
      <c r="N2223">
        <v>14</v>
      </c>
      <c r="O2223" s="8">
        <v>22.933916850949441</v>
      </c>
      <c r="P2223" s="9">
        <v>22.933916850949441</v>
      </c>
      <c r="Q2223" s="9">
        <v>22.933916850949441</v>
      </c>
      <c r="R2223" s="9">
        <v>25.173745848546066</v>
      </c>
      <c r="S2223" s="9">
        <v>27.641690539343774</v>
      </c>
      <c r="T2223" s="9">
        <v>29.730378573928668</v>
      </c>
      <c r="U2223" s="9">
        <v>36.183590217329723</v>
      </c>
      <c r="V2223" s="9">
        <v>36.183590217329723</v>
      </c>
      <c r="W2223" s="9">
        <v>36.183590217329723</v>
      </c>
      <c r="X2223" s="9">
        <v>43.522810559209468</v>
      </c>
      <c r="Y2223" s="9">
        <v>43.522810559209468</v>
      </c>
      <c r="Z2223" s="9">
        <v>50.960858783530121</v>
      </c>
      <c r="AA2223" s="9">
        <v>50.960858783530121</v>
      </c>
      <c r="AB2223" s="9">
        <v>58.507617678535738</v>
      </c>
      <c r="AC2223" s="9">
        <v>58.507617678535738</v>
      </c>
      <c r="AD2223" s="9">
        <v>68.105109643716474</v>
      </c>
      <c r="AE2223" s="9">
        <v>75.132723269302929</v>
      </c>
      <c r="AF2223" s="9">
        <v>82.290622386277917</v>
      </c>
      <c r="AG2223" s="9">
        <v>82.290622386277917</v>
      </c>
      <c r="AH2223" s="9">
        <v>90.43943145512165</v>
      </c>
      <c r="AI2223" s="9">
        <v>98.380048333692613</v>
      </c>
      <c r="AJ2223" s="9">
        <v>3.0428788910505911</v>
      </c>
    </row>
    <row r="2224" spans="1:36" x14ac:dyDescent="0.25">
      <c r="A2224" t="s">
        <v>5411</v>
      </c>
      <c r="B2224" t="s">
        <v>16</v>
      </c>
      <c r="C2224" t="s">
        <v>17</v>
      </c>
      <c r="D2224">
        <v>46880000</v>
      </c>
      <c r="E2224">
        <v>46899999</v>
      </c>
      <c r="F2224" t="s">
        <v>1994</v>
      </c>
      <c r="G2224" t="str">
        <f t="shared" si="68"/>
        <v>BAI II</v>
      </c>
      <c r="H2224" t="s">
        <v>1700</v>
      </c>
      <c r="I2224" t="s">
        <v>20</v>
      </c>
      <c r="J2224" t="s">
        <v>64</v>
      </c>
      <c r="K2224" s="6">
        <v>0.03</v>
      </c>
      <c r="L2224" s="7">
        <f t="shared" si="69"/>
        <v>2E-3</v>
      </c>
      <c r="M2224" s="7">
        <v>3.0000000000000001E-3</v>
      </c>
      <c r="N2224">
        <v>10</v>
      </c>
      <c r="O2224" s="8">
        <v>22.933916850949441</v>
      </c>
      <c r="P2224" s="9">
        <v>22.933916850949441</v>
      </c>
      <c r="Q2224" s="9">
        <v>22.933916850949441</v>
      </c>
      <c r="R2224" s="9">
        <v>25.173745848546066</v>
      </c>
      <c r="S2224" s="9">
        <v>27.641690539343774</v>
      </c>
      <c r="T2224" s="9">
        <v>29.730378573928668</v>
      </c>
      <c r="U2224" s="9">
        <v>36.183590217329723</v>
      </c>
      <c r="V2224" s="9">
        <v>36.183590217329723</v>
      </c>
      <c r="W2224" s="9">
        <v>36.183590217329723</v>
      </c>
      <c r="X2224" s="9">
        <v>43.522810559209468</v>
      </c>
      <c r="Y2224" s="9">
        <v>43.522810559209468</v>
      </c>
      <c r="Z2224" s="9">
        <v>50.960858783530121</v>
      </c>
      <c r="AA2224" s="9">
        <v>50.960858783530121</v>
      </c>
      <c r="AB2224" s="9">
        <v>58.507617678535738</v>
      </c>
      <c r="AC2224" s="9">
        <v>58.507617678535738</v>
      </c>
      <c r="AD2224" s="9">
        <v>68.105109643716474</v>
      </c>
      <c r="AE2224" s="9">
        <v>75.132723269302929</v>
      </c>
      <c r="AF2224" s="9">
        <v>82.290622386277917</v>
      </c>
      <c r="AG2224" s="9">
        <v>82.290622386277917</v>
      </c>
      <c r="AH2224" s="9">
        <v>90.43943145512165</v>
      </c>
      <c r="AI2224" s="9">
        <v>98.380048333692613</v>
      </c>
      <c r="AJ2224" s="9">
        <v>3.0428788910505911</v>
      </c>
    </row>
    <row r="2225" spans="1:36" x14ac:dyDescent="0.25">
      <c r="A2225" t="s">
        <v>5411</v>
      </c>
      <c r="B2225" t="s">
        <v>16</v>
      </c>
      <c r="C2225" t="s">
        <v>17</v>
      </c>
      <c r="D2225">
        <v>46900000</v>
      </c>
      <c r="E2225">
        <v>46929999</v>
      </c>
      <c r="F2225" t="s">
        <v>1995</v>
      </c>
      <c r="G2225" t="str">
        <f t="shared" si="68"/>
        <v>BAI II</v>
      </c>
      <c r="H2225" t="s">
        <v>1700</v>
      </c>
      <c r="I2225" t="s">
        <v>20</v>
      </c>
      <c r="J2225" t="s">
        <v>64</v>
      </c>
      <c r="K2225" s="6">
        <v>0.03</v>
      </c>
      <c r="L2225" s="7">
        <f t="shared" si="69"/>
        <v>2E-3</v>
      </c>
      <c r="M2225" s="7">
        <v>3.0000000000000001E-3</v>
      </c>
      <c r="N2225">
        <v>9</v>
      </c>
      <c r="O2225" s="8">
        <v>22.933916850949441</v>
      </c>
      <c r="P2225" s="9">
        <v>22.933916850949441</v>
      </c>
      <c r="Q2225" s="9">
        <v>22.933916850949441</v>
      </c>
      <c r="R2225" s="9">
        <v>25.173745848546066</v>
      </c>
      <c r="S2225" s="9">
        <v>27.641690539343774</v>
      </c>
      <c r="T2225" s="9">
        <v>29.730378573928668</v>
      </c>
      <c r="U2225" s="9">
        <v>36.183590217329723</v>
      </c>
      <c r="V2225" s="9">
        <v>36.183590217329723</v>
      </c>
      <c r="W2225" s="9">
        <v>36.183590217329723</v>
      </c>
      <c r="X2225" s="9">
        <v>43.522810559209468</v>
      </c>
      <c r="Y2225" s="9">
        <v>43.522810559209468</v>
      </c>
      <c r="Z2225" s="9">
        <v>50.960858783530121</v>
      </c>
      <c r="AA2225" s="9">
        <v>50.960858783530121</v>
      </c>
      <c r="AB2225" s="9">
        <v>58.507617678535738</v>
      </c>
      <c r="AC2225" s="9">
        <v>58.507617678535738</v>
      </c>
      <c r="AD2225" s="9">
        <v>68.105109643716474</v>
      </c>
      <c r="AE2225" s="9">
        <v>75.132723269302929</v>
      </c>
      <c r="AF2225" s="9">
        <v>82.290622386277917</v>
      </c>
      <c r="AG2225" s="9">
        <v>82.290622386277917</v>
      </c>
      <c r="AH2225" s="9">
        <v>90.43943145512165</v>
      </c>
      <c r="AI2225" s="9">
        <v>98.380048333692613</v>
      </c>
      <c r="AJ2225" s="9">
        <v>3.0428788910505911</v>
      </c>
    </row>
    <row r="2226" spans="1:36" x14ac:dyDescent="0.25">
      <c r="A2226" t="s">
        <v>5411</v>
      </c>
      <c r="B2226" t="s">
        <v>16</v>
      </c>
      <c r="C2226" t="s">
        <v>17</v>
      </c>
      <c r="D2226">
        <v>46930000</v>
      </c>
      <c r="E2226">
        <v>46959999</v>
      </c>
      <c r="F2226" t="s">
        <v>1996</v>
      </c>
      <c r="G2226" t="str">
        <f t="shared" si="68"/>
        <v>BAI II</v>
      </c>
      <c r="H2226" t="s">
        <v>1700</v>
      </c>
      <c r="I2226" t="s">
        <v>20</v>
      </c>
      <c r="J2226" t="s">
        <v>64</v>
      </c>
      <c r="K2226" s="6">
        <v>0.03</v>
      </c>
      <c r="L2226" s="7">
        <f t="shared" si="69"/>
        <v>2E-3</v>
      </c>
      <c r="M2226" s="7">
        <v>3.0000000000000001E-3</v>
      </c>
      <c r="N2226">
        <v>14</v>
      </c>
      <c r="O2226" s="8">
        <v>22.933916850949441</v>
      </c>
      <c r="P2226" s="9">
        <v>22.933916850949441</v>
      </c>
      <c r="Q2226" s="9">
        <v>22.933916850949441</v>
      </c>
      <c r="R2226" s="9">
        <v>25.173745848546066</v>
      </c>
      <c r="S2226" s="9">
        <v>27.641690539343774</v>
      </c>
      <c r="T2226" s="9">
        <v>29.730378573928668</v>
      </c>
      <c r="U2226" s="9">
        <v>36.183590217329723</v>
      </c>
      <c r="V2226" s="9">
        <v>36.183590217329723</v>
      </c>
      <c r="W2226" s="9">
        <v>36.183590217329723</v>
      </c>
      <c r="X2226" s="9">
        <v>43.522810559209468</v>
      </c>
      <c r="Y2226" s="9">
        <v>43.522810559209468</v>
      </c>
      <c r="Z2226" s="9">
        <v>50.960858783530121</v>
      </c>
      <c r="AA2226" s="9">
        <v>50.960858783530121</v>
      </c>
      <c r="AB2226" s="9">
        <v>58.507617678535738</v>
      </c>
      <c r="AC2226" s="9">
        <v>58.507617678535738</v>
      </c>
      <c r="AD2226" s="9">
        <v>68.105109643716474</v>
      </c>
      <c r="AE2226" s="9">
        <v>75.132723269302929</v>
      </c>
      <c r="AF2226" s="9">
        <v>82.290622386277917</v>
      </c>
      <c r="AG2226" s="9">
        <v>82.290622386277917</v>
      </c>
      <c r="AH2226" s="9">
        <v>90.43943145512165</v>
      </c>
      <c r="AI2226" s="9">
        <v>98.380048333692613</v>
      </c>
      <c r="AJ2226" s="9">
        <v>3.0428788910505911</v>
      </c>
    </row>
    <row r="2227" spans="1:36" x14ac:dyDescent="0.25">
      <c r="A2227" t="s">
        <v>5411</v>
      </c>
      <c r="B2227" t="s">
        <v>16</v>
      </c>
      <c r="C2227" t="s">
        <v>17</v>
      </c>
      <c r="D2227">
        <v>46960000</v>
      </c>
      <c r="E2227">
        <v>46969999</v>
      </c>
      <c r="F2227" t="s">
        <v>1997</v>
      </c>
      <c r="G2227" t="str">
        <f t="shared" si="68"/>
        <v>BAI II</v>
      </c>
      <c r="H2227" t="s">
        <v>1700</v>
      </c>
      <c r="I2227" t="s">
        <v>20</v>
      </c>
      <c r="J2227" t="s">
        <v>64</v>
      </c>
      <c r="K2227" s="6">
        <v>0.03</v>
      </c>
      <c r="L2227" s="7">
        <f t="shared" si="69"/>
        <v>2E-3</v>
      </c>
      <c r="M2227" s="7">
        <v>3.0000000000000001E-3</v>
      </c>
      <c r="N2227">
        <v>9</v>
      </c>
      <c r="O2227" s="8">
        <v>22.933916850949441</v>
      </c>
      <c r="P2227" s="9">
        <v>22.933916850949441</v>
      </c>
      <c r="Q2227" s="9">
        <v>22.933916850949441</v>
      </c>
      <c r="R2227" s="9">
        <v>25.173745848546066</v>
      </c>
      <c r="S2227" s="9">
        <v>27.641690539343774</v>
      </c>
      <c r="T2227" s="9">
        <v>29.730378573928668</v>
      </c>
      <c r="U2227" s="9">
        <v>36.183590217329723</v>
      </c>
      <c r="V2227" s="9">
        <v>36.183590217329723</v>
      </c>
      <c r="W2227" s="9">
        <v>36.183590217329723</v>
      </c>
      <c r="X2227" s="9">
        <v>43.522810559209468</v>
      </c>
      <c r="Y2227" s="9">
        <v>43.522810559209468</v>
      </c>
      <c r="Z2227" s="9">
        <v>50.960858783530121</v>
      </c>
      <c r="AA2227" s="9">
        <v>50.960858783530121</v>
      </c>
      <c r="AB2227" s="9">
        <v>58.507617678535738</v>
      </c>
      <c r="AC2227" s="9">
        <v>58.507617678535738</v>
      </c>
      <c r="AD2227" s="9">
        <v>68.105109643716474</v>
      </c>
      <c r="AE2227" s="9">
        <v>75.132723269302929</v>
      </c>
      <c r="AF2227" s="9">
        <v>82.290622386277917</v>
      </c>
      <c r="AG2227" s="9">
        <v>82.290622386277917</v>
      </c>
      <c r="AH2227" s="9">
        <v>90.43943145512165</v>
      </c>
      <c r="AI2227" s="9">
        <v>98.380048333692613</v>
      </c>
      <c r="AJ2227" s="9">
        <v>3.0428788910505911</v>
      </c>
    </row>
    <row r="2228" spans="1:36" x14ac:dyDescent="0.25">
      <c r="A2228" t="s">
        <v>5411</v>
      </c>
      <c r="B2228" t="s">
        <v>16</v>
      </c>
      <c r="C2228" t="s">
        <v>17</v>
      </c>
      <c r="D2228">
        <v>46970000</v>
      </c>
      <c r="E2228">
        <v>46979999</v>
      </c>
      <c r="F2228" t="s">
        <v>1998</v>
      </c>
      <c r="G2228" t="str">
        <f t="shared" si="68"/>
        <v>BAI II</v>
      </c>
      <c r="H2228" t="s">
        <v>1700</v>
      </c>
      <c r="I2228" t="s">
        <v>20</v>
      </c>
      <c r="J2228" t="s">
        <v>64</v>
      </c>
      <c r="K2228" s="6">
        <v>0.03</v>
      </c>
      <c r="L2228" s="7">
        <f t="shared" si="69"/>
        <v>2E-3</v>
      </c>
      <c r="M2228" s="7">
        <v>3.0000000000000001E-3</v>
      </c>
      <c r="N2228">
        <v>9</v>
      </c>
      <c r="O2228" s="8">
        <v>22.933916850949441</v>
      </c>
      <c r="P2228" s="9">
        <v>22.933916850949441</v>
      </c>
      <c r="Q2228" s="9">
        <v>22.933916850949441</v>
      </c>
      <c r="R2228" s="9">
        <v>25.173745848546066</v>
      </c>
      <c r="S2228" s="9">
        <v>27.641690539343774</v>
      </c>
      <c r="T2228" s="9">
        <v>29.730378573928668</v>
      </c>
      <c r="U2228" s="9">
        <v>36.183590217329723</v>
      </c>
      <c r="V2228" s="9">
        <v>36.183590217329723</v>
      </c>
      <c r="W2228" s="9">
        <v>36.183590217329723</v>
      </c>
      <c r="X2228" s="9">
        <v>43.522810559209468</v>
      </c>
      <c r="Y2228" s="9">
        <v>43.522810559209468</v>
      </c>
      <c r="Z2228" s="9">
        <v>50.960858783530121</v>
      </c>
      <c r="AA2228" s="9">
        <v>50.960858783530121</v>
      </c>
      <c r="AB2228" s="9">
        <v>58.507617678535738</v>
      </c>
      <c r="AC2228" s="9">
        <v>58.507617678535738</v>
      </c>
      <c r="AD2228" s="9">
        <v>68.105109643716474</v>
      </c>
      <c r="AE2228" s="9">
        <v>75.132723269302929</v>
      </c>
      <c r="AF2228" s="9">
        <v>82.290622386277917</v>
      </c>
      <c r="AG2228" s="9">
        <v>82.290622386277917</v>
      </c>
      <c r="AH2228" s="9">
        <v>90.43943145512165</v>
      </c>
      <c r="AI2228" s="9">
        <v>98.380048333692613</v>
      </c>
      <c r="AJ2228" s="9">
        <v>3.0428788910505911</v>
      </c>
    </row>
    <row r="2229" spans="1:36" x14ac:dyDescent="0.25">
      <c r="A2229" t="s">
        <v>5411</v>
      </c>
      <c r="B2229" t="s">
        <v>16</v>
      </c>
      <c r="C2229" t="s">
        <v>17</v>
      </c>
      <c r="D2229">
        <v>46980000</v>
      </c>
      <c r="E2229">
        <v>46989999</v>
      </c>
      <c r="F2229" t="s">
        <v>1999</v>
      </c>
      <c r="G2229" t="str">
        <f t="shared" si="68"/>
        <v>BAI II</v>
      </c>
      <c r="H2229" t="s">
        <v>1700</v>
      </c>
      <c r="I2229" t="s">
        <v>20</v>
      </c>
      <c r="J2229" t="s">
        <v>64</v>
      </c>
      <c r="K2229" s="6">
        <v>0.03</v>
      </c>
      <c r="L2229" s="7">
        <f t="shared" si="69"/>
        <v>2E-3</v>
      </c>
      <c r="M2229" s="7">
        <v>3.0000000000000001E-3</v>
      </c>
      <c r="N2229">
        <v>14</v>
      </c>
      <c r="O2229" s="8">
        <v>22.933916850949441</v>
      </c>
      <c r="P2229" s="9">
        <v>22.933916850949441</v>
      </c>
      <c r="Q2229" s="9">
        <v>22.933916850949441</v>
      </c>
      <c r="R2229" s="9">
        <v>25.173745848546066</v>
      </c>
      <c r="S2229" s="9">
        <v>27.641690539343774</v>
      </c>
      <c r="T2229" s="9">
        <v>29.730378573928668</v>
      </c>
      <c r="U2229" s="9">
        <v>36.183590217329723</v>
      </c>
      <c r="V2229" s="9">
        <v>36.183590217329723</v>
      </c>
      <c r="W2229" s="9">
        <v>36.183590217329723</v>
      </c>
      <c r="X2229" s="9">
        <v>43.522810559209468</v>
      </c>
      <c r="Y2229" s="9">
        <v>43.522810559209468</v>
      </c>
      <c r="Z2229" s="9">
        <v>50.960858783530121</v>
      </c>
      <c r="AA2229" s="9">
        <v>50.960858783530121</v>
      </c>
      <c r="AB2229" s="9">
        <v>58.507617678535738</v>
      </c>
      <c r="AC2229" s="9">
        <v>58.507617678535738</v>
      </c>
      <c r="AD2229" s="9">
        <v>68.105109643716474</v>
      </c>
      <c r="AE2229" s="9">
        <v>75.132723269302929</v>
      </c>
      <c r="AF2229" s="9">
        <v>82.290622386277917</v>
      </c>
      <c r="AG2229" s="9">
        <v>82.290622386277917</v>
      </c>
      <c r="AH2229" s="9">
        <v>90.43943145512165</v>
      </c>
      <c r="AI2229" s="9">
        <v>98.380048333692613</v>
      </c>
      <c r="AJ2229" s="9">
        <v>3.0428788910505911</v>
      </c>
    </row>
    <row r="2230" spans="1:36" x14ac:dyDescent="0.25">
      <c r="A2230" t="s">
        <v>5411</v>
      </c>
      <c r="B2230" t="s">
        <v>16</v>
      </c>
      <c r="C2230" t="s">
        <v>17</v>
      </c>
      <c r="D2230">
        <v>46990000</v>
      </c>
      <c r="E2230">
        <v>47099999</v>
      </c>
      <c r="F2230" t="s">
        <v>2000</v>
      </c>
      <c r="G2230" t="str">
        <f t="shared" si="68"/>
        <v>BAI II</v>
      </c>
      <c r="H2230" t="s">
        <v>1700</v>
      </c>
      <c r="I2230" t="s">
        <v>20</v>
      </c>
      <c r="J2230" t="s">
        <v>64</v>
      </c>
      <c r="K2230" s="6">
        <v>0.03</v>
      </c>
      <c r="L2230" s="7">
        <f t="shared" si="69"/>
        <v>2E-3</v>
      </c>
      <c r="M2230" s="7">
        <v>3.0000000000000001E-3</v>
      </c>
      <c r="N2230">
        <v>14</v>
      </c>
      <c r="O2230" s="8">
        <v>22.933916850949441</v>
      </c>
      <c r="P2230" s="9">
        <v>22.933916850949441</v>
      </c>
      <c r="Q2230" s="9">
        <v>22.933916850949441</v>
      </c>
      <c r="R2230" s="9">
        <v>25.173745848546066</v>
      </c>
      <c r="S2230" s="9">
        <v>27.641690539343774</v>
      </c>
      <c r="T2230" s="9">
        <v>29.730378573928668</v>
      </c>
      <c r="U2230" s="9">
        <v>36.183590217329723</v>
      </c>
      <c r="V2230" s="9">
        <v>36.183590217329723</v>
      </c>
      <c r="W2230" s="9">
        <v>36.183590217329723</v>
      </c>
      <c r="X2230" s="9">
        <v>43.522810559209468</v>
      </c>
      <c r="Y2230" s="9">
        <v>43.522810559209468</v>
      </c>
      <c r="Z2230" s="9">
        <v>50.960858783530121</v>
      </c>
      <c r="AA2230" s="9">
        <v>50.960858783530121</v>
      </c>
      <c r="AB2230" s="9">
        <v>58.507617678535738</v>
      </c>
      <c r="AC2230" s="9">
        <v>58.507617678535738</v>
      </c>
      <c r="AD2230" s="9">
        <v>68.105109643716474</v>
      </c>
      <c r="AE2230" s="9">
        <v>75.132723269302929</v>
      </c>
      <c r="AF2230" s="9">
        <v>82.290622386277917</v>
      </c>
      <c r="AG2230" s="9">
        <v>82.290622386277917</v>
      </c>
      <c r="AH2230" s="9">
        <v>90.43943145512165</v>
      </c>
      <c r="AI2230" s="9">
        <v>98.380048333692613</v>
      </c>
      <c r="AJ2230" s="9">
        <v>3.0428788910505911</v>
      </c>
    </row>
    <row r="2231" spans="1:36" x14ac:dyDescent="0.25">
      <c r="A2231" t="s">
        <v>5411</v>
      </c>
      <c r="B2231" t="s">
        <v>16</v>
      </c>
      <c r="C2231" t="s">
        <v>17</v>
      </c>
      <c r="D2231">
        <v>47100000</v>
      </c>
      <c r="E2231">
        <v>47114999</v>
      </c>
      <c r="F2231" t="s">
        <v>2001</v>
      </c>
      <c r="G2231" t="str">
        <f t="shared" si="68"/>
        <v>BAI II</v>
      </c>
      <c r="H2231" t="s">
        <v>1700</v>
      </c>
      <c r="I2231" t="s">
        <v>20</v>
      </c>
      <c r="J2231" t="s">
        <v>64</v>
      </c>
      <c r="K2231" s="6">
        <v>0.03</v>
      </c>
      <c r="L2231" s="7">
        <f t="shared" si="69"/>
        <v>2E-3</v>
      </c>
      <c r="M2231" s="7">
        <v>3.0000000000000001E-3</v>
      </c>
      <c r="N2231">
        <v>14</v>
      </c>
      <c r="O2231" s="8">
        <v>22.933916850949441</v>
      </c>
      <c r="P2231" s="9">
        <v>22.933916850949441</v>
      </c>
      <c r="Q2231" s="9">
        <v>22.933916850949441</v>
      </c>
      <c r="R2231" s="9">
        <v>25.173745848546066</v>
      </c>
      <c r="S2231" s="9">
        <v>27.641690539343774</v>
      </c>
      <c r="T2231" s="9">
        <v>29.730378573928668</v>
      </c>
      <c r="U2231" s="9">
        <v>36.183590217329723</v>
      </c>
      <c r="V2231" s="9">
        <v>36.183590217329723</v>
      </c>
      <c r="W2231" s="9">
        <v>36.183590217329723</v>
      </c>
      <c r="X2231" s="9">
        <v>43.522810559209468</v>
      </c>
      <c r="Y2231" s="9">
        <v>43.522810559209468</v>
      </c>
      <c r="Z2231" s="9">
        <v>50.960858783530121</v>
      </c>
      <c r="AA2231" s="9">
        <v>50.960858783530121</v>
      </c>
      <c r="AB2231" s="9">
        <v>58.507617678535738</v>
      </c>
      <c r="AC2231" s="9">
        <v>58.507617678535738</v>
      </c>
      <c r="AD2231" s="9">
        <v>68.105109643716474</v>
      </c>
      <c r="AE2231" s="9">
        <v>75.132723269302929</v>
      </c>
      <c r="AF2231" s="9">
        <v>82.290622386277917</v>
      </c>
      <c r="AG2231" s="9">
        <v>82.290622386277917</v>
      </c>
      <c r="AH2231" s="9">
        <v>90.43943145512165</v>
      </c>
      <c r="AI2231" s="9">
        <v>98.380048333692613</v>
      </c>
      <c r="AJ2231" s="9">
        <v>3.0428788910505911</v>
      </c>
    </row>
    <row r="2232" spans="1:36" x14ac:dyDescent="0.25">
      <c r="A2232" t="s">
        <v>5411</v>
      </c>
      <c r="B2232" t="s">
        <v>16</v>
      </c>
      <c r="C2232" t="s">
        <v>17</v>
      </c>
      <c r="D2232">
        <v>47115000</v>
      </c>
      <c r="E2232">
        <v>47119999</v>
      </c>
      <c r="F2232" t="s">
        <v>2002</v>
      </c>
      <c r="G2232" t="str">
        <f t="shared" si="68"/>
        <v>BAI II</v>
      </c>
      <c r="H2232" t="s">
        <v>1700</v>
      </c>
      <c r="I2232" t="s">
        <v>20</v>
      </c>
      <c r="J2232" t="s">
        <v>64</v>
      </c>
      <c r="K2232" s="6">
        <v>0.03</v>
      </c>
      <c r="L2232" s="7">
        <f t="shared" si="69"/>
        <v>2E-3</v>
      </c>
      <c r="M2232" s="7">
        <v>3.0000000000000001E-3</v>
      </c>
      <c r="N2232">
        <v>10</v>
      </c>
      <c r="O2232" s="8">
        <v>22.933916850949441</v>
      </c>
      <c r="P2232" s="9">
        <v>22.933916850949441</v>
      </c>
      <c r="Q2232" s="9">
        <v>22.933916850949441</v>
      </c>
      <c r="R2232" s="9">
        <v>25.173745848546066</v>
      </c>
      <c r="S2232" s="9">
        <v>27.641690539343774</v>
      </c>
      <c r="T2232" s="9">
        <v>29.730378573928668</v>
      </c>
      <c r="U2232" s="9">
        <v>36.183590217329723</v>
      </c>
      <c r="V2232" s="9">
        <v>36.183590217329723</v>
      </c>
      <c r="W2232" s="9">
        <v>36.183590217329723</v>
      </c>
      <c r="X2232" s="9">
        <v>43.522810559209468</v>
      </c>
      <c r="Y2232" s="9">
        <v>43.522810559209468</v>
      </c>
      <c r="Z2232" s="9">
        <v>50.960858783530121</v>
      </c>
      <c r="AA2232" s="9">
        <v>50.960858783530121</v>
      </c>
      <c r="AB2232" s="9">
        <v>58.507617678535738</v>
      </c>
      <c r="AC2232" s="9">
        <v>58.507617678535738</v>
      </c>
      <c r="AD2232" s="9">
        <v>68.105109643716474</v>
      </c>
      <c r="AE2232" s="9">
        <v>75.132723269302929</v>
      </c>
      <c r="AF2232" s="9">
        <v>82.290622386277917</v>
      </c>
      <c r="AG2232" s="9">
        <v>82.290622386277917</v>
      </c>
      <c r="AH2232" s="9">
        <v>90.43943145512165</v>
      </c>
      <c r="AI2232" s="9">
        <v>98.380048333692613</v>
      </c>
      <c r="AJ2232" s="9">
        <v>3.0428788910505911</v>
      </c>
    </row>
    <row r="2233" spans="1:36" x14ac:dyDescent="0.25">
      <c r="A2233" t="s">
        <v>5411</v>
      </c>
      <c r="B2233" t="s">
        <v>16</v>
      </c>
      <c r="C2233" t="s">
        <v>17</v>
      </c>
      <c r="D2233">
        <v>47120000</v>
      </c>
      <c r="E2233">
        <v>47149999</v>
      </c>
      <c r="F2233" t="s">
        <v>2003</v>
      </c>
      <c r="G2233" t="str">
        <f t="shared" si="68"/>
        <v>BAI II</v>
      </c>
      <c r="H2233" t="s">
        <v>1700</v>
      </c>
      <c r="I2233" t="s">
        <v>20</v>
      </c>
      <c r="J2233" t="s">
        <v>64</v>
      </c>
      <c r="K2233" s="6">
        <v>0.03</v>
      </c>
      <c r="L2233" s="7">
        <f t="shared" si="69"/>
        <v>2E-3</v>
      </c>
      <c r="M2233" s="7">
        <v>3.0000000000000001E-3</v>
      </c>
      <c r="N2233">
        <v>14</v>
      </c>
      <c r="O2233" s="8">
        <v>22.933916850949441</v>
      </c>
      <c r="P2233" s="9">
        <v>22.933916850949441</v>
      </c>
      <c r="Q2233" s="9">
        <v>22.933916850949441</v>
      </c>
      <c r="R2233" s="9">
        <v>25.173745848546066</v>
      </c>
      <c r="S2233" s="9">
        <v>27.641690539343774</v>
      </c>
      <c r="T2233" s="9">
        <v>29.730378573928668</v>
      </c>
      <c r="U2233" s="9">
        <v>36.183590217329723</v>
      </c>
      <c r="V2233" s="9">
        <v>36.183590217329723</v>
      </c>
      <c r="W2233" s="9">
        <v>36.183590217329723</v>
      </c>
      <c r="X2233" s="9">
        <v>43.522810559209468</v>
      </c>
      <c r="Y2233" s="9">
        <v>43.522810559209468</v>
      </c>
      <c r="Z2233" s="9">
        <v>50.960858783530121</v>
      </c>
      <c r="AA2233" s="9">
        <v>50.960858783530121</v>
      </c>
      <c r="AB2233" s="9">
        <v>58.507617678535738</v>
      </c>
      <c r="AC2233" s="9">
        <v>58.507617678535738</v>
      </c>
      <c r="AD2233" s="9">
        <v>68.105109643716474</v>
      </c>
      <c r="AE2233" s="9">
        <v>75.132723269302929</v>
      </c>
      <c r="AF2233" s="9">
        <v>82.290622386277917</v>
      </c>
      <c r="AG2233" s="9">
        <v>82.290622386277917</v>
      </c>
      <c r="AH2233" s="9">
        <v>90.43943145512165</v>
      </c>
      <c r="AI2233" s="9">
        <v>98.380048333692613</v>
      </c>
      <c r="AJ2233" s="9">
        <v>3.0428788910505911</v>
      </c>
    </row>
    <row r="2234" spans="1:36" x14ac:dyDescent="0.25">
      <c r="A2234" t="s">
        <v>5411</v>
      </c>
      <c r="B2234" t="s">
        <v>16</v>
      </c>
      <c r="C2234" t="s">
        <v>17</v>
      </c>
      <c r="D2234">
        <v>47150000</v>
      </c>
      <c r="E2234">
        <v>47159999</v>
      </c>
      <c r="F2234" t="s">
        <v>2004</v>
      </c>
      <c r="G2234" t="str">
        <f t="shared" si="68"/>
        <v>BAI II</v>
      </c>
      <c r="H2234" t="s">
        <v>1700</v>
      </c>
      <c r="I2234" t="s">
        <v>20</v>
      </c>
      <c r="J2234" t="s">
        <v>64</v>
      </c>
      <c r="K2234" s="6">
        <v>0.03</v>
      </c>
      <c r="L2234" s="7">
        <f t="shared" si="69"/>
        <v>2E-3</v>
      </c>
      <c r="M2234" s="7">
        <v>3.0000000000000001E-3</v>
      </c>
      <c r="N2234">
        <v>10</v>
      </c>
      <c r="O2234" s="8">
        <v>22.933916850949441</v>
      </c>
      <c r="P2234" s="9">
        <v>22.933916850949441</v>
      </c>
      <c r="Q2234" s="9">
        <v>22.933916850949441</v>
      </c>
      <c r="R2234" s="9">
        <v>25.173745848546066</v>
      </c>
      <c r="S2234" s="9">
        <v>27.641690539343774</v>
      </c>
      <c r="T2234" s="9">
        <v>29.730378573928668</v>
      </c>
      <c r="U2234" s="9">
        <v>36.183590217329723</v>
      </c>
      <c r="V2234" s="9">
        <v>36.183590217329723</v>
      </c>
      <c r="W2234" s="9">
        <v>36.183590217329723</v>
      </c>
      <c r="X2234" s="9">
        <v>43.522810559209468</v>
      </c>
      <c r="Y2234" s="9">
        <v>43.522810559209468</v>
      </c>
      <c r="Z2234" s="9">
        <v>50.960858783530121</v>
      </c>
      <c r="AA2234" s="9">
        <v>50.960858783530121</v>
      </c>
      <c r="AB2234" s="9">
        <v>58.507617678535738</v>
      </c>
      <c r="AC2234" s="9">
        <v>58.507617678535738</v>
      </c>
      <c r="AD2234" s="9">
        <v>68.105109643716474</v>
      </c>
      <c r="AE2234" s="9">
        <v>75.132723269302929</v>
      </c>
      <c r="AF2234" s="9">
        <v>82.290622386277917</v>
      </c>
      <c r="AG2234" s="9">
        <v>82.290622386277917</v>
      </c>
      <c r="AH2234" s="9">
        <v>90.43943145512165</v>
      </c>
      <c r="AI2234" s="9">
        <v>98.380048333692613</v>
      </c>
      <c r="AJ2234" s="9">
        <v>3.0428788910505911</v>
      </c>
    </row>
    <row r="2235" spans="1:36" x14ac:dyDescent="0.25">
      <c r="A2235" t="s">
        <v>5411</v>
      </c>
      <c r="B2235" t="s">
        <v>16</v>
      </c>
      <c r="C2235" t="s">
        <v>17</v>
      </c>
      <c r="D2235">
        <v>47160000</v>
      </c>
      <c r="E2235">
        <v>47199999</v>
      </c>
      <c r="F2235" t="s">
        <v>2005</v>
      </c>
      <c r="G2235" t="str">
        <f t="shared" si="68"/>
        <v>BAI II</v>
      </c>
      <c r="H2235" t="s">
        <v>1700</v>
      </c>
      <c r="I2235" t="s">
        <v>20</v>
      </c>
      <c r="J2235" t="s">
        <v>64</v>
      </c>
      <c r="K2235" s="6">
        <v>0.03</v>
      </c>
      <c r="L2235" s="7">
        <f t="shared" si="69"/>
        <v>2E-3</v>
      </c>
      <c r="M2235" s="7">
        <v>3.0000000000000001E-3</v>
      </c>
      <c r="N2235">
        <v>14</v>
      </c>
      <c r="O2235" s="8">
        <v>22.933916850949441</v>
      </c>
      <c r="P2235" s="9">
        <v>22.933916850949441</v>
      </c>
      <c r="Q2235" s="9">
        <v>22.933916850949441</v>
      </c>
      <c r="R2235" s="9">
        <v>25.173745848546066</v>
      </c>
      <c r="S2235" s="9">
        <v>27.641690539343774</v>
      </c>
      <c r="T2235" s="9">
        <v>29.730378573928668</v>
      </c>
      <c r="U2235" s="9">
        <v>36.183590217329723</v>
      </c>
      <c r="V2235" s="9">
        <v>36.183590217329723</v>
      </c>
      <c r="W2235" s="9">
        <v>36.183590217329723</v>
      </c>
      <c r="X2235" s="9">
        <v>43.522810559209468</v>
      </c>
      <c r="Y2235" s="9">
        <v>43.522810559209468</v>
      </c>
      <c r="Z2235" s="9">
        <v>50.960858783530121</v>
      </c>
      <c r="AA2235" s="9">
        <v>50.960858783530121</v>
      </c>
      <c r="AB2235" s="9">
        <v>58.507617678535738</v>
      </c>
      <c r="AC2235" s="9">
        <v>58.507617678535738</v>
      </c>
      <c r="AD2235" s="9">
        <v>68.105109643716474</v>
      </c>
      <c r="AE2235" s="9">
        <v>75.132723269302929</v>
      </c>
      <c r="AF2235" s="9">
        <v>82.290622386277917</v>
      </c>
      <c r="AG2235" s="9">
        <v>82.290622386277917</v>
      </c>
      <c r="AH2235" s="9">
        <v>90.43943145512165</v>
      </c>
      <c r="AI2235" s="9">
        <v>98.380048333692613</v>
      </c>
      <c r="AJ2235" s="9">
        <v>3.0428788910505911</v>
      </c>
    </row>
    <row r="2236" spans="1:36" x14ac:dyDescent="0.25">
      <c r="A2236" t="s">
        <v>5411</v>
      </c>
      <c r="B2236" t="s">
        <v>16</v>
      </c>
      <c r="C2236" t="s">
        <v>17</v>
      </c>
      <c r="D2236">
        <v>47200000</v>
      </c>
      <c r="E2236">
        <v>47219999</v>
      </c>
      <c r="F2236" t="s">
        <v>2006</v>
      </c>
      <c r="G2236" t="str">
        <f t="shared" si="68"/>
        <v>BAI II</v>
      </c>
      <c r="H2236" t="s">
        <v>1700</v>
      </c>
      <c r="I2236" t="s">
        <v>20</v>
      </c>
      <c r="J2236" t="s">
        <v>64</v>
      </c>
      <c r="K2236" s="6">
        <v>0.03</v>
      </c>
      <c r="L2236" s="7">
        <f t="shared" si="69"/>
        <v>2E-3</v>
      </c>
      <c r="M2236" s="7">
        <v>3.0000000000000001E-3</v>
      </c>
      <c r="N2236">
        <v>11</v>
      </c>
      <c r="O2236" s="8">
        <v>22.933916850949441</v>
      </c>
      <c r="P2236" s="9">
        <v>22.933916850949441</v>
      </c>
      <c r="Q2236" s="9">
        <v>22.933916850949441</v>
      </c>
      <c r="R2236" s="9">
        <v>25.173745848546066</v>
      </c>
      <c r="S2236" s="9">
        <v>27.641690539343774</v>
      </c>
      <c r="T2236" s="9">
        <v>29.730378573928668</v>
      </c>
      <c r="U2236" s="9">
        <v>36.183590217329723</v>
      </c>
      <c r="V2236" s="9">
        <v>36.183590217329723</v>
      </c>
      <c r="W2236" s="9">
        <v>36.183590217329723</v>
      </c>
      <c r="X2236" s="9">
        <v>43.522810559209468</v>
      </c>
      <c r="Y2236" s="9">
        <v>43.522810559209468</v>
      </c>
      <c r="Z2236" s="9">
        <v>50.960858783530121</v>
      </c>
      <c r="AA2236" s="9">
        <v>50.960858783530121</v>
      </c>
      <c r="AB2236" s="9">
        <v>58.507617678535738</v>
      </c>
      <c r="AC2236" s="9">
        <v>58.507617678535738</v>
      </c>
      <c r="AD2236" s="9">
        <v>68.105109643716474</v>
      </c>
      <c r="AE2236" s="9">
        <v>75.132723269302929</v>
      </c>
      <c r="AF2236" s="9">
        <v>82.290622386277917</v>
      </c>
      <c r="AG2236" s="9">
        <v>82.290622386277917</v>
      </c>
      <c r="AH2236" s="9">
        <v>90.43943145512165</v>
      </c>
      <c r="AI2236" s="9">
        <v>98.380048333692613</v>
      </c>
      <c r="AJ2236" s="9">
        <v>3.0428788910505911</v>
      </c>
    </row>
    <row r="2237" spans="1:36" x14ac:dyDescent="0.25">
      <c r="A2237" t="s">
        <v>5411</v>
      </c>
      <c r="B2237" t="s">
        <v>16</v>
      </c>
      <c r="C2237" t="s">
        <v>17</v>
      </c>
      <c r="D2237">
        <v>47220000</v>
      </c>
      <c r="E2237">
        <v>47239999</v>
      </c>
      <c r="F2237" t="s">
        <v>2007</v>
      </c>
      <c r="G2237" t="str">
        <f t="shared" si="68"/>
        <v>BAI II</v>
      </c>
      <c r="H2237" t="s">
        <v>1700</v>
      </c>
      <c r="I2237" t="s">
        <v>20</v>
      </c>
      <c r="J2237" t="s">
        <v>64</v>
      </c>
      <c r="K2237" s="6">
        <v>0.03</v>
      </c>
      <c r="L2237" s="7">
        <f t="shared" si="69"/>
        <v>2E-3</v>
      </c>
      <c r="M2237" s="7">
        <v>3.0000000000000001E-3</v>
      </c>
      <c r="N2237">
        <v>12</v>
      </c>
      <c r="O2237" s="8">
        <v>22.933916850949441</v>
      </c>
      <c r="P2237" s="9">
        <v>22.933916850949441</v>
      </c>
      <c r="Q2237" s="9">
        <v>22.933916850949441</v>
      </c>
      <c r="R2237" s="9">
        <v>25.173745848546066</v>
      </c>
      <c r="S2237" s="9">
        <v>27.641690539343774</v>
      </c>
      <c r="T2237" s="9">
        <v>29.730378573928668</v>
      </c>
      <c r="U2237" s="9">
        <v>36.183590217329723</v>
      </c>
      <c r="V2237" s="9">
        <v>36.183590217329723</v>
      </c>
      <c r="W2237" s="9">
        <v>36.183590217329723</v>
      </c>
      <c r="X2237" s="9">
        <v>43.522810559209468</v>
      </c>
      <c r="Y2237" s="9">
        <v>43.522810559209468</v>
      </c>
      <c r="Z2237" s="9">
        <v>50.960858783530121</v>
      </c>
      <c r="AA2237" s="9">
        <v>50.960858783530121</v>
      </c>
      <c r="AB2237" s="9">
        <v>58.507617678535738</v>
      </c>
      <c r="AC2237" s="9">
        <v>58.507617678535738</v>
      </c>
      <c r="AD2237" s="9">
        <v>68.105109643716474</v>
      </c>
      <c r="AE2237" s="9">
        <v>75.132723269302929</v>
      </c>
      <c r="AF2237" s="9">
        <v>82.290622386277917</v>
      </c>
      <c r="AG2237" s="9">
        <v>82.290622386277917</v>
      </c>
      <c r="AH2237" s="9">
        <v>90.43943145512165</v>
      </c>
      <c r="AI2237" s="9">
        <v>98.380048333692613</v>
      </c>
      <c r="AJ2237" s="9">
        <v>3.0428788910505911</v>
      </c>
    </row>
    <row r="2238" spans="1:36" x14ac:dyDescent="0.25">
      <c r="A2238" t="s">
        <v>5411</v>
      </c>
      <c r="B2238" t="s">
        <v>16</v>
      </c>
      <c r="C2238" t="s">
        <v>17</v>
      </c>
      <c r="D2238">
        <v>47240000</v>
      </c>
      <c r="E2238">
        <v>47299999</v>
      </c>
      <c r="F2238" t="s">
        <v>2008</v>
      </c>
      <c r="G2238" t="str">
        <f t="shared" si="68"/>
        <v>BAI II</v>
      </c>
      <c r="H2238" t="s">
        <v>1700</v>
      </c>
      <c r="I2238" t="s">
        <v>20</v>
      </c>
      <c r="J2238" t="s">
        <v>64</v>
      </c>
      <c r="K2238" s="6">
        <v>0.03</v>
      </c>
      <c r="L2238" s="7">
        <f t="shared" si="69"/>
        <v>2E-3</v>
      </c>
      <c r="M2238" s="7">
        <v>3.0000000000000001E-3</v>
      </c>
      <c r="N2238">
        <v>12</v>
      </c>
      <c r="O2238" s="8">
        <v>22.933916850949441</v>
      </c>
      <c r="P2238" s="9">
        <v>22.933916850949441</v>
      </c>
      <c r="Q2238" s="9">
        <v>22.933916850949441</v>
      </c>
      <c r="R2238" s="9">
        <v>25.173745848546066</v>
      </c>
      <c r="S2238" s="9">
        <v>27.641690539343774</v>
      </c>
      <c r="T2238" s="9">
        <v>29.730378573928668</v>
      </c>
      <c r="U2238" s="9">
        <v>36.183590217329723</v>
      </c>
      <c r="V2238" s="9">
        <v>36.183590217329723</v>
      </c>
      <c r="W2238" s="9">
        <v>36.183590217329723</v>
      </c>
      <c r="X2238" s="9">
        <v>43.522810559209468</v>
      </c>
      <c r="Y2238" s="9">
        <v>43.522810559209468</v>
      </c>
      <c r="Z2238" s="9">
        <v>50.960858783530121</v>
      </c>
      <c r="AA2238" s="9">
        <v>50.960858783530121</v>
      </c>
      <c r="AB2238" s="9">
        <v>58.507617678535738</v>
      </c>
      <c r="AC2238" s="9">
        <v>58.507617678535738</v>
      </c>
      <c r="AD2238" s="9">
        <v>68.105109643716474</v>
      </c>
      <c r="AE2238" s="9">
        <v>75.132723269302929</v>
      </c>
      <c r="AF2238" s="9">
        <v>82.290622386277917</v>
      </c>
      <c r="AG2238" s="9">
        <v>82.290622386277917</v>
      </c>
      <c r="AH2238" s="9">
        <v>90.43943145512165</v>
      </c>
      <c r="AI2238" s="9">
        <v>98.380048333692613</v>
      </c>
      <c r="AJ2238" s="9">
        <v>3.0428788910505911</v>
      </c>
    </row>
    <row r="2239" spans="1:36" x14ac:dyDescent="0.25">
      <c r="A2239" t="s">
        <v>5411</v>
      </c>
      <c r="B2239" t="s">
        <v>16</v>
      </c>
      <c r="C2239" t="s">
        <v>17</v>
      </c>
      <c r="D2239">
        <v>47300000</v>
      </c>
      <c r="E2239">
        <v>47349999</v>
      </c>
      <c r="F2239" t="s">
        <v>2009</v>
      </c>
      <c r="G2239" t="str">
        <f t="shared" si="68"/>
        <v>BAI II</v>
      </c>
      <c r="H2239" t="s">
        <v>1700</v>
      </c>
      <c r="I2239" t="s">
        <v>20</v>
      </c>
      <c r="J2239" t="s">
        <v>64</v>
      </c>
      <c r="K2239" s="6">
        <v>0.03</v>
      </c>
      <c r="L2239" s="7">
        <f t="shared" si="69"/>
        <v>2E-3</v>
      </c>
      <c r="M2239" s="7">
        <v>3.0000000000000001E-3</v>
      </c>
      <c r="N2239">
        <v>10</v>
      </c>
      <c r="O2239" s="8">
        <v>22.933916850949441</v>
      </c>
      <c r="P2239" s="9">
        <v>22.933916850949441</v>
      </c>
      <c r="Q2239" s="9">
        <v>22.933916850949441</v>
      </c>
      <c r="R2239" s="9">
        <v>25.173745848546066</v>
      </c>
      <c r="S2239" s="9">
        <v>27.641690539343774</v>
      </c>
      <c r="T2239" s="9">
        <v>29.730378573928668</v>
      </c>
      <c r="U2239" s="9">
        <v>36.183590217329723</v>
      </c>
      <c r="V2239" s="9">
        <v>36.183590217329723</v>
      </c>
      <c r="W2239" s="9">
        <v>36.183590217329723</v>
      </c>
      <c r="X2239" s="9">
        <v>43.522810559209468</v>
      </c>
      <c r="Y2239" s="9">
        <v>43.522810559209468</v>
      </c>
      <c r="Z2239" s="9">
        <v>50.960858783530121</v>
      </c>
      <c r="AA2239" s="9">
        <v>50.960858783530121</v>
      </c>
      <c r="AB2239" s="9">
        <v>58.507617678535738</v>
      </c>
      <c r="AC2239" s="9">
        <v>58.507617678535738</v>
      </c>
      <c r="AD2239" s="9">
        <v>68.105109643716474</v>
      </c>
      <c r="AE2239" s="9">
        <v>75.132723269302929</v>
      </c>
      <c r="AF2239" s="9">
        <v>82.290622386277917</v>
      </c>
      <c r="AG2239" s="9">
        <v>82.290622386277917</v>
      </c>
      <c r="AH2239" s="9">
        <v>90.43943145512165</v>
      </c>
      <c r="AI2239" s="9">
        <v>98.380048333692613</v>
      </c>
      <c r="AJ2239" s="9">
        <v>3.0428788910505911</v>
      </c>
    </row>
    <row r="2240" spans="1:36" x14ac:dyDescent="0.25">
      <c r="A2240" t="s">
        <v>5411</v>
      </c>
      <c r="B2240" t="s">
        <v>16</v>
      </c>
      <c r="C2240" t="s">
        <v>17</v>
      </c>
      <c r="D2240">
        <v>47350000</v>
      </c>
      <c r="E2240">
        <v>47399999</v>
      </c>
      <c r="F2240" t="s">
        <v>2010</v>
      </c>
      <c r="G2240" t="str">
        <f t="shared" si="68"/>
        <v>BAI II</v>
      </c>
      <c r="H2240" t="s">
        <v>1700</v>
      </c>
      <c r="I2240" t="s">
        <v>20</v>
      </c>
      <c r="J2240" t="s">
        <v>64</v>
      </c>
      <c r="K2240" s="6">
        <v>0.03</v>
      </c>
      <c r="L2240" s="7">
        <f t="shared" si="69"/>
        <v>2E-3</v>
      </c>
      <c r="M2240" s="7">
        <v>3.0000000000000001E-3</v>
      </c>
      <c r="N2240">
        <v>12</v>
      </c>
      <c r="O2240" s="8">
        <v>22.933916850949441</v>
      </c>
      <c r="P2240" s="9">
        <v>22.933916850949441</v>
      </c>
      <c r="Q2240" s="9">
        <v>22.933916850949441</v>
      </c>
      <c r="R2240" s="9">
        <v>25.173745848546066</v>
      </c>
      <c r="S2240" s="9">
        <v>27.641690539343774</v>
      </c>
      <c r="T2240" s="9">
        <v>29.730378573928668</v>
      </c>
      <c r="U2240" s="9">
        <v>36.183590217329723</v>
      </c>
      <c r="V2240" s="9">
        <v>36.183590217329723</v>
      </c>
      <c r="W2240" s="9">
        <v>36.183590217329723</v>
      </c>
      <c r="X2240" s="9">
        <v>43.522810559209468</v>
      </c>
      <c r="Y2240" s="9">
        <v>43.522810559209468</v>
      </c>
      <c r="Z2240" s="9">
        <v>50.960858783530121</v>
      </c>
      <c r="AA2240" s="9">
        <v>50.960858783530121</v>
      </c>
      <c r="AB2240" s="9">
        <v>58.507617678535738</v>
      </c>
      <c r="AC2240" s="9">
        <v>58.507617678535738</v>
      </c>
      <c r="AD2240" s="9">
        <v>68.105109643716474</v>
      </c>
      <c r="AE2240" s="9">
        <v>75.132723269302929</v>
      </c>
      <c r="AF2240" s="9">
        <v>82.290622386277917</v>
      </c>
      <c r="AG2240" s="9">
        <v>82.290622386277917</v>
      </c>
      <c r="AH2240" s="9">
        <v>90.43943145512165</v>
      </c>
      <c r="AI2240" s="9">
        <v>98.380048333692613</v>
      </c>
      <c r="AJ2240" s="9">
        <v>3.0428788910505911</v>
      </c>
    </row>
    <row r="2241" spans="1:36" x14ac:dyDescent="0.25">
      <c r="A2241" t="s">
        <v>5411</v>
      </c>
      <c r="B2241" t="s">
        <v>16</v>
      </c>
      <c r="C2241" t="s">
        <v>17</v>
      </c>
      <c r="D2241">
        <v>47400000</v>
      </c>
      <c r="E2241">
        <v>47439999</v>
      </c>
      <c r="F2241" t="s">
        <v>2011</v>
      </c>
      <c r="G2241" t="str">
        <f t="shared" si="68"/>
        <v>BAI II</v>
      </c>
      <c r="H2241" t="s">
        <v>1700</v>
      </c>
      <c r="I2241" t="s">
        <v>20</v>
      </c>
      <c r="J2241" t="s">
        <v>64</v>
      </c>
      <c r="K2241" s="6">
        <v>0.03</v>
      </c>
      <c r="L2241" s="7">
        <f t="shared" si="69"/>
        <v>2E-3</v>
      </c>
      <c r="M2241" s="7">
        <v>3.0000000000000001E-3</v>
      </c>
      <c r="N2241">
        <v>13</v>
      </c>
      <c r="O2241" s="8">
        <v>22.933916850949441</v>
      </c>
      <c r="P2241" s="9">
        <v>22.933916850949441</v>
      </c>
      <c r="Q2241" s="9">
        <v>22.933916850949441</v>
      </c>
      <c r="R2241" s="9">
        <v>25.173745848546066</v>
      </c>
      <c r="S2241" s="9">
        <v>27.641690539343774</v>
      </c>
      <c r="T2241" s="9">
        <v>29.730378573928668</v>
      </c>
      <c r="U2241" s="9">
        <v>36.183590217329723</v>
      </c>
      <c r="V2241" s="9">
        <v>36.183590217329723</v>
      </c>
      <c r="W2241" s="9">
        <v>36.183590217329723</v>
      </c>
      <c r="X2241" s="9">
        <v>43.522810559209468</v>
      </c>
      <c r="Y2241" s="9">
        <v>43.522810559209468</v>
      </c>
      <c r="Z2241" s="9">
        <v>50.960858783530121</v>
      </c>
      <c r="AA2241" s="9">
        <v>50.960858783530121</v>
      </c>
      <c r="AB2241" s="9">
        <v>58.507617678535738</v>
      </c>
      <c r="AC2241" s="9">
        <v>58.507617678535738</v>
      </c>
      <c r="AD2241" s="9">
        <v>68.105109643716474</v>
      </c>
      <c r="AE2241" s="9">
        <v>75.132723269302929</v>
      </c>
      <c r="AF2241" s="9">
        <v>82.290622386277917</v>
      </c>
      <c r="AG2241" s="9">
        <v>82.290622386277917</v>
      </c>
      <c r="AH2241" s="9">
        <v>90.43943145512165</v>
      </c>
      <c r="AI2241" s="9">
        <v>98.380048333692613</v>
      </c>
      <c r="AJ2241" s="9">
        <v>3.0428788910505911</v>
      </c>
    </row>
    <row r="2242" spans="1:36" x14ac:dyDescent="0.25">
      <c r="A2242" t="s">
        <v>5411</v>
      </c>
      <c r="B2242" t="s">
        <v>16</v>
      </c>
      <c r="C2242" t="s">
        <v>17</v>
      </c>
      <c r="D2242">
        <v>47440000</v>
      </c>
      <c r="E2242">
        <v>47449999</v>
      </c>
      <c r="F2242" t="s">
        <v>2012</v>
      </c>
      <c r="G2242" t="str">
        <f t="shared" si="68"/>
        <v>BAI II</v>
      </c>
      <c r="H2242" t="s">
        <v>1700</v>
      </c>
      <c r="I2242" t="s">
        <v>20</v>
      </c>
      <c r="J2242" t="s">
        <v>64</v>
      </c>
      <c r="K2242" s="6">
        <v>0.03</v>
      </c>
      <c r="L2242" s="7">
        <f t="shared" si="69"/>
        <v>2E-3</v>
      </c>
      <c r="M2242" s="7">
        <v>3.0000000000000001E-3</v>
      </c>
      <c r="N2242">
        <v>14</v>
      </c>
      <c r="O2242" s="8">
        <v>22.933916850949441</v>
      </c>
      <c r="P2242" s="9">
        <v>22.933916850949441</v>
      </c>
      <c r="Q2242" s="9">
        <v>22.933916850949441</v>
      </c>
      <c r="R2242" s="9">
        <v>25.173745848546066</v>
      </c>
      <c r="S2242" s="9">
        <v>27.641690539343774</v>
      </c>
      <c r="T2242" s="9">
        <v>29.730378573928668</v>
      </c>
      <c r="U2242" s="9">
        <v>36.183590217329723</v>
      </c>
      <c r="V2242" s="9">
        <v>36.183590217329723</v>
      </c>
      <c r="W2242" s="9">
        <v>36.183590217329723</v>
      </c>
      <c r="X2242" s="9">
        <v>43.522810559209468</v>
      </c>
      <c r="Y2242" s="9">
        <v>43.522810559209468</v>
      </c>
      <c r="Z2242" s="9">
        <v>50.960858783530121</v>
      </c>
      <c r="AA2242" s="9">
        <v>50.960858783530121</v>
      </c>
      <c r="AB2242" s="9">
        <v>58.507617678535738</v>
      </c>
      <c r="AC2242" s="9">
        <v>58.507617678535738</v>
      </c>
      <c r="AD2242" s="9">
        <v>68.105109643716474</v>
      </c>
      <c r="AE2242" s="9">
        <v>75.132723269302929</v>
      </c>
      <c r="AF2242" s="9">
        <v>82.290622386277917</v>
      </c>
      <c r="AG2242" s="9">
        <v>82.290622386277917</v>
      </c>
      <c r="AH2242" s="9">
        <v>90.43943145512165</v>
      </c>
      <c r="AI2242" s="9">
        <v>98.380048333692613</v>
      </c>
      <c r="AJ2242" s="9">
        <v>3.0428788910505911</v>
      </c>
    </row>
    <row r="2243" spans="1:36" x14ac:dyDescent="0.25">
      <c r="A2243" t="s">
        <v>5411</v>
      </c>
      <c r="B2243" t="s">
        <v>16</v>
      </c>
      <c r="C2243" t="s">
        <v>17</v>
      </c>
      <c r="D2243">
        <v>47450000</v>
      </c>
      <c r="E2243">
        <v>47499999</v>
      </c>
      <c r="F2243" t="s">
        <v>2013</v>
      </c>
      <c r="G2243" t="str">
        <f t="shared" si="68"/>
        <v>BAI II</v>
      </c>
      <c r="H2243" t="s">
        <v>1700</v>
      </c>
      <c r="I2243" t="s">
        <v>20</v>
      </c>
      <c r="J2243" t="s">
        <v>64</v>
      </c>
      <c r="K2243" s="6">
        <v>0.03</v>
      </c>
      <c r="L2243" s="7">
        <f t="shared" si="69"/>
        <v>2E-3</v>
      </c>
      <c r="M2243" s="7">
        <v>3.0000000000000001E-3</v>
      </c>
      <c r="N2243">
        <v>14</v>
      </c>
      <c r="O2243" s="8">
        <v>22.933916850949441</v>
      </c>
      <c r="P2243" s="9">
        <v>22.933916850949441</v>
      </c>
      <c r="Q2243" s="9">
        <v>22.933916850949441</v>
      </c>
      <c r="R2243" s="9">
        <v>25.173745848546066</v>
      </c>
      <c r="S2243" s="9">
        <v>27.641690539343774</v>
      </c>
      <c r="T2243" s="9">
        <v>29.730378573928668</v>
      </c>
      <c r="U2243" s="9">
        <v>36.183590217329723</v>
      </c>
      <c r="V2243" s="9">
        <v>36.183590217329723</v>
      </c>
      <c r="W2243" s="9">
        <v>36.183590217329723</v>
      </c>
      <c r="X2243" s="9">
        <v>43.522810559209468</v>
      </c>
      <c r="Y2243" s="9">
        <v>43.522810559209468</v>
      </c>
      <c r="Z2243" s="9">
        <v>50.960858783530121</v>
      </c>
      <c r="AA2243" s="9">
        <v>50.960858783530121</v>
      </c>
      <c r="AB2243" s="9">
        <v>58.507617678535738</v>
      </c>
      <c r="AC2243" s="9">
        <v>58.507617678535738</v>
      </c>
      <c r="AD2243" s="9">
        <v>68.105109643716474</v>
      </c>
      <c r="AE2243" s="9">
        <v>75.132723269302929</v>
      </c>
      <c r="AF2243" s="9">
        <v>82.290622386277917</v>
      </c>
      <c r="AG2243" s="9">
        <v>82.290622386277917</v>
      </c>
      <c r="AH2243" s="9">
        <v>90.43943145512165</v>
      </c>
      <c r="AI2243" s="9">
        <v>98.380048333692613</v>
      </c>
      <c r="AJ2243" s="9">
        <v>3.0428788910505911</v>
      </c>
    </row>
    <row r="2244" spans="1:36" x14ac:dyDescent="0.25">
      <c r="A2244" t="s">
        <v>5411</v>
      </c>
      <c r="B2244" t="s">
        <v>16</v>
      </c>
      <c r="C2244" t="s">
        <v>17</v>
      </c>
      <c r="D2244">
        <v>47500000</v>
      </c>
      <c r="E2244">
        <v>47519999</v>
      </c>
      <c r="F2244" t="s">
        <v>2014</v>
      </c>
      <c r="G2244" t="str">
        <f t="shared" ref="G2244:G2307" si="70">H2244&amp;IF(J2244="CAPITAL","C",IF(J2244="INTERIOR","I",IF(J2244="INTERIOR II","I II","R")))</f>
        <v>BAI</v>
      </c>
      <c r="H2244" t="s">
        <v>1700</v>
      </c>
      <c r="I2244" t="s">
        <v>20</v>
      </c>
      <c r="J2244" t="s">
        <v>62</v>
      </c>
      <c r="K2244" s="6">
        <v>0.03</v>
      </c>
      <c r="L2244" s="7">
        <f t="shared" ref="L2244:L2307" si="71">IF(I2244="(0) Não",0.2%,3%)</f>
        <v>2E-3</v>
      </c>
      <c r="M2244" s="7">
        <v>3.0000000000000001E-3</v>
      </c>
      <c r="N2244">
        <v>14</v>
      </c>
      <c r="O2244" s="8">
        <v>18.830425793781675</v>
      </c>
      <c r="P2244" s="9">
        <v>18.830425793781675</v>
      </c>
      <c r="Q2244" s="9">
        <v>18.830425793781675</v>
      </c>
      <c r="R2244" s="9">
        <v>20.26742485247707</v>
      </c>
      <c r="S2244" s="9">
        <v>22.358597663519866</v>
      </c>
      <c r="T2244" s="9">
        <v>24.596422700701293</v>
      </c>
      <c r="U2244" s="9">
        <v>30.062806972770321</v>
      </c>
      <c r="V2244" s="9">
        <v>30.062806972770321</v>
      </c>
      <c r="W2244" s="9">
        <v>30.062806972770321</v>
      </c>
      <c r="X2244" s="9">
        <v>36.258834158198169</v>
      </c>
      <c r="Y2244" s="9">
        <v>36.258834158198169</v>
      </c>
      <c r="Z2244" s="9">
        <v>42.662152333319682</v>
      </c>
      <c r="AA2244" s="9">
        <v>42.662152333319682</v>
      </c>
      <c r="AB2244" s="9">
        <v>49.337721288156033</v>
      </c>
      <c r="AC2244" s="9">
        <v>49.337721288156033</v>
      </c>
      <c r="AD2244" s="9">
        <v>56.175614623482943</v>
      </c>
      <c r="AE2244" s="9">
        <v>63.196712014029359</v>
      </c>
      <c r="AF2244" s="9">
        <v>70.424649784246597</v>
      </c>
      <c r="AG2244" s="9">
        <v>70.424649784246597</v>
      </c>
      <c r="AH2244" s="9">
        <v>77.342680781352584</v>
      </c>
      <c r="AI2244" s="9">
        <v>84.743447231394711</v>
      </c>
      <c r="AJ2244" s="9">
        <v>3.0428788910505911</v>
      </c>
    </row>
    <row r="2245" spans="1:36" x14ac:dyDescent="0.25">
      <c r="A2245" t="s">
        <v>5411</v>
      </c>
      <c r="B2245" t="s">
        <v>16</v>
      </c>
      <c r="C2245" t="s">
        <v>17</v>
      </c>
      <c r="D2245">
        <v>47520000</v>
      </c>
      <c r="E2245">
        <v>47529999</v>
      </c>
      <c r="F2245" t="s">
        <v>2015</v>
      </c>
      <c r="G2245" t="str">
        <f t="shared" si="70"/>
        <v>BAI II</v>
      </c>
      <c r="H2245" t="s">
        <v>1700</v>
      </c>
      <c r="I2245" t="s">
        <v>20</v>
      </c>
      <c r="J2245" t="s">
        <v>64</v>
      </c>
      <c r="K2245" s="6">
        <v>0.03</v>
      </c>
      <c r="L2245" s="7">
        <f t="shared" si="71"/>
        <v>2E-3</v>
      </c>
      <c r="M2245" s="7">
        <v>3.0000000000000001E-3</v>
      </c>
      <c r="N2245">
        <v>10</v>
      </c>
      <c r="O2245" s="8">
        <v>22.933916850949441</v>
      </c>
      <c r="P2245" s="9">
        <v>22.933916850949441</v>
      </c>
      <c r="Q2245" s="9">
        <v>22.933916850949441</v>
      </c>
      <c r="R2245" s="9">
        <v>25.173745848546066</v>
      </c>
      <c r="S2245" s="9">
        <v>27.641690539343774</v>
      </c>
      <c r="T2245" s="9">
        <v>29.730378573928668</v>
      </c>
      <c r="U2245" s="9">
        <v>36.183590217329723</v>
      </c>
      <c r="V2245" s="9">
        <v>36.183590217329723</v>
      </c>
      <c r="W2245" s="9">
        <v>36.183590217329723</v>
      </c>
      <c r="X2245" s="9">
        <v>43.522810559209468</v>
      </c>
      <c r="Y2245" s="9">
        <v>43.522810559209468</v>
      </c>
      <c r="Z2245" s="9">
        <v>50.960858783530121</v>
      </c>
      <c r="AA2245" s="9">
        <v>50.960858783530121</v>
      </c>
      <c r="AB2245" s="9">
        <v>58.507617678535738</v>
      </c>
      <c r="AC2245" s="9">
        <v>58.507617678535738</v>
      </c>
      <c r="AD2245" s="9">
        <v>68.105109643716474</v>
      </c>
      <c r="AE2245" s="9">
        <v>75.132723269302929</v>
      </c>
      <c r="AF2245" s="9">
        <v>82.290622386277917</v>
      </c>
      <c r="AG2245" s="9">
        <v>82.290622386277917</v>
      </c>
      <c r="AH2245" s="9">
        <v>90.43943145512165</v>
      </c>
      <c r="AI2245" s="9">
        <v>98.380048333692613</v>
      </c>
      <c r="AJ2245" s="9">
        <v>3.0428788910505911</v>
      </c>
    </row>
    <row r="2246" spans="1:36" x14ac:dyDescent="0.25">
      <c r="A2246" t="s">
        <v>5411</v>
      </c>
      <c r="B2246" t="s">
        <v>16</v>
      </c>
      <c r="C2246" t="s">
        <v>17</v>
      </c>
      <c r="D2246">
        <v>47530000</v>
      </c>
      <c r="E2246">
        <v>47559999</v>
      </c>
      <c r="F2246" t="s">
        <v>2016</v>
      </c>
      <c r="G2246" t="str">
        <f t="shared" si="70"/>
        <v>BAI</v>
      </c>
      <c r="H2246" t="s">
        <v>1700</v>
      </c>
      <c r="I2246" t="s">
        <v>20</v>
      </c>
      <c r="J2246" t="s">
        <v>62</v>
      </c>
      <c r="K2246" s="6">
        <v>0.03</v>
      </c>
      <c r="L2246" s="7">
        <f t="shared" si="71"/>
        <v>2E-3</v>
      </c>
      <c r="M2246" s="7">
        <v>3.0000000000000001E-3</v>
      </c>
      <c r="N2246">
        <v>14</v>
      </c>
      <c r="O2246" s="8">
        <v>18.830425793781675</v>
      </c>
      <c r="P2246" s="9">
        <v>18.830425793781675</v>
      </c>
      <c r="Q2246" s="9">
        <v>18.830425793781675</v>
      </c>
      <c r="R2246" s="9">
        <v>20.26742485247707</v>
      </c>
      <c r="S2246" s="9">
        <v>22.358597663519866</v>
      </c>
      <c r="T2246" s="9">
        <v>24.596422700701293</v>
      </c>
      <c r="U2246" s="9">
        <v>30.062806972770321</v>
      </c>
      <c r="V2246" s="9">
        <v>30.062806972770321</v>
      </c>
      <c r="W2246" s="9">
        <v>30.062806972770321</v>
      </c>
      <c r="X2246" s="9">
        <v>36.258834158198169</v>
      </c>
      <c r="Y2246" s="9">
        <v>36.258834158198169</v>
      </c>
      <c r="Z2246" s="9">
        <v>42.662152333319682</v>
      </c>
      <c r="AA2246" s="9">
        <v>42.662152333319682</v>
      </c>
      <c r="AB2246" s="9">
        <v>49.337721288156033</v>
      </c>
      <c r="AC2246" s="9">
        <v>49.337721288156033</v>
      </c>
      <c r="AD2246" s="9">
        <v>56.175614623482943</v>
      </c>
      <c r="AE2246" s="9">
        <v>63.196712014029359</v>
      </c>
      <c r="AF2246" s="9">
        <v>70.424649784246597</v>
      </c>
      <c r="AG2246" s="9">
        <v>70.424649784246597</v>
      </c>
      <c r="AH2246" s="9">
        <v>77.342680781352584</v>
      </c>
      <c r="AI2246" s="9">
        <v>84.743447231394711</v>
      </c>
      <c r="AJ2246" s="9">
        <v>3.0428788910505911</v>
      </c>
    </row>
    <row r="2247" spans="1:36" x14ac:dyDescent="0.25">
      <c r="A2247" t="s">
        <v>5411</v>
      </c>
      <c r="B2247" t="s">
        <v>16</v>
      </c>
      <c r="C2247" t="s">
        <v>17</v>
      </c>
      <c r="D2247">
        <v>47560000</v>
      </c>
      <c r="E2247">
        <v>47579999</v>
      </c>
      <c r="F2247" t="s">
        <v>2017</v>
      </c>
      <c r="G2247" t="str">
        <f t="shared" si="70"/>
        <v>BAI II</v>
      </c>
      <c r="H2247" t="s">
        <v>1700</v>
      </c>
      <c r="I2247" t="s">
        <v>20</v>
      </c>
      <c r="J2247" t="s">
        <v>64</v>
      </c>
      <c r="K2247" s="6">
        <v>0.03</v>
      </c>
      <c r="L2247" s="7">
        <f t="shared" si="71"/>
        <v>2E-3</v>
      </c>
      <c r="M2247" s="7">
        <v>3.0000000000000001E-3</v>
      </c>
      <c r="N2247">
        <v>14</v>
      </c>
      <c r="O2247" s="8">
        <v>22.933916850949441</v>
      </c>
      <c r="P2247" s="9">
        <v>22.933916850949441</v>
      </c>
      <c r="Q2247" s="9">
        <v>22.933916850949441</v>
      </c>
      <c r="R2247" s="9">
        <v>25.173745848546066</v>
      </c>
      <c r="S2247" s="9">
        <v>27.641690539343774</v>
      </c>
      <c r="T2247" s="9">
        <v>29.730378573928668</v>
      </c>
      <c r="U2247" s="9">
        <v>36.183590217329723</v>
      </c>
      <c r="V2247" s="9">
        <v>36.183590217329723</v>
      </c>
      <c r="W2247" s="9">
        <v>36.183590217329723</v>
      </c>
      <c r="X2247" s="9">
        <v>43.522810559209468</v>
      </c>
      <c r="Y2247" s="9">
        <v>43.522810559209468</v>
      </c>
      <c r="Z2247" s="9">
        <v>50.960858783530121</v>
      </c>
      <c r="AA2247" s="9">
        <v>50.960858783530121</v>
      </c>
      <c r="AB2247" s="9">
        <v>58.507617678535738</v>
      </c>
      <c r="AC2247" s="9">
        <v>58.507617678535738</v>
      </c>
      <c r="AD2247" s="9">
        <v>68.105109643716474</v>
      </c>
      <c r="AE2247" s="9">
        <v>75.132723269302929</v>
      </c>
      <c r="AF2247" s="9">
        <v>82.290622386277917</v>
      </c>
      <c r="AG2247" s="9">
        <v>82.290622386277917</v>
      </c>
      <c r="AH2247" s="9">
        <v>90.43943145512165</v>
      </c>
      <c r="AI2247" s="9">
        <v>98.380048333692613</v>
      </c>
      <c r="AJ2247" s="9">
        <v>3.0428788910505911</v>
      </c>
    </row>
    <row r="2248" spans="1:36" x14ac:dyDescent="0.25">
      <c r="A2248" t="s">
        <v>5411</v>
      </c>
      <c r="B2248" t="s">
        <v>16</v>
      </c>
      <c r="C2248" t="s">
        <v>17</v>
      </c>
      <c r="D2248">
        <v>47580000</v>
      </c>
      <c r="E2248">
        <v>47589999</v>
      </c>
      <c r="F2248" t="s">
        <v>2018</v>
      </c>
      <c r="G2248" t="str">
        <f t="shared" si="70"/>
        <v>BAI</v>
      </c>
      <c r="H2248" t="s">
        <v>1700</v>
      </c>
      <c r="I2248" t="s">
        <v>20</v>
      </c>
      <c r="J2248" t="s">
        <v>62</v>
      </c>
      <c r="K2248" s="6">
        <v>0.03</v>
      </c>
      <c r="L2248" s="7">
        <f t="shared" si="71"/>
        <v>2E-3</v>
      </c>
      <c r="M2248" s="7">
        <v>3.0000000000000001E-3</v>
      </c>
      <c r="N2248">
        <v>14</v>
      </c>
      <c r="O2248" s="8">
        <v>18.830425793781675</v>
      </c>
      <c r="P2248" s="9">
        <v>18.830425793781675</v>
      </c>
      <c r="Q2248" s="9">
        <v>18.830425793781675</v>
      </c>
      <c r="R2248" s="9">
        <v>20.26742485247707</v>
      </c>
      <c r="S2248" s="9">
        <v>22.358597663519866</v>
      </c>
      <c r="T2248" s="9">
        <v>24.596422700701293</v>
      </c>
      <c r="U2248" s="9">
        <v>30.062806972770321</v>
      </c>
      <c r="V2248" s="9">
        <v>30.062806972770321</v>
      </c>
      <c r="W2248" s="9">
        <v>30.062806972770321</v>
      </c>
      <c r="X2248" s="9">
        <v>36.258834158198169</v>
      </c>
      <c r="Y2248" s="9">
        <v>36.258834158198169</v>
      </c>
      <c r="Z2248" s="9">
        <v>42.662152333319682</v>
      </c>
      <c r="AA2248" s="9">
        <v>42.662152333319682</v>
      </c>
      <c r="AB2248" s="9">
        <v>49.337721288156033</v>
      </c>
      <c r="AC2248" s="9">
        <v>49.337721288156033</v>
      </c>
      <c r="AD2248" s="9">
        <v>56.175614623482943</v>
      </c>
      <c r="AE2248" s="9">
        <v>63.196712014029359</v>
      </c>
      <c r="AF2248" s="9">
        <v>70.424649784246597</v>
      </c>
      <c r="AG2248" s="9">
        <v>70.424649784246597</v>
      </c>
      <c r="AH2248" s="9">
        <v>77.342680781352584</v>
      </c>
      <c r="AI2248" s="9">
        <v>84.743447231394711</v>
      </c>
      <c r="AJ2248" s="9">
        <v>3.0428788910505911</v>
      </c>
    </row>
    <row r="2249" spans="1:36" x14ac:dyDescent="0.25">
      <c r="A2249" t="s">
        <v>5411</v>
      </c>
      <c r="B2249" t="s">
        <v>16</v>
      </c>
      <c r="C2249" t="s">
        <v>17</v>
      </c>
      <c r="D2249">
        <v>47590000</v>
      </c>
      <c r="E2249">
        <v>47599999</v>
      </c>
      <c r="F2249" t="s">
        <v>2019</v>
      </c>
      <c r="G2249" t="str">
        <f t="shared" si="70"/>
        <v>BAI II</v>
      </c>
      <c r="H2249" t="s">
        <v>1700</v>
      </c>
      <c r="I2249" t="s">
        <v>20</v>
      </c>
      <c r="J2249" t="s">
        <v>64</v>
      </c>
      <c r="K2249" s="6">
        <v>0.03</v>
      </c>
      <c r="L2249" s="7">
        <f t="shared" si="71"/>
        <v>2E-3</v>
      </c>
      <c r="M2249" s="7">
        <v>3.0000000000000001E-3</v>
      </c>
      <c r="N2249">
        <v>14</v>
      </c>
      <c r="O2249" s="8">
        <v>22.933916850949441</v>
      </c>
      <c r="P2249" s="9">
        <v>22.933916850949441</v>
      </c>
      <c r="Q2249" s="9">
        <v>22.933916850949441</v>
      </c>
      <c r="R2249" s="9">
        <v>25.173745848546066</v>
      </c>
      <c r="S2249" s="9">
        <v>27.641690539343774</v>
      </c>
      <c r="T2249" s="9">
        <v>29.730378573928668</v>
      </c>
      <c r="U2249" s="9">
        <v>36.183590217329723</v>
      </c>
      <c r="V2249" s="9">
        <v>36.183590217329723</v>
      </c>
      <c r="W2249" s="9">
        <v>36.183590217329723</v>
      </c>
      <c r="X2249" s="9">
        <v>43.522810559209468</v>
      </c>
      <c r="Y2249" s="9">
        <v>43.522810559209468</v>
      </c>
      <c r="Z2249" s="9">
        <v>50.960858783530121</v>
      </c>
      <c r="AA2249" s="9">
        <v>50.960858783530121</v>
      </c>
      <c r="AB2249" s="9">
        <v>58.507617678535738</v>
      </c>
      <c r="AC2249" s="9">
        <v>58.507617678535738</v>
      </c>
      <c r="AD2249" s="9">
        <v>68.105109643716474</v>
      </c>
      <c r="AE2249" s="9">
        <v>75.132723269302929</v>
      </c>
      <c r="AF2249" s="9">
        <v>82.290622386277917</v>
      </c>
      <c r="AG2249" s="9">
        <v>82.290622386277917</v>
      </c>
      <c r="AH2249" s="9">
        <v>90.43943145512165</v>
      </c>
      <c r="AI2249" s="9">
        <v>98.380048333692613</v>
      </c>
      <c r="AJ2249" s="9">
        <v>3.0428788910505911</v>
      </c>
    </row>
    <row r="2250" spans="1:36" x14ac:dyDescent="0.25">
      <c r="A2250" t="s">
        <v>5411</v>
      </c>
      <c r="B2250" t="s">
        <v>16</v>
      </c>
      <c r="C2250" t="s">
        <v>17</v>
      </c>
      <c r="D2250">
        <v>47600000</v>
      </c>
      <c r="E2250">
        <v>47609999</v>
      </c>
      <c r="F2250" t="s">
        <v>2020</v>
      </c>
      <c r="G2250" t="str">
        <f t="shared" si="70"/>
        <v>BAI II</v>
      </c>
      <c r="H2250" t="s">
        <v>1700</v>
      </c>
      <c r="I2250" t="s">
        <v>20</v>
      </c>
      <c r="J2250" t="s">
        <v>64</v>
      </c>
      <c r="K2250" s="6">
        <v>0.03</v>
      </c>
      <c r="L2250" s="7">
        <f t="shared" si="71"/>
        <v>2E-3</v>
      </c>
      <c r="M2250" s="7">
        <v>3.0000000000000001E-3</v>
      </c>
      <c r="N2250">
        <v>10</v>
      </c>
      <c r="O2250" s="8">
        <v>22.933916850949441</v>
      </c>
      <c r="P2250" s="9">
        <v>22.933916850949441</v>
      </c>
      <c r="Q2250" s="9">
        <v>22.933916850949441</v>
      </c>
      <c r="R2250" s="9">
        <v>25.173745848546066</v>
      </c>
      <c r="S2250" s="9">
        <v>27.641690539343774</v>
      </c>
      <c r="T2250" s="9">
        <v>29.730378573928668</v>
      </c>
      <c r="U2250" s="9">
        <v>36.183590217329723</v>
      </c>
      <c r="V2250" s="9">
        <v>36.183590217329723</v>
      </c>
      <c r="W2250" s="9">
        <v>36.183590217329723</v>
      </c>
      <c r="X2250" s="9">
        <v>43.522810559209468</v>
      </c>
      <c r="Y2250" s="9">
        <v>43.522810559209468</v>
      </c>
      <c r="Z2250" s="9">
        <v>50.960858783530121</v>
      </c>
      <c r="AA2250" s="9">
        <v>50.960858783530121</v>
      </c>
      <c r="AB2250" s="9">
        <v>58.507617678535738</v>
      </c>
      <c r="AC2250" s="9">
        <v>58.507617678535738</v>
      </c>
      <c r="AD2250" s="9">
        <v>68.105109643716474</v>
      </c>
      <c r="AE2250" s="9">
        <v>75.132723269302929</v>
      </c>
      <c r="AF2250" s="9">
        <v>82.290622386277917</v>
      </c>
      <c r="AG2250" s="9">
        <v>82.290622386277917</v>
      </c>
      <c r="AH2250" s="9">
        <v>90.43943145512165</v>
      </c>
      <c r="AI2250" s="9">
        <v>98.380048333692613</v>
      </c>
      <c r="AJ2250" s="9">
        <v>3.0428788910505911</v>
      </c>
    </row>
    <row r="2251" spans="1:36" x14ac:dyDescent="0.25">
      <c r="A2251" t="s">
        <v>5411</v>
      </c>
      <c r="B2251" t="s">
        <v>16</v>
      </c>
      <c r="C2251" t="s">
        <v>17</v>
      </c>
      <c r="D2251">
        <v>47610000</v>
      </c>
      <c r="E2251">
        <v>47629999</v>
      </c>
      <c r="F2251" t="s">
        <v>2021</v>
      </c>
      <c r="G2251" t="str">
        <f t="shared" si="70"/>
        <v>BAI II</v>
      </c>
      <c r="H2251" t="s">
        <v>1700</v>
      </c>
      <c r="I2251" t="s">
        <v>20</v>
      </c>
      <c r="J2251" t="s">
        <v>64</v>
      </c>
      <c r="K2251" s="6">
        <v>0.03</v>
      </c>
      <c r="L2251" s="7">
        <f t="shared" si="71"/>
        <v>2E-3</v>
      </c>
      <c r="M2251" s="7">
        <v>3.0000000000000001E-3</v>
      </c>
      <c r="N2251">
        <v>10</v>
      </c>
      <c r="O2251" s="8">
        <v>22.933916850949441</v>
      </c>
      <c r="P2251" s="9">
        <v>22.933916850949441</v>
      </c>
      <c r="Q2251" s="9">
        <v>22.933916850949441</v>
      </c>
      <c r="R2251" s="9">
        <v>25.173745848546066</v>
      </c>
      <c r="S2251" s="9">
        <v>27.641690539343774</v>
      </c>
      <c r="T2251" s="9">
        <v>29.730378573928668</v>
      </c>
      <c r="U2251" s="9">
        <v>36.183590217329723</v>
      </c>
      <c r="V2251" s="9">
        <v>36.183590217329723</v>
      </c>
      <c r="W2251" s="9">
        <v>36.183590217329723</v>
      </c>
      <c r="X2251" s="9">
        <v>43.522810559209468</v>
      </c>
      <c r="Y2251" s="9">
        <v>43.522810559209468</v>
      </c>
      <c r="Z2251" s="9">
        <v>50.960858783530121</v>
      </c>
      <c r="AA2251" s="9">
        <v>50.960858783530121</v>
      </c>
      <c r="AB2251" s="9">
        <v>58.507617678535738</v>
      </c>
      <c r="AC2251" s="9">
        <v>58.507617678535738</v>
      </c>
      <c r="AD2251" s="9">
        <v>68.105109643716474</v>
      </c>
      <c r="AE2251" s="9">
        <v>75.132723269302929</v>
      </c>
      <c r="AF2251" s="9">
        <v>82.290622386277917</v>
      </c>
      <c r="AG2251" s="9">
        <v>82.290622386277917</v>
      </c>
      <c r="AH2251" s="9">
        <v>90.43943145512165</v>
      </c>
      <c r="AI2251" s="9">
        <v>98.380048333692613</v>
      </c>
      <c r="AJ2251" s="9">
        <v>3.0428788910505911</v>
      </c>
    </row>
    <row r="2252" spans="1:36" x14ac:dyDescent="0.25">
      <c r="A2252" t="s">
        <v>5411</v>
      </c>
      <c r="B2252" t="s">
        <v>16</v>
      </c>
      <c r="C2252" t="s">
        <v>17</v>
      </c>
      <c r="D2252">
        <v>47630000</v>
      </c>
      <c r="E2252">
        <v>47639999</v>
      </c>
      <c r="F2252" t="s">
        <v>2022</v>
      </c>
      <c r="G2252" t="str">
        <f t="shared" si="70"/>
        <v>BAI II</v>
      </c>
      <c r="H2252" t="s">
        <v>1700</v>
      </c>
      <c r="I2252" t="s">
        <v>20</v>
      </c>
      <c r="J2252" t="s">
        <v>64</v>
      </c>
      <c r="K2252" s="6">
        <v>0.03</v>
      </c>
      <c r="L2252" s="7">
        <f t="shared" si="71"/>
        <v>2E-3</v>
      </c>
      <c r="M2252" s="7">
        <v>3.0000000000000001E-3</v>
      </c>
      <c r="N2252">
        <v>10</v>
      </c>
      <c r="O2252" s="8">
        <v>22.933916850949441</v>
      </c>
      <c r="P2252" s="9">
        <v>22.933916850949441</v>
      </c>
      <c r="Q2252" s="9">
        <v>22.933916850949441</v>
      </c>
      <c r="R2252" s="9">
        <v>25.173745848546066</v>
      </c>
      <c r="S2252" s="9">
        <v>27.641690539343774</v>
      </c>
      <c r="T2252" s="9">
        <v>29.730378573928668</v>
      </c>
      <c r="U2252" s="9">
        <v>36.183590217329723</v>
      </c>
      <c r="V2252" s="9">
        <v>36.183590217329723</v>
      </c>
      <c r="W2252" s="9">
        <v>36.183590217329723</v>
      </c>
      <c r="X2252" s="9">
        <v>43.522810559209468</v>
      </c>
      <c r="Y2252" s="9">
        <v>43.522810559209468</v>
      </c>
      <c r="Z2252" s="9">
        <v>50.960858783530121</v>
      </c>
      <c r="AA2252" s="9">
        <v>50.960858783530121</v>
      </c>
      <c r="AB2252" s="9">
        <v>58.507617678535738</v>
      </c>
      <c r="AC2252" s="9">
        <v>58.507617678535738</v>
      </c>
      <c r="AD2252" s="9">
        <v>68.105109643716474</v>
      </c>
      <c r="AE2252" s="9">
        <v>75.132723269302929</v>
      </c>
      <c r="AF2252" s="9">
        <v>82.290622386277917</v>
      </c>
      <c r="AG2252" s="9">
        <v>82.290622386277917</v>
      </c>
      <c r="AH2252" s="9">
        <v>90.43943145512165</v>
      </c>
      <c r="AI2252" s="9">
        <v>98.380048333692613</v>
      </c>
      <c r="AJ2252" s="9">
        <v>3.0428788910505911</v>
      </c>
    </row>
    <row r="2253" spans="1:36" x14ac:dyDescent="0.25">
      <c r="A2253" t="s">
        <v>5411</v>
      </c>
      <c r="B2253" t="s">
        <v>16</v>
      </c>
      <c r="C2253" t="s">
        <v>17</v>
      </c>
      <c r="D2253">
        <v>47640000</v>
      </c>
      <c r="E2253">
        <v>47649999</v>
      </c>
      <c r="F2253" t="s">
        <v>2023</v>
      </c>
      <c r="G2253" t="str">
        <f t="shared" si="70"/>
        <v>BAI</v>
      </c>
      <c r="H2253" t="s">
        <v>1700</v>
      </c>
      <c r="I2253" t="s">
        <v>20</v>
      </c>
      <c r="J2253" t="s">
        <v>62</v>
      </c>
      <c r="K2253" s="6">
        <v>0.03</v>
      </c>
      <c r="L2253" s="7">
        <f t="shared" si="71"/>
        <v>2E-3</v>
      </c>
      <c r="M2253" s="7">
        <v>3.0000000000000001E-3</v>
      </c>
      <c r="N2253">
        <v>14</v>
      </c>
      <c r="O2253" s="8">
        <v>18.830425793781675</v>
      </c>
      <c r="P2253" s="9">
        <v>18.830425793781675</v>
      </c>
      <c r="Q2253" s="9">
        <v>18.830425793781675</v>
      </c>
      <c r="R2253" s="9">
        <v>20.26742485247707</v>
      </c>
      <c r="S2253" s="9">
        <v>22.358597663519866</v>
      </c>
      <c r="T2253" s="9">
        <v>24.596422700701293</v>
      </c>
      <c r="U2253" s="9">
        <v>30.062806972770321</v>
      </c>
      <c r="V2253" s="9">
        <v>30.062806972770321</v>
      </c>
      <c r="W2253" s="9">
        <v>30.062806972770321</v>
      </c>
      <c r="X2253" s="9">
        <v>36.258834158198169</v>
      </c>
      <c r="Y2253" s="9">
        <v>36.258834158198169</v>
      </c>
      <c r="Z2253" s="9">
        <v>42.662152333319682</v>
      </c>
      <c r="AA2253" s="9">
        <v>42.662152333319682</v>
      </c>
      <c r="AB2253" s="9">
        <v>49.337721288156033</v>
      </c>
      <c r="AC2253" s="9">
        <v>49.337721288156033</v>
      </c>
      <c r="AD2253" s="9">
        <v>56.175614623482943</v>
      </c>
      <c r="AE2253" s="9">
        <v>63.196712014029359</v>
      </c>
      <c r="AF2253" s="9">
        <v>70.424649784246597</v>
      </c>
      <c r="AG2253" s="9">
        <v>70.424649784246597</v>
      </c>
      <c r="AH2253" s="9">
        <v>77.342680781352584</v>
      </c>
      <c r="AI2253" s="9">
        <v>84.743447231394711</v>
      </c>
      <c r="AJ2253" s="9">
        <v>3.0428788910505911</v>
      </c>
    </row>
    <row r="2254" spans="1:36" x14ac:dyDescent="0.25">
      <c r="A2254" t="s">
        <v>5411</v>
      </c>
      <c r="B2254" t="s">
        <v>16</v>
      </c>
      <c r="C2254" t="s">
        <v>17</v>
      </c>
      <c r="D2254">
        <v>47650000</v>
      </c>
      <c r="E2254">
        <v>47654999</v>
      </c>
      <c r="F2254" t="s">
        <v>2024</v>
      </c>
      <c r="G2254" t="str">
        <f t="shared" si="70"/>
        <v>BAI II</v>
      </c>
      <c r="H2254" t="s">
        <v>1700</v>
      </c>
      <c r="I2254" t="s">
        <v>20</v>
      </c>
      <c r="J2254" t="s">
        <v>64</v>
      </c>
      <c r="K2254" s="6">
        <v>0.03</v>
      </c>
      <c r="L2254" s="7">
        <f t="shared" si="71"/>
        <v>2E-3</v>
      </c>
      <c r="M2254" s="7">
        <v>3.0000000000000001E-3</v>
      </c>
      <c r="N2254">
        <v>14</v>
      </c>
      <c r="O2254" s="8">
        <v>22.933916850949441</v>
      </c>
      <c r="P2254" s="9">
        <v>22.933916850949441</v>
      </c>
      <c r="Q2254" s="9">
        <v>22.933916850949441</v>
      </c>
      <c r="R2254" s="9">
        <v>25.173745848546066</v>
      </c>
      <c r="S2254" s="9">
        <v>27.641690539343774</v>
      </c>
      <c r="T2254" s="9">
        <v>29.730378573928668</v>
      </c>
      <c r="U2254" s="9">
        <v>36.183590217329723</v>
      </c>
      <c r="V2254" s="9">
        <v>36.183590217329723</v>
      </c>
      <c r="W2254" s="9">
        <v>36.183590217329723</v>
      </c>
      <c r="X2254" s="9">
        <v>43.522810559209468</v>
      </c>
      <c r="Y2254" s="9">
        <v>43.522810559209468</v>
      </c>
      <c r="Z2254" s="9">
        <v>50.960858783530121</v>
      </c>
      <c r="AA2254" s="9">
        <v>50.960858783530121</v>
      </c>
      <c r="AB2254" s="9">
        <v>58.507617678535738</v>
      </c>
      <c r="AC2254" s="9">
        <v>58.507617678535738</v>
      </c>
      <c r="AD2254" s="9">
        <v>68.105109643716474</v>
      </c>
      <c r="AE2254" s="9">
        <v>75.132723269302929</v>
      </c>
      <c r="AF2254" s="9">
        <v>82.290622386277917</v>
      </c>
      <c r="AG2254" s="9">
        <v>82.290622386277917</v>
      </c>
      <c r="AH2254" s="9">
        <v>90.43943145512165</v>
      </c>
      <c r="AI2254" s="9">
        <v>98.380048333692613</v>
      </c>
      <c r="AJ2254" s="9">
        <v>3.0428788910505911</v>
      </c>
    </row>
    <row r="2255" spans="1:36" x14ac:dyDescent="0.25">
      <c r="A2255" t="s">
        <v>5411</v>
      </c>
      <c r="B2255" t="s">
        <v>16</v>
      </c>
      <c r="C2255" t="s">
        <v>17</v>
      </c>
      <c r="D2255">
        <v>47655000</v>
      </c>
      <c r="E2255">
        <v>47664999</v>
      </c>
      <c r="F2255" t="s">
        <v>270</v>
      </c>
      <c r="G2255" t="str">
        <f t="shared" si="70"/>
        <v>BAI II</v>
      </c>
      <c r="H2255" t="s">
        <v>1700</v>
      </c>
      <c r="I2255" t="s">
        <v>20</v>
      </c>
      <c r="J2255" t="s">
        <v>64</v>
      </c>
      <c r="K2255" s="6">
        <v>0.03</v>
      </c>
      <c r="L2255" s="7">
        <f t="shared" si="71"/>
        <v>2E-3</v>
      </c>
      <c r="M2255" s="7">
        <v>3.0000000000000001E-3</v>
      </c>
      <c r="N2255">
        <v>14</v>
      </c>
      <c r="O2255" s="8">
        <v>22.933916850949441</v>
      </c>
      <c r="P2255" s="9">
        <v>22.933916850949441</v>
      </c>
      <c r="Q2255" s="9">
        <v>22.933916850949441</v>
      </c>
      <c r="R2255" s="9">
        <v>25.173745848546066</v>
      </c>
      <c r="S2255" s="9">
        <v>27.641690539343774</v>
      </c>
      <c r="T2255" s="9">
        <v>29.730378573928668</v>
      </c>
      <c r="U2255" s="9">
        <v>36.183590217329723</v>
      </c>
      <c r="V2255" s="9">
        <v>36.183590217329723</v>
      </c>
      <c r="W2255" s="9">
        <v>36.183590217329723</v>
      </c>
      <c r="X2255" s="9">
        <v>43.522810559209468</v>
      </c>
      <c r="Y2255" s="9">
        <v>43.522810559209468</v>
      </c>
      <c r="Z2255" s="9">
        <v>50.960858783530121</v>
      </c>
      <c r="AA2255" s="9">
        <v>50.960858783530121</v>
      </c>
      <c r="AB2255" s="9">
        <v>58.507617678535738</v>
      </c>
      <c r="AC2255" s="9">
        <v>58.507617678535738</v>
      </c>
      <c r="AD2255" s="9">
        <v>68.105109643716474</v>
      </c>
      <c r="AE2255" s="9">
        <v>75.132723269302929</v>
      </c>
      <c r="AF2255" s="9">
        <v>82.290622386277917</v>
      </c>
      <c r="AG2255" s="9">
        <v>82.290622386277917</v>
      </c>
      <c r="AH2255" s="9">
        <v>90.43943145512165</v>
      </c>
      <c r="AI2255" s="9">
        <v>98.380048333692613</v>
      </c>
      <c r="AJ2255" s="9">
        <v>3.0428788910505911</v>
      </c>
    </row>
    <row r="2256" spans="1:36" x14ac:dyDescent="0.25">
      <c r="A2256" t="s">
        <v>5411</v>
      </c>
      <c r="B2256" t="s">
        <v>16</v>
      </c>
      <c r="C2256" t="s">
        <v>17</v>
      </c>
      <c r="D2256">
        <v>47665000</v>
      </c>
      <c r="E2256">
        <v>47679999</v>
      </c>
      <c r="F2256" t="s">
        <v>2025</v>
      </c>
      <c r="G2256" t="str">
        <f t="shared" si="70"/>
        <v>BAI II</v>
      </c>
      <c r="H2256" t="s">
        <v>1700</v>
      </c>
      <c r="I2256" t="s">
        <v>20</v>
      </c>
      <c r="J2256" t="s">
        <v>64</v>
      </c>
      <c r="K2256" s="6">
        <v>0.03</v>
      </c>
      <c r="L2256" s="7">
        <f t="shared" si="71"/>
        <v>2E-3</v>
      </c>
      <c r="M2256" s="7">
        <v>3.0000000000000001E-3</v>
      </c>
      <c r="N2256">
        <v>14</v>
      </c>
      <c r="O2256" s="8">
        <v>22.933916850949441</v>
      </c>
      <c r="P2256" s="9">
        <v>22.933916850949441</v>
      </c>
      <c r="Q2256" s="9">
        <v>22.933916850949441</v>
      </c>
      <c r="R2256" s="9">
        <v>25.173745848546066</v>
      </c>
      <c r="S2256" s="9">
        <v>27.641690539343774</v>
      </c>
      <c r="T2256" s="9">
        <v>29.730378573928668</v>
      </c>
      <c r="U2256" s="9">
        <v>36.183590217329723</v>
      </c>
      <c r="V2256" s="9">
        <v>36.183590217329723</v>
      </c>
      <c r="W2256" s="9">
        <v>36.183590217329723</v>
      </c>
      <c r="X2256" s="9">
        <v>43.522810559209468</v>
      </c>
      <c r="Y2256" s="9">
        <v>43.522810559209468</v>
      </c>
      <c r="Z2256" s="9">
        <v>50.960858783530121</v>
      </c>
      <c r="AA2256" s="9">
        <v>50.960858783530121</v>
      </c>
      <c r="AB2256" s="9">
        <v>58.507617678535738</v>
      </c>
      <c r="AC2256" s="9">
        <v>58.507617678535738</v>
      </c>
      <c r="AD2256" s="9">
        <v>68.105109643716474</v>
      </c>
      <c r="AE2256" s="9">
        <v>75.132723269302929</v>
      </c>
      <c r="AF2256" s="9">
        <v>82.290622386277917</v>
      </c>
      <c r="AG2256" s="9">
        <v>82.290622386277917</v>
      </c>
      <c r="AH2256" s="9">
        <v>90.43943145512165</v>
      </c>
      <c r="AI2256" s="9">
        <v>98.380048333692613</v>
      </c>
      <c r="AJ2256" s="9">
        <v>3.0428788910505911</v>
      </c>
    </row>
    <row r="2257" spans="1:36" x14ac:dyDescent="0.25">
      <c r="A2257" t="s">
        <v>5411</v>
      </c>
      <c r="B2257" t="s">
        <v>16</v>
      </c>
      <c r="C2257" t="s">
        <v>17</v>
      </c>
      <c r="D2257">
        <v>47680000</v>
      </c>
      <c r="E2257">
        <v>47689999</v>
      </c>
      <c r="F2257" t="s">
        <v>2026</v>
      </c>
      <c r="G2257" t="str">
        <f t="shared" si="70"/>
        <v>BAI II</v>
      </c>
      <c r="H2257" t="s">
        <v>1700</v>
      </c>
      <c r="I2257" t="s">
        <v>20</v>
      </c>
      <c r="J2257" t="s">
        <v>64</v>
      </c>
      <c r="K2257" s="6">
        <v>0.03</v>
      </c>
      <c r="L2257" s="7">
        <f t="shared" si="71"/>
        <v>2E-3</v>
      </c>
      <c r="M2257" s="7">
        <v>3.0000000000000001E-3</v>
      </c>
      <c r="N2257">
        <v>10</v>
      </c>
      <c r="O2257" s="8">
        <v>22.933916850949441</v>
      </c>
      <c r="P2257" s="9">
        <v>22.933916850949441</v>
      </c>
      <c r="Q2257" s="9">
        <v>22.933916850949441</v>
      </c>
      <c r="R2257" s="9">
        <v>25.173745848546066</v>
      </c>
      <c r="S2257" s="9">
        <v>27.641690539343774</v>
      </c>
      <c r="T2257" s="9">
        <v>29.730378573928668</v>
      </c>
      <c r="U2257" s="9">
        <v>36.183590217329723</v>
      </c>
      <c r="V2257" s="9">
        <v>36.183590217329723</v>
      </c>
      <c r="W2257" s="9">
        <v>36.183590217329723</v>
      </c>
      <c r="X2257" s="9">
        <v>43.522810559209468</v>
      </c>
      <c r="Y2257" s="9">
        <v>43.522810559209468</v>
      </c>
      <c r="Z2257" s="9">
        <v>50.960858783530121</v>
      </c>
      <c r="AA2257" s="9">
        <v>50.960858783530121</v>
      </c>
      <c r="AB2257" s="9">
        <v>58.507617678535738</v>
      </c>
      <c r="AC2257" s="9">
        <v>58.507617678535738</v>
      </c>
      <c r="AD2257" s="9">
        <v>68.105109643716474</v>
      </c>
      <c r="AE2257" s="9">
        <v>75.132723269302929</v>
      </c>
      <c r="AF2257" s="9">
        <v>82.290622386277917</v>
      </c>
      <c r="AG2257" s="9">
        <v>82.290622386277917</v>
      </c>
      <c r="AH2257" s="9">
        <v>90.43943145512165</v>
      </c>
      <c r="AI2257" s="9">
        <v>98.380048333692613</v>
      </c>
      <c r="AJ2257" s="9">
        <v>3.0428788910505911</v>
      </c>
    </row>
    <row r="2258" spans="1:36" x14ac:dyDescent="0.25">
      <c r="A2258" t="s">
        <v>5411</v>
      </c>
      <c r="B2258" t="s">
        <v>16</v>
      </c>
      <c r="C2258" t="s">
        <v>17</v>
      </c>
      <c r="D2258">
        <v>47690000</v>
      </c>
      <c r="E2258">
        <v>47699999</v>
      </c>
      <c r="F2258" t="s">
        <v>2027</v>
      </c>
      <c r="G2258" t="str">
        <f t="shared" si="70"/>
        <v>BAI II</v>
      </c>
      <c r="H2258" t="s">
        <v>1700</v>
      </c>
      <c r="I2258" t="s">
        <v>20</v>
      </c>
      <c r="J2258" t="s">
        <v>64</v>
      </c>
      <c r="K2258" s="6">
        <v>0.03</v>
      </c>
      <c r="L2258" s="7">
        <f t="shared" si="71"/>
        <v>2E-3</v>
      </c>
      <c r="M2258" s="7">
        <v>3.0000000000000001E-3</v>
      </c>
      <c r="N2258">
        <v>14</v>
      </c>
      <c r="O2258" s="8">
        <v>22.933916850949441</v>
      </c>
      <c r="P2258" s="9">
        <v>22.933916850949441</v>
      </c>
      <c r="Q2258" s="9">
        <v>22.933916850949441</v>
      </c>
      <c r="R2258" s="9">
        <v>25.173745848546066</v>
      </c>
      <c r="S2258" s="9">
        <v>27.641690539343774</v>
      </c>
      <c r="T2258" s="9">
        <v>29.730378573928668</v>
      </c>
      <c r="U2258" s="9">
        <v>36.183590217329723</v>
      </c>
      <c r="V2258" s="9">
        <v>36.183590217329723</v>
      </c>
      <c r="W2258" s="9">
        <v>36.183590217329723</v>
      </c>
      <c r="X2258" s="9">
        <v>43.522810559209468</v>
      </c>
      <c r="Y2258" s="9">
        <v>43.522810559209468</v>
      </c>
      <c r="Z2258" s="9">
        <v>50.960858783530121</v>
      </c>
      <c r="AA2258" s="9">
        <v>50.960858783530121</v>
      </c>
      <c r="AB2258" s="9">
        <v>58.507617678535738</v>
      </c>
      <c r="AC2258" s="9">
        <v>58.507617678535738</v>
      </c>
      <c r="AD2258" s="9">
        <v>68.105109643716474</v>
      </c>
      <c r="AE2258" s="9">
        <v>75.132723269302929</v>
      </c>
      <c r="AF2258" s="9">
        <v>82.290622386277917</v>
      </c>
      <c r="AG2258" s="9">
        <v>82.290622386277917</v>
      </c>
      <c r="AH2258" s="9">
        <v>90.43943145512165</v>
      </c>
      <c r="AI2258" s="9">
        <v>98.380048333692613</v>
      </c>
      <c r="AJ2258" s="9">
        <v>3.0428788910505911</v>
      </c>
    </row>
    <row r="2259" spans="1:36" x14ac:dyDescent="0.25">
      <c r="A2259" t="s">
        <v>5411</v>
      </c>
      <c r="B2259" t="s">
        <v>16</v>
      </c>
      <c r="C2259" t="s">
        <v>17</v>
      </c>
      <c r="D2259">
        <v>47700000</v>
      </c>
      <c r="E2259">
        <v>47729999</v>
      </c>
      <c r="F2259" t="s">
        <v>2028</v>
      </c>
      <c r="G2259" t="str">
        <f t="shared" si="70"/>
        <v>BAI II</v>
      </c>
      <c r="H2259" t="s">
        <v>1700</v>
      </c>
      <c r="I2259" t="s">
        <v>20</v>
      </c>
      <c r="J2259" t="s">
        <v>64</v>
      </c>
      <c r="K2259" s="6">
        <v>0.03</v>
      </c>
      <c r="L2259" s="7">
        <f t="shared" si="71"/>
        <v>2E-3</v>
      </c>
      <c r="M2259" s="7">
        <v>3.0000000000000001E-3</v>
      </c>
      <c r="N2259">
        <v>14</v>
      </c>
      <c r="O2259" s="8">
        <v>22.933916850949441</v>
      </c>
      <c r="P2259" s="9">
        <v>22.933916850949441</v>
      </c>
      <c r="Q2259" s="9">
        <v>22.933916850949441</v>
      </c>
      <c r="R2259" s="9">
        <v>25.173745848546066</v>
      </c>
      <c r="S2259" s="9">
        <v>27.641690539343774</v>
      </c>
      <c r="T2259" s="9">
        <v>29.730378573928668</v>
      </c>
      <c r="U2259" s="9">
        <v>36.183590217329723</v>
      </c>
      <c r="V2259" s="9">
        <v>36.183590217329723</v>
      </c>
      <c r="W2259" s="9">
        <v>36.183590217329723</v>
      </c>
      <c r="X2259" s="9">
        <v>43.522810559209468</v>
      </c>
      <c r="Y2259" s="9">
        <v>43.522810559209468</v>
      </c>
      <c r="Z2259" s="9">
        <v>50.960858783530121</v>
      </c>
      <c r="AA2259" s="9">
        <v>50.960858783530121</v>
      </c>
      <c r="AB2259" s="9">
        <v>58.507617678535738</v>
      </c>
      <c r="AC2259" s="9">
        <v>58.507617678535738</v>
      </c>
      <c r="AD2259" s="9">
        <v>68.105109643716474</v>
      </c>
      <c r="AE2259" s="9">
        <v>75.132723269302929</v>
      </c>
      <c r="AF2259" s="9">
        <v>82.290622386277917</v>
      </c>
      <c r="AG2259" s="9">
        <v>82.290622386277917</v>
      </c>
      <c r="AH2259" s="9">
        <v>90.43943145512165</v>
      </c>
      <c r="AI2259" s="9">
        <v>98.380048333692613</v>
      </c>
      <c r="AJ2259" s="9">
        <v>3.0428788910505911</v>
      </c>
    </row>
    <row r="2260" spans="1:36" x14ac:dyDescent="0.25">
      <c r="A2260" t="s">
        <v>5411</v>
      </c>
      <c r="B2260" t="s">
        <v>16</v>
      </c>
      <c r="C2260" t="s">
        <v>17</v>
      </c>
      <c r="D2260">
        <v>47730000</v>
      </c>
      <c r="E2260">
        <v>47739999</v>
      </c>
      <c r="F2260" t="s">
        <v>1436</v>
      </c>
      <c r="G2260" t="str">
        <f t="shared" si="70"/>
        <v>BAI II</v>
      </c>
      <c r="H2260" t="s">
        <v>1700</v>
      </c>
      <c r="I2260" t="s">
        <v>20</v>
      </c>
      <c r="J2260" t="s">
        <v>64</v>
      </c>
      <c r="K2260" s="6">
        <v>0.03</v>
      </c>
      <c r="L2260" s="7">
        <f t="shared" si="71"/>
        <v>2E-3</v>
      </c>
      <c r="M2260" s="7">
        <v>3.0000000000000001E-3</v>
      </c>
      <c r="N2260">
        <v>14</v>
      </c>
      <c r="O2260" s="8">
        <v>22.933916850949441</v>
      </c>
      <c r="P2260" s="9">
        <v>22.933916850949441</v>
      </c>
      <c r="Q2260" s="9">
        <v>22.933916850949441</v>
      </c>
      <c r="R2260" s="9">
        <v>25.173745848546066</v>
      </c>
      <c r="S2260" s="9">
        <v>27.641690539343774</v>
      </c>
      <c r="T2260" s="9">
        <v>29.730378573928668</v>
      </c>
      <c r="U2260" s="9">
        <v>36.183590217329723</v>
      </c>
      <c r="V2260" s="9">
        <v>36.183590217329723</v>
      </c>
      <c r="W2260" s="9">
        <v>36.183590217329723</v>
      </c>
      <c r="X2260" s="9">
        <v>43.522810559209468</v>
      </c>
      <c r="Y2260" s="9">
        <v>43.522810559209468</v>
      </c>
      <c r="Z2260" s="9">
        <v>50.960858783530121</v>
      </c>
      <c r="AA2260" s="9">
        <v>50.960858783530121</v>
      </c>
      <c r="AB2260" s="9">
        <v>58.507617678535738</v>
      </c>
      <c r="AC2260" s="9">
        <v>58.507617678535738</v>
      </c>
      <c r="AD2260" s="9">
        <v>68.105109643716474</v>
      </c>
      <c r="AE2260" s="9">
        <v>75.132723269302929</v>
      </c>
      <c r="AF2260" s="9">
        <v>82.290622386277917</v>
      </c>
      <c r="AG2260" s="9">
        <v>82.290622386277917</v>
      </c>
      <c r="AH2260" s="9">
        <v>90.43943145512165</v>
      </c>
      <c r="AI2260" s="9">
        <v>98.380048333692613</v>
      </c>
      <c r="AJ2260" s="9">
        <v>3.0428788910505911</v>
      </c>
    </row>
    <row r="2261" spans="1:36" x14ac:dyDescent="0.25">
      <c r="A2261" t="s">
        <v>5411</v>
      </c>
      <c r="B2261" t="s">
        <v>16</v>
      </c>
      <c r="C2261" t="s">
        <v>17</v>
      </c>
      <c r="D2261">
        <v>47740000</v>
      </c>
      <c r="E2261">
        <v>47749999</v>
      </c>
      <c r="F2261" t="s">
        <v>2029</v>
      </c>
      <c r="G2261" t="str">
        <f t="shared" si="70"/>
        <v>BAI II</v>
      </c>
      <c r="H2261" t="s">
        <v>1700</v>
      </c>
      <c r="I2261" t="s">
        <v>20</v>
      </c>
      <c r="J2261" t="s">
        <v>64</v>
      </c>
      <c r="K2261" s="6">
        <v>0.03</v>
      </c>
      <c r="L2261" s="7">
        <f t="shared" si="71"/>
        <v>2E-3</v>
      </c>
      <c r="M2261" s="7">
        <v>3.0000000000000001E-3</v>
      </c>
      <c r="N2261">
        <v>10</v>
      </c>
      <c r="O2261" s="8">
        <v>22.933916850949441</v>
      </c>
      <c r="P2261" s="9">
        <v>22.933916850949441</v>
      </c>
      <c r="Q2261" s="9">
        <v>22.933916850949441</v>
      </c>
      <c r="R2261" s="9">
        <v>25.173745848546066</v>
      </c>
      <c r="S2261" s="9">
        <v>27.641690539343774</v>
      </c>
      <c r="T2261" s="9">
        <v>29.730378573928668</v>
      </c>
      <c r="U2261" s="9">
        <v>36.183590217329723</v>
      </c>
      <c r="V2261" s="9">
        <v>36.183590217329723</v>
      </c>
      <c r="W2261" s="9">
        <v>36.183590217329723</v>
      </c>
      <c r="X2261" s="9">
        <v>43.522810559209468</v>
      </c>
      <c r="Y2261" s="9">
        <v>43.522810559209468</v>
      </c>
      <c r="Z2261" s="9">
        <v>50.960858783530121</v>
      </c>
      <c r="AA2261" s="9">
        <v>50.960858783530121</v>
      </c>
      <c r="AB2261" s="9">
        <v>58.507617678535738</v>
      </c>
      <c r="AC2261" s="9">
        <v>58.507617678535738</v>
      </c>
      <c r="AD2261" s="9">
        <v>68.105109643716474</v>
      </c>
      <c r="AE2261" s="9">
        <v>75.132723269302929</v>
      </c>
      <c r="AF2261" s="9">
        <v>82.290622386277917</v>
      </c>
      <c r="AG2261" s="9">
        <v>82.290622386277917</v>
      </c>
      <c r="AH2261" s="9">
        <v>90.43943145512165</v>
      </c>
      <c r="AI2261" s="9">
        <v>98.380048333692613</v>
      </c>
      <c r="AJ2261" s="9">
        <v>3.0428788910505911</v>
      </c>
    </row>
    <row r="2262" spans="1:36" x14ac:dyDescent="0.25">
      <c r="A2262" t="s">
        <v>5411</v>
      </c>
      <c r="B2262" t="s">
        <v>16</v>
      </c>
      <c r="C2262" t="s">
        <v>17</v>
      </c>
      <c r="D2262">
        <v>47750000</v>
      </c>
      <c r="E2262">
        <v>47759999</v>
      </c>
      <c r="F2262" t="s">
        <v>2030</v>
      </c>
      <c r="G2262" t="str">
        <f t="shared" si="70"/>
        <v>BAI II</v>
      </c>
      <c r="H2262" t="s">
        <v>1700</v>
      </c>
      <c r="I2262" t="s">
        <v>20</v>
      </c>
      <c r="J2262" t="s">
        <v>64</v>
      </c>
      <c r="K2262" s="6">
        <v>0.03</v>
      </c>
      <c r="L2262" s="7">
        <f t="shared" si="71"/>
        <v>2E-3</v>
      </c>
      <c r="M2262" s="7">
        <v>3.0000000000000001E-3</v>
      </c>
      <c r="N2262">
        <v>10</v>
      </c>
      <c r="O2262" s="8">
        <v>22.933916850949441</v>
      </c>
      <c r="P2262" s="9">
        <v>22.933916850949441</v>
      </c>
      <c r="Q2262" s="9">
        <v>22.933916850949441</v>
      </c>
      <c r="R2262" s="9">
        <v>25.173745848546066</v>
      </c>
      <c r="S2262" s="9">
        <v>27.641690539343774</v>
      </c>
      <c r="T2262" s="9">
        <v>29.730378573928668</v>
      </c>
      <c r="U2262" s="9">
        <v>36.183590217329723</v>
      </c>
      <c r="V2262" s="9">
        <v>36.183590217329723</v>
      </c>
      <c r="W2262" s="9">
        <v>36.183590217329723</v>
      </c>
      <c r="X2262" s="9">
        <v>43.522810559209468</v>
      </c>
      <c r="Y2262" s="9">
        <v>43.522810559209468</v>
      </c>
      <c r="Z2262" s="9">
        <v>50.960858783530121</v>
      </c>
      <c r="AA2262" s="9">
        <v>50.960858783530121</v>
      </c>
      <c r="AB2262" s="9">
        <v>58.507617678535738</v>
      </c>
      <c r="AC2262" s="9">
        <v>58.507617678535738</v>
      </c>
      <c r="AD2262" s="9">
        <v>68.105109643716474</v>
      </c>
      <c r="AE2262" s="9">
        <v>75.132723269302929</v>
      </c>
      <c r="AF2262" s="9">
        <v>82.290622386277917</v>
      </c>
      <c r="AG2262" s="9">
        <v>82.290622386277917</v>
      </c>
      <c r="AH2262" s="9">
        <v>90.43943145512165</v>
      </c>
      <c r="AI2262" s="9">
        <v>98.380048333692613</v>
      </c>
      <c r="AJ2262" s="9">
        <v>3.0428788910505911</v>
      </c>
    </row>
    <row r="2263" spans="1:36" x14ac:dyDescent="0.25">
      <c r="A2263" t="s">
        <v>5411</v>
      </c>
      <c r="B2263" t="s">
        <v>16</v>
      </c>
      <c r="C2263" t="s">
        <v>17</v>
      </c>
      <c r="D2263">
        <v>47760000</v>
      </c>
      <c r="E2263">
        <v>47799999</v>
      </c>
      <c r="F2263" t="s">
        <v>2031</v>
      </c>
      <c r="G2263" t="str">
        <f t="shared" si="70"/>
        <v>BAI II</v>
      </c>
      <c r="H2263" t="s">
        <v>1700</v>
      </c>
      <c r="I2263" t="s">
        <v>20</v>
      </c>
      <c r="J2263" t="s">
        <v>64</v>
      </c>
      <c r="K2263" s="6">
        <v>0.03</v>
      </c>
      <c r="L2263" s="7">
        <f t="shared" si="71"/>
        <v>2E-3</v>
      </c>
      <c r="M2263" s="7">
        <v>3.0000000000000001E-3</v>
      </c>
      <c r="N2263">
        <v>10</v>
      </c>
      <c r="O2263" s="8">
        <v>22.933916850949441</v>
      </c>
      <c r="P2263" s="9">
        <v>22.933916850949441</v>
      </c>
      <c r="Q2263" s="9">
        <v>22.933916850949441</v>
      </c>
      <c r="R2263" s="9">
        <v>25.173745848546066</v>
      </c>
      <c r="S2263" s="9">
        <v>27.641690539343774</v>
      </c>
      <c r="T2263" s="9">
        <v>29.730378573928668</v>
      </c>
      <c r="U2263" s="9">
        <v>36.183590217329723</v>
      </c>
      <c r="V2263" s="9">
        <v>36.183590217329723</v>
      </c>
      <c r="W2263" s="9">
        <v>36.183590217329723</v>
      </c>
      <c r="X2263" s="9">
        <v>43.522810559209468</v>
      </c>
      <c r="Y2263" s="9">
        <v>43.522810559209468</v>
      </c>
      <c r="Z2263" s="9">
        <v>50.960858783530121</v>
      </c>
      <c r="AA2263" s="9">
        <v>50.960858783530121</v>
      </c>
      <c r="AB2263" s="9">
        <v>58.507617678535738</v>
      </c>
      <c r="AC2263" s="9">
        <v>58.507617678535738</v>
      </c>
      <c r="AD2263" s="9">
        <v>68.105109643716474</v>
      </c>
      <c r="AE2263" s="9">
        <v>75.132723269302929</v>
      </c>
      <c r="AF2263" s="9">
        <v>82.290622386277917</v>
      </c>
      <c r="AG2263" s="9">
        <v>82.290622386277917</v>
      </c>
      <c r="AH2263" s="9">
        <v>90.43943145512165</v>
      </c>
      <c r="AI2263" s="9">
        <v>98.380048333692613</v>
      </c>
      <c r="AJ2263" s="9">
        <v>3.0428788910505911</v>
      </c>
    </row>
    <row r="2264" spans="1:36" x14ac:dyDescent="0.25">
      <c r="A2264" t="s">
        <v>5411</v>
      </c>
      <c r="B2264" t="s">
        <v>16</v>
      </c>
      <c r="C2264" t="s">
        <v>17</v>
      </c>
      <c r="D2264">
        <v>47800000</v>
      </c>
      <c r="E2264">
        <v>47819999</v>
      </c>
      <c r="F2264" t="s">
        <v>2032</v>
      </c>
      <c r="G2264" t="str">
        <f t="shared" si="70"/>
        <v>BAI</v>
      </c>
      <c r="H2264" t="s">
        <v>1700</v>
      </c>
      <c r="I2264" t="s">
        <v>20</v>
      </c>
      <c r="J2264" t="s">
        <v>62</v>
      </c>
      <c r="K2264" s="6">
        <v>0.03</v>
      </c>
      <c r="L2264" s="7">
        <f t="shared" si="71"/>
        <v>2E-3</v>
      </c>
      <c r="M2264" s="7">
        <v>3.0000000000000001E-3</v>
      </c>
      <c r="N2264">
        <v>9</v>
      </c>
      <c r="O2264" s="8">
        <v>18.830425793781675</v>
      </c>
      <c r="P2264" s="9">
        <v>18.830425793781675</v>
      </c>
      <c r="Q2264" s="9">
        <v>18.830425793781675</v>
      </c>
      <c r="R2264" s="9">
        <v>20.26742485247707</v>
      </c>
      <c r="S2264" s="9">
        <v>22.358597663519866</v>
      </c>
      <c r="T2264" s="9">
        <v>24.596422700701293</v>
      </c>
      <c r="U2264" s="9">
        <v>30.062806972770321</v>
      </c>
      <c r="V2264" s="9">
        <v>30.062806972770321</v>
      </c>
      <c r="W2264" s="9">
        <v>30.062806972770321</v>
      </c>
      <c r="X2264" s="9">
        <v>36.258834158198169</v>
      </c>
      <c r="Y2264" s="9">
        <v>36.258834158198169</v>
      </c>
      <c r="Z2264" s="9">
        <v>42.662152333319682</v>
      </c>
      <c r="AA2264" s="9">
        <v>42.662152333319682</v>
      </c>
      <c r="AB2264" s="9">
        <v>49.337721288156033</v>
      </c>
      <c r="AC2264" s="9">
        <v>49.337721288156033</v>
      </c>
      <c r="AD2264" s="9">
        <v>56.175614623482943</v>
      </c>
      <c r="AE2264" s="9">
        <v>63.196712014029359</v>
      </c>
      <c r="AF2264" s="9">
        <v>70.424649784246597</v>
      </c>
      <c r="AG2264" s="9">
        <v>70.424649784246597</v>
      </c>
      <c r="AH2264" s="9">
        <v>77.342680781352584</v>
      </c>
      <c r="AI2264" s="9">
        <v>84.743447231394711</v>
      </c>
      <c r="AJ2264" s="9">
        <v>3.0428788910505911</v>
      </c>
    </row>
    <row r="2265" spans="1:36" x14ac:dyDescent="0.25">
      <c r="A2265" t="s">
        <v>5411</v>
      </c>
      <c r="B2265" t="s">
        <v>16</v>
      </c>
      <c r="C2265" t="s">
        <v>17</v>
      </c>
      <c r="D2265">
        <v>47820000</v>
      </c>
      <c r="E2265">
        <v>47829999</v>
      </c>
      <c r="F2265" t="s">
        <v>2033</v>
      </c>
      <c r="G2265" t="str">
        <f t="shared" si="70"/>
        <v>BAI II</v>
      </c>
      <c r="H2265" t="s">
        <v>1700</v>
      </c>
      <c r="I2265" t="s">
        <v>20</v>
      </c>
      <c r="J2265" t="s">
        <v>64</v>
      </c>
      <c r="K2265" s="6">
        <v>0.03</v>
      </c>
      <c r="L2265" s="7">
        <f t="shared" si="71"/>
        <v>2E-3</v>
      </c>
      <c r="M2265" s="7">
        <v>3.0000000000000001E-3</v>
      </c>
      <c r="N2265">
        <v>10</v>
      </c>
      <c r="O2265" s="8">
        <v>22.933916850949441</v>
      </c>
      <c r="P2265" s="9">
        <v>22.933916850949441</v>
      </c>
      <c r="Q2265" s="9">
        <v>22.933916850949441</v>
      </c>
      <c r="R2265" s="9">
        <v>25.173745848546066</v>
      </c>
      <c r="S2265" s="9">
        <v>27.641690539343774</v>
      </c>
      <c r="T2265" s="9">
        <v>29.730378573928668</v>
      </c>
      <c r="U2265" s="9">
        <v>36.183590217329723</v>
      </c>
      <c r="V2265" s="9">
        <v>36.183590217329723</v>
      </c>
      <c r="W2265" s="9">
        <v>36.183590217329723</v>
      </c>
      <c r="X2265" s="9">
        <v>43.522810559209468</v>
      </c>
      <c r="Y2265" s="9">
        <v>43.522810559209468</v>
      </c>
      <c r="Z2265" s="9">
        <v>50.960858783530121</v>
      </c>
      <c r="AA2265" s="9">
        <v>50.960858783530121</v>
      </c>
      <c r="AB2265" s="9">
        <v>58.507617678535738</v>
      </c>
      <c r="AC2265" s="9">
        <v>58.507617678535738</v>
      </c>
      <c r="AD2265" s="9">
        <v>68.105109643716474</v>
      </c>
      <c r="AE2265" s="9">
        <v>75.132723269302929</v>
      </c>
      <c r="AF2265" s="9">
        <v>82.290622386277917</v>
      </c>
      <c r="AG2265" s="9">
        <v>82.290622386277917</v>
      </c>
      <c r="AH2265" s="9">
        <v>90.43943145512165</v>
      </c>
      <c r="AI2265" s="9">
        <v>98.380048333692613</v>
      </c>
      <c r="AJ2265" s="9">
        <v>3.0428788910505911</v>
      </c>
    </row>
    <row r="2266" spans="1:36" x14ac:dyDescent="0.25">
      <c r="A2266" t="s">
        <v>5411</v>
      </c>
      <c r="B2266" t="s">
        <v>16</v>
      </c>
      <c r="C2266" t="s">
        <v>17</v>
      </c>
      <c r="D2266">
        <v>47830000</v>
      </c>
      <c r="E2266">
        <v>47844999</v>
      </c>
      <c r="F2266" t="s">
        <v>2034</v>
      </c>
      <c r="G2266" t="str">
        <f t="shared" si="70"/>
        <v>BAI II</v>
      </c>
      <c r="H2266" t="s">
        <v>1700</v>
      </c>
      <c r="I2266" t="s">
        <v>20</v>
      </c>
      <c r="J2266" t="s">
        <v>64</v>
      </c>
      <c r="K2266" s="6">
        <v>0.03</v>
      </c>
      <c r="L2266" s="7">
        <f t="shared" si="71"/>
        <v>2E-3</v>
      </c>
      <c r="M2266" s="7">
        <v>3.0000000000000001E-3</v>
      </c>
      <c r="N2266">
        <v>10</v>
      </c>
      <c r="O2266" s="8">
        <v>22.933916850949441</v>
      </c>
      <c r="P2266" s="9">
        <v>22.933916850949441</v>
      </c>
      <c r="Q2266" s="9">
        <v>22.933916850949441</v>
      </c>
      <c r="R2266" s="9">
        <v>25.173745848546066</v>
      </c>
      <c r="S2266" s="9">
        <v>27.641690539343774</v>
      </c>
      <c r="T2266" s="9">
        <v>29.730378573928668</v>
      </c>
      <c r="U2266" s="9">
        <v>36.183590217329723</v>
      </c>
      <c r="V2266" s="9">
        <v>36.183590217329723</v>
      </c>
      <c r="W2266" s="9">
        <v>36.183590217329723</v>
      </c>
      <c r="X2266" s="9">
        <v>43.522810559209468</v>
      </c>
      <c r="Y2266" s="9">
        <v>43.522810559209468</v>
      </c>
      <c r="Z2266" s="9">
        <v>50.960858783530121</v>
      </c>
      <c r="AA2266" s="9">
        <v>50.960858783530121</v>
      </c>
      <c r="AB2266" s="9">
        <v>58.507617678535738</v>
      </c>
      <c r="AC2266" s="9">
        <v>58.507617678535738</v>
      </c>
      <c r="AD2266" s="9">
        <v>68.105109643716474</v>
      </c>
      <c r="AE2266" s="9">
        <v>75.132723269302929</v>
      </c>
      <c r="AF2266" s="9">
        <v>82.290622386277917</v>
      </c>
      <c r="AG2266" s="9">
        <v>82.290622386277917</v>
      </c>
      <c r="AH2266" s="9">
        <v>90.43943145512165</v>
      </c>
      <c r="AI2266" s="9">
        <v>98.380048333692613</v>
      </c>
      <c r="AJ2266" s="9">
        <v>3.0428788910505911</v>
      </c>
    </row>
    <row r="2267" spans="1:36" x14ac:dyDescent="0.25">
      <c r="A2267" t="s">
        <v>5411</v>
      </c>
      <c r="B2267" t="s">
        <v>16</v>
      </c>
      <c r="C2267" t="s">
        <v>17</v>
      </c>
      <c r="D2267">
        <v>47845000</v>
      </c>
      <c r="E2267">
        <v>47849999</v>
      </c>
      <c r="F2267" t="s">
        <v>2035</v>
      </c>
      <c r="G2267" t="str">
        <f t="shared" si="70"/>
        <v>BAI II</v>
      </c>
      <c r="H2267" t="s">
        <v>1700</v>
      </c>
      <c r="I2267" t="s">
        <v>20</v>
      </c>
      <c r="J2267" t="s">
        <v>64</v>
      </c>
      <c r="K2267" s="6">
        <v>0.03</v>
      </c>
      <c r="L2267" s="7">
        <f t="shared" si="71"/>
        <v>2E-3</v>
      </c>
      <c r="M2267" s="7">
        <v>3.0000000000000001E-3</v>
      </c>
      <c r="N2267">
        <v>10</v>
      </c>
      <c r="O2267" s="8">
        <v>22.933916850949441</v>
      </c>
      <c r="P2267" s="9">
        <v>22.933916850949441</v>
      </c>
      <c r="Q2267" s="9">
        <v>22.933916850949441</v>
      </c>
      <c r="R2267" s="9">
        <v>25.173745848546066</v>
      </c>
      <c r="S2267" s="9">
        <v>27.641690539343774</v>
      </c>
      <c r="T2267" s="9">
        <v>29.730378573928668</v>
      </c>
      <c r="U2267" s="9">
        <v>36.183590217329723</v>
      </c>
      <c r="V2267" s="9">
        <v>36.183590217329723</v>
      </c>
      <c r="W2267" s="9">
        <v>36.183590217329723</v>
      </c>
      <c r="X2267" s="9">
        <v>43.522810559209468</v>
      </c>
      <c r="Y2267" s="9">
        <v>43.522810559209468</v>
      </c>
      <c r="Z2267" s="9">
        <v>50.960858783530121</v>
      </c>
      <c r="AA2267" s="9">
        <v>50.960858783530121</v>
      </c>
      <c r="AB2267" s="9">
        <v>58.507617678535738</v>
      </c>
      <c r="AC2267" s="9">
        <v>58.507617678535738</v>
      </c>
      <c r="AD2267" s="9">
        <v>68.105109643716474</v>
      </c>
      <c r="AE2267" s="9">
        <v>75.132723269302929</v>
      </c>
      <c r="AF2267" s="9">
        <v>82.290622386277917</v>
      </c>
      <c r="AG2267" s="9">
        <v>82.290622386277917</v>
      </c>
      <c r="AH2267" s="9">
        <v>90.43943145512165</v>
      </c>
      <c r="AI2267" s="9">
        <v>98.380048333692613</v>
      </c>
      <c r="AJ2267" s="9">
        <v>3.0428788910505911</v>
      </c>
    </row>
    <row r="2268" spans="1:36" x14ac:dyDescent="0.25">
      <c r="A2268" t="s">
        <v>5411</v>
      </c>
      <c r="B2268" t="s">
        <v>16</v>
      </c>
      <c r="C2268" t="s">
        <v>17</v>
      </c>
      <c r="D2268">
        <v>47850000</v>
      </c>
      <c r="E2268">
        <v>47899999</v>
      </c>
      <c r="F2268" t="s">
        <v>2036</v>
      </c>
      <c r="G2268" t="str">
        <f t="shared" si="70"/>
        <v>BAI II</v>
      </c>
      <c r="H2268" t="s">
        <v>1700</v>
      </c>
      <c r="I2268" t="s">
        <v>20</v>
      </c>
      <c r="J2268" t="s">
        <v>64</v>
      </c>
      <c r="K2268" s="6">
        <v>0.03</v>
      </c>
      <c r="L2268" s="7">
        <f t="shared" si="71"/>
        <v>2E-3</v>
      </c>
      <c r="M2268" s="7">
        <v>3.0000000000000001E-3</v>
      </c>
      <c r="N2268">
        <v>10</v>
      </c>
      <c r="O2268" s="8">
        <v>22.933916850949441</v>
      </c>
      <c r="P2268" s="9">
        <v>22.933916850949441</v>
      </c>
      <c r="Q2268" s="9">
        <v>22.933916850949441</v>
      </c>
      <c r="R2268" s="9">
        <v>25.173745848546066</v>
      </c>
      <c r="S2268" s="9">
        <v>27.641690539343774</v>
      </c>
      <c r="T2268" s="9">
        <v>29.730378573928668</v>
      </c>
      <c r="U2268" s="9">
        <v>36.183590217329723</v>
      </c>
      <c r="V2268" s="9">
        <v>36.183590217329723</v>
      </c>
      <c r="W2268" s="9">
        <v>36.183590217329723</v>
      </c>
      <c r="X2268" s="9">
        <v>43.522810559209468</v>
      </c>
      <c r="Y2268" s="9">
        <v>43.522810559209468</v>
      </c>
      <c r="Z2268" s="9">
        <v>50.960858783530121</v>
      </c>
      <c r="AA2268" s="9">
        <v>50.960858783530121</v>
      </c>
      <c r="AB2268" s="9">
        <v>58.507617678535738</v>
      </c>
      <c r="AC2268" s="9">
        <v>58.507617678535738</v>
      </c>
      <c r="AD2268" s="9">
        <v>68.105109643716474</v>
      </c>
      <c r="AE2268" s="9">
        <v>75.132723269302929</v>
      </c>
      <c r="AF2268" s="9">
        <v>82.290622386277917</v>
      </c>
      <c r="AG2268" s="9">
        <v>82.290622386277917</v>
      </c>
      <c r="AH2268" s="9">
        <v>90.43943145512165</v>
      </c>
      <c r="AI2268" s="9">
        <v>98.380048333692613</v>
      </c>
      <c r="AJ2268" s="9">
        <v>3.0428788910505911</v>
      </c>
    </row>
    <row r="2269" spans="1:36" x14ac:dyDescent="0.25">
      <c r="A2269" t="s">
        <v>5411</v>
      </c>
      <c r="B2269" t="s">
        <v>16</v>
      </c>
      <c r="C2269" t="s">
        <v>17</v>
      </c>
      <c r="D2269">
        <v>47900000</v>
      </c>
      <c r="E2269">
        <v>47939999</v>
      </c>
      <c r="F2269" t="s">
        <v>2037</v>
      </c>
      <c r="G2269" t="str">
        <f t="shared" si="70"/>
        <v>BAI II</v>
      </c>
      <c r="H2269" t="s">
        <v>1700</v>
      </c>
      <c r="I2269" t="s">
        <v>20</v>
      </c>
      <c r="J2269" t="s">
        <v>64</v>
      </c>
      <c r="K2269" s="6">
        <v>0.03</v>
      </c>
      <c r="L2269" s="7">
        <f t="shared" si="71"/>
        <v>2E-3</v>
      </c>
      <c r="M2269" s="7">
        <v>3.0000000000000001E-3</v>
      </c>
      <c r="N2269">
        <v>10</v>
      </c>
      <c r="O2269" s="8">
        <v>22.933916850949441</v>
      </c>
      <c r="P2269" s="9">
        <v>22.933916850949441</v>
      </c>
      <c r="Q2269" s="9">
        <v>22.933916850949441</v>
      </c>
      <c r="R2269" s="9">
        <v>25.173745848546066</v>
      </c>
      <c r="S2269" s="9">
        <v>27.641690539343774</v>
      </c>
      <c r="T2269" s="9">
        <v>29.730378573928668</v>
      </c>
      <c r="U2269" s="9">
        <v>36.183590217329723</v>
      </c>
      <c r="V2269" s="9">
        <v>36.183590217329723</v>
      </c>
      <c r="W2269" s="9">
        <v>36.183590217329723</v>
      </c>
      <c r="X2269" s="9">
        <v>43.522810559209468</v>
      </c>
      <c r="Y2269" s="9">
        <v>43.522810559209468</v>
      </c>
      <c r="Z2269" s="9">
        <v>50.960858783530121</v>
      </c>
      <c r="AA2269" s="9">
        <v>50.960858783530121</v>
      </c>
      <c r="AB2269" s="9">
        <v>58.507617678535738</v>
      </c>
      <c r="AC2269" s="9">
        <v>58.507617678535738</v>
      </c>
      <c r="AD2269" s="9">
        <v>68.105109643716474</v>
      </c>
      <c r="AE2269" s="9">
        <v>75.132723269302929</v>
      </c>
      <c r="AF2269" s="9">
        <v>82.290622386277917</v>
      </c>
      <c r="AG2269" s="9">
        <v>82.290622386277917</v>
      </c>
      <c r="AH2269" s="9">
        <v>90.43943145512165</v>
      </c>
      <c r="AI2269" s="9">
        <v>98.380048333692613</v>
      </c>
      <c r="AJ2269" s="9">
        <v>3.0428788910505911</v>
      </c>
    </row>
    <row r="2270" spans="1:36" x14ac:dyDescent="0.25">
      <c r="A2270" t="s">
        <v>5411</v>
      </c>
      <c r="B2270" t="s">
        <v>16</v>
      </c>
      <c r="C2270" t="s">
        <v>17</v>
      </c>
      <c r="D2270">
        <v>47940000</v>
      </c>
      <c r="E2270">
        <v>47949999</v>
      </c>
      <c r="F2270" t="s">
        <v>2038</v>
      </c>
      <c r="G2270" t="str">
        <f t="shared" si="70"/>
        <v>BAI II</v>
      </c>
      <c r="H2270" t="s">
        <v>1700</v>
      </c>
      <c r="I2270" t="s">
        <v>20</v>
      </c>
      <c r="J2270" t="s">
        <v>64</v>
      </c>
      <c r="K2270" s="6">
        <v>0.03</v>
      </c>
      <c r="L2270" s="7">
        <f t="shared" si="71"/>
        <v>2E-3</v>
      </c>
      <c r="M2270" s="7">
        <v>3.0000000000000001E-3</v>
      </c>
      <c r="N2270">
        <v>10</v>
      </c>
      <c r="O2270" s="8">
        <v>22.933916850949441</v>
      </c>
      <c r="P2270" s="9">
        <v>22.933916850949441</v>
      </c>
      <c r="Q2270" s="9">
        <v>22.933916850949441</v>
      </c>
      <c r="R2270" s="9">
        <v>25.173745848546066</v>
      </c>
      <c r="S2270" s="9">
        <v>27.641690539343774</v>
      </c>
      <c r="T2270" s="9">
        <v>29.730378573928668</v>
      </c>
      <c r="U2270" s="9">
        <v>36.183590217329723</v>
      </c>
      <c r="V2270" s="9">
        <v>36.183590217329723</v>
      </c>
      <c r="W2270" s="9">
        <v>36.183590217329723</v>
      </c>
      <c r="X2270" s="9">
        <v>43.522810559209468</v>
      </c>
      <c r="Y2270" s="9">
        <v>43.522810559209468</v>
      </c>
      <c r="Z2270" s="9">
        <v>50.960858783530121</v>
      </c>
      <c r="AA2270" s="9">
        <v>50.960858783530121</v>
      </c>
      <c r="AB2270" s="9">
        <v>58.507617678535738</v>
      </c>
      <c r="AC2270" s="9">
        <v>58.507617678535738</v>
      </c>
      <c r="AD2270" s="9">
        <v>68.105109643716474</v>
      </c>
      <c r="AE2270" s="9">
        <v>75.132723269302929</v>
      </c>
      <c r="AF2270" s="9">
        <v>82.290622386277917</v>
      </c>
      <c r="AG2270" s="9">
        <v>82.290622386277917</v>
      </c>
      <c r="AH2270" s="9">
        <v>90.43943145512165</v>
      </c>
      <c r="AI2270" s="9">
        <v>98.380048333692613</v>
      </c>
      <c r="AJ2270" s="9">
        <v>3.0428788910505911</v>
      </c>
    </row>
    <row r="2271" spans="1:36" x14ac:dyDescent="0.25">
      <c r="A2271" t="s">
        <v>5411</v>
      </c>
      <c r="B2271" t="s">
        <v>16</v>
      </c>
      <c r="C2271" t="s">
        <v>17</v>
      </c>
      <c r="D2271">
        <v>47950000</v>
      </c>
      <c r="E2271">
        <v>47959999</v>
      </c>
      <c r="F2271" t="s">
        <v>2039</v>
      </c>
      <c r="G2271" t="str">
        <f t="shared" si="70"/>
        <v>BAI II</v>
      </c>
      <c r="H2271" t="s">
        <v>1700</v>
      </c>
      <c r="I2271" t="s">
        <v>20</v>
      </c>
      <c r="J2271" t="s">
        <v>64</v>
      </c>
      <c r="K2271" s="6">
        <v>0.03</v>
      </c>
      <c r="L2271" s="7">
        <f t="shared" si="71"/>
        <v>2E-3</v>
      </c>
      <c r="M2271" s="7">
        <v>3.0000000000000001E-3</v>
      </c>
      <c r="N2271">
        <v>10</v>
      </c>
      <c r="O2271" s="8">
        <v>22.933916850949441</v>
      </c>
      <c r="P2271" s="9">
        <v>22.933916850949441</v>
      </c>
      <c r="Q2271" s="9">
        <v>22.933916850949441</v>
      </c>
      <c r="R2271" s="9">
        <v>25.173745848546066</v>
      </c>
      <c r="S2271" s="9">
        <v>27.641690539343774</v>
      </c>
      <c r="T2271" s="9">
        <v>29.730378573928668</v>
      </c>
      <c r="U2271" s="9">
        <v>36.183590217329723</v>
      </c>
      <c r="V2271" s="9">
        <v>36.183590217329723</v>
      </c>
      <c r="W2271" s="9">
        <v>36.183590217329723</v>
      </c>
      <c r="X2271" s="9">
        <v>43.522810559209468</v>
      </c>
      <c r="Y2271" s="9">
        <v>43.522810559209468</v>
      </c>
      <c r="Z2271" s="9">
        <v>50.960858783530121</v>
      </c>
      <c r="AA2271" s="9">
        <v>50.960858783530121</v>
      </c>
      <c r="AB2271" s="9">
        <v>58.507617678535738</v>
      </c>
      <c r="AC2271" s="9">
        <v>58.507617678535738</v>
      </c>
      <c r="AD2271" s="9">
        <v>68.105109643716474</v>
      </c>
      <c r="AE2271" s="9">
        <v>75.132723269302929</v>
      </c>
      <c r="AF2271" s="9">
        <v>82.290622386277917</v>
      </c>
      <c r="AG2271" s="9">
        <v>82.290622386277917</v>
      </c>
      <c r="AH2271" s="9">
        <v>90.43943145512165</v>
      </c>
      <c r="AI2271" s="9">
        <v>98.380048333692613</v>
      </c>
      <c r="AJ2271" s="9">
        <v>3.0428788910505911</v>
      </c>
    </row>
    <row r="2272" spans="1:36" x14ac:dyDescent="0.25">
      <c r="A2272" t="s">
        <v>5411</v>
      </c>
      <c r="B2272" t="s">
        <v>16</v>
      </c>
      <c r="C2272" t="s">
        <v>17</v>
      </c>
      <c r="D2272">
        <v>47960000</v>
      </c>
      <c r="E2272">
        <v>47969999</v>
      </c>
      <c r="F2272" t="s">
        <v>2040</v>
      </c>
      <c r="G2272" t="str">
        <f t="shared" si="70"/>
        <v>BAI II</v>
      </c>
      <c r="H2272" t="s">
        <v>1700</v>
      </c>
      <c r="I2272" t="s">
        <v>20</v>
      </c>
      <c r="J2272" t="s">
        <v>64</v>
      </c>
      <c r="K2272" s="6">
        <v>0.03</v>
      </c>
      <c r="L2272" s="7">
        <f t="shared" si="71"/>
        <v>2E-3</v>
      </c>
      <c r="M2272" s="7">
        <v>3.0000000000000001E-3</v>
      </c>
      <c r="N2272">
        <v>10</v>
      </c>
      <c r="O2272" s="8">
        <v>22.933916850949441</v>
      </c>
      <c r="P2272" s="9">
        <v>22.933916850949441</v>
      </c>
      <c r="Q2272" s="9">
        <v>22.933916850949441</v>
      </c>
      <c r="R2272" s="9">
        <v>25.173745848546066</v>
      </c>
      <c r="S2272" s="9">
        <v>27.641690539343774</v>
      </c>
      <c r="T2272" s="9">
        <v>29.730378573928668</v>
      </c>
      <c r="U2272" s="9">
        <v>36.183590217329723</v>
      </c>
      <c r="V2272" s="9">
        <v>36.183590217329723</v>
      </c>
      <c r="W2272" s="9">
        <v>36.183590217329723</v>
      </c>
      <c r="X2272" s="9">
        <v>43.522810559209468</v>
      </c>
      <c r="Y2272" s="9">
        <v>43.522810559209468</v>
      </c>
      <c r="Z2272" s="9">
        <v>50.960858783530121</v>
      </c>
      <c r="AA2272" s="9">
        <v>50.960858783530121</v>
      </c>
      <c r="AB2272" s="9">
        <v>58.507617678535738</v>
      </c>
      <c r="AC2272" s="9">
        <v>58.507617678535738</v>
      </c>
      <c r="AD2272" s="9">
        <v>68.105109643716474</v>
      </c>
      <c r="AE2272" s="9">
        <v>75.132723269302929</v>
      </c>
      <c r="AF2272" s="9">
        <v>82.290622386277917</v>
      </c>
      <c r="AG2272" s="9">
        <v>82.290622386277917</v>
      </c>
      <c r="AH2272" s="9">
        <v>90.43943145512165</v>
      </c>
      <c r="AI2272" s="9">
        <v>98.380048333692613</v>
      </c>
      <c r="AJ2272" s="9">
        <v>3.0428788910505911</v>
      </c>
    </row>
    <row r="2273" spans="1:36" x14ac:dyDescent="0.25">
      <c r="A2273" t="s">
        <v>5411</v>
      </c>
      <c r="B2273" t="s">
        <v>16</v>
      </c>
      <c r="C2273" t="s">
        <v>17</v>
      </c>
      <c r="D2273">
        <v>47970000</v>
      </c>
      <c r="E2273">
        <v>47989999</v>
      </c>
      <c r="F2273" t="s">
        <v>2041</v>
      </c>
      <c r="G2273" t="str">
        <f t="shared" si="70"/>
        <v>BAI II</v>
      </c>
      <c r="H2273" t="s">
        <v>1700</v>
      </c>
      <c r="I2273" t="s">
        <v>20</v>
      </c>
      <c r="J2273" t="s">
        <v>64</v>
      </c>
      <c r="K2273" s="6">
        <v>0.03</v>
      </c>
      <c r="L2273" s="7">
        <f t="shared" si="71"/>
        <v>2E-3</v>
      </c>
      <c r="M2273" s="7">
        <v>3.0000000000000001E-3</v>
      </c>
      <c r="N2273">
        <v>10</v>
      </c>
      <c r="O2273" s="8">
        <v>22.933916850949441</v>
      </c>
      <c r="P2273" s="9">
        <v>22.933916850949441</v>
      </c>
      <c r="Q2273" s="9">
        <v>22.933916850949441</v>
      </c>
      <c r="R2273" s="9">
        <v>25.173745848546066</v>
      </c>
      <c r="S2273" s="9">
        <v>27.641690539343774</v>
      </c>
      <c r="T2273" s="9">
        <v>29.730378573928668</v>
      </c>
      <c r="U2273" s="9">
        <v>36.183590217329723</v>
      </c>
      <c r="V2273" s="9">
        <v>36.183590217329723</v>
      </c>
      <c r="W2273" s="9">
        <v>36.183590217329723</v>
      </c>
      <c r="X2273" s="9">
        <v>43.522810559209468</v>
      </c>
      <c r="Y2273" s="9">
        <v>43.522810559209468</v>
      </c>
      <c r="Z2273" s="9">
        <v>50.960858783530121</v>
      </c>
      <c r="AA2273" s="9">
        <v>50.960858783530121</v>
      </c>
      <c r="AB2273" s="9">
        <v>58.507617678535738</v>
      </c>
      <c r="AC2273" s="9">
        <v>58.507617678535738</v>
      </c>
      <c r="AD2273" s="9">
        <v>68.105109643716474</v>
      </c>
      <c r="AE2273" s="9">
        <v>75.132723269302929</v>
      </c>
      <c r="AF2273" s="9">
        <v>82.290622386277917</v>
      </c>
      <c r="AG2273" s="9">
        <v>82.290622386277917</v>
      </c>
      <c r="AH2273" s="9">
        <v>90.43943145512165</v>
      </c>
      <c r="AI2273" s="9">
        <v>98.380048333692613</v>
      </c>
      <c r="AJ2273" s="9">
        <v>3.0428788910505911</v>
      </c>
    </row>
    <row r="2274" spans="1:36" x14ac:dyDescent="0.25">
      <c r="A2274" t="s">
        <v>5411</v>
      </c>
      <c r="B2274" t="s">
        <v>16</v>
      </c>
      <c r="C2274" t="s">
        <v>17</v>
      </c>
      <c r="D2274">
        <v>47990000</v>
      </c>
      <c r="E2274">
        <v>47999999</v>
      </c>
      <c r="F2274" t="s">
        <v>2042</v>
      </c>
      <c r="G2274" t="str">
        <f t="shared" si="70"/>
        <v>BAI II</v>
      </c>
      <c r="H2274" t="s">
        <v>1700</v>
      </c>
      <c r="I2274" t="s">
        <v>20</v>
      </c>
      <c r="J2274" t="s">
        <v>64</v>
      </c>
      <c r="K2274" s="6">
        <v>0.03</v>
      </c>
      <c r="L2274" s="7">
        <f t="shared" si="71"/>
        <v>2E-3</v>
      </c>
      <c r="M2274" s="7">
        <v>3.0000000000000001E-3</v>
      </c>
      <c r="N2274">
        <v>10</v>
      </c>
      <c r="O2274" s="8">
        <v>22.933916850949441</v>
      </c>
      <c r="P2274" s="9">
        <v>22.933916850949441</v>
      </c>
      <c r="Q2274" s="9">
        <v>22.933916850949441</v>
      </c>
      <c r="R2274" s="9">
        <v>25.173745848546066</v>
      </c>
      <c r="S2274" s="9">
        <v>27.641690539343774</v>
      </c>
      <c r="T2274" s="9">
        <v>29.730378573928668</v>
      </c>
      <c r="U2274" s="9">
        <v>36.183590217329723</v>
      </c>
      <c r="V2274" s="9">
        <v>36.183590217329723</v>
      </c>
      <c r="W2274" s="9">
        <v>36.183590217329723</v>
      </c>
      <c r="X2274" s="9">
        <v>43.522810559209468</v>
      </c>
      <c r="Y2274" s="9">
        <v>43.522810559209468</v>
      </c>
      <c r="Z2274" s="9">
        <v>50.960858783530121</v>
      </c>
      <c r="AA2274" s="9">
        <v>50.960858783530121</v>
      </c>
      <c r="AB2274" s="9">
        <v>58.507617678535738</v>
      </c>
      <c r="AC2274" s="9">
        <v>58.507617678535738</v>
      </c>
      <c r="AD2274" s="9">
        <v>68.105109643716474</v>
      </c>
      <c r="AE2274" s="9">
        <v>75.132723269302929</v>
      </c>
      <c r="AF2274" s="9">
        <v>82.290622386277917</v>
      </c>
      <c r="AG2274" s="9">
        <v>82.290622386277917</v>
      </c>
      <c r="AH2274" s="9">
        <v>90.43943145512165</v>
      </c>
      <c r="AI2274" s="9">
        <v>98.380048333692613</v>
      </c>
      <c r="AJ2274" s="9">
        <v>3.0428788910505911</v>
      </c>
    </row>
    <row r="2275" spans="1:36" x14ac:dyDescent="0.25">
      <c r="A2275" t="s">
        <v>5411</v>
      </c>
      <c r="B2275" t="s">
        <v>16</v>
      </c>
      <c r="C2275" t="s">
        <v>17</v>
      </c>
      <c r="D2275">
        <v>48000000</v>
      </c>
      <c r="E2275">
        <v>48107999</v>
      </c>
      <c r="F2275" t="s">
        <v>2043</v>
      </c>
      <c r="G2275" t="str">
        <f t="shared" si="70"/>
        <v>BAI</v>
      </c>
      <c r="H2275" t="s">
        <v>1700</v>
      </c>
      <c r="I2275" t="s">
        <v>20</v>
      </c>
      <c r="J2275" t="s">
        <v>62</v>
      </c>
      <c r="K2275" s="6">
        <v>0.03</v>
      </c>
      <c r="L2275" s="7">
        <f t="shared" si="71"/>
        <v>2E-3</v>
      </c>
      <c r="M2275" s="7">
        <v>3.0000000000000001E-3</v>
      </c>
      <c r="N2275">
        <v>9</v>
      </c>
      <c r="O2275" s="8">
        <v>18.830425793781675</v>
      </c>
      <c r="P2275" s="9">
        <v>18.830425793781675</v>
      </c>
      <c r="Q2275" s="9">
        <v>18.830425793781675</v>
      </c>
      <c r="R2275" s="9">
        <v>20.26742485247707</v>
      </c>
      <c r="S2275" s="9">
        <v>22.358597663519866</v>
      </c>
      <c r="T2275" s="9">
        <v>24.596422700701293</v>
      </c>
      <c r="U2275" s="9">
        <v>30.062806972770321</v>
      </c>
      <c r="V2275" s="9">
        <v>30.062806972770321</v>
      </c>
      <c r="W2275" s="9">
        <v>30.062806972770321</v>
      </c>
      <c r="X2275" s="9">
        <v>36.258834158198169</v>
      </c>
      <c r="Y2275" s="9">
        <v>36.258834158198169</v>
      </c>
      <c r="Z2275" s="9">
        <v>42.662152333319682</v>
      </c>
      <c r="AA2275" s="9">
        <v>42.662152333319682</v>
      </c>
      <c r="AB2275" s="9">
        <v>49.337721288156033</v>
      </c>
      <c r="AC2275" s="9">
        <v>49.337721288156033</v>
      </c>
      <c r="AD2275" s="9">
        <v>56.175614623482943</v>
      </c>
      <c r="AE2275" s="9">
        <v>63.196712014029359</v>
      </c>
      <c r="AF2275" s="9">
        <v>70.424649784246597</v>
      </c>
      <c r="AG2275" s="9">
        <v>70.424649784246597</v>
      </c>
      <c r="AH2275" s="9">
        <v>77.342680781352584</v>
      </c>
      <c r="AI2275" s="9">
        <v>84.743447231394711</v>
      </c>
      <c r="AJ2275" s="9">
        <v>3.0428788910505911</v>
      </c>
    </row>
    <row r="2276" spans="1:36" x14ac:dyDescent="0.25">
      <c r="A2276" t="s">
        <v>5411</v>
      </c>
      <c r="B2276" t="s">
        <v>16</v>
      </c>
      <c r="C2276" t="s">
        <v>17</v>
      </c>
      <c r="D2276">
        <v>48108000</v>
      </c>
      <c r="E2276">
        <v>48109999</v>
      </c>
      <c r="F2276" t="s">
        <v>2044</v>
      </c>
      <c r="G2276" t="str">
        <f t="shared" si="70"/>
        <v>BAI II</v>
      </c>
      <c r="H2276" t="s">
        <v>1700</v>
      </c>
      <c r="I2276" t="s">
        <v>20</v>
      </c>
      <c r="J2276" t="s">
        <v>64</v>
      </c>
      <c r="K2276" s="6">
        <v>0.03</v>
      </c>
      <c r="L2276" s="7">
        <f t="shared" si="71"/>
        <v>2E-3</v>
      </c>
      <c r="M2276" s="7">
        <v>3.0000000000000001E-3</v>
      </c>
      <c r="N2276">
        <v>9</v>
      </c>
      <c r="O2276" s="8">
        <v>22.933916850949441</v>
      </c>
      <c r="P2276" s="9">
        <v>22.933916850949441</v>
      </c>
      <c r="Q2276" s="9">
        <v>22.933916850949441</v>
      </c>
      <c r="R2276" s="9">
        <v>25.173745848546066</v>
      </c>
      <c r="S2276" s="9">
        <v>27.641690539343774</v>
      </c>
      <c r="T2276" s="9">
        <v>29.730378573928668</v>
      </c>
      <c r="U2276" s="9">
        <v>36.183590217329723</v>
      </c>
      <c r="V2276" s="9">
        <v>36.183590217329723</v>
      </c>
      <c r="W2276" s="9">
        <v>36.183590217329723</v>
      </c>
      <c r="X2276" s="9">
        <v>43.522810559209468</v>
      </c>
      <c r="Y2276" s="9">
        <v>43.522810559209468</v>
      </c>
      <c r="Z2276" s="9">
        <v>50.960858783530121</v>
      </c>
      <c r="AA2276" s="9">
        <v>50.960858783530121</v>
      </c>
      <c r="AB2276" s="9">
        <v>58.507617678535738</v>
      </c>
      <c r="AC2276" s="9">
        <v>58.507617678535738</v>
      </c>
      <c r="AD2276" s="9">
        <v>68.105109643716474</v>
      </c>
      <c r="AE2276" s="9">
        <v>75.132723269302929</v>
      </c>
      <c r="AF2276" s="9">
        <v>82.290622386277917</v>
      </c>
      <c r="AG2276" s="9">
        <v>82.290622386277917</v>
      </c>
      <c r="AH2276" s="9">
        <v>90.43943145512165</v>
      </c>
      <c r="AI2276" s="9">
        <v>98.380048333692613</v>
      </c>
      <c r="AJ2276" s="9">
        <v>3.0428788910505911</v>
      </c>
    </row>
    <row r="2277" spans="1:36" x14ac:dyDescent="0.25">
      <c r="A2277" t="s">
        <v>5411</v>
      </c>
      <c r="B2277" t="s">
        <v>16</v>
      </c>
      <c r="C2277" t="s">
        <v>17</v>
      </c>
      <c r="D2277">
        <v>48110000</v>
      </c>
      <c r="E2277">
        <v>48119999</v>
      </c>
      <c r="F2277" t="s">
        <v>2045</v>
      </c>
      <c r="G2277" t="str">
        <f t="shared" si="70"/>
        <v>BAI</v>
      </c>
      <c r="H2277" t="s">
        <v>1700</v>
      </c>
      <c r="I2277" t="s">
        <v>20</v>
      </c>
      <c r="J2277" t="s">
        <v>62</v>
      </c>
      <c r="K2277" s="6">
        <v>0.03</v>
      </c>
      <c r="L2277" s="7">
        <f t="shared" si="71"/>
        <v>2E-3</v>
      </c>
      <c r="M2277" s="7">
        <v>3.0000000000000001E-3</v>
      </c>
      <c r="N2277">
        <v>8</v>
      </c>
      <c r="O2277" s="8">
        <v>18.830425793781675</v>
      </c>
      <c r="P2277" s="9">
        <v>18.830425793781675</v>
      </c>
      <c r="Q2277" s="9">
        <v>18.830425793781675</v>
      </c>
      <c r="R2277" s="9">
        <v>20.26742485247707</v>
      </c>
      <c r="S2277" s="9">
        <v>22.358597663519866</v>
      </c>
      <c r="T2277" s="9">
        <v>24.596422700701293</v>
      </c>
      <c r="U2277" s="9">
        <v>30.062806972770321</v>
      </c>
      <c r="V2277" s="9">
        <v>30.062806972770321</v>
      </c>
      <c r="W2277" s="9">
        <v>30.062806972770321</v>
      </c>
      <c r="X2277" s="9">
        <v>36.258834158198169</v>
      </c>
      <c r="Y2277" s="9">
        <v>36.258834158198169</v>
      </c>
      <c r="Z2277" s="9">
        <v>42.662152333319682</v>
      </c>
      <c r="AA2277" s="9">
        <v>42.662152333319682</v>
      </c>
      <c r="AB2277" s="9">
        <v>49.337721288156033</v>
      </c>
      <c r="AC2277" s="9">
        <v>49.337721288156033</v>
      </c>
      <c r="AD2277" s="9">
        <v>56.175614623482943</v>
      </c>
      <c r="AE2277" s="9">
        <v>63.196712014029359</v>
      </c>
      <c r="AF2277" s="9">
        <v>70.424649784246597</v>
      </c>
      <c r="AG2277" s="9">
        <v>70.424649784246597</v>
      </c>
      <c r="AH2277" s="9">
        <v>77.342680781352584</v>
      </c>
      <c r="AI2277" s="9">
        <v>84.743447231394711</v>
      </c>
      <c r="AJ2277" s="9">
        <v>3.0428788910505911</v>
      </c>
    </row>
    <row r="2278" spans="1:36" x14ac:dyDescent="0.25">
      <c r="A2278" t="s">
        <v>5411</v>
      </c>
      <c r="B2278" t="s">
        <v>16</v>
      </c>
      <c r="C2278" t="s">
        <v>17</v>
      </c>
      <c r="D2278">
        <v>48120000</v>
      </c>
      <c r="E2278">
        <v>48129999</v>
      </c>
      <c r="F2278" t="s">
        <v>2046</v>
      </c>
      <c r="G2278" t="str">
        <f t="shared" si="70"/>
        <v>BAI</v>
      </c>
      <c r="H2278" t="s">
        <v>1700</v>
      </c>
      <c r="I2278" t="s">
        <v>20</v>
      </c>
      <c r="J2278" t="s">
        <v>62</v>
      </c>
      <c r="K2278" s="6">
        <v>0.03</v>
      </c>
      <c r="L2278" s="7">
        <f t="shared" si="71"/>
        <v>2E-3</v>
      </c>
      <c r="M2278" s="7">
        <v>3.0000000000000001E-3</v>
      </c>
      <c r="N2278">
        <v>8</v>
      </c>
      <c r="O2278" s="8">
        <v>18.830425793781675</v>
      </c>
      <c r="P2278" s="9">
        <v>18.830425793781675</v>
      </c>
      <c r="Q2278" s="9">
        <v>18.830425793781675</v>
      </c>
      <c r="R2278" s="9">
        <v>20.26742485247707</v>
      </c>
      <c r="S2278" s="9">
        <v>22.358597663519866</v>
      </c>
      <c r="T2278" s="9">
        <v>24.596422700701293</v>
      </c>
      <c r="U2278" s="9">
        <v>30.062806972770321</v>
      </c>
      <c r="V2278" s="9">
        <v>30.062806972770321</v>
      </c>
      <c r="W2278" s="9">
        <v>30.062806972770321</v>
      </c>
      <c r="X2278" s="9">
        <v>36.258834158198169</v>
      </c>
      <c r="Y2278" s="9">
        <v>36.258834158198169</v>
      </c>
      <c r="Z2278" s="9">
        <v>42.662152333319682</v>
      </c>
      <c r="AA2278" s="9">
        <v>42.662152333319682</v>
      </c>
      <c r="AB2278" s="9">
        <v>49.337721288156033</v>
      </c>
      <c r="AC2278" s="9">
        <v>49.337721288156033</v>
      </c>
      <c r="AD2278" s="9">
        <v>56.175614623482943</v>
      </c>
      <c r="AE2278" s="9">
        <v>63.196712014029359</v>
      </c>
      <c r="AF2278" s="9">
        <v>70.424649784246597</v>
      </c>
      <c r="AG2278" s="9">
        <v>70.424649784246597</v>
      </c>
      <c r="AH2278" s="9">
        <v>77.342680781352584</v>
      </c>
      <c r="AI2278" s="9">
        <v>84.743447231394711</v>
      </c>
      <c r="AJ2278" s="9">
        <v>3.0428788910505911</v>
      </c>
    </row>
    <row r="2279" spans="1:36" x14ac:dyDescent="0.25">
      <c r="A2279" t="s">
        <v>5411</v>
      </c>
      <c r="B2279" t="s">
        <v>16</v>
      </c>
      <c r="C2279" t="s">
        <v>17</v>
      </c>
      <c r="D2279">
        <v>48130000</v>
      </c>
      <c r="E2279">
        <v>48139999</v>
      </c>
      <c r="F2279" t="s">
        <v>2047</v>
      </c>
      <c r="G2279" t="str">
        <f t="shared" si="70"/>
        <v>BAI II</v>
      </c>
      <c r="H2279" t="s">
        <v>1700</v>
      </c>
      <c r="I2279" t="s">
        <v>20</v>
      </c>
      <c r="J2279" t="s">
        <v>64</v>
      </c>
      <c r="K2279" s="6">
        <v>0.03</v>
      </c>
      <c r="L2279" s="7">
        <f t="shared" si="71"/>
        <v>2E-3</v>
      </c>
      <c r="M2279" s="7">
        <v>3.0000000000000001E-3</v>
      </c>
      <c r="N2279">
        <v>9</v>
      </c>
      <c r="O2279" s="8">
        <v>22.933916850949441</v>
      </c>
      <c r="P2279" s="9">
        <v>22.933916850949441</v>
      </c>
      <c r="Q2279" s="9">
        <v>22.933916850949441</v>
      </c>
      <c r="R2279" s="9">
        <v>25.173745848546066</v>
      </c>
      <c r="S2279" s="9">
        <v>27.641690539343774</v>
      </c>
      <c r="T2279" s="9">
        <v>29.730378573928668</v>
      </c>
      <c r="U2279" s="9">
        <v>36.183590217329723</v>
      </c>
      <c r="V2279" s="9">
        <v>36.183590217329723</v>
      </c>
      <c r="W2279" s="9">
        <v>36.183590217329723</v>
      </c>
      <c r="X2279" s="9">
        <v>43.522810559209468</v>
      </c>
      <c r="Y2279" s="9">
        <v>43.522810559209468</v>
      </c>
      <c r="Z2279" s="9">
        <v>50.960858783530121</v>
      </c>
      <c r="AA2279" s="9">
        <v>50.960858783530121</v>
      </c>
      <c r="AB2279" s="9">
        <v>58.507617678535738</v>
      </c>
      <c r="AC2279" s="9">
        <v>58.507617678535738</v>
      </c>
      <c r="AD2279" s="9">
        <v>68.105109643716474</v>
      </c>
      <c r="AE2279" s="9">
        <v>75.132723269302929</v>
      </c>
      <c r="AF2279" s="9">
        <v>82.290622386277917</v>
      </c>
      <c r="AG2279" s="9">
        <v>82.290622386277917</v>
      </c>
      <c r="AH2279" s="9">
        <v>90.43943145512165</v>
      </c>
      <c r="AI2279" s="9">
        <v>98.380048333692613</v>
      </c>
      <c r="AJ2279" s="9">
        <v>3.0428788910505911</v>
      </c>
    </row>
    <row r="2280" spans="1:36" x14ac:dyDescent="0.25">
      <c r="A2280" t="s">
        <v>5411</v>
      </c>
      <c r="B2280" t="s">
        <v>16</v>
      </c>
      <c r="C2280" t="s">
        <v>17</v>
      </c>
      <c r="D2280">
        <v>48140000</v>
      </c>
      <c r="E2280">
        <v>48149999</v>
      </c>
      <c r="F2280" t="s">
        <v>2048</v>
      </c>
      <c r="G2280" t="str">
        <f t="shared" si="70"/>
        <v>BAI II</v>
      </c>
      <c r="H2280" t="s">
        <v>1700</v>
      </c>
      <c r="I2280" t="s">
        <v>20</v>
      </c>
      <c r="J2280" t="s">
        <v>64</v>
      </c>
      <c r="K2280" s="6">
        <v>0.03</v>
      </c>
      <c r="L2280" s="7">
        <f t="shared" si="71"/>
        <v>2E-3</v>
      </c>
      <c r="M2280" s="7">
        <v>3.0000000000000001E-3</v>
      </c>
      <c r="N2280">
        <v>9</v>
      </c>
      <c r="O2280" s="8">
        <v>22.933916850949441</v>
      </c>
      <c r="P2280" s="9">
        <v>22.933916850949441</v>
      </c>
      <c r="Q2280" s="9">
        <v>22.933916850949441</v>
      </c>
      <c r="R2280" s="9">
        <v>25.173745848546066</v>
      </c>
      <c r="S2280" s="9">
        <v>27.641690539343774</v>
      </c>
      <c r="T2280" s="9">
        <v>29.730378573928668</v>
      </c>
      <c r="U2280" s="9">
        <v>36.183590217329723</v>
      </c>
      <c r="V2280" s="9">
        <v>36.183590217329723</v>
      </c>
      <c r="W2280" s="9">
        <v>36.183590217329723</v>
      </c>
      <c r="X2280" s="9">
        <v>43.522810559209468</v>
      </c>
      <c r="Y2280" s="9">
        <v>43.522810559209468</v>
      </c>
      <c r="Z2280" s="9">
        <v>50.960858783530121</v>
      </c>
      <c r="AA2280" s="9">
        <v>50.960858783530121</v>
      </c>
      <c r="AB2280" s="9">
        <v>58.507617678535738</v>
      </c>
      <c r="AC2280" s="9">
        <v>58.507617678535738</v>
      </c>
      <c r="AD2280" s="9">
        <v>68.105109643716474</v>
      </c>
      <c r="AE2280" s="9">
        <v>75.132723269302929</v>
      </c>
      <c r="AF2280" s="9">
        <v>82.290622386277917</v>
      </c>
      <c r="AG2280" s="9">
        <v>82.290622386277917</v>
      </c>
      <c r="AH2280" s="9">
        <v>90.43943145512165</v>
      </c>
      <c r="AI2280" s="9">
        <v>98.380048333692613</v>
      </c>
      <c r="AJ2280" s="9">
        <v>3.0428788910505911</v>
      </c>
    </row>
    <row r="2281" spans="1:36" x14ac:dyDescent="0.25">
      <c r="A2281" t="s">
        <v>5411</v>
      </c>
      <c r="B2281" t="s">
        <v>16</v>
      </c>
      <c r="C2281" t="s">
        <v>17</v>
      </c>
      <c r="D2281">
        <v>48150000</v>
      </c>
      <c r="E2281">
        <v>48169999</v>
      </c>
      <c r="F2281" t="s">
        <v>2049</v>
      </c>
      <c r="G2281" t="str">
        <f t="shared" si="70"/>
        <v>BAI II</v>
      </c>
      <c r="H2281" t="s">
        <v>1700</v>
      </c>
      <c r="I2281" t="s">
        <v>20</v>
      </c>
      <c r="J2281" t="s">
        <v>64</v>
      </c>
      <c r="K2281" s="6">
        <v>0.03</v>
      </c>
      <c r="L2281" s="7">
        <f t="shared" si="71"/>
        <v>2E-3</v>
      </c>
      <c r="M2281" s="7">
        <v>3.0000000000000001E-3</v>
      </c>
      <c r="N2281">
        <v>9</v>
      </c>
      <c r="O2281" s="8">
        <v>22.933916850949441</v>
      </c>
      <c r="P2281" s="9">
        <v>22.933916850949441</v>
      </c>
      <c r="Q2281" s="9">
        <v>22.933916850949441</v>
      </c>
      <c r="R2281" s="9">
        <v>25.173745848546066</v>
      </c>
      <c r="S2281" s="9">
        <v>27.641690539343774</v>
      </c>
      <c r="T2281" s="9">
        <v>29.730378573928668</v>
      </c>
      <c r="U2281" s="9">
        <v>36.183590217329723</v>
      </c>
      <c r="V2281" s="9">
        <v>36.183590217329723</v>
      </c>
      <c r="W2281" s="9">
        <v>36.183590217329723</v>
      </c>
      <c r="X2281" s="9">
        <v>43.522810559209468</v>
      </c>
      <c r="Y2281" s="9">
        <v>43.522810559209468</v>
      </c>
      <c r="Z2281" s="9">
        <v>50.960858783530121</v>
      </c>
      <c r="AA2281" s="9">
        <v>50.960858783530121</v>
      </c>
      <c r="AB2281" s="9">
        <v>58.507617678535738</v>
      </c>
      <c r="AC2281" s="9">
        <v>58.507617678535738</v>
      </c>
      <c r="AD2281" s="9">
        <v>68.105109643716474</v>
      </c>
      <c r="AE2281" s="9">
        <v>75.132723269302929</v>
      </c>
      <c r="AF2281" s="9">
        <v>82.290622386277917</v>
      </c>
      <c r="AG2281" s="9">
        <v>82.290622386277917</v>
      </c>
      <c r="AH2281" s="9">
        <v>90.43943145512165</v>
      </c>
      <c r="AI2281" s="9">
        <v>98.380048333692613</v>
      </c>
      <c r="AJ2281" s="9">
        <v>3.0428788910505911</v>
      </c>
    </row>
    <row r="2282" spans="1:36" x14ac:dyDescent="0.25">
      <c r="A2282" t="s">
        <v>5411</v>
      </c>
      <c r="B2282" t="s">
        <v>16</v>
      </c>
      <c r="C2282" t="s">
        <v>17</v>
      </c>
      <c r="D2282">
        <v>48170000</v>
      </c>
      <c r="E2282">
        <v>48179999</v>
      </c>
      <c r="F2282" t="s">
        <v>2050</v>
      </c>
      <c r="G2282" t="str">
        <f t="shared" si="70"/>
        <v>BAI II</v>
      </c>
      <c r="H2282" t="s">
        <v>1700</v>
      </c>
      <c r="I2282" t="s">
        <v>20</v>
      </c>
      <c r="J2282" t="s">
        <v>64</v>
      </c>
      <c r="K2282" s="6">
        <v>0.03</v>
      </c>
      <c r="L2282" s="7">
        <f t="shared" si="71"/>
        <v>2E-3</v>
      </c>
      <c r="M2282" s="7">
        <v>3.0000000000000001E-3</v>
      </c>
      <c r="N2282">
        <v>9</v>
      </c>
      <c r="O2282" s="8">
        <v>22.933916850949441</v>
      </c>
      <c r="P2282" s="9">
        <v>22.933916850949441</v>
      </c>
      <c r="Q2282" s="9">
        <v>22.933916850949441</v>
      </c>
      <c r="R2282" s="9">
        <v>25.173745848546066</v>
      </c>
      <c r="S2282" s="9">
        <v>27.641690539343774</v>
      </c>
      <c r="T2282" s="9">
        <v>29.730378573928668</v>
      </c>
      <c r="U2282" s="9">
        <v>36.183590217329723</v>
      </c>
      <c r="V2282" s="9">
        <v>36.183590217329723</v>
      </c>
      <c r="W2282" s="9">
        <v>36.183590217329723</v>
      </c>
      <c r="X2282" s="9">
        <v>43.522810559209468</v>
      </c>
      <c r="Y2282" s="9">
        <v>43.522810559209468</v>
      </c>
      <c r="Z2282" s="9">
        <v>50.960858783530121</v>
      </c>
      <c r="AA2282" s="9">
        <v>50.960858783530121</v>
      </c>
      <c r="AB2282" s="9">
        <v>58.507617678535738</v>
      </c>
      <c r="AC2282" s="9">
        <v>58.507617678535738</v>
      </c>
      <c r="AD2282" s="9">
        <v>68.105109643716474</v>
      </c>
      <c r="AE2282" s="9">
        <v>75.132723269302929</v>
      </c>
      <c r="AF2282" s="9">
        <v>82.290622386277917</v>
      </c>
      <c r="AG2282" s="9">
        <v>82.290622386277917</v>
      </c>
      <c r="AH2282" s="9">
        <v>90.43943145512165</v>
      </c>
      <c r="AI2282" s="9">
        <v>98.380048333692613</v>
      </c>
      <c r="AJ2282" s="9">
        <v>3.0428788910505911</v>
      </c>
    </row>
    <row r="2283" spans="1:36" x14ac:dyDescent="0.25">
      <c r="A2283" t="s">
        <v>5411</v>
      </c>
      <c r="B2283" t="s">
        <v>16</v>
      </c>
      <c r="C2283" t="s">
        <v>17</v>
      </c>
      <c r="D2283">
        <v>48180000</v>
      </c>
      <c r="E2283">
        <v>48279999</v>
      </c>
      <c r="F2283" t="s">
        <v>2051</v>
      </c>
      <c r="G2283" t="str">
        <f t="shared" si="70"/>
        <v>BAI II</v>
      </c>
      <c r="H2283" t="s">
        <v>1700</v>
      </c>
      <c r="I2283" t="s">
        <v>20</v>
      </c>
      <c r="J2283" t="s">
        <v>64</v>
      </c>
      <c r="K2283" s="6">
        <v>0.03</v>
      </c>
      <c r="L2283" s="7">
        <f t="shared" si="71"/>
        <v>2E-3</v>
      </c>
      <c r="M2283" s="7">
        <v>3.0000000000000001E-3</v>
      </c>
      <c r="N2283">
        <v>9</v>
      </c>
      <c r="O2283" s="8">
        <v>22.933916850949441</v>
      </c>
      <c r="P2283" s="9">
        <v>22.933916850949441</v>
      </c>
      <c r="Q2283" s="9">
        <v>22.933916850949441</v>
      </c>
      <c r="R2283" s="9">
        <v>25.173745848546066</v>
      </c>
      <c r="S2283" s="9">
        <v>27.641690539343774</v>
      </c>
      <c r="T2283" s="9">
        <v>29.730378573928668</v>
      </c>
      <c r="U2283" s="9">
        <v>36.183590217329723</v>
      </c>
      <c r="V2283" s="9">
        <v>36.183590217329723</v>
      </c>
      <c r="W2283" s="9">
        <v>36.183590217329723</v>
      </c>
      <c r="X2283" s="9">
        <v>43.522810559209468</v>
      </c>
      <c r="Y2283" s="9">
        <v>43.522810559209468</v>
      </c>
      <c r="Z2283" s="9">
        <v>50.960858783530121</v>
      </c>
      <c r="AA2283" s="9">
        <v>50.960858783530121</v>
      </c>
      <c r="AB2283" s="9">
        <v>58.507617678535738</v>
      </c>
      <c r="AC2283" s="9">
        <v>58.507617678535738</v>
      </c>
      <c r="AD2283" s="9">
        <v>68.105109643716474</v>
      </c>
      <c r="AE2283" s="9">
        <v>75.132723269302929</v>
      </c>
      <c r="AF2283" s="9">
        <v>82.290622386277917</v>
      </c>
      <c r="AG2283" s="9">
        <v>82.290622386277917</v>
      </c>
      <c r="AH2283" s="9">
        <v>90.43943145512165</v>
      </c>
      <c r="AI2283" s="9">
        <v>98.380048333692613</v>
      </c>
      <c r="AJ2283" s="9">
        <v>3.0428788910505911</v>
      </c>
    </row>
    <row r="2284" spans="1:36" x14ac:dyDescent="0.25">
      <c r="A2284" t="s">
        <v>5411</v>
      </c>
      <c r="B2284" t="s">
        <v>16</v>
      </c>
      <c r="C2284" t="s">
        <v>17</v>
      </c>
      <c r="D2284">
        <v>48280000</v>
      </c>
      <c r="E2284">
        <v>48289999</v>
      </c>
      <c r="F2284" t="s">
        <v>2052</v>
      </c>
      <c r="G2284" t="str">
        <f t="shared" si="70"/>
        <v>BAI II</v>
      </c>
      <c r="H2284" t="s">
        <v>1700</v>
      </c>
      <c r="I2284" t="s">
        <v>20</v>
      </c>
      <c r="J2284" t="s">
        <v>64</v>
      </c>
      <c r="K2284" s="6">
        <v>0.03</v>
      </c>
      <c r="L2284" s="7">
        <f t="shared" si="71"/>
        <v>2E-3</v>
      </c>
      <c r="M2284" s="7">
        <v>3.0000000000000001E-3</v>
      </c>
      <c r="N2284">
        <v>9</v>
      </c>
      <c r="O2284" s="8">
        <v>22.933916850949441</v>
      </c>
      <c r="P2284" s="9">
        <v>22.933916850949441</v>
      </c>
      <c r="Q2284" s="9">
        <v>22.933916850949441</v>
      </c>
      <c r="R2284" s="9">
        <v>25.173745848546066</v>
      </c>
      <c r="S2284" s="9">
        <v>27.641690539343774</v>
      </c>
      <c r="T2284" s="9">
        <v>29.730378573928668</v>
      </c>
      <c r="U2284" s="9">
        <v>36.183590217329723</v>
      </c>
      <c r="V2284" s="9">
        <v>36.183590217329723</v>
      </c>
      <c r="W2284" s="9">
        <v>36.183590217329723</v>
      </c>
      <c r="X2284" s="9">
        <v>43.522810559209468</v>
      </c>
      <c r="Y2284" s="9">
        <v>43.522810559209468</v>
      </c>
      <c r="Z2284" s="9">
        <v>50.960858783530121</v>
      </c>
      <c r="AA2284" s="9">
        <v>50.960858783530121</v>
      </c>
      <c r="AB2284" s="9">
        <v>58.507617678535738</v>
      </c>
      <c r="AC2284" s="9">
        <v>58.507617678535738</v>
      </c>
      <c r="AD2284" s="9">
        <v>68.105109643716474</v>
      </c>
      <c r="AE2284" s="9">
        <v>75.132723269302929</v>
      </c>
      <c r="AF2284" s="9">
        <v>82.290622386277917</v>
      </c>
      <c r="AG2284" s="9">
        <v>82.290622386277917</v>
      </c>
      <c r="AH2284" s="9">
        <v>90.43943145512165</v>
      </c>
      <c r="AI2284" s="9">
        <v>98.380048333692613</v>
      </c>
      <c r="AJ2284" s="9">
        <v>3.0428788910505911</v>
      </c>
    </row>
    <row r="2285" spans="1:36" x14ac:dyDescent="0.25">
      <c r="A2285" t="s">
        <v>5411</v>
      </c>
      <c r="B2285" t="s">
        <v>16</v>
      </c>
      <c r="C2285" t="s">
        <v>17</v>
      </c>
      <c r="D2285">
        <v>48290000</v>
      </c>
      <c r="E2285">
        <v>48299999</v>
      </c>
      <c r="F2285" t="s">
        <v>2053</v>
      </c>
      <c r="G2285" t="str">
        <f t="shared" si="70"/>
        <v>BAI II</v>
      </c>
      <c r="H2285" t="s">
        <v>1700</v>
      </c>
      <c r="I2285" t="s">
        <v>20</v>
      </c>
      <c r="J2285" t="s">
        <v>64</v>
      </c>
      <c r="K2285" s="6">
        <v>0.03</v>
      </c>
      <c r="L2285" s="7">
        <f t="shared" si="71"/>
        <v>2E-3</v>
      </c>
      <c r="M2285" s="7">
        <v>3.0000000000000001E-3</v>
      </c>
      <c r="N2285">
        <v>9</v>
      </c>
      <c r="O2285" s="8">
        <v>22.933916850949441</v>
      </c>
      <c r="P2285" s="9">
        <v>22.933916850949441</v>
      </c>
      <c r="Q2285" s="9">
        <v>22.933916850949441</v>
      </c>
      <c r="R2285" s="9">
        <v>25.173745848546066</v>
      </c>
      <c r="S2285" s="9">
        <v>27.641690539343774</v>
      </c>
      <c r="T2285" s="9">
        <v>29.730378573928668</v>
      </c>
      <c r="U2285" s="9">
        <v>36.183590217329723</v>
      </c>
      <c r="V2285" s="9">
        <v>36.183590217329723</v>
      </c>
      <c r="W2285" s="9">
        <v>36.183590217329723</v>
      </c>
      <c r="X2285" s="9">
        <v>43.522810559209468</v>
      </c>
      <c r="Y2285" s="9">
        <v>43.522810559209468</v>
      </c>
      <c r="Z2285" s="9">
        <v>50.960858783530121</v>
      </c>
      <c r="AA2285" s="9">
        <v>50.960858783530121</v>
      </c>
      <c r="AB2285" s="9">
        <v>58.507617678535738</v>
      </c>
      <c r="AC2285" s="9">
        <v>58.507617678535738</v>
      </c>
      <c r="AD2285" s="9">
        <v>68.105109643716474</v>
      </c>
      <c r="AE2285" s="9">
        <v>75.132723269302929</v>
      </c>
      <c r="AF2285" s="9">
        <v>82.290622386277917</v>
      </c>
      <c r="AG2285" s="9">
        <v>82.290622386277917</v>
      </c>
      <c r="AH2285" s="9">
        <v>90.43943145512165</v>
      </c>
      <c r="AI2285" s="9">
        <v>98.380048333692613</v>
      </c>
      <c r="AJ2285" s="9">
        <v>3.0428788910505911</v>
      </c>
    </row>
    <row r="2286" spans="1:36" x14ac:dyDescent="0.25">
      <c r="A2286" t="s">
        <v>5411</v>
      </c>
      <c r="B2286" t="s">
        <v>16</v>
      </c>
      <c r="C2286" t="s">
        <v>17</v>
      </c>
      <c r="D2286">
        <v>48300000</v>
      </c>
      <c r="E2286">
        <v>48309999</v>
      </c>
      <c r="F2286" t="s">
        <v>2054</v>
      </c>
      <c r="G2286" t="str">
        <f t="shared" si="70"/>
        <v>BAI II</v>
      </c>
      <c r="H2286" t="s">
        <v>1700</v>
      </c>
      <c r="I2286" t="s">
        <v>20</v>
      </c>
      <c r="J2286" t="s">
        <v>64</v>
      </c>
      <c r="K2286" s="6">
        <v>0.03</v>
      </c>
      <c r="L2286" s="7">
        <f t="shared" si="71"/>
        <v>2E-3</v>
      </c>
      <c r="M2286" s="7">
        <v>3.0000000000000001E-3</v>
      </c>
      <c r="N2286">
        <v>9</v>
      </c>
      <c r="O2286" s="8">
        <v>22.933916850949441</v>
      </c>
      <c r="P2286" s="9">
        <v>22.933916850949441</v>
      </c>
      <c r="Q2286" s="9">
        <v>22.933916850949441</v>
      </c>
      <c r="R2286" s="9">
        <v>25.173745848546066</v>
      </c>
      <c r="S2286" s="9">
        <v>27.641690539343774</v>
      </c>
      <c r="T2286" s="9">
        <v>29.730378573928668</v>
      </c>
      <c r="U2286" s="9">
        <v>36.183590217329723</v>
      </c>
      <c r="V2286" s="9">
        <v>36.183590217329723</v>
      </c>
      <c r="W2286" s="9">
        <v>36.183590217329723</v>
      </c>
      <c r="X2286" s="9">
        <v>43.522810559209468</v>
      </c>
      <c r="Y2286" s="9">
        <v>43.522810559209468</v>
      </c>
      <c r="Z2286" s="9">
        <v>50.960858783530121</v>
      </c>
      <c r="AA2286" s="9">
        <v>50.960858783530121</v>
      </c>
      <c r="AB2286" s="9">
        <v>58.507617678535738</v>
      </c>
      <c r="AC2286" s="9">
        <v>58.507617678535738</v>
      </c>
      <c r="AD2286" s="9">
        <v>68.105109643716474</v>
      </c>
      <c r="AE2286" s="9">
        <v>75.132723269302929</v>
      </c>
      <c r="AF2286" s="9">
        <v>82.290622386277917</v>
      </c>
      <c r="AG2286" s="9">
        <v>82.290622386277917</v>
      </c>
      <c r="AH2286" s="9">
        <v>90.43943145512165</v>
      </c>
      <c r="AI2286" s="9">
        <v>98.380048333692613</v>
      </c>
      <c r="AJ2286" s="9">
        <v>3.0428788910505911</v>
      </c>
    </row>
    <row r="2287" spans="1:36" x14ac:dyDescent="0.25">
      <c r="A2287" t="s">
        <v>5411</v>
      </c>
      <c r="B2287" t="s">
        <v>16</v>
      </c>
      <c r="C2287" t="s">
        <v>17</v>
      </c>
      <c r="D2287">
        <v>48310000</v>
      </c>
      <c r="E2287">
        <v>48329999</v>
      </c>
      <c r="F2287" t="s">
        <v>2055</v>
      </c>
      <c r="G2287" t="str">
        <f t="shared" si="70"/>
        <v>BAI II</v>
      </c>
      <c r="H2287" t="s">
        <v>1700</v>
      </c>
      <c r="I2287" t="s">
        <v>20</v>
      </c>
      <c r="J2287" t="s">
        <v>64</v>
      </c>
      <c r="K2287" s="6">
        <v>0.03</v>
      </c>
      <c r="L2287" s="7">
        <f t="shared" si="71"/>
        <v>2E-3</v>
      </c>
      <c r="M2287" s="7">
        <v>3.0000000000000001E-3</v>
      </c>
      <c r="N2287">
        <v>9</v>
      </c>
      <c r="O2287" s="8">
        <v>22.933916850949441</v>
      </c>
      <c r="P2287" s="9">
        <v>22.933916850949441</v>
      </c>
      <c r="Q2287" s="9">
        <v>22.933916850949441</v>
      </c>
      <c r="R2287" s="9">
        <v>25.173745848546066</v>
      </c>
      <c r="S2287" s="9">
        <v>27.641690539343774</v>
      </c>
      <c r="T2287" s="9">
        <v>29.730378573928668</v>
      </c>
      <c r="U2287" s="9">
        <v>36.183590217329723</v>
      </c>
      <c r="V2287" s="9">
        <v>36.183590217329723</v>
      </c>
      <c r="W2287" s="9">
        <v>36.183590217329723</v>
      </c>
      <c r="X2287" s="9">
        <v>43.522810559209468</v>
      </c>
      <c r="Y2287" s="9">
        <v>43.522810559209468</v>
      </c>
      <c r="Z2287" s="9">
        <v>50.960858783530121</v>
      </c>
      <c r="AA2287" s="9">
        <v>50.960858783530121</v>
      </c>
      <c r="AB2287" s="9">
        <v>58.507617678535738</v>
      </c>
      <c r="AC2287" s="9">
        <v>58.507617678535738</v>
      </c>
      <c r="AD2287" s="9">
        <v>68.105109643716474</v>
      </c>
      <c r="AE2287" s="9">
        <v>75.132723269302929</v>
      </c>
      <c r="AF2287" s="9">
        <v>82.290622386277917</v>
      </c>
      <c r="AG2287" s="9">
        <v>82.290622386277917</v>
      </c>
      <c r="AH2287" s="9">
        <v>90.43943145512165</v>
      </c>
      <c r="AI2287" s="9">
        <v>98.380048333692613</v>
      </c>
      <c r="AJ2287" s="9">
        <v>3.0428788910505911</v>
      </c>
    </row>
    <row r="2288" spans="1:36" x14ac:dyDescent="0.25">
      <c r="A2288" t="s">
        <v>5411</v>
      </c>
      <c r="B2288" t="s">
        <v>16</v>
      </c>
      <c r="C2288" t="s">
        <v>17</v>
      </c>
      <c r="D2288">
        <v>48330000</v>
      </c>
      <c r="E2288">
        <v>48349999</v>
      </c>
      <c r="F2288" t="s">
        <v>2056</v>
      </c>
      <c r="G2288" t="str">
        <f t="shared" si="70"/>
        <v>BAI II</v>
      </c>
      <c r="H2288" t="s">
        <v>1700</v>
      </c>
      <c r="I2288" t="s">
        <v>20</v>
      </c>
      <c r="J2288" t="s">
        <v>64</v>
      </c>
      <c r="K2288" s="6">
        <v>0.03</v>
      </c>
      <c r="L2288" s="7">
        <f t="shared" si="71"/>
        <v>2E-3</v>
      </c>
      <c r="M2288" s="7">
        <v>3.0000000000000001E-3</v>
      </c>
      <c r="N2288">
        <v>9</v>
      </c>
      <c r="O2288" s="8">
        <v>22.933916850949441</v>
      </c>
      <c r="P2288" s="9">
        <v>22.933916850949441</v>
      </c>
      <c r="Q2288" s="9">
        <v>22.933916850949441</v>
      </c>
      <c r="R2288" s="9">
        <v>25.173745848546066</v>
      </c>
      <c r="S2288" s="9">
        <v>27.641690539343774</v>
      </c>
      <c r="T2288" s="9">
        <v>29.730378573928668</v>
      </c>
      <c r="U2288" s="9">
        <v>36.183590217329723</v>
      </c>
      <c r="V2288" s="9">
        <v>36.183590217329723</v>
      </c>
      <c r="W2288" s="9">
        <v>36.183590217329723</v>
      </c>
      <c r="X2288" s="9">
        <v>43.522810559209468</v>
      </c>
      <c r="Y2288" s="9">
        <v>43.522810559209468</v>
      </c>
      <c r="Z2288" s="9">
        <v>50.960858783530121</v>
      </c>
      <c r="AA2288" s="9">
        <v>50.960858783530121</v>
      </c>
      <c r="AB2288" s="9">
        <v>58.507617678535738</v>
      </c>
      <c r="AC2288" s="9">
        <v>58.507617678535738</v>
      </c>
      <c r="AD2288" s="9">
        <v>68.105109643716474</v>
      </c>
      <c r="AE2288" s="9">
        <v>75.132723269302929</v>
      </c>
      <c r="AF2288" s="9">
        <v>82.290622386277917</v>
      </c>
      <c r="AG2288" s="9">
        <v>82.290622386277917</v>
      </c>
      <c r="AH2288" s="9">
        <v>90.43943145512165</v>
      </c>
      <c r="AI2288" s="9">
        <v>98.380048333692613</v>
      </c>
      <c r="AJ2288" s="9">
        <v>3.0428788910505911</v>
      </c>
    </row>
    <row r="2289" spans="1:36" x14ac:dyDescent="0.25">
      <c r="A2289" t="s">
        <v>5411</v>
      </c>
      <c r="B2289" t="s">
        <v>16</v>
      </c>
      <c r="C2289" t="s">
        <v>17</v>
      </c>
      <c r="D2289">
        <v>48350000</v>
      </c>
      <c r="E2289">
        <v>48359999</v>
      </c>
      <c r="F2289" t="s">
        <v>2057</v>
      </c>
      <c r="G2289" t="str">
        <f t="shared" si="70"/>
        <v>BAI II</v>
      </c>
      <c r="H2289" t="s">
        <v>1700</v>
      </c>
      <c r="I2289" t="s">
        <v>20</v>
      </c>
      <c r="J2289" t="s">
        <v>64</v>
      </c>
      <c r="K2289" s="6">
        <v>0.03</v>
      </c>
      <c r="L2289" s="7">
        <f t="shared" si="71"/>
        <v>2E-3</v>
      </c>
      <c r="M2289" s="7">
        <v>3.0000000000000001E-3</v>
      </c>
      <c r="N2289">
        <v>9</v>
      </c>
      <c r="O2289" s="8">
        <v>22.933916850949441</v>
      </c>
      <c r="P2289" s="9">
        <v>22.933916850949441</v>
      </c>
      <c r="Q2289" s="9">
        <v>22.933916850949441</v>
      </c>
      <c r="R2289" s="9">
        <v>25.173745848546066</v>
      </c>
      <c r="S2289" s="9">
        <v>27.641690539343774</v>
      </c>
      <c r="T2289" s="9">
        <v>29.730378573928668</v>
      </c>
      <c r="U2289" s="9">
        <v>36.183590217329723</v>
      </c>
      <c r="V2289" s="9">
        <v>36.183590217329723</v>
      </c>
      <c r="W2289" s="9">
        <v>36.183590217329723</v>
      </c>
      <c r="X2289" s="9">
        <v>43.522810559209468</v>
      </c>
      <c r="Y2289" s="9">
        <v>43.522810559209468</v>
      </c>
      <c r="Z2289" s="9">
        <v>50.960858783530121</v>
      </c>
      <c r="AA2289" s="9">
        <v>50.960858783530121</v>
      </c>
      <c r="AB2289" s="9">
        <v>58.507617678535738</v>
      </c>
      <c r="AC2289" s="9">
        <v>58.507617678535738</v>
      </c>
      <c r="AD2289" s="9">
        <v>68.105109643716474</v>
      </c>
      <c r="AE2289" s="9">
        <v>75.132723269302929</v>
      </c>
      <c r="AF2289" s="9">
        <v>82.290622386277917</v>
      </c>
      <c r="AG2289" s="9">
        <v>82.290622386277917</v>
      </c>
      <c r="AH2289" s="9">
        <v>90.43943145512165</v>
      </c>
      <c r="AI2289" s="9">
        <v>98.380048333692613</v>
      </c>
      <c r="AJ2289" s="9">
        <v>3.0428788910505911</v>
      </c>
    </row>
    <row r="2290" spans="1:36" x14ac:dyDescent="0.25">
      <c r="A2290" t="s">
        <v>5411</v>
      </c>
      <c r="B2290" t="s">
        <v>16</v>
      </c>
      <c r="C2290" t="s">
        <v>17</v>
      </c>
      <c r="D2290">
        <v>48360000</v>
      </c>
      <c r="E2290">
        <v>48369999</v>
      </c>
      <c r="F2290" t="s">
        <v>2058</v>
      </c>
      <c r="G2290" t="str">
        <f t="shared" si="70"/>
        <v>BAI II</v>
      </c>
      <c r="H2290" t="s">
        <v>1700</v>
      </c>
      <c r="I2290" t="s">
        <v>20</v>
      </c>
      <c r="J2290" t="s">
        <v>64</v>
      </c>
      <c r="K2290" s="6">
        <v>0.03</v>
      </c>
      <c r="L2290" s="7">
        <f t="shared" si="71"/>
        <v>2E-3</v>
      </c>
      <c r="M2290" s="7">
        <v>3.0000000000000001E-3</v>
      </c>
      <c r="N2290">
        <v>9</v>
      </c>
      <c r="O2290" s="8">
        <v>22.933916850949441</v>
      </c>
      <c r="P2290" s="9">
        <v>22.933916850949441</v>
      </c>
      <c r="Q2290" s="9">
        <v>22.933916850949441</v>
      </c>
      <c r="R2290" s="9">
        <v>25.173745848546066</v>
      </c>
      <c r="S2290" s="9">
        <v>27.641690539343774</v>
      </c>
      <c r="T2290" s="9">
        <v>29.730378573928668</v>
      </c>
      <c r="U2290" s="9">
        <v>36.183590217329723</v>
      </c>
      <c r="V2290" s="9">
        <v>36.183590217329723</v>
      </c>
      <c r="W2290" s="9">
        <v>36.183590217329723</v>
      </c>
      <c r="X2290" s="9">
        <v>43.522810559209468</v>
      </c>
      <c r="Y2290" s="9">
        <v>43.522810559209468</v>
      </c>
      <c r="Z2290" s="9">
        <v>50.960858783530121</v>
      </c>
      <c r="AA2290" s="9">
        <v>50.960858783530121</v>
      </c>
      <c r="AB2290" s="9">
        <v>58.507617678535738</v>
      </c>
      <c r="AC2290" s="9">
        <v>58.507617678535738</v>
      </c>
      <c r="AD2290" s="9">
        <v>68.105109643716474</v>
      </c>
      <c r="AE2290" s="9">
        <v>75.132723269302929</v>
      </c>
      <c r="AF2290" s="9">
        <v>82.290622386277917</v>
      </c>
      <c r="AG2290" s="9">
        <v>82.290622386277917</v>
      </c>
      <c r="AH2290" s="9">
        <v>90.43943145512165</v>
      </c>
      <c r="AI2290" s="9">
        <v>98.380048333692613</v>
      </c>
      <c r="AJ2290" s="9">
        <v>3.0428788910505911</v>
      </c>
    </row>
    <row r="2291" spans="1:36" x14ac:dyDescent="0.25">
      <c r="A2291" t="s">
        <v>5411</v>
      </c>
      <c r="B2291" t="s">
        <v>16</v>
      </c>
      <c r="C2291" t="s">
        <v>17</v>
      </c>
      <c r="D2291">
        <v>48370000</v>
      </c>
      <c r="E2291">
        <v>48389999</v>
      </c>
      <c r="F2291" t="s">
        <v>2059</v>
      </c>
      <c r="G2291" t="str">
        <f t="shared" si="70"/>
        <v>BAI II</v>
      </c>
      <c r="H2291" t="s">
        <v>1700</v>
      </c>
      <c r="I2291" t="s">
        <v>20</v>
      </c>
      <c r="J2291" t="s">
        <v>64</v>
      </c>
      <c r="K2291" s="6">
        <v>0.03</v>
      </c>
      <c r="L2291" s="7">
        <f t="shared" si="71"/>
        <v>2E-3</v>
      </c>
      <c r="M2291" s="7">
        <v>3.0000000000000001E-3</v>
      </c>
      <c r="N2291">
        <v>9</v>
      </c>
      <c r="O2291" s="8">
        <v>22.933916850949441</v>
      </c>
      <c r="P2291" s="9">
        <v>22.933916850949441</v>
      </c>
      <c r="Q2291" s="9">
        <v>22.933916850949441</v>
      </c>
      <c r="R2291" s="9">
        <v>25.173745848546066</v>
      </c>
      <c r="S2291" s="9">
        <v>27.641690539343774</v>
      </c>
      <c r="T2291" s="9">
        <v>29.730378573928668</v>
      </c>
      <c r="U2291" s="9">
        <v>36.183590217329723</v>
      </c>
      <c r="V2291" s="9">
        <v>36.183590217329723</v>
      </c>
      <c r="W2291" s="9">
        <v>36.183590217329723</v>
      </c>
      <c r="X2291" s="9">
        <v>43.522810559209468</v>
      </c>
      <c r="Y2291" s="9">
        <v>43.522810559209468</v>
      </c>
      <c r="Z2291" s="9">
        <v>50.960858783530121</v>
      </c>
      <c r="AA2291" s="9">
        <v>50.960858783530121</v>
      </c>
      <c r="AB2291" s="9">
        <v>58.507617678535738</v>
      </c>
      <c r="AC2291" s="9">
        <v>58.507617678535738</v>
      </c>
      <c r="AD2291" s="9">
        <v>68.105109643716474</v>
      </c>
      <c r="AE2291" s="9">
        <v>75.132723269302929</v>
      </c>
      <c r="AF2291" s="9">
        <v>82.290622386277917</v>
      </c>
      <c r="AG2291" s="9">
        <v>82.290622386277917</v>
      </c>
      <c r="AH2291" s="9">
        <v>90.43943145512165</v>
      </c>
      <c r="AI2291" s="9">
        <v>98.380048333692613</v>
      </c>
      <c r="AJ2291" s="9">
        <v>3.0428788910505911</v>
      </c>
    </row>
    <row r="2292" spans="1:36" x14ac:dyDescent="0.25">
      <c r="A2292" t="s">
        <v>5411</v>
      </c>
      <c r="B2292" t="s">
        <v>16</v>
      </c>
      <c r="C2292" t="s">
        <v>17</v>
      </c>
      <c r="D2292">
        <v>48390000</v>
      </c>
      <c r="E2292">
        <v>48399999</v>
      </c>
      <c r="F2292" t="s">
        <v>2060</v>
      </c>
      <c r="G2292" t="str">
        <f t="shared" si="70"/>
        <v>BAI II</v>
      </c>
      <c r="H2292" t="s">
        <v>1700</v>
      </c>
      <c r="I2292" t="s">
        <v>20</v>
      </c>
      <c r="J2292" t="s">
        <v>64</v>
      </c>
      <c r="K2292" s="6">
        <v>0.03</v>
      </c>
      <c r="L2292" s="7">
        <f t="shared" si="71"/>
        <v>2E-3</v>
      </c>
      <c r="M2292" s="7">
        <v>3.0000000000000001E-3</v>
      </c>
      <c r="N2292">
        <v>9</v>
      </c>
      <c r="O2292" s="8">
        <v>22.933916850949441</v>
      </c>
      <c r="P2292" s="9">
        <v>22.933916850949441</v>
      </c>
      <c r="Q2292" s="9">
        <v>22.933916850949441</v>
      </c>
      <c r="R2292" s="9">
        <v>25.173745848546066</v>
      </c>
      <c r="S2292" s="9">
        <v>27.641690539343774</v>
      </c>
      <c r="T2292" s="9">
        <v>29.730378573928668</v>
      </c>
      <c r="U2292" s="9">
        <v>36.183590217329723</v>
      </c>
      <c r="V2292" s="9">
        <v>36.183590217329723</v>
      </c>
      <c r="W2292" s="9">
        <v>36.183590217329723</v>
      </c>
      <c r="X2292" s="9">
        <v>43.522810559209468</v>
      </c>
      <c r="Y2292" s="9">
        <v>43.522810559209468</v>
      </c>
      <c r="Z2292" s="9">
        <v>50.960858783530121</v>
      </c>
      <c r="AA2292" s="9">
        <v>50.960858783530121</v>
      </c>
      <c r="AB2292" s="9">
        <v>58.507617678535738</v>
      </c>
      <c r="AC2292" s="9">
        <v>58.507617678535738</v>
      </c>
      <c r="AD2292" s="9">
        <v>68.105109643716474</v>
      </c>
      <c r="AE2292" s="9">
        <v>75.132723269302929</v>
      </c>
      <c r="AF2292" s="9">
        <v>82.290622386277917</v>
      </c>
      <c r="AG2292" s="9">
        <v>82.290622386277917</v>
      </c>
      <c r="AH2292" s="9">
        <v>90.43943145512165</v>
      </c>
      <c r="AI2292" s="9">
        <v>98.380048333692613</v>
      </c>
      <c r="AJ2292" s="9">
        <v>3.0428788910505911</v>
      </c>
    </row>
    <row r="2293" spans="1:36" x14ac:dyDescent="0.25">
      <c r="A2293" t="s">
        <v>5411</v>
      </c>
      <c r="B2293" t="s">
        <v>16</v>
      </c>
      <c r="C2293" t="s">
        <v>17</v>
      </c>
      <c r="D2293">
        <v>48400000</v>
      </c>
      <c r="E2293">
        <v>48404999</v>
      </c>
      <c r="F2293" t="s">
        <v>2061</v>
      </c>
      <c r="G2293" t="str">
        <f t="shared" si="70"/>
        <v>BAI II</v>
      </c>
      <c r="H2293" t="s">
        <v>1700</v>
      </c>
      <c r="I2293" t="s">
        <v>20</v>
      </c>
      <c r="J2293" t="s">
        <v>64</v>
      </c>
      <c r="K2293" s="6">
        <v>0.03</v>
      </c>
      <c r="L2293" s="7">
        <f t="shared" si="71"/>
        <v>2E-3</v>
      </c>
      <c r="M2293" s="7">
        <v>3.0000000000000001E-3</v>
      </c>
      <c r="N2293">
        <v>9</v>
      </c>
      <c r="O2293" s="8">
        <v>22.933916850949441</v>
      </c>
      <c r="P2293" s="9">
        <v>22.933916850949441</v>
      </c>
      <c r="Q2293" s="9">
        <v>22.933916850949441</v>
      </c>
      <c r="R2293" s="9">
        <v>25.173745848546066</v>
      </c>
      <c r="S2293" s="9">
        <v>27.641690539343774</v>
      </c>
      <c r="T2293" s="9">
        <v>29.730378573928668</v>
      </c>
      <c r="U2293" s="9">
        <v>36.183590217329723</v>
      </c>
      <c r="V2293" s="9">
        <v>36.183590217329723</v>
      </c>
      <c r="W2293" s="9">
        <v>36.183590217329723</v>
      </c>
      <c r="X2293" s="9">
        <v>43.522810559209468</v>
      </c>
      <c r="Y2293" s="9">
        <v>43.522810559209468</v>
      </c>
      <c r="Z2293" s="9">
        <v>50.960858783530121</v>
      </c>
      <c r="AA2293" s="9">
        <v>50.960858783530121</v>
      </c>
      <c r="AB2293" s="9">
        <v>58.507617678535738</v>
      </c>
      <c r="AC2293" s="9">
        <v>58.507617678535738</v>
      </c>
      <c r="AD2293" s="9">
        <v>68.105109643716474</v>
      </c>
      <c r="AE2293" s="9">
        <v>75.132723269302929</v>
      </c>
      <c r="AF2293" s="9">
        <v>82.290622386277917</v>
      </c>
      <c r="AG2293" s="9">
        <v>82.290622386277917</v>
      </c>
      <c r="AH2293" s="9">
        <v>90.43943145512165</v>
      </c>
      <c r="AI2293" s="9">
        <v>98.380048333692613</v>
      </c>
      <c r="AJ2293" s="9">
        <v>3.0428788910505911</v>
      </c>
    </row>
    <row r="2294" spans="1:36" x14ac:dyDescent="0.25">
      <c r="A2294" t="s">
        <v>5411</v>
      </c>
      <c r="B2294" t="s">
        <v>16</v>
      </c>
      <c r="C2294" t="s">
        <v>17</v>
      </c>
      <c r="D2294">
        <v>48405000</v>
      </c>
      <c r="E2294">
        <v>48409999</v>
      </c>
      <c r="F2294" t="s">
        <v>2062</v>
      </c>
      <c r="G2294" t="str">
        <f t="shared" si="70"/>
        <v>BAI II</v>
      </c>
      <c r="H2294" t="s">
        <v>1700</v>
      </c>
      <c r="I2294" t="s">
        <v>20</v>
      </c>
      <c r="J2294" t="s">
        <v>64</v>
      </c>
      <c r="K2294" s="6">
        <v>0.03</v>
      </c>
      <c r="L2294" s="7">
        <f t="shared" si="71"/>
        <v>2E-3</v>
      </c>
      <c r="M2294" s="7">
        <v>3.0000000000000001E-3</v>
      </c>
      <c r="N2294">
        <v>14</v>
      </c>
      <c r="O2294" s="8">
        <v>22.933916850949441</v>
      </c>
      <c r="P2294" s="9">
        <v>22.933916850949441</v>
      </c>
      <c r="Q2294" s="9">
        <v>22.933916850949441</v>
      </c>
      <c r="R2294" s="9">
        <v>25.173745848546066</v>
      </c>
      <c r="S2294" s="9">
        <v>27.641690539343774</v>
      </c>
      <c r="T2294" s="9">
        <v>29.730378573928668</v>
      </c>
      <c r="U2294" s="9">
        <v>36.183590217329723</v>
      </c>
      <c r="V2294" s="9">
        <v>36.183590217329723</v>
      </c>
      <c r="W2294" s="9">
        <v>36.183590217329723</v>
      </c>
      <c r="X2294" s="9">
        <v>43.522810559209468</v>
      </c>
      <c r="Y2294" s="9">
        <v>43.522810559209468</v>
      </c>
      <c r="Z2294" s="9">
        <v>50.960858783530121</v>
      </c>
      <c r="AA2294" s="9">
        <v>50.960858783530121</v>
      </c>
      <c r="AB2294" s="9">
        <v>58.507617678535738</v>
      </c>
      <c r="AC2294" s="9">
        <v>58.507617678535738</v>
      </c>
      <c r="AD2294" s="9">
        <v>68.105109643716474</v>
      </c>
      <c r="AE2294" s="9">
        <v>75.132723269302929</v>
      </c>
      <c r="AF2294" s="9">
        <v>82.290622386277917</v>
      </c>
      <c r="AG2294" s="9">
        <v>82.290622386277917</v>
      </c>
      <c r="AH2294" s="9">
        <v>90.43943145512165</v>
      </c>
      <c r="AI2294" s="9">
        <v>98.380048333692613</v>
      </c>
      <c r="AJ2294" s="9">
        <v>3.0428788910505911</v>
      </c>
    </row>
    <row r="2295" spans="1:36" x14ac:dyDescent="0.25">
      <c r="A2295" t="s">
        <v>5411</v>
      </c>
      <c r="B2295" t="s">
        <v>16</v>
      </c>
      <c r="C2295" t="s">
        <v>17</v>
      </c>
      <c r="D2295">
        <v>48410000</v>
      </c>
      <c r="E2295">
        <v>48414999</v>
      </c>
      <c r="F2295" t="s">
        <v>2063</v>
      </c>
      <c r="G2295" t="str">
        <f t="shared" si="70"/>
        <v>BAI II</v>
      </c>
      <c r="H2295" t="s">
        <v>1700</v>
      </c>
      <c r="I2295" t="s">
        <v>20</v>
      </c>
      <c r="J2295" t="s">
        <v>64</v>
      </c>
      <c r="K2295" s="6">
        <v>0.03</v>
      </c>
      <c r="L2295" s="7">
        <f t="shared" si="71"/>
        <v>2E-3</v>
      </c>
      <c r="M2295" s="7">
        <v>3.0000000000000001E-3</v>
      </c>
      <c r="N2295">
        <v>9</v>
      </c>
      <c r="O2295" s="8">
        <v>22.933916850949441</v>
      </c>
      <c r="P2295" s="9">
        <v>22.933916850949441</v>
      </c>
      <c r="Q2295" s="9">
        <v>22.933916850949441</v>
      </c>
      <c r="R2295" s="9">
        <v>25.173745848546066</v>
      </c>
      <c r="S2295" s="9">
        <v>27.641690539343774</v>
      </c>
      <c r="T2295" s="9">
        <v>29.730378573928668</v>
      </c>
      <c r="U2295" s="9">
        <v>36.183590217329723</v>
      </c>
      <c r="V2295" s="9">
        <v>36.183590217329723</v>
      </c>
      <c r="W2295" s="9">
        <v>36.183590217329723</v>
      </c>
      <c r="X2295" s="9">
        <v>43.522810559209468</v>
      </c>
      <c r="Y2295" s="9">
        <v>43.522810559209468</v>
      </c>
      <c r="Z2295" s="9">
        <v>50.960858783530121</v>
      </c>
      <c r="AA2295" s="9">
        <v>50.960858783530121</v>
      </c>
      <c r="AB2295" s="9">
        <v>58.507617678535738</v>
      </c>
      <c r="AC2295" s="9">
        <v>58.507617678535738</v>
      </c>
      <c r="AD2295" s="9">
        <v>68.105109643716474</v>
      </c>
      <c r="AE2295" s="9">
        <v>75.132723269302929</v>
      </c>
      <c r="AF2295" s="9">
        <v>82.290622386277917</v>
      </c>
      <c r="AG2295" s="9">
        <v>82.290622386277917</v>
      </c>
      <c r="AH2295" s="9">
        <v>90.43943145512165</v>
      </c>
      <c r="AI2295" s="9">
        <v>98.380048333692613</v>
      </c>
      <c r="AJ2295" s="9">
        <v>3.0428788910505911</v>
      </c>
    </row>
    <row r="2296" spans="1:36" x14ac:dyDescent="0.25">
      <c r="A2296" t="s">
        <v>5411</v>
      </c>
      <c r="B2296" t="s">
        <v>16</v>
      </c>
      <c r="C2296" t="s">
        <v>17</v>
      </c>
      <c r="D2296">
        <v>48415000</v>
      </c>
      <c r="E2296">
        <v>48419999</v>
      </c>
      <c r="F2296" t="s">
        <v>2064</v>
      </c>
      <c r="G2296" t="str">
        <f t="shared" si="70"/>
        <v>BAI II</v>
      </c>
      <c r="H2296" t="s">
        <v>1700</v>
      </c>
      <c r="I2296" t="s">
        <v>20</v>
      </c>
      <c r="J2296" t="s">
        <v>64</v>
      </c>
      <c r="K2296" s="6">
        <v>0.03</v>
      </c>
      <c r="L2296" s="7">
        <f t="shared" si="71"/>
        <v>2E-3</v>
      </c>
      <c r="M2296" s="7">
        <v>3.0000000000000001E-3</v>
      </c>
      <c r="N2296">
        <v>14</v>
      </c>
      <c r="O2296" s="8">
        <v>22.933916850949441</v>
      </c>
      <c r="P2296" s="9">
        <v>22.933916850949441</v>
      </c>
      <c r="Q2296" s="9">
        <v>22.933916850949441</v>
      </c>
      <c r="R2296" s="9">
        <v>25.173745848546066</v>
      </c>
      <c r="S2296" s="9">
        <v>27.641690539343774</v>
      </c>
      <c r="T2296" s="9">
        <v>29.730378573928668</v>
      </c>
      <c r="U2296" s="9">
        <v>36.183590217329723</v>
      </c>
      <c r="V2296" s="9">
        <v>36.183590217329723</v>
      </c>
      <c r="W2296" s="9">
        <v>36.183590217329723</v>
      </c>
      <c r="X2296" s="9">
        <v>43.522810559209468</v>
      </c>
      <c r="Y2296" s="9">
        <v>43.522810559209468</v>
      </c>
      <c r="Z2296" s="9">
        <v>50.960858783530121</v>
      </c>
      <c r="AA2296" s="9">
        <v>50.960858783530121</v>
      </c>
      <c r="AB2296" s="9">
        <v>58.507617678535738</v>
      </c>
      <c r="AC2296" s="9">
        <v>58.507617678535738</v>
      </c>
      <c r="AD2296" s="9">
        <v>68.105109643716474</v>
      </c>
      <c r="AE2296" s="9">
        <v>75.132723269302929</v>
      </c>
      <c r="AF2296" s="9">
        <v>82.290622386277917</v>
      </c>
      <c r="AG2296" s="9">
        <v>82.290622386277917</v>
      </c>
      <c r="AH2296" s="9">
        <v>90.43943145512165</v>
      </c>
      <c r="AI2296" s="9">
        <v>98.380048333692613</v>
      </c>
      <c r="AJ2296" s="9">
        <v>3.0428788910505911</v>
      </c>
    </row>
    <row r="2297" spans="1:36" x14ac:dyDescent="0.25">
      <c r="A2297" t="s">
        <v>5411</v>
      </c>
      <c r="B2297" t="s">
        <v>16</v>
      </c>
      <c r="C2297" t="s">
        <v>17</v>
      </c>
      <c r="D2297">
        <v>48420000</v>
      </c>
      <c r="E2297">
        <v>48429999</v>
      </c>
      <c r="F2297" t="s">
        <v>2065</v>
      </c>
      <c r="G2297" t="str">
        <f t="shared" si="70"/>
        <v>BAI II</v>
      </c>
      <c r="H2297" t="s">
        <v>1700</v>
      </c>
      <c r="I2297" t="s">
        <v>20</v>
      </c>
      <c r="J2297" t="s">
        <v>64</v>
      </c>
      <c r="K2297" s="6">
        <v>0.03</v>
      </c>
      <c r="L2297" s="7">
        <f t="shared" si="71"/>
        <v>2E-3</v>
      </c>
      <c r="M2297" s="7">
        <v>3.0000000000000001E-3</v>
      </c>
      <c r="N2297">
        <v>14</v>
      </c>
      <c r="O2297" s="8">
        <v>22.933916850949441</v>
      </c>
      <c r="P2297" s="9">
        <v>22.933916850949441</v>
      </c>
      <c r="Q2297" s="9">
        <v>22.933916850949441</v>
      </c>
      <c r="R2297" s="9">
        <v>25.173745848546066</v>
      </c>
      <c r="S2297" s="9">
        <v>27.641690539343774</v>
      </c>
      <c r="T2297" s="9">
        <v>29.730378573928668</v>
      </c>
      <c r="U2297" s="9">
        <v>36.183590217329723</v>
      </c>
      <c r="V2297" s="9">
        <v>36.183590217329723</v>
      </c>
      <c r="W2297" s="9">
        <v>36.183590217329723</v>
      </c>
      <c r="X2297" s="9">
        <v>43.522810559209468</v>
      </c>
      <c r="Y2297" s="9">
        <v>43.522810559209468</v>
      </c>
      <c r="Z2297" s="9">
        <v>50.960858783530121</v>
      </c>
      <c r="AA2297" s="9">
        <v>50.960858783530121</v>
      </c>
      <c r="AB2297" s="9">
        <v>58.507617678535738</v>
      </c>
      <c r="AC2297" s="9">
        <v>58.507617678535738</v>
      </c>
      <c r="AD2297" s="9">
        <v>68.105109643716474</v>
      </c>
      <c r="AE2297" s="9">
        <v>75.132723269302929</v>
      </c>
      <c r="AF2297" s="9">
        <v>82.290622386277917</v>
      </c>
      <c r="AG2297" s="9">
        <v>82.290622386277917</v>
      </c>
      <c r="AH2297" s="9">
        <v>90.43943145512165</v>
      </c>
      <c r="AI2297" s="9">
        <v>98.380048333692613</v>
      </c>
      <c r="AJ2297" s="9">
        <v>3.0428788910505911</v>
      </c>
    </row>
    <row r="2298" spans="1:36" x14ac:dyDescent="0.25">
      <c r="A2298" t="s">
        <v>5411</v>
      </c>
      <c r="B2298" t="s">
        <v>16</v>
      </c>
      <c r="C2298" t="s">
        <v>17</v>
      </c>
      <c r="D2298">
        <v>48430000</v>
      </c>
      <c r="E2298">
        <v>48434999</v>
      </c>
      <c r="F2298" t="s">
        <v>2066</v>
      </c>
      <c r="G2298" t="str">
        <f t="shared" si="70"/>
        <v>BAI II</v>
      </c>
      <c r="H2298" t="s">
        <v>1700</v>
      </c>
      <c r="I2298" t="s">
        <v>20</v>
      </c>
      <c r="J2298" t="s">
        <v>64</v>
      </c>
      <c r="K2298" s="6">
        <v>0.03</v>
      </c>
      <c r="L2298" s="7">
        <f t="shared" si="71"/>
        <v>2E-3</v>
      </c>
      <c r="M2298" s="7">
        <v>3.0000000000000001E-3</v>
      </c>
      <c r="N2298">
        <v>14</v>
      </c>
      <c r="O2298" s="8">
        <v>22.933916850949441</v>
      </c>
      <c r="P2298" s="9">
        <v>22.933916850949441</v>
      </c>
      <c r="Q2298" s="9">
        <v>22.933916850949441</v>
      </c>
      <c r="R2298" s="9">
        <v>25.173745848546066</v>
      </c>
      <c r="S2298" s="9">
        <v>27.641690539343774</v>
      </c>
      <c r="T2298" s="9">
        <v>29.730378573928668</v>
      </c>
      <c r="U2298" s="9">
        <v>36.183590217329723</v>
      </c>
      <c r="V2298" s="9">
        <v>36.183590217329723</v>
      </c>
      <c r="W2298" s="9">
        <v>36.183590217329723</v>
      </c>
      <c r="X2298" s="9">
        <v>43.522810559209468</v>
      </c>
      <c r="Y2298" s="9">
        <v>43.522810559209468</v>
      </c>
      <c r="Z2298" s="9">
        <v>50.960858783530121</v>
      </c>
      <c r="AA2298" s="9">
        <v>50.960858783530121</v>
      </c>
      <c r="AB2298" s="9">
        <v>58.507617678535738</v>
      </c>
      <c r="AC2298" s="9">
        <v>58.507617678535738</v>
      </c>
      <c r="AD2298" s="9">
        <v>68.105109643716474</v>
      </c>
      <c r="AE2298" s="9">
        <v>75.132723269302929</v>
      </c>
      <c r="AF2298" s="9">
        <v>82.290622386277917</v>
      </c>
      <c r="AG2298" s="9">
        <v>82.290622386277917</v>
      </c>
      <c r="AH2298" s="9">
        <v>90.43943145512165</v>
      </c>
      <c r="AI2298" s="9">
        <v>98.380048333692613</v>
      </c>
      <c r="AJ2298" s="9">
        <v>3.0428788910505911</v>
      </c>
    </row>
    <row r="2299" spans="1:36" x14ac:dyDescent="0.25">
      <c r="A2299" t="s">
        <v>5411</v>
      </c>
      <c r="B2299" t="s">
        <v>16</v>
      </c>
      <c r="C2299" t="s">
        <v>17</v>
      </c>
      <c r="D2299">
        <v>48435000</v>
      </c>
      <c r="E2299">
        <v>48439999</v>
      </c>
      <c r="F2299" t="s">
        <v>2067</v>
      </c>
      <c r="G2299" t="str">
        <f t="shared" si="70"/>
        <v>BAI II</v>
      </c>
      <c r="H2299" t="s">
        <v>1700</v>
      </c>
      <c r="I2299" t="s">
        <v>20</v>
      </c>
      <c r="J2299" t="s">
        <v>64</v>
      </c>
      <c r="K2299" s="6">
        <v>0.03</v>
      </c>
      <c r="L2299" s="7">
        <f t="shared" si="71"/>
        <v>2E-3</v>
      </c>
      <c r="M2299" s="7">
        <v>3.0000000000000001E-3</v>
      </c>
      <c r="N2299">
        <v>14</v>
      </c>
      <c r="O2299" s="8">
        <v>22.933916850949441</v>
      </c>
      <c r="P2299" s="9">
        <v>22.933916850949441</v>
      </c>
      <c r="Q2299" s="9">
        <v>22.933916850949441</v>
      </c>
      <c r="R2299" s="9">
        <v>25.173745848546066</v>
      </c>
      <c r="S2299" s="9">
        <v>27.641690539343774</v>
      </c>
      <c r="T2299" s="9">
        <v>29.730378573928668</v>
      </c>
      <c r="U2299" s="9">
        <v>36.183590217329723</v>
      </c>
      <c r="V2299" s="9">
        <v>36.183590217329723</v>
      </c>
      <c r="W2299" s="9">
        <v>36.183590217329723</v>
      </c>
      <c r="X2299" s="9">
        <v>43.522810559209468</v>
      </c>
      <c r="Y2299" s="9">
        <v>43.522810559209468</v>
      </c>
      <c r="Z2299" s="9">
        <v>50.960858783530121</v>
      </c>
      <c r="AA2299" s="9">
        <v>50.960858783530121</v>
      </c>
      <c r="AB2299" s="9">
        <v>58.507617678535738</v>
      </c>
      <c r="AC2299" s="9">
        <v>58.507617678535738</v>
      </c>
      <c r="AD2299" s="9">
        <v>68.105109643716474</v>
      </c>
      <c r="AE2299" s="9">
        <v>75.132723269302929</v>
      </c>
      <c r="AF2299" s="9">
        <v>82.290622386277917</v>
      </c>
      <c r="AG2299" s="9">
        <v>82.290622386277917</v>
      </c>
      <c r="AH2299" s="9">
        <v>90.43943145512165</v>
      </c>
      <c r="AI2299" s="9">
        <v>98.380048333692613</v>
      </c>
      <c r="AJ2299" s="9">
        <v>3.0428788910505911</v>
      </c>
    </row>
    <row r="2300" spans="1:36" x14ac:dyDescent="0.25">
      <c r="A2300" t="s">
        <v>5411</v>
      </c>
      <c r="B2300" t="s">
        <v>16</v>
      </c>
      <c r="C2300" t="s">
        <v>17</v>
      </c>
      <c r="D2300">
        <v>48440000</v>
      </c>
      <c r="E2300">
        <v>48444999</v>
      </c>
      <c r="F2300" t="s">
        <v>2068</v>
      </c>
      <c r="G2300" t="str">
        <f t="shared" si="70"/>
        <v>BAI II</v>
      </c>
      <c r="H2300" t="s">
        <v>1700</v>
      </c>
      <c r="I2300" t="s">
        <v>20</v>
      </c>
      <c r="J2300" t="s">
        <v>64</v>
      </c>
      <c r="K2300" s="6">
        <v>0.03</v>
      </c>
      <c r="L2300" s="7">
        <f t="shared" si="71"/>
        <v>2E-3</v>
      </c>
      <c r="M2300" s="7">
        <v>3.0000000000000001E-3</v>
      </c>
      <c r="N2300">
        <v>14</v>
      </c>
      <c r="O2300" s="8">
        <v>22.933916850949441</v>
      </c>
      <c r="P2300" s="9">
        <v>22.933916850949441</v>
      </c>
      <c r="Q2300" s="9">
        <v>22.933916850949441</v>
      </c>
      <c r="R2300" s="9">
        <v>25.173745848546066</v>
      </c>
      <c r="S2300" s="9">
        <v>27.641690539343774</v>
      </c>
      <c r="T2300" s="9">
        <v>29.730378573928668</v>
      </c>
      <c r="U2300" s="9">
        <v>36.183590217329723</v>
      </c>
      <c r="V2300" s="9">
        <v>36.183590217329723</v>
      </c>
      <c r="W2300" s="9">
        <v>36.183590217329723</v>
      </c>
      <c r="X2300" s="9">
        <v>43.522810559209468</v>
      </c>
      <c r="Y2300" s="9">
        <v>43.522810559209468</v>
      </c>
      <c r="Z2300" s="9">
        <v>50.960858783530121</v>
      </c>
      <c r="AA2300" s="9">
        <v>50.960858783530121</v>
      </c>
      <c r="AB2300" s="9">
        <v>58.507617678535738</v>
      </c>
      <c r="AC2300" s="9">
        <v>58.507617678535738</v>
      </c>
      <c r="AD2300" s="9">
        <v>68.105109643716474</v>
      </c>
      <c r="AE2300" s="9">
        <v>75.132723269302929</v>
      </c>
      <c r="AF2300" s="9">
        <v>82.290622386277917</v>
      </c>
      <c r="AG2300" s="9">
        <v>82.290622386277917</v>
      </c>
      <c r="AH2300" s="9">
        <v>90.43943145512165</v>
      </c>
      <c r="AI2300" s="9">
        <v>98.380048333692613</v>
      </c>
      <c r="AJ2300" s="9">
        <v>3.0428788910505911</v>
      </c>
    </row>
    <row r="2301" spans="1:36" x14ac:dyDescent="0.25">
      <c r="A2301" t="s">
        <v>5411</v>
      </c>
      <c r="B2301" t="s">
        <v>16</v>
      </c>
      <c r="C2301" t="s">
        <v>17</v>
      </c>
      <c r="D2301">
        <v>48445000</v>
      </c>
      <c r="E2301">
        <v>48449999</v>
      </c>
      <c r="F2301" t="s">
        <v>2069</v>
      </c>
      <c r="G2301" t="str">
        <f t="shared" si="70"/>
        <v>BAI II</v>
      </c>
      <c r="H2301" t="s">
        <v>1700</v>
      </c>
      <c r="I2301" t="s">
        <v>20</v>
      </c>
      <c r="J2301" t="s">
        <v>64</v>
      </c>
      <c r="K2301" s="6">
        <v>0.03</v>
      </c>
      <c r="L2301" s="7">
        <f t="shared" si="71"/>
        <v>2E-3</v>
      </c>
      <c r="M2301" s="7">
        <v>3.0000000000000001E-3</v>
      </c>
      <c r="N2301">
        <v>14</v>
      </c>
      <c r="O2301" s="8">
        <v>22.933916850949441</v>
      </c>
      <c r="P2301" s="9">
        <v>22.933916850949441</v>
      </c>
      <c r="Q2301" s="9">
        <v>22.933916850949441</v>
      </c>
      <c r="R2301" s="9">
        <v>25.173745848546066</v>
      </c>
      <c r="S2301" s="9">
        <v>27.641690539343774</v>
      </c>
      <c r="T2301" s="9">
        <v>29.730378573928668</v>
      </c>
      <c r="U2301" s="9">
        <v>36.183590217329723</v>
      </c>
      <c r="V2301" s="9">
        <v>36.183590217329723</v>
      </c>
      <c r="W2301" s="9">
        <v>36.183590217329723</v>
      </c>
      <c r="X2301" s="9">
        <v>43.522810559209468</v>
      </c>
      <c r="Y2301" s="9">
        <v>43.522810559209468</v>
      </c>
      <c r="Z2301" s="9">
        <v>50.960858783530121</v>
      </c>
      <c r="AA2301" s="9">
        <v>50.960858783530121</v>
      </c>
      <c r="AB2301" s="9">
        <v>58.507617678535738</v>
      </c>
      <c r="AC2301" s="9">
        <v>58.507617678535738</v>
      </c>
      <c r="AD2301" s="9">
        <v>68.105109643716474</v>
      </c>
      <c r="AE2301" s="9">
        <v>75.132723269302929</v>
      </c>
      <c r="AF2301" s="9">
        <v>82.290622386277917</v>
      </c>
      <c r="AG2301" s="9">
        <v>82.290622386277917</v>
      </c>
      <c r="AH2301" s="9">
        <v>90.43943145512165</v>
      </c>
      <c r="AI2301" s="9">
        <v>98.380048333692613</v>
      </c>
      <c r="AJ2301" s="9">
        <v>3.0428788910505911</v>
      </c>
    </row>
    <row r="2302" spans="1:36" x14ac:dyDescent="0.25">
      <c r="A2302" t="s">
        <v>5411</v>
      </c>
      <c r="B2302" t="s">
        <v>16</v>
      </c>
      <c r="C2302" t="s">
        <v>17</v>
      </c>
      <c r="D2302">
        <v>48450000</v>
      </c>
      <c r="E2302">
        <v>48454999</v>
      </c>
      <c r="F2302" t="s">
        <v>2070</v>
      </c>
      <c r="G2302" t="str">
        <f t="shared" si="70"/>
        <v>BAI II</v>
      </c>
      <c r="H2302" t="s">
        <v>1700</v>
      </c>
      <c r="I2302" t="s">
        <v>20</v>
      </c>
      <c r="J2302" t="s">
        <v>64</v>
      </c>
      <c r="K2302" s="6">
        <v>0.03</v>
      </c>
      <c r="L2302" s="7">
        <f t="shared" si="71"/>
        <v>2E-3</v>
      </c>
      <c r="M2302" s="7">
        <v>3.0000000000000001E-3</v>
      </c>
      <c r="N2302">
        <v>14</v>
      </c>
      <c r="O2302" s="8">
        <v>22.933916850949441</v>
      </c>
      <c r="P2302" s="9">
        <v>22.933916850949441</v>
      </c>
      <c r="Q2302" s="9">
        <v>22.933916850949441</v>
      </c>
      <c r="R2302" s="9">
        <v>25.173745848546066</v>
      </c>
      <c r="S2302" s="9">
        <v>27.641690539343774</v>
      </c>
      <c r="T2302" s="9">
        <v>29.730378573928668</v>
      </c>
      <c r="U2302" s="9">
        <v>36.183590217329723</v>
      </c>
      <c r="V2302" s="9">
        <v>36.183590217329723</v>
      </c>
      <c r="W2302" s="9">
        <v>36.183590217329723</v>
      </c>
      <c r="X2302" s="9">
        <v>43.522810559209468</v>
      </c>
      <c r="Y2302" s="9">
        <v>43.522810559209468</v>
      </c>
      <c r="Z2302" s="9">
        <v>50.960858783530121</v>
      </c>
      <c r="AA2302" s="9">
        <v>50.960858783530121</v>
      </c>
      <c r="AB2302" s="9">
        <v>58.507617678535738</v>
      </c>
      <c r="AC2302" s="9">
        <v>58.507617678535738</v>
      </c>
      <c r="AD2302" s="9">
        <v>68.105109643716474</v>
      </c>
      <c r="AE2302" s="9">
        <v>75.132723269302929</v>
      </c>
      <c r="AF2302" s="9">
        <v>82.290622386277917</v>
      </c>
      <c r="AG2302" s="9">
        <v>82.290622386277917</v>
      </c>
      <c r="AH2302" s="9">
        <v>90.43943145512165</v>
      </c>
      <c r="AI2302" s="9">
        <v>98.380048333692613</v>
      </c>
      <c r="AJ2302" s="9">
        <v>3.0428788910505911</v>
      </c>
    </row>
    <row r="2303" spans="1:36" x14ac:dyDescent="0.25">
      <c r="A2303" t="s">
        <v>5411</v>
      </c>
      <c r="B2303" t="s">
        <v>16</v>
      </c>
      <c r="C2303" t="s">
        <v>17</v>
      </c>
      <c r="D2303">
        <v>48455000</v>
      </c>
      <c r="E2303">
        <v>48459999</v>
      </c>
      <c r="F2303" t="s">
        <v>2071</v>
      </c>
      <c r="G2303" t="str">
        <f t="shared" si="70"/>
        <v>BAI II</v>
      </c>
      <c r="H2303" t="s">
        <v>1700</v>
      </c>
      <c r="I2303" t="s">
        <v>20</v>
      </c>
      <c r="J2303" t="s">
        <v>64</v>
      </c>
      <c r="K2303" s="6">
        <v>0.03</v>
      </c>
      <c r="L2303" s="7">
        <f t="shared" si="71"/>
        <v>2E-3</v>
      </c>
      <c r="M2303" s="7">
        <v>3.0000000000000001E-3</v>
      </c>
      <c r="N2303">
        <v>14</v>
      </c>
      <c r="O2303" s="8">
        <v>22.933916850949441</v>
      </c>
      <c r="P2303" s="9">
        <v>22.933916850949441</v>
      </c>
      <c r="Q2303" s="9">
        <v>22.933916850949441</v>
      </c>
      <c r="R2303" s="9">
        <v>25.173745848546066</v>
      </c>
      <c r="S2303" s="9">
        <v>27.641690539343774</v>
      </c>
      <c r="T2303" s="9">
        <v>29.730378573928668</v>
      </c>
      <c r="U2303" s="9">
        <v>36.183590217329723</v>
      </c>
      <c r="V2303" s="9">
        <v>36.183590217329723</v>
      </c>
      <c r="W2303" s="9">
        <v>36.183590217329723</v>
      </c>
      <c r="X2303" s="9">
        <v>43.522810559209468</v>
      </c>
      <c r="Y2303" s="9">
        <v>43.522810559209468</v>
      </c>
      <c r="Z2303" s="9">
        <v>50.960858783530121</v>
      </c>
      <c r="AA2303" s="9">
        <v>50.960858783530121</v>
      </c>
      <c r="AB2303" s="9">
        <v>58.507617678535738</v>
      </c>
      <c r="AC2303" s="9">
        <v>58.507617678535738</v>
      </c>
      <c r="AD2303" s="9">
        <v>68.105109643716474</v>
      </c>
      <c r="AE2303" s="9">
        <v>75.132723269302929</v>
      </c>
      <c r="AF2303" s="9">
        <v>82.290622386277917</v>
      </c>
      <c r="AG2303" s="9">
        <v>82.290622386277917</v>
      </c>
      <c r="AH2303" s="9">
        <v>90.43943145512165</v>
      </c>
      <c r="AI2303" s="9">
        <v>98.380048333692613</v>
      </c>
      <c r="AJ2303" s="9">
        <v>3.0428788910505911</v>
      </c>
    </row>
    <row r="2304" spans="1:36" x14ac:dyDescent="0.25">
      <c r="A2304" t="s">
        <v>5411</v>
      </c>
      <c r="B2304" t="s">
        <v>16</v>
      </c>
      <c r="C2304" t="s">
        <v>17</v>
      </c>
      <c r="D2304">
        <v>48460000</v>
      </c>
      <c r="E2304">
        <v>48469999</v>
      </c>
      <c r="F2304" t="s">
        <v>2072</v>
      </c>
      <c r="G2304" t="str">
        <f t="shared" si="70"/>
        <v>BAI II</v>
      </c>
      <c r="H2304" t="s">
        <v>1700</v>
      </c>
      <c r="I2304" t="s">
        <v>20</v>
      </c>
      <c r="J2304" t="s">
        <v>64</v>
      </c>
      <c r="K2304" s="6">
        <v>0.03</v>
      </c>
      <c r="L2304" s="7">
        <f t="shared" si="71"/>
        <v>2E-3</v>
      </c>
      <c r="M2304" s="7">
        <v>3.0000000000000001E-3</v>
      </c>
      <c r="N2304">
        <v>9</v>
      </c>
      <c r="O2304" s="8">
        <v>22.933916850949441</v>
      </c>
      <c r="P2304" s="9">
        <v>22.933916850949441</v>
      </c>
      <c r="Q2304" s="9">
        <v>22.933916850949441</v>
      </c>
      <c r="R2304" s="9">
        <v>25.173745848546066</v>
      </c>
      <c r="S2304" s="9">
        <v>27.641690539343774</v>
      </c>
      <c r="T2304" s="9">
        <v>29.730378573928668</v>
      </c>
      <c r="U2304" s="9">
        <v>36.183590217329723</v>
      </c>
      <c r="V2304" s="9">
        <v>36.183590217329723</v>
      </c>
      <c r="W2304" s="9">
        <v>36.183590217329723</v>
      </c>
      <c r="X2304" s="9">
        <v>43.522810559209468</v>
      </c>
      <c r="Y2304" s="9">
        <v>43.522810559209468</v>
      </c>
      <c r="Z2304" s="9">
        <v>50.960858783530121</v>
      </c>
      <c r="AA2304" s="9">
        <v>50.960858783530121</v>
      </c>
      <c r="AB2304" s="9">
        <v>58.507617678535738</v>
      </c>
      <c r="AC2304" s="9">
        <v>58.507617678535738</v>
      </c>
      <c r="AD2304" s="9">
        <v>68.105109643716474</v>
      </c>
      <c r="AE2304" s="9">
        <v>75.132723269302929</v>
      </c>
      <c r="AF2304" s="9">
        <v>82.290622386277917</v>
      </c>
      <c r="AG2304" s="9">
        <v>82.290622386277917</v>
      </c>
      <c r="AH2304" s="9">
        <v>90.43943145512165</v>
      </c>
      <c r="AI2304" s="9">
        <v>98.380048333692613</v>
      </c>
      <c r="AJ2304" s="9">
        <v>3.0428788910505911</v>
      </c>
    </row>
    <row r="2305" spans="1:36" x14ac:dyDescent="0.25">
      <c r="A2305" t="s">
        <v>5411</v>
      </c>
      <c r="B2305" t="s">
        <v>16</v>
      </c>
      <c r="C2305" t="s">
        <v>17</v>
      </c>
      <c r="D2305">
        <v>48470000</v>
      </c>
      <c r="E2305">
        <v>48474999</v>
      </c>
      <c r="F2305" t="s">
        <v>2073</v>
      </c>
      <c r="G2305" t="str">
        <f t="shared" si="70"/>
        <v>BAI II</v>
      </c>
      <c r="H2305" t="s">
        <v>1700</v>
      </c>
      <c r="I2305" t="s">
        <v>20</v>
      </c>
      <c r="J2305" t="s">
        <v>64</v>
      </c>
      <c r="K2305" s="6">
        <v>0.03</v>
      </c>
      <c r="L2305" s="7">
        <f t="shared" si="71"/>
        <v>2E-3</v>
      </c>
      <c r="M2305" s="7">
        <v>3.0000000000000001E-3</v>
      </c>
      <c r="N2305">
        <v>9</v>
      </c>
      <c r="O2305" s="8">
        <v>22.933916850949441</v>
      </c>
      <c r="P2305" s="9">
        <v>22.933916850949441</v>
      </c>
      <c r="Q2305" s="9">
        <v>22.933916850949441</v>
      </c>
      <c r="R2305" s="9">
        <v>25.173745848546066</v>
      </c>
      <c r="S2305" s="9">
        <v>27.641690539343774</v>
      </c>
      <c r="T2305" s="9">
        <v>29.730378573928668</v>
      </c>
      <c r="U2305" s="9">
        <v>36.183590217329723</v>
      </c>
      <c r="V2305" s="9">
        <v>36.183590217329723</v>
      </c>
      <c r="W2305" s="9">
        <v>36.183590217329723</v>
      </c>
      <c r="X2305" s="9">
        <v>43.522810559209468</v>
      </c>
      <c r="Y2305" s="9">
        <v>43.522810559209468</v>
      </c>
      <c r="Z2305" s="9">
        <v>50.960858783530121</v>
      </c>
      <c r="AA2305" s="9">
        <v>50.960858783530121</v>
      </c>
      <c r="AB2305" s="9">
        <v>58.507617678535738</v>
      </c>
      <c r="AC2305" s="9">
        <v>58.507617678535738</v>
      </c>
      <c r="AD2305" s="9">
        <v>68.105109643716474</v>
      </c>
      <c r="AE2305" s="9">
        <v>75.132723269302929</v>
      </c>
      <c r="AF2305" s="9">
        <v>82.290622386277917</v>
      </c>
      <c r="AG2305" s="9">
        <v>82.290622386277917</v>
      </c>
      <c r="AH2305" s="9">
        <v>90.43943145512165</v>
      </c>
      <c r="AI2305" s="9">
        <v>98.380048333692613</v>
      </c>
      <c r="AJ2305" s="9">
        <v>3.0428788910505911</v>
      </c>
    </row>
    <row r="2306" spans="1:36" x14ac:dyDescent="0.25">
      <c r="A2306" t="s">
        <v>5411</v>
      </c>
      <c r="B2306" t="s">
        <v>16</v>
      </c>
      <c r="C2306" t="s">
        <v>17</v>
      </c>
      <c r="D2306">
        <v>48475000</v>
      </c>
      <c r="E2306">
        <v>48479999</v>
      </c>
      <c r="F2306" t="s">
        <v>2074</v>
      </c>
      <c r="G2306" t="str">
        <f t="shared" si="70"/>
        <v>BAI II</v>
      </c>
      <c r="H2306" t="s">
        <v>1700</v>
      </c>
      <c r="I2306" t="s">
        <v>20</v>
      </c>
      <c r="J2306" t="s">
        <v>64</v>
      </c>
      <c r="K2306" s="6">
        <v>0.03</v>
      </c>
      <c r="L2306" s="7">
        <f t="shared" si="71"/>
        <v>2E-3</v>
      </c>
      <c r="M2306" s="7">
        <v>3.0000000000000001E-3</v>
      </c>
      <c r="N2306">
        <v>9</v>
      </c>
      <c r="O2306" s="8">
        <v>22.933916850949441</v>
      </c>
      <c r="P2306" s="9">
        <v>22.933916850949441</v>
      </c>
      <c r="Q2306" s="9">
        <v>22.933916850949441</v>
      </c>
      <c r="R2306" s="9">
        <v>25.173745848546066</v>
      </c>
      <c r="S2306" s="9">
        <v>27.641690539343774</v>
      </c>
      <c r="T2306" s="9">
        <v>29.730378573928668</v>
      </c>
      <c r="U2306" s="9">
        <v>36.183590217329723</v>
      </c>
      <c r="V2306" s="9">
        <v>36.183590217329723</v>
      </c>
      <c r="W2306" s="9">
        <v>36.183590217329723</v>
      </c>
      <c r="X2306" s="9">
        <v>43.522810559209468</v>
      </c>
      <c r="Y2306" s="9">
        <v>43.522810559209468</v>
      </c>
      <c r="Z2306" s="9">
        <v>50.960858783530121</v>
      </c>
      <c r="AA2306" s="9">
        <v>50.960858783530121</v>
      </c>
      <c r="AB2306" s="9">
        <v>58.507617678535738</v>
      </c>
      <c r="AC2306" s="9">
        <v>58.507617678535738</v>
      </c>
      <c r="AD2306" s="9">
        <v>68.105109643716474</v>
      </c>
      <c r="AE2306" s="9">
        <v>75.132723269302929</v>
      </c>
      <c r="AF2306" s="9">
        <v>82.290622386277917</v>
      </c>
      <c r="AG2306" s="9">
        <v>82.290622386277917</v>
      </c>
      <c r="AH2306" s="9">
        <v>90.43943145512165</v>
      </c>
      <c r="AI2306" s="9">
        <v>98.380048333692613</v>
      </c>
      <c r="AJ2306" s="9">
        <v>3.0428788910505911</v>
      </c>
    </row>
    <row r="2307" spans="1:36" x14ac:dyDescent="0.25">
      <c r="A2307" t="s">
        <v>5411</v>
      </c>
      <c r="B2307" t="s">
        <v>16</v>
      </c>
      <c r="C2307" t="s">
        <v>17</v>
      </c>
      <c r="D2307">
        <v>48480000</v>
      </c>
      <c r="E2307">
        <v>48484999</v>
      </c>
      <c r="F2307" t="s">
        <v>2075</v>
      </c>
      <c r="G2307" t="str">
        <f t="shared" si="70"/>
        <v>BAI II</v>
      </c>
      <c r="H2307" t="s">
        <v>1700</v>
      </c>
      <c r="I2307" t="s">
        <v>20</v>
      </c>
      <c r="J2307" t="s">
        <v>64</v>
      </c>
      <c r="K2307" s="6">
        <v>0.03</v>
      </c>
      <c r="L2307" s="7">
        <f t="shared" si="71"/>
        <v>2E-3</v>
      </c>
      <c r="M2307" s="7">
        <v>3.0000000000000001E-3</v>
      </c>
      <c r="N2307">
        <v>9</v>
      </c>
      <c r="O2307" s="8">
        <v>22.933916850949441</v>
      </c>
      <c r="P2307" s="9">
        <v>22.933916850949441</v>
      </c>
      <c r="Q2307" s="9">
        <v>22.933916850949441</v>
      </c>
      <c r="R2307" s="9">
        <v>25.173745848546066</v>
      </c>
      <c r="S2307" s="9">
        <v>27.641690539343774</v>
      </c>
      <c r="T2307" s="9">
        <v>29.730378573928668</v>
      </c>
      <c r="U2307" s="9">
        <v>36.183590217329723</v>
      </c>
      <c r="V2307" s="9">
        <v>36.183590217329723</v>
      </c>
      <c r="W2307" s="9">
        <v>36.183590217329723</v>
      </c>
      <c r="X2307" s="9">
        <v>43.522810559209468</v>
      </c>
      <c r="Y2307" s="9">
        <v>43.522810559209468</v>
      </c>
      <c r="Z2307" s="9">
        <v>50.960858783530121</v>
      </c>
      <c r="AA2307" s="9">
        <v>50.960858783530121</v>
      </c>
      <c r="AB2307" s="9">
        <v>58.507617678535738</v>
      </c>
      <c r="AC2307" s="9">
        <v>58.507617678535738</v>
      </c>
      <c r="AD2307" s="9">
        <v>68.105109643716474</v>
      </c>
      <c r="AE2307" s="9">
        <v>75.132723269302929</v>
      </c>
      <c r="AF2307" s="9">
        <v>82.290622386277917</v>
      </c>
      <c r="AG2307" s="9">
        <v>82.290622386277917</v>
      </c>
      <c r="AH2307" s="9">
        <v>90.43943145512165</v>
      </c>
      <c r="AI2307" s="9">
        <v>98.380048333692613</v>
      </c>
      <c r="AJ2307" s="9">
        <v>3.0428788910505911</v>
      </c>
    </row>
    <row r="2308" spans="1:36" x14ac:dyDescent="0.25">
      <c r="A2308" t="s">
        <v>5411</v>
      </c>
      <c r="B2308" t="s">
        <v>16</v>
      </c>
      <c r="C2308" t="s">
        <v>17</v>
      </c>
      <c r="D2308">
        <v>48485000</v>
      </c>
      <c r="E2308">
        <v>48489999</v>
      </c>
      <c r="F2308" t="s">
        <v>2076</v>
      </c>
      <c r="G2308" t="str">
        <f t="shared" ref="G2308:G2371" si="72">H2308&amp;IF(J2308="CAPITAL","C",IF(J2308="INTERIOR","I",IF(J2308="INTERIOR II","I II","R")))</f>
        <v>BAI II</v>
      </c>
      <c r="H2308" t="s">
        <v>1700</v>
      </c>
      <c r="I2308" t="s">
        <v>20</v>
      </c>
      <c r="J2308" t="s">
        <v>64</v>
      </c>
      <c r="K2308" s="6">
        <v>0.03</v>
      </c>
      <c r="L2308" s="7">
        <f t="shared" ref="L2308:L2371" si="73">IF(I2308="(0) Não",0.2%,3%)</f>
        <v>2E-3</v>
      </c>
      <c r="M2308" s="7">
        <v>3.0000000000000001E-3</v>
      </c>
      <c r="N2308">
        <v>9</v>
      </c>
      <c r="O2308" s="8">
        <v>22.933916850949441</v>
      </c>
      <c r="P2308" s="9">
        <v>22.933916850949441</v>
      </c>
      <c r="Q2308" s="9">
        <v>22.933916850949441</v>
      </c>
      <c r="R2308" s="9">
        <v>25.173745848546066</v>
      </c>
      <c r="S2308" s="9">
        <v>27.641690539343774</v>
      </c>
      <c r="T2308" s="9">
        <v>29.730378573928668</v>
      </c>
      <c r="U2308" s="9">
        <v>36.183590217329723</v>
      </c>
      <c r="V2308" s="9">
        <v>36.183590217329723</v>
      </c>
      <c r="W2308" s="9">
        <v>36.183590217329723</v>
      </c>
      <c r="X2308" s="9">
        <v>43.522810559209468</v>
      </c>
      <c r="Y2308" s="9">
        <v>43.522810559209468</v>
      </c>
      <c r="Z2308" s="9">
        <v>50.960858783530121</v>
      </c>
      <c r="AA2308" s="9">
        <v>50.960858783530121</v>
      </c>
      <c r="AB2308" s="9">
        <v>58.507617678535738</v>
      </c>
      <c r="AC2308" s="9">
        <v>58.507617678535738</v>
      </c>
      <c r="AD2308" s="9">
        <v>68.105109643716474</v>
      </c>
      <c r="AE2308" s="9">
        <v>75.132723269302929</v>
      </c>
      <c r="AF2308" s="9">
        <v>82.290622386277917</v>
      </c>
      <c r="AG2308" s="9">
        <v>82.290622386277917</v>
      </c>
      <c r="AH2308" s="9">
        <v>90.43943145512165</v>
      </c>
      <c r="AI2308" s="9">
        <v>98.380048333692613</v>
      </c>
      <c r="AJ2308" s="9">
        <v>3.0428788910505911</v>
      </c>
    </row>
    <row r="2309" spans="1:36" x14ac:dyDescent="0.25">
      <c r="A2309" t="s">
        <v>5411</v>
      </c>
      <c r="B2309" t="s">
        <v>16</v>
      </c>
      <c r="C2309" t="s">
        <v>17</v>
      </c>
      <c r="D2309">
        <v>48490000</v>
      </c>
      <c r="E2309">
        <v>48499999</v>
      </c>
      <c r="F2309" t="s">
        <v>2077</v>
      </c>
      <c r="G2309" t="str">
        <f t="shared" si="72"/>
        <v>BAI II</v>
      </c>
      <c r="H2309" t="s">
        <v>1700</v>
      </c>
      <c r="I2309" t="s">
        <v>20</v>
      </c>
      <c r="J2309" t="s">
        <v>64</v>
      </c>
      <c r="K2309" s="6">
        <v>0.03</v>
      </c>
      <c r="L2309" s="7">
        <f t="shared" si="73"/>
        <v>2E-3</v>
      </c>
      <c r="M2309" s="7">
        <v>3.0000000000000001E-3</v>
      </c>
      <c r="N2309">
        <v>9</v>
      </c>
      <c r="O2309" s="8">
        <v>22.933916850949441</v>
      </c>
      <c r="P2309" s="9">
        <v>22.933916850949441</v>
      </c>
      <c r="Q2309" s="9">
        <v>22.933916850949441</v>
      </c>
      <c r="R2309" s="9">
        <v>25.173745848546066</v>
      </c>
      <c r="S2309" s="9">
        <v>27.641690539343774</v>
      </c>
      <c r="T2309" s="9">
        <v>29.730378573928668</v>
      </c>
      <c r="U2309" s="9">
        <v>36.183590217329723</v>
      </c>
      <c r="V2309" s="9">
        <v>36.183590217329723</v>
      </c>
      <c r="W2309" s="9">
        <v>36.183590217329723</v>
      </c>
      <c r="X2309" s="9">
        <v>43.522810559209468</v>
      </c>
      <c r="Y2309" s="9">
        <v>43.522810559209468</v>
      </c>
      <c r="Z2309" s="9">
        <v>50.960858783530121</v>
      </c>
      <c r="AA2309" s="9">
        <v>50.960858783530121</v>
      </c>
      <c r="AB2309" s="9">
        <v>58.507617678535738</v>
      </c>
      <c r="AC2309" s="9">
        <v>58.507617678535738</v>
      </c>
      <c r="AD2309" s="9">
        <v>68.105109643716474</v>
      </c>
      <c r="AE2309" s="9">
        <v>75.132723269302929</v>
      </c>
      <c r="AF2309" s="9">
        <v>82.290622386277917</v>
      </c>
      <c r="AG2309" s="9">
        <v>82.290622386277917</v>
      </c>
      <c r="AH2309" s="9">
        <v>90.43943145512165</v>
      </c>
      <c r="AI2309" s="9">
        <v>98.380048333692613</v>
      </c>
      <c r="AJ2309" s="9">
        <v>3.0428788910505911</v>
      </c>
    </row>
    <row r="2310" spans="1:36" x14ac:dyDescent="0.25">
      <c r="A2310" t="s">
        <v>5411</v>
      </c>
      <c r="B2310" t="s">
        <v>16</v>
      </c>
      <c r="C2310" t="s">
        <v>17</v>
      </c>
      <c r="D2310">
        <v>48500000</v>
      </c>
      <c r="E2310">
        <v>48519999</v>
      </c>
      <c r="F2310" t="s">
        <v>2078</v>
      </c>
      <c r="G2310" t="str">
        <f t="shared" si="72"/>
        <v>BAI II</v>
      </c>
      <c r="H2310" t="s">
        <v>1700</v>
      </c>
      <c r="I2310" t="s">
        <v>20</v>
      </c>
      <c r="J2310" t="s">
        <v>64</v>
      </c>
      <c r="K2310" s="6">
        <v>0.03</v>
      </c>
      <c r="L2310" s="7">
        <f t="shared" si="73"/>
        <v>2E-3</v>
      </c>
      <c r="M2310" s="7">
        <v>3.0000000000000001E-3</v>
      </c>
      <c r="N2310">
        <v>9</v>
      </c>
      <c r="O2310" s="8">
        <v>22.933916850949441</v>
      </c>
      <c r="P2310" s="9">
        <v>22.933916850949441</v>
      </c>
      <c r="Q2310" s="9">
        <v>22.933916850949441</v>
      </c>
      <c r="R2310" s="9">
        <v>25.173745848546066</v>
      </c>
      <c r="S2310" s="9">
        <v>27.641690539343774</v>
      </c>
      <c r="T2310" s="9">
        <v>29.730378573928668</v>
      </c>
      <c r="U2310" s="9">
        <v>36.183590217329723</v>
      </c>
      <c r="V2310" s="9">
        <v>36.183590217329723</v>
      </c>
      <c r="W2310" s="9">
        <v>36.183590217329723</v>
      </c>
      <c r="X2310" s="9">
        <v>43.522810559209468</v>
      </c>
      <c r="Y2310" s="9">
        <v>43.522810559209468</v>
      </c>
      <c r="Z2310" s="9">
        <v>50.960858783530121</v>
      </c>
      <c r="AA2310" s="9">
        <v>50.960858783530121</v>
      </c>
      <c r="AB2310" s="9">
        <v>58.507617678535738</v>
      </c>
      <c r="AC2310" s="9">
        <v>58.507617678535738</v>
      </c>
      <c r="AD2310" s="9">
        <v>68.105109643716474</v>
      </c>
      <c r="AE2310" s="9">
        <v>75.132723269302929</v>
      </c>
      <c r="AF2310" s="9">
        <v>82.290622386277917</v>
      </c>
      <c r="AG2310" s="9">
        <v>82.290622386277917</v>
      </c>
      <c r="AH2310" s="9">
        <v>90.43943145512165</v>
      </c>
      <c r="AI2310" s="9">
        <v>98.380048333692613</v>
      </c>
      <c r="AJ2310" s="9">
        <v>3.0428788910505911</v>
      </c>
    </row>
    <row r="2311" spans="1:36" x14ac:dyDescent="0.25">
      <c r="A2311" t="s">
        <v>5411</v>
      </c>
      <c r="B2311" t="s">
        <v>16</v>
      </c>
      <c r="C2311" t="s">
        <v>17</v>
      </c>
      <c r="D2311">
        <v>48520000</v>
      </c>
      <c r="E2311">
        <v>48539999</v>
      </c>
      <c r="F2311" t="s">
        <v>2079</v>
      </c>
      <c r="G2311" t="str">
        <f t="shared" si="72"/>
        <v>BAI II</v>
      </c>
      <c r="H2311" t="s">
        <v>1700</v>
      </c>
      <c r="I2311" t="s">
        <v>20</v>
      </c>
      <c r="J2311" t="s">
        <v>64</v>
      </c>
      <c r="K2311" s="6">
        <v>0.03</v>
      </c>
      <c r="L2311" s="7">
        <f t="shared" si="73"/>
        <v>2E-3</v>
      </c>
      <c r="M2311" s="7">
        <v>3.0000000000000001E-3</v>
      </c>
      <c r="N2311">
        <v>14</v>
      </c>
      <c r="O2311" s="8">
        <v>22.933916850949441</v>
      </c>
      <c r="P2311" s="9">
        <v>22.933916850949441</v>
      </c>
      <c r="Q2311" s="9">
        <v>22.933916850949441</v>
      </c>
      <c r="R2311" s="9">
        <v>25.173745848546066</v>
      </c>
      <c r="S2311" s="9">
        <v>27.641690539343774</v>
      </c>
      <c r="T2311" s="9">
        <v>29.730378573928668</v>
      </c>
      <c r="U2311" s="9">
        <v>36.183590217329723</v>
      </c>
      <c r="V2311" s="9">
        <v>36.183590217329723</v>
      </c>
      <c r="W2311" s="9">
        <v>36.183590217329723</v>
      </c>
      <c r="X2311" s="9">
        <v>43.522810559209468</v>
      </c>
      <c r="Y2311" s="9">
        <v>43.522810559209468</v>
      </c>
      <c r="Z2311" s="9">
        <v>50.960858783530121</v>
      </c>
      <c r="AA2311" s="9">
        <v>50.960858783530121</v>
      </c>
      <c r="AB2311" s="9">
        <v>58.507617678535738</v>
      </c>
      <c r="AC2311" s="9">
        <v>58.507617678535738</v>
      </c>
      <c r="AD2311" s="9">
        <v>68.105109643716474</v>
      </c>
      <c r="AE2311" s="9">
        <v>75.132723269302929</v>
      </c>
      <c r="AF2311" s="9">
        <v>82.290622386277917</v>
      </c>
      <c r="AG2311" s="9">
        <v>82.290622386277917</v>
      </c>
      <c r="AH2311" s="9">
        <v>90.43943145512165</v>
      </c>
      <c r="AI2311" s="9">
        <v>98.380048333692613</v>
      </c>
      <c r="AJ2311" s="9">
        <v>3.0428788910505911</v>
      </c>
    </row>
    <row r="2312" spans="1:36" x14ac:dyDescent="0.25">
      <c r="A2312" t="s">
        <v>5411</v>
      </c>
      <c r="B2312" t="s">
        <v>16</v>
      </c>
      <c r="C2312" t="s">
        <v>17</v>
      </c>
      <c r="D2312">
        <v>48540000</v>
      </c>
      <c r="E2312">
        <v>48564999</v>
      </c>
      <c r="F2312" t="s">
        <v>2080</v>
      </c>
      <c r="G2312" t="str">
        <f t="shared" si="72"/>
        <v>BAI II</v>
      </c>
      <c r="H2312" t="s">
        <v>1700</v>
      </c>
      <c r="I2312" t="s">
        <v>20</v>
      </c>
      <c r="J2312" t="s">
        <v>64</v>
      </c>
      <c r="K2312" s="6">
        <v>0.03</v>
      </c>
      <c r="L2312" s="7">
        <f t="shared" si="73"/>
        <v>2E-3</v>
      </c>
      <c r="M2312" s="7">
        <v>3.0000000000000001E-3</v>
      </c>
      <c r="N2312">
        <v>11</v>
      </c>
      <c r="O2312" s="8">
        <v>22.933916850949441</v>
      </c>
      <c r="P2312" s="9">
        <v>22.933916850949441</v>
      </c>
      <c r="Q2312" s="9">
        <v>22.933916850949441</v>
      </c>
      <c r="R2312" s="9">
        <v>25.173745848546066</v>
      </c>
      <c r="S2312" s="9">
        <v>27.641690539343774</v>
      </c>
      <c r="T2312" s="9">
        <v>29.730378573928668</v>
      </c>
      <c r="U2312" s="9">
        <v>36.183590217329723</v>
      </c>
      <c r="V2312" s="9">
        <v>36.183590217329723</v>
      </c>
      <c r="W2312" s="9">
        <v>36.183590217329723</v>
      </c>
      <c r="X2312" s="9">
        <v>43.522810559209468</v>
      </c>
      <c r="Y2312" s="9">
        <v>43.522810559209468</v>
      </c>
      <c r="Z2312" s="9">
        <v>50.960858783530121</v>
      </c>
      <c r="AA2312" s="9">
        <v>50.960858783530121</v>
      </c>
      <c r="AB2312" s="9">
        <v>58.507617678535738</v>
      </c>
      <c r="AC2312" s="9">
        <v>58.507617678535738</v>
      </c>
      <c r="AD2312" s="9">
        <v>68.105109643716474</v>
      </c>
      <c r="AE2312" s="9">
        <v>75.132723269302929</v>
      </c>
      <c r="AF2312" s="9">
        <v>82.290622386277917</v>
      </c>
      <c r="AG2312" s="9">
        <v>82.290622386277917</v>
      </c>
      <c r="AH2312" s="9">
        <v>90.43943145512165</v>
      </c>
      <c r="AI2312" s="9">
        <v>98.380048333692613</v>
      </c>
      <c r="AJ2312" s="9">
        <v>3.0428788910505911</v>
      </c>
    </row>
    <row r="2313" spans="1:36" x14ac:dyDescent="0.25">
      <c r="A2313" t="s">
        <v>5411</v>
      </c>
      <c r="B2313" t="s">
        <v>16</v>
      </c>
      <c r="C2313" t="s">
        <v>17</v>
      </c>
      <c r="D2313">
        <v>48565000</v>
      </c>
      <c r="E2313">
        <v>48569999</v>
      </c>
      <c r="F2313" t="s">
        <v>2081</v>
      </c>
      <c r="G2313" t="str">
        <f t="shared" si="72"/>
        <v>BAI II</v>
      </c>
      <c r="H2313" t="s">
        <v>1700</v>
      </c>
      <c r="I2313" t="s">
        <v>20</v>
      </c>
      <c r="J2313" t="s">
        <v>64</v>
      </c>
      <c r="K2313" s="6">
        <v>0.03</v>
      </c>
      <c r="L2313" s="7">
        <f t="shared" si="73"/>
        <v>2E-3</v>
      </c>
      <c r="M2313" s="7">
        <v>3.0000000000000001E-3</v>
      </c>
      <c r="N2313">
        <v>14</v>
      </c>
      <c r="O2313" s="8">
        <v>22.933916850949441</v>
      </c>
      <c r="P2313" s="9">
        <v>22.933916850949441</v>
      </c>
      <c r="Q2313" s="9">
        <v>22.933916850949441</v>
      </c>
      <c r="R2313" s="9">
        <v>25.173745848546066</v>
      </c>
      <c r="S2313" s="9">
        <v>27.641690539343774</v>
      </c>
      <c r="T2313" s="9">
        <v>29.730378573928668</v>
      </c>
      <c r="U2313" s="9">
        <v>36.183590217329723</v>
      </c>
      <c r="V2313" s="9">
        <v>36.183590217329723</v>
      </c>
      <c r="W2313" s="9">
        <v>36.183590217329723</v>
      </c>
      <c r="X2313" s="9">
        <v>43.522810559209468</v>
      </c>
      <c r="Y2313" s="9">
        <v>43.522810559209468</v>
      </c>
      <c r="Z2313" s="9">
        <v>50.960858783530121</v>
      </c>
      <c r="AA2313" s="9">
        <v>50.960858783530121</v>
      </c>
      <c r="AB2313" s="9">
        <v>58.507617678535738</v>
      </c>
      <c r="AC2313" s="9">
        <v>58.507617678535738</v>
      </c>
      <c r="AD2313" s="9">
        <v>68.105109643716474</v>
      </c>
      <c r="AE2313" s="9">
        <v>75.132723269302929</v>
      </c>
      <c r="AF2313" s="9">
        <v>82.290622386277917</v>
      </c>
      <c r="AG2313" s="9">
        <v>82.290622386277917</v>
      </c>
      <c r="AH2313" s="9">
        <v>90.43943145512165</v>
      </c>
      <c r="AI2313" s="9">
        <v>98.380048333692613</v>
      </c>
      <c r="AJ2313" s="9">
        <v>3.0428788910505911</v>
      </c>
    </row>
    <row r="2314" spans="1:36" x14ac:dyDescent="0.25">
      <c r="A2314" t="s">
        <v>5411</v>
      </c>
      <c r="B2314" t="s">
        <v>16</v>
      </c>
      <c r="C2314" t="s">
        <v>17</v>
      </c>
      <c r="D2314">
        <v>48570000</v>
      </c>
      <c r="E2314">
        <v>48579999</v>
      </c>
      <c r="F2314" t="s">
        <v>2082</v>
      </c>
      <c r="G2314" t="str">
        <f t="shared" si="72"/>
        <v>BAI II</v>
      </c>
      <c r="H2314" t="s">
        <v>1700</v>
      </c>
      <c r="I2314" t="s">
        <v>20</v>
      </c>
      <c r="J2314" t="s">
        <v>64</v>
      </c>
      <c r="K2314" s="6">
        <v>0.03</v>
      </c>
      <c r="L2314" s="7">
        <f t="shared" si="73"/>
        <v>2E-3</v>
      </c>
      <c r="M2314" s="7">
        <v>3.0000000000000001E-3</v>
      </c>
      <c r="N2314">
        <v>9</v>
      </c>
      <c r="O2314" s="8">
        <v>22.933916850949441</v>
      </c>
      <c r="P2314" s="9">
        <v>22.933916850949441</v>
      </c>
      <c r="Q2314" s="9">
        <v>22.933916850949441</v>
      </c>
      <c r="R2314" s="9">
        <v>25.173745848546066</v>
      </c>
      <c r="S2314" s="9">
        <v>27.641690539343774</v>
      </c>
      <c r="T2314" s="9">
        <v>29.730378573928668</v>
      </c>
      <c r="U2314" s="9">
        <v>36.183590217329723</v>
      </c>
      <c r="V2314" s="9">
        <v>36.183590217329723</v>
      </c>
      <c r="W2314" s="9">
        <v>36.183590217329723</v>
      </c>
      <c r="X2314" s="9">
        <v>43.522810559209468</v>
      </c>
      <c r="Y2314" s="9">
        <v>43.522810559209468</v>
      </c>
      <c r="Z2314" s="9">
        <v>50.960858783530121</v>
      </c>
      <c r="AA2314" s="9">
        <v>50.960858783530121</v>
      </c>
      <c r="AB2314" s="9">
        <v>58.507617678535738</v>
      </c>
      <c r="AC2314" s="9">
        <v>58.507617678535738</v>
      </c>
      <c r="AD2314" s="9">
        <v>68.105109643716474</v>
      </c>
      <c r="AE2314" s="9">
        <v>75.132723269302929</v>
      </c>
      <c r="AF2314" s="9">
        <v>82.290622386277917</v>
      </c>
      <c r="AG2314" s="9">
        <v>82.290622386277917</v>
      </c>
      <c r="AH2314" s="9">
        <v>90.43943145512165</v>
      </c>
      <c r="AI2314" s="9">
        <v>98.380048333692613</v>
      </c>
      <c r="AJ2314" s="9">
        <v>3.0428788910505911</v>
      </c>
    </row>
    <row r="2315" spans="1:36" x14ac:dyDescent="0.25">
      <c r="A2315" t="s">
        <v>5411</v>
      </c>
      <c r="B2315" t="s">
        <v>16</v>
      </c>
      <c r="C2315" t="s">
        <v>17</v>
      </c>
      <c r="D2315">
        <v>48580000</v>
      </c>
      <c r="E2315">
        <v>48589999</v>
      </c>
      <c r="F2315" t="s">
        <v>2083</v>
      </c>
      <c r="G2315" t="str">
        <f t="shared" si="72"/>
        <v>BAI II</v>
      </c>
      <c r="H2315" t="s">
        <v>1700</v>
      </c>
      <c r="I2315" t="s">
        <v>20</v>
      </c>
      <c r="J2315" t="s">
        <v>64</v>
      </c>
      <c r="K2315" s="6">
        <v>0.03</v>
      </c>
      <c r="L2315" s="7">
        <f t="shared" si="73"/>
        <v>2E-3</v>
      </c>
      <c r="M2315" s="7">
        <v>3.0000000000000001E-3</v>
      </c>
      <c r="N2315">
        <v>14</v>
      </c>
      <c r="O2315" s="8">
        <v>22.933916850949441</v>
      </c>
      <c r="P2315" s="9">
        <v>22.933916850949441</v>
      </c>
      <c r="Q2315" s="9">
        <v>22.933916850949441</v>
      </c>
      <c r="R2315" s="9">
        <v>25.173745848546066</v>
      </c>
      <c r="S2315" s="9">
        <v>27.641690539343774</v>
      </c>
      <c r="T2315" s="9">
        <v>29.730378573928668</v>
      </c>
      <c r="U2315" s="9">
        <v>36.183590217329723</v>
      </c>
      <c r="V2315" s="9">
        <v>36.183590217329723</v>
      </c>
      <c r="W2315" s="9">
        <v>36.183590217329723</v>
      </c>
      <c r="X2315" s="9">
        <v>43.522810559209468</v>
      </c>
      <c r="Y2315" s="9">
        <v>43.522810559209468</v>
      </c>
      <c r="Z2315" s="9">
        <v>50.960858783530121</v>
      </c>
      <c r="AA2315" s="9">
        <v>50.960858783530121</v>
      </c>
      <c r="AB2315" s="9">
        <v>58.507617678535738</v>
      </c>
      <c r="AC2315" s="9">
        <v>58.507617678535738</v>
      </c>
      <c r="AD2315" s="9">
        <v>68.105109643716474</v>
      </c>
      <c r="AE2315" s="9">
        <v>75.132723269302929</v>
      </c>
      <c r="AF2315" s="9">
        <v>82.290622386277917</v>
      </c>
      <c r="AG2315" s="9">
        <v>82.290622386277917</v>
      </c>
      <c r="AH2315" s="9">
        <v>90.43943145512165</v>
      </c>
      <c r="AI2315" s="9">
        <v>98.380048333692613</v>
      </c>
      <c r="AJ2315" s="9">
        <v>3.0428788910505911</v>
      </c>
    </row>
    <row r="2316" spans="1:36" x14ac:dyDescent="0.25">
      <c r="A2316" t="s">
        <v>5411</v>
      </c>
      <c r="B2316" t="s">
        <v>16</v>
      </c>
      <c r="C2316" t="s">
        <v>17</v>
      </c>
      <c r="D2316">
        <v>48590000</v>
      </c>
      <c r="E2316">
        <v>48599999</v>
      </c>
      <c r="F2316" t="s">
        <v>2084</v>
      </c>
      <c r="G2316" t="str">
        <f t="shared" si="72"/>
        <v>BAI II</v>
      </c>
      <c r="H2316" t="s">
        <v>1700</v>
      </c>
      <c r="I2316" t="s">
        <v>20</v>
      </c>
      <c r="J2316" t="s">
        <v>64</v>
      </c>
      <c r="K2316" s="6">
        <v>0.03</v>
      </c>
      <c r="L2316" s="7">
        <f t="shared" si="73"/>
        <v>2E-3</v>
      </c>
      <c r="M2316" s="7">
        <v>3.0000000000000001E-3</v>
      </c>
      <c r="N2316">
        <v>14</v>
      </c>
      <c r="O2316" s="8">
        <v>22.933916850949441</v>
      </c>
      <c r="P2316" s="9">
        <v>22.933916850949441</v>
      </c>
      <c r="Q2316" s="9">
        <v>22.933916850949441</v>
      </c>
      <c r="R2316" s="9">
        <v>25.173745848546066</v>
      </c>
      <c r="S2316" s="9">
        <v>27.641690539343774</v>
      </c>
      <c r="T2316" s="9">
        <v>29.730378573928668</v>
      </c>
      <c r="U2316" s="9">
        <v>36.183590217329723</v>
      </c>
      <c r="V2316" s="9">
        <v>36.183590217329723</v>
      </c>
      <c r="W2316" s="9">
        <v>36.183590217329723</v>
      </c>
      <c r="X2316" s="9">
        <v>43.522810559209468</v>
      </c>
      <c r="Y2316" s="9">
        <v>43.522810559209468</v>
      </c>
      <c r="Z2316" s="9">
        <v>50.960858783530121</v>
      </c>
      <c r="AA2316" s="9">
        <v>50.960858783530121</v>
      </c>
      <c r="AB2316" s="9">
        <v>58.507617678535738</v>
      </c>
      <c r="AC2316" s="9">
        <v>58.507617678535738</v>
      </c>
      <c r="AD2316" s="9">
        <v>68.105109643716474</v>
      </c>
      <c r="AE2316" s="9">
        <v>75.132723269302929</v>
      </c>
      <c r="AF2316" s="9">
        <v>82.290622386277917</v>
      </c>
      <c r="AG2316" s="9">
        <v>82.290622386277917</v>
      </c>
      <c r="AH2316" s="9">
        <v>90.43943145512165</v>
      </c>
      <c r="AI2316" s="9">
        <v>98.380048333692613</v>
      </c>
      <c r="AJ2316" s="9">
        <v>3.0428788910505911</v>
      </c>
    </row>
    <row r="2317" spans="1:36" x14ac:dyDescent="0.25">
      <c r="A2317" t="s">
        <v>5411</v>
      </c>
      <c r="B2317" t="s">
        <v>16</v>
      </c>
      <c r="C2317" t="s">
        <v>17</v>
      </c>
      <c r="D2317">
        <v>48600000</v>
      </c>
      <c r="E2317">
        <v>48619999</v>
      </c>
      <c r="F2317" t="s">
        <v>2085</v>
      </c>
      <c r="G2317" t="str">
        <f t="shared" si="72"/>
        <v>BAI II</v>
      </c>
      <c r="H2317" t="s">
        <v>1700</v>
      </c>
      <c r="I2317" t="s">
        <v>20</v>
      </c>
      <c r="J2317" t="s">
        <v>64</v>
      </c>
      <c r="K2317" s="6">
        <v>0.03</v>
      </c>
      <c r="L2317" s="7">
        <f t="shared" si="73"/>
        <v>2E-3</v>
      </c>
      <c r="M2317" s="7">
        <v>3.0000000000000001E-3</v>
      </c>
      <c r="N2317">
        <v>11</v>
      </c>
      <c r="O2317" s="8">
        <v>22.933916850949441</v>
      </c>
      <c r="P2317" s="9">
        <v>22.933916850949441</v>
      </c>
      <c r="Q2317" s="9">
        <v>22.933916850949441</v>
      </c>
      <c r="R2317" s="9">
        <v>25.173745848546066</v>
      </c>
      <c r="S2317" s="9">
        <v>27.641690539343774</v>
      </c>
      <c r="T2317" s="9">
        <v>29.730378573928668</v>
      </c>
      <c r="U2317" s="9">
        <v>36.183590217329723</v>
      </c>
      <c r="V2317" s="9">
        <v>36.183590217329723</v>
      </c>
      <c r="W2317" s="9">
        <v>36.183590217329723</v>
      </c>
      <c r="X2317" s="9">
        <v>43.522810559209468</v>
      </c>
      <c r="Y2317" s="9">
        <v>43.522810559209468</v>
      </c>
      <c r="Z2317" s="9">
        <v>50.960858783530121</v>
      </c>
      <c r="AA2317" s="9">
        <v>50.960858783530121</v>
      </c>
      <c r="AB2317" s="9">
        <v>58.507617678535738</v>
      </c>
      <c r="AC2317" s="9">
        <v>58.507617678535738</v>
      </c>
      <c r="AD2317" s="9">
        <v>68.105109643716474</v>
      </c>
      <c r="AE2317" s="9">
        <v>75.132723269302929</v>
      </c>
      <c r="AF2317" s="9">
        <v>82.290622386277917</v>
      </c>
      <c r="AG2317" s="9">
        <v>82.290622386277917</v>
      </c>
      <c r="AH2317" s="9">
        <v>90.43943145512165</v>
      </c>
      <c r="AI2317" s="9">
        <v>98.380048333692613</v>
      </c>
      <c r="AJ2317" s="9">
        <v>3.0428788910505911</v>
      </c>
    </row>
    <row r="2318" spans="1:36" x14ac:dyDescent="0.25">
      <c r="A2318" t="s">
        <v>5411</v>
      </c>
      <c r="B2318" t="s">
        <v>16</v>
      </c>
      <c r="C2318" t="s">
        <v>17</v>
      </c>
      <c r="D2318">
        <v>48620000</v>
      </c>
      <c r="E2318">
        <v>48629999</v>
      </c>
      <c r="F2318" t="s">
        <v>2086</v>
      </c>
      <c r="G2318" t="str">
        <f t="shared" si="72"/>
        <v>BAI II</v>
      </c>
      <c r="H2318" t="s">
        <v>1700</v>
      </c>
      <c r="I2318" t="s">
        <v>20</v>
      </c>
      <c r="J2318" t="s">
        <v>64</v>
      </c>
      <c r="K2318" s="6">
        <v>0.03</v>
      </c>
      <c r="L2318" s="7">
        <f t="shared" si="73"/>
        <v>2E-3</v>
      </c>
      <c r="M2318" s="7">
        <v>3.0000000000000001E-3</v>
      </c>
      <c r="N2318">
        <v>14</v>
      </c>
      <c r="O2318" s="8">
        <v>22.933916850949441</v>
      </c>
      <c r="P2318" s="9">
        <v>22.933916850949441</v>
      </c>
      <c r="Q2318" s="9">
        <v>22.933916850949441</v>
      </c>
      <c r="R2318" s="9">
        <v>25.173745848546066</v>
      </c>
      <c r="S2318" s="9">
        <v>27.641690539343774</v>
      </c>
      <c r="T2318" s="9">
        <v>29.730378573928668</v>
      </c>
      <c r="U2318" s="9">
        <v>36.183590217329723</v>
      </c>
      <c r="V2318" s="9">
        <v>36.183590217329723</v>
      </c>
      <c r="W2318" s="9">
        <v>36.183590217329723</v>
      </c>
      <c r="X2318" s="9">
        <v>43.522810559209468</v>
      </c>
      <c r="Y2318" s="9">
        <v>43.522810559209468</v>
      </c>
      <c r="Z2318" s="9">
        <v>50.960858783530121</v>
      </c>
      <c r="AA2318" s="9">
        <v>50.960858783530121</v>
      </c>
      <c r="AB2318" s="9">
        <v>58.507617678535738</v>
      </c>
      <c r="AC2318" s="9">
        <v>58.507617678535738</v>
      </c>
      <c r="AD2318" s="9">
        <v>68.105109643716474</v>
      </c>
      <c r="AE2318" s="9">
        <v>75.132723269302929</v>
      </c>
      <c r="AF2318" s="9">
        <v>82.290622386277917</v>
      </c>
      <c r="AG2318" s="9">
        <v>82.290622386277917</v>
      </c>
      <c r="AH2318" s="9">
        <v>90.43943145512165</v>
      </c>
      <c r="AI2318" s="9">
        <v>98.380048333692613</v>
      </c>
      <c r="AJ2318" s="9">
        <v>3.0428788910505911</v>
      </c>
    </row>
    <row r="2319" spans="1:36" x14ac:dyDescent="0.25">
      <c r="A2319" t="s">
        <v>5411</v>
      </c>
      <c r="B2319" t="s">
        <v>16</v>
      </c>
      <c r="C2319" t="s">
        <v>17</v>
      </c>
      <c r="D2319">
        <v>48630000</v>
      </c>
      <c r="E2319">
        <v>48649999</v>
      </c>
      <c r="F2319" t="s">
        <v>2087</v>
      </c>
      <c r="G2319" t="str">
        <f t="shared" si="72"/>
        <v>BAI II</v>
      </c>
      <c r="H2319" t="s">
        <v>1700</v>
      </c>
      <c r="I2319" t="s">
        <v>20</v>
      </c>
      <c r="J2319" t="s">
        <v>64</v>
      </c>
      <c r="K2319" s="6">
        <v>0.03</v>
      </c>
      <c r="L2319" s="7">
        <f t="shared" si="73"/>
        <v>2E-3</v>
      </c>
      <c r="M2319" s="7">
        <v>3.0000000000000001E-3</v>
      </c>
      <c r="N2319">
        <v>14</v>
      </c>
      <c r="O2319" s="8">
        <v>22.933916850949441</v>
      </c>
      <c r="P2319" s="9">
        <v>22.933916850949441</v>
      </c>
      <c r="Q2319" s="9">
        <v>22.933916850949441</v>
      </c>
      <c r="R2319" s="9">
        <v>25.173745848546066</v>
      </c>
      <c r="S2319" s="9">
        <v>27.641690539343774</v>
      </c>
      <c r="T2319" s="9">
        <v>29.730378573928668</v>
      </c>
      <c r="U2319" s="9">
        <v>36.183590217329723</v>
      </c>
      <c r="V2319" s="9">
        <v>36.183590217329723</v>
      </c>
      <c r="W2319" s="9">
        <v>36.183590217329723</v>
      </c>
      <c r="X2319" s="9">
        <v>43.522810559209468</v>
      </c>
      <c r="Y2319" s="9">
        <v>43.522810559209468</v>
      </c>
      <c r="Z2319" s="9">
        <v>50.960858783530121</v>
      </c>
      <c r="AA2319" s="9">
        <v>50.960858783530121</v>
      </c>
      <c r="AB2319" s="9">
        <v>58.507617678535738</v>
      </c>
      <c r="AC2319" s="9">
        <v>58.507617678535738</v>
      </c>
      <c r="AD2319" s="9">
        <v>68.105109643716474</v>
      </c>
      <c r="AE2319" s="9">
        <v>75.132723269302929</v>
      </c>
      <c r="AF2319" s="9">
        <v>82.290622386277917</v>
      </c>
      <c r="AG2319" s="9">
        <v>82.290622386277917</v>
      </c>
      <c r="AH2319" s="9">
        <v>90.43943145512165</v>
      </c>
      <c r="AI2319" s="9">
        <v>98.380048333692613</v>
      </c>
      <c r="AJ2319" s="9">
        <v>3.0428788910505911</v>
      </c>
    </row>
    <row r="2320" spans="1:36" x14ac:dyDescent="0.25">
      <c r="A2320" t="s">
        <v>5411</v>
      </c>
      <c r="B2320" t="s">
        <v>16</v>
      </c>
      <c r="C2320" t="s">
        <v>17</v>
      </c>
      <c r="D2320">
        <v>48650000</v>
      </c>
      <c r="E2320">
        <v>48659999</v>
      </c>
      <c r="F2320" t="s">
        <v>2088</v>
      </c>
      <c r="G2320" t="str">
        <f t="shared" si="72"/>
        <v>BAI II</v>
      </c>
      <c r="H2320" t="s">
        <v>1700</v>
      </c>
      <c r="I2320" t="s">
        <v>20</v>
      </c>
      <c r="J2320" t="s">
        <v>64</v>
      </c>
      <c r="K2320" s="6">
        <v>0.03</v>
      </c>
      <c r="L2320" s="7">
        <f t="shared" si="73"/>
        <v>2E-3</v>
      </c>
      <c r="M2320" s="7">
        <v>3.0000000000000001E-3</v>
      </c>
      <c r="N2320">
        <v>14</v>
      </c>
      <c r="O2320" s="8">
        <v>22.933916850949441</v>
      </c>
      <c r="P2320" s="9">
        <v>22.933916850949441</v>
      </c>
      <c r="Q2320" s="9">
        <v>22.933916850949441</v>
      </c>
      <c r="R2320" s="9">
        <v>25.173745848546066</v>
      </c>
      <c r="S2320" s="9">
        <v>27.641690539343774</v>
      </c>
      <c r="T2320" s="9">
        <v>29.730378573928668</v>
      </c>
      <c r="U2320" s="9">
        <v>36.183590217329723</v>
      </c>
      <c r="V2320" s="9">
        <v>36.183590217329723</v>
      </c>
      <c r="W2320" s="9">
        <v>36.183590217329723</v>
      </c>
      <c r="X2320" s="9">
        <v>43.522810559209468</v>
      </c>
      <c r="Y2320" s="9">
        <v>43.522810559209468</v>
      </c>
      <c r="Z2320" s="9">
        <v>50.960858783530121</v>
      </c>
      <c r="AA2320" s="9">
        <v>50.960858783530121</v>
      </c>
      <c r="AB2320" s="9">
        <v>58.507617678535738</v>
      </c>
      <c r="AC2320" s="9">
        <v>58.507617678535738</v>
      </c>
      <c r="AD2320" s="9">
        <v>68.105109643716474</v>
      </c>
      <c r="AE2320" s="9">
        <v>75.132723269302929</v>
      </c>
      <c r="AF2320" s="9">
        <v>82.290622386277917</v>
      </c>
      <c r="AG2320" s="9">
        <v>82.290622386277917</v>
      </c>
      <c r="AH2320" s="9">
        <v>90.43943145512165</v>
      </c>
      <c r="AI2320" s="9">
        <v>98.380048333692613</v>
      </c>
      <c r="AJ2320" s="9">
        <v>3.0428788910505911</v>
      </c>
    </row>
    <row r="2321" spans="1:36" x14ac:dyDescent="0.25">
      <c r="A2321" t="s">
        <v>5411</v>
      </c>
      <c r="B2321" t="s">
        <v>16</v>
      </c>
      <c r="C2321" t="s">
        <v>17</v>
      </c>
      <c r="D2321">
        <v>48660000</v>
      </c>
      <c r="E2321">
        <v>48679999</v>
      </c>
      <c r="F2321" t="s">
        <v>2089</v>
      </c>
      <c r="G2321" t="str">
        <f t="shared" si="72"/>
        <v>BAI II</v>
      </c>
      <c r="H2321" t="s">
        <v>1700</v>
      </c>
      <c r="I2321" t="s">
        <v>20</v>
      </c>
      <c r="J2321" t="s">
        <v>64</v>
      </c>
      <c r="K2321" s="6">
        <v>0.03</v>
      </c>
      <c r="L2321" s="7">
        <f t="shared" si="73"/>
        <v>2E-3</v>
      </c>
      <c r="M2321" s="7">
        <v>3.0000000000000001E-3</v>
      </c>
      <c r="N2321">
        <v>14</v>
      </c>
      <c r="O2321" s="8">
        <v>22.933916850949441</v>
      </c>
      <c r="P2321" s="9">
        <v>22.933916850949441</v>
      </c>
      <c r="Q2321" s="9">
        <v>22.933916850949441</v>
      </c>
      <c r="R2321" s="9">
        <v>25.173745848546066</v>
      </c>
      <c r="S2321" s="9">
        <v>27.641690539343774</v>
      </c>
      <c r="T2321" s="9">
        <v>29.730378573928668</v>
      </c>
      <c r="U2321" s="9">
        <v>36.183590217329723</v>
      </c>
      <c r="V2321" s="9">
        <v>36.183590217329723</v>
      </c>
      <c r="W2321" s="9">
        <v>36.183590217329723</v>
      </c>
      <c r="X2321" s="9">
        <v>43.522810559209468</v>
      </c>
      <c r="Y2321" s="9">
        <v>43.522810559209468</v>
      </c>
      <c r="Z2321" s="9">
        <v>50.960858783530121</v>
      </c>
      <c r="AA2321" s="9">
        <v>50.960858783530121</v>
      </c>
      <c r="AB2321" s="9">
        <v>58.507617678535738</v>
      </c>
      <c r="AC2321" s="9">
        <v>58.507617678535738</v>
      </c>
      <c r="AD2321" s="9">
        <v>68.105109643716474</v>
      </c>
      <c r="AE2321" s="9">
        <v>75.132723269302929</v>
      </c>
      <c r="AF2321" s="9">
        <v>82.290622386277917</v>
      </c>
      <c r="AG2321" s="9">
        <v>82.290622386277917</v>
      </c>
      <c r="AH2321" s="9">
        <v>90.43943145512165</v>
      </c>
      <c r="AI2321" s="9">
        <v>98.380048333692613</v>
      </c>
      <c r="AJ2321" s="9">
        <v>3.0428788910505911</v>
      </c>
    </row>
    <row r="2322" spans="1:36" x14ac:dyDescent="0.25">
      <c r="A2322" t="s">
        <v>5411</v>
      </c>
      <c r="B2322" t="s">
        <v>16</v>
      </c>
      <c r="C2322" t="s">
        <v>17</v>
      </c>
      <c r="D2322">
        <v>48680000</v>
      </c>
      <c r="E2322">
        <v>48699999</v>
      </c>
      <c r="F2322" t="s">
        <v>2090</v>
      </c>
      <c r="G2322" t="str">
        <f t="shared" si="72"/>
        <v>BAI II</v>
      </c>
      <c r="H2322" t="s">
        <v>1700</v>
      </c>
      <c r="I2322" t="s">
        <v>20</v>
      </c>
      <c r="J2322" t="s">
        <v>64</v>
      </c>
      <c r="K2322" s="6">
        <v>0.03</v>
      </c>
      <c r="L2322" s="7">
        <f t="shared" si="73"/>
        <v>2E-3</v>
      </c>
      <c r="M2322" s="7">
        <v>3.0000000000000001E-3</v>
      </c>
      <c r="N2322">
        <v>14</v>
      </c>
      <c r="O2322" s="8">
        <v>22.933916850949441</v>
      </c>
      <c r="P2322" s="9">
        <v>22.933916850949441</v>
      </c>
      <c r="Q2322" s="9">
        <v>22.933916850949441</v>
      </c>
      <c r="R2322" s="9">
        <v>25.173745848546066</v>
      </c>
      <c r="S2322" s="9">
        <v>27.641690539343774</v>
      </c>
      <c r="T2322" s="9">
        <v>29.730378573928668</v>
      </c>
      <c r="U2322" s="9">
        <v>36.183590217329723</v>
      </c>
      <c r="V2322" s="9">
        <v>36.183590217329723</v>
      </c>
      <c r="W2322" s="9">
        <v>36.183590217329723</v>
      </c>
      <c r="X2322" s="9">
        <v>43.522810559209468</v>
      </c>
      <c r="Y2322" s="9">
        <v>43.522810559209468</v>
      </c>
      <c r="Z2322" s="9">
        <v>50.960858783530121</v>
      </c>
      <c r="AA2322" s="9">
        <v>50.960858783530121</v>
      </c>
      <c r="AB2322" s="9">
        <v>58.507617678535738</v>
      </c>
      <c r="AC2322" s="9">
        <v>58.507617678535738</v>
      </c>
      <c r="AD2322" s="9">
        <v>68.105109643716474</v>
      </c>
      <c r="AE2322" s="9">
        <v>75.132723269302929</v>
      </c>
      <c r="AF2322" s="9">
        <v>82.290622386277917</v>
      </c>
      <c r="AG2322" s="9">
        <v>82.290622386277917</v>
      </c>
      <c r="AH2322" s="9">
        <v>90.43943145512165</v>
      </c>
      <c r="AI2322" s="9">
        <v>98.380048333692613</v>
      </c>
      <c r="AJ2322" s="9">
        <v>3.0428788910505911</v>
      </c>
    </row>
    <row r="2323" spans="1:36" x14ac:dyDescent="0.25">
      <c r="A2323" t="s">
        <v>5411</v>
      </c>
      <c r="B2323" t="s">
        <v>16</v>
      </c>
      <c r="C2323" t="s">
        <v>17</v>
      </c>
      <c r="D2323">
        <v>48700000</v>
      </c>
      <c r="E2323">
        <v>48704999</v>
      </c>
      <c r="F2323" t="s">
        <v>2091</v>
      </c>
      <c r="G2323" t="str">
        <f t="shared" si="72"/>
        <v>BAI II</v>
      </c>
      <c r="H2323" t="s">
        <v>1700</v>
      </c>
      <c r="I2323" t="s">
        <v>20</v>
      </c>
      <c r="J2323" t="s">
        <v>64</v>
      </c>
      <c r="K2323" s="6">
        <v>0.03</v>
      </c>
      <c r="L2323" s="7">
        <f t="shared" si="73"/>
        <v>2E-3</v>
      </c>
      <c r="M2323" s="7">
        <v>3.0000000000000001E-3</v>
      </c>
      <c r="N2323">
        <v>9</v>
      </c>
      <c r="O2323" s="8">
        <v>22.933916850949441</v>
      </c>
      <c r="P2323" s="9">
        <v>22.933916850949441</v>
      </c>
      <c r="Q2323" s="9">
        <v>22.933916850949441</v>
      </c>
      <c r="R2323" s="9">
        <v>25.173745848546066</v>
      </c>
      <c r="S2323" s="9">
        <v>27.641690539343774</v>
      </c>
      <c r="T2323" s="9">
        <v>29.730378573928668</v>
      </c>
      <c r="U2323" s="9">
        <v>36.183590217329723</v>
      </c>
      <c r="V2323" s="9">
        <v>36.183590217329723</v>
      </c>
      <c r="W2323" s="9">
        <v>36.183590217329723</v>
      </c>
      <c r="X2323" s="9">
        <v>43.522810559209468</v>
      </c>
      <c r="Y2323" s="9">
        <v>43.522810559209468</v>
      </c>
      <c r="Z2323" s="9">
        <v>50.960858783530121</v>
      </c>
      <c r="AA2323" s="9">
        <v>50.960858783530121</v>
      </c>
      <c r="AB2323" s="9">
        <v>58.507617678535738</v>
      </c>
      <c r="AC2323" s="9">
        <v>58.507617678535738</v>
      </c>
      <c r="AD2323" s="9">
        <v>68.105109643716474</v>
      </c>
      <c r="AE2323" s="9">
        <v>75.132723269302929</v>
      </c>
      <c r="AF2323" s="9">
        <v>82.290622386277917</v>
      </c>
      <c r="AG2323" s="9">
        <v>82.290622386277917</v>
      </c>
      <c r="AH2323" s="9">
        <v>90.43943145512165</v>
      </c>
      <c r="AI2323" s="9">
        <v>98.380048333692613</v>
      </c>
      <c r="AJ2323" s="9">
        <v>3.0428788910505911</v>
      </c>
    </row>
    <row r="2324" spans="1:36" x14ac:dyDescent="0.25">
      <c r="A2324" t="s">
        <v>5411</v>
      </c>
      <c r="B2324" t="s">
        <v>16</v>
      </c>
      <c r="C2324" t="s">
        <v>17</v>
      </c>
      <c r="D2324">
        <v>48705000</v>
      </c>
      <c r="E2324">
        <v>48709999</v>
      </c>
      <c r="F2324" t="s">
        <v>2092</v>
      </c>
      <c r="G2324" t="str">
        <f t="shared" si="72"/>
        <v>BAI II</v>
      </c>
      <c r="H2324" t="s">
        <v>1700</v>
      </c>
      <c r="I2324" t="s">
        <v>20</v>
      </c>
      <c r="J2324" t="s">
        <v>64</v>
      </c>
      <c r="K2324" s="6">
        <v>0.03</v>
      </c>
      <c r="L2324" s="7">
        <f t="shared" si="73"/>
        <v>2E-3</v>
      </c>
      <c r="M2324" s="7">
        <v>3.0000000000000001E-3</v>
      </c>
      <c r="N2324">
        <v>10</v>
      </c>
      <c r="O2324" s="8">
        <v>22.933916850949441</v>
      </c>
      <c r="P2324" s="9">
        <v>22.933916850949441</v>
      </c>
      <c r="Q2324" s="9">
        <v>22.933916850949441</v>
      </c>
      <c r="R2324" s="9">
        <v>25.173745848546066</v>
      </c>
      <c r="S2324" s="9">
        <v>27.641690539343774</v>
      </c>
      <c r="T2324" s="9">
        <v>29.730378573928668</v>
      </c>
      <c r="U2324" s="9">
        <v>36.183590217329723</v>
      </c>
      <c r="V2324" s="9">
        <v>36.183590217329723</v>
      </c>
      <c r="W2324" s="9">
        <v>36.183590217329723</v>
      </c>
      <c r="X2324" s="9">
        <v>43.522810559209468</v>
      </c>
      <c r="Y2324" s="9">
        <v>43.522810559209468</v>
      </c>
      <c r="Z2324" s="9">
        <v>50.960858783530121</v>
      </c>
      <c r="AA2324" s="9">
        <v>50.960858783530121</v>
      </c>
      <c r="AB2324" s="9">
        <v>58.507617678535738</v>
      </c>
      <c r="AC2324" s="9">
        <v>58.507617678535738</v>
      </c>
      <c r="AD2324" s="9">
        <v>68.105109643716474</v>
      </c>
      <c r="AE2324" s="9">
        <v>75.132723269302929</v>
      </c>
      <c r="AF2324" s="9">
        <v>82.290622386277917</v>
      </c>
      <c r="AG2324" s="9">
        <v>82.290622386277917</v>
      </c>
      <c r="AH2324" s="9">
        <v>90.43943145512165</v>
      </c>
      <c r="AI2324" s="9">
        <v>98.380048333692613</v>
      </c>
      <c r="AJ2324" s="9">
        <v>3.0428788910505911</v>
      </c>
    </row>
    <row r="2325" spans="1:36" x14ac:dyDescent="0.25">
      <c r="A2325" t="s">
        <v>5411</v>
      </c>
      <c r="B2325" t="s">
        <v>16</v>
      </c>
      <c r="C2325" t="s">
        <v>17</v>
      </c>
      <c r="D2325">
        <v>48710000</v>
      </c>
      <c r="E2325">
        <v>48719999</v>
      </c>
      <c r="F2325" t="s">
        <v>2093</v>
      </c>
      <c r="G2325" t="str">
        <f t="shared" si="72"/>
        <v>BAI II</v>
      </c>
      <c r="H2325" t="s">
        <v>1700</v>
      </c>
      <c r="I2325" t="s">
        <v>20</v>
      </c>
      <c r="J2325" t="s">
        <v>64</v>
      </c>
      <c r="K2325" s="6">
        <v>0.03</v>
      </c>
      <c r="L2325" s="7">
        <f t="shared" si="73"/>
        <v>2E-3</v>
      </c>
      <c r="M2325" s="7">
        <v>3.0000000000000001E-3</v>
      </c>
      <c r="N2325">
        <v>10</v>
      </c>
      <c r="O2325" s="8">
        <v>22.933916850949441</v>
      </c>
      <c r="P2325" s="9">
        <v>22.933916850949441</v>
      </c>
      <c r="Q2325" s="9">
        <v>22.933916850949441</v>
      </c>
      <c r="R2325" s="9">
        <v>25.173745848546066</v>
      </c>
      <c r="S2325" s="9">
        <v>27.641690539343774</v>
      </c>
      <c r="T2325" s="9">
        <v>29.730378573928668</v>
      </c>
      <c r="U2325" s="9">
        <v>36.183590217329723</v>
      </c>
      <c r="V2325" s="9">
        <v>36.183590217329723</v>
      </c>
      <c r="W2325" s="9">
        <v>36.183590217329723</v>
      </c>
      <c r="X2325" s="9">
        <v>43.522810559209468</v>
      </c>
      <c r="Y2325" s="9">
        <v>43.522810559209468</v>
      </c>
      <c r="Z2325" s="9">
        <v>50.960858783530121</v>
      </c>
      <c r="AA2325" s="9">
        <v>50.960858783530121</v>
      </c>
      <c r="AB2325" s="9">
        <v>58.507617678535738</v>
      </c>
      <c r="AC2325" s="9">
        <v>58.507617678535738</v>
      </c>
      <c r="AD2325" s="9">
        <v>68.105109643716474</v>
      </c>
      <c r="AE2325" s="9">
        <v>75.132723269302929</v>
      </c>
      <c r="AF2325" s="9">
        <v>82.290622386277917</v>
      </c>
      <c r="AG2325" s="9">
        <v>82.290622386277917</v>
      </c>
      <c r="AH2325" s="9">
        <v>90.43943145512165</v>
      </c>
      <c r="AI2325" s="9">
        <v>98.380048333692613</v>
      </c>
      <c r="AJ2325" s="9">
        <v>3.0428788910505911</v>
      </c>
    </row>
    <row r="2326" spans="1:36" x14ac:dyDescent="0.25">
      <c r="A2326" t="s">
        <v>5411</v>
      </c>
      <c r="B2326" t="s">
        <v>16</v>
      </c>
      <c r="C2326" t="s">
        <v>17</v>
      </c>
      <c r="D2326">
        <v>48720000</v>
      </c>
      <c r="E2326">
        <v>48724999</v>
      </c>
      <c r="F2326" t="s">
        <v>2094</v>
      </c>
      <c r="G2326" t="str">
        <f t="shared" si="72"/>
        <v>BAI II</v>
      </c>
      <c r="H2326" t="s">
        <v>1700</v>
      </c>
      <c r="I2326" t="s">
        <v>20</v>
      </c>
      <c r="J2326" t="s">
        <v>64</v>
      </c>
      <c r="K2326" s="6">
        <v>0.03</v>
      </c>
      <c r="L2326" s="7">
        <f t="shared" si="73"/>
        <v>2E-3</v>
      </c>
      <c r="M2326" s="7">
        <v>3.0000000000000001E-3</v>
      </c>
      <c r="N2326">
        <v>10</v>
      </c>
      <c r="O2326" s="8">
        <v>22.933916850949441</v>
      </c>
      <c r="P2326" s="9">
        <v>22.933916850949441</v>
      </c>
      <c r="Q2326" s="9">
        <v>22.933916850949441</v>
      </c>
      <c r="R2326" s="9">
        <v>25.173745848546066</v>
      </c>
      <c r="S2326" s="9">
        <v>27.641690539343774</v>
      </c>
      <c r="T2326" s="9">
        <v>29.730378573928668</v>
      </c>
      <c r="U2326" s="9">
        <v>36.183590217329723</v>
      </c>
      <c r="V2326" s="9">
        <v>36.183590217329723</v>
      </c>
      <c r="W2326" s="9">
        <v>36.183590217329723</v>
      </c>
      <c r="X2326" s="9">
        <v>43.522810559209468</v>
      </c>
      <c r="Y2326" s="9">
        <v>43.522810559209468</v>
      </c>
      <c r="Z2326" s="9">
        <v>50.960858783530121</v>
      </c>
      <c r="AA2326" s="9">
        <v>50.960858783530121</v>
      </c>
      <c r="AB2326" s="9">
        <v>58.507617678535738</v>
      </c>
      <c r="AC2326" s="9">
        <v>58.507617678535738</v>
      </c>
      <c r="AD2326" s="9">
        <v>68.105109643716474</v>
      </c>
      <c r="AE2326" s="9">
        <v>75.132723269302929</v>
      </c>
      <c r="AF2326" s="9">
        <v>82.290622386277917</v>
      </c>
      <c r="AG2326" s="9">
        <v>82.290622386277917</v>
      </c>
      <c r="AH2326" s="9">
        <v>90.43943145512165</v>
      </c>
      <c r="AI2326" s="9">
        <v>98.380048333692613</v>
      </c>
      <c r="AJ2326" s="9">
        <v>3.0428788910505911</v>
      </c>
    </row>
    <row r="2327" spans="1:36" x14ac:dyDescent="0.25">
      <c r="A2327" t="s">
        <v>5411</v>
      </c>
      <c r="B2327" t="s">
        <v>16</v>
      </c>
      <c r="C2327" t="s">
        <v>17</v>
      </c>
      <c r="D2327">
        <v>48725000</v>
      </c>
      <c r="E2327">
        <v>48729999</v>
      </c>
      <c r="F2327" t="s">
        <v>2095</v>
      </c>
      <c r="G2327" t="str">
        <f t="shared" si="72"/>
        <v>BAI II</v>
      </c>
      <c r="H2327" t="s">
        <v>1700</v>
      </c>
      <c r="I2327" t="s">
        <v>20</v>
      </c>
      <c r="J2327" t="s">
        <v>64</v>
      </c>
      <c r="K2327" s="6">
        <v>0.03</v>
      </c>
      <c r="L2327" s="7">
        <f t="shared" si="73"/>
        <v>2E-3</v>
      </c>
      <c r="M2327" s="7">
        <v>3.0000000000000001E-3</v>
      </c>
      <c r="N2327">
        <v>10</v>
      </c>
      <c r="O2327" s="8">
        <v>22.933916850949441</v>
      </c>
      <c r="P2327" s="9">
        <v>22.933916850949441</v>
      </c>
      <c r="Q2327" s="9">
        <v>22.933916850949441</v>
      </c>
      <c r="R2327" s="9">
        <v>25.173745848546066</v>
      </c>
      <c r="S2327" s="9">
        <v>27.641690539343774</v>
      </c>
      <c r="T2327" s="9">
        <v>29.730378573928668</v>
      </c>
      <c r="U2327" s="9">
        <v>36.183590217329723</v>
      </c>
      <c r="V2327" s="9">
        <v>36.183590217329723</v>
      </c>
      <c r="W2327" s="9">
        <v>36.183590217329723</v>
      </c>
      <c r="X2327" s="9">
        <v>43.522810559209468</v>
      </c>
      <c r="Y2327" s="9">
        <v>43.522810559209468</v>
      </c>
      <c r="Z2327" s="9">
        <v>50.960858783530121</v>
      </c>
      <c r="AA2327" s="9">
        <v>50.960858783530121</v>
      </c>
      <c r="AB2327" s="9">
        <v>58.507617678535738</v>
      </c>
      <c r="AC2327" s="9">
        <v>58.507617678535738</v>
      </c>
      <c r="AD2327" s="9">
        <v>68.105109643716474</v>
      </c>
      <c r="AE2327" s="9">
        <v>75.132723269302929</v>
      </c>
      <c r="AF2327" s="9">
        <v>82.290622386277917</v>
      </c>
      <c r="AG2327" s="9">
        <v>82.290622386277917</v>
      </c>
      <c r="AH2327" s="9">
        <v>90.43943145512165</v>
      </c>
      <c r="AI2327" s="9">
        <v>98.380048333692613</v>
      </c>
      <c r="AJ2327" s="9">
        <v>3.0428788910505911</v>
      </c>
    </row>
    <row r="2328" spans="1:36" x14ac:dyDescent="0.25">
      <c r="A2328" t="s">
        <v>5411</v>
      </c>
      <c r="B2328" t="s">
        <v>16</v>
      </c>
      <c r="C2328" t="s">
        <v>17</v>
      </c>
      <c r="D2328">
        <v>48730000</v>
      </c>
      <c r="E2328">
        <v>48749999</v>
      </c>
      <c r="F2328" t="s">
        <v>2096</v>
      </c>
      <c r="G2328" t="str">
        <f t="shared" si="72"/>
        <v>BAI II</v>
      </c>
      <c r="H2328" t="s">
        <v>1700</v>
      </c>
      <c r="I2328" t="s">
        <v>20</v>
      </c>
      <c r="J2328" t="s">
        <v>64</v>
      </c>
      <c r="K2328" s="6">
        <v>0.03</v>
      </c>
      <c r="L2328" s="7">
        <f t="shared" si="73"/>
        <v>2E-3</v>
      </c>
      <c r="M2328" s="7">
        <v>3.0000000000000001E-3</v>
      </c>
      <c r="N2328">
        <v>9</v>
      </c>
      <c r="O2328" s="8">
        <v>22.933916850949441</v>
      </c>
      <c r="P2328" s="9">
        <v>22.933916850949441</v>
      </c>
      <c r="Q2328" s="9">
        <v>22.933916850949441</v>
      </c>
      <c r="R2328" s="9">
        <v>25.173745848546066</v>
      </c>
      <c r="S2328" s="9">
        <v>27.641690539343774</v>
      </c>
      <c r="T2328" s="9">
        <v>29.730378573928668</v>
      </c>
      <c r="U2328" s="9">
        <v>36.183590217329723</v>
      </c>
      <c r="V2328" s="9">
        <v>36.183590217329723</v>
      </c>
      <c r="W2328" s="9">
        <v>36.183590217329723</v>
      </c>
      <c r="X2328" s="9">
        <v>43.522810559209468</v>
      </c>
      <c r="Y2328" s="9">
        <v>43.522810559209468</v>
      </c>
      <c r="Z2328" s="9">
        <v>50.960858783530121</v>
      </c>
      <c r="AA2328" s="9">
        <v>50.960858783530121</v>
      </c>
      <c r="AB2328" s="9">
        <v>58.507617678535738</v>
      </c>
      <c r="AC2328" s="9">
        <v>58.507617678535738</v>
      </c>
      <c r="AD2328" s="9">
        <v>68.105109643716474</v>
      </c>
      <c r="AE2328" s="9">
        <v>75.132723269302929</v>
      </c>
      <c r="AF2328" s="9">
        <v>82.290622386277917</v>
      </c>
      <c r="AG2328" s="9">
        <v>82.290622386277917</v>
      </c>
      <c r="AH2328" s="9">
        <v>90.43943145512165</v>
      </c>
      <c r="AI2328" s="9">
        <v>98.380048333692613</v>
      </c>
      <c r="AJ2328" s="9">
        <v>3.0428788910505911</v>
      </c>
    </row>
    <row r="2329" spans="1:36" x14ac:dyDescent="0.25">
      <c r="A2329" t="s">
        <v>5411</v>
      </c>
      <c r="B2329" t="s">
        <v>16</v>
      </c>
      <c r="C2329" t="s">
        <v>17</v>
      </c>
      <c r="D2329">
        <v>48750000</v>
      </c>
      <c r="E2329">
        <v>48759999</v>
      </c>
      <c r="F2329" t="s">
        <v>2097</v>
      </c>
      <c r="G2329" t="str">
        <f t="shared" si="72"/>
        <v>BAI II</v>
      </c>
      <c r="H2329" t="s">
        <v>1700</v>
      </c>
      <c r="I2329" t="s">
        <v>20</v>
      </c>
      <c r="J2329" t="s">
        <v>64</v>
      </c>
      <c r="K2329" s="6">
        <v>0.03</v>
      </c>
      <c r="L2329" s="7">
        <f t="shared" si="73"/>
        <v>2E-3</v>
      </c>
      <c r="M2329" s="7">
        <v>3.0000000000000001E-3</v>
      </c>
      <c r="N2329">
        <v>9</v>
      </c>
      <c r="O2329" s="8">
        <v>22.933916850949441</v>
      </c>
      <c r="P2329" s="9">
        <v>22.933916850949441</v>
      </c>
      <c r="Q2329" s="9">
        <v>22.933916850949441</v>
      </c>
      <c r="R2329" s="9">
        <v>25.173745848546066</v>
      </c>
      <c r="S2329" s="9">
        <v>27.641690539343774</v>
      </c>
      <c r="T2329" s="9">
        <v>29.730378573928668</v>
      </c>
      <c r="U2329" s="9">
        <v>36.183590217329723</v>
      </c>
      <c r="V2329" s="9">
        <v>36.183590217329723</v>
      </c>
      <c r="W2329" s="9">
        <v>36.183590217329723</v>
      </c>
      <c r="X2329" s="9">
        <v>43.522810559209468</v>
      </c>
      <c r="Y2329" s="9">
        <v>43.522810559209468</v>
      </c>
      <c r="Z2329" s="9">
        <v>50.960858783530121</v>
      </c>
      <c r="AA2329" s="9">
        <v>50.960858783530121</v>
      </c>
      <c r="AB2329" s="9">
        <v>58.507617678535738</v>
      </c>
      <c r="AC2329" s="9">
        <v>58.507617678535738</v>
      </c>
      <c r="AD2329" s="9">
        <v>68.105109643716474</v>
      </c>
      <c r="AE2329" s="9">
        <v>75.132723269302929</v>
      </c>
      <c r="AF2329" s="9">
        <v>82.290622386277917</v>
      </c>
      <c r="AG2329" s="9">
        <v>82.290622386277917</v>
      </c>
      <c r="AH2329" s="9">
        <v>90.43943145512165</v>
      </c>
      <c r="AI2329" s="9">
        <v>98.380048333692613</v>
      </c>
      <c r="AJ2329" s="9">
        <v>3.0428788910505911</v>
      </c>
    </row>
    <row r="2330" spans="1:36" x14ac:dyDescent="0.25">
      <c r="A2330" t="s">
        <v>5411</v>
      </c>
      <c r="B2330" t="s">
        <v>16</v>
      </c>
      <c r="C2330" t="s">
        <v>17</v>
      </c>
      <c r="D2330">
        <v>48760000</v>
      </c>
      <c r="E2330">
        <v>48769999</v>
      </c>
      <c r="F2330" t="s">
        <v>2098</v>
      </c>
      <c r="G2330" t="str">
        <f t="shared" si="72"/>
        <v>BAI II</v>
      </c>
      <c r="H2330" t="s">
        <v>1700</v>
      </c>
      <c r="I2330" t="s">
        <v>20</v>
      </c>
      <c r="J2330" t="s">
        <v>64</v>
      </c>
      <c r="K2330" s="6">
        <v>0.03</v>
      </c>
      <c r="L2330" s="7">
        <f t="shared" si="73"/>
        <v>2E-3</v>
      </c>
      <c r="M2330" s="7">
        <v>3.0000000000000001E-3</v>
      </c>
      <c r="N2330">
        <v>9</v>
      </c>
      <c r="O2330" s="8">
        <v>22.933916850949441</v>
      </c>
      <c r="P2330" s="9">
        <v>22.933916850949441</v>
      </c>
      <c r="Q2330" s="9">
        <v>22.933916850949441</v>
      </c>
      <c r="R2330" s="9">
        <v>25.173745848546066</v>
      </c>
      <c r="S2330" s="9">
        <v>27.641690539343774</v>
      </c>
      <c r="T2330" s="9">
        <v>29.730378573928668</v>
      </c>
      <c r="U2330" s="9">
        <v>36.183590217329723</v>
      </c>
      <c r="V2330" s="9">
        <v>36.183590217329723</v>
      </c>
      <c r="W2330" s="9">
        <v>36.183590217329723</v>
      </c>
      <c r="X2330" s="9">
        <v>43.522810559209468</v>
      </c>
      <c r="Y2330" s="9">
        <v>43.522810559209468</v>
      </c>
      <c r="Z2330" s="9">
        <v>50.960858783530121</v>
      </c>
      <c r="AA2330" s="9">
        <v>50.960858783530121</v>
      </c>
      <c r="AB2330" s="9">
        <v>58.507617678535738</v>
      </c>
      <c r="AC2330" s="9">
        <v>58.507617678535738</v>
      </c>
      <c r="AD2330" s="9">
        <v>68.105109643716474</v>
      </c>
      <c r="AE2330" s="9">
        <v>75.132723269302929</v>
      </c>
      <c r="AF2330" s="9">
        <v>82.290622386277917</v>
      </c>
      <c r="AG2330" s="9">
        <v>82.290622386277917</v>
      </c>
      <c r="AH2330" s="9">
        <v>90.43943145512165</v>
      </c>
      <c r="AI2330" s="9">
        <v>98.380048333692613</v>
      </c>
      <c r="AJ2330" s="9">
        <v>3.0428788910505911</v>
      </c>
    </row>
    <row r="2331" spans="1:36" x14ac:dyDescent="0.25">
      <c r="A2331" t="s">
        <v>5411</v>
      </c>
      <c r="B2331" t="s">
        <v>16</v>
      </c>
      <c r="C2331" t="s">
        <v>17</v>
      </c>
      <c r="D2331">
        <v>48770000</v>
      </c>
      <c r="E2331">
        <v>48779999</v>
      </c>
      <c r="F2331" t="s">
        <v>2099</v>
      </c>
      <c r="G2331" t="str">
        <f t="shared" si="72"/>
        <v>BAI II</v>
      </c>
      <c r="H2331" t="s">
        <v>1700</v>
      </c>
      <c r="I2331" t="s">
        <v>20</v>
      </c>
      <c r="J2331" t="s">
        <v>64</v>
      </c>
      <c r="K2331" s="6">
        <v>0.03</v>
      </c>
      <c r="L2331" s="7">
        <f t="shared" si="73"/>
        <v>2E-3</v>
      </c>
      <c r="M2331" s="7">
        <v>3.0000000000000001E-3</v>
      </c>
      <c r="N2331">
        <v>9</v>
      </c>
      <c r="O2331" s="8">
        <v>22.933916850949441</v>
      </c>
      <c r="P2331" s="9">
        <v>22.933916850949441</v>
      </c>
      <c r="Q2331" s="9">
        <v>22.933916850949441</v>
      </c>
      <c r="R2331" s="9">
        <v>25.173745848546066</v>
      </c>
      <c r="S2331" s="9">
        <v>27.641690539343774</v>
      </c>
      <c r="T2331" s="9">
        <v>29.730378573928668</v>
      </c>
      <c r="U2331" s="9">
        <v>36.183590217329723</v>
      </c>
      <c r="V2331" s="9">
        <v>36.183590217329723</v>
      </c>
      <c r="W2331" s="9">
        <v>36.183590217329723</v>
      </c>
      <c r="X2331" s="9">
        <v>43.522810559209468</v>
      </c>
      <c r="Y2331" s="9">
        <v>43.522810559209468</v>
      </c>
      <c r="Z2331" s="9">
        <v>50.960858783530121</v>
      </c>
      <c r="AA2331" s="9">
        <v>50.960858783530121</v>
      </c>
      <c r="AB2331" s="9">
        <v>58.507617678535738</v>
      </c>
      <c r="AC2331" s="9">
        <v>58.507617678535738</v>
      </c>
      <c r="AD2331" s="9">
        <v>68.105109643716474</v>
      </c>
      <c r="AE2331" s="9">
        <v>75.132723269302929</v>
      </c>
      <c r="AF2331" s="9">
        <v>82.290622386277917</v>
      </c>
      <c r="AG2331" s="9">
        <v>82.290622386277917</v>
      </c>
      <c r="AH2331" s="9">
        <v>90.43943145512165</v>
      </c>
      <c r="AI2331" s="9">
        <v>98.380048333692613</v>
      </c>
      <c r="AJ2331" s="9">
        <v>3.0428788910505911</v>
      </c>
    </row>
    <row r="2332" spans="1:36" x14ac:dyDescent="0.25">
      <c r="A2332" t="s">
        <v>5411</v>
      </c>
      <c r="B2332" t="s">
        <v>16</v>
      </c>
      <c r="C2332" t="s">
        <v>17</v>
      </c>
      <c r="D2332">
        <v>48780000</v>
      </c>
      <c r="E2332">
        <v>48789999</v>
      </c>
      <c r="F2332" t="s">
        <v>2100</v>
      </c>
      <c r="G2332" t="str">
        <f t="shared" si="72"/>
        <v>BAI II</v>
      </c>
      <c r="H2332" t="s">
        <v>1700</v>
      </c>
      <c r="I2332" t="s">
        <v>20</v>
      </c>
      <c r="J2332" t="s">
        <v>64</v>
      </c>
      <c r="K2332" s="6">
        <v>0.03</v>
      </c>
      <c r="L2332" s="7">
        <f t="shared" si="73"/>
        <v>2E-3</v>
      </c>
      <c r="M2332" s="7">
        <v>3.0000000000000001E-3</v>
      </c>
      <c r="N2332">
        <v>9</v>
      </c>
      <c r="O2332" s="8">
        <v>22.933916850949441</v>
      </c>
      <c r="P2332" s="9">
        <v>22.933916850949441</v>
      </c>
      <c r="Q2332" s="9">
        <v>22.933916850949441</v>
      </c>
      <c r="R2332" s="9">
        <v>25.173745848546066</v>
      </c>
      <c r="S2332" s="9">
        <v>27.641690539343774</v>
      </c>
      <c r="T2332" s="9">
        <v>29.730378573928668</v>
      </c>
      <c r="U2332" s="9">
        <v>36.183590217329723</v>
      </c>
      <c r="V2332" s="9">
        <v>36.183590217329723</v>
      </c>
      <c r="W2332" s="9">
        <v>36.183590217329723</v>
      </c>
      <c r="X2332" s="9">
        <v>43.522810559209468</v>
      </c>
      <c r="Y2332" s="9">
        <v>43.522810559209468</v>
      </c>
      <c r="Z2332" s="9">
        <v>50.960858783530121</v>
      </c>
      <c r="AA2332" s="9">
        <v>50.960858783530121</v>
      </c>
      <c r="AB2332" s="9">
        <v>58.507617678535738</v>
      </c>
      <c r="AC2332" s="9">
        <v>58.507617678535738</v>
      </c>
      <c r="AD2332" s="9">
        <v>68.105109643716474</v>
      </c>
      <c r="AE2332" s="9">
        <v>75.132723269302929</v>
      </c>
      <c r="AF2332" s="9">
        <v>82.290622386277917</v>
      </c>
      <c r="AG2332" s="9">
        <v>82.290622386277917</v>
      </c>
      <c r="AH2332" s="9">
        <v>90.43943145512165</v>
      </c>
      <c r="AI2332" s="9">
        <v>98.380048333692613</v>
      </c>
      <c r="AJ2332" s="9">
        <v>3.0428788910505911</v>
      </c>
    </row>
    <row r="2333" spans="1:36" x14ac:dyDescent="0.25">
      <c r="A2333" t="s">
        <v>5411</v>
      </c>
      <c r="B2333" t="s">
        <v>16</v>
      </c>
      <c r="C2333" t="s">
        <v>17</v>
      </c>
      <c r="D2333">
        <v>48790000</v>
      </c>
      <c r="E2333">
        <v>48799999</v>
      </c>
      <c r="F2333" t="s">
        <v>2101</v>
      </c>
      <c r="G2333" t="str">
        <f t="shared" si="72"/>
        <v>BAI II</v>
      </c>
      <c r="H2333" t="s">
        <v>1700</v>
      </c>
      <c r="I2333" t="s">
        <v>20</v>
      </c>
      <c r="J2333" t="s">
        <v>64</v>
      </c>
      <c r="K2333" s="6">
        <v>0.03</v>
      </c>
      <c r="L2333" s="7">
        <f t="shared" si="73"/>
        <v>2E-3</v>
      </c>
      <c r="M2333" s="7">
        <v>3.0000000000000001E-3</v>
      </c>
      <c r="N2333">
        <v>9</v>
      </c>
      <c r="O2333" s="8">
        <v>22.933916850949441</v>
      </c>
      <c r="P2333" s="9">
        <v>22.933916850949441</v>
      </c>
      <c r="Q2333" s="9">
        <v>22.933916850949441</v>
      </c>
      <c r="R2333" s="9">
        <v>25.173745848546066</v>
      </c>
      <c r="S2333" s="9">
        <v>27.641690539343774</v>
      </c>
      <c r="T2333" s="9">
        <v>29.730378573928668</v>
      </c>
      <c r="U2333" s="9">
        <v>36.183590217329723</v>
      </c>
      <c r="V2333" s="9">
        <v>36.183590217329723</v>
      </c>
      <c r="W2333" s="9">
        <v>36.183590217329723</v>
      </c>
      <c r="X2333" s="9">
        <v>43.522810559209468</v>
      </c>
      <c r="Y2333" s="9">
        <v>43.522810559209468</v>
      </c>
      <c r="Z2333" s="9">
        <v>50.960858783530121</v>
      </c>
      <c r="AA2333" s="9">
        <v>50.960858783530121</v>
      </c>
      <c r="AB2333" s="9">
        <v>58.507617678535738</v>
      </c>
      <c r="AC2333" s="9">
        <v>58.507617678535738</v>
      </c>
      <c r="AD2333" s="9">
        <v>68.105109643716474</v>
      </c>
      <c r="AE2333" s="9">
        <v>75.132723269302929</v>
      </c>
      <c r="AF2333" s="9">
        <v>82.290622386277917</v>
      </c>
      <c r="AG2333" s="9">
        <v>82.290622386277917</v>
      </c>
      <c r="AH2333" s="9">
        <v>90.43943145512165</v>
      </c>
      <c r="AI2333" s="9">
        <v>98.380048333692613</v>
      </c>
      <c r="AJ2333" s="9">
        <v>3.0428788910505911</v>
      </c>
    </row>
    <row r="2334" spans="1:36" x14ac:dyDescent="0.25">
      <c r="A2334" t="s">
        <v>5411</v>
      </c>
      <c r="B2334" t="s">
        <v>16</v>
      </c>
      <c r="C2334" t="s">
        <v>17</v>
      </c>
      <c r="D2334">
        <v>48800000</v>
      </c>
      <c r="E2334">
        <v>48829999</v>
      </c>
      <c r="F2334" t="s">
        <v>2102</v>
      </c>
      <c r="G2334" t="str">
        <f t="shared" si="72"/>
        <v>BAI II</v>
      </c>
      <c r="H2334" t="s">
        <v>1700</v>
      </c>
      <c r="I2334" t="s">
        <v>20</v>
      </c>
      <c r="J2334" t="s">
        <v>64</v>
      </c>
      <c r="K2334" s="6">
        <v>0.03</v>
      </c>
      <c r="L2334" s="7">
        <f t="shared" si="73"/>
        <v>2E-3</v>
      </c>
      <c r="M2334" s="7">
        <v>3.0000000000000001E-3</v>
      </c>
      <c r="N2334">
        <v>9</v>
      </c>
      <c r="O2334" s="8">
        <v>22.933916850949441</v>
      </c>
      <c r="P2334" s="9">
        <v>22.933916850949441</v>
      </c>
      <c r="Q2334" s="9">
        <v>22.933916850949441</v>
      </c>
      <c r="R2334" s="9">
        <v>25.173745848546066</v>
      </c>
      <c r="S2334" s="9">
        <v>27.641690539343774</v>
      </c>
      <c r="T2334" s="9">
        <v>29.730378573928668</v>
      </c>
      <c r="U2334" s="9">
        <v>36.183590217329723</v>
      </c>
      <c r="V2334" s="9">
        <v>36.183590217329723</v>
      </c>
      <c r="W2334" s="9">
        <v>36.183590217329723</v>
      </c>
      <c r="X2334" s="9">
        <v>43.522810559209468</v>
      </c>
      <c r="Y2334" s="9">
        <v>43.522810559209468</v>
      </c>
      <c r="Z2334" s="9">
        <v>50.960858783530121</v>
      </c>
      <c r="AA2334" s="9">
        <v>50.960858783530121</v>
      </c>
      <c r="AB2334" s="9">
        <v>58.507617678535738</v>
      </c>
      <c r="AC2334" s="9">
        <v>58.507617678535738</v>
      </c>
      <c r="AD2334" s="9">
        <v>68.105109643716474</v>
      </c>
      <c r="AE2334" s="9">
        <v>75.132723269302929</v>
      </c>
      <c r="AF2334" s="9">
        <v>82.290622386277917</v>
      </c>
      <c r="AG2334" s="9">
        <v>82.290622386277917</v>
      </c>
      <c r="AH2334" s="9">
        <v>90.43943145512165</v>
      </c>
      <c r="AI2334" s="9">
        <v>98.380048333692613</v>
      </c>
      <c r="AJ2334" s="9">
        <v>3.0428788910505911</v>
      </c>
    </row>
    <row r="2335" spans="1:36" x14ac:dyDescent="0.25">
      <c r="A2335" t="s">
        <v>5411</v>
      </c>
      <c r="B2335" t="s">
        <v>16</v>
      </c>
      <c r="C2335" t="s">
        <v>17</v>
      </c>
      <c r="D2335">
        <v>48830000</v>
      </c>
      <c r="E2335">
        <v>48839999</v>
      </c>
      <c r="F2335" t="s">
        <v>2103</v>
      </c>
      <c r="G2335" t="str">
        <f t="shared" si="72"/>
        <v>BAI II</v>
      </c>
      <c r="H2335" t="s">
        <v>1700</v>
      </c>
      <c r="I2335" t="s">
        <v>20</v>
      </c>
      <c r="J2335" t="s">
        <v>64</v>
      </c>
      <c r="K2335" s="6">
        <v>0.03</v>
      </c>
      <c r="L2335" s="7">
        <f t="shared" si="73"/>
        <v>2E-3</v>
      </c>
      <c r="M2335" s="7">
        <v>3.0000000000000001E-3</v>
      </c>
      <c r="N2335">
        <v>14</v>
      </c>
      <c r="O2335" s="8">
        <v>22.933916850949441</v>
      </c>
      <c r="P2335" s="9">
        <v>22.933916850949441</v>
      </c>
      <c r="Q2335" s="9">
        <v>22.933916850949441</v>
      </c>
      <c r="R2335" s="9">
        <v>25.173745848546066</v>
      </c>
      <c r="S2335" s="9">
        <v>27.641690539343774</v>
      </c>
      <c r="T2335" s="9">
        <v>29.730378573928668</v>
      </c>
      <c r="U2335" s="9">
        <v>36.183590217329723</v>
      </c>
      <c r="V2335" s="9">
        <v>36.183590217329723</v>
      </c>
      <c r="W2335" s="9">
        <v>36.183590217329723</v>
      </c>
      <c r="X2335" s="9">
        <v>43.522810559209468</v>
      </c>
      <c r="Y2335" s="9">
        <v>43.522810559209468</v>
      </c>
      <c r="Z2335" s="9">
        <v>50.960858783530121</v>
      </c>
      <c r="AA2335" s="9">
        <v>50.960858783530121</v>
      </c>
      <c r="AB2335" s="9">
        <v>58.507617678535738</v>
      </c>
      <c r="AC2335" s="9">
        <v>58.507617678535738</v>
      </c>
      <c r="AD2335" s="9">
        <v>68.105109643716474</v>
      </c>
      <c r="AE2335" s="9">
        <v>75.132723269302929</v>
      </c>
      <c r="AF2335" s="9">
        <v>82.290622386277917</v>
      </c>
      <c r="AG2335" s="9">
        <v>82.290622386277917</v>
      </c>
      <c r="AH2335" s="9">
        <v>90.43943145512165</v>
      </c>
      <c r="AI2335" s="9">
        <v>98.380048333692613</v>
      </c>
      <c r="AJ2335" s="9">
        <v>3.0428788910505911</v>
      </c>
    </row>
    <row r="2336" spans="1:36" x14ac:dyDescent="0.25">
      <c r="A2336" t="s">
        <v>5411</v>
      </c>
      <c r="B2336" t="s">
        <v>16</v>
      </c>
      <c r="C2336" t="s">
        <v>17</v>
      </c>
      <c r="D2336">
        <v>48840000</v>
      </c>
      <c r="E2336">
        <v>48849999</v>
      </c>
      <c r="F2336" t="s">
        <v>2104</v>
      </c>
      <c r="G2336" t="str">
        <f t="shared" si="72"/>
        <v>BAI II</v>
      </c>
      <c r="H2336" t="s">
        <v>1700</v>
      </c>
      <c r="I2336" t="s">
        <v>20</v>
      </c>
      <c r="J2336" t="s">
        <v>64</v>
      </c>
      <c r="K2336" s="6">
        <v>0.03</v>
      </c>
      <c r="L2336" s="7">
        <f t="shared" si="73"/>
        <v>2E-3</v>
      </c>
      <c r="M2336" s="7">
        <v>3.0000000000000001E-3</v>
      </c>
      <c r="N2336">
        <v>9</v>
      </c>
      <c r="O2336" s="8">
        <v>22.933916850949441</v>
      </c>
      <c r="P2336" s="9">
        <v>22.933916850949441</v>
      </c>
      <c r="Q2336" s="9">
        <v>22.933916850949441</v>
      </c>
      <c r="R2336" s="9">
        <v>25.173745848546066</v>
      </c>
      <c r="S2336" s="9">
        <v>27.641690539343774</v>
      </c>
      <c r="T2336" s="9">
        <v>29.730378573928668</v>
      </c>
      <c r="U2336" s="9">
        <v>36.183590217329723</v>
      </c>
      <c r="V2336" s="9">
        <v>36.183590217329723</v>
      </c>
      <c r="W2336" s="9">
        <v>36.183590217329723</v>
      </c>
      <c r="X2336" s="9">
        <v>43.522810559209468</v>
      </c>
      <c r="Y2336" s="9">
        <v>43.522810559209468</v>
      </c>
      <c r="Z2336" s="9">
        <v>50.960858783530121</v>
      </c>
      <c r="AA2336" s="9">
        <v>50.960858783530121</v>
      </c>
      <c r="AB2336" s="9">
        <v>58.507617678535738</v>
      </c>
      <c r="AC2336" s="9">
        <v>58.507617678535738</v>
      </c>
      <c r="AD2336" s="9">
        <v>68.105109643716474</v>
      </c>
      <c r="AE2336" s="9">
        <v>75.132723269302929</v>
      </c>
      <c r="AF2336" s="9">
        <v>82.290622386277917</v>
      </c>
      <c r="AG2336" s="9">
        <v>82.290622386277917</v>
      </c>
      <c r="AH2336" s="9">
        <v>90.43943145512165</v>
      </c>
      <c r="AI2336" s="9">
        <v>98.380048333692613</v>
      </c>
      <c r="AJ2336" s="9">
        <v>3.0428788910505911</v>
      </c>
    </row>
    <row r="2337" spans="1:36" x14ac:dyDescent="0.25">
      <c r="A2337" t="s">
        <v>5411</v>
      </c>
      <c r="B2337" t="s">
        <v>16</v>
      </c>
      <c r="C2337" t="s">
        <v>17</v>
      </c>
      <c r="D2337">
        <v>48850000</v>
      </c>
      <c r="E2337">
        <v>48859999</v>
      </c>
      <c r="F2337" t="s">
        <v>2105</v>
      </c>
      <c r="G2337" t="str">
        <f t="shared" si="72"/>
        <v>BAI II</v>
      </c>
      <c r="H2337" t="s">
        <v>1700</v>
      </c>
      <c r="I2337" t="s">
        <v>20</v>
      </c>
      <c r="J2337" t="s">
        <v>64</v>
      </c>
      <c r="K2337" s="6">
        <v>0.03</v>
      </c>
      <c r="L2337" s="7">
        <f t="shared" si="73"/>
        <v>2E-3</v>
      </c>
      <c r="M2337" s="7">
        <v>3.0000000000000001E-3</v>
      </c>
      <c r="N2337">
        <v>14</v>
      </c>
      <c r="O2337" s="8">
        <v>22.933916850949441</v>
      </c>
      <c r="P2337" s="9">
        <v>22.933916850949441</v>
      </c>
      <c r="Q2337" s="9">
        <v>22.933916850949441</v>
      </c>
      <c r="R2337" s="9">
        <v>25.173745848546066</v>
      </c>
      <c r="S2337" s="9">
        <v>27.641690539343774</v>
      </c>
      <c r="T2337" s="9">
        <v>29.730378573928668</v>
      </c>
      <c r="U2337" s="9">
        <v>36.183590217329723</v>
      </c>
      <c r="V2337" s="9">
        <v>36.183590217329723</v>
      </c>
      <c r="W2337" s="9">
        <v>36.183590217329723</v>
      </c>
      <c r="X2337" s="9">
        <v>43.522810559209468</v>
      </c>
      <c r="Y2337" s="9">
        <v>43.522810559209468</v>
      </c>
      <c r="Z2337" s="9">
        <v>50.960858783530121</v>
      </c>
      <c r="AA2337" s="9">
        <v>50.960858783530121</v>
      </c>
      <c r="AB2337" s="9">
        <v>58.507617678535738</v>
      </c>
      <c r="AC2337" s="9">
        <v>58.507617678535738</v>
      </c>
      <c r="AD2337" s="9">
        <v>68.105109643716474</v>
      </c>
      <c r="AE2337" s="9">
        <v>75.132723269302929</v>
      </c>
      <c r="AF2337" s="9">
        <v>82.290622386277917</v>
      </c>
      <c r="AG2337" s="9">
        <v>82.290622386277917</v>
      </c>
      <c r="AH2337" s="9">
        <v>90.43943145512165</v>
      </c>
      <c r="AI2337" s="9">
        <v>98.380048333692613</v>
      </c>
      <c r="AJ2337" s="9">
        <v>3.0428788910505911</v>
      </c>
    </row>
    <row r="2338" spans="1:36" x14ac:dyDescent="0.25">
      <c r="A2338" t="s">
        <v>5411</v>
      </c>
      <c r="B2338" t="s">
        <v>16</v>
      </c>
      <c r="C2338" t="s">
        <v>17</v>
      </c>
      <c r="D2338">
        <v>48860000</v>
      </c>
      <c r="E2338">
        <v>48869999</v>
      </c>
      <c r="F2338" t="s">
        <v>2106</v>
      </c>
      <c r="G2338" t="str">
        <f t="shared" si="72"/>
        <v>BAI II</v>
      </c>
      <c r="H2338" t="s">
        <v>1700</v>
      </c>
      <c r="I2338" t="s">
        <v>20</v>
      </c>
      <c r="J2338" t="s">
        <v>64</v>
      </c>
      <c r="K2338" s="6">
        <v>0.03</v>
      </c>
      <c r="L2338" s="7">
        <f t="shared" si="73"/>
        <v>2E-3</v>
      </c>
      <c r="M2338" s="7">
        <v>3.0000000000000001E-3</v>
      </c>
      <c r="N2338">
        <v>9</v>
      </c>
      <c r="O2338" s="8">
        <v>22.933916850949441</v>
      </c>
      <c r="P2338" s="9">
        <v>22.933916850949441</v>
      </c>
      <c r="Q2338" s="9">
        <v>22.933916850949441</v>
      </c>
      <c r="R2338" s="9">
        <v>25.173745848546066</v>
      </c>
      <c r="S2338" s="9">
        <v>27.641690539343774</v>
      </c>
      <c r="T2338" s="9">
        <v>29.730378573928668</v>
      </c>
      <c r="U2338" s="9">
        <v>36.183590217329723</v>
      </c>
      <c r="V2338" s="9">
        <v>36.183590217329723</v>
      </c>
      <c r="W2338" s="9">
        <v>36.183590217329723</v>
      </c>
      <c r="X2338" s="9">
        <v>43.522810559209468</v>
      </c>
      <c r="Y2338" s="9">
        <v>43.522810559209468</v>
      </c>
      <c r="Z2338" s="9">
        <v>50.960858783530121</v>
      </c>
      <c r="AA2338" s="9">
        <v>50.960858783530121</v>
      </c>
      <c r="AB2338" s="9">
        <v>58.507617678535738</v>
      </c>
      <c r="AC2338" s="9">
        <v>58.507617678535738</v>
      </c>
      <c r="AD2338" s="9">
        <v>68.105109643716474</v>
      </c>
      <c r="AE2338" s="9">
        <v>75.132723269302929</v>
      </c>
      <c r="AF2338" s="9">
        <v>82.290622386277917</v>
      </c>
      <c r="AG2338" s="9">
        <v>82.290622386277917</v>
      </c>
      <c r="AH2338" s="9">
        <v>90.43943145512165</v>
      </c>
      <c r="AI2338" s="9">
        <v>98.380048333692613</v>
      </c>
      <c r="AJ2338" s="9">
        <v>3.0428788910505911</v>
      </c>
    </row>
    <row r="2339" spans="1:36" x14ac:dyDescent="0.25">
      <c r="A2339" t="s">
        <v>5411</v>
      </c>
      <c r="B2339" t="s">
        <v>16</v>
      </c>
      <c r="C2339" t="s">
        <v>17</v>
      </c>
      <c r="D2339">
        <v>48870000</v>
      </c>
      <c r="E2339">
        <v>48879999</v>
      </c>
      <c r="F2339" t="s">
        <v>2107</v>
      </c>
      <c r="G2339" t="str">
        <f t="shared" si="72"/>
        <v>BAI II</v>
      </c>
      <c r="H2339" t="s">
        <v>1700</v>
      </c>
      <c r="I2339" t="s">
        <v>20</v>
      </c>
      <c r="J2339" t="s">
        <v>64</v>
      </c>
      <c r="K2339" s="6">
        <v>0.03</v>
      </c>
      <c r="L2339" s="7">
        <f t="shared" si="73"/>
        <v>2E-3</v>
      </c>
      <c r="M2339" s="7">
        <v>3.0000000000000001E-3</v>
      </c>
      <c r="N2339">
        <v>14</v>
      </c>
      <c r="O2339" s="8">
        <v>22.933916850949441</v>
      </c>
      <c r="P2339" s="9">
        <v>22.933916850949441</v>
      </c>
      <c r="Q2339" s="9">
        <v>22.933916850949441</v>
      </c>
      <c r="R2339" s="9">
        <v>25.173745848546066</v>
      </c>
      <c r="S2339" s="9">
        <v>27.641690539343774</v>
      </c>
      <c r="T2339" s="9">
        <v>29.730378573928668</v>
      </c>
      <c r="U2339" s="9">
        <v>36.183590217329723</v>
      </c>
      <c r="V2339" s="9">
        <v>36.183590217329723</v>
      </c>
      <c r="W2339" s="9">
        <v>36.183590217329723</v>
      </c>
      <c r="X2339" s="9">
        <v>43.522810559209468</v>
      </c>
      <c r="Y2339" s="9">
        <v>43.522810559209468</v>
      </c>
      <c r="Z2339" s="9">
        <v>50.960858783530121</v>
      </c>
      <c r="AA2339" s="9">
        <v>50.960858783530121</v>
      </c>
      <c r="AB2339" s="9">
        <v>58.507617678535738</v>
      </c>
      <c r="AC2339" s="9">
        <v>58.507617678535738</v>
      </c>
      <c r="AD2339" s="9">
        <v>68.105109643716474</v>
      </c>
      <c r="AE2339" s="9">
        <v>75.132723269302929</v>
      </c>
      <c r="AF2339" s="9">
        <v>82.290622386277917</v>
      </c>
      <c r="AG2339" s="9">
        <v>82.290622386277917</v>
      </c>
      <c r="AH2339" s="9">
        <v>90.43943145512165</v>
      </c>
      <c r="AI2339" s="9">
        <v>98.380048333692613</v>
      </c>
      <c r="AJ2339" s="9">
        <v>3.0428788910505911</v>
      </c>
    </row>
    <row r="2340" spans="1:36" x14ac:dyDescent="0.25">
      <c r="A2340" t="s">
        <v>5411</v>
      </c>
      <c r="B2340" t="s">
        <v>16</v>
      </c>
      <c r="C2340" t="s">
        <v>17</v>
      </c>
      <c r="D2340">
        <v>48880000</v>
      </c>
      <c r="E2340">
        <v>48889999</v>
      </c>
      <c r="F2340" t="s">
        <v>2108</v>
      </c>
      <c r="G2340" t="str">
        <f t="shared" si="72"/>
        <v>BAI II</v>
      </c>
      <c r="H2340" t="s">
        <v>1700</v>
      </c>
      <c r="I2340" t="s">
        <v>20</v>
      </c>
      <c r="J2340" t="s">
        <v>64</v>
      </c>
      <c r="K2340" s="6">
        <v>0.03</v>
      </c>
      <c r="L2340" s="7">
        <f t="shared" si="73"/>
        <v>2E-3</v>
      </c>
      <c r="M2340" s="7">
        <v>3.0000000000000001E-3</v>
      </c>
      <c r="N2340">
        <v>9</v>
      </c>
      <c r="O2340" s="8">
        <v>22.933916850949441</v>
      </c>
      <c r="P2340" s="9">
        <v>22.933916850949441</v>
      </c>
      <c r="Q2340" s="9">
        <v>22.933916850949441</v>
      </c>
      <c r="R2340" s="9">
        <v>25.173745848546066</v>
      </c>
      <c r="S2340" s="9">
        <v>27.641690539343774</v>
      </c>
      <c r="T2340" s="9">
        <v>29.730378573928668</v>
      </c>
      <c r="U2340" s="9">
        <v>36.183590217329723</v>
      </c>
      <c r="V2340" s="9">
        <v>36.183590217329723</v>
      </c>
      <c r="W2340" s="9">
        <v>36.183590217329723</v>
      </c>
      <c r="X2340" s="9">
        <v>43.522810559209468</v>
      </c>
      <c r="Y2340" s="9">
        <v>43.522810559209468</v>
      </c>
      <c r="Z2340" s="9">
        <v>50.960858783530121</v>
      </c>
      <c r="AA2340" s="9">
        <v>50.960858783530121</v>
      </c>
      <c r="AB2340" s="9">
        <v>58.507617678535738</v>
      </c>
      <c r="AC2340" s="9">
        <v>58.507617678535738</v>
      </c>
      <c r="AD2340" s="9">
        <v>68.105109643716474</v>
      </c>
      <c r="AE2340" s="9">
        <v>75.132723269302929</v>
      </c>
      <c r="AF2340" s="9">
        <v>82.290622386277917</v>
      </c>
      <c r="AG2340" s="9">
        <v>82.290622386277917</v>
      </c>
      <c r="AH2340" s="9">
        <v>90.43943145512165</v>
      </c>
      <c r="AI2340" s="9">
        <v>98.380048333692613</v>
      </c>
      <c r="AJ2340" s="9">
        <v>3.0428788910505911</v>
      </c>
    </row>
    <row r="2341" spans="1:36" x14ac:dyDescent="0.25">
      <c r="A2341" t="s">
        <v>5411</v>
      </c>
      <c r="B2341" t="s">
        <v>16</v>
      </c>
      <c r="C2341" t="s">
        <v>17</v>
      </c>
      <c r="D2341">
        <v>48890000</v>
      </c>
      <c r="E2341">
        <v>48894999</v>
      </c>
      <c r="F2341" t="s">
        <v>2109</v>
      </c>
      <c r="G2341" t="str">
        <f t="shared" si="72"/>
        <v>BAI II</v>
      </c>
      <c r="H2341" t="s">
        <v>1700</v>
      </c>
      <c r="I2341" t="s">
        <v>20</v>
      </c>
      <c r="J2341" t="s">
        <v>64</v>
      </c>
      <c r="K2341" s="6">
        <v>0.03</v>
      </c>
      <c r="L2341" s="7">
        <f t="shared" si="73"/>
        <v>2E-3</v>
      </c>
      <c r="M2341" s="7">
        <v>3.0000000000000001E-3</v>
      </c>
      <c r="N2341">
        <v>9</v>
      </c>
      <c r="O2341" s="8">
        <v>22.933916850949441</v>
      </c>
      <c r="P2341" s="9">
        <v>22.933916850949441</v>
      </c>
      <c r="Q2341" s="9">
        <v>22.933916850949441</v>
      </c>
      <c r="R2341" s="9">
        <v>25.173745848546066</v>
      </c>
      <c r="S2341" s="9">
        <v>27.641690539343774</v>
      </c>
      <c r="T2341" s="9">
        <v>29.730378573928668</v>
      </c>
      <c r="U2341" s="9">
        <v>36.183590217329723</v>
      </c>
      <c r="V2341" s="9">
        <v>36.183590217329723</v>
      </c>
      <c r="W2341" s="9">
        <v>36.183590217329723</v>
      </c>
      <c r="X2341" s="9">
        <v>43.522810559209468</v>
      </c>
      <c r="Y2341" s="9">
        <v>43.522810559209468</v>
      </c>
      <c r="Z2341" s="9">
        <v>50.960858783530121</v>
      </c>
      <c r="AA2341" s="9">
        <v>50.960858783530121</v>
      </c>
      <c r="AB2341" s="9">
        <v>58.507617678535738</v>
      </c>
      <c r="AC2341" s="9">
        <v>58.507617678535738</v>
      </c>
      <c r="AD2341" s="9">
        <v>68.105109643716474</v>
      </c>
      <c r="AE2341" s="9">
        <v>75.132723269302929</v>
      </c>
      <c r="AF2341" s="9">
        <v>82.290622386277917</v>
      </c>
      <c r="AG2341" s="9">
        <v>82.290622386277917</v>
      </c>
      <c r="AH2341" s="9">
        <v>90.43943145512165</v>
      </c>
      <c r="AI2341" s="9">
        <v>98.380048333692613</v>
      </c>
      <c r="AJ2341" s="9">
        <v>3.0428788910505911</v>
      </c>
    </row>
    <row r="2342" spans="1:36" x14ac:dyDescent="0.25">
      <c r="A2342" t="s">
        <v>5411</v>
      </c>
      <c r="B2342" t="s">
        <v>16</v>
      </c>
      <c r="C2342" t="s">
        <v>17</v>
      </c>
      <c r="D2342">
        <v>48895000</v>
      </c>
      <c r="E2342">
        <v>48899999</v>
      </c>
      <c r="F2342" t="s">
        <v>2110</v>
      </c>
      <c r="G2342" t="str">
        <f t="shared" si="72"/>
        <v>BAI II</v>
      </c>
      <c r="H2342" t="s">
        <v>1700</v>
      </c>
      <c r="I2342" t="s">
        <v>20</v>
      </c>
      <c r="J2342" t="s">
        <v>64</v>
      </c>
      <c r="K2342" s="6">
        <v>0.03</v>
      </c>
      <c r="L2342" s="7">
        <f t="shared" si="73"/>
        <v>2E-3</v>
      </c>
      <c r="M2342" s="7">
        <v>3.0000000000000001E-3</v>
      </c>
      <c r="N2342">
        <v>9</v>
      </c>
      <c r="O2342" s="8">
        <v>22.933916850949441</v>
      </c>
      <c r="P2342" s="9">
        <v>22.933916850949441</v>
      </c>
      <c r="Q2342" s="9">
        <v>22.933916850949441</v>
      </c>
      <c r="R2342" s="9">
        <v>25.173745848546066</v>
      </c>
      <c r="S2342" s="9">
        <v>27.641690539343774</v>
      </c>
      <c r="T2342" s="9">
        <v>29.730378573928668</v>
      </c>
      <c r="U2342" s="9">
        <v>36.183590217329723</v>
      </c>
      <c r="V2342" s="9">
        <v>36.183590217329723</v>
      </c>
      <c r="W2342" s="9">
        <v>36.183590217329723</v>
      </c>
      <c r="X2342" s="9">
        <v>43.522810559209468</v>
      </c>
      <c r="Y2342" s="9">
        <v>43.522810559209468</v>
      </c>
      <c r="Z2342" s="9">
        <v>50.960858783530121</v>
      </c>
      <c r="AA2342" s="9">
        <v>50.960858783530121</v>
      </c>
      <c r="AB2342" s="9">
        <v>58.507617678535738</v>
      </c>
      <c r="AC2342" s="9">
        <v>58.507617678535738</v>
      </c>
      <c r="AD2342" s="9">
        <v>68.105109643716474</v>
      </c>
      <c r="AE2342" s="9">
        <v>75.132723269302929</v>
      </c>
      <c r="AF2342" s="9">
        <v>82.290622386277917</v>
      </c>
      <c r="AG2342" s="9">
        <v>82.290622386277917</v>
      </c>
      <c r="AH2342" s="9">
        <v>90.43943145512165</v>
      </c>
      <c r="AI2342" s="9">
        <v>98.380048333692613</v>
      </c>
      <c r="AJ2342" s="9">
        <v>3.0428788910505911</v>
      </c>
    </row>
    <row r="2343" spans="1:36" x14ac:dyDescent="0.25">
      <c r="A2343" t="s">
        <v>5411</v>
      </c>
      <c r="B2343" t="s">
        <v>16</v>
      </c>
      <c r="C2343" t="s">
        <v>17</v>
      </c>
      <c r="D2343">
        <v>48900000</v>
      </c>
      <c r="E2343">
        <v>48920999</v>
      </c>
      <c r="F2343" t="s">
        <v>2111</v>
      </c>
      <c r="G2343" t="str">
        <f t="shared" si="72"/>
        <v>BAI</v>
      </c>
      <c r="H2343" t="s">
        <v>1700</v>
      </c>
      <c r="I2343" t="s">
        <v>20</v>
      </c>
      <c r="J2343" t="s">
        <v>62</v>
      </c>
      <c r="K2343" s="6">
        <v>0.03</v>
      </c>
      <c r="L2343" s="7">
        <f t="shared" si="73"/>
        <v>2E-3</v>
      </c>
      <c r="M2343" s="7">
        <v>3.0000000000000001E-3</v>
      </c>
      <c r="N2343">
        <v>10</v>
      </c>
      <c r="O2343" s="8">
        <v>18.830425793781675</v>
      </c>
      <c r="P2343" s="9">
        <v>18.830425793781675</v>
      </c>
      <c r="Q2343" s="9">
        <v>18.830425793781675</v>
      </c>
      <c r="R2343" s="9">
        <v>20.26742485247707</v>
      </c>
      <c r="S2343" s="9">
        <v>22.358597663519866</v>
      </c>
      <c r="T2343" s="9">
        <v>24.596422700701293</v>
      </c>
      <c r="U2343" s="9">
        <v>30.062806972770321</v>
      </c>
      <c r="V2343" s="9">
        <v>30.062806972770321</v>
      </c>
      <c r="W2343" s="9">
        <v>30.062806972770321</v>
      </c>
      <c r="X2343" s="9">
        <v>36.258834158198169</v>
      </c>
      <c r="Y2343" s="9">
        <v>36.258834158198169</v>
      </c>
      <c r="Z2343" s="9">
        <v>42.662152333319682</v>
      </c>
      <c r="AA2343" s="9">
        <v>42.662152333319682</v>
      </c>
      <c r="AB2343" s="9">
        <v>49.337721288156033</v>
      </c>
      <c r="AC2343" s="9">
        <v>49.337721288156033</v>
      </c>
      <c r="AD2343" s="9">
        <v>56.175614623482943</v>
      </c>
      <c r="AE2343" s="9">
        <v>63.196712014029359</v>
      </c>
      <c r="AF2343" s="9">
        <v>70.424649784246597</v>
      </c>
      <c r="AG2343" s="9">
        <v>70.424649784246597</v>
      </c>
      <c r="AH2343" s="9">
        <v>77.342680781352584</v>
      </c>
      <c r="AI2343" s="9">
        <v>84.743447231394711</v>
      </c>
      <c r="AJ2343" s="9">
        <v>3.0428788910505911</v>
      </c>
    </row>
    <row r="2344" spans="1:36" x14ac:dyDescent="0.25">
      <c r="A2344" t="s">
        <v>5411</v>
      </c>
      <c r="B2344" t="s">
        <v>16</v>
      </c>
      <c r="C2344" t="s">
        <v>17</v>
      </c>
      <c r="D2344">
        <v>48921000</v>
      </c>
      <c r="E2344">
        <v>48924999</v>
      </c>
      <c r="F2344" t="s">
        <v>2112</v>
      </c>
      <c r="G2344" t="str">
        <f t="shared" si="72"/>
        <v>BAI II</v>
      </c>
      <c r="H2344" t="s">
        <v>1700</v>
      </c>
      <c r="I2344" t="s">
        <v>20</v>
      </c>
      <c r="J2344" t="s">
        <v>64</v>
      </c>
      <c r="K2344" s="6">
        <v>0.03</v>
      </c>
      <c r="L2344" s="7">
        <f t="shared" si="73"/>
        <v>2E-3</v>
      </c>
      <c r="M2344" s="7">
        <v>3.0000000000000001E-3</v>
      </c>
      <c r="N2344">
        <v>11</v>
      </c>
      <c r="O2344" s="8">
        <v>22.933916850949441</v>
      </c>
      <c r="P2344" s="9">
        <v>22.933916850949441</v>
      </c>
      <c r="Q2344" s="9">
        <v>22.933916850949441</v>
      </c>
      <c r="R2344" s="9">
        <v>25.173745848546066</v>
      </c>
      <c r="S2344" s="9">
        <v>27.641690539343774</v>
      </c>
      <c r="T2344" s="9">
        <v>29.730378573928668</v>
      </c>
      <c r="U2344" s="9">
        <v>36.183590217329723</v>
      </c>
      <c r="V2344" s="9">
        <v>36.183590217329723</v>
      </c>
      <c r="W2344" s="9">
        <v>36.183590217329723</v>
      </c>
      <c r="X2344" s="9">
        <v>43.522810559209468</v>
      </c>
      <c r="Y2344" s="9">
        <v>43.522810559209468</v>
      </c>
      <c r="Z2344" s="9">
        <v>50.960858783530121</v>
      </c>
      <c r="AA2344" s="9">
        <v>50.960858783530121</v>
      </c>
      <c r="AB2344" s="9">
        <v>58.507617678535738</v>
      </c>
      <c r="AC2344" s="9">
        <v>58.507617678535738</v>
      </c>
      <c r="AD2344" s="9">
        <v>68.105109643716474</v>
      </c>
      <c r="AE2344" s="9">
        <v>75.132723269302929</v>
      </c>
      <c r="AF2344" s="9">
        <v>82.290622386277917</v>
      </c>
      <c r="AG2344" s="9">
        <v>82.290622386277917</v>
      </c>
      <c r="AH2344" s="9">
        <v>90.43943145512165</v>
      </c>
      <c r="AI2344" s="9">
        <v>98.380048333692613</v>
      </c>
      <c r="AJ2344" s="9">
        <v>3.0428788910505911</v>
      </c>
    </row>
    <row r="2345" spans="1:36" x14ac:dyDescent="0.25">
      <c r="A2345" t="s">
        <v>5411</v>
      </c>
      <c r="B2345" t="s">
        <v>16</v>
      </c>
      <c r="C2345" t="s">
        <v>17</v>
      </c>
      <c r="D2345">
        <v>48925000</v>
      </c>
      <c r="E2345">
        <v>48929999</v>
      </c>
      <c r="F2345" t="s">
        <v>2113</v>
      </c>
      <c r="G2345" t="str">
        <f t="shared" si="72"/>
        <v>BAI II</v>
      </c>
      <c r="H2345" t="s">
        <v>1700</v>
      </c>
      <c r="I2345" t="s">
        <v>20</v>
      </c>
      <c r="J2345" t="s">
        <v>64</v>
      </c>
      <c r="K2345" s="6">
        <v>0.03</v>
      </c>
      <c r="L2345" s="7">
        <f t="shared" si="73"/>
        <v>2E-3</v>
      </c>
      <c r="M2345" s="7">
        <v>3.0000000000000001E-3</v>
      </c>
      <c r="N2345">
        <v>11</v>
      </c>
      <c r="O2345" s="8">
        <v>22.933916850949441</v>
      </c>
      <c r="P2345" s="9">
        <v>22.933916850949441</v>
      </c>
      <c r="Q2345" s="9">
        <v>22.933916850949441</v>
      </c>
      <c r="R2345" s="9">
        <v>25.173745848546066</v>
      </c>
      <c r="S2345" s="9">
        <v>27.641690539343774</v>
      </c>
      <c r="T2345" s="9">
        <v>29.730378573928668</v>
      </c>
      <c r="U2345" s="9">
        <v>36.183590217329723</v>
      </c>
      <c r="V2345" s="9">
        <v>36.183590217329723</v>
      </c>
      <c r="W2345" s="9">
        <v>36.183590217329723</v>
      </c>
      <c r="X2345" s="9">
        <v>43.522810559209468</v>
      </c>
      <c r="Y2345" s="9">
        <v>43.522810559209468</v>
      </c>
      <c r="Z2345" s="9">
        <v>50.960858783530121</v>
      </c>
      <c r="AA2345" s="9">
        <v>50.960858783530121</v>
      </c>
      <c r="AB2345" s="9">
        <v>58.507617678535738</v>
      </c>
      <c r="AC2345" s="9">
        <v>58.507617678535738</v>
      </c>
      <c r="AD2345" s="9">
        <v>68.105109643716474</v>
      </c>
      <c r="AE2345" s="9">
        <v>75.132723269302929</v>
      </c>
      <c r="AF2345" s="9">
        <v>82.290622386277917</v>
      </c>
      <c r="AG2345" s="9">
        <v>82.290622386277917</v>
      </c>
      <c r="AH2345" s="9">
        <v>90.43943145512165</v>
      </c>
      <c r="AI2345" s="9">
        <v>98.380048333692613</v>
      </c>
      <c r="AJ2345" s="9">
        <v>3.0428788910505911</v>
      </c>
    </row>
    <row r="2346" spans="1:36" x14ac:dyDescent="0.25">
      <c r="A2346" t="s">
        <v>5411</v>
      </c>
      <c r="B2346" t="s">
        <v>16</v>
      </c>
      <c r="C2346" t="s">
        <v>17</v>
      </c>
      <c r="D2346">
        <v>48930000</v>
      </c>
      <c r="E2346">
        <v>48949999</v>
      </c>
      <c r="F2346" t="s">
        <v>2114</v>
      </c>
      <c r="G2346" t="str">
        <f t="shared" si="72"/>
        <v>BAI II</v>
      </c>
      <c r="H2346" t="s">
        <v>1700</v>
      </c>
      <c r="I2346" t="s">
        <v>20</v>
      </c>
      <c r="J2346" t="s">
        <v>64</v>
      </c>
      <c r="K2346" s="6">
        <v>0.03</v>
      </c>
      <c r="L2346" s="7">
        <f t="shared" si="73"/>
        <v>2E-3</v>
      </c>
      <c r="M2346" s="7">
        <v>3.0000000000000001E-3</v>
      </c>
      <c r="N2346">
        <v>11</v>
      </c>
      <c r="O2346" s="8">
        <v>22.933916850949441</v>
      </c>
      <c r="P2346" s="9">
        <v>22.933916850949441</v>
      </c>
      <c r="Q2346" s="9">
        <v>22.933916850949441</v>
      </c>
      <c r="R2346" s="9">
        <v>25.173745848546066</v>
      </c>
      <c r="S2346" s="9">
        <v>27.641690539343774</v>
      </c>
      <c r="T2346" s="9">
        <v>29.730378573928668</v>
      </c>
      <c r="U2346" s="9">
        <v>36.183590217329723</v>
      </c>
      <c r="V2346" s="9">
        <v>36.183590217329723</v>
      </c>
      <c r="W2346" s="9">
        <v>36.183590217329723</v>
      </c>
      <c r="X2346" s="9">
        <v>43.522810559209468</v>
      </c>
      <c r="Y2346" s="9">
        <v>43.522810559209468</v>
      </c>
      <c r="Z2346" s="9">
        <v>50.960858783530121</v>
      </c>
      <c r="AA2346" s="9">
        <v>50.960858783530121</v>
      </c>
      <c r="AB2346" s="9">
        <v>58.507617678535738</v>
      </c>
      <c r="AC2346" s="9">
        <v>58.507617678535738</v>
      </c>
      <c r="AD2346" s="9">
        <v>68.105109643716474</v>
      </c>
      <c r="AE2346" s="9">
        <v>75.132723269302929</v>
      </c>
      <c r="AF2346" s="9">
        <v>82.290622386277917</v>
      </c>
      <c r="AG2346" s="9">
        <v>82.290622386277917</v>
      </c>
      <c r="AH2346" s="9">
        <v>90.43943145512165</v>
      </c>
      <c r="AI2346" s="9">
        <v>98.380048333692613</v>
      </c>
      <c r="AJ2346" s="9">
        <v>3.0428788910505911</v>
      </c>
    </row>
    <row r="2347" spans="1:36" x14ac:dyDescent="0.25">
      <c r="A2347" t="s">
        <v>5411</v>
      </c>
      <c r="B2347" t="s">
        <v>16</v>
      </c>
      <c r="C2347" t="s">
        <v>17</v>
      </c>
      <c r="D2347">
        <v>48950000</v>
      </c>
      <c r="E2347">
        <v>48959999</v>
      </c>
      <c r="F2347" t="s">
        <v>2115</v>
      </c>
      <c r="G2347" t="str">
        <f t="shared" si="72"/>
        <v>BAI II</v>
      </c>
      <c r="H2347" t="s">
        <v>1700</v>
      </c>
      <c r="I2347" t="s">
        <v>20</v>
      </c>
      <c r="J2347" t="s">
        <v>64</v>
      </c>
      <c r="K2347" s="6">
        <v>0.03</v>
      </c>
      <c r="L2347" s="7">
        <f t="shared" si="73"/>
        <v>2E-3</v>
      </c>
      <c r="M2347" s="7">
        <v>3.0000000000000001E-3</v>
      </c>
      <c r="N2347">
        <v>11</v>
      </c>
      <c r="O2347" s="8">
        <v>22.933916850949441</v>
      </c>
      <c r="P2347" s="9">
        <v>22.933916850949441</v>
      </c>
      <c r="Q2347" s="9">
        <v>22.933916850949441</v>
      </c>
      <c r="R2347" s="9">
        <v>25.173745848546066</v>
      </c>
      <c r="S2347" s="9">
        <v>27.641690539343774</v>
      </c>
      <c r="T2347" s="9">
        <v>29.730378573928668</v>
      </c>
      <c r="U2347" s="9">
        <v>36.183590217329723</v>
      </c>
      <c r="V2347" s="9">
        <v>36.183590217329723</v>
      </c>
      <c r="W2347" s="9">
        <v>36.183590217329723</v>
      </c>
      <c r="X2347" s="9">
        <v>43.522810559209468</v>
      </c>
      <c r="Y2347" s="9">
        <v>43.522810559209468</v>
      </c>
      <c r="Z2347" s="9">
        <v>50.960858783530121</v>
      </c>
      <c r="AA2347" s="9">
        <v>50.960858783530121</v>
      </c>
      <c r="AB2347" s="9">
        <v>58.507617678535738</v>
      </c>
      <c r="AC2347" s="9">
        <v>58.507617678535738</v>
      </c>
      <c r="AD2347" s="9">
        <v>68.105109643716474</v>
      </c>
      <c r="AE2347" s="9">
        <v>75.132723269302929</v>
      </c>
      <c r="AF2347" s="9">
        <v>82.290622386277917</v>
      </c>
      <c r="AG2347" s="9">
        <v>82.290622386277917</v>
      </c>
      <c r="AH2347" s="9">
        <v>90.43943145512165</v>
      </c>
      <c r="AI2347" s="9">
        <v>98.380048333692613</v>
      </c>
      <c r="AJ2347" s="9">
        <v>3.0428788910505911</v>
      </c>
    </row>
    <row r="2348" spans="1:36" x14ac:dyDescent="0.25">
      <c r="A2348" t="s">
        <v>5411</v>
      </c>
      <c r="B2348" t="s">
        <v>16</v>
      </c>
      <c r="C2348" t="s">
        <v>17</v>
      </c>
      <c r="D2348">
        <v>48960000</v>
      </c>
      <c r="E2348">
        <v>48969999</v>
      </c>
      <c r="F2348" t="s">
        <v>2116</v>
      </c>
      <c r="G2348" t="str">
        <f t="shared" si="72"/>
        <v>BAI II</v>
      </c>
      <c r="H2348" t="s">
        <v>1700</v>
      </c>
      <c r="I2348" t="s">
        <v>20</v>
      </c>
      <c r="J2348" t="s">
        <v>64</v>
      </c>
      <c r="K2348" s="6">
        <v>0.03</v>
      </c>
      <c r="L2348" s="7">
        <f t="shared" si="73"/>
        <v>2E-3</v>
      </c>
      <c r="M2348" s="7">
        <v>3.0000000000000001E-3</v>
      </c>
      <c r="N2348">
        <v>11</v>
      </c>
      <c r="O2348" s="8">
        <v>22.933916850949441</v>
      </c>
      <c r="P2348" s="9">
        <v>22.933916850949441</v>
      </c>
      <c r="Q2348" s="9">
        <v>22.933916850949441</v>
      </c>
      <c r="R2348" s="9">
        <v>25.173745848546066</v>
      </c>
      <c r="S2348" s="9">
        <v>27.641690539343774</v>
      </c>
      <c r="T2348" s="9">
        <v>29.730378573928668</v>
      </c>
      <c r="U2348" s="9">
        <v>36.183590217329723</v>
      </c>
      <c r="V2348" s="9">
        <v>36.183590217329723</v>
      </c>
      <c r="W2348" s="9">
        <v>36.183590217329723</v>
      </c>
      <c r="X2348" s="9">
        <v>43.522810559209468</v>
      </c>
      <c r="Y2348" s="9">
        <v>43.522810559209468</v>
      </c>
      <c r="Z2348" s="9">
        <v>50.960858783530121</v>
      </c>
      <c r="AA2348" s="9">
        <v>50.960858783530121</v>
      </c>
      <c r="AB2348" s="9">
        <v>58.507617678535738</v>
      </c>
      <c r="AC2348" s="9">
        <v>58.507617678535738</v>
      </c>
      <c r="AD2348" s="9">
        <v>68.105109643716474</v>
      </c>
      <c r="AE2348" s="9">
        <v>75.132723269302929</v>
      </c>
      <c r="AF2348" s="9">
        <v>82.290622386277917</v>
      </c>
      <c r="AG2348" s="9">
        <v>82.290622386277917</v>
      </c>
      <c r="AH2348" s="9">
        <v>90.43943145512165</v>
      </c>
      <c r="AI2348" s="9">
        <v>98.380048333692613</v>
      </c>
      <c r="AJ2348" s="9">
        <v>3.0428788910505911</v>
      </c>
    </row>
    <row r="2349" spans="1:36" x14ac:dyDescent="0.25">
      <c r="A2349" t="s">
        <v>5411</v>
      </c>
      <c r="B2349" t="s">
        <v>16</v>
      </c>
      <c r="C2349" t="s">
        <v>17</v>
      </c>
      <c r="D2349">
        <v>48970000</v>
      </c>
      <c r="E2349">
        <v>48989999</v>
      </c>
      <c r="F2349" t="s">
        <v>2117</v>
      </c>
      <c r="G2349" t="str">
        <f t="shared" si="72"/>
        <v>BAI II</v>
      </c>
      <c r="H2349" t="s">
        <v>1700</v>
      </c>
      <c r="I2349" t="s">
        <v>20</v>
      </c>
      <c r="J2349" t="s">
        <v>64</v>
      </c>
      <c r="K2349" s="6">
        <v>0.03</v>
      </c>
      <c r="L2349" s="7">
        <f t="shared" si="73"/>
        <v>2E-3</v>
      </c>
      <c r="M2349" s="7">
        <v>3.0000000000000001E-3</v>
      </c>
      <c r="N2349">
        <v>11</v>
      </c>
      <c r="O2349" s="8">
        <v>22.933916850949441</v>
      </c>
      <c r="P2349" s="9">
        <v>22.933916850949441</v>
      </c>
      <c r="Q2349" s="9">
        <v>22.933916850949441</v>
      </c>
      <c r="R2349" s="9">
        <v>25.173745848546066</v>
      </c>
      <c r="S2349" s="9">
        <v>27.641690539343774</v>
      </c>
      <c r="T2349" s="9">
        <v>29.730378573928668</v>
      </c>
      <c r="U2349" s="9">
        <v>36.183590217329723</v>
      </c>
      <c r="V2349" s="9">
        <v>36.183590217329723</v>
      </c>
      <c r="W2349" s="9">
        <v>36.183590217329723</v>
      </c>
      <c r="X2349" s="9">
        <v>43.522810559209468</v>
      </c>
      <c r="Y2349" s="9">
        <v>43.522810559209468</v>
      </c>
      <c r="Z2349" s="9">
        <v>50.960858783530121</v>
      </c>
      <c r="AA2349" s="9">
        <v>50.960858783530121</v>
      </c>
      <c r="AB2349" s="9">
        <v>58.507617678535738</v>
      </c>
      <c r="AC2349" s="9">
        <v>58.507617678535738</v>
      </c>
      <c r="AD2349" s="9">
        <v>68.105109643716474</v>
      </c>
      <c r="AE2349" s="9">
        <v>75.132723269302929</v>
      </c>
      <c r="AF2349" s="9">
        <v>82.290622386277917</v>
      </c>
      <c r="AG2349" s="9">
        <v>82.290622386277917</v>
      </c>
      <c r="AH2349" s="9">
        <v>90.43943145512165</v>
      </c>
      <c r="AI2349" s="9">
        <v>98.380048333692613</v>
      </c>
      <c r="AJ2349" s="9">
        <v>3.0428788910505911</v>
      </c>
    </row>
    <row r="2350" spans="1:36" x14ac:dyDescent="0.25">
      <c r="A2350" t="s">
        <v>5411</v>
      </c>
      <c r="B2350" t="s">
        <v>16</v>
      </c>
      <c r="C2350" t="s">
        <v>17</v>
      </c>
      <c r="D2350">
        <v>48990000</v>
      </c>
      <c r="E2350">
        <v>48999999</v>
      </c>
      <c r="F2350" t="s">
        <v>2118</v>
      </c>
      <c r="G2350" t="str">
        <f t="shared" si="72"/>
        <v>BAI II</v>
      </c>
      <c r="H2350" t="s">
        <v>1700</v>
      </c>
      <c r="I2350" t="s">
        <v>20</v>
      </c>
      <c r="J2350" t="s">
        <v>64</v>
      </c>
      <c r="K2350" s="6">
        <v>0.03</v>
      </c>
      <c r="L2350" s="7">
        <f t="shared" si="73"/>
        <v>2E-3</v>
      </c>
      <c r="M2350" s="7">
        <v>3.0000000000000001E-3</v>
      </c>
      <c r="N2350">
        <v>14</v>
      </c>
      <c r="O2350" s="8">
        <v>22.933916850949441</v>
      </c>
      <c r="P2350" s="9">
        <v>22.933916850949441</v>
      </c>
      <c r="Q2350" s="9">
        <v>22.933916850949441</v>
      </c>
      <c r="R2350" s="9">
        <v>25.173745848546066</v>
      </c>
      <c r="S2350" s="9">
        <v>27.641690539343774</v>
      </c>
      <c r="T2350" s="9">
        <v>29.730378573928668</v>
      </c>
      <c r="U2350" s="9">
        <v>36.183590217329723</v>
      </c>
      <c r="V2350" s="9">
        <v>36.183590217329723</v>
      </c>
      <c r="W2350" s="9">
        <v>36.183590217329723</v>
      </c>
      <c r="X2350" s="9">
        <v>43.522810559209468</v>
      </c>
      <c r="Y2350" s="9">
        <v>43.522810559209468</v>
      </c>
      <c r="Z2350" s="9">
        <v>50.960858783530121</v>
      </c>
      <c r="AA2350" s="9">
        <v>50.960858783530121</v>
      </c>
      <c r="AB2350" s="9">
        <v>58.507617678535738</v>
      </c>
      <c r="AC2350" s="9">
        <v>58.507617678535738</v>
      </c>
      <c r="AD2350" s="9">
        <v>68.105109643716474</v>
      </c>
      <c r="AE2350" s="9">
        <v>75.132723269302929</v>
      </c>
      <c r="AF2350" s="9">
        <v>82.290622386277917</v>
      </c>
      <c r="AG2350" s="9">
        <v>82.290622386277917</v>
      </c>
      <c r="AH2350" s="9">
        <v>90.43943145512165</v>
      </c>
      <c r="AI2350" s="9">
        <v>98.380048333692613</v>
      </c>
      <c r="AJ2350" s="9">
        <v>3.0428788910505911</v>
      </c>
    </row>
    <row r="2351" spans="1:36" x14ac:dyDescent="0.25">
      <c r="A2351" t="s">
        <v>5411</v>
      </c>
      <c r="B2351" t="s">
        <v>16</v>
      </c>
      <c r="C2351" t="s">
        <v>17</v>
      </c>
      <c r="D2351">
        <v>49000000</v>
      </c>
      <c r="E2351">
        <v>49099999</v>
      </c>
      <c r="F2351" t="s">
        <v>2119</v>
      </c>
      <c r="G2351" t="str">
        <f t="shared" si="72"/>
        <v>SEC</v>
      </c>
      <c r="H2351" t="s">
        <v>2120</v>
      </c>
      <c r="I2351" t="s">
        <v>20</v>
      </c>
      <c r="J2351" t="s">
        <v>21</v>
      </c>
      <c r="K2351" s="6">
        <v>0.03</v>
      </c>
      <c r="L2351" s="7">
        <f t="shared" si="73"/>
        <v>2E-3</v>
      </c>
      <c r="M2351" s="7">
        <v>3.0000000000000001E-3</v>
      </c>
      <c r="N2351">
        <v>8</v>
      </c>
      <c r="O2351" s="8">
        <v>13.337421315311872</v>
      </c>
      <c r="P2351" s="9">
        <v>13.337421315311872</v>
      </c>
      <c r="Q2351" s="9">
        <v>13.337421315311872</v>
      </c>
      <c r="R2351" s="9">
        <v>14.449195415622595</v>
      </c>
      <c r="S2351" s="9">
        <v>15.491867622807339</v>
      </c>
      <c r="T2351" s="9">
        <v>16.800318760225462</v>
      </c>
      <c r="U2351" s="9">
        <v>20.157750961837351</v>
      </c>
      <c r="V2351" s="9">
        <v>20.157750961837351</v>
      </c>
      <c r="W2351" s="9">
        <v>20.157750961837351</v>
      </c>
      <c r="X2351" s="9">
        <v>25.83987496402726</v>
      </c>
      <c r="Y2351" s="9">
        <v>25.83987496402726</v>
      </c>
      <c r="Z2351" s="9">
        <v>31.676070413725473</v>
      </c>
      <c r="AA2351" s="9">
        <v>31.676070413725473</v>
      </c>
      <c r="AB2351" s="9">
        <v>38.412691854284503</v>
      </c>
      <c r="AC2351" s="9">
        <v>38.412691854284503</v>
      </c>
      <c r="AD2351" s="9">
        <v>48.159426396178006</v>
      </c>
      <c r="AE2351" s="9">
        <v>54.259408328444309</v>
      </c>
      <c r="AF2351" s="9">
        <v>60.447479530437832</v>
      </c>
      <c r="AG2351" s="9">
        <v>60.447479530437832</v>
      </c>
      <c r="AH2351" s="9">
        <v>66.732448929131223</v>
      </c>
      <c r="AI2351" s="9">
        <v>72.57127134501917</v>
      </c>
      <c r="AJ2351" s="9">
        <v>3.0428788910505911</v>
      </c>
    </row>
    <row r="2352" spans="1:36" x14ac:dyDescent="0.25">
      <c r="A2352" t="s">
        <v>5411</v>
      </c>
      <c r="B2352" t="s">
        <v>16</v>
      </c>
      <c r="C2352" t="s">
        <v>17</v>
      </c>
      <c r="D2352">
        <v>49100000</v>
      </c>
      <c r="E2352">
        <v>49119999</v>
      </c>
      <c r="F2352" t="s">
        <v>2121</v>
      </c>
      <c r="G2352" t="str">
        <f t="shared" si="72"/>
        <v>SEI</v>
      </c>
      <c r="H2352" t="s">
        <v>2120</v>
      </c>
      <c r="I2352" t="s">
        <v>20</v>
      </c>
      <c r="J2352" t="s">
        <v>62</v>
      </c>
      <c r="K2352" s="6">
        <v>0.03</v>
      </c>
      <c r="L2352" s="7">
        <f t="shared" si="73"/>
        <v>2E-3</v>
      </c>
      <c r="M2352" s="7">
        <v>3.0000000000000001E-3</v>
      </c>
      <c r="N2352">
        <v>11</v>
      </c>
      <c r="O2352" s="8">
        <v>18.218373315786963</v>
      </c>
      <c r="P2352" s="9">
        <v>18.218373315786963</v>
      </c>
      <c r="Q2352" s="9">
        <v>18.218373315786963</v>
      </c>
      <c r="R2352" s="9">
        <v>19.664893554389323</v>
      </c>
      <c r="S2352" s="9">
        <v>21.786180308421145</v>
      </c>
      <c r="T2352" s="9">
        <v>23.986333773977044</v>
      </c>
      <c r="U2352" s="9">
        <v>29.590503899645856</v>
      </c>
      <c r="V2352" s="9">
        <v>29.590503899645856</v>
      </c>
      <c r="W2352" s="9">
        <v>29.590503899645856</v>
      </c>
      <c r="X2352" s="9">
        <v>35.864647096682894</v>
      </c>
      <c r="Y2352" s="9">
        <v>35.864647096682894</v>
      </c>
      <c r="Z2352" s="9">
        <v>42.320477053388458</v>
      </c>
      <c r="AA2352" s="9">
        <v>42.320477053388458</v>
      </c>
      <c r="AB2352" s="9">
        <v>49.014929837148429</v>
      </c>
      <c r="AC2352" s="9">
        <v>49.014929837148429</v>
      </c>
      <c r="AD2352" s="9">
        <v>55.851656970363329</v>
      </c>
      <c r="AE2352" s="9">
        <v>62.848959105898189</v>
      </c>
      <c r="AF2352" s="9">
        <v>70.027553049661336</v>
      </c>
      <c r="AG2352" s="9">
        <v>70.027553049661336</v>
      </c>
      <c r="AH2352" s="9">
        <v>76.934519377148774</v>
      </c>
      <c r="AI2352" s="9">
        <v>84.357531434882802</v>
      </c>
      <c r="AJ2352" s="9">
        <v>3.0428788910505911</v>
      </c>
    </row>
    <row r="2353" spans="1:36" x14ac:dyDescent="0.25">
      <c r="A2353" t="s">
        <v>5411</v>
      </c>
      <c r="B2353" t="s">
        <v>16</v>
      </c>
      <c r="C2353" t="s">
        <v>17</v>
      </c>
      <c r="D2353">
        <v>49120000</v>
      </c>
      <c r="E2353">
        <v>49129999</v>
      </c>
      <c r="F2353" t="s">
        <v>2122</v>
      </c>
      <c r="G2353" t="str">
        <f t="shared" si="72"/>
        <v>SEI</v>
      </c>
      <c r="H2353" t="s">
        <v>2120</v>
      </c>
      <c r="I2353" t="s">
        <v>20</v>
      </c>
      <c r="J2353" t="s">
        <v>62</v>
      </c>
      <c r="K2353" s="6">
        <v>0.03</v>
      </c>
      <c r="L2353" s="7">
        <f t="shared" si="73"/>
        <v>2E-3</v>
      </c>
      <c r="M2353" s="7">
        <v>3.0000000000000001E-3</v>
      </c>
      <c r="N2353">
        <v>10</v>
      </c>
      <c r="O2353" s="8">
        <v>18.218373315786963</v>
      </c>
      <c r="P2353" s="9">
        <v>18.218373315786963</v>
      </c>
      <c r="Q2353" s="9">
        <v>18.218373315786963</v>
      </c>
      <c r="R2353" s="9">
        <v>19.664893554389323</v>
      </c>
      <c r="S2353" s="9">
        <v>21.786180308421145</v>
      </c>
      <c r="T2353" s="9">
        <v>23.986333773977044</v>
      </c>
      <c r="U2353" s="9">
        <v>29.590503899645856</v>
      </c>
      <c r="V2353" s="9">
        <v>29.590503899645856</v>
      </c>
      <c r="W2353" s="9">
        <v>29.590503899645856</v>
      </c>
      <c r="X2353" s="9">
        <v>35.864647096682894</v>
      </c>
      <c r="Y2353" s="9">
        <v>35.864647096682894</v>
      </c>
      <c r="Z2353" s="9">
        <v>42.320477053388458</v>
      </c>
      <c r="AA2353" s="9">
        <v>42.320477053388458</v>
      </c>
      <c r="AB2353" s="9">
        <v>49.014929837148429</v>
      </c>
      <c r="AC2353" s="9">
        <v>49.014929837148429</v>
      </c>
      <c r="AD2353" s="9">
        <v>55.851656970363329</v>
      </c>
      <c r="AE2353" s="9">
        <v>62.848959105898189</v>
      </c>
      <c r="AF2353" s="9">
        <v>70.027553049661336</v>
      </c>
      <c r="AG2353" s="9">
        <v>70.027553049661336</v>
      </c>
      <c r="AH2353" s="9">
        <v>76.934519377148774</v>
      </c>
      <c r="AI2353" s="9">
        <v>84.357531434882802</v>
      </c>
      <c r="AJ2353" s="9">
        <v>3.0428788910505911</v>
      </c>
    </row>
    <row r="2354" spans="1:36" x14ac:dyDescent="0.25">
      <c r="A2354" t="s">
        <v>5411</v>
      </c>
      <c r="B2354" t="s">
        <v>16</v>
      </c>
      <c r="C2354" t="s">
        <v>17</v>
      </c>
      <c r="D2354">
        <v>49130000</v>
      </c>
      <c r="E2354">
        <v>49139999</v>
      </c>
      <c r="F2354" t="s">
        <v>2123</v>
      </c>
      <c r="G2354" t="str">
        <f t="shared" si="72"/>
        <v>SEI</v>
      </c>
      <c r="H2354" t="s">
        <v>2120</v>
      </c>
      <c r="I2354" t="s">
        <v>20</v>
      </c>
      <c r="J2354" t="s">
        <v>62</v>
      </c>
      <c r="K2354" s="6">
        <v>0.03</v>
      </c>
      <c r="L2354" s="7">
        <f t="shared" si="73"/>
        <v>2E-3</v>
      </c>
      <c r="M2354" s="7">
        <v>3.0000000000000001E-3</v>
      </c>
      <c r="N2354">
        <v>10</v>
      </c>
      <c r="O2354" s="8">
        <v>18.218373315786963</v>
      </c>
      <c r="P2354" s="9">
        <v>18.218373315786963</v>
      </c>
      <c r="Q2354" s="9">
        <v>18.218373315786963</v>
      </c>
      <c r="R2354" s="9">
        <v>19.664893554389323</v>
      </c>
      <c r="S2354" s="9">
        <v>21.786180308421145</v>
      </c>
      <c r="T2354" s="9">
        <v>23.986333773977044</v>
      </c>
      <c r="U2354" s="9">
        <v>29.590503899645856</v>
      </c>
      <c r="V2354" s="9">
        <v>29.590503899645856</v>
      </c>
      <c r="W2354" s="9">
        <v>29.590503899645856</v>
      </c>
      <c r="X2354" s="9">
        <v>35.864647096682894</v>
      </c>
      <c r="Y2354" s="9">
        <v>35.864647096682894</v>
      </c>
      <c r="Z2354" s="9">
        <v>42.320477053388458</v>
      </c>
      <c r="AA2354" s="9">
        <v>42.320477053388458</v>
      </c>
      <c r="AB2354" s="9">
        <v>49.014929837148429</v>
      </c>
      <c r="AC2354" s="9">
        <v>49.014929837148429</v>
      </c>
      <c r="AD2354" s="9">
        <v>55.851656970363329</v>
      </c>
      <c r="AE2354" s="9">
        <v>62.848959105898189</v>
      </c>
      <c r="AF2354" s="9">
        <v>70.027553049661336</v>
      </c>
      <c r="AG2354" s="9">
        <v>70.027553049661336</v>
      </c>
      <c r="AH2354" s="9">
        <v>76.934519377148774</v>
      </c>
      <c r="AI2354" s="9">
        <v>84.357531434882802</v>
      </c>
      <c r="AJ2354" s="9">
        <v>3.0428788910505911</v>
      </c>
    </row>
    <row r="2355" spans="1:36" x14ac:dyDescent="0.25">
      <c r="A2355" t="s">
        <v>5411</v>
      </c>
      <c r="B2355" t="s">
        <v>16</v>
      </c>
      <c r="C2355" t="s">
        <v>17</v>
      </c>
      <c r="D2355">
        <v>49140000</v>
      </c>
      <c r="E2355">
        <v>49149999</v>
      </c>
      <c r="F2355" t="s">
        <v>2124</v>
      </c>
      <c r="G2355" t="str">
        <f t="shared" si="72"/>
        <v>SEI</v>
      </c>
      <c r="H2355" t="s">
        <v>2120</v>
      </c>
      <c r="I2355" t="s">
        <v>20</v>
      </c>
      <c r="J2355" t="s">
        <v>62</v>
      </c>
      <c r="K2355" s="6">
        <v>0.03</v>
      </c>
      <c r="L2355" s="7">
        <f t="shared" si="73"/>
        <v>2E-3</v>
      </c>
      <c r="M2355" s="7">
        <v>3.0000000000000001E-3</v>
      </c>
      <c r="N2355">
        <v>10</v>
      </c>
      <c r="O2355" s="8">
        <v>18.218373315786963</v>
      </c>
      <c r="P2355" s="9">
        <v>18.218373315786963</v>
      </c>
      <c r="Q2355" s="9">
        <v>18.218373315786963</v>
      </c>
      <c r="R2355" s="9">
        <v>19.664893554389323</v>
      </c>
      <c r="S2355" s="9">
        <v>21.786180308421145</v>
      </c>
      <c r="T2355" s="9">
        <v>23.986333773977044</v>
      </c>
      <c r="U2355" s="9">
        <v>29.590503899645856</v>
      </c>
      <c r="V2355" s="9">
        <v>29.590503899645856</v>
      </c>
      <c r="W2355" s="9">
        <v>29.590503899645856</v>
      </c>
      <c r="X2355" s="9">
        <v>35.864647096682894</v>
      </c>
      <c r="Y2355" s="9">
        <v>35.864647096682894</v>
      </c>
      <c r="Z2355" s="9">
        <v>42.320477053388458</v>
      </c>
      <c r="AA2355" s="9">
        <v>42.320477053388458</v>
      </c>
      <c r="AB2355" s="9">
        <v>49.014929837148429</v>
      </c>
      <c r="AC2355" s="9">
        <v>49.014929837148429</v>
      </c>
      <c r="AD2355" s="9">
        <v>55.851656970363329</v>
      </c>
      <c r="AE2355" s="9">
        <v>62.848959105898189</v>
      </c>
      <c r="AF2355" s="9">
        <v>70.027553049661336</v>
      </c>
      <c r="AG2355" s="9">
        <v>70.027553049661336</v>
      </c>
      <c r="AH2355" s="9">
        <v>76.934519377148774</v>
      </c>
      <c r="AI2355" s="9">
        <v>84.357531434882802</v>
      </c>
      <c r="AJ2355" s="9">
        <v>3.0428788910505911</v>
      </c>
    </row>
    <row r="2356" spans="1:36" x14ac:dyDescent="0.25">
      <c r="A2356" t="s">
        <v>5411</v>
      </c>
      <c r="B2356" t="s">
        <v>16</v>
      </c>
      <c r="C2356" t="s">
        <v>17</v>
      </c>
      <c r="D2356">
        <v>49150000</v>
      </c>
      <c r="E2356">
        <v>49159999</v>
      </c>
      <c r="F2356" t="s">
        <v>2125</v>
      </c>
      <c r="G2356" t="str">
        <f t="shared" si="72"/>
        <v>SEI</v>
      </c>
      <c r="H2356" t="s">
        <v>2120</v>
      </c>
      <c r="I2356" t="s">
        <v>20</v>
      </c>
      <c r="J2356" t="s">
        <v>62</v>
      </c>
      <c r="K2356" s="6">
        <v>0.03</v>
      </c>
      <c r="L2356" s="7">
        <f t="shared" si="73"/>
        <v>2E-3</v>
      </c>
      <c r="M2356" s="7">
        <v>3.0000000000000001E-3</v>
      </c>
      <c r="N2356">
        <v>11</v>
      </c>
      <c r="O2356" s="8">
        <v>18.218373315786963</v>
      </c>
      <c r="P2356" s="9">
        <v>18.218373315786963</v>
      </c>
      <c r="Q2356" s="9">
        <v>18.218373315786963</v>
      </c>
      <c r="R2356" s="9">
        <v>19.664893554389323</v>
      </c>
      <c r="S2356" s="9">
        <v>21.786180308421145</v>
      </c>
      <c r="T2356" s="9">
        <v>23.986333773977044</v>
      </c>
      <c r="U2356" s="9">
        <v>29.590503899645856</v>
      </c>
      <c r="V2356" s="9">
        <v>29.590503899645856</v>
      </c>
      <c r="W2356" s="9">
        <v>29.590503899645856</v>
      </c>
      <c r="X2356" s="9">
        <v>35.864647096682894</v>
      </c>
      <c r="Y2356" s="9">
        <v>35.864647096682894</v>
      </c>
      <c r="Z2356" s="9">
        <v>42.320477053388458</v>
      </c>
      <c r="AA2356" s="9">
        <v>42.320477053388458</v>
      </c>
      <c r="AB2356" s="9">
        <v>49.014929837148429</v>
      </c>
      <c r="AC2356" s="9">
        <v>49.014929837148429</v>
      </c>
      <c r="AD2356" s="9">
        <v>55.851656970363329</v>
      </c>
      <c r="AE2356" s="9">
        <v>62.848959105898189</v>
      </c>
      <c r="AF2356" s="9">
        <v>70.027553049661336</v>
      </c>
      <c r="AG2356" s="9">
        <v>70.027553049661336</v>
      </c>
      <c r="AH2356" s="9">
        <v>76.934519377148774</v>
      </c>
      <c r="AI2356" s="9">
        <v>84.357531434882802</v>
      </c>
      <c r="AJ2356" s="9">
        <v>3.0428788910505911</v>
      </c>
    </row>
    <row r="2357" spans="1:36" x14ac:dyDescent="0.25">
      <c r="A2357" t="s">
        <v>5411</v>
      </c>
      <c r="B2357" t="s">
        <v>16</v>
      </c>
      <c r="C2357" t="s">
        <v>17</v>
      </c>
      <c r="D2357">
        <v>49160000</v>
      </c>
      <c r="E2357">
        <v>49169999</v>
      </c>
      <c r="F2357" t="s">
        <v>2125</v>
      </c>
      <c r="G2357" t="str">
        <f t="shared" si="72"/>
        <v>SEI</v>
      </c>
      <c r="H2357" t="s">
        <v>2120</v>
      </c>
      <c r="I2357" t="s">
        <v>20</v>
      </c>
      <c r="J2357" t="s">
        <v>62</v>
      </c>
      <c r="K2357" s="6">
        <v>0.03</v>
      </c>
      <c r="L2357" s="7">
        <f t="shared" si="73"/>
        <v>2E-3</v>
      </c>
      <c r="M2357" s="7">
        <v>3.0000000000000001E-3</v>
      </c>
      <c r="N2357">
        <v>11</v>
      </c>
      <c r="O2357" s="8">
        <v>18.218373315786963</v>
      </c>
      <c r="P2357" s="9">
        <v>18.218373315786963</v>
      </c>
      <c r="Q2357" s="9">
        <v>18.218373315786963</v>
      </c>
      <c r="R2357" s="9">
        <v>19.664893554389323</v>
      </c>
      <c r="S2357" s="9">
        <v>21.786180308421145</v>
      </c>
      <c r="T2357" s="9">
        <v>23.986333773977044</v>
      </c>
      <c r="U2357" s="9">
        <v>29.590503899645856</v>
      </c>
      <c r="V2357" s="9">
        <v>29.590503899645856</v>
      </c>
      <c r="W2357" s="9">
        <v>29.590503899645856</v>
      </c>
      <c r="X2357" s="9">
        <v>35.864647096682894</v>
      </c>
      <c r="Y2357" s="9">
        <v>35.864647096682894</v>
      </c>
      <c r="Z2357" s="9">
        <v>42.320477053388458</v>
      </c>
      <c r="AA2357" s="9">
        <v>42.320477053388458</v>
      </c>
      <c r="AB2357" s="9">
        <v>49.014929837148429</v>
      </c>
      <c r="AC2357" s="9">
        <v>49.014929837148429</v>
      </c>
      <c r="AD2357" s="9">
        <v>55.851656970363329</v>
      </c>
      <c r="AE2357" s="9">
        <v>62.848959105898189</v>
      </c>
      <c r="AF2357" s="9">
        <v>70.027553049661336</v>
      </c>
      <c r="AG2357" s="9">
        <v>70.027553049661336</v>
      </c>
      <c r="AH2357" s="9">
        <v>76.934519377148774</v>
      </c>
      <c r="AI2357" s="9">
        <v>84.357531434882802</v>
      </c>
      <c r="AJ2357" s="9">
        <v>3.0428788910505911</v>
      </c>
    </row>
    <row r="2358" spans="1:36" x14ac:dyDescent="0.25">
      <c r="A2358" t="s">
        <v>5411</v>
      </c>
      <c r="B2358" t="s">
        <v>16</v>
      </c>
      <c r="C2358" t="s">
        <v>17</v>
      </c>
      <c r="D2358">
        <v>49170000</v>
      </c>
      <c r="E2358">
        <v>49179999</v>
      </c>
      <c r="F2358" t="s">
        <v>2126</v>
      </c>
      <c r="G2358" t="str">
        <f t="shared" si="72"/>
        <v>SEI II</v>
      </c>
      <c r="H2358" t="s">
        <v>2120</v>
      </c>
      <c r="I2358" t="s">
        <v>20</v>
      </c>
      <c r="J2358" t="s">
        <v>64</v>
      </c>
      <c r="K2358" s="6">
        <v>0.03</v>
      </c>
      <c r="L2358" s="7">
        <f t="shared" si="73"/>
        <v>2E-3</v>
      </c>
      <c r="M2358" s="7">
        <v>3.0000000000000001E-3</v>
      </c>
      <c r="N2358">
        <v>9</v>
      </c>
      <c r="O2358" s="8">
        <v>22.325454358562396</v>
      </c>
      <c r="P2358" s="9">
        <v>22.325454358562396</v>
      </c>
      <c r="Q2358" s="9">
        <v>22.325454358562396</v>
      </c>
      <c r="R2358" s="9">
        <v>24.597417277137804</v>
      </c>
      <c r="S2358" s="9">
        <v>27.103777688027414</v>
      </c>
      <c r="T2358" s="9">
        <v>29.216902865000016</v>
      </c>
      <c r="U2358" s="9">
        <v>35.838454522229164</v>
      </c>
      <c r="V2358" s="9">
        <v>35.838454522229164</v>
      </c>
      <c r="W2358" s="9">
        <v>35.838454522229164</v>
      </c>
      <c r="X2358" s="9">
        <v>43.267031000463348</v>
      </c>
      <c r="Y2358" s="9">
        <v>43.267031000463348</v>
      </c>
      <c r="Z2358" s="9">
        <v>50.782228309405689</v>
      </c>
      <c r="AA2358" s="9">
        <v>50.782228309405689</v>
      </c>
      <c r="AB2358" s="9">
        <v>58.392708532127088</v>
      </c>
      <c r="AC2358" s="9">
        <v>58.392708532127088</v>
      </c>
      <c r="AD2358" s="9">
        <v>67.800618768645919</v>
      </c>
      <c r="AE2358" s="9">
        <v>74.956077661509198</v>
      </c>
      <c r="AF2358" s="9">
        <v>82.225729403744211</v>
      </c>
      <c r="AG2358" s="9">
        <v>82.225729403744211</v>
      </c>
      <c r="AH2358" s="9">
        <v>90.363895588137865</v>
      </c>
      <c r="AI2358" s="9">
        <v>98.43110945306033</v>
      </c>
      <c r="AJ2358" s="9">
        <v>3.0428788910505911</v>
      </c>
    </row>
    <row r="2359" spans="1:36" x14ac:dyDescent="0.25">
      <c r="A2359" t="s">
        <v>5411</v>
      </c>
      <c r="B2359" t="s">
        <v>16</v>
      </c>
      <c r="C2359" t="s">
        <v>17</v>
      </c>
      <c r="D2359">
        <v>49180000</v>
      </c>
      <c r="E2359">
        <v>49189999</v>
      </c>
      <c r="F2359" t="s">
        <v>2127</v>
      </c>
      <c r="G2359" t="str">
        <f t="shared" si="72"/>
        <v>SEI</v>
      </c>
      <c r="H2359" t="s">
        <v>2120</v>
      </c>
      <c r="I2359" t="s">
        <v>20</v>
      </c>
      <c r="J2359" t="s">
        <v>62</v>
      </c>
      <c r="K2359" s="6">
        <v>0.03</v>
      </c>
      <c r="L2359" s="7">
        <f t="shared" si="73"/>
        <v>2E-3</v>
      </c>
      <c r="M2359" s="7">
        <v>3.0000000000000001E-3</v>
      </c>
      <c r="N2359">
        <v>10</v>
      </c>
      <c r="O2359" s="8">
        <v>18.218373315786963</v>
      </c>
      <c r="P2359" s="9">
        <v>18.218373315786963</v>
      </c>
      <c r="Q2359" s="9">
        <v>18.218373315786963</v>
      </c>
      <c r="R2359" s="9">
        <v>19.664893554389323</v>
      </c>
      <c r="S2359" s="9">
        <v>21.786180308421145</v>
      </c>
      <c r="T2359" s="9">
        <v>23.986333773977044</v>
      </c>
      <c r="U2359" s="9">
        <v>29.590503899645856</v>
      </c>
      <c r="V2359" s="9">
        <v>29.590503899645856</v>
      </c>
      <c r="W2359" s="9">
        <v>29.590503899645856</v>
      </c>
      <c r="X2359" s="9">
        <v>35.864647096682894</v>
      </c>
      <c r="Y2359" s="9">
        <v>35.864647096682894</v>
      </c>
      <c r="Z2359" s="9">
        <v>42.320477053388458</v>
      </c>
      <c r="AA2359" s="9">
        <v>42.320477053388458</v>
      </c>
      <c r="AB2359" s="9">
        <v>49.014929837148429</v>
      </c>
      <c r="AC2359" s="9">
        <v>49.014929837148429</v>
      </c>
      <c r="AD2359" s="9">
        <v>55.851656970363329</v>
      </c>
      <c r="AE2359" s="9">
        <v>62.848959105898189</v>
      </c>
      <c r="AF2359" s="9">
        <v>70.027553049661336</v>
      </c>
      <c r="AG2359" s="9">
        <v>70.027553049661336</v>
      </c>
      <c r="AH2359" s="9">
        <v>76.934519377148774</v>
      </c>
      <c r="AI2359" s="9">
        <v>84.357531434882802</v>
      </c>
      <c r="AJ2359" s="9">
        <v>3.0428788910505911</v>
      </c>
    </row>
    <row r="2360" spans="1:36" x14ac:dyDescent="0.25">
      <c r="A2360" t="s">
        <v>5411</v>
      </c>
      <c r="B2360" t="s">
        <v>16</v>
      </c>
      <c r="C2360" t="s">
        <v>17</v>
      </c>
      <c r="D2360">
        <v>49190000</v>
      </c>
      <c r="E2360">
        <v>49199999</v>
      </c>
      <c r="F2360" t="s">
        <v>2128</v>
      </c>
      <c r="G2360" t="str">
        <f t="shared" si="72"/>
        <v>SEI II</v>
      </c>
      <c r="H2360" t="s">
        <v>2120</v>
      </c>
      <c r="I2360" t="s">
        <v>20</v>
      </c>
      <c r="J2360" t="s">
        <v>64</v>
      </c>
      <c r="K2360" s="6">
        <v>0.03</v>
      </c>
      <c r="L2360" s="7">
        <f t="shared" si="73"/>
        <v>2E-3</v>
      </c>
      <c r="M2360" s="7">
        <v>3.0000000000000001E-3</v>
      </c>
      <c r="N2360">
        <v>12</v>
      </c>
      <c r="O2360" s="8">
        <v>22.325454358562396</v>
      </c>
      <c r="P2360" s="9">
        <v>22.325454358562396</v>
      </c>
      <c r="Q2360" s="9">
        <v>22.325454358562396</v>
      </c>
      <c r="R2360" s="9">
        <v>24.597417277137804</v>
      </c>
      <c r="S2360" s="9">
        <v>27.103777688027414</v>
      </c>
      <c r="T2360" s="9">
        <v>29.216902865000016</v>
      </c>
      <c r="U2360" s="9">
        <v>35.838454522229164</v>
      </c>
      <c r="V2360" s="9">
        <v>35.838454522229164</v>
      </c>
      <c r="W2360" s="9">
        <v>35.838454522229164</v>
      </c>
      <c r="X2360" s="9">
        <v>43.267031000463348</v>
      </c>
      <c r="Y2360" s="9">
        <v>43.267031000463348</v>
      </c>
      <c r="Z2360" s="9">
        <v>50.782228309405689</v>
      </c>
      <c r="AA2360" s="9">
        <v>50.782228309405689</v>
      </c>
      <c r="AB2360" s="9">
        <v>58.392708532127088</v>
      </c>
      <c r="AC2360" s="9">
        <v>58.392708532127088</v>
      </c>
      <c r="AD2360" s="9">
        <v>67.800618768645919</v>
      </c>
      <c r="AE2360" s="9">
        <v>74.956077661509198</v>
      </c>
      <c r="AF2360" s="9">
        <v>82.225729403744211</v>
      </c>
      <c r="AG2360" s="9">
        <v>82.225729403744211</v>
      </c>
      <c r="AH2360" s="9">
        <v>90.363895588137865</v>
      </c>
      <c r="AI2360" s="9">
        <v>98.43110945306033</v>
      </c>
      <c r="AJ2360" s="9">
        <v>3.0428788910505911</v>
      </c>
    </row>
    <row r="2361" spans="1:36" x14ac:dyDescent="0.25">
      <c r="A2361" t="s">
        <v>5411</v>
      </c>
      <c r="B2361" t="s">
        <v>16</v>
      </c>
      <c r="C2361" t="s">
        <v>17</v>
      </c>
      <c r="D2361">
        <v>49200000</v>
      </c>
      <c r="E2361">
        <v>49219999</v>
      </c>
      <c r="F2361" t="s">
        <v>2129</v>
      </c>
      <c r="G2361" t="str">
        <f t="shared" si="72"/>
        <v>SEI</v>
      </c>
      <c r="H2361" t="s">
        <v>2120</v>
      </c>
      <c r="I2361" t="s">
        <v>20</v>
      </c>
      <c r="J2361" t="s">
        <v>62</v>
      </c>
      <c r="K2361" s="6">
        <v>0.03</v>
      </c>
      <c r="L2361" s="7">
        <f t="shared" si="73"/>
        <v>2E-3</v>
      </c>
      <c r="M2361" s="7">
        <v>3.0000000000000001E-3</v>
      </c>
      <c r="N2361">
        <v>10</v>
      </c>
      <c r="O2361" s="8">
        <v>18.218373315786963</v>
      </c>
      <c r="P2361" s="9">
        <v>18.218373315786963</v>
      </c>
      <c r="Q2361" s="9">
        <v>18.218373315786963</v>
      </c>
      <c r="R2361" s="9">
        <v>19.664893554389323</v>
      </c>
      <c r="S2361" s="9">
        <v>21.786180308421145</v>
      </c>
      <c r="T2361" s="9">
        <v>23.986333773977044</v>
      </c>
      <c r="U2361" s="9">
        <v>29.590503899645856</v>
      </c>
      <c r="V2361" s="9">
        <v>29.590503899645856</v>
      </c>
      <c r="W2361" s="9">
        <v>29.590503899645856</v>
      </c>
      <c r="X2361" s="9">
        <v>35.864647096682894</v>
      </c>
      <c r="Y2361" s="9">
        <v>35.864647096682894</v>
      </c>
      <c r="Z2361" s="9">
        <v>42.320477053388458</v>
      </c>
      <c r="AA2361" s="9">
        <v>42.320477053388458</v>
      </c>
      <c r="AB2361" s="9">
        <v>49.014929837148429</v>
      </c>
      <c r="AC2361" s="9">
        <v>49.014929837148429</v>
      </c>
      <c r="AD2361" s="9">
        <v>55.851656970363329</v>
      </c>
      <c r="AE2361" s="9">
        <v>62.848959105898189</v>
      </c>
      <c r="AF2361" s="9">
        <v>70.027553049661336</v>
      </c>
      <c r="AG2361" s="9">
        <v>70.027553049661336</v>
      </c>
      <c r="AH2361" s="9">
        <v>76.934519377148774</v>
      </c>
      <c r="AI2361" s="9">
        <v>84.357531434882802</v>
      </c>
      <c r="AJ2361" s="9">
        <v>3.0428788910505911</v>
      </c>
    </row>
    <row r="2362" spans="1:36" x14ac:dyDescent="0.25">
      <c r="A2362" t="s">
        <v>5411</v>
      </c>
      <c r="B2362" t="s">
        <v>16</v>
      </c>
      <c r="C2362" t="s">
        <v>17</v>
      </c>
      <c r="D2362">
        <v>49220000</v>
      </c>
      <c r="E2362">
        <v>49229999</v>
      </c>
      <c r="F2362" t="s">
        <v>2130</v>
      </c>
      <c r="G2362" t="str">
        <f t="shared" si="72"/>
        <v>SEI II</v>
      </c>
      <c r="H2362" t="s">
        <v>2120</v>
      </c>
      <c r="I2362" t="s">
        <v>20</v>
      </c>
      <c r="J2362" t="s">
        <v>64</v>
      </c>
      <c r="K2362" s="6">
        <v>0.03</v>
      </c>
      <c r="L2362" s="7">
        <f t="shared" si="73"/>
        <v>2E-3</v>
      </c>
      <c r="M2362" s="7">
        <v>3.0000000000000001E-3</v>
      </c>
      <c r="N2362">
        <v>12</v>
      </c>
      <c r="O2362" s="8">
        <v>22.325454358562396</v>
      </c>
      <c r="P2362" s="9">
        <v>22.325454358562396</v>
      </c>
      <c r="Q2362" s="9">
        <v>22.325454358562396</v>
      </c>
      <c r="R2362" s="9">
        <v>24.597417277137804</v>
      </c>
      <c r="S2362" s="9">
        <v>27.103777688027414</v>
      </c>
      <c r="T2362" s="9">
        <v>29.216902865000016</v>
      </c>
      <c r="U2362" s="9">
        <v>35.838454522229164</v>
      </c>
      <c r="V2362" s="9">
        <v>35.838454522229164</v>
      </c>
      <c r="W2362" s="9">
        <v>35.838454522229164</v>
      </c>
      <c r="X2362" s="9">
        <v>43.267031000463348</v>
      </c>
      <c r="Y2362" s="9">
        <v>43.267031000463348</v>
      </c>
      <c r="Z2362" s="9">
        <v>50.782228309405689</v>
      </c>
      <c r="AA2362" s="9">
        <v>50.782228309405689</v>
      </c>
      <c r="AB2362" s="9">
        <v>58.392708532127088</v>
      </c>
      <c r="AC2362" s="9">
        <v>58.392708532127088</v>
      </c>
      <c r="AD2362" s="9">
        <v>67.800618768645919</v>
      </c>
      <c r="AE2362" s="9">
        <v>74.956077661509198</v>
      </c>
      <c r="AF2362" s="9">
        <v>82.225729403744211</v>
      </c>
      <c r="AG2362" s="9">
        <v>82.225729403744211</v>
      </c>
      <c r="AH2362" s="9">
        <v>90.363895588137865</v>
      </c>
      <c r="AI2362" s="9">
        <v>98.43110945306033</v>
      </c>
      <c r="AJ2362" s="9">
        <v>3.0428788910505911</v>
      </c>
    </row>
    <row r="2363" spans="1:36" x14ac:dyDescent="0.25">
      <c r="A2363" t="s">
        <v>5411</v>
      </c>
      <c r="B2363" t="s">
        <v>16</v>
      </c>
      <c r="C2363" t="s">
        <v>17</v>
      </c>
      <c r="D2363">
        <v>49230000</v>
      </c>
      <c r="E2363">
        <v>49249999</v>
      </c>
      <c r="F2363" t="s">
        <v>2131</v>
      </c>
      <c r="G2363" t="str">
        <f t="shared" si="72"/>
        <v>SEI II</v>
      </c>
      <c r="H2363" t="s">
        <v>2120</v>
      </c>
      <c r="I2363" t="s">
        <v>20</v>
      </c>
      <c r="J2363" t="s">
        <v>64</v>
      </c>
      <c r="K2363" s="6">
        <v>0.03</v>
      </c>
      <c r="L2363" s="7">
        <f t="shared" si="73"/>
        <v>2E-3</v>
      </c>
      <c r="M2363" s="7">
        <v>3.0000000000000001E-3</v>
      </c>
      <c r="N2363">
        <v>12</v>
      </c>
      <c r="O2363" s="8">
        <v>22.325454358562396</v>
      </c>
      <c r="P2363" s="9">
        <v>22.325454358562396</v>
      </c>
      <c r="Q2363" s="9">
        <v>22.325454358562396</v>
      </c>
      <c r="R2363" s="9">
        <v>24.597417277137804</v>
      </c>
      <c r="S2363" s="9">
        <v>27.103777688027414</v>
      </c>
      <c r="T2363" s="9">
        <v>29.216902865000016</v>
      </c>
      <c r="U2363" s="9">
        <v>35.838454522229164</v>
      </c>
      <c r="V2363" s="9">
        <v>35.838454522229164</v>
      </c>
      <c r="W2363" s="9">
        <v>35.838454522229164</v>
      </c>
      <c r="X2363" s="9">
        <v>43.267031000463348</v>
      </c>
      <c r="Y2363" s="9">
        <v>43.267031000463348</v>
      </c>
      <c r="Z2363" s="9">
        <v>50.782228309405689</v>
      </c>
      <c r="AA2363" s="9">
        <v>50.782228309405689</v>
      </c>
      <c r="AB2363" s="9">
        <v>58.392708532127088</v>
      </c>
      <c r="AC2363" s="9">
        <v>58.392708532127088</v>
      </c>
      <c r="AD2363" s="9">
        <v>67.800618768645919</v>
      </c>
      <c r="AE2363" s="9">
        <v>74.956077661509198</v>
      </c>
      <c r="AF2363" s="9">
        <v>82.225729403744211</v>
      </c>
      <c r="AG2363" s="9">
        <v>82.225729403744211</v>
      </c>
      <c r="AH2363" s="9">
        <v>90.363895588137865</v>
      </c>
      <c r="AI2363" s="9">
        <v>98.43110945306033</v>
      </c>
      <c r="AJ2363" s="9">
        <v>3.0428788910505911</v>
      </c>
    </row>
    <row r="2364" spans="1:36" x14ac:dyDescent="0.25">
      <c r="A2364" t="s">
        <v>5411</v>
      </c>
      <c r="B2364" t="s">
        <v>16</v>
      </c>
      <c r="C2364" t="s">
        <v>17</v>
      </c>
      <c r="D2364">
        <v>49250000</v>
      </c>
      <c r="E2364">
        <v>49259999</v>
      </c>
      <c r="F2364" t="s">
        <v>2132</v>
      </c>
      <c r="G2364" t="str">
        <f t="shared" si="72"/>
        <v>SEI II</v>
      </c>
      <c r="H2364" t="s">
        <v>2120</v>
      </c>
      <c r="I2364" t="s">
        <v>20</v>
      </c>
      <c r="J2364" t="s">
        <v>64</v>
      </c>
      <c r="K2364" s="6">
        <v>0.03</v>
      </c>
      <c r="L2364" s="7">
        <f t="shared" si="73"/>
        <v>2E-3</v>
      </c>
      <c r="M2364" s="7">
        <v>3.0000000000000001E-3</v>
      </c>
      <c r="N2364">
        <v>12</v>
      </c>
      <c r="O2364" s="8">
        <v>22.325454358562396</v>
      </c>
      <c r="P2364" s="9">
        <v>22.325454358562396</v>
      </c>
      <c r="Q2364" s="9">
        <v>22.325454358562396</v>
      </c>
      <c r="R2364" s="9">
        <v>24.597417277137804</v>
      </c>
      <c r="S2364" s="9">
        <v>27.103777688027414</v>
      </c>
      <c r="T2364" s="9">
        <v>29.216902865000016</v>
      </c>
      <c r="U2364" s="9">
        <v>35.838454522229164</v>
      </c>
      <c r="V2364" s="9">
        <v>35.838454522229164</v>
      </c>
      <c r="W2364" s="9">
        <v>35.838454522229164</v>
      </c>
      <c r="X2364" s="9">
        <v>43.267031000463348</v>
      </c>
      <c r="Y2364" s="9">
        <v>43.267031000463348</v>
      </c>
      <c r="Z2364" s="9">
        <v>50.782228309405689</v>
      </c>
      <c r="AA2364" s="9">
        <v>50.782228309405689</v>
      </c>
      <c r="AB2364" s="9">
        <v>58.392708532127088</v>
      </c>
      <c r="AC2364" s="9">
        <v>58.392708532127088</v>
      </c>
      <c r="AD2364" s="9">
        <v>67.800618768645919</v>
      </c>
      <c r="AE2364" s="9">
        <v>74.956077661509198</v>
      </c>
      <c r="AF2364" s="9">
        <v>82.225729403744211</v>
      </c>
      <c r="AG2364" s="9">
        <v>82.225729403744211</v>
      </c>
      <c r="AH2364" s="9">
        <v>90.363895588137865</v>
      </c>
      <c r="AI2364" s="9">
        <v>98.43110945306033</v>
      </c>
      <c r="AJ2364" s="9">
        <v>3.0428788910505911</v>
      </c>
    </row>
    <row r="2365" spans="1:36" x14ac:dyDescent="0.25">
      <c r="A2365" t="s">
        <v>5411</v>
      </c>
      <c r="B2365" t="s">
        <v>16</v>
      </c>
      <c r="C2365" t="s">
        <v>17</v>
      </c>
      <c r="D2365">
        <v>49260000</v>
      </c>
      <c r="E2365">
        <v>49269999</v>
      </c>
      <c r="F2365" t="s">
        <v>2133</v>
      </c>
      <c r="G2365" t="str">
        <f t="shared" si="72"/>
        <v>SEI</v>
      </c>
      <c r="H2365" t="s">
        <v>2120</v>
      </c>
      <c r="I2365" t="s">
        <v>20</v>
      </c>
      <c r="J2365" t="s">
        <v>62</v>
      </c>
      <c r="K2365" s="6">
        <v>0.03</v>
      </c>
      <c r="L2365" s="7">
        <f t="shared" si="73"/>
        <v>2E-3</v>
      </c>
      <c r="M2365" s="7">
        <v>3.0000000000000001E-3</v>
      </c>
      <c r="N2365">
        <v>10</v>
      </c>
      <c r="O2365" s="8">
        <v>18.218373315786963</v>
      </c>
      <c r="P2365" s="9">
        <v>18.218373315786963</v>
      </c>
      <c r="Q2365" s="9">
        <v>18.218373315786963</v>
      </c>
      <c r="R2365" s="9">
        <v>19.664893554389323</v>
      </c>
      <c r="S2365" s="9">
        <v>21.786180308421145</v>
      </c>
      <c r="T2365" s="9">
        <v>23.986333773977044</v>
      </c>
      <c r="U2365" s="9">
        <v>29.590503899645856</v>
      </c>
      <c r="V2365" s="9">
        <v>29.590503899645856</v>
      </c>
      <c r="W2365" s="9">
        <v>29.590503899645856</v>
      </c>
      <c r="X2365" s="9">
        <v>35.864647096682894</v>
      </c>
      <c r="Y2365" s="9">
        <v>35.864647096682894</v>
      </c>
      <c r="Z2365" s="9">
        <v>42.320477053388458</v>
      </c>
      <c r="AA2365" s="9">
        <v>42.320477053388458</v>
      </c>
      <c r="AB2365" s="9">
        <v>49.014929837148429</v>
      </c>
      <c r="AC2365" s="9">
        <v>49.014929837148429</v>
      </c>
      <c r="AD2365" s="9">
        <v>55.851656970363329</v>
      </c>
      <c r="AE2365" s="9">
        <v>62.848959105898189</v>
      </c>
      <c r="AF2365" s="9">
        <v>70.027553049661336</v>
      </c>
      <c r="AG2365" s="9">
        <v>70.027553049661336</v>
      </c>
      <c r="AH2365" s="9">
        <v>76.934519377148774</v>
      </c>
      <c r="AI2365" s="9">
        <v>84.357531434882802</v>
      </c>
      <c r="AJ2365" s="9">
        <v>3.0428788910505911</v>
      </c>
    </row>
    <row r="2366" spans="1:36" x14ac:dyDescent="0.25">
      <c r="A2366" t="s">
        <v>5411</v>
      </c>
      <c r="B2366" t="s">
        <v>16</v>
      </c>
      <c r="C2366" t="s">
        <v>17</v>
      </c>
      <c r="D2366">
        <v>49270000</v>
      </c>
      <c r="E2366">
        <v>49279999</v>
      </c>
      <c r="F2366" t="s">
        <v>2134</v>
      </c>
      <c r="G2366" t="str">
        <f t="shared" si="72"/>
        <v>SEI II</v>
      </c>
      <c r="H2366" t="s">
        <v>2120</v>
      </c>
      <c r="I2366" t="s">
        <v>20</v>
      </c>
      <c r="J2366" t="s">
        <v>64</v>
      </c>
      <c r="K2366" s="6">
        <v>0.03</v>
      </c>
      <c r="L2366" s="7">
        <f t="shared" si="73"/>
        <v>2E-3</v>
      </c>
      <c r="M2366" s="7">
        <v>3.0000000000000001E-3</v>
      </c>
      <c r="N2366">
        <v>12</v>
      </c>
      <c r="O2366" s="8">
        <v>22.325454358562396</v>
      </c>
      <c r="P2366" s="9">
        <v>22.325454358562396</v>
      </c>
      <c r="Q2366" s="9">
        <v>22.325454358562396</v>
      </c>
      <c r="R2366" s="9">
        <v>24.597417277137804</v>
      </c>
      <c r="S2366" s="9">
        <v>27.103777688027414</v>
      </c>
      <c r="T2366" s="9">
        <v>29.216902865000016</v>
      </c>
      <c r="U2366" s="9">
        <v>35.838454522229164</v>
      </c>
      <c r="V2366" s="9">
        <v>35.838454522229164</v>
      </c>
      <c r="W2366" s="9">
        <v>35.838454522229164</v>
      </c>
      <c r="X2366" s="9">
        <v>43.267031000463348</v>
      </c>
      <c r="Y2366" s="9">
        <v>43.267031000463348</v>
      </c>
      <c r="Z2366" s="9">
        <v>50.782228309405689</v>
      </c>
      <c r="AA2366" s="9">
        <v>50.782228309405689</v>
      </c>
      <c r="AB2366" s="9">
        <v>58.392708532127088</v>
      </c>
      <c r="AC2366" s="9">
        <v>58.392708532127088</v>
      </c>
      <c r="AD2366" s="9">
        <v>67.800618768645919</v>
      </c>
      <c r="AE2366" s="9">
        <v>74.956077661509198</v>
      </c>
      <c r="AF2366" s="9">
        <v>82.225729403744211</v>
      </c>
      <c r="AG2366" s="9">
        <v>82.225729403744211</v>
      </c>
      <c r="AH2366" s="9">
        <v>90.363895588137865</v>
      </c>
      <c r="AI2366" s="9">
        <v>98.43110945306033</v>
      </c>
      <c r="AJ2366" s="9">
        <v>3.0428788910505911</v>
      </c>
    </row>
    <row r="2367" spans="1:36" x14ac:dyDescent="0.25">
      <c r="A2367" t="s">
        <v>5411</v>
      </c>
      <c r="B2367" t="s">
        <v>16</v>
      </c>
      <c r="C2367" t="s">
        <v>17</v>
      </c>
      <c r="D2367">
        <v>49280000</v>
      </c>
      <c r="E2367">
        <v>49289999</v>
      </c>
      <c r="F2367" t="s">
        <v>2135</v>
      </c>
      <c r="G2367" t="str">
        <f t="shared" si="72"/>
        <v>SEI II</v>
      </c>
      <c r="H2367" t="s">
        <v>2120</v>
      </c>
      <c r="I2367" t="s">
        <v>20</v>
      </c>
      <c r="J2367" t="s">
        <v>64</v>
      </c>
      <c r="K2367" s="6">
        <v>0.03</v>
      </c>
      <c r="L2367" s="7">
        <f t="shared" si="73"/>
        <v>2E-3</v>
      </c>
      <c r="M2367" s="7">
        <v>3.0000000000000001E-3</v>
      </c>
      <c r="N2367">
        <v>12</v>
      </c>
      <c r="O2367" s="8">
        <v>22.325454358562396</v>
      </c>
      <c r="P2367" s="9">
        <v>22.325454358562396</v>
      </c>
      <c r="Q2367" s="9">
        <v>22.325454358562396</v>
      </c>
      <c r="R2367" s="9">
        <v>24.597417277137804</v>
      </c>
      <c r="S2367" s="9">
        <v>27.103777688027414</v>
      </c>
      <c r="T2367" s="9">
        <v>29.216902865000016</v>
      </c>
      <c r="U2367" s="9">
        <v>35.838454522229164</v>
      </c>
      <c r="V2367" s="9">
        <v>35.838454522229164</v>
      </c>
      <c r="W2367" s="9">
        <v>35.838454522229164</v>
      </c>
      <c r="X2367" s="9">
        <v>43.267031000463348</v>
      </c>
      <c r="Y2367" s="9">
        <v>43.267031000463348</v>
      </c>
      <c r="Z2367" s="9">
        <v>50.782228309405689</v>
      </c>
      <c r="AA2367" s="9">
        <v>50.782228309405689</v>
      </c>
      <c r="AB2367" s="9">
        <v>58.392708532127088</v>
      </c>
      <c r="AC2367" s="9">
        <v>58.392708532127088</v>
      </c>
      <c r="AD2367" s="9">
        <v>67.800618768645919</v>
      </c>
      <c r="AE2367" s="9">
        <v>74.956077661509198</v>
      </c>
      <c r="AF2367" s="9">
        <v>82.225729403744211</v>
      </c>
      <c r="AG2367" s="9">
        <v>82.225729403744211</v>
      </c>
      <c r="AH2367" s="9">
        <v>90.363895588137865</v>
      </c>
      <c r="AI2367" s="9">
        <v>98.43110945306033</v>
      </c>
      <c r="AJ2367" s="9">
        <v>3.0428788910505911</v>
      </c>
    </row>
    <row r="2368" spans="1:36" x14ac:dyDescent="0.25">
      <c r="A2368" t="s">
        <v>5411</v>
      </c>
      <c r="B2368" t="s">
        <v>16</v>
      </c>
      <c r="C2368" t="s">
        <v>17</v>
      </c>
      <c r="D2368">
        <v>49290000</v>
      </c>
      <c r="E2368">
        <v>49299999</v>
      </c>
      <c r="F2368" t="s">
        <v>2136</v>
      </c>
      <c r="G2368" t="str">
        <f t="shared" si="72"/>
        <v>SEI</v>
      </c>
      <c r="H2368" t="s">
        <v>2120</v>
      </c>
      <c r="I2368" t="s">
        <v>20</v>
      </c>
      <c r="J2368" t="s">
        <v>62</v>
      </c>
      <c r="K2368" s="6">
        <v>0.03</v>
      </c>
      <c r="L2368" s="7">
        <f t="shared" si="73"/>
        <v>2E-3</v>
      </c>
      <c r="M2368" s="7">
        <v>3.0000000000000001E-3</v>
      </c>
      <c r="N2368">
        <v>10</v>
      </c>
      <c r="O2368" s="8">
        <v>18.218373315786963</v>
      </c>
      <c r="P2368" s="9">
        <v>18.218373315786963</v>
      </c>
      <c r="Q2368" s="9">
        <v>18.218373315786963</v>
      </c>
      <c r="R2368" s="9">
        <v>19.664893554389323</v>
      </c>
      <c r="S2368" s="9">
        <v>21.786180308421145</v>
      </c>
      <c r="T2368" s="9">
        <v>23.986333773977044</v>
      </c>
      <c r="U2368" s="9">
        <v>29.590503899645856</v>
      </c>
      <c r="V2368" s="9">
        <v>29.590503899645856</v>
      </c>
      <c r="W2368" s="9">
        <v>29.590503899645856</v>
      </c>
      <c r="X2368" s="9">
        <v>35.864647096682894</v>
      </c>
      <c r="Y2368" s="9">
        <v>35.864647096682894</v>
      </c>
      <c r="Z2368" s="9">
        <v>42.320477053388458</v>
      </c>
      <c r="AA2368" s="9">
        <v>42.320477053388458</v>
      </c>
      <c r="AB2368" s="9">
        <v>49.014929837148429</v>
      </c>
      <c r="AC2368" s="9">
        <v>49.014929837148429</v>
      </c>
      <c r="AD2368" s="9">
        <v>55.851656970363329</v>
      </c>
      <c r="AE2368" s="9">
        <v>62.848959105898189</v>
      </c>
      <c r="AF2368" s="9">
        <v>70.027553049661336</v>
      </c>
      <c r="AG2368" s="9">
        <v>70.027553049661336</v>
      </c>
      <c r="AH2368" s="9">
        <v>76.934519377148774</v>
      </c>
      <c r="AI2368" s="9">
        <v>84.357531434882802</v>
      </c>
      <c r="AJ2368" s="9">
        <v>3.0428788910505911</v>
      </c>
    </row>
    <row r="2369" spans="1:36" x14ac:dyDescent="0.25">
      <c r="A2369" t="s">
        <v>5411</v>
      </c>
      <c r="B2369" t="s">
        <v>16</v>
      </c>
      <c r="C2369" t="s">
        <v>17</v>
      </c>
      <c r="D2369">
        <v>49300000</v>
      </c>
      <c r="E2369">
        <v>49319999</v>
      </c>
      <c r="F2369" t="s">
        <v>2137</v>
      </c>
      <c r="G2369" t="str">
        <f t="shared" si="72"/>
        <v>SEI</v>
      </c>
      <c r="H2369" t="s">
        <v>2120</v>
      </c>
      <c r="I2369" t="s">
        <v>20</v>
      </c>
      <c r="J2369" t="s">
        <v>62</v>
      </c>
      <c r="K2369" s="6">
        <v>0.03</v>
      </c>
      <c r="L2369" s="7">
        <f t="shared" si="73"/>
        <v>2E-3</v>
      </c>
      <c r="M2369" s="7">
        <v>3.0000000000000001E-3</v>
      </c>
      <c r="N2369">
        <v>10</v>
      </c>
      <c r="O2369" s="8">
        <v>18.218373315786963</v>
      </c>
      <c r="P2369" s="9">
        <v>18.218373315786963</v>
      </c>
      <c r="Q2369" s="9">
        <v>18.218373315786963</v>
      </c>
      <c r="R2369" s="9">
        <v>19.664893554389323</v>
      </c>
      <c r="S2369" s="9">
        <v>21.786180308421145</v>
      </c>
      <c r="T2369" s="9">
        <v>23.986333773977044</v>
      </c>
      <c r="U2369" s="9">
        <v>29.590503899645856</v>
      </c>
      <c r="V2369" s="9">
        <v>29.590503899645856</v>
      </c>
      <c r="W2369" s="9">
        <v>29.590503899645856</v>
      </c>
      <c r="X2369" s="9">
        <v>35.864647096682894</v>
      </c>
      <c r="Y2369" s="9">
        <v>35.864647096682894</v>
      </c>
      <c r="Z2369" s="9">
        <v>42.320477053388458</v>
      </c>
      <c r="AA2369" s="9">
        <v>42.320477053388458</v>
      </c>
      <c r="AB2369" s="9">
        <v>49.014929837148429</v>
      </c>
      <c r="AC2369" s="9">
        <v>49.014929837148429</v>
      </c>
      <c r="AD2369" s="9">
        <v>55.851656970363329</v>
      </c>
      <c r="AE2369" s="9">
        <v>62.848959105898189</v>
      </c>
      <c r="AF2369" s="9">
        <v>70.027553049661336</v>
      </c>
      <c r="AG2369" s="9">
        <v>70.027553049661336</v>
      </c>
      <c r="AH2369" s="9">
        <v>76.934519377148774</v>
      </c>
      <c r="AI2369" s="9">
        <v>84.357531434882802</v>
      </c>
      <c r="AJ2369" s="9">
        <v>3.0428788910505911</v>
      </c>
    </row>
    <row r="2370" spans="1:36" x14ac:dyDescent="0.25">
      <c r="A2370" t="s">
        <v>5411</v>
      </c>
      <c r="B2370" t="s">
        <v>16</v>
      </c>
      <c r="C2370" t="s">
        <v>17</v>
      </c>
      <c r="D2370">
        <v>49320000</v>
      </c>
      <c r="E2370">
        <v>49349999</v>
      </c>
      <c r="F2370" t="s">
        <v>2138</v>
      </c>
      <c r="G2370" t="str">
        <f t="shared" si="72"/>
        <v>SEI</v>
      </c>
      <c r="H2370" t="s">
        <v>2120</v>
      </c>
      <c r="I2370" t="s">
        <v>20</v>
      </c>
      <c r="J2370" t="s">
        <v>62</v>
      </c>
      <c r="K2370" s="6">
        <v>0.03</v>
      </c>
      <c r="L2370" s="7">
        <f t="shared" si="73"/>
        <v>2E-3</v>
      </c>
      <c r="M2370" s="7">
        <v>3.0000000000000001E-3</v>
      </c>
      <c r="N2370">
        <v>10</v>
      </c>
      <c r="O2370" s="8">
        <v>18.218373315786963</v>
      </c>
      <c r="P2370" s="9">
        <v>18.218373315786963</v>
      </c>
      <c r="Q2370" s="9">
        <v>18.218373315786963</v>
      </c>
      <c r="R2370" s="9">
        <v>19.664893554389323</v>
      </c>
      <c r="S2370" s="9">
        <v>21.786180308421145</v>
      </c>
      <c r="T2370" s="9">
        <v>23.986333773977044</v>
      </c>
      <c r="U2370" s="9">
        <v>29.590503899645856</v>
      </c>
      <c r="V2370" s="9">
        <v>29.590503899645856</v>
      </c>
      <c r="W2370" s="9">
        <v>29.590503899645856</v>
      </c>
      <c r="X2370" s="9">
        <v>35.864647096682894</v>
      </c>
      <c r="Y2370" s="9">
        <v>35.864647096682894</v>
      </c>
      <c r="Z2370" s="9">
        <v>42.320477053388458</v>
      </c>
      <c r="AA2370" s="9">
        <v>42.320477053388458</v>
      </c>
      <c r="AB2370" s="9">
        <v>49.014929837148429</v>
      </c>
      <c r="AC2370" s="9">
        <v>49.014929837148429</v>
      </c>
      <c r="AD2370" s="9">
        <v>55.851656970363329</v>
      </c>
      <c r="AE2370" s="9">
        <v>62.848959105898189</v>
      </c>
      <c r="AF2370" s="9">
        <v>70.027553049661336</v>
      </c>
      <c r="AG2370" s="9">
        <v>70.027553049661336</v>
      </c>
      <c r="AH2370" s="9">
        <v>76.934519377148774</v>
      </c>
      <c r="AI2370" s="9">
        <v>84.357531434882802</v>
      </c>
      <c r="AJ2370" s="9">
        <v>3.0428788910505911</v>
      </c>
    </row>
    <row r="2371" spans="1:36" x14ac:dyDescent="0.25">
      <c r="A2371" t="s">
        <v>5411</v>
      </c>
      <c r="B2371" t="s">
        <v>16</v>
      </c>
      <c r="C2371" t="s">
        <v>17</v>
      </c>
      <c r="D2371">
        <v>49350000</v>
      </c>
      <c r="E2371">
        <v>49359999</v>
      </c>
      <c r="F2371" t="s">
        <v>2139</v>
      </c>
      <c r="G2371" t="str">
        <f t="shared" si="72"/>
        <v>SEI</v>
      </c>
      <c r="H2371" t="s">
        <v>2120</v>
      </c>
      <c r="I2371" t="s">
        <v>20</v>
      </c>
      <c r="J2371" t="s">
        <v>62</v>
      </c>
      <c r="K2371" s="6">
        <v>0.03</v>
      </c>
      <c r="L2371" s="7">
        <f t="shared" si="73"/>
        <v>2E-3</v>
      </c>
      <c r="M2371" s="7">
        <v>3.0000000000000001E-3</v>
      </c>
      <c r="N2371">
        <v>10</v>
      </c>
      <c r="O2371" s="8">
        <v>18.218373315786963</v>
      </c>
      <c r="P2371" s="9">
        <v>18.218373315786963</v>
      </c>
      <c r="Q2371" s="9">
        <v>18.218373315786963</v>
      </c>
      <c r="R2371" s="9">
        <v>19.664893554389323</v>
      </c>
      <c r="S2371" s="9">
        <v>21.786180308421145</v>
      </c>
      <c r="T2371" s="9">
        <v>23.986333773977044</v>
      </c>
      <c r="U2371" s="9">
        <v>29.590503899645856</v>
      </c>
      <c r="V2371" s="9">
        <v>29.590503899645856</v>
      </c>
      <c r="W2371" s="9">
        <v>29.590503899645856</v>
      </c>
      <c r="X2371" s="9">
        <v>35.864647096682894</v>
      </c>
      <c r="Y2371" s="9">
        <v>35.864647096682894</v>
      </c>
      <c r="Z2371" s="9">
        <v>42.320477053388458</v>
      </c>
      <c r="AA2371" s="9">
        <v>42.320477053388458</v>
      </c>
      <c r="AB2371" s="9">
        <v>49.014929837148429</v>
      </c>
      <c r="AC2371" s="9">
        <v>49.014929837148429</v>
      </c>
      <c r="AD2371" s="9">
        <v>55.851656970363329</v>
      </c>
      <c r="AE2371" s="9">
        <v>62.848959105898189</v>
      </c>
      <c r="AF2371" s="9">
        <v>70.027553049661336</v>
      </c>
      <c r="AG2371" s="9">
        <v>70.027553049661336</v>
      </c>
      <c r="AH2371" s="9">
        <v>76.934519377148774</v>
      </c>
      <c r="AI2371" s="9">
        <v>84.357531434882802</v>
      </c>
      <c r="AJ2371" s="9">
        <v>3.0428788910505911</v>
      </c>
    </row>
    <row r="2372" spans="1:36" x14ac:dyDescent="0.25">
      <c r="A2372" t="s">
        <v>5411</v>
      </c>
      <c r="B2372" t="s">
        <v>16</v>
      </c>
      <c r="C2372" t="s">
        <v>17</v>
      </c>
      <c r="D2372">
        <v>49360000</v>
      </c>
      <c r="E2372">
        <v>49389999</v>
      </c>
      <c r="F2372" t="s">
        <v>2140</v>
      </c>
      <c r="G2372" t="str">
        <f t="shared" ref="G2372:G2435" si="74">H2372&amp;IF(J2372="CAPITAL","C",IF(J2372="INTERIOR","I",IF(J2372="INTERIOR II","I II","R")))</f>
        <v>SEI</v>
      </c>
      <c r="H2372" t="s">
        <v>2120</v>
      </c>
      <c r="I2372" t="s">
        <v>20</v>
      </c>
      <c r="J2372" t="s">
        <v>62</v>
      </c>
      <c r="K2372" s="6">
        <v>0.03</v>
      </c>
      <c r="L2372" s="7">
        <f t="shared" ref="L2372:L2435" si="75">IF(I2372="(0) Não",0.2%,3%)</f>
        <v>2E-3</v>
      </c>
      <c r="M2372" s="7">
        <v>3.0000000000000001E-3</v>
      </c>
      <c r="N2372">
        <v>10</v>
      </c>
      <c r="O2372" s="8">
        <v>18.218373315786963</v>
      </c>
      <c r="P2372" s="9">
        <v>18.218373315786963</v>
      </c>
      <c r="Q2372" s="9">
        <v>18.218373315786963</v>
      </c>
      <c r="R2372" s="9">
        <v>19.664893554389323</v>
      </c>
      <c r="S2372" s="9">
        <v>21.786180308421145</v>
      </c>
      <c r="T2372" s="9">
        <v>23.986333773977044</v>
      </c>
      <c r="U2372" s="9">
        <v>29.590503899645856</v>
      </c>
      <c r="V2372" s="9">
        <v>29.590503899645856</v>
      </c>
      <c r="W2372" s="9">
        <v>29.590503899645856</v>
      </c>
      <c r="X2372" s="9">
        <v>35.864647096682894</v>
      </c>
      <c r="Y2372" s="9">
        <v>35.864647096682894</v>
      </c>
      <c r="Z2372" s="9">
        <v>42.320477053388458</v>
      </c>
      <c r="AA2372" s="9">
        <v>42.320477053388458</v>
      </c>
      <c r="AB2372" s="9">
        <v>49.014929837148429</v>
      </c>
      <c r="AC2372" s="9">
        <v>49.014929837148429</v>
      </c>
      <c r="AD2372" s="9">
        <v>55.851656970363329</v>
      </c>
      <c r="AE2372" s="9">
        <v>62.848959105898189</v>
      </c>
      <c r="AF2372" s="9">
        <v>70.027553049661336</v>
      </c>
      <c r="AG2372" s="9">
        <v>70.027553049661336</v>
      </c>
      <c r="AH2372" s="9">
        <v>76.934519377148774</v>
      </c>
      <c r="AI2372" s="9">
        <v>84.357531434882802</v>
      </c>
      <c r="AJ2372" s="9">
        <v>3.0428788910505911</v>
      </c>
    </row>
    <row r="2373" spans="1:36" x14ac:dyDescent="0.25">
      <c r="A2373" t="s">
        <v>5411</v>
      </c>
      <c r="B2373" t="s">
        <v>16</v>
      </c>
      <c r="C2373" t="s">
        <v>17</v>
      </c>
      <c r="D2373">
        <v>49390000</v>
      </c>
      <c r="E2373">
        <v>49399999</v>
      </c>
      <c r="F2373" t="s">
        <v>2141</v>
      </c>
      <c r="G2373" t="str">
        <f t="shared" si="74"/>
        <v>SEI</v>
      </c>
      <c r="H2373" t="s">
        <v>2120</v>
      </c>
      <c r="I2373" t="s">
        <v>20</v>
      </c>
      <c r="J2373" t="s">
        <v>62</v>
      </c>
      <c r="K2373" s="6">
        <v>0.03</v>
      </c>
      <c r="L2373" s="7">
        <f t="shared" si="75"/>
        <v>2E-3</v>
      </c>
      <c r="M2373" s="7">
        <v>3.0000000000000001E-3</v>
      </c>
      <c r="N2373">
        <v>10</v>
      </c>
      <c r="O2373" s="8">
        <v>18.218373315786963</v>
      </c>
      <c r="P2373" s="9">
        <v>18.218373315786963</v>
      </c>
      <c r="Q2373" s="9">
        <v>18.218373315786963</v>
      </c>
      <c r="R2373" s="9">
        <v>19.664893554389323</v>
      </c>
      <c r="S2373" s="9">
        <v>21.786180308421145</v>
      </c>
      <c r="T2373" s="9">
        <v>23.986333773977044</v>
      </c>
      <c r="U2373" s="9">
        <v>29.590503899645856</v>
      </c>
      <c r="V2373" s="9">
        <v>29.590503899645856</v>
      </c>
      <c r="W2373" s="9">
        <v>29.590503899645856</v>
      </c>
      <c r="X2373" s="9">
        <v>35.864647096682894</v>
      </c>
      <c r="Y2373" s="9">
        <v>35.864647096682894</v>
      </c>
      <c r="Z2373" s="9">
        <v>42.320477053388458</v>
      </c>
      <c r="AA2373" s="9">
        <v>42.320477053388458</v>
      </c>
      <c r="AB2373" s="9">
        <v>49.014929837148429</v>
      </c>
      <c r="AC2373" s="9">
        <v>49.014929837148429</v>
      </c>
      <c r="AD2373" s="9">
        <v>55.851656970363329</v>
      </c>
      <c r="AE2373" s="9">
        <v>62.848959105898189</v>
      </c>
      <c r="AF2373" s="9">
        <v>70.027553049661336</v>
      </c>
      <c r="AG2373" s="9">
        <v>70.027553049661336</v>
      </c>
      <c r="AH2373" s="9">
        <v>76.934519377148774</v>
      </c>
      <c r="AI2373" s="9">
        <v>84.357531434882802</v>
      </c>
      <c r="AJ2373" s="9">
        <v>3.0428788910505911</v>
      </c>
    </row>
    <row r="2374" spans="1:36" x14ac:dyDescent="0.25">
      <c r="A2374" t="s">
        <v>5411</v>
      </c>
      <c r="B2374" t="s">
        <v>16</v>
      </c>
      <c r="C2374" t="s">
        <v>17</v>
      </c>
      <c r="D2374">
        <v>49400000</v>
      </c>
      <c r="E2374">
        <v>49479999</v>
      </c>
      <c r="F2374" t="s">
        <v>2142</v>
      </c>
      <c r="G2374" t="str">
        <f t="shared" si="74"/>
        <v>SEI</v>
      </c>
      <c r="H2374" t="s">
        <v>2120</v>
      </c>
      <c r="I2374" t="s">
        <v>20</v>
      </c>
      <c r="J2374" t="s">
        <v>62</v>
      </c>
      <c r="K2374" s="6">
        <v>0.03</v>
      </c>
      <c r="L2374" s="7">
        <f t="shared" si="75"/>
        <v>2E-3</v>
      </c>
      <c r="M2374" s="7">
        <v>3.0000000000000001E-3</v>
      </c>
      <c r="N2374">
        <v>10</v>
      </c>
      <c r="O2374" s="8">
        <v>18.218373315786963</v>
      </c>
      <c r="P2374" s="9">
        <v>18.218373315786963</v>
      </c>
      <c r="Q2374" s="9">
        <v>18.218373315786963</v>
      </c>
      <c r="R2374" s="9">
        <v>19.664893554389323</v>
      </c>
      <c r="S2374" s="9">
        <v>21.786180308421145</v>
      </c>
      <c r="T2374" s="9">
        <v>23.986333773977044</v>
      </c>
      <c r="U2374" s="9">
        <v>29.590503899645856</v>
      </c>
      <c r="V2374" s="9">
        <v>29.590503899645856</v>
      </c>
      <c r="W2374" s="9">
        <v>29.590503899645856</v>
      </c>
      <c r="X2374" s="9">
        <v>35.864647096682894</v>
      </c>
      <c r="Y2374" s="9">
        <v>35.864647096682894</v>
      </c>
      <c r="Z2374" s="9">
        <v>42.320477053388458</v>
      </c>
      <c r="AA2374" s="9">
        <v>42.320477053388458</v>
      </c>
      <c r="AB2374" s="9">
        <v>49.014929837148429</v>
      </c>
      <c r="AC2374" s="9">
        <v>49.014929837148429</v>
      </c>
      <c r="AD2374" s="9">
        <v>55.851656970363329</v>
      </c>
      <c r="AE2374" s="9">
        <v>62.848959105898189</v>
      </c>
      <c r="AF2374" s="9">
        <v>70.027553049661336</v>
      </c>
      <c r="AG2374" s="9">
        <v>70.027553049661336</v>
      </c>
      <c r="AH2374" s="9">
        <v>76.934519377148774</v>
      </c>
      <c r="AI2374" s="9">
        <v>84.357531434882802</v>
      </c>
      <c r="AJ2374" s="9">
        <v>3.0428788910505911</v>
      </c>
    </row>
    <row r="2375" spans="1:36" x14ac:dyDescent="0.25">
      <c r="A2375" t="s">
        <v>5411</v>
      </c>
      <c r="B2375" t="s">
        <v>16</v>
      </c>
      <c r="C2375" t="s">
        <v>17</v>
      </c>
      <c r="D2375">
        <v>49480000</v>
      </c>
      <c r="E2375">
        <v>49489999</v>
      </c>
      <c r="F2375" t="s">
        <v>2143</v>
      </c>
      <c r="G2375" t="str">
        <f t="shared" si="74"/>
        <v>SEI</v>
      </c>
      <c r="H2375" t="s">
        <v>2120</v>
      </c>
      <c r="I2375" t="s">
        <v>20</v>
      </c>
      <c r="J2375" t="s">
        <v>62</v>
      </c>
      <c r="K2375" s="6">
        <v>0.03</v>
      </c>
      <c r="L2375" s="7">
        <f t="shared" si="75"/>
        <v>2E-3</v>
      </c>
      <c r="M2375" s="7">
        <v>3.0000000000000001E-3</v>
      </c>
      <c r="N2375">
        <v>10</v>
      </c>
      <c r="O2375" s="8">
        <v>18.218373315786963</v>
      </c>
      <c r="P2375" s="9">
        <v>18.218373315786963</v>
      </c>
      <c r="Q2375" s="9">
        <v>18.218373315786963</v>
      </c>
      <c r="R2375" s="9">
        <v>19.664893554389323</v>
      </c>
      <c r="S2375" s="9">
        <v>21.786180308421145</v>
      </c>
      <c r="T2375" s="9">
        <v>23.986333773977044</v>
      </c>
      <c r="U2375" s="9">
        <v>29.590503899645856</v>
      </c>
      <c r="V2375" s="9">
        <v>29.590503899645856</v>
      </c>
      <c r="W2375" s="9">
        <v>29.590503899645856</v>
      </c>
      <c r="X2375" s="9">
        <v>35.864647096682894</v>
      </c>
      <c r="Y2375" s="9">
        <v>35.864647096682894</v>
      </c>
      <c r="Z2375" s="9">
        <v>42.320477053388458</v>
      </c>
      <c r="AA2375" s="9">
        <v>42.320477053388458</v>
      </c>
      <c r="AB2375" s="9">
        <v>49.014929837148429</v>
      </c>
      <c r="AC2375" s="9">
        <v>49.014929837148429</v>
      </c>
      <c r="AD2375" s="9">
        <v>55.851656970363329</v>
      </c>
      <c r="AE2375" s="9">
        <v>62.848959105898189</v>
      </c>
      <c r="AF2375" s="9">
        <v>70.027553049661336</v>
      </c>
      <c r="AG2375" s="9">
        <v>70.027553049661336</v>
      </c>
      <c r="AH2375" s="9">
        <v>76.934519377148774</v>
      </c>
      <c r="AI2375" s="9">
        <v>84.357531434882802</v>
      </c>
      <c r="AJ2375" s="9">
        <v>3.0428788910505911</v>
      </c>
    </row>
    <row r="2376" spans="1:36" x14ac:dyDescent="0.25">
      <c r="A2376" t="s">
        <v>5411</v>
      </c>
      <c r="B2376" t="s">
        <v>16</v>
      </c>
      <c r="C2376" t="s">
        <v>17</v>
      </c>
      <c r="D2376">
        <v>49490000</v>
      </c>
      <c r="E2376">
        <v>49499999</v>
      </c>
      <c r="F2376" t="s">
        <v>2144</v>
      </c>
      <c r="G2376" t="str">
        <f t="shared" si="74"/>
        <v>SEI II</v>
      </c>
      <c r="H2376" t="s">
        <v>2120</v>
      </c>
      <c r="I2376" t="s">
        <v>20</v>
      </c>
      <c r="J2376" t="s">
        <v>64</v>
      </c>
      <c r="K2376" s="6">
        <v>0.03</v>
      </c>
      <c r="L2376" s="7">
        <f t="shared" si="75"/>
        <v>2E-3</v>
      </c>
      <c r="M2376" s="7">
        <v>3.0000000000000001E-3</v>
      </c>
      <c r="N2376">
        <v>12</v>
      </c>
      <c r="O2376" s="8">
        <v>22.325454358562396</v>
      </c>
      <c r="P2376" s="9">
        <v>22.325454358562396</v>
      </c>
      <c r="Q2376" s="9">
        <v>22.325454358562396</v>
      </c>
      <c r="R2376" s="9">
        <v>24.597417277137804</v>
      </c>
      <c r="S2376" s="9">
        <v>27.103777688027414</v>
      </c>
      <c r="T2376" s="9">
        <v>29.216902865000016</v>
      </c>
      <c r="U2376" s="9">
        <v>35.838454522229164</v>
      </c>
      <c r="V2376" s="9">
        <v>35.838454522229164</v>
      </c>
      <c r="W2376" s="9">
        <v>35.838454522229164</v>
      </c>
      <c r="X2376" s="9">
        <v>43.267031000463348</v>
      </c>
      <c r="Y2376" s="9">
        <v>43.267031000463348</v>
      </c>
      <c r="Z2376" s="9">
        <v>50.782228309405689</v>
      </c>
      <c r="AA2376" s="9">
        <v>50.782228309405689</v>
      </c>
      <c r="AB2376" s="9">
        <v>58.392708532127088</v>
      </c>
      <c r="AC2376" s="9">
        <v>58.392708532127088</v>
      </c>
      <c r="AD2376" s="9">
        <v>67.800618768645919</v>
      </c>
      <c r="AE2376" s="9">
        <v>74.956077661509198</v>
      </c>
      <c r="AF2376" s="9">
        <v>82.225729403744211</v>
      </c>
      <c r="AG2376" s="9">
        <v>82.225729403744211</v>
      </c>
      <c r="AH2376" s="9">
        <v>90.363895588137865</v>
      </c>
      <c r="AI2376" s="9">
        <v>98.43110945306033</v>
      </c>
      <c r="AJ2376" s="9">
        <v>3.0428788910505911</v>
      </c>
    </row>
    <row r="2377" spans="1:36" x14ac:dyDescent="0.25">
      <c r="A2377" t="s">
        <v>5411</v>
      </c>
      <c r="B2377" t="s">
        <v>16</v>
      </c>
      <c r="C2377" t="s">
        <v>17</v>
      </c>
      <c r="D2377">
        <v>49500000</v>
      </c>
      <c r="E2377">
        <v>49511999</v>
      </c>
      <c r="F2377" t="s">
        <v>2145</v>
      </c>
      <c r="G2377" t="str">
        <f t="shared" si="74"/>
        <v>SEI</v>
      </c>
      <c r="H2377" t="s">
        <v>2120</v>
      </c>
      <c r="I2377" t="s">
        <v>20</v>
      </c>
      <c r="J2377" t="s">
        <v>62</v>
      </c>
      <c r="K2377" s="6">
        <v>0.03</v>
      </c>
      <c r="L2377" s="7">
        <f t="shared" si="75"/>
        <v>2E-3</v>
      </c>
      <c r="M2377" s="7">
        <v>3.0000000000000001E-3</v>
      </c>
      <c r="N2377">
        <v>11</v>
      </c>
      <c r="O2377" s="8">
        <v>18.218373315786963</v>
      </c>
      <c r="P2377" s="9">
        <v>18.218373315786963</v>
      </c>
      <c r="Q2377" s="9">
        <v>18.218373315786963</v>
      </c>
      <c r="R2377" s="9">
        <v>19.664893554389323</v>
      </c>
      <c r="S2377" s="9">
        <v>21.786180308421145</v>
      </c>
      <c r="T2377" s="9">
        <v>23.986333773977044</v>
      </c>
      <c r="U2377" s="9">
        <v>29.590503899645856</v>
      </c>
      <c r="V2377" s="9">
        <v>29.590503899645856</v>
      </c>
      <c r="W2377" s="9">
        <v>29.590503899645856</v>
      </c>
      <c r="X2377" s="9">
        <v>35.864647096682894</v>
      </c>
      <c r="Y2377" s="9">
        <v>35.864647096682894</v>
      </c>
      <c r="Z2377" s="9">
        <v>42.320477053388458</v>
      </c>
      <c r="AA2377" s="9">
        <v>42.320477053388458</v>
      </c>
      <c r="AB2377" s="9">
        <v>49.014929837148429</v>
      </c>
      <c r="AC2377" s="9">
        <v>49.014929837148429</v>
      </c>
      <c r="AD2377" s="9">
        <v>55.851656970363329</v>
      </c>
      <c r="AE2377" s="9">
        <v>62.848959105898189</v>
      </c>
      <c r="AF2377" s="9">
        <v>70.027553049661336</v>
      </c>
      <c r="AG2377" s="9">
        <v>70.027553049661336</v>
      </c>
      <c r="AH2377" s="9">
        <v>76.934519377148774</v>
      </c>
      <c r="AI2377" s="9">
        <v>84.357531434882802</v>
      </c>
      <c r="AJ2377" s="9">
        <v>3.0428788910505911</v>
      </c>
    </row>
    <row r="2378" spans="1:36" x14ac:dyDescent="0.25">
      <c r="A2378" t="s">
        <v>5411</v>
      </c>
      <c r="B2378" t="s">
        <v>16</v>
      </c>
      <c r="C2378" t="s">
        <v>17</v>
      </c>
      <c r="D2378">
        <v>49512000</v>
      </c>
      <c r="E2378">
        <v>49513999</v>
      </c>
      <c r="F2378" t="s">
        <v>2146</v>
      </c>
      <c r="G2378" t="str">
        <f t="shared" si="74"/>
        <v>SEI II</v>
      </c>
      <c r="H2378" t="s">
        <v>2120</v>
      </c>
      <c r="I2378" t="s">
        <v>20</v>
      </c>
      <c r="J2378" t="s">
        <v>64</v>
      </c>
      <c r="K2378" s="6">
        <v>0.03</v>
      </c>
      <c r="L2378" s="7">
        <f t="shared" si="75"/>
        <v>2E-3</v>
      </c>
      <c r="M2378" s="7">
        <v>3.0000000000000001E-3</v>
      </c>
      <c r="N2378">
        <v>12</v>
      </c>
      <c r="O2378" s="8">
        <v>22.325454358562396</v>
      </c>
      <c r="P2378" s="9">
        <v>22.325454358562396</v>
      </c>
      <c r="Q2378" s="9">
        <v>22.325454358562396</v>
      </c>
      <c r="R2378" s="9">
        <v>24.597417277137804</v>
      </c>
      <c r="S2378" s="9">
        <v>27.103777688027414</v>
      </c>
      <c r="T2378" s="9">
        <v>29.216902865000016</v>
      </c>
      <c r="U2378" s="9">
        <v>35.838454522229164</v>
      </c>
      <c r="V2378" s="9">
        <v>35.838454522229164</v>
      </c>
      <c r="W2378" s="9">
        <v>35.838454522229164</v>
      </c>
      <c r="X2378" s="9">
        <v>43.267031000463348</v>
      </c>
      <c r="Y2378" s="9">
        <v>43.267031000463348</v>
      </c>
      <c r="Z2378" s="9">
        <v>50.782228309405689</v>
      </c>
      <c r="AA2378" s="9">
        <v>50.782228309405689</v>
      </c>
      <c r="AB2378" s="9">
        <v>58.392708532127088</v>
      </c>
      <c r="AC2378" s="9">
        <v>58.392708532127088</v>
      </c>
      <c r="AD2378" s="9">
        <v>67.800618768645919</v>
      </c>
      <c r="AE2378" s="9">
        <v>74.956077661509198</v>
      </c>
      <c r="AF2378" s="9">
        <v>82.225729403744211</v>
      </c>
      <c r="AG2378" s="9">
        <v>82.225729403744211</v>
      </c>
      <c r="AH2378" s="9">
        <v>90.363895588137865</v>
      </c>
      <c r="AI2378" s="9">
        <v>98.43110945306033</v>
      </c>
      <c r="AJ2378" s="9">
        <v>3.0428788910505911</v>
      </c>
    </row>
    <row r="2379" spans="1:36" x14ac:dyDescent="0.25">
      <c r="A2379" t="s">
        <v>5411</v>
      </c>
      <c r="B2379" t="s">
        <v>16</v>
      </c>
      <c r="C2379" t="s">
        <v>17</v>
      </c>
      <c r="D2379">
        <v>49514000</v>
      </c>
      <c r="E2379">
        <v>49516999</v>
      </c>
      <c r="F2379" t="s">
        <v>2147</v>
      </c>
      <c r="G2379" t="str">
        <f t="shared" si="74"/>
        <v>SEI</v>
      </c>
      <c r="H2379" t="s">
        <v>2120</v>
      </c>
      <c r="I2379" t="s">
        <v>20</v>
      </c>
      <c r="J2379" t="s">
        <v>62</v>
      </c>
      <c r="K2379" s="6">
        <v>0.03</v>
      </c>
      <c r="L2379" s="7">
        <f t="shared" si="75"/>
        <v>2E-3</v>
      </c>
      <c r="M2379" s="7">
        <v>3.0000000000000001E-3</v>
      </c>
      <c r="N2379">
        <v>10</v>
      </c>
      <c r="O2379" s="8">
        <v>18.218373315786963</v>
      </c>
      <c r="P2379" s="9">
        <v>18.218373315786963</v>
      </c>
      <c r="Q2379" s="9">
        <v>18.218373315786963</v>
      </c>
      <c r="R2379" s="9">
        <v>19.664893554389323</v>
      </c>
      <c r="S2379" s="9">
        <v>21.786180308421145</v>
      </c>
      <c r="T2379" s="9">
        <v>23.986333773977044</v>
      </c>
      <c r="U2379" s="9">
        <v>29.590503899645856</v>
      </c>
      <c r="V2379" s="9">
        <v>29.590503899645856</v>
      </c>
      <c r="W2379" s="9">
        <v>29.590503899645856</v>
      </c>
      <c r="X2379" s="9">
        <v>35.864647096682894</v>
      </c>
      <c r="Y2379" s="9">
        <v>35.864647096682894</v>
      </c>
      <c r="Z2379" s="9">
        <v>42.320477053388458</v>
      </c>
      <c r="AA2379" s="9">
        <v>42.320477053388458</v>
      </c>
      <c r="AB2379" s="9">
        <v>49.014929837148429</v>
      </c>
      <c r="AC2379" s="9">
        <v>49.014929837148429</v>
      </c>
      <c r="AD2379" s="9">
        <v>55.851656970363329</v>
      </c>
      <c r="AE2379" s="9">
        <v>62.848959105898189</v>
      </c>
      <c r="AF2379" s="9">
        <v>70.027553049661336</v>
      </c>
      <c r="AG2379" s="9">
        <v>70.027553049661336</v>
      </c>
      <c r="AH2379" s="9">
        <v>76.934519377148774</v>
      </c>
      <c r="AI2379" s="9">
        <v>84.357531434882802</v>
      </c>
      <c r="AJ2379" s="9">
        <v>3.0428788910505911</v>
      </c>
    </row>
    <row r="2380" spans="1:36" x14ac:dyDescent="0.25">
      <c r="A2380" t="s">
        <v>5411</v>
      </c>
      <c r="B2380" t="s">
        <v>16</v>
      </c>
      <c r="C2380" t="s">
        <v>17</v>
      </c>
      <c r="D2380">
        <v>49517000</v>
      </c>
      <c r="E2380">
        <v>49519999</v>
      </c>
      <c r="F2380" t="s">
        <v>2148</v>
      </c>
      <c r="G2380" t="str">
        <f t="shared" si="74"/>
        <v>SEI II</v>
      </c>
      <c r="H2380" t="s">
        <v>2120</v>
      </c>
      <c r="I2380" t="s">
        <v>20</v>
      </c>
      <c r="J2380" t="s">
        <v>64</v>
      </c>
      <c r="K2380" s="6">
        <v>0.03</v>
      </c>
      <c r="L2380" s="7">
        <f t="shared" si="75"/>
        <v>2E-3</v>
      </c>
      <c r="M2380" s="7">
        <v>3.0000000000000001E-3</v>
      </c>
      <c r="N2380">
        <v>12</v>
      </c>
      <c r="O2380" s="8">
        <v>22.325454358562396</v>
      </c>
      <c r="P2380" s="9">
        <v>22.325454358562396</v>
      </c>
      <c r="Q2380" s="9">
        <v>22.325454358562396</v>
      </c>
      <c r="R2380" s="9">
        <v>24.597417277137804</v>
      </c>
      <c r="S2380" s="9">
        <v>27.103777688027414</v>
      </c>
      <c r="T2380" s="9">
        <v>29.216902865000016</v>
      </c>
      <c r="U2380" s="9">
        <v>35.838454522229164</v>
      </c>
      <c r="V2380" s="9">
        <v>35.838454522229164</v>
      </c>
      <c r="W2380" s="9">
        <v>35.838454522229164</v>
      </c>
      <c r="X2380" s="9">
        <v>43.267031000463348</v>
      </c>
      <c r="Y2380" s="9">
        <v>43.267031000463348</v>
      </c>
      <c r="Z2380" s="9">
        <v>50.782228309405689</v>
      </c>
      <c r="AA2380" s="9">
        <v>50.782228309405689</v>
      </c>
      <c r="AB2380" s="9">
        <v>58.392708532127088</v>
      </c>
      <c r="AC2380" s="9">
        <v>58.392708532127088</v>
      </c>
      <c r="AD2380" s="9">
        <v>67.800618768645919</v>
      </c>
      <c r="AE2380" s="9">
        <v>74.956077661509198</v>
      </c>
      <c r="AF2380" s="9">
        <v>82.225729403744211</v>
      </c>
      <c r="AG2380" s="9">
        <v>82.225729403744211</v>
      </c>
      <c r="AH2380" s="9">
        <v>90.363895588137865</v>
      </c>
      <c r="AI2380" s="9">
        <v>98.43110945306033</v>
      </c>
      <c r="AJ2380" s="9">
        <v>3.0428788910505911</v>
      </c>
    </row>
    <row r="2381" spans="1:36" x14ac:dyDescent="0.25">
      <c r="A2381" t="s">
        <v>5411</v>
      </c>
      <c r="B2381" t="s">
        <v>16</v>
      </c>
      <c r="C2381" t="s">
        <v>17</v>
      </c>
      <c r="D2381">
        <v>49520000</v>
      </c>
      <c r="E2381">
        <v>49524999</v>
      </c>
      <c r="F2381" t="s">
        <v>2149</v>
      </c>
      <c r="G2381" t="str">
        <f t="shared" si="74"/>
        <v>SEI</v>
      </c>
      <c r="H2381" t="s">
        <v>2120</v>
      </c>
      <c r="I2381" t="s">
        <v>20</v>
      </c>
      <c r="J2381" t="s">
        <v>62</v>
      </c>
      <c r="K2381" s="6">
        <v>0.03</v>
      </c>
      <c r="L2381" s="7">
        <f t="shared" si="75"/>
        <v>2E-3</v>
      </c>
      <c r="M2381" s="7">
        <v>3.0000000000000001E-3</v>
      </c>
      <c r="N2381">
        <v>10</v>
      </c>
      <c r="O2381" s="8">
        <v>18.218373315786963</v>
      </c>
      <c r="P2381" s="9">
        <v>18.218373315786963</v>
      </c>
      <c r="Q2381" s="9">
        <v>18.218373315786963</v>
      </c>
      <c r="R2381" s="9">
        <v>19.664893554389323</v>
      </c>
      <c r="S2381" s="9">
        <v>21.786180308421145</v>
      </c>
      <c r="T2381" s="9">
        <v>23.986333773977044</v>
      </c>
      <c r="U2381" s="9">
        <v>29.590503899645856</v>
      </c>
      <c r="V2381" s="9">
        <v>29.590503899645856</v>
      </c>
      <c r="W2381" s="9">
        <v>29.590503899645856</v>
      </c>
      <c r="X2381" s="9">
        <v>35.864647096682894</v>
      </c>
      <c r="Y2381" s="9">
        <v>35.864647096682894</v>
      </c>
      <c r="Z2381" s="9">
        <v>42.320477053388458</v>
      </c>
      <c r="AA2381" s="9">
        <v>42.320477053388458</v>
      </c>
      <c r="AB2381" s="9">
        <v>49.014929837148429</v>
      </c>
      <c r="AC2381" s="9">
        <v>49.014929837148429</v>
      </c>
      <c r="AD2381" s="9">
        <v>55.851656970363329</v>
      </c>
      <c r="AE2381" s="9">
        <v>62.848959105898189</v>
      </c>
      <c r="AF2381" s="9">
        <v>70.027553049661336</v>
      </c>
      <c r="AG2381" s="9">
        <v>70.027553049661336</v>
      </c>
      <c r="AH2381" s="9">
        <v>76.934519377148774</v>
      </c>
      <c r="AI2381" s="9">
        <v>84.357531434882802</v>
      </c>
      <c r="AJ2381" s="9">
        <v>3.0428788910505911</v>
      </c>
    </row>
    <row r="2382" spans="1:36" x14ac:dyDescent="0.25">
      <c r="A2382" t="s">
        <v>5411</v>
      </c>
      <c r="B2382" t="s">
        <v>16</v>
      </c>
      <c r="C2382" t="s">
        <v>17</v>
      </c>
      <c r="D2382">
        <v>49525000</v>
      </c>
      <c r="E2382">
        <v>49529999</v>
      </c>
      <c r="F2382" t="s">
        <v>2110</v>
      </c>
      <c r="G2382" t="str">
        <f t="shared" si="74"/>
        <v>SEI II</v>
      </c>
      <c r="H2382" t="s">
        <v>2120</v>
      </c>
      <c r="I2382" t="s">
        <v>20</v>
      </c>
      <c r="J2382" t="s">
        <v>64</v>
      </c>
      <c r="K2382" s="6">
        <v>0.03</v>
      </c>
      <c r="L2382" s="7">
        <f t="shared" si="75"/>
        <v>2E-3</v>
      </c>
      <c r="M2382" s="7">
        <v>3.0000000000000001E-3</v>
      </c>
      <c r="N2382">
        <v>12</v>
      </c>
      <c r="O2382" s="8">
        <v>22.325454358562396</v>
      </c>
      <c r="P2382" s="9">
        <v>22.325454358562396</v>
      </c>
      <c r="Q2382" s="9">
        <v>22.325454358562396</v>
      </c>
      <c r="R2382" s="9">
        <v>24.597417277137804</v>
      </c>
      <c r="S2382" s="9">
        <v>27.103777688027414</v>
      </c>
      <c r="T2382" s="9">
        <v>29.216902865000016</v>
      </c>
      <c r="U2382" s="9">
        <v>35.838454522229164</v>
      </c>
      <c r="V2382" s="9">
        <v>35.838454522229164</v>
      </c>
      <c r="W2382" s="9">
        <v>35.838454522229164</v>
      </c>
      <c r="X2382" s="9">
        <v>43.267031000463348</v>
      </c>
      <c r="Y2382" s="9">
        <v>43.267031000463348</v>
      </c>
      <c r="Z2382" s="9">
        <v>50.782228309405689</v>
      </c>
      <c r="AA2382" s="9">
        <v>50.782228309405689</v>
      </c>
      <c r="AB2382" s="9">
        <v>58.392708532127088</v>
      </c>
      <c r="AC2382" s="9">
        <v>58.392708532127088</v>
      </c>
      <c r="AD2382" s="9">
        <v>67.800618768645919</v>
      </c>
      <c r="AE2382" s="9">
        <v>74.956077661509198</v>
      </c>
      <c r="AF2382" s="9">
        <v>82.225729403744211</v>
      </c>
      <c r="AG2382" s="9">
        <v>82.225729403744211</v>
      </c>
      <c r="AH2382" s="9">
        <v>90.363895588137865</v>
      </c>
      <c r="AI2382" s="9">
        <v>98.43110945306033</v>
      </c>
      <c r="AJ2382" s="9">
        <v>3.0428788910505911</v>
      </c>
    </row>
    <row r="2383" spans="1:36" x14ac:dyDescent="0.25">
      <c r="A2383" t="s">
        <v>5411</v>
      </c>
      <c r="B2383" t="s">
        <v>16</v>
      </c>
      <c r="C2383" t="s">
        <v>17</v>
      </c>
      <c r="D2383">
        <v>49530000</v>
      </c>
      <c r="E2383">
        <v>49534999</v>
      </c>
      <c r="F2383" t="s">
        <v>2150</v>
      </c>
      <c r="G2383" t="str">
        <f t="shared" si="74"/>
        <v>SEI</v>
      </c>
      <c r="H2383" t="s">
        <v>2120</v>
      </c>
      <c r="I2383" t="s">
        <v>20</v>
      </c>
      <c r="J2383" t="s">
        <v>62</v>
      </c>
      <c r="K2383" s="6">
        <v>0.03</v>
      </c>
      <c r="L2383" s="7">
        <f t="shared" si="75"/>
        <v>2E-3</v>
      </c>
      <c r="M2383" s="7">
        <v>3.0000000000000001E-3</v>
      </c>
      <c r="N2383">
        <v>10</v>
      </c>
      <c r="O2383" s="8">
        <v>18.218373315786963</v>
      </c>
      <c r="P2383" s="9">
        <v>18.218373315786963</v>
      </c>
      <c r="Q2383" s="9">
        <v>18.218373315786963</v>
      </c>
      <c r="R2383" s="9">
        <v>19.664893554389323</v>
      </c>
      <c r="S2383" s="9">
        <v>21.786180308421145</v>
      </c>
      <c r="T2383" s="9">
        <v>23.986333773977044</v>
      </c>
      <c r="U2383" s="9">
        <v>29.590503899645856</v>
      </c>
      <c r="V2383" s="9">
        <v>29.590503899645856</v>
      </c>
      <c r="W2383" s="9">
        <v>29.590503899645856</v>
      </c>
      <c r="X2383" s="9">
        <v>35.864647096682894</v>
      </c>
      <c r="Y2383" s="9">
        <v>35.864647096682894</v>
      </c>
      <c r="Z2383" s="9">
        <v>42.320477053388458</v>
      </c>
      <c r="AA2383" s="9">
        <v>42.320477053388458</v>
      </c>
      <c r="AB2383" s="9">
        <v>49.014929837148429</v>
      </c>
      <c r="AC2383" s="9">
        <v>49.014929837148429</v>
      </c>
      <c r="AD2383" s="9">
        <v>55.851656970363329</v>
      </c>
      <c r="AE2383" s="9">
        <v>62.848959105898189</v>
      </c>
      <c r="AF2383" s="9">
        <v>70.027553049661336</v>
      </c>
      <c r="AG2383" s="9">
        <v>70.027553049661336</v>
      </c>
      <c r="AH2383" s="9">
        <v>76.934519377148774</v>
      </c>
      <c r="AI2383" s="9">
        <v>84.357531434882802</v>
      </c>
      <c r="AJ2383" s="9">
        <v>3.0428788910505911</v>
      </c>
    </row>
    <row r="2384" spans="1:36" x14ac:dyDescent="0.25">
      <c r="A2384" t="s">
        <v>5411</v>
      </c>
      <c r="B2384" t="s">
        <v>16</v>
      </c>
      <c r="C2384" t="s">
        <v>17</v>
      </c>
      <c r="D2384">
        <v>49535000</v>
      </c>
      <c r="E2384">
        <v>49539999</v>
      </c>
      <c r="F2384" t="s">
        <v>2151</v>
      </c>
      <c r="G2384" t="str">
        <f t="shared" si="74"/>
        <v>SEI II</v>
      </c>
      <c r="H2384" t="s">
        <v>2120</v>
      </c>
      <c r="I2384" t="s">
        <v>20</v>
      </c>
      <c r="J2384" t="s">
        <v>64</v>
      </c>
      <c r="K2384" s="6">
        <v>0.03</v>
      </c>
      <c r="L2384" s="7">
        <f t="shared" si="75"/>
        <v>2E-3</v>
      </c>
      <c r="M2384" s="7">
        <v>3.0000000000000001E-3</v>
      </c>
      <c r="N2384">
        <v>12</v>
      </c>
      <c r="O2384" s="8">
        <v>22.325454358562396</v>
      </c>
      <c r="P2384" s="9">
        <v>22.325454358562396</v>
      </c>
      <c r="Q2384" s="9">
        <v>22.325454358562396</v>
      </c>
      <c r="R2384" s="9">
        <v>24.597417277137804</v>
      </c>
      <c r="S2384" s="9">
        <v>27.103777688027414</v>
      </c>
      <c r="T2384" s="9">
        <v>29.216902865000016</v>
      </c>
      <c r="U2384" s="9">
        <v>35.838454522229164</v>
      </c>
      <c r="V2384" s="9">
        <v>35.838454522229164</v>
      </c>
      <c r="W2384" s="9">
        <v>35.838454522229164</v>
      </c>
      <c r="X2384" s="9">
        <v>43.267031000463348</v>
      </c>
      <c r="Y2384" s="9">
        <v>43.267031000463348</v>
      </c>
      <c r="Z2384" s="9">
        <v>50.782228309405689</v>
      </c>
      <c r="AA2384" s="9">
        <v>50.782228309405689</v>
      </c>
      <c r="AB2384" s="9">
        <v>58.392708532127088</v>
      </c>
      <c r="AC2384" s="9">
        <v>58.392708532127088</v>
      </c>
      <c r="AD2384" s="9">
        <v>67.800618768645919</v>
      </c>
      <c r="AE2384" s="9">
        <v>74.956077661509198</v>
      </c>
      <c r="AF2384" s="9">
        <v>82.225729403744211</v>
      </c>
      <c r="AG2384" s="9">
        <v>82.225729403744211</v>
      </c>
      <c r="AH2384" s="9">
        <v>90.363895588137865</v>
      </c>
      <c r="AI2384" s="9">
        <v>98.43110945306033</v>
      </c>
      <c r="AJ2384" s="9">
        <v>3.0428788910505911</v>
      </c>
    </row>
    <row r="2385" spans="1:36" x14ac:dyDescent="0.25">
      <c r="A2385" t="s">
        <v>5411</v>
      </c>
      <c r="B2385" t="s">
        <v>16</v>
      </c>
      <c r="C2385" t="s">
        <v>17</v>
      </c>
      <c r="D2385">
        <v>49540000</v>
      </c>
      <c r="E2385">
        <v>49549999</v>
      </c>
      <c r="F2385" t="s">
        <v>2152</v>
      </c>
      <c r="G2385" t="str">
        <f t="shared" si="74"/>
        <v>SEI II</v>
      </c>
      <c r="H2385" t="s">
        <v>2120</v>
      </c>
      <c r="I2385" t="s">
        <v>20</v>
      </c>
      <c r="J2385" t="s">
        <v>64</v>
      </c>
      <c r="K2385" s="6">
        <v>0.03</v>
      </c>
      <c r="L2385" s="7">
        <f t="shared" si="75"/>
        <v>2E-3</v>
      </c>
      <c r="M2385" s="7">
        <v>3.0000000000000001E-3</v>
      </c>
      <c r="N2385">
        <v>12</v>
      </c>
      <c r="O2385" s="8">
        <v>22.325454358562396</v>
      </c>
      <c r="P2385" s="9">
        <v>22.325454358562396</v>
      </c>
      <c r="Q2385" s="9">
        <v>22.325454358562396</v>
      </c>
      <c r="R2385" s="9">
        <v>24.597417277137804</v>
      </c>
      <c r="S2385" s="9">
        <v>27.103777688027414</v>
      </c>
      <c r="T2385" s="9">
        <v>29.216902865000016</v>
      </c>
      <c r="U2385" s="9">
        <v>35.838454522229164</v>
      </c>
      <c r="V2385" s="9">
        <v>35.838454522229164</v>
      </c>
      <c r="W2385" s="9">
        <v>35.838454522229164</v>
      </c>
      <c r="X2385" s="9">
        <v>43.267031000463348</v>
      </c>
      <c r="Y2385" s="9">
        <v>43.267031000463348</v>
      </c>
      <c r="Z2385" s="9">
        <v>50.782228309405689</v>
      </c>
      <c r="AA2385" s="9">
        <v>50.782228309405689</v>
      </c>
      <c r="AB2385" s="9">
        <v>58.392708532127088</v>
      </c>
      <c r="AC2385" s="9">
        <v>58.392708532127088</v>
      </c>
      <c r="AD2385" s="9">
        <v>67.800618768645919</v>
      </c>
      <c r="AE2385" s="9">
        <v>74.956077661509198</v>
      </c>
      <c r="AF2385" s="9">
        <v>82.225729403744211</v>
      </c>
      <c r="AG2385" s="9">
        <v>82.225729403744211</v>
      </c>
      <c r="AH2385" s="9">
        <v>90.363895588137865</v>
      </c>
      <c r="AI2385" s="9">
        <v>98.43110945306033</v>
      </c>
      <c r="AJ2385" s="9">
        <v>3.0428788910505911</v>
      </c>
    </row>
    <row r="2386" spans="1:36" x14ac:dyDescent="0.25">
      <c r="A2386" t="s">
        <v>5411</v>
      </c>
      <c r="B2386" t="s">
        <v>16</v>
      </c>
      <c r="C2386" t="s">
        <v>17</v>
      </c>
      <c r="D2386">
        <v>49550000</v>
      </c>
      <c r="E2386">
        <v>49559999</v>
      </c>
      <c r="F2386" t="s">
        <v>2153</v>
      </c>
      <c r="G2386" t="str">
        <f t="shared" si="74"/>
        <v>SEI</v>
      </c>
      <c r="H2386" t="s">
        <v>2120</v>
      </c>
      <c r="I2386" t="s">
        <v>20</v>
      </c>
      <c r="J2386" t="s">
        <v>62</v>
      </c>
      <c r="K2386" s="6">
        <v>0.03</v>
      </c>
      <c r="L2386" s="7">
        <f t="shared" si="75"/>
        <v>2E-3</v>
      </c>
      <c r="M2386" s="7">
        <v>3.0000000000000001E-3</v>
      </c>
      <c r="N2386">
        <v>10</v>
      </c>
      <c r="O2386" s="8">
        <v>18.218373315786963</v>
      </c>
      <c r="P2386" s="9">
        <v>18.218373315786963</v>
      </c>
      <c r="Q2386" s="9">
        <v>18.218373315786963</v>
      </c>
      <c r="R2386" s="9">
        <v>19.664893554389323</v>
      </c>
      <c r="S2386" s="9">
        <v>21.786180308421145</v>
      </c>
      <c r="T2386" s="9">
        <v>23.986333773977044</v>
      </c>
      <c r="U2386" s="9">
        <v>29.590503899645856</v>
      </c>
      <c r="V2386" s="9">
        <v>29.590503899645856</v>
      </c>
      <c r="W2386" s="9">
        <v>29.590503899645856</v>
      </c>
      <c r="X2386" s="9">
        <v>35.864647096682894</v>
      </c>
      <c r="Y2386" s="9">
        <v>35.864647096682894</v>
      </c>
      <c r="Z2386" s="9">
        <v>42.320477053388458</v>
      </c>
      <c r="AA2386" s="9">
        <v>42.320477053388458</v>
      </c>
      <c r="AB2386" s="9">
        <v>49.014929837148429</v>
      </c>
      <c r="AC2386" s="9">
        <v>49.014929837148429</v>
      </c>
      <c r="AD2386" s="9">
        <v>55.851656970363329</v>
      </c>
      <c r="AE2386" s="9">
        <v>62.848959105898189</v>
      </c>
      <c r="AF2386" s="9">
        <v>70.027553049661336</v>
      </c>
      <c r="AG2386" s="9">
        <v>70.027553049661336</v>
      </c>
      <c r="AH2386" s="9">
        <v>76.934519377148774</v>
      </c>
      <c r="AI2386" s="9">
        <v>84.357531434882802</v>
      </c>
      <c r="AJ2386" s="9">
        <v>3.0428788910505911</v>
      </c>
    </row>
    <row r="2387" spans="1:36" x14ac:dyDescent="0.25">
      <c r="A2387" t="s">
        <v>5411</v>
      </c>
      <c r="B2387" t="s">
        <v>16</v>
      </c>
      <c r="C2387" t="s">
        <v>17</v>
      </c>
      <c r="D2387">
        <v>49560000</v>
      </c>
      <c r="E2387">
        <v>49564999</v>
      </c>
      <c r="F2387" t="s">
        <v>2154</v>
      </c>
      <c r="G2387" t="str">
        <f t="shared" si="74"/>
        <v>SEI</v>
      </c>
      <c r="H2387" t="s">
        <v>2120</v>
      </c>
      <c r="I2387" t="s">
        <v>20</v>
      </c>
      <c r="J2387" t="s">
        <v>62</v>
      </c>
      <c r="K2387" s="6">
        <v>0.03</v>
      </c>
      <c r="L2387" s="7">
        <f t="shared" si="75"/>
        <v>2E-3</v>
      </c>
      <c r="M2387" s="7">
        <v>3.0000000000000001E-3</v>
      </c>
      <c r="N2387">
        <v>10</v>
      </c>
      <c r="O2387" s="8">
        <v>18.218373315786963</v>
      </c>
      <c r="P2387" s="9">
        <v>18.218373315786963</v>
      </c>
      <c r="Q2387" s="9">
        <v>18.218373315786963</v>
      </c>
      <c r="R2387" s="9">
        <v>19.664893554389323</v>
      </c>
      <c r="S2387" s="9">
        <v>21.786180308421145</v>
      </c>
      <c r="T2387" s="9">
        <v>23.986333773977044</v>
      </c>
      <c r="U2387" s="9">
        <v>29.590503899645856</v>
      </c>
      <c r="V2387" s="9">
        <v>29.590503899645856</v>
      </c>
      <c r="W2387" s="9">
        <v>29.590503899645856</v>
      </c>
      <c r="X2387" s="9">
        <v>35.864647096682894</v>
      </c>
      <c r="Y2387" s="9">
        <v>35.864647096682894</v>
      </c>
      <c r="Z2387" s="9">
        <v>42.320477053388458</v>
      </c>
      <c r="AA2387" s="9">
        <v>42.320477053388458</v>
      </c>
      <c r="AB2387" s="9">
        <v>49.014929837148429</v>
      </c>
      <c r="AC2387" s="9">
        <v>49.014929837148429</v>
      </c>
      <c r="AD2387" s="9">
        <v>55.851656970363329</v>
      </c>
      <c r="AE2387" s="9">
        <v>62.848959105898189</v>
      </c>
      <c r="AF2387" s="9">
        <v>70.027553049661336</v>
      </c>
      <c r="AG2387" s="9">
        <v>70.027553049661336</v>
      </c>
      <c r="AH2387" s="9">
        <v>76.934519377148774</v>
      </c>
      <c r="AI2387" s="9">
        <v>84.357531434882802</v>
      </c>
      <c r="AJ2387" s="9">
        <v>3.0428788910505911</v>
      </c>
    </row>
    <row r="2388" spans="1:36" x14ac:dyDescent="0.25">
      <c r="A2388" t="s">
        <v>5411</v>
      </c>
      <c r="B2388" t="s">
        <v>16</v>
      </c>
      <c r="C2388" t="s">
        <v>17</v>
      </c>
      <c r="D2388">
        <v>49565000</v>
      </c>
      <c r="E2388">
        <v>49569999</v>
      </c>
      <c r="F2388" t="s">
        <v>2155</v>
      </c>
      <c r="G2388" t="str">
        <f t="shared" si="74"/>
        <v>SEI II</v>
      </c>
      <c r="H2388" t="s">
        <v>2120</v>
      </c>
      <c r="I2388" t="s">
        <v>20</v>
      </c>
      <c r="J2388" t="s">
        <v>64</v>
      </c>
      <c r="K2388" s="6">
        <v>0.03</v>
      </c>
      <c r="L2388" s="7">
        <f t="shared" si="75"/>
        <v>2E-3</v>
      </c>
      <c r="M2388" s="7">
        <v>3.0000000000000001E-3</v>
      </c>
      <c r="N2388">
        <v>12</v>
      </c>
      <c r="O2388" s="8">
        <v>22.325454358562396</v>
      </c>
      <c r="P2388" s="9">
        <v>22.325454358562396</v>
      </c>
      <c r="Q2388" s="9">
        <v>22.325454358562396</v>
      </c>
      <c r="R2388" s="9">
        <v>24.597417277137804</v>
      </c>
      <c r="S2388" s="9">
        <v>27.103777688027414</v>
      </c>
      <c r="T2388" s="9">
        <v>29.216902865000016</v>
      </c>
      <c r="U2388" s="9">
        <v>35.838454522229164</v>
      </c>
      <c r="V2388" s="9">
        <v>35.838454522229164</v>
      </c>
      <c r="W2388" s="9">
        <v>35.838454522229164</v>
      </c>
      <c r="X2388" s="9">
        <v>43.267031000463348</v>
      </c>
      <c r="Y2388" s="9">
        <v>43.267031000463348</v>
      </c>
      <c r="Z2388" s="9">
        <v>50.782228309405689</v>
      </c>
      <c r="AA2388" s="9">
        <v>50.782228309405689</v>
      </c>
      <c r="AB2388" s="9">
        <v>58.392708532127088</v>
      </c>
      <c r="AC2388" s="9">
        <v>58.392708532127088</v>
      </c>
      <c r="AD2388" s="9">
        <v>67.800618768645919</v>
      </c>
      <c r="AE2388" s="9">
        <v>74.956077661509198</v>
      </c>
      <c r="AF2388" s="9">
        <v>82.225729403744211</v>
      </c>
      <c r="AG2388" s="9">
        <v>82.225729403744211</v>
      </c>
      <c r="AH2388" s="9">
        <v>90.363895588137865</v>
      </c>
      <c r="AI2388" s="9">
        <v>98.43110945306033</v>
      </c>
      <c r="AJ2388" s="9">
        <v>3.0428788910505911</v>
      </c>
    </row>
    <row r="2389" spans="1:36" x14ac:dyDescent="0.25">
      <c r="A2389" t="s">
        <v>5411</v>
      </c>
      <c r="B2389" t="s">
        <v>16</v>
      </c>
      <c r="C2389" t="s">
        <v>17</v>
      </c>
      <c r="D2389">
        <v>49570000</v>
      </c>
      <c r="E2389">
        <v>49579999</v>
      </c>
      <c r="F2389" t="s">
        <v>2156</v>
      </c>
      <c r="G2389" t="str">
        <f t="shared" si="74"/>
        <v>SEI</v>
      </c>
      <c r="H2389" t="s">
        <v>2120</v>
      </c>
      <c r="I2389" t="s">
        <v>20</v>
      </c>
      <c r="J2389" t="s">
        <v>62</v>
      </c>
      <c r="K2389" s="6">
        <v>0.03</v>
      </c>
      <c r="L2389" s="7">
        <f t="shared" si="75"/>
        <v>2E-3</v>
      </c>
      <c r="M2389" s="7">
        <v>3.0000000000000001E-3</v>
      </c>
      <c r="N2389">
        <v>10</v>
      </c>
      <c r="O2389" s="8">
        <v>18.218373315786963</v>
      </c>
      <c r="P2389" s="9">
        <v>18.218373315786963</v>
      </c>
      <c r="Q2389" s="9">
        <v>18.218373315786963</v>
      </c>
      <c r="R2389" s="9">
        <v>19.664893554389323</v>
      </c>
      <c r="S2389" s="9">
        <v>21.786180308421145</v>
      </c>
      <c r="T2389" s="9">
        <v>23.986333773977044</v>
      </c>
      <c r="U2389" s="9">
        <v>29.590503899645856</v>
      </c>
      <c r="V2389" s="9">
        <v>29.590503899645856</v>
      </c>
      <c r="W2389" s="9">
        <v>29.590503899645856</v>
      </c>
      <c r="X2389" s="9">
        <v>35.864647096682894</v>
      </c>
      <c r="Y2389" s="9">
        <v>35.864647096682894</v>
      </c>
      <c r="Z2389" s="9">
        <v>42.320477053388458</v>
      </c>
      <c r="AA2389" s="9">
        <v>42.320477053388458</v>
      </c>
      <c r="AB2389" s="9">
        <v>49.014929837148429</v>
      </c>
      <c r="AC2389" s="9">
        <v>49.014929837148429</v>
      </c>
      <c r="AD2389" s="9">
        <v>55.851656970363329</v>
      </c>
      <c r="AE2389" s="9">
        <v>62.848959105898189</v>
      </c>
      <c r="AF2389" s="9">
        <v>70.027553049661336</v>
      </c>
      <c r="AG2389" s="9">
        <v>70.027553049661336</v>
      </c>
      <c r="AH2389" s="9">
        <v>76.934519377148774</v>
      </c>
      <c r="AI2389" s="9">
        <v>84.357531434882802</v>
      </c>
      <c r="AJ2389" s="9">
        <v>3.0428788910505911</v>
      </c>
    </row>
    <row r="2390" spans="1:36" x14ac:dyDescent="0.25">
      <c r="A2390" t="s">
        <v>5411</v>
      </c>
      <c r="B2390" t="s">
        <v>16</v>
      </c>
      <c r="C2390" t="s">
        <v>17</v>
      </c>
      <c r="D2390">
        <v>49580000</v>
      </c>
      <c r="E2390">
        <v>49599999</v>
      </c>
      <c r="F2390" t="s">
        <v>2157</v>
      </c>
      <c r="G2390" t="str">
        <f t="shared" si="74"/>
        <v>SEI</v>
      </c>
      <c r="H2390" t="s">
        <v>2120</v>
      </c>
      <c r="I2390" t="s">
        <v>20</v>
      </c>
      <c r="J2390" t="s">
        <v>62</v>
      </c>
      <c r="K2390" s="6">
        <v>0.03</v>
      </c>
      <c r="L2390" s="7">
        <f t="shared" si="75"/>
        <v>2E-3</v>
      </c>
      <c r="M2390" s="7">
        <v>3.0000000000000001E-3</v>
      </c>
      <c r="N2390">
        <v>10</v>
      </c>
      <c r="O2390" s="8">
        <v>18.218373315786963</v>
      </c>
      <c r="P2390" s="9">
        <v>18.218373315786963</v>
      </c>
      <c r="Q2390" s="9">
        <v>18.218373315786963</v>
      </c>
      <c r="R2390" s="9">
        <v>19.664893554389323</v>
      </c>
      <c r="S2390" s="9">
        <v>21.786180308421145</v>
      </c>
      <c r="T2390" s="9">
        <v>23.986333773977044</v>
      </c>
      <c r="U2390" s="9">
        <v>29.590503899645856</v>
      </c>
      <c r="V2390" s="9">
        <v>29.590503899645856</v>
      </c>
      <c r="W2390" s="9">
        <v>29.590503899645856</v>
      </c>
      <c r="X2390" s="9">
        <v>35.864647096682894</v>
      </c>
      <c r="Y2390" s="9">
        <v>35.864647096682894</v>
      </c>
      <c r="Z2390" s="9">
        <v>42.320477053388458</v>
      </c>
      <c r="AA2390" s="9">
        <v>42.320477053388458</v>
      </c>
      <c r="AB2390" s="9">
        <v>49.014929837148429</v>
      </c>
      <c r="AC2390" s="9">
        <v>49.014929837148429</v>
      </c>
      <c r="AD2390" s="9">
        <v>55.851656970363329</v>
      </c>
      <c r="AE2390" s="9">
        <v>62.848959105898189</v>
      </c>
      <c r="AF2390" s="9">
        <v>70.027553049661336</v>
      </c>
      <c r="AG2390" s="9">
        <v>70.027553049661336</v>
      </c>
      <c r="AH2390" s="9">
        <v>76.934519377148774</v>
      </c>
      <c r="AI2390" s="9">
        <v>84.357531434882802</v>
      </c>
      <c r="AJ2390" s="9">
        <v>3.0428788910505911</v>
      </c>
    </row>
    <row r="2391" spans="1:36" x14ac:dyDescent="0.25">
      <c r="A2391" t="s">
        <v>5411</v>
      </c>
      <c r="B2391" t="s">
        <v>16</v>
      </c>
      <c r="C2391" t="s">
        <v>17</v>
      </c>
      <c r="D2391">
        <v>49600000</v>
      </c>
      <c r="E2391">
        <v>49629999</v>
      </c>
      <c r="F2391" t="s">
        <v>2158</v>
      </c>
      <c r="G2391" t="str">
        <f t="shared" si="74"/>
        <v>SEI</v>
      </c>
      <c r="H2391" t="s">
        <v>2120</v>
      </c>
      <c r="I2391" t="s">
        <v>20</v>
      </c>
      <c r="J2391" t="s">
        <v>62</v>
      </c>
      <c r="K2391" s="6">
        <v>0.03</v>
      </c>
      <c r="L2391" s="7">
        <f t="shared" si="75"/>
        <v>2E-3</v>
      </c>
      <c r="M2391" s="7">
        <v>3.0000000000000001E-3</v>
      </c>
      <c r="N2391">
        <v>10</v>
      </c>
      <c r="O2391" s="8">
        <v>18.218373315786963</v>
      </c>
      <c r="P2391" s="9">
        <v>18.218373315786963</v>
      </c>
      <c r="Q2391" s="9">
        <v>18.218373315786963</v>
      </c>
      <c r="R2391" s="9">
        <v>19.664893554389323</v>
      </c>
      <c r="S2391" s="9">
        <v>21.786180308421145</v>
      </c>
      <c r="T2391" s="9">
        <v>23.986333773977044</v>
      </c>
      <c r="U2391" s="9">
        <v>29.590503899645856</v>
      </c>
      <c r="V2391" s="9">
        <v>29.590503899645856</v>
      </c>
      <c r="W2391" s="9">
        <v>29.590503899645856</v>
      </c>
      <c r="X2391" s="9">
        <v>35.864647096682894</v>
      </c>
      <c r="Y2391" s="9">
        <v>35.864647096682894</v>
      </c>
      <c r="Z2391" s="9">
        <v>42.320477053388458</v>
      </c>
      <c r="AA2391" s="9">
        <v>42.320477053388458</v>
      </c>
      <c r="AB2391" s="9">
        <v>49.014929837148429</v>
      </c>
      <c r="AC2391" s="9">
        <v>49.014929837148429</v>
      </c>
      <c r="AD2391" s="9">
        <v>55.851656970363329</v>
      </c>
      <c r="AE2391" s="9">
        <v>62.848959105898189</v>
      </c>
      <c r="AF2391" s="9">
        <v>70.027553049661336</v>
      </c>
      <c r="AG2391" s="9">
        <v>70.027553049661336</v>
      </c>
      <c r="AH2391" s="9">
        <v>76.934519377148774</v>
      </c>
      <c r="AI2391" s="9">
        <v>84.357531434882802</v>
      </c>
      <c r="AJ2391" s="9">
        <v>3.0428788910505911</v>
      </c>
    </row>
    <row r="2392" spans="1:36" x14ac:dyDescent="0.25">
      <c r="A2392" t="s">
        <v>5411</v>
      </c>
      <c r="B2392" t="s">
        <v>16</v>
      </c>
      <c r="C2392" t="s">
        <v>17</v>
      </c>
      <c r="D2392">
        <v>49630000</v>
      </c>
      <c r="E2392">
        <v>49639999</v>
      </c>
      <c r="F2392" t="s">
        <v>2159</v>
      </c>
      <c r="G2392" t="str">
        <f t="shared" si="74"/>
        <v>SEI II</v>
      </c>
      <c r="H2392" t="s">
        <v>2120</v>
      </c>
      <c r="I2392" t="s">
        <v>20</v>
      </c>
      <c r="J2392" t="s">
        <v>64</v>
      </c>
      <c r="K2392" s="6">
        <v>0.03</v>
      </c>
      <c r="L2392" s="7">
        <f t="shared" si="75"/>
        <v>2E-3</v>
      </c>
      <c r="M2392" s="7">
        <v>3.0000000000000001E-3</v>
      </c>
      <c r="N2392">
        <v>12</v>
      </c>
      <c r="O2392" s="8">
        <v>22.325454358562396</v>
      </c>
      <c r="P2392" s="9">
        <v>22.325454358562396</v>
      </c>
      <c r="Q2392" s="9">
        <v>22.325454358562396</v>
      </c>
      <c r="R2392" s="9">
        <v>24.597417277137804</v>
      </c>
      <c r="S2392" s="9">
        <v>27.103777688027414</v>
      </c>
      <c r="T2392" s="9">
        <v>29.216902865000016</v>
      </c>
      <c r="U2392" s="9">
        <v>35.838454522229164</v>
      </c>
      <c r="V2392" s="9">
        <v>35.838454522229164</v>
      </c>
      <c r="W2392" s="9">
        <v>35.838454522229164</v>
      </c>
      <c r="X2392" s="9">
        <v>43.267031000463348</v>
      </c>
      <c r="Y2392" s="9">
        <v>43.267031000463348</v>
      </c>
      <c r="Z2392" s="9">
        <v>50.782228309405689</v>
      </c>
      <c r="AA2392" s="9">
        <v>50.782228309405689</v>
      </c>
      <c r="AB2392" s="9">
        <v>58.392708532127088</v>
      </c>
      <c r="AC2392" s="9">
        <v>58.392708532127088</v>
      </c>
      <c r="AD2392" s="9">
        <v>67.800618768645919</v>
      </c>
      <c r="AE2392" s="9">
        <v>74.956077661509198</v>
      </c>
      <c r="AF2392" s="9">
        <v>82.225729403744211</v>
      </c>
      <c r="AG2392" s="9">
        <v>82.225729403744211</v>
      </c>
      <c r="AH2392" s="9">
        <v>90.363895588137865</v>
      </c>
      <c r="AI2392" s="9">
        <v>98.43110945306033</v>
      </c>
      <c r="AJ2392" s="9">
        <v>3.0428788910505911</v>
      </c>
    </row>
    <row r="2393" spans="1:36" x14ac:dyDescent="0.25">
      <c r="A2393" t="s">
        <v>5411</v>
      </c>
      <c r="B2393" t="s">
        <v>16</v>
      </c>
      <c r="C2393" t="s">
        <v>17</v>
      </c>
      <c r="D2393">
        <v>49640000</v>
      </c>
      <c r="E2393">
        <v>49649999</v>
      </c>
      <c r="F2393" t="s">
        <v>2160</v>
      </c>
      <c r="G2393" t="str">
        <f t="shared" si="74"/>
        <v>SEI II</v>
      </c>
      <c r="H2393" t="s">
        <v>2120</v>
      </c>
      <c r="I2393" t="s">
        <v>20</v>
      </c>
      <c r="J2393" t="s">
        <v>64</v>
      </c>
      <c r="K2393" s="6">
        <v>0.03</v>
      </c>
      <c r="L2393" s="7">
        <f t="shared" si="75"/>
        <v>2E-3</v>
      </c>
      <c r="M2393" s="7">
        <v>3.0000000000000001E-3</v>
      </c>
      <c r="N2393">
        <v>12</v>
      </c>
      <c r="O2393" s="8">
        <v>22.325454358562396</v>
      </c>
      <c r="P2393" s="9">
        <v>22.325454358562396</v>
      </c>
      <c r="Q2393" s="9">
        <v>22.325454358562396</v>
      </c>
      <c r="R2393" s="9">
        <v>24.597417277137804</v>
      </c>
      <c r="S2393" s="9">
        <v>27.103777688027414</v>
      </c>
      <c r="T2393" s="9">
        <v>29.216902865000016</v>
      </c>
      <c r="U2393" s="9">
        <v>35.838454522229164</v>
      </c>
      <c r="V2393" s="9">
        <v>35.838454522229164</v>
      </c>
      <c r="W2393" s="9">
        <v>35.838454522229164</v>
      </c>
      <c r="X2393" s="9">
        <v>43.267031000463348</v>
      </c>
      <c r="Y2393" s="9">
        <v>43.267031000463348</v>
      </c>
      <c r="Z2393" s="9">
        <v>50.782228309405689</v>
      </c>
      <c r="AA2393" s="9">
        <v>50.782228309405689</v>
      </c>
      <c r="AB2393" s="9">
        <v>58.392708532127088</v>
      </c>
      <c r="AC2393" s="9">
        <v>58.392708532127088</v>
      </c>
      <c r="AD2393" s="9">
        <v>67.800618768645919</v>
      </c>
      <c r="AE2393" s="9">
        <v>74.956077661509198</v>
      </c>
      <c r="AF2393" s="9">
        <v>82.225729403744211</v>
      </c>
      <c r="AG2393" s="9">
        <v>82.225729403744211</v>
      </c>
      <c r="AH2393" s="9">
        <v>90.363895588137865</v>
      </c>
      <c r="AI2393" s="9">
        <v>98.43110945306033</v>
      </c>
      <c r="AJ2393" s="9">
        <v>3.0428788910505911</v>
      </c>
    </row>
    <row r="2394" spans="1:36" x14ac:dyDescent="0.25">
      <c r="A2394" t="s">
        <v>5411</v>
      </c>
      <c r="B2394" t="s">
        <v>16</v>
      </c>
      <c r="C2394" t="s">
        <v>17</v>
      </c>
      <c r="D2394">
        <v>49650000</v>
      </c>
      <c r="E2394">
        <v>49659999</v>
      </c>
      <c r="F2394" t="s">
        <v>2161</v>
      </c>
      <c r="G2394" t="str">
        <f t="shared" si="74"/>
        <v>SEI II</v>
      </c>
      <c r="H2394" t="s">
        <v>2120</v>
      </c>
      <c r="I2394" t="s">
        <v>20</v>
      </c>
      <c r="J2394" t="s">
        <v>64</v>
      </c>
      <c r="K2394" s="6">
        <v>0.03</v>
      </c>
      <c r="L2394" s="7">
        <f t="shared" si="75"/>
        <v>2E-3</v>
      </c>
      <c r="M2394" s="7">
        <v>3.0000000000000001E-3</v>
      </c>
      <c r="N2394">
        <v>12</v>
      </c>
      <c r="O2394" s="8">
        <v>22.325454358562396</v>
      </c>
      <c r="P2394" s="9">
        <v>22.325454358562396</v>
      </c>
      <c r="Q2394" s="9">
        <v>22.325454358562396</v>
      </c>
      <c r="R2394" s="9">
        <v>24.597417277137804</v>
      </c>
      <c r="S2394" s="9">
        <v>27.103777688027414</v>
      </c>
      <c r="T2394" s="9">
        <v>29.216902865000016</v>
      </c>
      <c r="U2394" s="9">
        <v>35.838454522229164</v>
      </c>
      <c r="V2394" s="9">
        <v>35.838454522229164</v>
      </c>
      <c r="W2394" s="9">
        <v>35.838454522229164</v>
      </c>
      <c r="X2394" s="9">
        <v>43.267031000463348</v>
      </c>
      <c r="Y2394" s="9">
        <v>43.267031000463348</v>
      </c>
      <c r="Z2394" s="9">
        <v>50.782228309405689</v>
      </c>
      <c r="AA2394" s="9">
        <v>50.782228309405689</v>
      </c>
      <c r="AB2394" s="9">
        <v>58.392708532127088</v>
      </c>
      <c r="AC2394" s="9">
        <v>58.392708532127088</v>
      </c>
      <c r="AD2394" s="9">
        <v>67.800618768645919</v>
      </c>
      <c r="AE2394" s="9">
        <v>74.956077661509198</v>
      </c>
      <c r="AF2394" s="9">
        <v>82.225729403744211</v>
      </c>
      <c r="AG2394" s="9">
        <v>82.225729403744211</v>
      </c>
      <c r="AH2394" s="9">
        <v>90.363895588137865</v>
      </c>
      <c r="AI2394" s="9">
        <v>98.43110945306033</v>
      </c>
      <c r="AJ2394" s="9">
        <v>3.0428788910505911</v>
      </c>
    </row>
    <row r="2395" spans="1:36" x14ac:dyDescent="0.25">
      <c r="A2395" t="s">
        <v>5411</v>
      </c>
      <c r="B2395" t="s">
        <v>16</v>
      </c>
      <c r="C2395" t="s">
        <v>17</v>
      </c>
      <c r="D2395">
        <v>49660000</v>
      </c>
      <c r="E2395">
        <v>49669999</v>
      </c>
      <c r="F2395" t="s">
        <v>2162</v>
      </c>
      <c r="G2395" t="str">
        <f t="shared" si="74"/>
        <v>SEI II</v>
      </c>
      <c r="H2395" t="s">
        <v>2120</v>
      </c>
      <c r="I2395" t="s">
        <v>20</v>
      </c>
      <c r="J2395" t="s">
        <v>64</v>
      </c>
      <c r="K2395" s="6">
        <v>0.03</v>
      </c>
      <c r="L2395" s="7">
        <f t="shared" si="75"/>
        <v>2E-3</v>
      </c>
      <c r="M2395" s="7">
        <v>3.0000000000000001E-3</v>
      </c>
      <c r="N2395">
        <v>12</v>
      </c>
      <c r="O2395" s="8">
        <v>22.325454358562396</v>
      </c>
      <c r="P2395" s="9">
        <v>22.325454358562396</v>
      </c>
      <c r="Q2395" s="9">
        <v>22.325454358562396</v>
      </c>
      <c r="R2395" s="9">
        <v>24.597417277137804</v>
      </c>
      <c r="S2395" s="9">
        <v>27.103777688027414</v>
      </c>
      <c r="T2395" s="9">
        <v>29.216902865000016</v>
      </c>
      <c r="U2395" s="9">
        <v>35.838454522229164</v>
      </c>
      <c r="V2395" s="9">
        <v>35.838454522229164</v>
      </c>
      <c r="W2395" s="9">
        <v>35.838454522229164</v>
      </c>
      <c r="X2395" s="9">
        <v>43.267031000463348</v>
      </c>
      <c r="Y2395" s="9">
        <v>43.267031000463348</v>
      </c>
      <c r="Z2395" s="9">
        <v>50.782228309405689</v>
      </c>
      <c r="AA2395" s="9">
        <v>50.782228309405689</v>
      </c>
      <c r="AB2395" s="9">
        <v>58.392708532127088</v>
      </c>
      <c r="AC2395" s="9">
        <v>58.392708532127088</v>
      </c>
      <c r="AD2395" s="9">
        <v>67.800618768645919</v>
      </c>
      <c r="AE2395" s="9">
        <v>74.956077661509198</v>
      </c>
      <c r="AF2395" s="9">
        <v>82.225729403744211</v>
      </c>
      <c r="AG2395" s="9">
        <v>82.225729403744211</v>
      </c>
      <c r="AH2395" s="9">
        <v>90.363895588137865</v>
      </c>
      <c r="AI2395" s="9">
        <v>98.43110945306033</v>
      </c>
      <c r="AJ2395" s="9">
        <v>3.0428788910505911</v>
      </c>
    </row>
    <row r="2396" spans="1:36" x14ac:dyDescent="0.25">
      <c r="A2396" t="s">
        <v>5411</v>
      </c>
      <c r="B2396" t="s">
        <v>16</v>
      </c>
      <c r="C2396" t="s">
        <v>17</v>
      </c>
      <c r="D2396">
        <v>49670000</v>
      </c>
      <c r="E2396">
        <v>49679999</v>
      </c>
      <c r="F2396" t="s">
        <v>2163</v>
      </c>
      <c r="G2396" t="str">
        <f t="shared" si="74"/>
        <v>SEI II</v>
      </c>
      <c r="H2396" t="s">
        <v>2120</v>
      </c>
      <c r="I2396" t="s">
        <v>20</v>
      </c>
      <c r="J2396" t="s">
        <v>64</v>
      </c>
      <c r="K2396" s="6">
        <v>0.03</v>
      </c>
      <c r="L2396" s="7">
        <f t="shared" si="75"/>
        <v>2E-3</v>
      </c>
      <c r="M2396" s="7">
        <v>3.0000000000000001E-3</v>
      </c>
      <c r="N2396">
        <v>12</v>
      </c>
      <c r="O2396" s="8">
        <v>22.325454358562396</v>
      </c>
      <c r="P2396" s="9">
        <v>22.325454358562396</v>
      </c>
      <c r="Q2396" s="9">
        <v>22.325454358562396</v>
      </c>
      <c r="R2396" s="9">
        <v>24.597417277137804</v>
      </c>
      <c r="S2396" s="9">
        <v>27.103777688027414</v>
      </c>
      <c r="T2396" s="9">
        <v>29.216902865000016</v>
      </c>
      <c r="U2396" s="9">
        <v>35.838454522229164</v>
      </c>
      <c r="V2396" s="9">
        <v>35.838454522229164</v>
      </c>
      <c r="W2396" s="9">
        <v>35.838454522229164</v>
      </c>
      <c r="X2396" s="9">
        <v>43.267031000463348</v>
      </c>
      <c r="Y2396" s="9">
        <v>43.267031000463348</v>
      </c>
      <c r="Z2396" s="9">
        <v>50.782228309405689</v>
      </c>
      <c r="AA2396" s="9">
        <v>50.782228309405689</v>
      </c>
      <c r="AB2396" s="9">
        <v>58.392708532127088</v>
      </c>
      <c r="AC2396" s="9">
        <v>58.392708532127088</v>
      </c>
      <c r="AD2396" s="9">
        <v>67.800618768645919</v>
      </c>
      <c r="AE2396" s="9">
        <v>74.956077661509198</v>
      </c>
      <c r="AF2396" s="9">
        <v>82.225729403744211</v>
      </c>
      <c r="AG2396" s="9">
        <v>82.225729403744211</v>
      </c>
      <c r="AH2396" s="9">
        <v>90.363895588137865</v>
      </c>
      <c r="AI2396" s="9">
        <v>98.43110945306033</v>
      </c>
      <c r="AJ2396" s="9">
        <v>3.0428788910505911</v>
      </c>
    </row>
    <row r="2397" spans="1:36" x14ac:dyDescent="0.25">
      <c r="A2397" t="s">
        <v>5411</v>
      </c>
      <c r="B2397" t="s">
        <v>16</v>
      </c>
      <c r="C2397" t="s">
        <v>17</v>
      </c>
      <c r="D2397">
        <v>49680000</v>
      </c>
      <c r="E2397">
        <v>49689999</v>
      </c>
      <c r="F2397" t="s">
        <v>2164</v>
      </c>
      <c r="G2397" t="str">
        <f t="shared" si="74"/>
        <v>SEI</v>
      </c>
      <c r="H2397" t="s">
        <v>2120</v>
      </c>
      <c r="I2397" t="s">
        <v>20</v>
      </c>
      <c r="J2397" t="s">
        <v>62</v>
      </c>
      <c r="K2397" s="6">
        <v>0.03</v>
      </c>
      <c r="L2397" s="7">
        <f t="shared" si="75"/>
        <v>2E-3</v>
      </c>
      <c r="M2397" s="7">
        <v>3.0000000000000001E-3</v>
      </c>
      <c r="N2397">
        <v>10</v>
      </c>
      <c r="O2397" s="8">
        <v>18.218373315786963</v>
      </c>
      <c r="P2397" s="9">
        <v>18.218373315786963</v>
      </c>
      <c r="Q2397" s="9">
        <v>18.218373315786963</v>
      </c>
      <c r="R2397" s="9">
        <v>19.664893554389323</v>
      </c>
      <c r="S2397" s="9">
        <v>21.786180308421145</v>
      </c>
      <c r="T2397" s="9">
        <v>23.986333773977044</v>
      </c>
      <c r="U2397" s="9">
        <v>29.590503899645856</v>
      </c>
      <c r="V2397" s="9">
        <v>29.590503899645856</v>
      </c>
      <c r="W2397" s="9">
        <v>29.590503899645856</v>
      </c>
      <c r="X2397" s="9">
        <v>35.864647096682894</v>
      </c>
      <c r="Y2397" s="9">
        <v>35.864647096682894</v>
      </c>
      <c r="Z2397" s="9">
        <v>42.320477053388458</v>
      </c>
      <c r="AA2397" s="9">
        <v>42.320477053388458</v>
      </c>
      <c r="AB2397" s="9">
        <v>49.014929837148429</v>
      </c>
      <c r="AC2397" s="9">
        <v>49.014929837148429</v>
      </c>
      <c r="AD2397" s="9">
        <v>55.851656970363329</v>
      </c>
      <c r="AE2397" s="9">
        <v>62.848959105898189</v>
      </c>
      <c r="AF2397" s="9">
        <v>70.027553049661336</v>
      </c>
      <c r="AG2397" s="9">
        <v>70.027553049661336</v>
      </c>
      <c r="AH2397" s="9">
        <v>76.934519377148774</v>
      </c>
      <c r="AI2397" s="9">
        <v>84.357531434882802</v>
      </c>
      <c r="AJ2397" s="9">
        <v>3.0428788910505911</v>
      </c>
    </row>
    <row r="2398" spans="1:36" x14ac:dyDescent="0.25">
      <c r="A2398" t="s">
        <v>5411</v>
      </c>
      <c r="B2398" t="s">
        <v>16</v>
      </c>
      <c r="C2398" t="s">
        <v>17</v>
      </c>
      <c r="D2398">
        <v>49690000</v>
      </c>
      <c r="E2398">
        <v>49699999</v>
      </c>
      <c r="F2398" t="s">
        <v>2165</v>
      </c>
      <c r="G2398" t="str">
        <f t="shared" si="74"/>
        <v>SEI</v>
      </c>
      <c r="H2398" t="s">
        <v>2120</v>
      </c>
      <c r="I2398" t="s">
        <v>20</v>
      </c>
      <c r="J2398" t="s">
        <v>62</v>
      </c>
      <c r="K2398" s="6">
        <v>0.03</v>
      </c>
      <c r="L2398" s="7">
        <f t="shared" si="75"/>
        <v>2E-3</v>
      </c>
      <c r="M2398" s="7">
        <v>3.0000000000000001E-3</v>
      </c>
      <c r="N2398">
        <v>10</v>
      </c>
      <c r="O2398" s="8">
        <v>18.218373315786963</v>
      </c>
      <c r="P2398" s="9">
        <v>18.218373315786963</v>
      </c>
      <c r="Q2398" s="9">
        <v>18.218373315786963</v>
      </c>
      <c r="R2398" s="9">
        <v>19.664893554389323</v>
      </c>
      <c r="S2398" s="9">
        <v>21.786180308421145</v>
      </c>
      <c r="T2398" s="9">
        <v>23.986333773977044</v>
      </c>
      <c r="U2398" s="9">
        <v>29.590503899645856</v>
      </c>
      <c r="V2398" s="9">
        <v>29.590503899645856</v>
      </c>
      <c r="W2398" s="9">
        <v>29.590503899645856</v>
      </c>
      <c r="X2398" s="9">
        <v>35.864647096682894</v>
      </c>
      <c r="Y2398" s="9">
        <v>35.864647096682894</v>
      </c>
      <c r="Z2398" s="9">
        <v>42.320477053388458</v>
      </c>
      <c r="AA2398" s="9">
        <v>42.320477053388458</v>
      </c>
      <c r="AB2398" s="9">
        <v>49.014929837148429</v>
      </c>
      <c r="AC2398" s="9">
        <v>49.014929837148429</v>
      </c>
      <c r="AD2398" s="9">
        <v>55.851656970363329</v>
      </c>
      <c r="AE2398" s="9">
        <v>62.848959105898189</v>
      </c>
      <c r="AF2398" s="9">
        <v>70.027553049661336</v>
      </c>
      <c r="AG2398" s="9">
        <v>70.027553049661336</v>
      </c>
      <c r="AH2398" s="9">
        <v>76.934519377148774</v>
      </c>
      <c r="AI2398" s="9">
        <v>84.357531434882802</v>
      </c>
      <c r="AJ2398" s="9">
        <v>3.0428788910505911</v>
      </c>
    </row>
    <row r="2399" spans="1:36" x14ac:dyDescent="0.25">
      <c r="A2399" t="s">
        <v>5411</v>
      </c>
      <c r="B2399" t="s">
        <v>16</v>
      </c>
      <c r="C2399" t="s">
        <v>17</v>
      </c>
      <c r="D2399">
        <v>49700000</v>
      </c>
      <c r="E2399">
        <v>49739999</v>
      </c>
      <c r="F2399" t="s">
        <v>2166</v>
      </c>
      <c r="G2399" t="str">
        <f t="shared" si="74"/>
        <v>SEI</v>
      </c>
      <c r="H2399" t="s">
        <v>2120</v>
      </c>
      <c r="I2399" t="s">
        <v>20</v>
      </c>
      <c r="J2399" t="s">
        <v>62</v>
      </c>
      <c r="K2399" s="6">
        <v>0.03</v>
      </c>
      <c r="L2399" s="7">
        <f t="shared" si="75"/>
        <v>2E-3</v>
      </c>
      <c r="M2399" s="7">
        <v>3.0000000000000001E-3</v>
      </c>
      <c r="N2399">
        <v>10</v>
      </c>
      <c r="O2399" s="8">
        <v>18.218373315786963</v>
      </c>
      <c r="P2399" s="9">
        <v>18.218373315786963</v>
      </c>
      <c r="Q2399" s="9">
        <v>18.218373315786963</v>
      </c>
      <c r="R2399" s="9">
        <v>19.664893554389323</v>
      </c>
      <c r="S2399" s="9">
        <v>21.786180308421145</v>
      </c>
      <c r="T2399" s="9">
        <v>23.986333773977044</v>
      </c>
      <c r="U2399" s="9">
        <v>29.590503899645856</v>
      </c>
      <c r="V2399" s="9">
        <v>29.590503899645856</v>
      </c>
      <c r="W2399" s="9">
        <v>29.590503899645856</v>
      </c>
      <c r="X2399" s="9">
        <v>35.864647096682894</v>
      </c>
      <c r="Y2399" s="9">
        <v>35.864647096682894</v>
      </c>
      <c r="Z2399" s="9">
        <v>42.320477053388458</v>
      </c>
      <c r="AA2399" s="9">
        <v>42.320477053388458</v>
      </c>
      <c r="AB2399" s="9">
        <v>49.014929837148429</v>
      </c>
      <c r="AC2399" s="9">
        <v>49.014929837148429</v>
      </c>
      <c r="AD2399" s="9">
        <v>55.851656970363329</v>
      </c>
      <c r="AE2399" s="9">
        <v>62.848959105898189</v>
      </c>
      <c r="AF2399" s="9">
        <v>70.027553049661336</v>
      </c>
      <c r="AG2399" s="9">
        <v>70.027553049661336</v>
      </c>
      <c r="AH2399" s="9">
        <v>76.934519377148774</v>
      </c>
      <c r="AI2399" s="9">
        <v>84.357531434882802</v>
      </c>
      <c r="AJ2399" s="9">
        <v>3.0428788910505911</v>
      </c>
    </row>
    <row r="2400" spans="1:36" x14ac:dyDescent="0.25">
      <c r="A2400" t="s">
        <v>5411</v>
      </c>
      <c r="B2400" t="s">
        <v>16</v>
      </c>
      <c r="C2400" t="s">
        <v>17</v>
      </c>
      <c r="D2400">
        <v>49740000</v>
      </c>
      <c r="E2400">
        <v>49749999</v>
      </c>
      <c r="F2400" t="s">
        <v>2167</v>
      </c>
      <c r="G2400" t="str">
        <f t="shared" si="74"/>
        <v>SEI II</v>
      </c>
      <c r="H2400" t="s">
        <v>2120</v>
      </c>
      <c r="I2400" t="s">
        <v>20</v>
      </c>
      <c r="J2400" t="s">
        <v>64</v>
      </c>
      <c r="K2400" s="6">
        <v>0.03</v>
      </c>
      <c r="L2400" s="7">
        <f t="shared" si="75"/>
        <v>2E-3</v>
      </c>
      <c r="M2400" s="7">
        <v>3.0000000000000001E-3</v>
      </c>
      <c r="N2400">
        <v>9</v>
      </c>
      <c r="O2400" s="8">
        <v>22.325454358562396</v>
      </c>
      <c r="P2400" s="9">
        <v>22.325454358562396</v>
      </c>
      <c r="Q2400" s="9">
        <v>22.325454358562396</v>
      </c>
      <c r="R2400" s="9">
        <v>24.597417277137804</v>
      </c>
      <c r="S2400" s="9">
        <v>27.103777688027414</v>
      </c>
      <c r="T2400" s="9">
        <v>29.216902865000016</v>
      </c>
      <c r="U2400" s="9">
        <v>35.838454522229164</v>
      </c>
      <c r="V2400" s="9">
        <v>35.838454522229164</v>
      </c>
      <c r="W2400" s="9">
        <v>35.838454522229164</v>
      </c>
      <c r="X2400" s="9">
        <v>43.267031000463348</v>
      </c>
      <c r="Y2400" s="9">
        <v>43.267031000463348</v>
      </c>
      <c r="Z2400" s="9">
        <v>50.782228309405689</v>
      </c>
      <c r="AA2400" s="9">
        <v>50.782228309405689</v>
      </c>
      <c r="AB2400" s="9">
        <v>58.392708532127088</v>
      </c>
      <c r="AC2400" s="9">
        <v>58.392708532127088</v>
      </c>
      <c r="AD2400" s="9">
        <v>67.800618768645919</v>
      </c>
      <c r="AE2400" s="9">
        <v>74.956077661509198</v>
      </c>
      <c r="AF2400" s="9">
        <v>82.225729403744211</v>
      </c>
      <c r="AG2400" s="9">
        <v>82.225729403744211</v>
      </c>
      <c r="AH2400" s="9">
        <v>90.363895588137865</v>
      </c>
      <c r="AI2400" s="9">
        <v>98.43110945306033</v>
      </c>
      <c r="AJ2400" s="9">
        <v>3.0428788910505911</v>
      </c>
    </row>
    <row r="2401" spans="1:36" x14ac:dyDescent="0.25">
      <c r="A2401" t="s">
        <v>5411</v>
      </c>
      <c r="B2401" t="s">
        <v>16</v>
      </c>
      <c r="C2401" t="s">
        <v>17</v>
      </c>
      <c r="D2401">
        <v>49750000</v>
      </c>
      <c r="E2401">
        <v>49759999</v>
      </c>
      <c r="F2401" t="s">
        <v>2168</v>
      </c>
      <c r="G2401" t="str">
        <f t="shared" si="74"/>
        <v>SEI</v>
      </c>
      <c r="H2401" t="s">
        <v>2120</v>
      </c>
      <c r="I2401" t="s">
        <v>20</v>
      </c>
      <c r="J2401" t="s">
        <v>62</v>
      </c>
      <c r="K2401" s="6">
        <v>0.03</v>
      </c>
      <c r="L2401" s="7">
        <f t="shared" si="75"/>
        <v>2E-3</v>
      </c>
      <c r="M2401" s="7">
        <v>3.0000000000000001E-3</v>
      </c>
      <c r="N2401">
        <v>10</v>
      </c>
      <c r="O2401" s="8">
        <v>18.218373315786963</v>
      </c>
      <c r="P2401" s="9">
        <v>18.218373315786963</v>
      </c>
      <c r="Q2401" s="9">
        <v>18.218373315786963</v>
      </c>
      <c r="R2401" s="9">
        <v>19.664893554389323</v>
      </c>
      <c r="S2401" s="9">
        <v>21.786180308421145</v>
      </c>
      <c r="T2401" s="9">
        <v>23.986333773977044</v>
      </c>
      <c r="U2401" s="9">
        <v>29.590503899645856</v>
      </c>
      <c r="V2401" s="9">
        <v>29.590503899645856</v>
      </c>
      <c r="W2401" s="9">
        <v>29.590503899645856</v>
      </c>
      <c r="X2401" s="9">
        <v>35.864647096682894</v>
      </c>
      <c r="Y2401" s="9">
        <v>35.864647096682894</v>
      </c>
      <c r="Z2401" s="9">
        <v>42.320477053388458</v>
      </c>
      <c r="AA2401" s="9">
        <v>42.320477053388458</v>
      </c>
      <c r="AB2401" s="9">
        <v>49.014929837148429</v>
      </c>
      <c r="AC2401" s="9">
        <v>49.014929837148429</v>
      </c>
      <c r="AD2401" s="9">
        <v>55.851656970363329</v>
      </c>
      <c r="AE2401" s="9">
        <v>62.848959105898189</v>
      </c>
      <c r="AF2401" s="9">
        <v>70.027553049661336</v>
      </c>
      <c r="AG2401" s="9">
        <v>70.027553049661336</v>
      </c>
      <c r="AH2401" s="9">
        <v>76.934519377148774</v>
      </c>
      <c r="AI2401" s="9">
        <v>84.357531434882802</v>
      </c>
      <c r="AJ2401" s="9">
        <v>3.0428788910505911</v>
      </c>
    </row>
    <row r="2402" spans="1:36" x14ac:dyDescent="0.25">
      <c r="A2402" t="s">
        <v>5411</v>
      </c>
      <c r="B2402" t="s">
        <v>16</v>
      </c>
      <c r="C2402" t="s">
        <v>17</v>
      </c>
      <c r="D2402">
        <v>49760000</v>
      </c>
      <c r="E2402">
        <v>49769999</v>
      </c>
      <c r="F2402" t="s">
        <v>2169</v>
      </c>
      <c r="G2402" t="str">
        <f t="shared" si="74"/>
        <v>SEI II</v>
      </c>
      <c r="H2402" t="s">
        <v>2120</v>
      </c>
      <c r="I2402" t="s">
        <v>20</v>
      </c>
      <c r="J2402" t="s">
        <v>64</v>
      </c>
      <c r="K2402" s="6">
        <v>0.03</v>
      </c>
      <c r="L2402" s="7">
        <f t="shared" si="75"/>
        <v>2E-3</v>
      </c>
      <c r="M2402" s="7">
        <v>3.0000000000000001E-3</v>
      </c>
      <c r="N2402">
        <v>12</v>
      </c>
      <c r="O2402" s="8">
        <v>22.325454358562396</v>
      </c>
      <c r="P2402" s="9">
        <v>22.325454358562396</v>
      </c>
      <c r="Q2402" s="9">
        <v>22.325454358562396</v>
      </c>
      <c r="R2402" s="9">
        <v>24.597417277137804</v>
      </c>
      <c r="S2402" s="9">
        <v>27.103777688027414</v>
      </c>
      <c r="T2402" s="9">
        <v>29.216902865000016</v>
      </c>
      <c r="U2402" s="9">
        <v>35.838454522229164</v>
      </c>
      <c r="V2402" s="9">
        <v>35.838454522229164</v>
      </c>
      <c r="W2402" s="9">
        <v>35.838454522229164</v>
      </c>
      <c r="X2402" s="9">
        <v>43.267031000463348</v>
      </c>
      <c r="Y2402" s="9">
        <v>43.267031000463348</v>
      </c>
      <c r="Z2402" s="9">
        <v>50.782228309405689</v>
      </c>
      <c r="AA2402" s="9">
        <v>50.782228309405689</v>
      </c>
      <c r="AB2402" s="9">
        <v>58.392708532127088</v>
      </c>
      <c r="AC2402" s="9">
        <v>58.392708532127088</v>
      </c>
      <c r="AD2402" s="9">
        <v>67.800618768645919</v>
      </c>
      <c r="AE2402" s="9">
        <v>74.956077661509198</v>
      </c>
      <c r="AF2402" s="9">
        <v>82.225729403744211</v>
      </c>
      <c r="AG2402" s="9">
        <v>82.225729403744211</v>
      </c>
      <c r="AH2402" s="9">
        <v>90.363895588137865</v>
      </c>
      <c r="AI2402" s="9">
        <v>98.43110945306033</v>
      </c>
      <c r="AJ2402" s="9">
        <v>3.0428788910505911</v>
      </c>
    </row>
    <row r="2403" spans="1:36" x14ac:dyDescent="0.25">
      <c r="A2403" t="s">
        <v>5411</v>
      </c>
      <c r="B2403" t="s">
        <v>16</v>
      </c>
      <c r="C2403" t="s">
        <v>17</v>
      </c>
      <c r="D2403">
        <v>49770000</v>
      </c>
      <c r="E2403">
        <v>49779999</v>
      </c>
      <c r="F2403" t="s">
        <v>2170</v>
      </c>
      <c r="G2403" t="str">
        <f t="shared" si="74"/>
        <v>SEI II</v>
      </c>
      <c r="H2403" t="s">
        <v>2120</v>
      </c>
      <c r="I2403" t="s">
        <v>20</v>
      </c>
      <c r="J2403" t="s">
        <v>64</v>
      </c>
      <c r="K2403" s="6">
        <v>0.03</v>
      </c>
      <c r="L2403" s="7">
        <f t="shared" si="75"/>
        <v>2E-3</v>
      </c>
      <c r="M2403" s="7">
        <v>3.0000000000000001E-3</v>
      </c>
      <c r="N2403">
        <v>9</v>
      </c>
      <c r="O2403" s="8">
        <v>22.325454358562396</v>
      </c>
      <c r="P2403" s="9">
        <v>22.325454358562396</v>
      </c>
      <c r="Q2403" s="9">
        <v>22.325454358562396</v>
      </c>
      <c r="R2403" s="9">
        <v>24.597417277137804</v>
      </c>
      <c r="S2403" s="9">
        <v>27.103777688027414</v>
      </c>
      <c r="T2403" s="9">
        <v>29.216902865000016</v>
      </c>
      <c r="U2403" s="9">
        <v>35.838454522229164</v>
      </c>
      <c r="V2403" s="9">
        <v>35.838454522229164</v>
      </c>
      <c r="W2403" s="9">
        <v>35.838454522229164</v>
      </c>
      <c r="X2403" s="9">
        <v>43.267031000463348</v>
      </c>
      <c r="Y2403" s="9">
        <v>43.267031000463348</v>
      </c>
      <c r="Z2403" s="9">
        <v>50.782228309405689</v>
      </c>
      <c r="AA2403" s="9">
        <v>50.782228309405689</v>
      </c>
      <c r="AB2403" s="9">
        <v>58.392708532127088</v>
      </c>
      <c r="AC2403" s="9">
        <v>58.392708532127088</v>
      </c>
      <c r="AD2403" s="9">
        <v>67.800618768645919</v>
      </c>
      <c r="AE2403" s="9">
        <v>74.956077661509198</v>
      </c>
      <c r="AF2403" s="9">
        <v>82.225729403744211</v>
      </c>
      <c r="AG2403" s="9">
        <v>82.225729403744211</v>
      </c>
      <c r="AH2403" s="9">
        <v>90.363895588137865</v>
      </c>
      <c r="AI2403" s="9">
        <v>98.43110945306033</v>
      </c>
      <c r="AJ2403" s="9">
        <v>3.0428788910505911</v>
      </c>
    </row>
    <row r="2404" spans="1:36" x14ac:dyDescent="0.25">
      <c r="A2404" t="s">
        <v>5411</v>
      </c>
      <c r="B2404" t="s">
        <v>16</v>
      </c>
      <c r="C2404" t="s">
        <v>17</v>
      </c>
      <c r="D2404">
        <v>49780000</v>
      </c>
      <c r="E2404">
        <v>49789999</v>
      </c>
      <c r="F2404" t="s">
        <v>2171</v>
      </c>
      <c r="G2404" t="str">
        <f t="shared" si="74"/>
        <v>SEI</v>
      </c>
      <c r="H2404" t="s">
        <v>2120</v>
      </c>
      <c r="I2404" t="s">
        <v>20</v>
      </c>
      <c r="J2404" t="s">
        <v>62</v>
      </c>
      <c r="K2404" s="6">
        <v>0.03</v>
      </c>
      <c r="L2404" s="7">
        <f t="shared" si="75"/>
        <v>2E-3</v>
      </c>
      <c r="M2404" s="7">
        <v>3.0000000000000001E-3</v>
      </c>
      <c r="N2404">
        <v>10</v>
      </c>
      <c r="O2404" s="8">
        <v>18.218373315786963</v>
      </c>
      <c r="P2404" s="9">
        <v>18.218373315786963</v>
      </c>
      <c r="Q2404" s="9">
        <v>18.218373315786963</v>
      </c>
      <c r="R2404" s="9">
        <v>19.664893554389323</v>
      </c>
      <c r="S2404" s="9">
        <v>21.786180308421145</v>
      </c>
      <c r="T2404" s="9">
        <v>23.986333773977044</v>
      </c>
      <c r="U2404" s="9">
        <v>29.590503899645856</v>
      </c>
      <c r="V2404" s="9">
        <v>29.590503899645856</v>
      </c>
      <c r="W2404" s="9">
        <v>29.590503899645856</v>
      </c>
      <c r="X2404" s="9">
        <v>35.864647096682894</v>
      </c>
      <c r="Y2404" s="9">
        <v>35.864647096682894</v>
      </c>
      <c r="Z2404" s="9">
        <v>42.320477053388458</v>
      </c>
      <c r="AA2404" s="9">
        <v>42.320477053388458</v>
      </c>
      <c r="AB2404" s="9">
        <v>49.014929837148429</v>
      </c>
      <c r="AC2404" s="9">
        <v>49.014929837148429</v>
      </c>
      <c r="AD2404" s="9">
        <v>55.851656970363329</v>
      </c>
      <c r="AE2404" s="9">
        <v>62.848959105898189</v>
      </c>
      <c r="AF2404" s="9">
        <v>70.027553049661336</v>
      </c>
      <c r="AG2404" s="9">
        <v>70.027553049661336</v>
      </c>
      <c r="AH2404" s="9">
        <v>76.934519377148774</v>
      </c>
      <c r="AI2404" s="9">
        <v>84.357531434882802</v>
      </c>
      <c r="AJ2404" s="9">
        <v>3.0428788910505911</v>
      </c>
    </row>
    <row r="2405" spans="1:36" x14ac:dyDescent="0.25">
      <c r="A2405" t="s">
        <v>5411</v>
      </c>
      <c r="B2405" t="s">
        <v>16</v>
      </c>
      <c r="C2405" t="s">
        <v>17</v>
      </c>
      <c r="D2405">
        <v>49790000</v>
      </c>
      <c r="E2405">
        <v>49799999</v>
      </c>
      <c r="F2405" t="s">
        <v>2172</v>
      </c>
      <c r="G2405" t="str">
        <f t="shared" si="74"/>
        <v>SEI</v>
      </c>
      <c r="H2405" t="s">
        <v>2120</v>
      </c>
      <c r="I2405" t="s">
        <v>20</v>
      </c>
      <c r="J2405" t="s">
        <v>62</v>
      </c>
      <c r="K2405" s="6">
        <v>0.03</v>
      </c>
      <c r="L2405" s="7">
        <f t="shared" si="75"/>
        <v>2E-3</v>
      </c>
      <c r="M2405" s="7">
        <v>3.0000000000000001E-3</v>
      </c>
      <c r="N2405">
        <v>10</v>
      </c>
      <c r="O2405" s="8">
        <v>18.218373315786963</v>
      </c>
      <c r="P2405" s="9">
        <v>18.218373315786963</v>
      </c>
      <c r="Q2405" s="9">
        <v>18.218373315786963</v>
      </c>
      <c r="R2405" s="9">
        <v>19.664893554389323</v>
      </c>
      <c r="S2405" s="9">
        <v>21.786180308421145</v>
      </c>
      <c r="T2405" s="9">
        <v>23.986333773977044</v>
      </c>
      <c r="U2405" s="9">
        <v>29.590503899645856</v>
      </c>
      <c r="V2405" s="9">
        <v>29.590503899645856</v>
      </c>
      <c r="W2405" s="9">
        <v>29.590503899645856</v>
      </c>
      <c r="X2405" s="9">
        <v>35.864647096682894</v>
      </c>
      <c r="Y2405" s="9">
        <v>35.864647096682894</v>
      </c>
      <c r="Z2405" s="9">
        <v>42.320477053388458</v>
      </c>
      <c r="AA2405" s="9">
        <v>42.320477053388458</v>
      </c>
      <c r="AB2405" s="9">
        <v>49.014929837148429</v>
      </c>
      <c r="AC2405" s="9">
        <v>49.014929837148429</v>
      </c>
      <c r="AD2405" s="9">
        <v>55.851656970363329</v>
      </c>
      <c r="AE2405" s="9">
        <v>62.848959105898189</v>
      </c>
      <c r="AF2405" s="9">
        <v>70.027553049661336</v>
      </c>
      <c r="AG2405" s="9">
        <v>70.027553049661336</v>
      </c>
      <c r="AH2405" s="9">
        <v>76.934519377148774</v>
      </c>
      <c r="AI2405" s="9">
        <v>84.357531434882802</v>
      </c>
      <c r="AJ2405" s="9">
        <v>3.0428788910505911</v>
      </c>
    </row>
    <row r="2406" spans="1:36" x14ac:dyDescent="0.25">
      <c r="A2406" t="s">
        <v>5411</v>
      </c>
      <c r="B2406" t="s">
        <v>16</v>
      </c>
      <c r="C2406" t="s">
        <v>17</v>
      </c>
      <c r="D2406">
        <v>49800000</v>
      </c>
      <c r="E2406">
        <v>49809999</v>
      </c>
      <c r="F2406" t="s">
        <v>2173</v>
      </c>
      <c r="G2406" t="str">
        <f t="shared" si="74"/>
        <v>SEI II</v>
      </c>
      <c r="H2406" t="s">
        <v>2120</v>
      </c>
      <c r="I2406" t="s">
        <v>20</v>
      </c>
      <c r="J2406" t="s">
        <v>64</v>
      </c>
      <c r="K2406" s="6">
        <v>0.03</v>
      </c>
      <c r="L2406" s="7">
        <f t="shared" si="75"/>
        <v>2E-3</v>
      </c>
      <c r="M2406" s="7">
        <v>3.0000000000000001E-3</v>
      </c>
      <c r="N2406">
        <v>12</v>
      </c>
      <c r="O2406" s="8">
        <v>22.325454358562396</v>
      </c>
      <c r="P2406" s="9">
        <v>22.325454358562396</v>
      </c>
      <c r="Q2406" s="9">
        <v>22.325454358562396</v>
      </c>
      <c r="R2406" s="9">
        <v>24.597417277137804</v>
      </c>
      <c r="S2406" s="9">
        <v>27.103777688027414</v>
      </c>
      <c r="T2406" s="9">
        <v>29.216902865000016</v>
      </c>
      <c r="U2406" s="9">
        <v>35.838454522229164</v>
      </c>
      <c r="V2406" s="9">
        <v>35.838454522229164</v>
      </c>
      <c r="W2406" s="9">
        <v>35.838454522229164</v>
      </c>
      <c r="X2406" s="9">
        <v>43.267031000463348</v>
      </c>
      <c r="Y2406" s="9">
        <v>43.267031000463348</v>
      </c>
      <c r="Z2406" s="9">
        <v>50.782228309405689</v>
      </c>
      <c r="AA2406" s="9">
        <v>50.782228309405689</v>
      </c>
      <c r="AB2406" s="9">
        <v>58.392708532127088</v>
      </c>
      <c r="AC2406" s="9">
        <v>58.392708532127088</v>
      </c>
      <c r="AD2406" s="9">
        <v>67.800618768645919</v>
      </c>
      <c r="AE2406" s="9">
        <v>74.956077661509198</v>
      </c>
      <c r="AF2406" s="9">
        <v>82.225729403744211</v>
      </c>
      <c r="AG2406" s="9">
        <v>82.225729403744211</v>
      </c>
      <c r="AH2406" s="9">
        <v>90.363895588137865</v>
      </c>
      <c r="AI2406" s="9">
        <v>98.43110945306033</v>
      </c>
      <c r="AJ2406" s="9">
        <v>3.0428788910505911</v>
      </c>
    </row>
    <row r="2407" spans="1:36" x14ac:dyDescent="0.25">
      <c r="A2407" t="s">
        <v>5411</v>
      </c>
      <c r="B2407" t="s">
        <v>16</v>
      </c>
      <c r="C2407" t="s">
        <v>17</v>
      </c>
      <c r="D2407">
        <v>49810000</v>
      </c>
      <c r="E2407">
        <v>49819999</v>
      </c>
      <c r="F2407" t="s">
        <v>2174</v>
      </c>
      <c r="G2407" t="str">
        <f t="shared" si="74"/>
        <v>SEI</v>
      </c>
      <c r="H2407" t="s">
        <v>2120</v>
      </c>
      <c r="I2407" t="s">
        <v>20</v>
      </c>
      <c r="J2407" t="s">
        <v>62</v>
      </c>
      <c r="K2407" s="6">
        <v>0.03</v>
      </c>
      <c r="L2407" s="7">
        <f t="shared" si="75"/>
        <v>2E-3</v>
      </c>
      <c r="M2407" s="7">
        <v>3.0000000000000001E-3</v>
      </c>
      <c r="N2407">
        <v>10</v>
      </c>
      <c r="O2407" s="8">
        <v>18.218373315786963</v>
      </c>
      <c r="P2407" s="9">
        <v>18.218373315786963</v>
      </c>
      <c r="Q2407" s="9">
        <v>18.218373315786963</v>
      </c>
      <c r="R2407" s="9">
        <v>19.664893554389323</v>
      </c>
      <c r="S2407" s="9">
        <v>21.786180308421145</v>
      </c>
      <c r="T2407" s="9">
        <v>23.986333773977044</v>
      </c>
      <c r="U2407" s="9">
        <v>29.590503899645856</v>
      </c>
      <c r="V2407" s="9">
        <v>29.590503899645856</v>
      </c>
      <c r="W2407" s="9">
        <v>29.590503899645856</v>
      </c>
      <c r="X2407" s="9">
        <v>35.864647096682894</v>
      </c>
      <c r="Y2407" s="9">
        <v>35.864647096682894</v>
      </c>
      <c r="Z2407" s="9">
        <v>42.320477053388458</v>
      </c>
      <c r="AA2407" s="9">
        <v>42.320477053388458</v>
      </c>
      <c r="AB2407" s="9">
        <v>49.014929837148429</v>
      </c>
      <c r="AC2407" s="9">
        <v>49.014929837148429</v>
      </c>
      <c r="AD2407" s="9">
        <v>55.851656970363329</v>
      </c>
      <c r="AE2407" s="9">
        <v>62.848959105898189</v>
      </c>
      <c r="AF2407" s="9">
        <v>70.027553049661336</v>
      </c>
      <c r="AG2407" s="9">
        <v>70.027553049661336</v>
      </c>
      <c r="AH2407" s="9">
        <v>76.934519377148774</v>
      </c>
      <c r="AI2407" s="9">
        <v>84.357531434882802</v>
      </c>
      <c r="AJ2407" s="9">
        <v>3.0428788910505911</v>
      </c>
    </row>
    <row r="2408" spans="1:36" x14ac:dyDescent="0.25">
      <c r="A2408" t="s">
        <v>5411</v>
      </c>
      <c r="B2408" t="s">
        <v>16</v>
      </c>
      <c r="C2408" t="s">
        <v>17</v>
      </c>
      <c r="D2408">
        <v>49820000</v>
      </c>
      <c r="E2408">
        <v>49829999</v>
      </c>
      <c r="F2408" t="s">
        <v>2175</v>
      </c>
      <c r="G2408" t="str">
        <f t="shared" si="74"/>
        <v>SEI</v>
      </c>
      <c r="H2408" t="s">
        <v>2120</v>
      </c>
      <c r="I2408" t="s">
        <v>20</v>
      </c>
      <c r="J2408" t="s">
        <v>62</v>
      </c>
      <c r="K2408" s="6">
        <v>0.03</v>
      </c>
      <c r="L2408" s="7">
        <f t="shared" si="75"/>
        <v>2E-3</v>
      </c>
      <c r="M2408" s="7">
        <v>3.0000000000000001E-3</v>
      </c>
      <c r="N2408">
        <v>10</v>
      </c>
      <c r="O2408" s="8">
        <v>18.218373315786963</v>
      </c>
      <c r="P2408" s="9">
        <v>18.218373315786963</v>
      </c>
      <c r="Q2408" s="9">
        <v>18.218373315786963</v>
      </c>
      <c r="R2408" s="9">
        <v>19.664893554389323</v>
      </c>
      <c r="S2408" s="9">
        <v>21.786180308421145</v>
      </c>
      <c r="T2408" s="9">
        <v>23.986333773977044</v>
      </c>
      <c r="U2408" s="9">
        <v>29.590503899645856</v>
      </c>
      <c r="V2408" s="9">
        <v>29.590503899645856</v>
      </c>
      <c r="W2408" s="9">
        <v>29.590503899645856</v>
      </c>
      <c r="X2408" s="9">
        <v>35.864647096682894</v>
      </c>
      <c r="Y2408" s="9">
        <v>35.864647096682894</v>
      </c>
      <c r="Z2408" s="9">
        <v>42.320477053388458</v>
      </c>
      <c r="AA2408" s="9">
        <v>42.320477053388458</v>
      </c>
      <c r="AB2408" s="9">
        <v>49.014929837148429</v>
      </c>
      <c r="AC2408" s="9">
        <v>49.014929837148429</v>
      </c>
      <c r="AD2408" s="9">
        <v>55.851656970363329</v>
      </c>
      <c r="AE2408" s="9">
        <v>62.848959105898189</v>
      </c>
      <c r="AF2408" s="9">
        <v>70.027553049661336</v>
      </c>
      <c r="AG2408" s="9">
        <v>70.027553049661336</v>
      </c>
      <c r="AH2408" s="9">
        <v>76.934519377148774</v>
      </c>
      <c r="AI2408" s="9">
        <v>84.357531434882802</v>
      </c>
      <c r="AJ2408" s="9">
        <v>3.0428788910505911</v>
      </c>
    </row>
    <row r="2409" spans="1:36" x14ac:dyDescent="0.25">
      <c r="A2409" t="s">
        <v>5411</v>
      </c>
      <c r="B2409" t="s">
        <v>16</v>
      </c>
      <c r="C2409" t="s">
        <v>17</v>
      </c>
      <c r="D2409">
        <v>49830000</v>
      </c>
      <c r="E2409">
        <v>49859999</v>
      </c>
      <c r="F2409" t="s">
        <v>2176</v>
      </c>
      <c r="G2409" t="str">
        <f t="shared" si="74"/>
        <v>SEI II</v>
      </c>
      <c r="H2409" t="s">
        <v>2120</v>
      </c>
      <c r="I2409" t="s">
        <v>20</v>
      </c>
      <c r="J2409" t="s">
        <v>64</v>
      </c>
      <c r="K2409" s="6">
        <v>0.03</v>
      </c>
      <c r="L2409" s="7">
        <f t="shared" si="75"/>
        <v>2E-3</v>
      </c>
      <c r="M2409" s="7">
        <v>3.0000000000000001E-3</v>
      </c>
      <c r="N2409">
        <v>12</v>
      </c>
      <c r="O2409" s="8">
        <v>22.325454358562396</v>
      </c>
      <c r="P2409" s="9">
        <v>22.325454358562396</v>
      </c>
      <c r="Q2409" s="9">
        <v>22.325454358562396</v>
      </c>
      <c r="R2409" s="9">
        <v>24.597417277137804</v>
      </c>
      <c r="S2409" s="9">
        <v>27.103777688027414</v>
      </c>
      <c r="T2409" s="9">
        <v>29.216902865000016</v>
      </c>
      <c r="U2409" s="9">
        <v>35.838454522229164</v>
      </c>
      <c r="V2409" s="9">
        <v>35.838454522229164</v>
      </c>
      <c r="W2409" s="9">
        <v>35.838454522229164</v>
      </c>
      <c r="X2409" s="9">
        <v>43.267031000463348</v>
      </c>
      <c r="Y2409" s="9">
        <v>43.267031000463348</v>
      </c>
      <c r="Z2409" s="9">
        <v>50.782228309405689</v>
      </c>
      <c r="AA2409" s="9">
        <v>50.782228309405689</v>
      </c>
      <c r="AB2409" s="9">
        <v>58.392708532127088</v>
      </c>
      <c r="AC2409" s="9">
        <v>58.392708532127088</v>
      </c>
      <c r="AD2409" s="9">
        <v>67.800618768645919</v>
      </c>
      <c r="AE2409" s="9">
        <v>74.956077661509198</v>
      </c>
      <c r="AF2409" s="9">
        <v>82.225729403744211</v>
      </c>
      <c r="AG2409" s="9">
        <v>82.225729403744211</v>
      </c>
      <c r="AH2409" s="9">
        <v>90.363895588137865</v>
      </c>
      <c r="AI2409" s="9">
        <v>98.43110945306033</v>
      </c>
      <c r="AJ2409" s="9">
        <v>3.0428788910505911</v>
      </c>
    </row>
    <row r="2410" spans="1:36" x14ac:dyDescent="0.25">
      <c r="A2410" t="s">
        <v>5411</v>
      </c>
      <c r="B2410" t="s">
        <v>16</v>
      </c>
      <c r="C2410" t="s">
        <v>17</v>
      </c>
      <c r="D2410">
        <v>49860000</v>
      </c>
      <c r="E2410">
        <v>49869999</v>
      </c>
      <c r="F2410" t="s">
        <v>2177</v>
      </c>
      <c r="G2410" t="str">
        <f t="shared" si="74"/>
        <v>SEI II</v>
      </c>
      <c r="H2410" t="s">
        <v>2120</v>
      </c>
      <c r="I2410" t="s">
        <v>20</v>
      </c>
      <c r="J2410" t="s">
        <v>64</v>
      </c>
      <c r="K2410" s="6">
        <v>0.03</v>
      </c>
      <c r="L2410" s="7">
        <f t="shared" si="75"/>
        <v>2E-3</v>
      </c>
      <c r="M2410" s="7">
        <v>3.0000000000000001E-3</v>
      </c>
      <c r="N2410">
        <v>12</v>
      </c>
      <c r="O2410" s="8">
        <v>22.325454358562396</v>
      </c>
      <c r="P2410" s="9">
        <v>22.325454358562396</v>
      </c>
      <c r="Q2410" s="9">
        <v>22.325454358562396</v>
      </c>
      <c r="R2410" s="9">
        <v>24.597417277137804</v>
      </c>
      <c r="S2410" s="9">
        <v>27.103777688027414</v>
      </c>
      <c r="T2410" s="9">
        <v>29.216902865000016</v>
      </c>
      <c r="U2410" s="9">
        <v>35.838454522229164</v>
      </c>
      <c r="V2410" s="9">
        <v>35.838454522229164</v>
      </c>
      <c r="W2410" s="9">
        <v>35.838454522229164</v>
      </c>
      <c r="X2410" s="9">
        <v>43.267031000463348</v>
      </c>
      <c r="Y2410" s="9">
        <v>43.267031000463348</v>
      </c>
      <c r="Z2410" s="9">
        <v>50.782228309405689</v>
      </c>
      <c r="AA2410" s="9">
        <v>50.782228309405689</v>
      </c>
      <c r="AB2410" s="9">
        <v>58.392708532127088</v>
      </c>
      <c r="AC2410" s="9">
        <v>58.392708532127088</v>
      </c>
      <c r="AD2410" s="9">
        <v>67.800618768645919</v>
      </c>
      <c r="AE2410" s="9">
        <v>74.956077661509198</v>
      </c>
      <c r="AF2410" s="9">
        <v>82.225729403744211</v>
      </c>
      <c r="AG2410" s="9">
        <v>82.225729403744211</v>
      </c>
      <c r="AH2410" s="9">
        <v>90.363895588137865</v>
      </c>
      <c r="AI2410" s="9">
        <v>98.43110945306033</v>
      </c>
      <c r="AJ2410" s="9">
        <v>3.0428788910505911</v>
      </c>
    </row>
    <row r="2411" spans="1:36" x14ac:dyDescent="0.25">
      <c r="A2411" t="s">
        <v>5411</v>
      </c>
      <c r="B2411" t="s">
        <v>16</v>
      </c>
      <c r="C2411" t="s">
        <v>17</v>
      </c>
      <c r="D2411">
        <v>49870000</v>
      </c>
      <c r="E2411">
        <v>49879999</v>
      </c>
      <c r="F2411" t="s">
        <v>2178</v>
      </c>
      <c r="G2411" t="str">
        <f t="shared" si="74"/>
        <v>SEI II</v>
      </c>
      <c r="H2411" t="s">
        <v>2120</v>
      </c>
      <c r="I2411" t="s">
        <v>20</v>
      </c>
      <c r="J2411" t="s">
        <v>64</v>
      </c>
      <c r="K2411" s="6">
        <v>0.03</v>
      </c>
      <c r="L2411" s="7">
        <f t="shared" si="75"/>
        <v>2E-3</v>
      </c>
      <c r="M2411" s="7">
        <v>3.0000000000000001E-3</v>
      </c>
      <c r="N2411">
        <v>12</v>
      </c>
      <c r="O2411" s="8">
        <v>22.325454358562396</v>
      </c>
      <c r="P2411" s="9">
        <v>22.325454358562396</v>
      </c>
      <c r="Q2411" s="9">
        <v>22.325454358562396</v>
      </c>
      <c r="R2411" s="9">
        <v>24.597417277137804</v>
      </c>
      <c r="S2411" s="9">
        <v>27.103777688027414</v>
      </c>
      <c r="T2411" s="9">
        <v>29.216902865000016</v>
      </c>
      <c r="U2411" s="9">
        <v>35.838454522229164</v>
      </c>
      <c r="V2411" s="9">
        <v>35.838454522229164</v>
      </c>
      <c r="W2411" s="9">
        <v>35.838454522229164</v>
      </c>
      <c r="X2411" s="9">
        <v>43.267031000463348</v>
      </c>
      <c r="Y2411" s="9">
        <v>43.267031000463348</v>
      </c>
      <c r="Z2411" s="9">
        <v>50.782228309405689</v>
      </c>
      <c r="AA2411" s="9">
        <v>50.782228309405689</v>
      </c>
      <c r="AB2411" s="9">
        <v>58.392708532127088</v>
      </c>
      <c r="AC2411" s="9">
        <v>58.392708532127088</v>
      </c>
      <c r="AD2411" s="9">
        <v>67.800618768645919</v>
      </c>
      <c r="AE2411" s="9">
        <v>74.956077661509198</v>
      </c>
      <c r="AF2411" s="9">
        <v>82.225729403744211</v>
      </c>
      <c r="AG2411" s="9">
        <v>82.225729403744211</v>
      </c>
      <c r="AH2411" s="9">
        <v>90.363895588137865</v>
      </c>
      <c r="AI2411" s="9">
        <v>98.43110945306033</v>
      </c>
      <c r="AJ2411" s="9">
        <v>3.0428788910505911</v>
      </c>
    </row>
    <row r="2412" spans="1:36" x14ac:dyDescent="0.25">
      <c r="A2412" t="s">
        <v>5411</v>
      </c>
      <c r="B2412" t="s">
        <v>16</v>
      </c>
      <c r="C2412" t="s">
        <v>17</v>
      </c>
      <c r="D2412">
        <v>49880000</v>
      </c>
      <c r="E2412">
        <v>49889999</v>
      </c>
      <c r="F2412" t="s">
        <v>2179</v>
      </c>
      <c r="G2412" t="str">
        <f t="shared" si="74"/>
        <v>SEI II</v>
      </c>
      <c r="H2412" t="s">
        <v>2120</v>
      </c>
      <c r="I2412" t="s">
        <v>20</v>
      </c>
      <c r="J2412" t="s">
        <v>64</v>
      </c>
      <c r="K2412" s="6">
        <v>0.03</v>
      </c>
      <c r="L2412" s="7">
        <f t="shared" si="75"/>
        <v>2E-3</v>
      </c>
      <c r="M2412" s="7">
        <v>3.0000000000000001E-3</v>
      </c>
      <c r="N2412">
        <v>12</v>
      </c>
      <c r="O2412" s="8">
        <v>22.325454358562396</v>
      </c>
      <c r="P2412" s="9">
        <v>22.325454358562396</v>
      </c>
      <c r="Q2412" s="9">
        <v>22.325454358562396</v>
      </c>
      <c r="R2412" s="9">
        <v>24.597417277137804</v>
      </c>
      <c r="S2412" s="9">
        <v>27.103777688027414</v>
      </c>
      <c r="T2412" s="9">
        <v>29.216902865000016</v>
      </c>
      <c r="U2412" s="9">
        <v>35.838454522229164</v>
      </c>
      <c r="V2412" s="9">
        <v>35.838454522229164</v>
      </c>
      <c r="W2412" s="9">
        <v>35.838454522229164</v>
      </c>
      <c r="X2412" s="9">
        <v>43.267031000463348</v>
      </c>
      <c r="Y2412" s="9">
        <v>43.267031000463348</v>
      </c>
      <c r="Z2412" s="9">
        <v>50.782228309405689</v>
      </c>
      <c r="AA2412" s="9">
        <v>50.782228309405689</v>
      </c>
      <c r="AB2412" s="9">
        <v>58.392708532127088</v>
      </c>
      <c r="AC2412" s="9">
        <v>58.392708532127088</v>
      </c>
      <c r="AD2412" s="9">
        <v>67.800618768645919</v>
      </c>
      <c r="AE2412" s="9">
        <v>74.956077661509198</v>
      </c>
      <c r="AF2412" s="9">
        <v>82.225729403744211</v>
      </c>
      <c r="AG2412" s="9">
        <v>82.225729403744211</v>
      </c>
      <c r="AH2412" s="9">
        <v>90.363895588137865</v>
      </c>
      <c r="AI2412" s="9">
        <v>98.43110945306033</v>
      </c>
      <c r="AJ2412" s="9">
        <v>3.0428788910505911</v>
      </c>
    </row>
    <row r="2413" spans="1:36" x14ac:dyDescent="0.25">
      <c r="A2413" t="s">
        <v>5411</v>
      </c>
      <c r="B2413" t="s">
        <v>16</v>
      </c>
      <c r="C2413" t="s">
        <v>17</v>
      </c>
      <c r="D2413">
        <v>49890000</v>
      </c>
      <c r="E2413">
        <v>49899999</v>
      </c>
      <c r="F2413" t="s">
        <v>2180</v>
      </c>
      <c r="G2413" t="str">
        <f t="shared" si="74"/>
        <v>SEI II</v>
      </c>
      <c r="H2413" t="s">
        <v>2120</v>
      </c>
      <c r="I2413" t="s">
        <v>20</v>
      </c>
      <c r="J2413" t="s">
        <v>64</v>
      </c>
      <c r="K2413" s="6">
        <v>0.03</v>
      </c>
      <c r="L2413" s="7">
        <f t="shared" si="75"/>
        <v>2E-3</v>
      </c>
      <c r="M2413" s="7">
        <v>3.0000000000000001E-3</v>
      </c>
      <c r="N2413">
        <v>12</v>
      </c>
      <c r="O2413" s="8">
        <v>22.325454358562396</v>
      </c>
      <c r="P2413" s="9">
        <v>22.325454358562396</v>
      </c>
      <c r="Q2413" s="9">
        <v>22.325454358562396</v>
      </c>
      <c r="R2413" s="9">
        <v>24.597417277137804</v>
      </c>
      <c r="S2413" s="9">
        <v>27.103777688027414</v>
      </c>
      <c r="T2413" s="9">
        <v>29.216902865000016</v>
      </c>
      <c r="U2413" s="9">
        <v>35.838454522229164</v>
      </c>
      <c r="V2413" s="9">
        <v>35.838454522229164</v>
      </c>
      <c r="W2413" s="9">
        <v>35.838454522229164</v>
      </c>
      <c r="X2413" s="9">
        <v>43.267031000463348</v>
      </c>
      <c r="Y2413" s="9">
        <v>43.267031000463348</v>
      </c>
      <c r="Z2413" s="9">
        <v>50.782228309405689</v>
      </c>
      <c r="AA2413" s="9">
        <v>50.782228309405689</v>
      </c>
      <c r="AB2413" s="9">
        <v>58.392708532127088</v>
      </c>
      <c r="AC2413" s="9">
        <v>58.392708532127088</v>
      </c>
      <c r="AD2413" s="9">
        <v>67.800618768645919</v>
      </c>
      <c r="AE2413" s="9">
        <v>74.956077661509198</v>
      </c>
      <c r="AF2413" s="9">
        <v>82.225729403744211</v>
      </c>
      <c r="AG2413" s="9">
        <v>82.225729403744211</v>
      </c>
      <c r="AH2413" s="9">
        <v>90.363895588137865</v>
      </c>
      <c r="AI2413" s="9">
        <v>98.43110945306033</v>
      </c>
      <c r="AJ2413" s="9">
        <v>3.0428788910505911</v>
      </c>
    </row>
    <row r="2414" spans="1:36" x14ac:dyDescent="0.25">
      <c r="A2414" t="s">
        <v>5411</v>
      </c>
      <c r="B2414" t="s">
        <v>16</v>
      </c>
      <c r="C2414" t="s">
        <v>17</v>
      </c>
      <c r="D2414">
        <v>49900000</v>
      </c>
      <c r="E2414">
        <v>49909999</v>
      </c>
      <c r="F2414" t="s">
        <v>2181</v>
      </c>
      <c r="G2414" t="str">
        <f t="shared" si="74"/>
        <v>SEI II</v>
      </c>
      <c r="H2414" t="s">
        <v>2120</v>
      </c>
      <c r="I2414" t="s">
        <v>20</v>
      </c>
      <c r="J2414" t="s">
        <v>64</v>
      </c>
      <c r="K2414" s="6">
        <v>0.03</v>
      </c>
      <c r="L2414" s="7">
        <f t="shared" si="75"/>
        <v>2E-3</v>
      </c>
      <c r="M2414" s="7">
        <v>3.0000000000000001E-3</v>
      </c>
      <c r="N2414">
        <v>9</v>
      </c>
      <c r="O2414" s="8">
        <v>22.325454358562396</v>
      </c>
      <c r="P2414" s="9">
        <v>22.325454358562396</v>
      </c>
      <c r="Q2414" s="9">
        <v>22.325454358562396</v>
      </c>
      <c r="R2414" s="9">
        <v>24.597417277137804</v>
      </c>
      <c r="S2414" s="9">
        <v>27.103777688027414</v>
      </c>
      <c r="T2414" s="9">
        <v>29.216902865000016</v>
      </c>
      <c r="U2414" s="9">
        <v>35.838454522229164</v>
      </c>
      <c r="V2414" s="9">
        <v>35.838454522229164</v>
      </c>
      <c r="W2414" s="9">
        <v>35.838454522229164</v>
      </c>
      <c r="X2414" s="9">
        <v>43.267031000463348</v>
      </c>
      <c r="Y2414" s="9">
        <v>43.267031000463348</v>
      </c>
      <c r="Z2414" s="9">
        <v>50.782228309405689</v>
      </c>
      <c r="AA2414" s="9">
        <v>50.782228309405689</v>
      </c>
      <c r="AB2414" s="9">
        <v>58.392708532127088</v>
      </c>
      <c r="AC2414" s="9">
        <v>58.392708532127088</v>
      </c>
      <c r="AD2414" s="9">
        <v>67.800618768645919</v>
      </c>
      <c r="AE2414" s="9">
        <v>74.956077661509198</v>
      </c>
      <c r="AF2414" s="9">
        <v>82.225729403744211</v>
      </c>
      <c r="AG2414" s="9">
        <v>82.225729403744211</v>
      </c>
      <c r="AH2414" s="9">
        <v>90.363895588137865</v>
      </c>
      <c r="AI2414" s="9">
        <v>98.43110945306033</v>
      </c>
      <c r="AJ2414" s="9">
        <v>3.0428788910505911</v>
      </c>
    </row>
    <row r="2415" spans="1:36" x14ac:dyDescent="0.25">
      <c r="A2415" t="s">
        <v>5411</v>
      </c>
      <c r="B2415" t="s">
        <v>16</v>
      </c>
      <c r="C2415" t="s">
        <v>17</v>
      </c>
      <c r="D2415">
        <v>49910000</v>
      </c>
      <c r="E2415">
        <v>49919999</v>
      </c>
      <c r="F2415" t="s">
        <v>2182</v>
      </c>
      <c r="G2415" t="str">
        <f t="shared" si="74"/>
        <v>SEI II</v>
      </c>
      <c r="H2415" t="s">
        <v>2120</v>
      </c>
      <c r="I2415" t="s">
        <v>20</v>
      </c>
      <c r="J2415" t="s">
        <v>64</v>
      </c>
      <c r="K2415" s="6">
        <v>0.03</v>
      </c>
      <c r="L2415" s="7">
        <f t="shared" si="75"/>
        <v>2E-3</v>
      </c>
      <c r="M2415" s="7">
        <v>3.0000000000000001E-3</v>
      </c>
      <c r="N2415">
        <v>12</v>
      </c>
      <c r="O2415" s="8">
        <v>22.325454358562396</v>
      </c>
      <c r="P2415" s="9">
        <v>22.325454358562396</v>
      </c>
      <c r="Q2415" s="9">
        <v>22.325454358562396</v>
      </c>
      <c r="R2415" s="9">
        <v>24.597417277137804</v>
      </c>
      <c r="S2415" s="9">
        <v>27.103777688027414</v>
      </c>
      <c r="T2415" s="9">
        <v>29.216902865000016</v>
      </c>
      <c r="U2415" s="9">
        <v>35.838454522229164</v>
      </c>
      <c r="V2415" s="9">
        <v>35.838454522229164</v>
      </c>
      <c r="W2415" s="9">
        <v>35.838454522229164</v>
      </c>
      <c r="X2415" s="9">
        <v>43.267031000463348</v>
      </c>
      <c r="Y2415" s="9">
        <v>43.267031000463348</v>
      </c>
      <c r="Z2415" s="9">
        <v>50.782228309405689</v>
      </c>
      <c r="AA2415" s="9">
        <v>50.782228309405689</v>
      </c>
      <c r="AB2415" s="9">
        <v>58.392708532127088</v>
      </c>
      <c r="AC2415" s="9">
        <v>58.392708532127088</v>
      </c>
      <c r="AD2415" s="9">
        <v>67.800618768645919</v>
      </c>
      <c r="AE2415" s="9">
        <v>74.956077661509198</v>
      </c>
      <c r="AF2415" s="9">
        <v>82.225729403744211</v>
      </c>
      <c r="AG2415" s="9">
        <v>82.225729403744211</v>
      </c>
      <c r="AH2415" s="9">
        <v>90.363895588137865</v>
      </c>
      <c r="AI2415" s="9">
        <v>98.43110945306033</v>
      </c>
      <c r="AJ2415" s="9">
        <v>3.0428788910505911</v>
      </c>
    </row>
    <row r="2416" spans="1:36" x14ac:dyDescent="0.25">
      <c r="A2416" t="s">
        <v>5411</v>
      </c>
      <c r="B2416" t="s">
        <v>16</v>
      </c>
      <c r="C2416" t="s">
        <v>17</v>
      </c>
      <c r="D2416">
        <v>49920000</v>
      </c>
      <c r="E2416">
        <v>49929999</v>
      </c>
      <c r="F2416" t="s">
        <v>2183</v>
      </c>
      <c r="G2416" t="str">
        <f t="shared" si="74"/>
        <v>SEI II</v>
      </c>
      <c r="H2416" t="s">
        <v>2120</v>
      </c>
      <c r="I2416" t="s">
        <v>20</v>
      </c>
      <c r="J2416" t="s">
        <v>64</v>
      </c>
      <c r="K2416" s="6">
        <v>0.03</v>
      </c>
      <c r="L2416" s="7">
        <f t="shared" si="75"/>
        <v>2E-3</v>
      </c>
      <c r="M2416" s="7">
        <v>3.0000000000000001E-3</v>
      </c>
      <c r="N2416">
        <v>12</v>
      </c>
      <c r="O2416" s="8">
        <v>22.325454358562396</v>
      </c>
      <c r="P2416" s="9">
        <v>22.325454358562396</v>
      </c>
      <c r="Q2416" s="9">
        <v>22.325454358562396</v>
      </c>
      <c r="R2416" s="9">
        <v>24.597417277137804</v>
      </c>
      <c r="S2416" s="9">
        <v>27.103777688027414</v>
      </c>
      <c r="T2416" s="9">
        <v>29.216902865000016</v>
      </c>
      <c r="U2416" s="9">
        <v>35.838454522229164</v>
      </c>
      <c r="V2416" s="9">
        <v>35.838454522229164</v>
      </c>
      <c r="W2416" s="9">
        <v>35.838454522229164</v>
      </c>
      <c r="X2416" s="9">
        <v>43.267031000463348</v>
      </c>
      <c r="Y2416" s="9">
        <v>43.267031000463348</v>
      </c>
      <c r="Z2416" s="9">
        <v>50.782228309405689</v>
      </c>
      <c r="AA2416" s="9">
        <v>50.782228309405689</v>
      </c>
      <c r="AB2416" s="9">
        <v>58.392708532127088</v>
      </c>
      <c r="AC2416" s="9">
        <v>58.392708532127088</v>
      </c>
      <c r="AD2416" s="9">
        <v>67.800618768645919</v>
      </c>
      <c r="AE2416" s="9">
        <v>74.956077661509198</v>
      </c>
      <c r="AF2416" s="9">
        <v>82.225729403744211</v>
      </c>
      <c r="AG2416" s="9">
        <v>82.225729403744211</v>
      </c>
      <c r="AH2416" s="9">
        <v>90.363895588137865</v>
      </c>
      <c r="AI2416" s="9">
        <v>98.43110945306033</v>
      </c>
      <c r="AJ2416" s="9">
        <v>3.0428788910505911</v>
      </c>
    </row>
    <row r="2417" spans="1:36" x14ac:dyDescent="0.25">
      <c r="A2417" t="s">
        <v>5411</v>
      </c>
      <c r="B2417" t="s">
        <v>16</v>
      </c>
      <c r="C2417" t="s">
        <v>17</v>
      </c>
      <c r="D2417">
        <v>49930000</v>
      </c>
      <c r="E2417">
        <v>49939999</v>
      </c>
      <c r="F2417" t="s">
        <v>2184</v>
      </c>
      <c r="G2417" t="str">
        <f t="shared" si="74"/>
        <v>SEI</v>
      </c>
      <c r="H2417" t="s">
        <v>2120</v>
      </c>
      <c r="I2417" t="s">
        <v>20</v>
      </c>
      <c r="J2417" t="s">
        <v>62</v>
      </c>
      <c r="K2417" s="6">
        <v>0.03</v>
      </c>
      <c r="L2417" s="7">
        <f t="shared" si="75"/>
        <v>2E-3</v>
      </c>
      <c r="M2417" s="7">
        <v>3.0000000000000001E-3</v>
      </c>
      <c r="N2417">
        <v>10</v>
      </c>
      <c r="O2417" s="8">
        <v>18.218373315786963</v>
      </c>
      <c r="P2417" s="9">
        <v>18.218373315786963</v>
      </c>
      <c r="Q2417" s="9">
        <v>18.218373315786963</v>
      </c>
      <c r="R2417" s="9">
        <v>19.664893554389323</v>
      </c>
      <c r="S2417" s="9">
        <v>21.786180308421145</v>
      </c>
      <c r="T2417" s="9">
        <v>23.986333773977044</v>
      </c>
      <c r="U2417" s="9">
        <v>29.590503899645856</v>
      </c>
      <c r="V2417" s="9">
        <v>29.590503899645856</v>
      </c>
      <c r="W2417" s="9">
        <v>29.590503899645856</v>
      </c>
      <c r="X2417" s="9">
        <v>35.864647096682894</v>
      </c>
      <c r="Y2417" s="9">
        <v>35.864647096682894</v>
      </c>
      <c r="Z2417" s="9">
        <v>42.320477053388458</v>
      </c>
      <c r="AA2417" s="9">
        <v>42.320477053388458</v>
      </c>
      <c r="AB2417" s="9">
        <v>49.014929837148429</v>
      </c>
      <c r="AC2417" s="9">
        <v>49.014929837148429</v>
      </c>
      <c r="AD2417" s="9">
        <v>55.851656970363329</v>
      </c>
      <c r="AE2417" s="9">
        <v>62.848959105898189</v>
      </c>
      <c r="AF2417" s="9">
        <v>70.027553049661336</v>
      </c>
      <c r="AG2417" s="9">
        <v>70.027553049661336</v>
      </c>
      <c r="AH2417" s="9">
        <v>76.934519377148774</v>
      </c>
      <c r="AI2417" s="9">
        <v>84.357531434882802</v>
      </c>
      <c r="AJ2417" s="9">
        <v>3.0428788910505911</v>
      </c>
    </row>
    <row r="2418" spans="1:36" x14ac:dyDescent="0.25">
      <c r="A2418" t="s">
        <v>5411</v>
      </c>
      <c r="B2418" t="s">
        <v>16</v>
      </c>
      <c r="C2418" t="s">
        <v>17</v>
      </c>
      <c r="D2418">
        <v>49940000</v>
      </c>
      <c r="E2418">
        <v>49944999</v>
      </c>
      <c r="F2418" t="s">
        <v>2185</v>
      </c>
      <c r="G2418" t="str">
        <f t="shared" si="74"/>
        <v>SEI</v>
      </c>
      <c r="H2418" t="s">
        <v>2120</v>
      </c>
      <c r="I2418" t="s">
        <v>20</v>
      </c>
      <c r="J2418" t="s">
        <v>62</v>
      </c>
      <c r="K2418" s="6">
        <v>0.03</v>
      </c>
      <c r="L2418" s="7">
        <f t="shared" si="75"/>
        <v>2E-3</v>
      </c>
      <c r="M2418" s="7">
        <v>3.0000000000000001E-3</v>
      </c>
      <c r="N2418">
        <v>10</v>
      </c>
      <c r="O2418" s="8">
        <v>18.218373315786963</v>
      </c>
      <c r="P2418" s="9">
        <v>18.218373315786963</v>
      </c>
      <c r="Q2418" s="9">
        <v>18.218373315786963</v>
      </c>
      <c r="R2418" s="9">
        <v>19.664893554389323</v>
      </c>
      <c r="S2418" s="9">
        <v>21.786180308421145</v>
      </c>
      <c r="T2418" s="9">
        <v>23.986333773977044</v>
      </c>
      <c r="U2418" s="9">
        <v>29.590503899645856</v>
      </c>
      <c r="V2418" s="9">
        <v>29.590503899645856</v>
      </c>
      <c r="W2418" s="9">
        <v>29.590503899645856</v>
      </c>
      <c r="X2418" s="9">
        <v>35.864647096682894</v>
      </c>
      <c r="Y2418" s="9">
        <v>35.864647096682894</v>
      </c>
      <c r="Z2418" s="9">
        <v>42.320477053388458</v>
      </c>
      <c r="AA2418" s="9">
        <v>42.320477053388458</v>
      </c>
      <c r="AB2418" s="9">
        <v>49.014929837148429</v>
      </c>
      <c r="AC2418" s="9">
        <v>49.014929837148429</v>
      </c>
      <c r="AD2418" s="9">
        <v>55.851656970363329</v>
      </c>
      <c r="AE2418" s="9">
        <v>62.848959105898189</v>
      </c>
      <c r="AF2418" s="9">
        <v>70.027553049661336</v>
      </c>
      <c r="AG2418" s="9">
        <v>70.027553049661336</v>
      </c>
      <c r="AH2418" s="9">
        <v>76.934519377148774</v>
      </c>
      <c r="AI2418" s="9">
        <v>84.357531434882802</v>
      </c>
      <c r="AJ2418" s="9">
        <v>3.0428788910505911</v>
      </c>
    </row>
    <row r="2419" spans="1:36" x14ac:dyDescent="0.25">
      <c r="A2419" t="s">
        <v>5411</v>
      </c>
      <c r="B2419" t="s">
        <v>16</v>
      </c>
      <c r="C2419" t="s">
        <v>17</v>
      </c>
      <c r="D2419">
        <v>49945000</v>
      </c>
      <c r="E2419">
        <v>49949999</v>
      </c>
      <c r="F2419" t="s">
        <v>370</v>
      </c>
      <c r="G2419" t="str">
        <f t="shared" si="74"/>
        <v>SEI II</v>
      </c>
      <c r="H2419" t="s">
        <v>2120</v>
      </c>
      <c r="I2419" t="s">
        <v>20</v>
      </c>
      <c r="J2419" t="s">
        <v>64</v>
      </c>
      <c r="K2419" s="6">
        <v>0.03</v>
      </c>
      <c r="L2419" s="7">
        <f t="shared" si="75"/>
        <v>2E-3</v>
      </c>
      <c r="M2419" s="7">
        <v>3.0000000000000001E-3</v>
      </c>
      <c r="N2419">
        <v>12</v>
      </c>
      <c r="O2419" s="8">
        <v>22.325454358562396</v>
      </c>
      <c r="P2419" s="9">
        <v>22.325454358562396</v>
      </c>
      <c r="Q2419" s="9">
        <v>22.325454358562396</v>
      </c>
      <c r="R2419" s="9">
        <v>24.597417277137804</v>
      </c>
      <c r="S2419" s="9">
        <v>27.103777688027414</v>
      </c>
      <c r="T2419" s="9">
        <v>29.216902865000016</v>
      </c>
      <c r="U2419" s="9">
        <v>35.838454522229164</v>
      </c>
      <c r="V2419" s="9">
        <v>35.838454522229164</v>
      </c>
      <c r="W2419" s="9">
        <v>35.838454522229164</v>
      </c>
      <c r="X2419" s="9">
        <v>43.267031000463348</v>
      </c>
      <c r="Y2419" s="9">
        <v>43.267031000463348</v>
      </c>
      <c r="Z2419" s="9">
        <v>50.782228309405689</v>
      </c>
      <c r="AA2419" s="9">
        <v>50.782228309405689</v>
      </c>
      <c r="AB2419" s="9">
        <v>58.392708532127088</v>
      </c>
      <c r="AC2419" s="9">
        <v>58.392708532127088</v>
      </c>
      <c r="AD2419" s="9">
        <v>67.800618768645919</v>
      </c>
      <c r="AE2419" s="9">
        <v>74.956077661509198</v>
      </c>
      <c r="AF2419" s="9">
        <v>82.225729403744211</v>
      </c>
      <c r="AG2419" s="9">
        <v>82.225729403744211</v>
      </c>
      <c r="AH2419" s="9">
        <v>90.363895588137865</v>
      </c>
      <c r="AI2419" s="9">
        <v>98.43110945306033</v>
      </c>
      <c r="AJ2419" s="9">
        <v>3.0428788910505911</v>
      </c>
    </row>
    <row r="2420" spans="1:36" x14ac:dyDescent="0.25">
      <c r="A2420" t="s">
        <v>5411</v>
      </c>
      <c r="B2420" t="s">
        <v>16</v>
      </c>
      <c r="C2420" t="s">
        <v>17</v>
      </c>
      <c r="D2420">
        <v>49950000</v>
      </c>
      <c r="E2420">
        <v>49959999</v>
      </c>
      <c r="F2420" t="s">
        <v>2186</v>
      </c>
      <c r="G2420" t="str">
        <f t="shared" si="74"/>
        <v>SEI</v>
      </c>
      <c r="H2420" t="s">
        <v>2120</v>
      </c>
      <c r="I2420" t="s">
        <v>20</v>
      </c>
      <c r="J2420" t="s">
        <v>62</v>
      </c>
      <c r="K2420" s="6">
        <v>0.03</v>
      </c>
      <c r="L2420" s="7">
        <f t="shared" si="75"/>
        <v>2E-3</v>
      </c>
      <c r="M2420" s="7">
        <v>3.0000000000000001E-3</v>
      </c>
      <c r="N2420">
        <v>10</v>
      </c>
      <c r="O2420" s="8">
        <v>18.218373315786963</v>
      </c>
      <c r="P2420" s="9">
        <v>18.218373315786963</v>
      </c>
      <c r="Q2420" s="9">
        <v>18.218373315786963</v>
      </c>
      <c r="R2420" s="9">
        <v>19.664893554389323</v>
      </c>
      <c r="S2420" s="9">
        <v>21.786180308421145</v>
      </c>
      <c r="T2420" s="9">
        <v>23.986333773977044</v>
      </c>
      <c r="U2420" s="9">
        <v>29.590503899645856</v>
      </c>
      <c r="V2420" s="9">
        <v>29.590503899645856</v>
      </c>
      <c r="W2420" s="9">
        <v>29.590503899645856</v>
      </c>
      <c r="X2420" s="9">
        <v>35.864647096682894</v>
      </c>
      <c r="Y2420" s="9">
        <v>35.864647096682894</v>
      </c>
      <c r="Z2420" s="9">
        <v>42.320477053388458</v>
      </c>
      <c r="AA2420" s="9">
        <v>42.320477053388458</v>
      </c>
      <c r="AB2420" s="9">
        <v>49.014929837148429</v>
      </c>
      <c r="AC2420" s="9">
        <v>49.014929837148429</v>
      </c>
      <c r="AD2420" s="9">
        <v>55.851656970363329</v>
      </c>
      <c r="AE2420" s="9">
        <v>62.848959105898189</v>
      </c>
      <c r="AF2420" s="9">
        <v>70.027553049661336</v>
      </c>
      <c r="AG2420" s="9">
        <v>70.027553049661336</v>
      </c>
      <c r="AH2420" s="9">
        <v>76.934519377148774</v>
      </c>
      <c r="AI2420" s="9">
        <v>84.357531434882802</v>
      </c>
      <c r="AJ2420" s="9">
        <v>3.0428788910505911</v>
      </c>
    </row>
    <row r="2421" spans="1:36" x14ac:dyDescent="0.25">
      <c r="A2421" t="s">
        <v>5411</v>
      </c>
      <c r="B2421" t="s">
        <v>16</v>
      </c>
      <c r="C2421" t="s">
        <v>17</v>
      </c>
      <c r="D2421">
        <v>49960000</v>
      </c>
      <c r="E2421">
        <v>49969999</v>
      </c>
      <c r="F2421" t="s">
        <v>2187</v>
      </c>
      <c r="G2421" t="str">
        <f t="shared" si="74"/>
        <v>SEI</v>
      </c>
      <c r="H2421" t="s">
        <v>2120</v>
      </c>
      <c r="I2421" t="s">
        <v>20</v>
      </c>
      <c r="J2421" t="s">
        <v>62</v>
      </c>
      <c r="K2421" s="6">
        <v>0.03</v>
      </c>
      <c r="L2421" s="7">
        <f t="shared" si="75"/>
        <v>2E-3</v>
      </c>
      <c r="M2421" s="7">
        <v>3.0000000000000001E-3</v>
      </c>
      <c r="N2421">
        <v>9</v>
      </c>
      <c r="O2421" s="8">
        <v>18.218373315786963</v>
      </c>
      <c r="P2421" s="9">
        <v>18.218373315786963</v>
      </c>
      <c r="Q2421" s="9">
        <v>18.218373315786963</v>
      </c>
      <c r="R2421" s="9">
        <v>19.664893554389323</v>
      </c>
      <c r="S2421" s="9">
        <v>21.786180308421145</v>
      </c>
      <c r="T2421" s="9">
        <v>23.986333773977044</v>
      </c>
      <c r="U2421" s="9">
        <v>29.590503899645856</v>
      </c>
      <c r="V2421" s="9">
        <v>29.590503899645856</v>
      </c>
      <c r="W2421" s="9">
        <v>29.590503899645856</v>
      </c>
      <c r="X2421" s="9">
        <v>35.864647096682894</v>
      </c>
      <c r="Y2421" s="9">
        <v>35.864647096682894</v>
      </c>
      <c r="Z2421" s="9">
        <v>42.320477053388458</v>
      </c>
      <c r="AA2421" s="9">
        <v>42.320477053388458</v>
      </c>
      <c r="AB2421" s="9">
        <v>49.014929837148429</v>
      </c>
      <c r="AC2421" s="9">
        <v>49.014929837148429</v>
      </c>
      <c r="AD2421" s="9">
        <v>55.851656970363329</v>
      </c>
      <c r="AE2421" s="9">
        <v>62.848959105898189</v>
      </c>
      <c r="AF2421" s="9">
        <v>70.027553049661336</v>
      </c>
      <c r="AG2421" s="9">
        <v>70.027553049661336</v>
      </c>
      <c r="AH2421" s="9">
        <v>76.934519377148774</v>
      </c>
      <c r="AI2421" s="9">
        <v>84.357531434882802</v>
      </c>
      <c r="AJ2421" s="9">
        <v>3.0428788910505911</v>
      </c>
    </row>
    <row r="2422" spans="1:36" x14ac:dyDescent="0.25">
      <c r="A2422" t="s">
        <v>5411</v>
      </c>
      <c r="B2422" t="s">
        <v>16</v>
      </c>
      <c r="C2422" t="s">
        <v>17</v>
      </c>
      <c r="D2422">
        <v>49970000</v>
      </c>
      <c r="E2422">
        <v>49979999</v>
      </c>
      <c r="F2422" t="s">
        <v>2188</v>
      </c>
      <c r="G2422" t="str">
        <f t="shared" si="74"/>
        <v>SEI II</v>
      </c>
      <c r="H2422" t="s">
        <v>2120</v>
      </c>
      <c r="I2422" t="s">
        <v>20</v>
      </c>
      <c r="J2422" t="s">
        <v>64</v>
      </c>
      <c r="K2422" s="6">
        <v>0.03</v>
      </c>
      <c r="L2422" s="7">
        <f t="shared" si="75"/>
        <v>2E-3</v>
      </c>
      <c r="M2422" s="7">
        <v>3.0000000000000001E-3</v>
      </c>
      <c r="N2422">
        <v>12</v>
      </c>
      <c r="O2422" s="8">
        <v>22.325454358562396</v>
      </c>
      <c r="P2422" s="9">
        <v>22.325454358562396</v>
      </c>
      <c r="Q2422" s="9">
        <v>22.325454358562396</v>
      </c>
      <c r="R2422" s="9">
        <v>24.597417277137804</v>
      </c>
      <c r="S2422" s="9">
        <v>27.103777688027414</v>
      </c>
      <c r="T2422" s="9">
        <v>29.216902865000016</v>
      </c>
      <c r="U2422" s="9">
        <v>35.838454522229164</v>
      </c>
      <c r="V2422" s="9">
        <v>35.838454522229164</v>
      </c>
      <c r="W2422" s="9">
        <v>35.838454522229164</v>
      </c>
      <c r="X2422" s="9">
        <v>43.267031000463348</v>
      </c>
      <c r="Y2422" s="9">
        <v>43.267031000463348</v>
      </c>
      <c r="Z2422" s="9">
        <v>50.782228309405689</v>
      </c>
      <c r="AA2422" s="9">
        <v>50.782228309405689</v>
      </c>
      <c r="AB2422" s="9">
        <v>58.392708532127088</v>
      </c>
      <c r="AC2422" s="9">
        <v>58.392708532127088</v>
      </c>
      <c r="AD2422" s="9">
        <v>67.800618768645919</v>
      </c>
      <c r="AE2422" s="9">
        <v>74.956077661509198</v>
      </c>
      <c r="AF2422" s="9">
        <v>82.225729403744211</v>
      </c>
      <c r="AG2422" s="9">
        <v>82.225729403744211</v>
      </c>
      <c r="AH2422" s="9">
        <v>90.363895588137865</v>
      </c>
      <c r="AI2422" s="9">
        <v>98.43110945306033</v>
      </c>
      <c r="AJ2422" s="9">
        <v>3.0428788910505911</v>
      </c>
    </row>
    <row r="2423" spans="1:36" x14ac:dyDescent="0.25">
      <c r="A2423" t="s">
        <v>5411</v>
      </c>
      <c r="B2423" t="s">
        <v>16</v>
      </c>
      <c r="C2423" t="s">
        <v>17</v>
      </c>
      <c r="D2423">
        <v>49980000</v>
      </c>
      <c r="E2423">
        <v>49984999</v>
      </c>
      <c r="F2423" t="s">
        <v>2189</v>
      </c>
      <c r="G2423" t="str">
        <f t="shared" si="74"/>
        <v>SEI</v>
      </c>
      <c r="H2423" t="s">
        <v>2120</v>
      </c>
      <c r="I2423" t="s">
        <v>20</v>
      </c>
      <c r="J2423" t="s">
        <v>62</v>
      </c>
      <c r="K2423" s="6">
        <v>0.03</v>
      </c>
      <c r="L2423" s="7">
        <f t="shared" si="75"/>
        <v>2E-3</v>
      </c>
      <c r="M2423" s="7">
        <v>3.0000000000000001E-3</v>
      </c>
      <c r="N2423">
        <v>9</v>
      </c>
      <c r="O2423" s="8">
        <v>18.218373315786963</v>
      </c>
      <c r="P2423" s="9">
        <v>18.218373315786963</v>
      </c>
      <c r="Q2423" s="9">
        <v>18.218373315786963</v>
      </c>
      <c r="R2423" s="9">
        <v>19.664893554389323</v>
      </c>
      <c r="S2423" s="9">
        <v>21.786180308421145</v>
      </c>
      <c r="T2423" s="9">
        <v>23.986333773977044</v>
      </c>
      <c r="U2423" s="9">
        <v>29.590503899645856</v>
      </c>
      <c r="V2423" s="9">
        <v>29.590503899645856</v>
      </c>
      <c r="W2423" s="9">
        <v>29.590503899645856</v>
      </c>
      <c r="X2423" s="9">
        <v>35.864647096682894</v>
      </c>
      <c r="Y2423" s="9">
        <v>35.864647096682894</v>
      </c>
      <c r="Z2423" s="9">
        <v>42.320477053388458</v>
      </c>
      <c r="AA2423" s="9">
        <v>42.320477053388458</v>
      </c>
      <c r="AB2423" s="9">
        <v>49.014929837148429</v>
      </c>
      <c r="AC2423" s="9">
        <v>49.014929837148429</v>
      </c>
      <c r="AD2423" s="9">
        <v>55.851656970363329</v>
      </c>
      <c r="AE2423" s="9">
        <v>62.848959105898189</v>
      </c>
      <c r="AF2423" s="9">
        <v>70.027553049661336</v>
      </c>
      <c r="AG2423" s="9">
        <v>70.027553049661336</v>
      </c>
      <c r="AH2423" s="9">
        <v>76.934519377148774</v>
      </c>
      <c r="AI2423" s="9">
        <v>84.357531434882802</v>
      </c>
      <c r="AJ2423" s="9">
        <v>3.0428788910505911</v>
      </c>
    </row>
    <row r="2424" spans="1:36" x14ac:dyDescent="0.25">
      <c r="A2424" t="s">
        <v>5411</v>
      </c>
      <c r="B2424" t="s">
        <v>16</v>
      </c>
      <c r="C2424" t="s">
        <v>17</v>
      </c>
      <c r="D2424">
        <v>49985000</v>
      </c>
      <c r="E2424">
        <v>49989999</v>
      </c>
      <c r="F2424" t="s">
        <v>2190</v>
      </c>
      <c r="G2424" t="str">
        <f t="shared" si="74"/>
        <v>SEI II</v>
      </c>
      <c r="H2424" t="s">
        <v>2120</v>
      </c>
      <c r="I2424" t="s">
        <v>20</v>
      </c>
      <c r="J2424" t="s">
        <v>64</v>
      </c>
      <c r="K2424" s="6">
        <v>0.03</v>
      </c>
      <c r="L2424" s="7">
        <f t="shared" si="75"/>
        <v>2E-3</v>
      </c>
      <c r="M2424" s="7">
        <v>3.0000000000000001E-3</v>
      </c>
      <c r="N2424">
        <v>12</v>
      </c>
      <c r="O2424" s="8">
        <v>22.325454358562396</v>
      </c>
      <c r="P2424" s="9">
        <v>22.325454358562396</v>
      </c>
      <c r="Q2424" s="9">
        <v>22.325454358562396</v>
      </c>
      <c r="R2424" s="9">
        <v>24.597417277137804</v>
      </c>
      <c r="S2424" s="9">
        <v>27.103777688027414</v>
      </c>
      <c r="T2424" s="9">
        <v>29.216902865000016</v>
      </c>
      <c r="U2424" s="9">
        <v>35.838454522229164</v>
      </c>
      <c r="V2424" s="9">
        <v>35.838454522229164</v>
      </c>
      <c r="W2424" s="9">
        <v>35.838454522229164</v>
      </c>
      <c r="X2424" s="9">
        <v>43.267031000463348</v>
      </c>
      <c r="Y2424" s="9">
        <v>43.267031000463348</v>
      </c>
      <c r="Z2424" s="9">
        <v>50.782228309405689</v>
      </c>
      <c r="AA2424" s="9">
        <v>50.782228309405689</v>
      </c>
      <c r="AB2424" s="9">
        <v>58.392708532127088</v>
      </c>
      <c r="AC2424" s="9">
        <v>58.392708532127088</v>
      </c>
      <c r="AD2424" s="9">
        <v>67.800618768645919</v>
      </c>
      <c r="AE2424" s="9">
        <v>74.956077661509198</v>
      </c>
      <c r="AF2424" s="9">
        <v>82.225729403744211</v>
      </c>
      <c r="AG2424" s="9">
        <v>82.225729403744211</v>
      </c>
      <c r="AH2424" s="9">
        <v>90.363895588137865</v>
      </c>
      <c r="AI2424" s="9">
        <v>98.43110945306033</v>
      </c>
      <c r="AJ2424" s="9">
        <v>3.0428788910505911</v>
      </c>
    </row>
    <row r="2425" spans="1:36" x14ac:dyDescent="0.25">
      <c r="A2425" t="s">
        <v>5411</v>
      </c>
      <c r="B2425" t="s">
        <v>16</v>
      </c>
      <c r="C2425" t="s">
        <v>17</v>
      </c>
      <c r="D2425">
        <v>49990000</v>
      </c>
      <c r="E2425">
        <v>49994999</v>
      </c>
      <c r="F2425" t="s">
        <v>2191</v>
      </c>
      <c r="G2425" t="str">
        <f t="shared" si="74"/>
        <v>SEI II</v>
      </c>
      <c r="H2425" t="s">
        <v>2120</v>
      </c>
      <c r="I2425" t="s">
        <v>20</v>
      </c>
      <c r="J2425" t="s">
        <v>64</v>
      </c>
      <c r="K2425" s="6">
        <v>0.03</v>
      </c>
      <c r="L2425" s="7">
        <f t="shared" si="75"/>
        <v>2E-3</v>
      </c>
      <c r="M2425" s="7">
        <v>3.0000000000000001E-3</v>
      </c>
      <c r="N2425">
        <v>12</v>
      </c>
      <c r="O2425" s="8">
        <v>22.325454358562396</v>
      </c>
      <c r="P2425" s="9">
        <v>22.325454358562396</v>
      </c>
      <c r="Q2425" s="9">
        <v>22.325454358562396</v>
      </c>
      <c r="R2425" s="9">
        <v>24.597417277137804</v>
      </c>
      <c r="S2425" s="9">
        <v>27.103777688027414</v>
      </c>
      <c r="T2425" s="9">
        <v>29.216902865000016</v>
      </c>
      <c r="U2425" s="9">
        <v>35.838454522229164</v>
      </c>
      <c r="V2425" s="9">
        <v>35.838454522229164</v>
      </c>
      <c r="W2425" s="9">
        <v>35.838454522229164</v>
      </c>
      <c r="X2425" s="9">
        <v>43.267031000463348</v>
      </c>
      <c r="Y2425" s="9">
        <v>43.267031000463348</v>
      </c>
      <c r="Z2425" s="9">
        <v>50.782228309405689</v>
      </c>
      <c r="AA2425" s="9">
        <v>50.782228309405689</v>
      </c>
      <c r="AB2425" s="9">
        <v>58.392708532127088</v>
      </c>
      <c r="AC2425" s="9">
        <v>58.392708532127088</v>
      </c>
      <c r="AD2425" s="9">
        <v>67.800618768645919</v>
      </c>
      <c r="AE2425" s="9">
        <v>74.956077661509198</v>
      </c>
      <c r="AF2425" s="9">
        <v>82.225729403744211</v>
      </c>
      <c r="AG2425" s="9">
        <v>82.225729403744211</v>
      </c>
      <c r="AH2425" s="9">
        <v>90.363895588137865</v>
      </c>
      <c r="AI2425" s="9">
        <v>98.43110945306033</v>
      </c>
      <c r="AJ2425" s="9">
        <v>3.0428788910505911</v>
      </c>
    </row>
    <row r="2426" spans="1:36" x14ac:dyDescent="0.25">
      <c r="A2426" t="s">
        <v>5411</v>
      </c>
      <c r="B2426" t="s">
        <v>16</v>
      </c>
      <c r="C2426" t="s">
        <v>17</v>
      </c>
      <c r="D2426">
        <v>49995000</v>
      </c>
      <c r="E2426">
        <v>49999999</v>
      </c>
      <c r="F2426" t="s">
        <v>2192</v>
      </c>
      <c r="G2426" t="str">
        <f t="shared" si="74"/>
        <v>SEI II</v>
      </c>
      <c r="H2426" t="s">
        <v>2120</v>
      </c>
      <c r="I2426" t="s">
        <v>20</v>
      </c>
      <c r="J2426" t="s">
        <v>64</v>
      </c>
      <c r="K2426" s="6">
        <v>0.03</v>
      </c>
      <c r="L2426" s="7">
        <f t="shared" si="75"/>
        <v>2E-3</v>
      </c>
      <c r="M2426" s="7">
        <v>3.0000000000000001E-3</v>
      </c>
      <c r="N2426">
        <v>12</v>
      </c>
      <c r="O2426" s="8">
        <v>22.325454358562396</v>
      </c>
      <c r="P2426" s="9">
        <v>22.325454358562396</v>
      </c>
      <c r="Q2426" s="9">
        <v>22.325454358562396</v>
      </c>
      <c r="R2426" s="9">
        <v>24.597417277137804</v>
      </c>
      <c r="S2426" s="9">
        <v>27.103777688027414</v>
      </c>
      <c r="T2426" s="9">
        <v>29.216902865000016</v>
      </c>
      <c r="U2426" s="9">
        <v>35.838454522229164</v>
      </c>
      <c r="V2426" s="9">
        <v>35.838454522229164</v>
      </c>
      <c r="W2426" s="9">
        <v>35.838454522229164</v>
      </c>
      <c r="X2426" s="9">
        <v>43.267031000463348</v>
      </c>
      <c r="Y2426" s="9">
        <v>43.267031000463348</v>
      </c>
      <c r="Z2426" s="9">
        <v>50.782228309405689</v>
      </c>
      <c r="AA2426" s="9">
        <v>50.782228309405689</v>
      </c>
      <c r="AB2426" s="9">
        <v>58.392708532127088</v>
      </c>
      <c r="AC2426" s="9">
        <v>58.392708532127088</v>
      </c>
      <c r="AD2426" s="9">
        <v>67.800618768645919</v>
      </c>
      <c r="AE2426" s="9">
        <v>74.956077661509198</v>
      </c>
      <c r="AF2426" s="9">
        <v>82.225729403744211</v>
      </c>
      <c r="AG2426" s="9">
        <v>82.225729403744211</v>
      </c>
      <c r="AH2426" s="9">
        <v>90.363895588137865</v>
      </c>
      <c r="AI2426" s="9">
        <v>98.43110945306033</v>
      </c>
      <c r="AJ2426" s="9">
        <v>3.0428788910505911</v>
      </c>
    </row>
    <row r="2427" spans="1:36" x14ac:dyDescent="0.25">
      <c r="A2427" t="s">
        <v>5411</v>
      </c>
      <c r="B2427" t="s">
        <v>16</v>
      </c>
      <c r="C2427" t="s">
        <v>17</v>
      </c>
      <c r="D2427">
        <v>50000000</v>
      </c>
      <c r="E2427">
        <v>50619999</v>
      </c>
      <c r="F2427" t="s">
        <v>2193</v>
      </c>
      <c r="G2427" t="str">
        <f t="shared" si="74"/>
        <v>PEC</v>
      </c>
      <c r="H2427" t="s">
        <v>2194</v>
      </c>
      <c r="I2427" t="s">
        <v>20</v>
      </c>
      <c r="J2427" t="s">
        <v>21</v>
      </c>
      <c r="K2427" s="6">
        <v>0.03</v>
      </c>
      <c r="L2427" s="7">
        <f t="shared" si="75"/>
        <v>2E-3</v>
      </c>
      <c r="M2427" s="7">
        <v>3.0000000000000001E-3</v>
      </c>
      <c r="N2427">
        <v>8</v>
      </c>
      <c r="O2427" s="8">
        <v>12.546609103965929</v>
      </c>
      <c r="P2427" s="9">
        <v>12.546609103965929</v>
      </c>
      <c r="Q2427" s="9">
        <v>12.546609103965929</v>
      </c>
      <c r="R2427" s="9">
        <v>13.671817484755632</v>
      </c>
      <c r="S2427" s="9">
        <v>14.725549075118629</v>
      </c>
      <c r="T2427" s="9">
        <v>16.04947028126702</v>
      </c>
      <c r="U2427" s="9">
        <v>19.426919700303831</v>
      </c>
      <c r="V2427" s="9">
        <v>19.426919700303831</v>
      </c>
      <c r="W2427" s="9">
        <v>19.426919700303831</v>
      </c>
      <c r="X2427" s="9">
        <v>25.132148841816747</v>
      </c>
      <c r="Y2427" s="9">
        <v>25.132148841816747</v>
      </c>
      <c r="Z2427" s="9">
        <v>30.978123796102796</v>
      </c>
      <c r="AA2427" s="9">
        <v>30.978123796102796</v>
      </c>
      <c r="AB2427" s="9">
        <v>37.034744281454138</v>
      </c>
      <c r="AC2427" s="9">
        <v>37.034744281454138</v>
      </c>
      <c r="AD2427" s="9">
        <v>46.510573563141911</v>
      </c>
      <c r="AE2427" s="9">
        <v>52.416727680788277</v>
      </c>
      <c r="AF2427" s="9">
        <v>58.403352229944545</v>
      </c>
      <c r="AG2427" s="9">
        <v>58.403352229944545</v>
      </c>
      <c r="AH2427" s="9">
        <v>64.478494253761667</v>
      </c>
      <c r="AI2427" s="9">
        <v>70.14607653353309</v>
      </c>
      <c r="AJ2427" s="9">
        <v>3.0428788910505911</v>
      </c>
    </row>
    <row r="2428" spans="1:36" x14ac:dyDescent="0.25">
      <c r="A2428" t="s">
        <v>5411</v>
      </c>
      <c r="B2428" t="s">
        <v>16</v>
      </c>
      <c r="C2428" t="s">
        <v>17</v>
      </c>
      <c r="D2428">
        <v>50620000</v>
      </c>
      <c r="E2428">
        <v>50720999</v>
      </c>
      <c r="F2428" t="s">
        <v>2193</v>
      </c>
      <c r="G2428" t="str">
        <f t="shared" si="74"/>
        <v>PEC</v>
      </c>
      <c r="H2428" t="s">
        <v>2194</v>
      </c>
      <c r="I2428" t="s">
        <v>20</v>
      </c>
      <c r="J2428" t="s">
        <v>21</v>
      </c>
      <c r="K2428" s="6">
        <v>0.03</v>
      </c>
      <c r="L2428" s="7">
        <f t="shared" si="75"/>
        <v>2E-3</v>
      </c>
      <c r="M2428" s="7">
        <v>3.0000000000000001E-3</v>
      </c>
      <c r="N2428">
        <v>8</v>
      </c>
      <c r="O2428" s="8">
        <v>12.546609103965929</v>
      </c>
      <c r="P2428" s="9">
        <v>12.546609103965929</v>
      </c>
      <c r="Q2428" s="9">
        <v>12.546609103965929</v>
      </c>
      <c r="R2428" s="9">
        <v>13.671817484755632</v>
      </c>
      <c r="S2428" s="9">
        <v>14.725549075118629</v>
      </c>
      <c r="T2428" s="9">
        <v>16.04947028126702</v>
      </c>
      <c r="U2428" s="9">
        <v>19.426919700303831</v>
      </c>
      <c r="V2428" s="9">
        <v>19.426919700303831</v>
      </c>
      <c r="W2428" s="9">
        <v>19.426919700303831</v>
      </c>
      <c r="X2428" s="9">
        <v>25.132148841816747</v>
      </c>
      <c r="Y2428" s="9">
        <v>25.132148841816747</v>
      </c>
      <c r="Z2428" s="9">
        <v>30.978123796102796</v>
      </c>
      <c r="AA2428" s="9">
        <v>30.978123796102796</v>
      </c>
      <c r="AB2428" s="9">
        <v>37.034744281454138</v>
      </c>
      <c r="AC2428" s="9">
        <v>37.034744281454138</v>
      </c>
      <c r="AD2428" s="9">
        <v>46.510573563141911</v>
      </c>
      <c r="AE2428" s="9">
        <v>52.416727680788277</v>
      </c>
      <c r="AF2428" s="9">
        <v>58.403352229944545</v>
      </c>
      <c r="AG2428" s="9">
        <v>58.403352229944545</v>
      </c>
      <c r="AH2428" s="9">
        <v>64.478494253761667</v>
      </c>
      <c r="AI2428" s="9">
        <v>70.14607653353309</v>
      </c>
      <c r="AJ2428" s="9">
        <v>3.0428788910505911</v>
      </c>
    </row>
    <row r="2429" spans="1:36" x14ac:dyDescent="0.25">
      <c r="A2429" t="s">
        <v>5411</v>
      </c>
      <c r="B2429" t="s">
        <v>16</v>
      </c>
      <c r="C2429" t="s">
        <v>17</v>
      </c>
      <c r="D2429">
        <v>50721000</v>
      </c>
      <c r="E2429">
        <v>50819999</v>
      </c>
      <c r="F2429" t="s">
        <v>2193</v>
      </c>
      <c r="G2429" t="str">
        <f t="shared" si="74"/>
        <v>PEC</v>
      </c>
      <c r="H2429" t="s">
        <v>2194</v>
      </c>
      <c r="I2429" t="s">
        <v>20</v>
      </c>
      <c r="J2429" t="s">
        <v>21</v>
      </c>
      <c r="K2429" s="6">
        <v>0.03</v>
      </c>
      <c r="L2429" s="7">
        <f t="shared" si="75"/>
        <v>2E-3</v>
      </c>
      <c r="M2429" s="7">
        <v>3.0000000000000001E-3</v>
      </c>
      <c r="N2429">
        <v>8</v>
      </c>
      <c r="O2429" s="8">
        <v>12.546609103965929</v>
      </c>
      <c r="P2429" s="9">
        <v>12.546609103965929</v>
      </c>
      <c r="Q2429" s="9">
        <v>12.546609103965929</v>
      </c>
      <c r="R2429" s="9">
        <v>13.671817484755632</v>
      </c>
      <c r="S2429" s="9">
        <v>14.725549075118629</v>
      </c>
      <c r="T2429" s="9">
        <v>16.04947028126702</v>
      </c>
      <c r="U2429" s="9">
        <v>19.426919700303831</v>
      </c>
      <c r="V2429" s="9">
        <v>19.426919700303831</v>
      </c>
      <c r="W2429" s="9">
        <v>19.426919700303831</v>
      </c>
      <c r="X2429" s="9">
        <v>25.132148841816747</v>
      </c>
      <c r="Y2429" s="9">
        <v>25.132148841816747</v>
      </c>
      <c r="Z2429" s="9">
        <v>30.978123796102796</v>
      </c>
      <c r="AA2429" s="9">
        <v>30.978123796102796</v>
      </c>
      <c r="AB2429" s="9">
        <v>37.034744281454138</v>
      </c>
      <c r="AC2429" s="9">
        <v>37.034744281454138</v>
      </c>
      <c r="AD2429" s="9">
        <v>46.510573563141911</v>
      </c>
      <c r="AE2429" s="9">
        <v>52.416727680788277</v>
      </c>
      <c r="AF2429" s="9">
        <v>58.403352229944545</v>
      </c>
      <c r="AG2429" s="9">
        <v>58.403352229944545</v>
      </c>
      <c r="AH2429" s="9">
        <v>64.478494253761667</v>
      </c>
      <c r="AI2429" s="9">
        <v>70.14607653353309</v>
      </c>
      <c r="AJ2429" s="9">
        <v>3.0428788910505911</v>
      </c>
    </row>
    <row r="2430" spans="1:36" x14ac:dyDescent="0.25">
      <c r="A2430" t="s">
        <v>5411</v>
      </c>
      <c r="B2430" t="s">
        <v>16</v>
      </c>
      <c r="C2430" t="s">
        <v>17</v>
      </c>
      <c r="D2430">
        <v>50820000</v>
      </c>
      <c r="E2430">
        <v>50959999</v>
      </c>
      <c r="F2430" t="s">
        <v>2193</v>
      </c>
      <c r="G2430" t="str">
        <f t="shared" si="74"/>
        <v>PEC</v>
      </c>
      <c r="H2430" t="s">
        <v>2194</v>
      </c>
      <c r="I2430" t="s">
        <v>20</v>
      </c>
      <c r="J2430" t="s">
        <v>21</v>
      </c>
      <c r="K2430" s="6">
        <v>0.03</v>
      </c>
      <c r="L2430" s="7">
        <f t="shared" si="75"/>
        <v>2E-3</v>
      </c>
      <c r="M2430" s="7">
        <v>3.0000000000000001E-3</v>
      </c>
      <c r="N2430">
        <v>8</v>
      </c>
      <c r="O2430" s="8">
        <v>12.546609103965929</v>
      </c>
      <c r="P2430" s="9">
        <v>12.546609103965929</v>
      </c>
      <c r="Q2430" s="9">
        <v>12.546609103965929</v>
      </c>
      <c r="R2430" s="9">
        <v>13.671817484755632</v>
      </c>
      <c r="S2430" s="9">
        <v>14.725549075118629</v>
      </c>
      <c r="T2430" s="9">
        <v>16.04947028126702</v>
      </c>
      <c r="U2430" s="9">
        <v>19.426919700303831</v>
      </c>
      <c r="V2430" s="9">
        <v>19.426919700303831</v>
      </c>
      <c r="W2430" s="9">
        <v>19.426919700303831</v>
      </c>
      <c r="X2430" s="9">
        <v>25.132148841816747</v>
      </c>
      <c r="Y2430" s="9">
        <v>25.132148841816747</v>
      </c>
      <c r="Z2430" s="9">
        <v>30.978123796102796</v>
      </c>
      <c r="AA2430" s="9">
        <v>30.978123796102796</v>
      </c>
      <c r="AB2430" s="9">
        <v>37.034744281454138</v>
      </c>
      <c r="AC2430" s="9">
        <v>37.034744281454138</v>
      </c>
      <c r="AD2430" s="9">
        <v>46.510573563141911</v>
      </c>
      <c r="AE2430" s="9">
        <v>52.416727680788277</v>
      </c>
      <c r="AF2430" s="9">
        <v>58.403352229944545</v>
      </c>
      <c r="AG2430" s="9">
        <v>58.403352229944545</v>
      </c>
      <c r="AH2430" s="9">
        <v>64.478494253761667</v>
      </c>
      <c r="AI2430" s="9">
        <v>70.14607653353309</v>
      </c>
      <c r="AJ2430" s="9">
        <v>3.0428788910505911</v>
      </c>
    </row>
    <row r="2431" spans="1:36" x14ac:dyDescent="0.25">
      <c r="A2431" t="s">
        <v>5411</v>
      </c>
      <c r="B2431" t="s">
        <v>16</v>
      </c>
      <c r="C2431" t="s">
        <v>17</v>
      </c>
      <c r="D2431">
        <v>50960000</v>
      </c>
      <c r="E2431">
        <v>50999999</v>
      </c>
      <c r="F2431" t="s">
        <v>2193</v>
      </c>
      <c r="G2431" t="str">
        <f t="shared" si="74"/>
        <v>PEC</v>
      </c>
      <c r="H2431" t="s">
        <v>2194</v>
      </c>
      <c r="I2431" t="s">
        <v>20</v>
      </c>
      <c r="J2431" t="s">
        <v>21</v>
      </c>
      <c r="K2431" s="6">
        <v>0.03</v>
      </c>
      <c r="L2431" s="7">
        <f t="shared" si="75"/>
        <v>2E-3</v>
      </c>
      <c r="M2431" s="7">
        <v>3.0000000000000001E-3</v>
      </c>
      <c r="N2431">
        <v>8</v>
      </c>
      <c r="O2431" s="8">
        <v>12.546609103965929</v>
      </c>
      <c r="P2431" s="9">
        <v>12.546609103965929</v>
      </c>
      <c r="Q2431" s="9">
        <v>12.546609103965929</v>
      </c>
      <c r="R2431" s="9">
        <v>13.671817484755632</v>
      </c>
      <c r="S2431" s="9">
        <v>14.725549075118629</v>
      </c>
      <c r="T2431" s="9">
        <v>16.04947028126702</v>
      </c>
      <c r="U2431" s="9">
        <v>19.426919700303831</v>
      </c>
      <c r="V2431" s="9">
        <v>19.426919700303831</v>
      </c>
      <c r="W2431" s="9">
        <v>19.426919700303831</v>
      </c>
      <c r="X2431" s="9">
        <v>25.132148841816747</v>
      </c>
      <c r="Y2431" s="9">
        <v>25.132148841816747</v>
      </c>
      <c r="Z2431" s="9">
        <v>30.978123796102796</v>
      </c>
      <c r="AA2431" s="9">
        <v>30.978123796102796</v>
      </c>
      <c r="AB2431" s="9">
        <v>37.034744281454138</v>
      </c>
      <c r="AC2431" s="9">
        <v>37.034744281454138</v>
      </c>
      <c r="AD2431" s="9">
        <v>46.510573563141911</v>
      </c>
      <c r="AE2431" s="9">
        <v>52.416727680788277</v>
      </c>
      <c r="AF2431" s="9">
        <v>58.403352229944545</v>
      </c>
      <c r="AG2431" s="9">
        <v>58.403352229944545</v>
      </c>
      <c r="AH2431" s="9">
        <v>64.478494253761667</v>
      </c>
      <c r="AI2431" s="9">
        <v>70.14607653353309</v>
      </c>
      <c r="AJ2431" s="9">
        <v>3.0428788910505911</v>
      </c>
    </row>
    <row r="2432" spans="1:36" x14ac:dyDescent="0.25">
      <c r="A2432" t="s">
        <v>5411</v>
      </c>
      <c r="B2432" t="s">
        <v>16</v>
      </c>
      <c r="C2432" t="s">
        <v>17</v>
      </c>
      <c r="D2432">
        <v>51000000</v>
      </c>
      <c r="E2432">
        <v>51110999</v>
      </c>
      <c r="F2432" t="s">
        <v>2193</v>
      </c>
      <c r="G2432" t="str">
        <f t="shared" si="74"/>
        <v>PEC</v>
      </c>
      <c r="H2432" t="s">
        <v>2194</v>
      </c>
      <c r="I2432" t="s">
        <v>20</v>
      </c>
      <c r="J2432" t="s">
        <v>21</v>
      </c>
      <c r="K2432" s="6">
        <v>0.03</v>
      </c>
      <c r="L2432" s="7">
        <f t="shared" si="75"/>
        <v>2E-3</v>
      </c>
      <c r="M2432" s="7">
        <v>3.0000000000000001E-3</v>
      </c>
      <c r="N2432">
        <v>8</v>
      </c>
      <c r="O2432" s="8">
        <v>12.546609103965929</v>
      </c>
      <c r="P2432" s="9">
        <v>12.546609103965929</v>
      </c>
      <c r="Q2432" s="9">
        <v>12.546609103965929</v>
      </c>
      <c r="R2432" s="9">
        <v>13.671817484755632</v>
      </c>
      <c r="S2432" s="9">
        <v>14.725549075118629</v>
      </c>
      <c r="T2432" s="9">
        <v>16.04947028126702</v>
      </c>
      <c r="U2432" s="9">
        <v>19.426919700303831</v>
      </c>
      <c r="V2432" s="9">
        <v>19.426919700303831</v>
      </c>
      <c r="W2432" s="9">
        <v>19.426919700303831</v>
      </c>
      <c r="X2432" s="9">
        <v>25.132148841816747</v>
      </c>
      <c r="Y2432" s="9">
        <v>25.132148841816747</v>
      </c>
      <c r="Z2432" s="9">
        <v>30.978123796102796</v>
      </c>
      <c r="AA2432" s="9">
        <v>30.978123796102796</v>
      </c>
      <c r="AB2432" s="9">
        <v>37.034744281454138</v>
      </c>
      <c r="AC2432" s="9">
        <v>37.034744281454138</v>
      </c>
      <c r="AD2432" s="9">
        <v>46.510573563141911</v>
      </c>
      <c r="AE2432" s="9">
        <v>52.416727680788277</v>
      </c>
      <c r="AF2432" s="9">
        <v>58.403352229944545</v>
      </c>
      <c r="AG2432" s="9">
        <v>58.403352229944545</v>
      </c>
      <c r="AH2432" s="9">
        <v>64.478494253761667</v>
      </c>
      <c r="AI2432" s="9">
        <v>70.14607653353309</v>
      </c>
      <c r="AJ2432" s="9">
        <v>3.0428788910505911</v>
      </c>
    </row>
    <row r="2433" spans="1:36" x14ac:dyDescent="0.25">
      <c r="A2433" t="s">
        <v>5411</v>
      </c>
      <c r="B2433" t="s">
        <v>16</v>
      </c>
      <c r="C2433" t="s">
        <v>17</v>
      </c>
      <c r="D2433">
        <v>51111000</v>
      </c>
      <c r="E2433">
        <v>51199999</v>
      </c>
      <c r="F2433" t="s">
        <v>2193</v>
      </c>
      <c r="G2433" t="str">
        <f t="shared" si="74"/>
        <v>PEC</v>
      </c>
      <c r="H2433" t="s">
        <v>2194</v>
      </c>
      <c r="I2433" t="s">
        <v>20</v>
      </c>
      <c r="J2433" t="s">
        <v>21</v>
      </c>
      <c r="K2433" s="6">
        <v>0.03</v>
      </c>
      <c r="L2433" s="7">
        <f t="shared" si="75"/>
        <v>2E-3</v>
      </c>
      <c r="M2433" s="7">
        <v>3.0000000000000001E-3</v>
      </c>
      <c r="N2433">
        <v>8</v>
      </c>
      <c r="O2433" s="8">
        <v>12.546609103965929</v>
      </c>
      <c r="P2433" s="9">
        <v>12.546609103965929</v>
      </c>
      <c r="Q2433" s="9">
        <v>12.546609103965929</v>
      </c>
      <c r="R2433" s="9">
        <v>13.671817484755632</v>
      </c>
      <c r="S2433" s="9">
        <v>14.725549075118629</v>
      </c>
      <c r="T2433" s="9">
        <v>16.04947028126702</v>
      </c>
      <c r="U2433" s="9">
        <v>19.426919700303831</v>
      </c>
      <c r="V2433" s="9">
        <v>19.426919700303831</v>
      </c>
      <c r="W2433" s="9">
        <v>19.426919700303831</v>
      </c>
      <c r="X2433" s="9">
        <v>25.132148841816747</v>
      </c>
      <c r="Y2433" s="9">
        <v>25.132148841816747</v>
      </c>
      <c r="Z2433" s="9">
        <v>30.978123796102796</v>
      </c>
      <c r="AA2433" s="9">
        <v>30.978123796102796</v>
      </c>
      <c r="AB2433" s="9">
        <v>37.034744281454138</v>
      </c>
      <c r="AC2433" s="9">
        <v>37.034744281454138</v>
      </c>
      <c r="AD2433" s="9">
        <v>46.510573563141911</v>
      </c>
      <c r="AE2433" s="9">
        <v>52.416727680788277</v>
      </c>
      <c r="AF2433" s="9">
        <v>58.403352229944545</v>
      </c>
      <c r="AG2433" s="9">
        <v>58.403352229944545</v>
      </c>
      <c r="AH2433" s="9">
        <v>64.478494253761667</v>
      </c>
      <c r="AI2433" s="9">
        <v>70.14607653353309</v>
      </c>
      <c r="AJ2433" s="9">
        <v>3.0428788910505911</v>
      </c>
    </row>
    <row r="2434" spans="1:36" x14ac:dyDescent="0.25">
      <c r="A2434" t="s">
        <v>5411</v>
      </c>
      <c r="B2434" t="s">
        <v>16</v>
      </c>
      <c r="C2434" t="s">
        <v>17</v>
      </c>
      <c r="D2434">
        <v>51200000</v>
      </c>
      <c r="E2434">
        <v>51329999</v>
      </c>
      <c r="F2434" t="s">
        <v>2193</v>
      </c>
      <c r="G2434" t="str">
        <f t="shared" si="74"/>
        <v>PEC</v>
      </c>
      <c r="H2434" t="s">
        <v>2194</v>
      </c>
      <c r="I2434" t="s">
        <v>20</v>
      </c>
      <c r="J2434" t="s">
        <v>21</v>
      </c>
      <c r="K2434" s="6">
        <v>0.03</v>
      </c>
      <c r="L2434" s="7">
        <f t="shared" si="75"/>
        <v>2E-3</v>
      </c>
      <c r="M2434" s="7">
        <v>3.0000000000000001E-3</v>
      </c>
      <c r="N2434">
        <v>8</v>
      </c>
      <c r="O2434" s="8">
        <v>12.546609103965929</v>
      </c>
      <c r="P2434" s="9">
        <v>12.546609103965929</v>
      </c>
      <c r="Q2434" s="9">
        <v>12.546609103965929</v>
      </c>
      <c r="R2434" s="9">
        <v>13.671817484755632</v>
      </c>
      <c r="S2434" s="9">
        <v>14.725549075118629</v>
      </c>
      <c r="T2434" s="9">
        <v>16.04947028126702</v>
      </c>
      <c r="U2434" s="9">
        <v>19.426919700303831</v>
      </c>
      <c r="V2434" s="9">
        <v>19.426919700303831</v>
      </c>
      <c r="W2434" s="9">
        <v>19.426919700303831</v>
      </c>
      <c r="X2434" s="9">
        <v>25.132148841816747</v>
      </c>
      <c r="Y2434" s="9">
        <v>25.132148841816747</v>
      </c>
      <c r="Z2434" s="9">
        <v>30.978123796102796</v>
      </c>
      <c r="AA2434" s="9">
        <v>30.978123796102796</v>
      </c>
      <c r="AB2434" s="9">
        <v>37.034744281454138</v>
      </c>
      <c r="AC2434" s="9">
        <v>37.034744281454138</v>
      </c>
      <c r="AD2434" s="9">
        <v>46.510573563141911</v>
      </c>
      <c r="AE2434" s="9">
        <v>52.416727680788277</v>
      </c>
      <c r="AF2434" s="9">
        <v>58.403352229944545</v>
      </c>
      <c r="AG2434" s="9">
        <v>58.403352229944545</v>
      </c>
      <c r="AH2434" s="9">
        <v>64.478494253761667</v>
      </c>
      <c r="AI2434" s="9">
        <v>70.14607653353309</v>
      </c>
      <c r="AJ2434" s="9">
        <v>3.0428788910505911</v>
      </c>
    </row>
    <row r="2435" spans="1:36" x14ac:dyDescent="0.25">
      <c r="A2435" t="s">
        <v>5411</v>
      </c>
      <c r="B2435" t="s">
        <v>16</v>
      </c>
      <c r="C2435" t="s">
        <v>17</v>
      </c>
      <c r="D2435">
        <v>51330000</v>
      </c>
      <c r="E2435">
        <v>51999999</v>
      </c>
      <c r="F2435" t="s">
        <v>2193</v>
      </c>
      <c r="G2435" t="str">
        <f t="shared" si="74"/>
        <v>PEC</v>
      </c>
      <c r="H2435" t="s">
        <v>2194</v>
      </c>
      <c r="I2435" t="s">
        <v>20</v>
      </c>
      <c r="J2435" t="s">
        <v>21</v>
      </c>
      <c r="K2435" s="6">
        <v>0.03</v>
      </c>
      <c r="L2435" s="7">
        <f t="shared" si="75"/>
        <v>2E-3</v>
      </c>
      <c r="M2435" s="7">
        <v>3.0000000000000001E-3</v>
      </c>
      <c r="N2435">
        <v>8</v>
      </c>
      <c r="O2435" s="8">
        <v>12.546609103965929</v>
      </c>
      <c r="P2435" s="9">
        <v>12.546609103965929</v>
      </c>
      <c r="Q2435" s="9">
        <v>12.546609103965929</v>
      </c>
      <c r="R2435" s="9">
        <v>13.671817484755632</v>
      </c>
      <c r="S2435" s="9">
        <v>14.725549075118629</v>
      </c>
      <c r="T2435" s="9">
        <v>16.04947028126702</v>
      </c>
      <c r="U2435" s="9">
        <v>19.426919700303831</v>
      </c>
      <c r="V2435" s="9">
        <v>19.426919700303831</v>
      </c>
      <c r="W2435" s="9">
        <v>19.426919700303831</v>
      </c>
      <c r="X2435" s="9">
        <v>25.132148841816747</v>
      </c>
      <c r="Y2435" s="9">
        <v>25.132148841816747</v>
      </c>
      <c r="Z2435" s="9">
        <v>30.978123796102796</v>
      </c>
      <c r="AA2435" s="9">
        <v>30.978123796102796</v>
      </c>
      <c r="AB2435" s="9">
        <v>37.034744281454138</v>
      </c>
      <c r="AC2435" s="9">
        <v>37.034744281454138</v>
      </c>
      <c r="AD2435" s="9">
        <v>46.510573563141911</v>
      </c>
      <c r="AE2435" s="9">
        <v>52.416727680788277</v>
      </c>
      <c r="AF2435" s="9">
        <v>58.403352229944545</v>
      </c>
      <c r="AG2435" s="9">
        <v>58.403352229944545</v>
      </c>
      <c r="AH2435" s="9">
        <v>64.478494253761667</v>
      </c>
      <c r="AI2435" s="9">
        <v>70.14607653353309</v>
      </c>
      <c r="AJ2435" s="9">
        <v>3.0428788910505911</v>
      </c>
    </row>
    <row r="2436" spans="1:36" x14ac:dyDescent="0.25">
      <c r="A2436" t="s">
        <v>5411</v>
      </c>
      <c r="B2436" t="s">
        <v>16</v>
      </c>
      <c r="C2436" t="s">
        <v>17</v>
      </c>
      <c r="D2436">
        <v>52000000</v>
      </c>
      <c r="E2436">
        <v>52130999</v>
      </c>
      <c r="F2436" t="s">
        <v>2193</v>
      </c>
      <c r="G2436" t="str">
        <f t="shared" ref="G2436:G2499" si="76">H2436&amp;IF(J2436="CAPITAL","C",IF(J2436="INTERIOR","I",IF(J2436="INTERIOR II","I II","R")))</f>
        <v>PEC</v>
      </c>
      <c r="H2436" t="s">
        <v>2194</v>
      </c>
      <c r="I2436" t="s">
        <v>20</v>
      </c>
      <c r="J2436" t="s">
        <v>21</v>
      </c>
      <c r="K2436" s="6">
        <v>0.03</v>
      </c>
      <c r="L2436" s="7">
        <f t="shared" ref="L2436:L2499" si="77">IF(I2436="(0) Não",0.2%,3%)</f>
        <v>2E-3</v>
      </c>
      <c r="M2436" s="7">
        <v>3.0000000000000001E-3</v>
      </c>
      <c r="N2436">
        <v>8</v>
      </c>
      <c r="O2436" s="8">
        <v>12.546609103965929</v>
      </c>
      <c r="P2436" s="9">
        <v>12.546609103965929</v>
      </c>
      <c r="Q2436" s="9">
        <v>12.546609103965929</v>
      </c>
      <c r="R2436" s="9">
        <v>13.671817484755632</v>
      </c>
      <c r="S2436" s="9">
        <v>14.725549075118629</v>
      </c>
      <c r="T2436" s="9">
        <v>16.04947028126702</v>
      </c>
      <c r="U2436" s="9">
        <v>19.426919700303831</v>
      </c>
      <c r="V2436" s="9">
        <v>19.426919700303831</v>
      </c>
      <c r="W2436" s="9">
        <v>19.426919700303831</v>
      </c>
      <c r="X2436" s="9">
        <v>25.132148841816747</v>
      </c>
      <c r="Y2436" s="9">
        <v>25.132148841816747</v>
      </c>
      <c r="Z2436" s="9">
        <v>30.978123796102796</v>
      </c>
      <c r="AA2436" s="9">
        <v>30.978123796102796</v>
      </c>
      <c r="AB2436" s="9">
        <v>37.034744281454138</v>
      </c>
      <c r="AC2436" s="9">
        <v>37.034744281454138</v>
      </c>
      <c r="AD2436" s="9">
        <v>46.510573563141911</v>
      </c>
      <c r="AE2436" s="9">
        <v>52.416727680788277</v>
      </c>
      <c r="AF2436" s="9">
        <v>58.403352229944545</v>
      </c>
      <c r="AG2436" s="9">
        <v>58.403352229944545</v>
      </c>
      <c r="AH2436" s="9">
        <v>64.478494253761667</v>
      </c>
      <c r="AI2436" s="9">
        <v>70.14607653353309</v>
      </c>
      <c r="AJ2436" s="9">
        <v>3.0428788910505911</v>
      </c>
    </row>
    <row r="2437" spans="1:36" x14ac:dyDescent="0.25">
      <c r="A2437" t="s">
        <v>5411</v>
      </c>
      <c r="B2437" t="s">
        <v>16</v>
      </c>
      <c r="C2437" t="s">
        <v>17</v>
      </c>
      <c r="D2437">
        <v>52131000</v>
      </c>
      <c r="E2437">
        <v>52999999</v>
      </c>
      <c r="F2437" t="s">
        <v>2193</v>
      </c>
      <c r="G2437" t="str">
        <f t="shared" si="76"/>
        <v>PEC</v>
      </c>
      <c r="H2437" t="s">
        <v>2194</v>
      </c>
      <c r="I2437" t="s">
        <v>20</v>
      </c>
      <c r="J2437" t="s">
        <v>21</v>
      </c>
      <c r="K2437" s="6">
        <v>0.03</v>
      </c>
      <c r="L2437" s="7">
        <f t="shared" si="77"/>
        <v>2E-3</v>
      </c>
      <c r="M2437" s="7">
        <v>3.0000000000000001E-3</v>
      </c>
      <c r="N2437">
        <v>8</v>
      </c>
      <c r="O2437" s="8">
        <v>12.546609103965929</v>
      </c>
      <c r="P2437" s="9">
        <v>12.546609103965929</v>
      </c>
      <c r="Q2437" s="9">
        <v>12.546609103965929</v>
      </c>
      <c r="R2437" s="9">
        <v>13.671817484755632</v>
      </c>
      <c r="S2437" s="9">
        <v>14.725549075118629</v>
      </c>
      <c r="T2437" s="9">
        <v>16.04947028126702</v>
      </c>
      <c r="U2437" s="9">
        <v>19.426919700303831</v>
      </c>
      <c r="V2437" s="9">
        <v>19.426919700303831</v>
      </c>
      <c r="W2437" s="9">
        <v>19.426919700303831</v>
      </c>
      <c r="X2437" s="9">
        <v>25.132148841816747</v>
      </c>
      <c r="Y2437" s="9">
        <v>25.132148841816747</v>
      </c>
      <c r="Z2437" s="9">
        <v>30.978123796102796</v>
      </c>
      <c r="AA2437" s="9">
        <v>30.978123796102796</v>
      </c>
      <c r="AB2437" s="9">
        <v>37.034744281454138</v>
      </c>
      <c r="AC2437" s="9">
        <v>37.034744281454138</v>
      </c>
      <c r="AD2437" s="9">
        <v>46.510573563141911</v>
      </c>
      <c r="AE2437" s="9">
        <v>52.416727680788277</v>
      </c>
      <c r="AF2437" s="9">
        <v>58.403352229944545</v>
      </c>
      <c r="AG2437" s="9">
        <v>58.403352229944545</v>
      </c>
      <c r="AH2437" s="9">
        <v>64.478494253761667</v>
      </c>
      <c r="AI2437" s="9">
        <v>70.14607653353309</v>
      </c>
      <c r="AJ2437" s="9">
        <v>3.0428788910505911</v>
      </c>
    </row>
    <row r="2438" spans="1:36" x14ac:dyDescent="0.25">
      <c r="A2438" t="s">
        <v>5411</v>
      </c>
      <c r="B2438" t="s">
        <v>16</v>
      </c>
      <c r="C2438" t="s">
        <v>17</v>
      </c>
      <c r="D2438">
        <v>53000000</v>
      </c>
      <c r="E2438">
        <v>53119999</v>
      </c>
      <c r="F2438" t="s">
        <v>2195</v>
      </c>
      <c r="G2438" t="str">
        <f t="shared" si="76"/>
        <v>PEI</v>
      </c>
      <c r="H2438" t="s">
        <v>2194</v>
      </c>
      <c r="I2438" t="s">
        <v>20</v>
      </c>
      <c r="J2438" t="s">
        <v>62</v>
      </c>
      <c r="K2438" s="6">
        <v>0.03</v>
      </c>
      <c r="L2438" s="7">
        <f t="shared" si="77"/>
        <v>2E-3</v>
      </c>
      <c r="M2438" s="7">
        <v>3.0000000000000001E-3</v>
      </c>
      <c r="N2438">
        <v>9</v>
      </c>
      <c r="O2438" s="8">
        <v>17.362919062478753</v>
      </c>
      <c r="P2438" s="9">
        <v>17.362919062478753</v>
      </c>
      <c r="Q2438" s="9">
        <v>17.362919062478753</v>
      </c>
      <c r="R2438" s="9">
        <v>18.763077462609331</v>
      </c>
      <c r="S2438" s="9">
        <v>20.822367518100933</v>
      </c>
      <c r="T2438" s="9">
        <v>22.932657006868226</v>
      </c>
      <c r="U2438" s="9">
        <v>28.394641309673208</v>
      </c>
      <c r="V2438" s="9">
        <v>28.394641309673208</v>
      </c>
      <c r="W2438" s="9">
        <v>28.394641309673208</v>
      </c>
      <c r="X2438" s="9">
        <v>34.481353453939484</v>
      </c>
      <c r="Y2438" s="9">
        <v>34.481353453939484</v>
      </c>
      <c r="Z2438" s="9">
        <v>40.733986919834194</v>
      </c>
      <c r="AA2438" s="9">
        <v>40.733986919834194</v>
      </c>
      <c r="AB2438" s="9">
        <v>47.204537282413121</v>
      </c>
      <c r="AC2438" s="9">
        <v>47.204537282413121</v>
      </c>
      <c r="AD2438" s="9">
        <v>53.805016474910374</v>
      </c>
      <c r="AE2438" s="9">
        <v>60.552137154404392</v>
      </c>
      <c r="AF2438" s="9">
        <v>67.464818475061875</v>
      </c>
      <c r="AG2438" s="9">
        <v>67.464818475061875</v>
      </c>
      <c r="AH2438" s="9">
        <v>74.129442022189522</v>
      </c>
      <c r="AI2438" s="9">
        <v>81.304669029817305</v>
      </c>
      <c r="AJ2438" s="9">
        <v>3.0428788910505911</v>
      </c>
    </row>
    <row r="2439" spans="1:36" x14ac:dyDescent="0.25">
      <c r="A2439" t="s">
        <v>5411</v>
      </c>
      <c r="B2439" t="s">
        <v>16</v>
      </c>
      <c r="C2439" t="s">
        <v>17</v>
      </c>
      <c r="D2439">
        <v>53120000</v>
      </c>
      <c r="E2439">
        <v>53239999</v>
      </c>
      <c r="F2439" t="s">
        <v>2195</v>
      </c>
      <c r="G2439" t="str">
        <f t="shared" si="76"/>
        <v>PEI</v>
      </c>
      <c r="H2439" t="s">
        <v>2194</v>
      </c>
      <c r="I2439" t="s">
        <v>20</v>
      </c>
      <c r="J2439" t="s">
        <v>62</v>
      </c>
      <c r="K2439" s="6">
        <v>0.03</v>
      </c>
      <c r="L2439" s="7">
        <f t="shared" si="77"/>
        <v>2E-3</v>
      </c>
      <c r="M2439" s="7">
        <v>3.0000000000000001E-3</v>
      </c>
      <c r="N2439">
        <v>9</v>
      </c>
      <c r="O2439" s="8">
        <v>17.362919062478753</v>
      </c>
      <c r="P2439" s="9">
        <v>17.362919062478753</v>
      </c>
      <c r="Q2439" s="9">
        <v>17.362919062478753</v>
      </c>
      <c r="R2439" s="9">
        <v>18.763077462609331</v>
      </c>
      <c r="S2439" s="9">
        <v>20.822367518100933</v>
      </c>
      <c r="T2439" s="9">
        <v>22.932657006868226</v>
      </c>
      <c r="U2439" s="9">
        <v>28.394641309673208</v>
      </c>
      <c r="V2439" s="9">
        <v>28.394641309673208</v>
      </c>
      <c r="W2439" s="9">
        <v>28.394641309673208</v>
      </c>
      <c r="X2439" s="9">
        <v>34.481353453939484</v>
      </c>
      <c r="Y2439" s="9">
        <v>34.481353453939484</v>
      </c>
      <c r="Z2439" s="9">
        <v>40.733986919834194</v>
      </c>
      <c r="AA2439" s="9">
        <v>40.733986919834194</v>
      </c>
      <c r="AB2439" s="9">
        <v>47.204537282413121</v>
      </c>
      <c r="AC2439" s="9">
        <v>47.204537282413121</v>
      </c>
      <c r="AD2439" s="9">
        <v>53.805016474910374</v>
      </c>
      <c r="AE2439" s="9">
        <v>60.552137154404392</v>
      </c>
      <c r="AF2439" s="9">
        <v>67.464818475061875</v>
      </c>
      <c r="AG2439" s="9">
        <v>67.464818475061875</v>
      </c>
      <c r="AH2439" s="9">
        <v>74.129442022189522</v>
      </c>
      <c r="AI2439" s="9">
        <v>81.304669029817305</v>
      </c>
      <c r="AJ2439" s="9">
        <v>3.0428788910505911</v>
      </c>
    </row>
    <row r="2440" spans="1:36" x14ac:dyDescent="0.25">
      <c r="A2440" t="s">
        <v>5411</v>
      </c>
      <c r="B2440" t="s">
        <v>16</v>
      </c>
      <c r="C2440" t="s">
        <v>17</v>
      </c>
      <c r="D2440">
        <v>53240000</v>
      </c>
      <c r="E2440">
        <v>53359999</v>
      </c>
      <c r="F2440" t="s">
        <v>2195</v>
      </c>
      <c r="G2440" t="str">
        <f t="shared" si="76"/>
        <v>PEI</v>
      </c>
      <c r="H2440" t="s">
        <v>2194</v>
      </c>
      <c r="I2440" t="s">
        <v>20</v>
      </c>
      <c r="J2440" t="s">
        <v>62</v>
      </c>
      <c r="K2440" s="6">
        <v>0.03</v>
      </c>
      <c r="L2440" s="7">
        <f t="shared" si="77"/>
        <v>2E-3</v>
      </c>
      <c r="M2440" s="7">
        <v>3.0000000000000001E-3</v>
      </c>
      <c r="N2440">
        <v>9</v>
      </c>
      <c r="O2440" s="8">
        <v>17.362919062478753</v>
      </c>
      <c r="P2440" s="9">
        <v>17.362919062478753</v>
      </c>
      <c r="Q2440" s="9">
        <v>17.362919062478753</v>
      </c>
      <c r="R2440" s="9">
        <v>18.763077462609331</v>
      </c>
      <c r="S2440" s="9">
        <v>20.822367518100933</v>
      </c>
      <c r="T2440" s="9">
        <v>22.932657006868226</v>
      </c>
      <c r="U2440" s="9">
        <v>28.394641309673208</v>
      </c>
      <c r="V2440" s="9">
        <v>28.394641309673208</v>
      </c>
      <c r="W2440" s="9">
        <v>28.394641309673208</v>
      </c>
      <c r="X2440" s="9">
        <v>34.481353453939484</v>
      </c>
      <c r="Y2440" s="9">
        <v>34.481353453939484</v>
      </c>
      <c r="Z2440" s="9">
        <v>40.733986919834194</v>
      </c>
      <c r="AA2440" s="9">
        <v>40.733986919834194</v>
      </c>
      <c r="AB2440" s="9">
        <v>47.204537282413121</v>
      </c>
      <c r="AC2440" s="9">
        <v>47.204537282413121</v>
      </c>
      <c r="AD2440" s="9">
        <v>53.805016474910374</v>
      </c>
      <c r="AE2440" s="9">
        <v>60.552137154404392</v>
      </c>
      <c r="AF2440" s="9">
        <v>67.464818475061875</v>
      </c>
      <c r="AG2440" s="9">
        <v>67.464818475061875</v>
      </c>
      <c r="AH2440" s="9">
        <v>74.129442022189522</v>
      </c>
      <c r="AI2440" s="9">
        <v>81.304669029817305</v>
      </c>
      <c r="AJ2440" s="9">
        <v>3.0428788910505911</v>
      </c>
    </row>
    <row r="2441" spans="1:36" x14ac:dyDescent="0.25">
      <c r="A2441" t="s">
        <v>5411</v>
      </c>
      <c r="B2441" t="s">
        <v>16</v>
      </c>
      <c r="C2441" t="s">
        <v>17</v>
      </c>
      <c r="D2441">
        <v>53360000</v>
      </c>
      <c r="E2441">
        <v>53399999</v>
      </c>
      <c r="F2441" t="s">
        <v>2195</v>
      </c>
      <c r="G2441" t="str">
        <f t="shared" si="76"/>
        <v>PEI</v>
      </c>
      <c r="H2441" t="s">
        <v>2194</v>
      </c>
      <c r="I2441" t="s">
        <v>20</v>
      </c>
      <c r="J2441" t="s">
        <v>62</v>
      </c>
      <c r="K2441" s="6">
        <v>0.03</v>
      </c>
      <c r="L2441" s="7">
        <f t="shared" si="77"/>
        <v>2E-3</v>
      </c>
      <c r="M2441" s="7">
        <v>3.0000000000000001E-3</v>
      </c>
      <c r="N2441">
        <v>9</v>
      </c>
      <c r="O2441" s="8">
        <v>17.362919062478753</v>
      </c>
      <c r="P2441" s="9">
        <v>17.362919062478753</v>
      </c>
      <c r="Q2441" s="9">
        <v>17.362919062478753</v>
      </c>
      <c r="R2441" s="9">
        <v>18.763077462609331</v>
      </c>
      <c r="S2441" s="9">
        <v>20.822367518100933</v>
      </c>
      <c r="T2441" s="9">
        <v>22.932657006868226</v>
      </c>
      <c r="U2441" s="9">
        <v>28.394641309673208</v>
      </c>
      <c r="V2441" s="9">
        <v>28.394641309673208</v>
      </c>
      <c r="W2441" s="9">
        <v>28.394641309673208</v>
      </c>
      <c r="X2441" s="9">
        <v>34.481353453939484</v>
      </c>
      <c r="Y2441" s="9">
        <v>34.481353453939484</v>
      </c>
      <c r="Z2441" s="9">
        <v>40.733986919834194</v>
      </c>
      <c r="AA2441" s="9">
        <v>40.733986919834194</v>
      </c>
      <c r="AB2441" s="9">
        <v>47.204537282413121</v>
      </c>
      <c r="AC2441" s="9">
        <v>47.204537282413121</v>
      </c>
      <c r="AD2441" s="9">
        <v>53.805016474910374</v>
      </c>
      <c r="AE2441" s="9">
        <v>60.552137154404392</v>
      </c>
      <c r="AF2441" s="9">
        <v>67.464818475061875</v>
      </c>
      <c r="AG2441" s="9">
        <v>67.464818475061875</v>
      </c>
      <c r="AH2441" s="9">
        <v>74.129442022189522</v>
      </c>
      <c r="AI2441" s="9">
        <v>81.304669029817305</v>
      </c>
      <c r="AJ2441" s="9">
        <v>3.0428788910505911</v>
      </c>
    </row>
    <row r="2442" spans="1:36" x14ac:dyDescent="0.25">
      <c r="A2442" t="s">
        <v>5411</v>
      </c>
      <c r="B2442" t="s">
        <v>16</v>
      </c>
      <c r="C2442" t="s">
        <v>17</v>
      </c>
      <c r="D2442">
        <v>53400000</v>
      </c>
      <c r="E2442">
        <v>53400999</v>
      </c>
      <c r="F2442" t="s">
        <v>2196</v>
      </c>
      <c r="G2442" t="str">
        <f t="shared" si="76"/>
        <v>PEI</v>
      </c>
      <c r="H2442" t="s">
        <v>2194</v>
      </c>
      <c r="I2442" t="s">
        <v>20</v>
      </c>
      <c r="J2442" t="s">
        <v>62</v>
      </c>
      <c r="K2442" s="6">
        <v>0.03</v>
      </c>
      <c r="L2442" s="7">
        <f t="shared" si="77"/>
        <v>2E-3</v>
      </c>
      <c r="M2442" s="7">
        <v>3.0000000000000001E-3</v>
      </c>
      <c r="N2442">
        <v>9</v>
      </c>
      <c r="O2442" s="8">
        <v>17.362919062478753</v>
      </c>
      <c r="P2442" s="9">
        <v>17.362919062478753</v>
      </c>
      <c r="Q2442" s="9">
        <v>17.362919062478753</v>
      </c>
      <c r="R2442" s="9">
        <v>18.763077462609331</v>
      </c>
      <c r="S2442" s="9">
        <v>20.822367518100933</v>
      </c>
      <c r="T2442" s="9">
        <v>22.932657006868226</v>
      </c>
      <c r="U2442" s="9">
        <v>28.394641309673208</v>
      </c>
      <c r="V2442" s="9">
        <v>28.394641309673208</v>
      </c>
      <c r="W2442" s="9">
        <v>28.394641309673208</v>
      </c>
      <c r="X2442" s="9">
        <v>34.481353453939484</v>
      </c>
      <c r="Y2442" s="9">
        <v>34.481353453939484</v>
      </c>
      <c r="Z2442" s="9">
        <v>40.733986919834194</v>
      </c>
      <c r="AA2442" s="9">
        <v>40.733986919834194</v>
      </c>
      <c r="AB2442" s="9">
        <v>47.204537282413121</v>
      </c>
      <c r="AC2442" s="9">
        <v>47.204537282413121</v>
      </c>
      <c r="AD2442" s="9">
        <v>53.805016474910374</v>
      </c>
      <c r="AE2442" s="9">
        <v>60.552137154404392</v>
      </c>
      <c r="AF2442" s="9">
        <v>67.464818475061875</v>
      </c>
      <c r="AG2442" s="9">
        <v>67.464818475061875</v>
      </c>
      <c r="AH2442" s="9">
        <v>74.129442022189522</v>
      </c>
      <c r="AI2442" s="9">
        <v>81.304669029817305</v>
      </c>
      <c r="AJ2442" s="9">
        <v>3.0428788910505911</v>
      </c>
    </row>
    <row r="2443" spans="1:36" x14ac:dyDescent="0.25">
      <c r="A2443" t="s">
        <v>5411</v>
      </c>
      <c r="B2443" t="s">
        <v>16</v>
      </c>
      <c r="C2443" t="s">
        <v>17</v>
      </c>
      <c r="D2443">
        <v>53401000</v>
      </c>
      <c r="E2443">
        <v>53499999</v>
      </c>
      <c r="F2443" t="s">
        <v>2196</v>
      </c>
      <c r="G2443" t="str">
        <f t="shared" si="76"/>
        <v>PEI</v>
      </c>
      <c r="H2443" t="s">
        <v>2194</v>
      </c>
      <c r="I2443" t="s">
        <v>20</v>
      </c>
      <c r="J2443" t="s">
        <v>62</v>
      </c>
      <c r="K2443" s="6">
        <v>0.03</v>
      </c>
      <c r="L2443" s="7">
        <f t="shared" si="77"/>
        <v>2E-3</v>
      </c>
      <c r="M2443" s="7">
        <v>3.0000000000000001E-3</v>
      </c>
      <c r="N2443">
        <v>9</v>
      </c>
      <c r="O2443" s="8">
        <v>17.362919062478753</v>
      </c>
      <c r="P2443" s="9">
        <v>17.362919062478753</v>
      </c>
      <c r="Q2443" s="9">
        <v>17.362919062478753</v>
      </c>
      <c r="R2443" s="9">
        <v>18.763077462609331</v>
      </c>
      <c r="S2443" s="9">
        <v>20.822367518100933</v>
      </c>
      <c r="T2443" s="9">
        <v>22.932657006868226</v>
      </c>
      <c r="U2443" s="9">
        <v>28.394641309673208</v>
      </c>
      <c r="V2443" s="9">
        <v>28.394641309673208</v>
      </c>
      <c r="W2443" s="9">
        <v>28.394641309673208</v>
      </c>
      <c r="X2443" s="9">
        <v>34.481353453939484</v>
      </c>
      <c r="Y2443" s="9">
        <v>34.481353453939484</v>
      </c>
      <c r="Z2443" s="9">
        <v>40.733986919834194</v>
      </c>
      <c r="AA2443" s="9">
        <v>40.733986919834194</v>
      </c>
      <c r="AB2443" s="9">
        <v>47.204537282413121</v>
      </c>
      <c r="AC2443" s="9">
        <v>47.204537282413121</v>
      </c>
      <c r="AD2443" s="9">
        <v>53.805016474910374</v>
      </c>
      <c r="AE2443" s="9">
        <v>60.552137154404392</v>
      </c>
      <c r="AF2443" s="9">
        <v>67.464818475061875</v>
      </c>
      <c r="AG2443" s="9">
        <v>67.464818475061875</v>
      </c>
      <c r="AH2443" s="9">
        <v>74.129442022189522</v>
      </c>
      <c r="AI2443" s="9">
        <v>81.304669029817305</v>
      </c>
      <c r="AJ2443" s="9">
        <v>3.0428788910505911</v>
      </c>
    </row>
    <row r="2444" spans="1:36" x14ac:dyDescent="0.25">
      <c r="A2444" t="s">
        <v>5411</v>
      </c>
      <c r="B2444" t="s">
        <v>16</v>
      </c>
      <c r="C2444" t="s">
        <v>17</v>
      </c>
      <c r="D2444">
        <v>53500000</v>
      </c>
      <c r="E2444">
        <v>53509999</v>
      </c>
      <c r="F2444" t="s">
        <v>2197</v>
      </c>
      <c r="G2444" t="str">
        <f t="shared" si="76"/>
        <v>PEI</v>
      </c>
      <c r="H2444" t="s">
        <v>2194</v>
      </c>
      <c r="I2444" t="s">
        <v>20</v>
      </c>
      <c r="J2444" t="s">
        <v>62</v>
      </c>
      <c r="K2444" s="6">
        <v>0.03</v>
      </c>
      <c r="L2444" s="7">
        <f t="shared" si="77"/>
        <v>2E-3</v>
      </c>
      <c r="M2444" s="7">
        <v>3.0000000000000001E-3</v>
      </c>
      <c r="N2444">
        <v>9</v>
      </c>
      <c r="O2444" s="8">
        <v>17.362919062478753</v>
      </c>
      <c r="P2444" s="9">
        <v>17.362919062478753</v>
      </c>
      <c r="Q2444" s="9">
        <v>17.362919062478753</v>
      </c>
      <c r="R2444" s="9">
        <v>18.763077462609331</v>
      </c>
      <c r="S2444" s="9">
        <v>20.822367518100933</v>
      </c>
      <c r="T2444" s="9">
        <v>22.932657006868226</v>
      </c>
      <c r="U2444" s="9">
        <v>28.394641309673208</v>
      </c>
      <c r="V2444" s="9">
        <v>28.394641309673208</v>
      </c>
      <c r="W2444" s="9">
        <v>28.394641309673208</v>
      </c>
      <c r="X2444" s="9">
        <v>34.481353453939484</v>
      </c>
      <c r="Y2444" s="9">
        <v>34.481353453939484</v>
      </c>
      <c r="Z2444" s="9">
        <v>40.733986919834194</v>
      </c>
      <c r="AA2444" s="9">
        <v>40.733986919834194</v>
      </c>
      <c r="AB2444" s="9">
        <v>47.204537282413121</v>
      </c>
      <c r="AC2444" s="9">
        <v>47.204537282413121</v>
      </c>
      <c r="AD2444" s="9">
        <v>53.805016474910374</v>
      </c>
      <c r="AE2444" s="9">
        <v>60.552137154404392</v>
      </c>
      <c r="AF2444" s="9">
        <v>67.464818475061875</v>
      </c>
      <c r="AG2444" s="9">
        <v>67.464818475061875</v>
      </c>
      <c r="AH2444" s="9">
        <v>74.129442022189522</v>
      </c>
      <c r="AI2444" s="9">
        <v>81.304669029817305</v>
      </c>
      <c r="AJ2444" s="9">
        <v>3.0428788910505911</v>
      </c>
    </row>
    <row r="2445" spans="1:36" x14ac:dyDescent="0.25">
      <c r="A2445" t="s">
        <v>5411</v>
      </c>
      <c r="B2445" t="s">
        <v>16</v>
      </c>
      <c r="C2445" t="s">
        <v>17</v>
      </c>
      <c r="D2445">
        <v>53510000</v>
      </c>
      <c r="E2445">
        <v>53599999</v>
      </c>
      <c r="F2445" t="s">
        <v>2197</v>
      </c>
      <c r="G2445" t="str">
        <f t="shared" si="76"/>
        <v>PEI</v>
      </c>
      <c r="H2445" t="s">
        <v>2194</v>
      </c>
      <c r="I2445" t="s">
        <v>20</v>
      </c>
      <c r="J2445" t="s">
        <v>62</v>
      </c>
      <c r="K2445" s="6">
        <v>0.03</v>
      </c>
      <c r="L2445" s="7">
        <f t="shared" si="77"/>
        <v>2E-3</v>
      </c>
      <c r="M2445" s="7">
        <v>3.0000000000000001E-3</v>
      </c>
      <c r="N2445">
        <v>9</v>
      </c>
      <c r="O2445" s="8">
        <v>17.362919062478753</v>
      </c>
      <c r="P2445" s="9">
        <v>17.362919062478753</v>
      </c>
      <c r="Q2445" s="9">
        <v>17.362919062478753</v>
      </c>
      <c r="R2445" s="9">
        <v>18.763077462609331</v>
      </c>
      <c r="S2445" s="9">
        <v>20.822367518100933</v>
      </c>
      <c r="T2445" s="9">
        <v>22.932657006868226</v>
      </c>
      <c r="U2445" s="9">
        <v>28.394641309673208</v>
      </c>
      <c r="V2445" s="9">
        <v>28.394641309673208</v>
      </c>
      <c r="W2445" s="9">
        <v>28.394641309673208</v>
      </c>
      <c r="X2445" s="9">
        <v>34.481353453939484</v>
      </c>
      <c r="Y2445" s="9">
        <v>34.481353453939484</v>
      </c>
      <c r="Z2445" s="9">
        <v>40.733986919834194</v>
      </c>
      <c r="AA2445" s="9">
        <v>40.733986919834194</v>
      </c>
      <c r="AB2445" s="9">
        <v>47.204537282413121</v>
      </c>
      <c r="AC2445" s="9">
        <v>47.204537282413121</v>
      </c>
      <c r="AD2445" s="9">
        <v>53.805016474910374</v>
      </c>
      <c r="AE2445" s="9">
        <v>60.552137154404392</v>
      </c>
      <c r="AF2445" s="9">
        <v>67.464818475061875</v>
      </c>
      <c r="AG2445" s="9">
        <v>67.464818475061875</v>
      </c>
      <c r="AH2445" s="9">
        <v>74.129442022189522</v>
      </c>
      <c r="AI2445" s="9">
        <v>81.304669029817305</v>
      </c>
      <c r="AJ2445" s="9">
        <v>3.0428788910505911</v>
      </c>
    </row>
    <row r="2446" spans="1:36" x14ac:dyDescent="0.25">
      <c r="A2446" t="s">
        <v>5411</v>
      </c>
      <c r="B2446" t="s">
        <v>16</v>
      </c>
      <c r="C2446" t="s">
        <v>17</v>
      </c>
      <c r="D2446">
        <v>53600000</v>
      </c>
      <c r="E2446">
        <v>53689999</v>
      </c>
      <c r="F2446" t="s">
        <v>2198</v>
      </c>
      <c r="G2446" t="str">
        <f t="shared" si="76"/>
        <v>PEI</v>
      </c>
      <c r="H2446" t="s">
        <v>2194</v>
      </c>
      <c r="I2446" t="s">
        <v>20</v>
      </c>
      <c r="J2446" t="s">
        <v>62</v>
      </c>
      <c r="K2446" s="6">
        <v>0.03</v>
      </c>
      <c r="L2446" s="7">
        <f t="shared" si="77"/>
        <v>2E-3</v>
      </c>
      <c r="M2446" s="7">
        <v>3.0000000000000001E-3</v>
      </c>
      <c r="N2446">
        <v>10</v>
      </c>
      <c r="O2446" s="8">
        <v>17.362919062478753</v>
      </c>
      <c r="P2446" s="9">
        <v>17.362919062478753</v>
      </c>
      <c r="Q2446" s="9">
        <v>17.362919062478753</v>
      </c>
      <c r="R2446" s="9">
        <v>18.763077462609331</v>
      </c>
      <c r="S2446" s="9">
        <v>20.822367518100933</v>
      </c>
      <c r="T2446" s="9">
        <v>22.932657006868226</v>
      </c>
      <c r="U2446" s="9">
        <v>28.394641309673208</v>
      </c>
      <c r="V2446" s="9">
        <v>28.394641309673208</v>
      </c>
      <c r="W2446" s="9">
        <v>28.394641309673208</v>
      </c>
      <c r="X2446" s="9">
        <v>34.481353453939484</v>
      </c>
      <c r="Y2446" s="9">
        <v>34.481353453939484</v>
      </c>
      <c r="Z2446" s="9">
        <v>40.733986919834194</v>
      </c>
      <c r="AA2446" s="9">
        <v>40.733986919834194</v>
      </c>
      <c r="AB2446" s="9">
        <v>47.204537282413121</v>
      </c>
      <c r="AC2446" s="9">
        <v>47.204537282413121</v>
      </c>
      <c r="AD2446" s="9">
        <v>53.805016474910374</v>
      </c>
      <c r="AE2446" s="9">
        <v>60.552137154404392</v>
      </c>
      <c r="AF2446" s="9">
        <v>67.464818475061875</v>
      </c>
      <c r="AG2446" s="9">
        <v>67.464818475061875</v>
      </c>
      <c r="AH2446" s="9">
        <v>74.129442022189522</v>
      </c>
      <c r="AI2446" s="9">
        <v>81.304669029817305</v>
      </c>
      <c r="AJ2446" s="9">
        <v>3.0428788910505911</v>
      </c>
    </row>
    <row r="2447" spans="1:36" x14ac:dyDescent="0.25">
      <c r="A2447" t="s">
        <v>5411</v>
      </c>
      <c r="B2447" t="s">
        <v>16</v>
      </c>
      <c r="C2447" t="s">
        <v>17</v>
      </c>
      <c r="D2447">
        <v>53690000</v>
      </c>
      <c r="E2447">
        <v>53699999</v>
      </c>
      <c r="F2447" t="s">
        <v>2199</v>
      </c>
      <c r="G2447" t="str">
        <f t="shared" si="76"/>
        <v>PEI II</v>
      </c>
      <c r="H2447" t="s">
        <v>2194</v>
      </c>
      <c r="I2447" t="s">
        <v>20</v>
      </c>
      <c r="J2447" t="s">
        <v>64</v>
      </c>
      <c r="K2447" s="6">
        <v>0.03</v>
      </c>
      <c r="L2447" s="7">
        <f t="shared" si="77"/>
        <v>2E-3</v>
      </c>
      <c r="M2447" s="7">
        <v>3.0000000000000001E-3</v>
      </c>
      <c r="N2447">
        <v>13</v>
      </c>
      <c r="O2447" s="8">
        <v>21.329668724084634</v>
      </c>
      <c r="P2447" s="9">
        <v>21.329668724084634</v>
      </c>
      <c r="Q2447" s="9">
        <v>21.329668724084634</v>
      </c>
      <c r="R2447" s="9">
        <v>23.535187126233286</v>
      </c>
      <c r="S2447" s="9">
        <v>25.969348495460661</v>
      </c>
      <c r="T2447" s="9">
        <v>28.018652515052967</v>
      </c>
      <c r="U2447" s="9">
        <v>34.474261331240129</v>
      </c>
      <c r="V2447" s="9">
        <v>34.474261331240129</v>
      </c>
      <c r="W2447" s="9">
        <v>34.474261331240129</v>
      </c>
      <c r="X2447" s="9">
        <v>41.6797573977124</v>
      </c>
      <c r="Y2447" s="9">
        <v>41.6797573977124</v>
      </c>
      <c r="Z2447" s="9">
        <v>48.964357977567339</v>
      </c>
      <c r="AA2447" s="9">
        <v>48.964357977567339</v>
      </c>
      <c r="AB2447" s="9">
        <v>56.335973522143213</v>
      </c>
      <c r="AC2447" s="9">
        <v>56.335973522143213</v>
      </c>
      <c r="AD2447" s="9">
        <v>65.349051350310745</v>
      </c>
      <c r="AE2447" s="9">
        <v>72.305128962695434</v>
      </c>
      <c r="AF2447" s="9">
        <v>79.365490610542253</v>
      </c>
      <c r="AG2447" s="9">
        <v>79.365490610542253</v>
      </c>
      <c r="AH2447" s="9">
        <v>87.219003417886043</v>
      </c>
      <c r="AI2447" s="9">
        <v>95.054924275940976</v>
      </c>
      <c r="AJ2447" s="9">
        <v>3.0428788910505911</v>
      </c>
    </row>
    <row r="2448" spans="1:36" x14ac:dyDescent="0.25">
      <c r="A2448" t="s">
        <v>5411</v>
      </c>
      <c r="B2448" t="s">
        <v>16</v>
      </c>
      <c r="C2448" t="s">
        <v>17</v>
      </c>
      <c r="D2448">
        <v>53700000</v>
      </c>
      <c r="E2448">
        <v>53899999</v>
      </c>
      <c r="F2448" t="s">
        <v>2200</v>
      </c>
      <c r="G2448" t="str">
        <f t="shared" si="76"/>
        <v>PEI II</v>
      </c>
      <c r="H2448" t="s">
        <v>2194</v>
      </c>
      <c r="I2448" t="s">
        <v>20</v>
      </c>
      <c r="J2448" t="s">
        <v>64</v>
      </c>
      <c r="K2448" s="6">
        <v>0.03</v>
      </c>
      <c r="L2448" s="7">
        <f t="shared" si="77"/>
        <v>2E-3</v>
      </c>
      <c r="M2448" s="7">
        <v>3.0000000000000001E-3</v>
      </c>
      <c r="N2448">
        <v>13</v>
      </c>
      <c r="O2448" s="8">
        <v>21.329668724084634</v>
      </c>
      <c r="P2448" s="9">
        <v>21.329668724084634</v>
      </c>
      <c r="Q2448" s="9">
        <v>21.329668724084634</v>
      </c>
      <c r="R2448" s="9">
        <v>23.535187126233286</v>
      </c>
      <c r="S2448" s="9">
        <v>25.969348495460661</v>
      </c>
      <c r="T2448" s="9">
        <v>28.018652515052967</v>
      </c>
      <c r="U2448" s="9">
        <v>34.474261331240129</v>
      </c>
      <c r="V2448" s="9">
        <v>34.474261331240129</v>
      </c>
      <c r="W2448" s="9">
        <v>34.474261331240129</v>
      </c>
      <c r="X2448" s="9">
        <v>41.6797573977124</v>
      </c>
      <c r="Y2448" s="9">
        <v>41.6797573977124</v>
      </c>
      <c r="Z2448" s="9">
        <v>48.964357977567339</v>
      </c>
      <c r="AA2448" s="9">
        <v>48.964357977567339</v>
      </c>
      <c r="AB2448" s="9">
        <v>56.335973522143213</v>
      </c>
      <c r="AC2448" s="9">
        <v>56.335973522143213</v>
      </c>
      <c r="AD2448" s="9">
        <v>65.349051350310745</v>
      </c>
      <c r="AE2448" s="9">
        <v>72.305128962695434</v>
      </c>
      <c r="AF2448" s="9">
        <v>79.365490610542253</v>
      </c>
      <c r="AG2448" s="9">
        <v>79.365490610542253</v>
      </c>
      <c r="AH2448" s="9">
        <v>87.219003417886043</v>
      </c>
      <c r="AI2448" s="9">
        <v>95.054924275940976</v>
      </c>
      <c r="AJ2448" s="9">
        <v>3.0428788910505911</v>
      </c>
    </row>
    <row r="2449" spans="1:36" x14ac:dyDescent="0.25">
      <c r="A2449" t="s">
        <v>5411</v>
      </c>
      <c r="B2449" t="s">
        <v>16</v>
      </c>
      <c r="C2449" t="s">
        <v>17</v>
      </c>
      <c r="D2449">
        <v>53900000</v>
      </c>
      <c r="E2449">
        <v>53989999</v>
      </c>
      <c r="F2449" t="s">
        <v>2201</v>
      </c>
      <c r="G2449" t="str">
        <f t="shared" si="76"/>
        <v>PEI II</v>
      </c>
      <c r="H2449" t="s">
        <v>2194</v>
      </c>
      <c r="I2449" t="s">
        <v>20</v>
      </c>
      <c r="J2449" t="s">
        <v>64</v>
      </c>
      <c r="K2449" s="6">
        <v>0.03</v>
      </c>
      <c r="L2449" s="7">
        <f t="shared" si="77"/>
        <v>2E-3</v>
      </c>
      <c r="M2449" s="7">
        <v>3.0000000000000001E-3</v>
      </c>
      <c r="N2449">
        <v>13</v>
      </c>
      <c r="O2449" s="8">
        <v>21.329668724084634</v>
      </c>
      <c r="P2449" s="9">
        <v>21.329668724084634</v>
      </c>
      <c r="Q2449" s="9">
        <v>21.329668724084634</v>
      </c>
      <c r="R2449" s="9">
        <v>23.535187126233286</v>
      </c>
      <c r="S2449" s="9">
        <v>25.969348495460661</v>
      </c>
      <c r="T2449" s="9">
        <v>28.018652515052967</v>
      </c>
      <c r="U2449" s="9">
        <v>34.474261331240129</v>
      </c>
      <c r="V2449" s="9">
        <v>34.474261331240129</v>
      </c>
      <c r="W2449" s="9">
        <v>34.474261331240129</v>
      </c>
      <c r="X2449" s="9">
        <v>41.6797573977124</v>
      </c>
      <c r="Y2449" s="9">
        <v>41.6797573977124</v>
      </c>
      <c r="Z2449" s="9">
        <v>48.964357977567339</v>
      </c>
      <c r="AA2449" s="9">
        <v>48.964357977567339</v>
      </c>
      <c r="AB2449" s="9">
        <v>56.335973522143213</v>
      </c>
      <c r="AC2449" s="9">
        <v>56.335973522143213</v>
      </c>
      <c r="AD2449" s="9">
        <v>65.349051350310745</v>
      </c>
      <c r="AE2449" s="9">
        <v>72.305128962695434</v>
      </c>
      <c r="AF2449" s="9">
        <v>79.365490610542253</v>
      </c>
      <c r="AG2449" s="9">
        <v>79.365490610542253</v>
      </c>
      <c r="AH2449" s="9">
        <v>87.219003417886043</v>
      </c>
      <c r="AI2449" s="9">
        <v>95.054924275940976</v>
      </c>
      <c r="AJ2449" s="9">
        <v>3.0428788910505911</v>
      </c>
    </row>
    <row r="2450" spans="1:36" x14ac:dyDescent="0.25">
      <c r="A2450" t="s">
        <v>5411</v>
      </c>
      <c r="B2450" t="s">
        <v>16</v>
      </c>
      <c r="C2450" t="s">
        <v>17</v>
      </c>
      <c r="D2450">
        <v>53990000</v>
      </c>
      <c r="E2450">
        <v>53999999</v>
      </c>
      <c r="F2450" t="s">
        <v>2202</v>
      </c>
      <c r="G2450" t="str">
        <f t="shared" si="76"/>
        <v>PEI II</v>
      </c>
      <c r="H2450" t="s">
        <v>2194</v>
      </c>
      <c r="I2450" t="s">
        <v>20</v>
      </c>
      <c r="J2450" t="s">
        <v>64</v>
      </c>
      <c r="K2450" s="6">
        <v>0.03</v>
      </c>
      <c r="L2450" s="7">
        <f t="shared" si="77"/>
        <v>2E-3</v>
      </c>
      <c r="M2450" s="7">
        <v>3.0000000000000001E-3</v>
      </c>
      <c r="N2450">
        <v>13</v>
      </c>
      <c r="O2450" s="8">
        <v>21.329668724084634</v>
      </c>
      <c r="P2450" s="9">
        <v>21.329668724084634</v>
      </c>
      <c r="Q2450" s="9">
        <v>21.329668724084634</v>
      </c>
      <c r="R2450" s="9">
        <v>23.535187126233286</v>
      </c>
      <c r="S2450" s="9">
        <v>25.969348495460661</v>
      </c>
      <c r="T2450" s="9">
        <v>28.018652515052967</v>
      </c>
      <c r="U2450" s="9">
        <v>34.474261331240129</v>
      </c>
      <c r="V2450" s="9">
        <v>34.474261331240129</v>
      </c>
      <c r="W2450" s="9">
        <v>34.474261331240129</v>
      </c>
      <c r="X2450" s="9">
        <v>41.6797573977124</v>
      </c>
      <c r="Y2450" s="9">
        <v>41.6797573977124</v>
      </c>
      <c r="Z2450" s="9">
        <v>48.964357977567339</v>
      </c>
      <c r="AA2450" s="9">
        <v>48.964357977567339</v>
      </c>
      <c r="AB2450" s="9">
        <v>56.335973522143213</v>
      </c>
      <c r="AC2450" s="9">
        <v>56.335973522143213</v>
      </c>
      <c r="AD2450" s="9">
        <v>65.349051350310745</v>
      </c>
      <c r="AE2450" s="9">
        <v>72.305128962695434</v>
      </c>
      <c r="AF2450" s="9">
        <v>79.365490610542253</v>
      </c>
      <c r="AG2450" s="9">
        <v>79.365490610542253</v>
      </c>
      <c r="AH2450" s="9">
        <v>87.219003417886043</v>
      </c>
      <c r="AI2450" s="9">
        <v>95.054924275940976</v>
      </c>
      <c r="AJ2450" s="9">
        <v>3.0428788910505911</v>
      </c>
    </row>
    <row r="2451" spans="1:36" x14ac:dyDescent="0.25">
      <c r="A2451" t="s">
        <v>5411</v>
      </c>
      <c r="B2451" t="s">
        <v>16</v>
      </c>
      <c r="C2451" t="s">
        <v>17</v>
      </c>
      <c r="D2451">
        <v>54000000</v>
      </c>
      <c r="E2451">
        <v>54069999</v>
      </c>
      <c r="F2451" t="s">
        <v>2203</v>
      </c>
      <c r="G2451" t="str">
        <f t="shared" si="76"/>
        <v>PEI</v>
      </c>
      <c r="H2451" t="s">
        <v>2194</v>
      </c>
      <c r="I2451" t="s">
        <v>20</v>
      </c>
      <c r="J2451" t="s">
        <v>62</v>
      </c>
      <c r="K2451" s="6">
        <v>0.03</v>
      </c>
      <c r="L2451" s="7">
        <f t="shared" si="77"/>
        <v>2E-3</v>
      </c>
      <c r="M2451" s="7">
        <v>3.0000000000000001E-3</v>
      </c>
      <c r="N2451">
        <v>8</v>
      </c>
      <c r="O2451" s="8">
        <v>17.362919062478753</v>
      </c>
      <c r="P2451" s="9">
        <v>17.362919062478753</v>
      </c>
      <c r="Q2451" s="9">
        <v>17.362919062478753</v>
      </c>
      <c r="R2451" s="9">
        <v>18.763077462609331</v>
      </c>
      <c r="S2451" s="9">
        <v>20.822367518100933</v>
      </c>
      <c r="T2451" s="9">
        <v>22.932657006868226</v>
      </c>
      <c r="U2451" s="9">
        <v>28.394641309673208</v>
      </c>
      <c r="V2451" s="9">
        <v>28.394641309673208</v>
      </c>
      <c r="W2451" s="9">
        <v>28.394641309673208</v>
      </c>
      <c r="X2451" s="9">
        <v>34.481353453939484</v>
      </c>
      <c r="Y2451" s="9">
        <v>34.481353453939484</v>
      </c>
      <c r="Z2451" s="9">
        <v>40.733986919834194</v>
      </c>
      <c r="AA2451" s="9">
        <v>40.733986919834194</v>
      </c>
      <c r="AB2451" s="9">
        <v>47.204537282413121</v>
      </c>
      <c r="AC2451" s="9">
        <v>47.204537282413121</v>
      </c>
      <c r="AD2451" s="9">
        <v>53.805016474910374</v>
      </c>
      <c r="AE2451" s="9">
        <v>60.552137154404392</v>
      </c>
      <c r="AF2451" s="9">
        <v>67.464818475061875</v>
      </c>
      <c r="AG2451" s="9">
        <v>67.464818475061875</v>
      </c>
      <c r="AH2451" s="9">
        <v>74.129442022189522</v>
      </c>
      <c r="AI2451" s="9">
        <v>81.304669029817305</v>
      </c>
      <c r="AJ2451" s="9">
        <v>3.0428788910505911</v>
      </c>
    </row>
    <row r="2452" spans="1:36" x14ac:dyDescent="0.25">
      <c r="A2452" t="s">
        <v>5411</v>
      </c>
      <c r="B2452" t="s">
        <v>16</v>
      </c>
      <c r="C2452" t="s">
        <v>17</v>
      </c>
      <c r="D2452">
        <v>54070000</v>
      </c>
      <c r="E2452">
        <v>54219999</v>
      </c>
      <c r="F2452" t="s">
        <v>2203</v>
      </c>
      <c r="G2452" t="str">
        <f t="shared" si="76"/>
        <v>PEI</v>
      </c>
      <c r="H2452" t="s">
        <v>2194</v>
      </c>
      <c r="I2452" t="s">
        <v>20</v>
      </c>
      <c r="J2452" t="s">
        <v>62</v>
      </c>
      <c r="K2452" s="6">
        <v>0.03</v>
      </c>
      <c r="L2452" s="7">
        <f t="shared" si="77"/>
        <v>2E-3</v>
      </c>
      <c r="M2452" s="7">
        <v>3.0000000000000001E-3</v>
      </c>
      <c r="N2452">
        <v>8</v>
      </c>
      <c r="O2452" s="8">
        <v>17.362919062478753</v>
      </c>
      <c r="P2452" s="9">
        <v>17.362919062478753</v>
      </c>
      <c r="Q2452" s="9">
        <v>17.362919062478753</v>
      </c>
      <c r="R2452" s="9">
        <v>18.763077462609331</v>
      </c>
      <c r="S2452" s="9">
        <v>20.822367518100933</v>
      </c>
      <c r="T2452" s="9">
        <v>22.932657006868226</v>
      </c>
      <c r="U2452" s="9">
        <v>28.394641309673208</v>
      </c>
      <c r="V2452" s="9">
        <v>28.394641309673208</v>
      </c>
      <c r="W2452" s="9">
        <v>28.394641309673208</v>
      </c>
      <c r="X2452" s="9">
        <v>34.481353453939484</v>
      </c>
      <c r="Y2452" s="9">
        <v>34.481353453939484</v>
      </c>
      <c r="Z2452" s="9">
        <v>40.733986919834194</v>
      </c>
      <c r="AA2452" s="9">
        <v>40.733986919834194</v>
      </c>
      <c r="AB2452" s="9">
        <v>47.204537282413121</v>
      </c>
      <c r="AC2452" s="9">
        <v>47.204537282413121</v>
      </c>
      <c r="AD2452" s="9">
        <v>53.805016474910374</v>
      </c>
      <c r="AE2452" s="9">
        <v>60.552137154404392</v>
      </c>
      <c r="AF2452" s="9">
        <v>67.464818475061875</v>
      </c>
      <c r="AG2452" s="9">
        <v>67.464818475061875</v>
      </c>
      <c r="AH2452" s="9">
        <v>74.129442022189522</v>
      </c>
      <c r="AI2452" s="9">
        <v>81.304669029817305</v>
      </c>
      <c r="AJ2452" s="9">
        <v>3.0428788910505911</v>
      </c>
    </row>
    <row r="2453" spans="1:36" x14ac:dyDescent="0.25">
      <c r="A2453" t="s">
        <v>5411</v>
      </c>
      <c r="B2453" t="s">
        <v>16</v>
      </c>
      <c r="C2453" t="s">
        <v>17</v>
      </c>
      <c r="D2453">
        <v>54220000</v>
      </c>
      <c r="E2453">
        <v>54319999</v>
      </c>
      <c r="F2453" t="s">
        <v>2203</v>
      </c>
      <c r="G2453" t="str">
        <f t="shared" si="76"/>
        <v>PEI</v>
      </c>
      <c r="H2453" t="s">
        <v>2194</v>
      </c>
      <c r="I2453" t="s">
        <v>20</v>
      </c>
      <c r="J2453" t="s">
        <v>62</v>
      </c>
      <c r="K2453" s="6">
        <v>0.03</v>
      </c>
      <c r="L2453" s="7">
        <f t="shared" si="77"/>
        <v>2E-3</v>
      </c>
      <c r="M2453" s="7">
        <v>3.0000000000000001E-3</v>
      </c>
      <c r="N2453">
        <v>8</v>
      </c>
      <c r="O2453" s="8">
        <v>17.362919062478753</v>
      </c>
      <c r="P2453" s="9">
        <v>17.362919062478753</v>
      </c>
      <c r="Q2453" s="9">
        <v>17.362919062478753</v>
      </c>
      <c r="R2453" s="9">
        <v>18.763077462609331</v>
      </c>
      <c r="S2453" s="9">
        <v>20.822367518100933</v>
      </c>
      <c r="T2453" s="9">
        <v>22.932657006868226</v>
      </c>
      <c r="U2453" s="9">
        <v>28.394641309673208</v>
      </c>
      <c r="V2453" s="9">
        <v>28.394641309673208</v>
      </c>
      <c r="W2453" s="9">
        <v>28.394641309673208</v>
      </c>
      <c r="X2453" s="9">
        <v>34.481353453939484</v>
      </c>
      <c r="Y2453" s="9">
        <v>34.481353453939484</v>
      </c>
      <c r="Z2453" s="9">
        <v>40.733986919834194</v>
      </c>
      <c r="AA2453" s="9">
        <v>40.733986919834194</v>
      </c>
      <c r="AB2453" s="9">
        <v>47.204537282413121</v>
      </c>
      <c r="AC2453" s="9">
        <v>47.204537282413121</v>
      </c>
      <c r="AD2453" s="9">
        <v>53.805016474910374</v>
      </c>
      <c r="AE2453" s="9">
        <v>60.552137154404392</v>
      </c>
      <c r="AF2453" s="9">
        <v>67.464818475061875</v>
      </c>
      <c r="AG2453" s="9">
        <v>67.464818475061875</v>
      </c>
      <c r="AH2453" s="9">
        <v>74.129442022189522</v>
      </c>
      <c r="AI2453" s="9">
        <v>81.304669029817305</v>
      </c>
      <c r="AJ2453" s="9">
        <v>3.0428788910505911</v>
      </c>
    </row>
    <row r="2454" spans="1:36" x14ac:dyDescent="0.25">
      <c r="A2454" t="s">
        <v>5411</v>
      </c>
      <c r="B2454" t="s">
        <v>16</v>
      </c>
      <c r="C2454" t="s">
        <v>17</v>
      </c>
      <c r="D2454">
        <v>54320000</v>
      </c>
      <c r="E2454">
        <v>54419999</v>
      </c>
      <c r="F2454" t="s">
        <v>2203</v>
      </c>
      <c r="G2454" t="str">
        <f t="shared" si="76"/>
        <v>PEI</v>
      </c>
      <c r="H2454" t="s">
        <v>2194</v>
      </c>
      <c r="I2454" t="s">
        <v>20</v>
      </c>
      <c r="J2454" t="s">
        <v>62</v>
      </c>
      <c r="K2454" s="6">
        <v>0.03</v>
      </c>
      <c r="L2454" s="7">
        <f t="shared" si="77"/>
        <v>2E-3</v>
      </c>
      <c r="M2454" s="7">
        <v>3.0000000000000001E-3</v>
      </c>
      <c r="N2454">
        <v>8</v>
      </c>
      <c r="O2454" s="8">
        <v>17.362919062478753</v>
      </c>
      <c r="P2454" s="9">
        <v>17.362919062478753</v>
      </c>
      <c r="Q2454" s="9">
        <v>17.362919062478753</v>
      </c>
      <c r="R2454" s="9">
        <v>18.763077462609331</v>
      </c>
      <c r="S2454" s="9">
        <v>20.822367518100933</v>
      </c>
      <c r="T2454" s="9">
        <v>22.932657006868226</v>
      </c>
      <c r="U2454" s="9">
        <v>28.394641309673208</v>
      </c>
      <c r="V2454" s="9">
        <v>28.394641309673208</v>
      </c>
      <c r="W2454" s="9">
        <v>28.394641309673208</v>
      </c>
      <c r="X2454" s="9">
        <v>34.481353453939484</v>
      </c>
      <c r="Y2454" s="9">
        <v>34.481353453939484</v>
      </c>
      <c r="Z2454" s="9">
        <v>40.733986919834194</v>
      </c>
      <c r="AA2454" s="9">
        <v>40.733986919834194</v>
      </c>
      <c r="AB2454" s="9">
        <v>47.204537282413121</v>
      </c>
      <c r="AC2454" s="9">
        <v>47.204537282413121</v>
      </c>
      <c r="AD2454" s="9">
        <v>53.805016474910374</v>
      </c>
      <c r="AE2454" s="9">
        <v>60.552137154404392</v>
      </c>
      <c r="AF2454" s="9">
        <v>67.464818475061875</v>
      </c>
      <c r="AG2454" s="9">
        <v>67.464818475061875</v>
      </c>
      <c r="AH2454" s="9">
        <v>74.129442022189522</v>
      </c>
      <c r="AI2454" s="9">
        <v>81.304669029817305</v>
      </c>
      <c r="AJ2454" s="9">
        <v>3.0428788910505911</v>
      </c>
    </row>
    <row r="2455" spans="1:36" x14ac:dyDescent="0.25">
      <c r="A2455" t="s">
        <v>5411</v>
      </c>
      <c r="B2455" t="s">
        <v>16</v>
      </c>
      <c r="C2455" t="s">
        <v>17</v>
      </c>
      <c r="D2455">
        <v>54420000</v>
      </c>
      <c r="E2455">
        <v>54499999</v>
      </c>
      <c r="F2455" t="s">
        <v>2203</v>
      </c>
      <c r="G2455" t="str">
        <f t="shared" si="76"/>
        <v>PEI</v>
      </c>
      <c r="H2455" t="s">
        <v>2194</v>
      </c>
      <c r="I2455" t="s">
        <v>20</v>
      </c>
      <c r="J2455" t="s">
        <v>62</v>
      </c>
      <c r="K2455" s="6">
        <v>0.03</v>
      </c>
      <c r="L2455" s="7">
        <f t="shared" si="77"/>
        <v>2E-3</v>
      </c>
      <c r="M2455" s="7">
        <v>3.0000000000000001E-3</v>
      </c>
      <c r="N2455">
        <v>8</v>
      </c>
      <c r="O2455" s="8">
        <v>17.362919062478753</v>
      </c>
      <c r="P2455" s="9">
        <v>17.362919062478753</v>
      </c>
      <c r="Q2455" s="9">
        <v>17.362919062478753</v>
      </c>
      <c r="R2455" s="9">
        <v>18.763077462609331</v>
      </c>
      <c r="S2455" s="9">
        <v>20.822367518100933</v>
      </c>
      <c r="T2455" s="9">
        <v>22.932657006868226</v>
      </c>
      <c r="U2455" s="9">
        <v>28.394641309673208</v>
      </c>
      <c r="V2455" s="9">
        <v>28.394641309673208</v>
      </c>
      <c r="W2455" s="9">
        <v>28.394641309673208</v>
      </c>
      <c r="X2455" s="9">
        <v>34.481353453939484</v>
      </c>
      <c r="Y2455" s="9">
        <v>34.481353453939484</v>
      </c>
      <c r="Z2455" s="9">
        <v>40.733986919834194</v>
      </c>
      <c r="AA2455" s="9">
        <v>40.733986919834194</v>
      </c>
      <c r="AB2455" s="9">
        <v>47.204537282413121</v>
      </c>
      <c r="AC2455" s="9">
        <v>47.204537282413121</v>
      </c>
      <c r="AD2455" s="9">
        <v>53.805016474910374</v>
      </c>
      <c r="AE2455" s="9">
        <v>60.552137154404392</v>
      </c>
      <c r="AF2455" s="9">
        <v>67.464818475061875</v>
      </c>
      <c r="AG2455" s="9">
        <v>67.464818475061875</v>
      </c>
      <c r="AH2455" s="9">
        <v>74.129442022189522</v>
      </c>
      <c r="AI2455" s="9">
        <v>81.304669029817305</v>
      </c>
      <c r="AJ2455" s="9">
        <v>3.0428788910505911</v>
      </c>
    </row>
    <row r="2456" spans="1:36" x14ac:dyDescent="0.25">
      <c r="A2456" t="s">
        <v>5411</v>
      </c>
      <c r="B2456" t="s">
        <v>16</v>
      </c>
      <c r="C2456" t="s">
        <v>17</v>
      </c>
      <c r="D2456">
        <v>54500000</v>
      </c>
      <c r="E2456">
        <v>54699999</v>
      </c>
      <c r="F2456" t="s">
        <v>2204</v>
      </c>
      <c r="G2456" t="str">
        <f t="shared" si="76"/>
        <v>PEI</v>
      </c>
      <c r="H2456" t="s">
        <v>2194</v>
      </c>
      <c r="I2456" t="s">
        <v>20</v>
      </c>
      <c r="J2456" t="s">
        <v>62</v>
      </c>
      <c r="K2456" s="6">
        <v>0.03</v>
      </c>
      <c r="L2456" s="7">
        <f t="shared" si="77"/>
        <v>2E-3</v>
      </c>
      <c r="M2456" s="7">
        <v>3.0000000000000001E-3</v>
      </c>
      <c r="N2456">
        <v>10</v>
      </c>
      <c r="O2456" s="8">
        <v>17.362919062478753</v>
      </c>
      <c r="P2456" s="9">
        <v>17.362919062478753</v>
      </c>
      <c r="Q2456" s="9">
        <v>17.362919062478753</v>
      </c>
      <c r="R2456" s="9">
        <v>18.763077462609331</v>
      </c>
      <c r="S2456" s="9">
        <v>20.822367518100933</v>
      </c>
      <c r="T2456" s="9">
        <v>22.932657006868226</v>
      </c>
      <c r="U2456" s="9">
        <v>28.394641309673208</v>
      </c>
      <c r="V2456" s="9">
        <v>28.394641309673208</v>
      </c>
      <c r="W2456" s="9">
        <v>28.394641309673208</v>
      </c>
      <c r="X2456" s="9">
        <v>34.481353453939484</v>
      </c>
      <c r="Y2456" s="9">
        <v>34.481353453939484</v>
      </c>
      <c r="Z2456" s="9">
        <v>40.733986919834194</v>
      </c>
      <c r="AA2456" s="9">
        <v>40.733986919834194</v>
      </c>
      <c r="AB2456" s="9">
        <v>47.204537282413121</v>
      </c>
      <c r="AC2456" s="9">
        <v>47.204537282413121</v>
      </c>
      <c r="AD2456" s="9">
        <v>53.805016474910374</v>
      </c>
      <c r="AE2456" s="9">
        <v>60.552137154404392</v>
      </c>
      <c r="AF2456" s="9">
        <v>67.464818475061875</v>
      </c>
      <c r="AG2456" s="9">
        <v>67.464818475061875</v>
      </c>
      <c r="AH2456" s="9">
        <v>74.129442022189522</v>
      </c>
      <c r="AI2456" s="9">
        <v>81.304669029817305</v>
      </c>
      <c r="AJ2456" s="9">
        <v>3.0428788910505911</v>
      </c>
    </row>
    <row r="2457" spans="1:36" x14ac:dyDescent="0.25">
      <c r="A2457" t="s">
        <v>5411</v>
      </c>
      <c r="B2457" t="s">
        <v>16</v>
      </c>
      <c r="C2457" t="s">
        <v>17</v>
      </c>
      <c r="D2457">
        <v>54700000</v>
      </c>
      <c r="E2457">
        <v>54723009</v>
      </c>
      <c r="F2457" t="s">
        <v>2205</v>
      </c>
      <c r="G2457" t="str">
        <f t="shared" si="76"/>
        <v>PEI</v>
      </c>
      <c r="H2457" t="s">
        <v>2194</v>
      </c>
      <c r="I2457" t="s">
        <v>20</v>
      </c>
      <c r="J2457" t="s">
        <v>62</v>
      </c>
      <c r="K2457" s="6">
        <v>0.03</v>
      </c>
      <c r="L2457" s="7">
        <f t="shared" si="77"/>
        <v>2E-3</v>
      </c>
      <c r="M2457" s="7">
        <v>3.0000000000000001E-3</v>
      </c>
      <c r="N2457">
        <v>9</v>
      </c>
      <c r="O2457" s="8">
        <v>17.362919062478753</v>
      </c>
      <c r="P2457" s="9">
        <v>17.362919062478753</v>
      </c>
      <c r="Q2457" s="9">
        <v>17.362919062478753</v>
      </c>
      <c r="R2457" s="9">
        <v>18.763077462609331</v>
      </c>
      <c r="S2457" s="9">
        <v>20.822367518100933</v>
      </c>
      <c r="T2457" s="9">
        <v>22.932657006868226</v>
      </c>
      <c r="U2457" s="9">
        <v>28.394641309673208</v>
      </c>
      <c r="V2457" s="9">
        <v>28.394641309673208</v>
      </c>
      <c r="W2457" s="9">
        <v>28.394641309673208</v>
      </c>
      <c r="X2457" s="9">
        <v>34.481353453939484</v>
      </c>
      <c r="Y2457" s="9">
        <v>34.481353453939484</v>
      </c>
      <c r="Z2457" s="9">
        <v>40.733986919834194</v>
      </c>
      <c r="AA2457" s="9">
        <v>40.733986919834194</v>
      </c>
      <c r="AB2457" s="9">
        <v>47.204537282413121</v>
      </c>
      <c r="AC2457" s="9">
        <v>47.204537282413121</v>
      </c>
      <c r="AD2457" s="9">
        <v>53.805016474910374</v>
      </c>
      <c r="AE2457" s="9">
        <v>60.552137154404392</v>
      </c>
      <c r="AF2457" s="9">
        <v>67.464818475061875</v>
      </c>
      <c r="AG2457" s="9">
        <v>67.464818475061875</v>
      </c>
      <c r="AH2457" s="9">
        <v>74.129442022189522</v>
      </c>
      <c r="AI2457" s="9">
        <v>81.304669029817305</v>
      </c>
      <c r="AJ2457" s="9">
        <v>3.0428788910505911</v>
      </c>
    </row>
    <row r="2458" spans="1:36" x14ac:dyDescent="0.25">
      <c r="A2458" t="s">
        <v>5411</v>
      </c>
      <c r="B2458" t="s">
        <v>16</v>
      </c>
      <c r="C2458" t="s">
        <v>17</v>
      </c>
      <c r="D2458">
        <v>54723010</v>
      </c>
      <c r="E2458">
        <v>54749999</v>
      </c>
      <c r="F2458" t="s">
        <v>2205</v>
      </c>
      <c r="G2458" t="str">
        <f t="shared" si="76"/>
        <v>PEI</v>
      </c>
      <c r="H2458" t="s">
        <v>2194</v>
      </c>
      <c r="I2458" t="s">
        <v>20</v>
      </c>
      <c r="J2458" t="s">
        <v>62</v>
      </c>
      <c r="K2458" s="6">
        <v>0.03</v>
      </c>
      <c r="L2458" s="7">
        <f t="shared" si="77"/>
        <v>2E-3</v>
      </c>
      <c r="M2458" s="7">
        <v>3.0000000000000001E-3</v>
      </c>
      <c r="N2458">
        <v>9</v>
      </c>
      <c r="O2458" s="8">
        <v>17.362919062478753</v>
      </c>
      <c r="P2458" s="9">
        <v>17.362919062478753</v>
      </c>
      <c r="Q2458" s="9">
        <v>17.362919062478753</v>
      </c>
      <c r="R2458" s="9">
        <v>18.763077462609331</v>
      </c>
      <c r="S2458" s="9">
        <v>20.822367518100933</v>
      </c>
      <c r="T2458" s="9">
        <v>22.932657006868226</v>
      </c>
      <c r="U2458" s="9">
        <v>28.394641309673208</v>
      </c>
      <c r="V2458" s="9">
        <v>28.394641309673208</v>
      </c>
      <c r="W2458" s="9">
        <v>28.394641309673208</v>
      </c>
      <c r="X2458" s="9">
        <v>34.481353453939484</v>
      </c>
      <c r="Y2458" s="9">
        <v>34.481353453939484</v>
      </c>
      <c r="Z2458" s="9">
        <v>40.733986919834194</v>
      </c>
      <c r="AA2458" s="9">
        <v>40.733986919834194</v>
      </c>
      <c r="AB2458" s="9">
        <v>47.204537282413121</v>
      </c>
      <c r="AC2458" s="9">
        <v>47.204537282413121</v>
      </c>
      <c r="AD2458" s="9">
        <v>53.805016474910374</v>
      </c>
      <c r="AE2458" s="9">
        <v>60.552137154404392</v>
      </c>
      <c r="AF2458" s="9">
        <v>67.464818475061875</v>
      </c>
      <c r="AG2458" s="9">
        <v>67.464818475061875</v>
      </c>
      <c r="AH2458" s="9">
        <v>74.129442022189522</v>
      </c>
      <c r="AI2458" s="9">
        <v>81.304669029817305</v>
      </c>
      <c r="AJ2458" s="9">
        <v>3.0428788910505911</v>
      </c>
    </row>
    <row r="2459" spans="1:36" x14ac:dyDescent="0.25">
      <c r="A2459" t="s">
        <v>5411</v>
      </c>
      <c r="B2459" t="s">
        <v>16</v>
      </c>
      <c r="C2459" t="s">
        <v>17</v>
      </c>
      <c r="D2459">
        <v>54750000</v>
      </c>
      <c r="E2459">
        <v>54799999</v>
      </c>
      <c r="F2459" t="s">
        <v>2206</v>
      </c>
      <c r="G2459" t="str">
        <f t="shared" si="76"/>
        <v>PEI</v>
      </c>
      <c r="H2459" t="s">
        <v>2194</v>
      </c>
      <c r="I2459" t="s">
        <v>20</v>
      </c>
      <c r="J2459" t="s">
        <v>62</v>
      </c>
      <c r="K2459" s="6">
        <v>0.03</v>
      </c>
      <c r="L2459" s="7">
        <f t="shared" si="77"/>
        <v>2E-3</v>
      </c>
      <c r="M2459" s="7">
        <v>3.0000000000000001E-3</v>
      </c>
      <c r="N2459">
        <v>9</v>
      </c>
      <c r="O2459" s="8">
        <v>17.362919062478753</v>
      </c>
      <c r="P2459" s="9">
        <v>17.362919062478753</v>
      </c>
      <c r="Q2459" s="9">
        <v>17.362919062478753</v>
      </c>
      <c r="R2459" s="9">
        <v>18.763077462609331</v>
      </c>
      <c r="S2459" s="9">
        <v>20.822367518100933</v>
      </c>
      <c r="T2459" s="9">
        <v>22.932657006868226</v>
      </c>
      <c r="U2459" s="9">
        <v>28.394641309673208</v>
      </c>
      <c r="V2459" s="9">
        <v>28.394641309673208</v>
      </c>
      <c r="W2459" s="9">
        <v>28.394641309673208</v>
      </c>
      <c r="X2459" s="9">
        <v>34.481353453939484</v>
      </c>
      <c r="Y2459" s="9">
        <v>34.481353453939484</v>
      </c>
      <c r="Z2459" s="9">
        <v>40.733986919834194</v>
      </c>
      <c r="AA2459" s="9">
        <v>40.733986919834194</v>
      </c>
      <c r="AB2459" s="9">
        <v>47.204537282413121</v>
      </c>
      <c r="AC2459" s="9">
        <v>47.204537282413121</v>
      </c>
      <c r="AD2459" s="9">
        <v>53.805016474910374</v>
      </c>
      <c r="AE2459" s="9">
        <v>60.552137154404392</v>
      </c>
      <c r="AF2459" s="9">
        <v>67.464818475061875</v>
      </c>
      <c r="AG2459" s="9">
        <v>67.464818475061875</v>
      </c>
      <c r="AH2459" s="9">
        <v>74.129442022189522</v>
      </c>
      <c r="AI2459" s="9">
        <v>81.304669029817305</v>
      </c>
      <c r="AJ2459" s="9">
        <v>3.0428788910505911</v>
      </c>
    </row>
    <row r="2460" spans="1:36" x14ac:dyDescent="0.25">
      <c r="A2460" t="s">
        <v>5411</v>
      </c>
      <c r="B2460" t="s">
        <v>16</v>
      </c>
      <c r="C2460" t="s">
        <v>17</v>
      </c>
      <c r="D2460">
        <v>54800000</v>
      </c>
      <c r="E2460">
        <v>54999999</v>
      </c>
      <c r="F2460" t="s">
        <v>2207</v>
      </c>
      <c r="G2460" t="str">
        <f t="shared" si="76"/>
        <v>PEI</v>
      </c>
      <c r="H2460" t="s">
        <v>2194</v>
      </c>
      <c r="I2460" t="s">
        <v>20</v>
      </c>
      <c r="J2460" t="s">
        <v>62</v>
      </c>
      <c r="K2460" s="6">
        <v>0.03</v>
      </c>
      <c r="L2460" s="7">
        <f t="shared" si="77"/>
        <v>2E-3</v>
      </c>
      <c r="M2460" s="7">
        <v>3.0000000000000001E-3</v>
      </c>
      <c r="N2460">
        <v>10</v>
      </c>
      <c r="O2460" s="8">
        <v>17.362919062478753</v>
      </c>
      <c r="P2460" s="9">
        <v>17.362919062478753</v>
      </c>
      <c r="Q2460" s="9">
        <v>17.362919062478753</v>
      </c>
      <c r="R2460" s="9">
        <v>18.763077462609331</v>
      </c>
      <c r="S2460" s="9">
        <v>20.822367518100933</v>
      </c>
      <c r="T2460" s="9">
        <v>22.932657006868226</v>
      </c>
      <c r="U2460" s="9">
        <v>28.394641309673208</v>
      </c>
      <c r="V2460" s="9">
        <v>28.394641309673208</v>
      </c>
      <c r="W2460" s="9">
        <v>28.394641309673208</v>
      </c>
      <c r="X2460" s="9">
        <v>34.481353453939484</v>
      </c>
      <c r="Y2460" s="9">
        <v>34.481353453939484</v>
      </c>
      <c r="Z2460" s="9">
        <v>40.733986919834194</v>
      </c>
      <c r="AA2460" s="9">
        <v>40.733986919834194</v>
      </c>
      <c r="AB2460" s="9">
        <v>47.204537282413121</v>
      </c>
      <c r="AC2460" s="9">
        <v>47.204537282413121</v>
      </c>
      <c r="AD2460" s="9">
        <v>53.805016474910374</v>
      </c>
      <c r="AE2460" s="9">
        <v>60.552137154404392</v>
      </c>
      <c r="AF2460" s="9">
        <v>67.464818475061875</v>
      </c>
      <c r="AG2460" s="9">
        <v>67.464818475061875</v>
      </c>
      <c r="AH2460" s="9">
        <v>74.129442022189522</v>
      </c>
      <c r="AI2460" s="9">
        <v>81.304669029817305</v>
      </c>
      <c r="AJ2460" s="9">
        <v>3.0428788910505911</v>
      </c>
    </row>
    <row r="2461" spans="1:36" x14ac:dyDescent="0.25">
      <c r="A2461" t="s">
        <v>5411</v>
      </c>
      <c r="B2461" t="s">
        <v>16</v>
      </c>
      <c r="C2461" t="s">
        <v>17</v>
      </c>
      <c r="D2461">
        <v>55000000</v>
      </c>
      <c r="E2461">
        <v>55119999</v>
      </c>
      <c r="F2461" t="s">
        <v>2208</v>
      </c>
      <c r="G2461" t="str">
        <f t="shared" si="76"/>
        <v>PEI</v>
      </c>
      <c r="H2461" t="s">
        <v>2194</v>
      </c>
      <c r="I2461" t="s">
        <v>20</v>
      </c>
      <c r="J2461" t="s">
        <v>62</v>
      </c>
      <c r="K2461" s="6">
        <v>0.03</v>
      </c>
      <c r="L2461" s="7">
        <f t="shared" si="77"/>
        <v>2E-3</v>
      </c>
      <c r="M2461" s="7">
        <v>3.0000000000000001E-3</v>
      </c>
      <c r="N2461">
        <v>9</v>
      </c>
      <c r="O2461" s="8">
        <v>17.362919062478753</v>
      </c>
      <c r="P2461" s="9">
        <v>17.362919062478753</v>
      </c>
      <c r="Q2461" s="9">
        <v>17.362919062478753</v>
      </c>
      <c r="R2461" s="9">
        <v>18.763077462609331</v>
      </c>
      <c r="S2461" s="9">
        <v>20.822367518100933</v>
      </c>
      <c r="T2461" s="9">
        <v>22.932657006868226</v>
      </c>
      <c r="U2461" s="9">
        <v>28.394641309673208</v>
      </c>
      <c r="V2461" s="9">
        <v>28.394641309673208</v>
      </c>
      <c r="W2461" s="9">
        <v>28.394641309673208</v>
      </c>
      <c r="X2461" s="9">
        <v>34.481353453939484</v>
      </c>
      <c r="Y2461" s="9">
        <v>34.481353453939484</v>
      </c>
      <c r="Z2461" s="9">
        <v>40.733986919834194</v>
      </c>
      <c r="AA2461" s="9">
        <v>40.733986919834194</v>
      </c>
      <c r="AB2461" s="9">
        <v>47.204537282413121</v>
      </c>
      <c r="AC2461" s="9">
        <v>47.204537282413121</v>
      </c>
      <c r="AD2461" s="9">
        <v>53.805016474910374</v>
      </c>
      <c r="AE2461" s="9">
        <v>60.552137154404392</v>
      </c>
      <c r="AF2461" s="9">
        <v>67.464818475061875</v>
      </c>
      <c r="AG2461" s="9">
        <v>67.464818475061875</v>
      </c>
      <c r="AH2461" s="9">
        <v>74.129442022189522</v>
      </c>
      <c r="AI2461" s="9">
        <v>81.304669029817305</v>
      </c>
      <c r="AJ2461" s="9">
        <v>3.0428788910505911</v>
      </c>
    </row>
    <row r="2462" spans="1:36" x14ac:dyDescent="0.25">
      <c r="A2462" t="s">
        <v>5411</v>
      </c>
      <c r="B2462" t="s">
        <v>16</v>
      </c>
      <c r="C2462" t="s">
        <v>17</v>
      </c>
      <c r="D2462">
        <v>55120000</v>
      </c>
      <c r="E2462">
        <v>55124999</v>
      </c>
      <c r="F2462" t="s">
        <v>2209</v>
      </c>
      <c r="G2462" t="str">
        <f t="shared" si="76"/>
        <v>PEI II</v>
      </c>
      <c r="H2462" t="s">
        <v>2194</v>
      </c>
      <c r="I2462" t="s">
        <v>20</v>
      </c>
      <c r="J2462" t="s">
        <v>64</v>
      </c>
      <c r="K2462" s="6">
        <v>0.03</v>
      </c>
      <c r="L2462" s="7">
        <f t="shared" si="77"/>
        <v>2E-3</v>
      </c>
      <c r="M2462" s="7">
        <v>3.0000000000000001E-3</v>
      </c>
      <c r="N2462">
        <v>12</v>
      </c>
      <c r="O2462" s="8">
        <v>21.329668724084634</v>
      </c>
      <c r="P2462" s="9">
        <v>21.329668724084634</v>
      </c>
      <c r="Q2462" s="9">
        <v>21.329668724084634</v>
      </c>
      <c r="R2462" s="9">
        <v>23.535187126233286</v>
      </c>
      <c r="S2462" s="9">
        <v>25.969348495460661</v>
      </c>
      <c r="T2462" s="9">
        <v>28.018652515052967</v>
      </c>
      <c r="U2462" s="9">
        <v>34.474261331240129</v>
      </c>
      <c r="V2462" s="9">
        <v>34.474261331240129</v>
      </c>
      <c r="W2462" s="9">
        <v>34.474261331240129</v>
      </c>
      <c r="X2462" s="9">
        <v>41.6797573977124</v>
      </c>
      <c r="Y2462" s="9">
        <v>41.6797573977124</v>
      </c>
      <c r="Z2462" s="9">
        <v>48.964357977567339</v>
      </c>
      <c r="AA2462" s="9">
        <v>48.964357977567339</v>
      </c>
      <c r="AB2462" s="9">
        <v>56.335973522143213</v>
      </c>
      <c r="AC2462" s="9">
        <v>56.335973522143213</v>
      </c>
      <c r="AD2462" s="9">
        <v>65.349051350310745</v>
      </c>
      <c r="AE2462" s="9">
        <v>72.305128962695434</v>
      </c>
      <c r="AF2462" s="9">
        <v>79.365490610542253</v>
      </c>
      <c r="AG2462" s="9">
        <v>79.365490610542253</v>
      </c>
      <c r="AH2462" s="9">
        <v>87.219003417886043</v>
      </c>
      <c r="AI2462" s="9">
        <v>95.054924275940976</v>
      </c>
      <c r="AJ2462" s="9">
        <v>3.0428788910505911</v>
      </c>
    </row>
    <row r="2463" spans="1:36" x14ac:dyDescent="0.25">
      <c r="A2463" t="s">
        <v>5411</v>
      </c>
      <c r="B2463" t="s">
        <v>16</v>
      </c>
      <c r="C2463" t="s">
        <v>17</v>
      </c>
      <c r="D2463">
        <v>55125000</v>
      </c>
      <c r="E2463">
        <v>55129999</v>
      </c>
      <c r="F2463" t="s">
        <v>2210</v>
      </c>
      <c r="G2463" t="str">
        <f t="shared" si="76"/>
        <v>PEI</v>
      </c>
      <c r="H2463" t="s">
        <v>2194</v>
      </c>
      <c r="I2463" t="s">
        <v>20</v>
      </c>
      <c r="J2463" t="s">
        <v>62</v>
      </c>
      <c r="K2463" s="6">
        <v>0.03</v>
      </c>
      <c r="L2463" s="7">
        <f t="shared" si="77"/>
        <v>2E-3</v>
      </c>
      <c r="M2463" s="7">
        <v>3.0000000000000001E-3</v>
      </c>
      <c r="N2463">
        <v>11</v>
      </c>
      <c r="O2463" s="8">
        <v>17.362919062478753</v>
      </c>
      <c r="P2463" s="9">
        <v>17.362919062478753</v>
      </c>
      <c r="Q2463" s="9">
        <v>17.362919062478753</v>
      </c>
      <c r="R2463" s="9">
        <v>18.763077462609331</v>
      </c>
      <c r="S2463" s="9">
        <v>20.822367518100933</v>
      </c>
      <c r="T2463" s="9">
        <v>22.932657006868226</v>
      </c>
      <c r="U2463" s="9">
        <v>28.394641309673208</v>
      </c>
      <c r="V2463" s="9">
        <v>28.394641309673208</v>
      </c>
      <c r="W2463" s="9">
        <v>28.394641309673208</v>
      </c>
      <c r="X2463" s="9">
        <v>34.481353453939484</v>
      </c>
      <c r="Y2463" s="9">
        <v>34.481353453939484</v>
      </c>
      <c r="Z2463" s="9">
        <v>40.733986919834194</v>
      </c>
      <c r="AA2463" s="9">
        <v>40.733986919834194</v>
      </c>
      <c r="AB2463" s="9">
        <v>47.204537282413121</v>
      </c>
      <c r="AC2463" s="9">
        <v>47.204537282413121</v>
      </c>
      <c r="AD2463" s="9">
        <v>53.805016474910374</v>
      </c>
      <c r="AE2463" s="9">
        <v>60.552137154404392</v>
      </c>
      <c r="AF2463" s="9">
        <v>67.464818475061875</v>
      </c>
      <c r="AG2463" s="9">
        <v>67.464818475061875</v>
      </c>
      <c r="AH2463" s="9">
        <v>74.129442022189522</v>
      </c>
      <c r="AI2463" s="9">
        <v>81.304669029817305</v>
      </c>
      <c r="AJ2463" s="9">
        <v>3.0428788910505911</v>
      </c>
    </row>
    <row r="2464" spans="1:36" x14ac:dyDescent="0.25">
      <c r="A2464" t="s">
        <v>5411</v>
      </c>
      <c r="B2464" t="s">
        <v>16</v>
      </c>
      <c r="C2464" t="s">
        <v>17</v>
      </c>
      <c r="D2464">
        <v>55130000</v>
      </c>
      <c r="E2464">
        <v>55139999</v>
      </c>
      <c r="F2464" t="s">
        <v>2211</v>
      </c>
      <c r="G2464" t="str">
        <f t="shared" si="76"/>
        <v>PEI</v>
      </c>
      <c r="H2464" t="s">
        <v>2194</v>
      </c>
      <c r="I2464" t="s">
        <v>20</v>
      </c>
      <c r="J2464" t="s">
        <v>62</v>
      </c>
      <c r="K2464" s="6">
        <v>0.03</v>
      </c>
      <c r="L2464" s="7">
        <f t="shared" si="77"/>
        <v>2E-3</v>
      </c>
      <c r="M2464" s="7">
        <v>3.0000000000000001E-3</v>
      </c>
      <c r="N2464">
        <v>11</v>
      </c>
      <c r="O2464" s="8">
        <v>17.362919062478753</v>
      </c>
      <c r="P2464" s="9">
        <v>17.362919062478753</v>
      </c>
      <c r="Q2464" s="9">
        <v>17.362919062478753</v>
      </c>
      <c r="R2464" s="9">
        <v>18.763077462609331</v>
      </c>
      <c r="S2464" s="9">
        <v>20.822367518100933</v>
      </c>
      <c r="T2464" s="9">
        <v>22.932657006868226</v>
      </c>
      <c r="U2464" s="9">
        <v>28.394641309673208</v>
      </c>
      <c r="V2464" s="9">
        <v>28.394641309673208</v>
      </c>
      <c r="W2464" s="9">
        <v>28.394641309673208</v>
      </c>
      <c r="X2464" s="9">
        <v>34.481353453939484</v>
      </c>
      <c r="Y2464" s="9">
        <v>34.481353453939484</v>
      </c>
      <c r="Z2464" s="9">
        <v>40.733986919834194</v>
      </c>
      <c r="AA2464" s="9">
        <v>40.733986919834194</v>
      </c>
      <c r="AB2464" s="9">
        <v>47.204537282413121</v>
      </c>
      <c r="AC2464" s="9">
        <v>47.204537282413121</v>
      </c>
      <c r="AD2464" s="9">
        <v>53.805016474910374</v>
      </c>
      <c r="AE2464" s="9">
        <v>60.552137154404392</v>
      </c>
      <c r="AF2464" s="9">
        <v>67.464818475061875</v>
      </c>
      <c r="AG2464" s="9">
        <v>67.464818475061875</v>
      </c>
      <c r="AH2464" s="9">
        <v>74.129442022189522</v>
      </c>
      <c r="AI2464" s="9">
        <v>81.304669029817305</v>
      </c>
      <c r="AJ2464" s="9">
        <v>3.0428788910505911</v>
      </c>
    </row>
    <row r="2465" spans="1:36" x14ac:dyDescent="0.25">
      <c r="A2465" t="s">
        <v>5411</v>
      </c>
      <c r="B2465" t="s">
        <v>16</v>
      </c>
      <c r="C2465" t="s">
        <v>17</v>
      </c>
      <c r="D2465">
        <v>55140000</v>
      </c>
      <c r="E2465">
        <v>55149999</v>
      </c>
      <c r="F2465" t="s">
        <v>2212</v>
      </c>
      <c r="G2465" t="str">
        <f t="shared" si="76"/>
        <v>PEI II</v>
      </c>
      <c r="H2465" t="s">
        <v>2194</v>
      </c>
      <c r="I2465" t="s">
        <v>20</v>
      </c>
      <c r="J2465" t="s">
        <v>64</v>
      </c>
      <c r="K2465" s="6">
        <v>0.03</v>
      </c>
      <c r="L2465" s="7">
        <f t="shared" si="77"/>
        <v>2E-3</v>
      </c>
      <c r="M2465" s="7">
        <v>3.0000000000000001E-3</v>
      </c>
      <c r="N2465">
        <v>12</v>
      </c>
      <c r="O2465" s="8">
        <v>21.329668724084634</v>
      </c>
      <c r="P2465" s="9">
        <v>21.329668724084634</v>
      </c>
      <c r="Q2465" s="9">
        <v>21.329668724084634</v>
      </c>
      <c r="R2465" s="9">
        <v>23.535187126233286</v>
      </c>
      <c r="S2465" s="9">
        <v>25.969348495460661</v>
      </c>
      <c r="T2465" s="9">
        <v>28.018652515052967</v>
      </c>
      <c r="U2465" s="9">
        <v>34.474261331240129</v>
      </c>
      <c r="V2465" s="9">
        <v>34.474261331240129</v>
      </c>
      <c r="W2465" s="9">
        <v>34.474261331240129</v>
      </c>
      <c r="X2465" s="9">
        <v>41.6797573977124</v>
      </c>
      <c r="Y2465" s="9">
        <v>41.6797573977124</v>
      </c>
      <c r="Z2465" s="9">
        <v>48.964357977567339</v>
      </c>
      <c r="AA2465" s="9">
        <v>48.964357977567339</v>
      </c>
      <c r="AB2465" s="9">
        <v>56.335973522143213</v>
      </c>
      <c r="AC2465" s="9">
        <v>56.335973522143213</v>
      </c>
      <c r="AD2465" s="9">
        <v>65.349051350310745</v>
      </c>
      <c r="AE2465" s="9">
        <v>72.305128962695434</v>
      </c>
      <c r="AF2465" s="9">
        <v>79.365490610542253</v>
      </c>
      <c r="AG2465" s="9">
        <v>79.365490610542253</v>
      </c>
      <c r="AH2465" s="9">
        <v>87.219003417886043</v>
      </c>
      <c r="AI2465" s="9">
        <v>95.054924275940976</v>
      </c>
      <c r="AJ2465" s="9">
        <v>3.0428788910505911</v>
      </c>
    </row>
    <row r="2466" spans="1:36" x14ac:dyDescent="0.25">
      <c r="A2466" t="s">
        <v>5411</v>
      </c>
      <c r="B2466" t="s">
        <v>16</v>
      </c>
      <c r="C2466" t="s">
        <v>17</v>
      </c>
      <c r="D2466">
        <v>55150000</v>
      </c>
      <c r="E2466">
        <v>55169999</v>
      </c>
      <c r="F2466" t="s">
        <v>2213</v>
      </c>
      <c r="G2466" t="str">
        <f t="shared" si="76"/>
        <v>PEI</v>
      </c>
      <c r="H2466" t="s">
        <v>2194</v>
      </c>
      <c r="I2466" t="s">
        <v>20</v>
      </c>
      <c r="J2466" t="s">
        <v>62</v>
      </c>
      <c r="K2466" s="6">
        <v>0.03</v>
      </c>
      <c r="L2466" s="7">
        <f t="shared" si="77"/>
        <v>2E-3</v>
      </c>
      <c r="M2466" s="7">
        <v>3.0000000000000001E-3</v>
      </c>
      <c r="N2466">
        <v>11</v>
      </c>
      <c r="O2466" s="8">
        <v>17.362919062478753</v>
      </c>
      <c r="P2466" s="9">
        <v>17.362919062478753</v>
      </c>
      <c r="Q2466" s="9">
        <v>17.362919062478753</v>
      </c>
      <c r="R2466" s="9">
        <v>18.763077462609331</v>
      </c>
      <c r="S2466" s="9">
        <v>20.822367518100933</v>
      </c>
      <c r="T2466" s="9">
        <v>22.932657006868226</v>
      </c>
      <c r="U2466" s="9">
        <v>28.394641309673208</v>
      </c>
      <c r="V2466" s="9">
        <v>28.394641309673208</v>
      </c>
      <c r="W2466" s="9">
        <v>28.394641309673208</v>
      </c>
      <c r="X2466" s="9">
        <v>34.481353453939484</v>
      </c>
      <c r="Y2466" s="9">
        <v>34.481353453939484</v>
      </c>
      <c r="Z2466" s="9">
        <v>40.733986919834194</v>
      </c>
      <c r="AA2466" s="9">
        <v>40.733986919834194</v>
      </c>
      <c r="AB2466" s="9">
        <v>47.204537282413121</v>
      </c>
      <c r="AC2466" s="9">
        <v>47.204537282413121</v>
      </c>
      <c r="AD2466" s="9">
        <v>53.805016474910374</v>
      </c>
      <c r="AE2466" s="9">
        <v>60.552137154404392</v>
      </c>
      <c r="AF2466" s="9">
        <v>67.464818475061875</v>
      </c>
      <c r="AG2466" s="9">
        <v>67.464818475061875</v>
      </c>
      <c r="AH2466" s="9">
        <v>74.129442022189522</v>
      </c>
      <c r="AI2466" s="9">
        <v>81.304669029817305</v>
      </c>
      <c r="AJ2466" s="9">
        <v>3.0428788910505911</v>
      </c>
    </row>
    <row r="2467" spans="1:36" x14ac:dyDescent="0.25">
      <c r="A2467" t="s">
        <v>5411</v>
      </c>
      <c r="B2467" t="s">
        <v>16</v>
      </c>
      <c r="C2467" t="s">
        <v>17</v>
      </c>
      <c r="D2467">
        <v>55170000</v>
      </c>
      <c r="E2467">
        <v>55179999</v>
      </c>
      <c r="F2467" t="s">
        <v>2214</v>
      </c>
      <c r="G2467" t="str">
        <f t="shared" si="76"/>
        <v>PEI II</v>
      </c>
      <c r="H2467" t="s">
        <v>2194</v>
      </c>
      <c r="I2467" t="s">
        <v>20</v>
      </c>
      <c r="J2467" t="s">
        <v>64</v>
      </c>
      <c r="K2467" s="6">
        <v>0.03</v>
      </c>
      <c r="L2467" s="7">
        <f t="shared" si="77"/>
        <v>2E-3</v>
      </c>
      <c r="M2467" s="7">
        <v>3.0000000000000001E-3</v>
      </c>
      <c r="N2467">
        <v>12</v>
      </c>
      <c r="O2467" s="8">
        <v>21.329668724084634</v>
      </c>
      <c r="P2467" s="9">
        <v>21.329668724084634</v>
      </c>
      <c r="Q2467" s="9">
        <v>21.329668724084634</v>
      </c>
      <c r="R2467" s="9">
        <v>23.535187126233286</v>
      </c>
      <c r="S2467" s="9">
        <v>25.969348495460661</v>
      </c>
      <c r="T2467" s="9">
        <v>28.018652515052967</v>
      </c>
      <c r="U2467" s="9">
        <v>34.474261331240129</v>
      </c>
      <c r="V2467" s="9">
        <v>34.474261331240129</v>
      </c>
      <c r="W2467" s="9">
        <v>34.474261331240129</v>
      </c>
      <c r="X2467" s="9">
        <v>41.6797573977124</v>
      </c>
      <c r="Y2467" s="9">
        <v>41.6797573977124</v>
      </c>
      <c r="Z2467" s="9">
        <v>48.964357977567339</v>
      </c>
      <c r="AA2467" s="9">
        <v>48.964357977567339</v>
      </c>
      <c r="AB2467" s="9">
        <v>56.335973522143213</v>
      </c>
      <c r="AC2467" s="9">
        <v>56.335973522143213</v>
      </c>
      <c r="AD2467" s="9">
        <v>65.349051350310745</v>
      </c>
      <c r="AE2467" s="9">
        <v>72.305128962695434</v>
      </c>
      <c r="AF2467" s="9">
        <v>79.365490610542253</v>
      </c>
      <c r="AG2467" s="9">
        <v>79.365490610542253</v>
      </c>
      <c r="AH2467" s="9">
        <v>87.219003417886043</v>
      </c>
      <c r="AI2467" s="9">
        <v>95.054924275940976</v>
      </c>
      <c r="AJ2467" s="9">
        <v>3.0428788910505911</v>
      </c>
    </row>
    <row r="2468" spans="1:36" x14ac:dyDescent="0.25">
      <c r="A2468" t="s">
        <v>5411</v>
      </c>
      <c r="B2468" t="s">
        <v>16</v>
      </c>
      <c r="C2468" t="s">
        <v>17</v>
      </c>
      <c r="D2468">
        <v>55180000</v>
      </c>
      <c r="E2468">
        <v>55189999</v>
      </c>
      <c r="F2468" t="s">
        <v>2215</v>
      </c>
      <c r="G2468" t="str">
        <f t="shared" si="76"/>
        <v>PEI II</v>
      </c>
      <c r="H2468" t="s">
        <v>2194</v>
      </c>
      <c r="I2468" t="s">
        <v>20</v>
      </c>
      <c r="J2468" t="s">
        <v>64</v>
      </c>
      <c r="K2468" s="6">
        <v>0.03</v>
      </c>
      <c r="L2468" s="7">
        <f t="shared" si="77"/>
        <v>2E-3</v>
      </c>
      <c r="M2468" s="7">
        <v>3.0000000000000001E-3</v>
      </c>
      <c r="N2468">
        <v>12</v>
      </c>
      <c r="O2468" s="8">
        <v>21.329668724084634</v>
      </c>
      <c r="P2468" s="9">
        <v>21.329668724084634</v>
      </c>
      <c r="Q2468" s="9">
        <v>21.329668724084634</v>
      </c>
      <c r="R2468" s="9">
        <v>23.535187126233286</v>
      </c>
      <c r="S2468" s="9">
        <v>25.969348495460661</v>
      </c>
      <c r="T2468" s="9">
        <v>28.018652515052967</v>
      </c>
      <c r="U2468" s="9">
        <v>34.474261331240129</v>
      </c>
      <c r="V2468" s="9">
        <v>34.474261331240129</v>
      </c>
      <c r="W2468" s="9">
        <v>34.474261331240129</v>
      </c>
      <c r="X2468" s="9">
        <v>41.6797573977124</v>
      </c>
      <c r="Y2468" s="9">
        <v>41.6797573977124</v>
      </c>
      <c r="Z2468" s="9">
        <v>48.964357977567339</v>
      </c>
      <c r="AA2468" s="9">
        <v>48.964357977567339</v>
      </c>
      <c r="AB2468" s="9">
        <v>56.335973522143213</v>
      </c>
      <c r="AC2468" s="9">
        <v>56.335973522143213</v>
      </c>
      <c r="AD2468" s="9">
        <v>65.349051350310745</v>
      </c>
      <c r="AE2468" s="9">
        <v>72.305128962695434</v>
      </c>
      <c r="AF2468" s="9">
        <v>79.365490610542253</v>
      </c>
      <c r="AG2468" s="9">
        <v>79.365490610542253</v>
      </c>
      <c r="AH2468" s="9">
        <v>87.219003417886043</v>
      </c>
      <c r="AI2468" s="9">
        <v>95.054924275940976</v>
      </c>
      <c r="AJ2468" s="9">
        <v>3.0428788910505911</v>
      </c>
    </row>
    <row r="2469" spans="1:36" x14ac:dyDescent="0.25">
      <c r="A2469" t="s">
        <v>5411</v>
      </c>
      <c r="B2469" t="s">
        <v>16</v>
      </c>
      <c r="C2469" t="s">
        <v>17</v>
      </c>
      <c r="D2469">
        <v>55190000</v>
      </c>
      <c r="E2469">
        <v>55199999</v>
      </c>
      <c r="F2469" t="s">
        <v>2216</v>
      </c>
      <c r="G2469" t="str">
        <f t="shared" si="76"/>
        <v>PEI</v>
      </c>
      <c r="H2469" t="s">
        <v>2194</v>
      </c>
      <c r="I2469" t="s">
        <v>20</v>
      </c>
      <c r="J2469" t="s">
        <v>62</v>
      </c>
      <c r="K2469" s="6">
        <v>0.03</v>
      </c>
      <c r="L2469" s="7">
        <f t="shared" si="77"/>
        <v>2E-3</v>
      </c>
      <c r="M2469" s="7">
        <v>3.0000000000000001E-3</v>
      </c>
      <c r="N2469">
        <v>11</v>
      </c>
      <c r="O2469" s="8">
        <v>17.362919062478753</v>
      </c>
      <c r="P2469" s="9">
        <v>17.362919062478753</v>
      </c>
      <c r="Q2469" s="9">
        <v>17.362919062478753</v>
      </c>
      <c r="R2469" s="9">
        <v>18.763077462609331</v>
      </c>
      <c r="S2469" s="9">
        <v>20.822367518100933</v>
      </c>
      <c r="T2469" s="9">
        <v>22.932657006868226</v>
      </c>
      <c r="U2469" s="9">
        <v>28.394641309673208</v>
      </c>
      <c r="V2469" s="9">
        <v>28.394641309673208</v>
      </c>
      <c r="W2469" s="9">
        <v>28.394641309673208</v>
      </c>
      <c r="X2469" s="9">
        <v>34.481353453939484</v>
      </c>
      <c r="Y2469" s="9">
        <v>34.481353453939484</v>
      </c>
      <c r="Z2469" s="9">
        <v>40.733986919834194</v>
      </c>
      <c r="AA2469" s="9">
        <v>40.733986919834194</v>
      </c>
      <c r="AB2469" s="9">
        <v>47.204537282413121</v>
      </c>
      <c r="AC2469" s="9">
        <v>47.204537282413121</v>
      </c>
      <c r="AD2469" s="9">
        <v>53.805016474910374</v>
      </c>
      <c r="AE2469" s="9">
        <v>60.552137154404392</v>
      </c>
      <c r="AF2469" s="9">
        <v>67.464818475061875</v>
      </c>
      <c r="AG2469" s="9">
        <v>67.464818475061875</v>
      </c>
      <c r="AH2469" s="9">
        <v>74.129442022189522</v>
      </c>
      <c r="AI2469" s="9">
        <v>81.304669029817305</v>
      </c>
      <c r="AJ2469" s="9">
        <v>3.0428788910505911</v>
      </c>
    </row>
    <row r="2470" spans="1:36" x14ac:dyDescent="0.25">
      <c r="A2470" t="s">
        <v>5411</v>
      </c>
      <c r="B2470" t="s">
        <v>16</v>
      </c>
      <c r="C2470" t="s">
        <v>17</v>
      </c>
      <c r="D2470">
        <v>55200000</v>
      </c>
      <c r="E2470">
        <v>55239999</v>
      </c>
      <c r="F2470" t="s">
        <v>2217</v>
      </c>
      <c r="G2470" t="str">
        <f t="shared" si="76"/>
        <v>PEI</v>
      </c>
      <c r="H2470" t="s">
        <v>2194</v>
      </c>
      <c r="I2470" t="s">
        <v>20</v>
      </c>
      <c r="J2470" t="s">
        <v>62</v>
      </c>
      <c r="K2470" s="6">
        <v>0.03</v>
      </c>
      <c r="L2470" s="7">
        <f t="shared" si="77"/>
        <v>2E-3</v>
      </c>
      <c r="M2470" s="7">
        <v>3.0000000000000001E-3</v>
      </c>
      <c r="N2470">
        <v>11</v>
      </c>
      <c r="O2470" s="8">
        <v>17.362919062478753</v>
      </c>
      <c r="P2470" s="9">
        <v>17.362919062478753</v>
      </c>
      <c r="Q2470" s="9">
        <v>17.362919062478753</v>
      </c>
      <c r="R2470" s="9">
        <v>18.763077462609331</v>
      </c>
      <c r="S2470" s="9">
        <v>20.822367518100933</v>
      </c>
      <c r="T2470" s="9">
        <v>22.932657006868226</v>
      </c>
      <c r="U2470" s="9">
        <v>28.394641309673208</v>
      </c>
      <c r="V2470" s="9">
        <v>28.394641309673208</v>
      </c>
      <c r="W2470" s="9">
        <v>28.394641309673208</v>
      </c>
      <c r="X2470" s="9">
        <v>34.481353453939484</v>
      </c>
      <c r="Y2470" s="9">
        <v>34.481353453939484</v>
      </c>
      <c r="Z2470" s="9">
        <v>40.733986919834194</v>
      </c>
      <c r="AA2470" s="9">
        <v>40.733986919834194</v>
      </c>
      <c r="AB2470" s="9">
        <v>47.204537282413121</v>
      </c>
      <c r="AC2470" s="9">
        <v>47.204537282413121</v>
      </c>
      <c r="AD2470" s="9">
        <v>53.805016474910374</v>
      </c>
      <c r="AE2470" s="9">
        <v>60.552137154404392</v>
      </c>
      <c r="AF2470" s="9">
        <v>67.464818475061875</v>
      </c>
      <c r="AG2470" s="9">
        <v>67.464818475061875</v>
      </c>
      <c r="AH2470" s="9">
        <v>74.129442022189522</v>
      </c>
      <c r="AI2470" s="9">
        <v>81.304669029817305</v>
      </c>
      <c r="AJ2470" s="9">
        <v>3.0428788910505911</v>
      </c>
    </row>
    <row r="2471" spans="1:36" x14ac:dyDescent="0.25">
      <c r="A2471" t="s">
        <v>5411</v>
      </c>
      <c r="B2471" t="s">
        <v>16</v>
      </c>
      <c r="C2471" t="s">
        <v>17</v>
      </c>
      <c r="D2471">
        <v>55240000</v>
      </c>
      <c r="E2471">
        <v>55249999</v>
      </c>
      <c r="F2471" t="s">
        <v>2218</v>
      </c>
      <c r="G2471" t="str">
        <f t="shared" si="76"/>
        <v>PEI II</v>
      </c>
      <c r="H2471" t="s">
        <v>2194</v>
      </c>
      <c r="I2471" t="s">
        <v>20</v>
      </c>
      <c r="J2471" t="s">
        <v>64</v>
      </c>
      <c r="K2471" s="6">
        <v>0.03</v>
      </c>
      <c r="L2471" s="7">
        <f t="shared" si="77"/>
        <v>2E-3</v>
      </c>
      <c r="M2471" s="7">
        <v>3.0000000000000001E-3</v>
      </c>
      <c r="N2471">
        <v>11</v>
      </c>
      <c r="O2471" s="8">
        <v>21.329668724084634</v>
      </c>
      <c r="P2471" s="9">
        <v>21.329668724084634</v>
      </c>
      <c r="Q2471" s="9">
        <v>21.329668724084634</v>
      </c>
      <c r="R2471" s="9">
        <v>23.535187126233286</v>
      </c>
      <c r="S2471" s="9">
        <v>25.969348495460661</v>
      </c>
      <c r="T2471" s="9">
        <v>28.018652515052967</v>
      </c>
      <c r="U2471" s="9">
        <v>34.474261331240129</v>
      </c>
      <c r="V2471" s="9">
        <v>34.474261331240129</v>
      </c>
      <c r="W2471" s="9">
        <v>34.474261331240129</v>
      </c>
      <c r="X2471" s="9">
        <v>41.6797573977124</v>
      </c>
      <c r="Y2471" s="9">
        <v>41.6797573977124</v>
      </c>
      <c r="Z2471" s="9">
        <v>48.964357977567339</v>
      </c>
      <c r="AA2471" s="9">
        <v>48.964357977567339</v>
      </c>
      <c r="AB2471" s="9">
        <v>56.335973522143213</v>
      </c>
      <c r="AC2471" s="9">
        <v>56.335973522143213</v>
      </c>
      <c r="AD2471" s="9">
        <v>65.349051350310745</v>
      </c>
      <c r="AE2471" s="9">
        <v>72.305128962695434</v>
      </c>
      <c r="AF2471" s="9">
        <v>79.365490610542253</v>
      </c>
      <c r="AG2471" s="9">
        <v>79.365490610542253</v>
      </c>
      <c r="AH2471" s="9">
        <v>87.219003417886043</v>
      </c>
      <c r="AI2471" s="9">
        <v>95.054924275940976</v>
      </c>
      <c r="AJ2471" s="9">
        <v>3.0428788910505911</v>
      </c>
    </row>
    <row r="2472" spans="1:36" x14ac:dyDescent="0.25">
      <c r="A2472" t="s">
        <v>5411</v>
      </c>
      <c r="B2472" t="s">
        <v>16</v>
      </c>
      <c r="C2472" t="s">
        <v>17</v>
      </c>
      <c r="D2472">
        <v>55250000</v>
      </c>
      <c r="E2472">
        <v>55259999</v>
      </c>
      <c r="F2472" t="s">
        <v>2219</v>
      </c>
      <c r="G2472" t="str">
        <f t="shared" si="76"/>
        <v>PEI II</v>
      </c>
      <c r="H2472" t="s">
        <v>2194</v>
      </c>
      <c r="I2472" t="s">
        <v>20</v>
      </c>
      <c r="J2472" t="s">
        <v>64</v>
      </c>
      <c r="K2472" s="6">
        <v>0.03</v>
      </c>
      <c r="L2472" s="7">
        <f t="shared" si="77"/>
        <v>2E-3</v>
      </c>
      <c r="M2472" s="7">
        <v>3.0000000000000001E-3</v>
      </c>
      <c r="N2472">
        <v>11</v>
      </c>
      <c r="O2472" s="8">
        <v>21.329668724084634</v>
      </c>
      <c r="P2472" s="9">
        <v>21.329668724084634</v>
      </c>
      <c r="Q2472" s="9">
        <v>21.329668724084634</v>
      </c>
      <c r="R2472" s="9">
        <v>23.535187126233286</v>
      </c>
      <c r="S2472" s="9">
        <v>25.969348495460661</v>
      </c>
      <c r="T2472" s="9">
        <v>28.018652515052967</v>
      </c>
      <c r="U2472" s="9">
        <v>34.474261331240129</v>
      </c>
      <c r="V2472" s="9">
        <v>34.474261331240129</v>
      </c>
      <c r="W2472" s="9">
        <v>34.474261331240129</v>
      </c>
      <c r="X2472" s="9">
        <v>41.6797573977124</v>
      </c>
      <c r="Y2472" s="9">
        <v>41.6797573977124</v>
      </c>
      <c r="Z2472" s="9">
        <v>48.964357977567339</v>
      </c>
      <c r="AA2472" s="9">
        <v>48.964357977567339</v>
      </c>
      <c r="AB2472" s="9">
        <v>56.335973522143213</v>
      </c>
      <c r="AC2472" s="9">
        <v>56.335973522143213</v>
      </c>
      <c r="AD2472" s="9">
        <v>65.349051350310745</v>
      </c>
      <c r="AE2472" s="9">
        <v>72.305128962695434</v>
      </c>
      <c r="AF2472" s="9">
        <v>79.365490610542253</v>
      </c>
      <c r="AG2472" s="9">
        <v>79.365490610542253</v>
      </c>
      <c r="AH2472" s="9">
        <v>87.219003417886043</v>
      </c>
      <c r="AI2472" s="9">
        <v>95.054924275940976</v>
      </c>
      <c r="AJ2472" s="9">
        <v>3.0428788910505911</v>
      </c>
    </row>
    <row r="2473" spans="1:36" x14ac:dyDescent="0.25">
      <c r="A2473" t="s">
        <v>5411</v>
      </c>
      <c r="B2473" t="s">
        <v>16</v>
      </c>
      <c r="C2473" t="s">
        <v>17</v>
      </c>
      <c r="D2473">
        <v>55260000</v>
      </c>
      <c r="E2473">
        <v>55269999</v>
      </c>
      <c r="F2473" t="s">
        <v>2220</v>
      </c>
      <c r="G2473" t="str">
        <f t="shared" si="76"/>
        <v>PEI II</v>
      </c>
      <c r="H2473" t="s">
        <v>2194</v>
      </c>
      <c r="I2473" t="s">
        <v>20</v>
      </c>
      <c r="J2473" t="s">
        <v>64</v>
      </c>
      <c r="K2473" s="6">
        <v>0.03</v>
      </c>
      <c r="L2473" s="7">
        <f t="shared" si="77"/>
        <v>2E-3</v>
      </c>
      <c r="M2473" s="7">
        <v>3.0000000000000001E-3</v>
      </c>
      <c r="N2473">
        <v>11</v>
      </c>
      <c r="O2473" s="8">
        <v>21.329668724084634</v>
      </c>
      <c r="P2473" s="9">
        <v>21.329668724084634</v>
      </c>
      <c r="Q2473" s="9">
        <v>21.329668724084634</v>
      </c>
      <c r="R2473" s="9">
        <v>23.535187126233286</v>
      </c>
      <c r="S2473" s="9">
        <v>25.969348495460661</v>
      </c>
      <c r="T2473" s="9">
        <v>28.018652515052967</v>
      </c>
      <c r="U2473" s="9">
        <v>34.474261331240129</v>
      </c>
      <c r="V2473" s="9">
        <v>34.474261331240129</v>
      </c>
      <c r="W2473" s="9">
        <v>34.474261331240129</v>
      </c>
      <c r="X2473" s="9">
        <v>41.6797573977124</v>
      </c>
      <c r="Y2473" s="9">
        <v>41.6797573977124</v>
      </c>
      <c r="Z2473" s="9">
        <v>48.964357977567339</v>
      </c>
      <c r="AA2473" s="9">
        <v>48.964357977567339</v>
      </c>
      <c r="AB2473" s="9">
        <v>56.335973522143213</v>
      </c>
      <c r="AC2473" s="9">
        <v>56.335973522143213</v>
      </c>
      <c r="AD2473" s="9">
        <v>65.349051350310745</v>
      </c>
      <c r="AE2473" s="9">
        <v>72.305128962695434</v>
      </c>
      <c r="AF2473" s="9">
        <v>79.365490610542253</v>
      </c>
      <c r="AG2473" s="9">
        <v>79.365490610542253</v>
      </c>
      <c r="AH2473" s="9">
        <v>87.219003417886043</v>
      </c>
      <c r="AI2473" s="9">
        <v>95.054924275940976</v>
      </c>
      <c r="AJ2473" s="9">
        <v>3.0428788910505911</v>
      </c>
    </row>
    <row r="2474" spans="1:36" x14ac:dyDescent="0.25">
      <c r="A2474" t="s">
        <v>5411</v>
      </c>
      <c r="B2474" t="s">
        <v>16</v>
      </c>
      <c r="C2474" t="s">
        <v>17</v>
      </c>
      <c r="D2474">
        <v>55270000</v>
      </c>
      <c r="E2474">
        <v>55279999</v>
      </c>
      <c r="F2474" t="s">
        <v>2221</v>
      </c>
      <c r="G2474" t="str">
        <f t="shared" si="76"/>
        <v>PEI II</v>
      </c>
      <c r="H2474" t="s">
        <v>2194</v>
      </c>
      <c r="I2474" t="s">
        <v>20</v>
      </c>
      <c r="J2474" t="s">
        <v>64</v>
      </c>
      <c r="K2474" s="6">
        <v>0.03</v>
      </c>
      <c r="L2474" s="7">
        <f t="shared" si="77"/>
        <v>2E-3</v>
      </c>
      <c r="M2474" s="7">
        <v>3.0000000000000001E-3</v>
      </c>
      <c r="N2474">
        <v>11</v>
      </c>
      <c r="O2474" s="8">
        <v>21.329668724084634</v>
      </c>
      <c r="P2474" s="9">
        <v>21.329668724084634</v>
      </c>
      <c r="Q2474" s="9">
        <v>21.329668724084634</v>
      </c>
      <c r="R2474" s="9">
        <v>23.535187126233286</v>
      </c>
      <c r="S2474" s="9">
        <v>25.969348495460661</v>
      </c>
      <c r="T2474" s="9">
        <v>28.018652515052967</v>
      </c>
      <c r="U2474" s="9">
        <v>34.474261331240129</v>
      </c>
      <c r="V2474" s="9">
        <v>34.474261331240129</v>
      </c>
      <c r="W2474" s="9">
        <v>34.474261331240129</v>
      </c>
      <c r="X2474" s="9">
        <v>41.6797573977124</v>
      </c>
      <c r="Y2474" s="9">
        <v>41.6797573977124</v>
      </c>
      <c r="Z2474" s="9">
        <v>48.964357977567339</v>
      </c>
      <c r="AA2474" s="9">
        <v>48.964357977567339</v>
      </c>
      <c r="AB2474" s="9">
        <v>56.335973522143213</v>
      </c>
      <c r="AC2474" s="9">
        <v>56.335973522143213</v>
      </c>
      <c r="AD2474" s="9">
        <v>65.349051350310745</v>
      </c>
      <c r="AE2474" s="9">
        <v>72.305128962695434</v>
      </c>
      <c r="AF2474" s="9">
        <v>79.365490610542253</v>
      </c>
      <c r="AG2474" s="9">
        <v>79.365490610542253</v>
      </c>
      <c r="AH2474" s="9">
        <v>87.219003417886043</v>
      </c>
      <c r="AI2474" s="9">
        <v>95.054924275940976</v>
      </c>
      <c r="AJ2474" s="9">
        <v>3.0428788910505911</v>
      </c>
    </row>
    <row r="2475" spans="1:36" x14ac:dyDescent="0.25">
      <c r="A2475" t="s">
        <v>5411</v>
      </c>
      <c r="B2475" t="s">
        <v>16</v>
      </c>
      <c r="C2475" t="s">
        <v>17</v>
      </c>
      <c r="D2475">
        <v>55280000</v>
      </c>
      <c r="E2475">
        <v>55289999</v>
      </c>
      <c r="F2475" t="s">
        <v>2222</v>
      </c>
      <c r="G2475" t="str">
        <f t="shared" si="76"/>
        <v>PEI II</v>
      </c>
      <c r="H2475" t="s">
        <v>2194</v>
      </c>
      <c r="I2475" t="s">
        <v>20</v>
      </c>
      <c r="J2475" t="s">
        <v>64</v>
      </c>
      <c r="K2475" s="6">
        <v>0.03</v>
      </c>
      <c r="L2475" s="7">
        <f t="shared" si="77"/>
        <v>2E-3</v>
      </c>
      <c r="M2475" s="7">
        <v>3.0000000000000001E-3</v>
      </c>
      <c r="N2475">
        <v>13</v>
      </c>
      <c r="O2475" s="8">
        <v>21.329668724084634</v>
      </c>
      <c r="P2475" s="9">
        <v>21.329668724084634</v>
      </c>
      <c r="Q2475" s="9">
        <v>21.329668724084634</v>
      </c>
      <c r="R2475" s="9">
        <v>23.535187126233286</v>
      </c>
      <c r="S2475" s="9">
        <v>25.969348495460661</v>
      </c>
      <c r="T2475" s="9">
        <v>28.018652515052967</v>
      </c>
      <c r="U2475" s="9">
        <v>34.474261331240129</v>
      </c>
      <c r="V2475" s="9">
        <v>34.474261331240129</v>
      </c>
      <c r="W2475" s="9">
        <v>34.474261331240129</v>
      </c>
      <c r="X2475" s="9">
        <v>41.6797573977124</v>
      </c>
      <c r="Y2475" s="9">
        <v>41.6797573977124</v>
      </c>
      <c r="Z2475" s="9">
        <v>48.964357977567339</v>
      </c>
      <c r="AA2475" s="9">
        <v>48.964357977567339</v>
      </c>
      <c r="AB2475" s="9">
        <v>56.335973522143213</v>
      </c>
      <c r="AC2475" s="9">
        <v>56.335973522143213</v>
      </c>
      <c r="AD2475" s="9">
        <v>65.349051350310745</v>
      </c>
      <c r="AE2475" s="9">
        <v>72.305128962695434</v>
      </c>
      <c r="AF2475" s="9">
        <v>79.365490610542253</v>
      </c>
      <c r="AG2475" s="9">
        <v>79.365490610542253</v>
      </c>
      <c r="AH2475" s="9">
        <v>87.219003417886043</v>
      </c>
      <c r="AI2475" s="9">
        <v>95.054924275940976</v>
      </c>
      <c r="AJ2475" s="9">
        <v>3.0428788910505911</v>
      </c>
    </row>
    <row r="2476" spans="1:36" x14ac:dyDescent="0.25">
      <c r="A2476" t="s">
        <v>5411</v>
      </c>
      <c r="B2476" t="s">
        <v>16</v>
      </c>
      <c r="C2476" t="s">
        <v>17</v>
      </c>
      <c r="D2476">
        <v>55290000</v>
      </c>
      <c r="E2476">
        <v>55304999</v>
      </c>
      <c r="F2476" t="s">
        <v>2223</v>
      </c>
      <c r="G2476" t="str">
        <f t="shared" si="76"/>
        <v>PEI</v>
      </c>
      <c r="H2476" t="s">
        <v>2194</v>
      </c>
      <c r="I2476" t="s">
        <v>20</v>
      </c>
      <c r="J2476" t="s">
        <v>62</v>
      </c>
      <c r="K2476" s="6">
        <v>0.03</v>
      </c>
      <c r="L2476" s="7">
        <f t="shared" si="77"/>
        <v>2E-3</v>
      </c>
      <c r="M2476" s="7">
        <v>3.0000000000000001E-3</v>
      </c>
      <c r="N2476">
        <v>11</v>
      </c>
      <c r="O2476" s="8">
        <v>17.362919062478753</v>
      </c>
      <c r="P2476" s="9">
        <v>17.362919062478753</v>
      </c>
      <c r="Q2476" s="9">
        <v>17.362919062478753</v>
      </c>
      <c r="R2476" s="9">
        <v>18.763077462609331</v>
      </c>
      <c r="S2476" s="9">
        <v>20.822367518100933</v>
      </c>
      <c r="T2476" s="9">
        <v>22.932657006868226</v>
      </c>
      <c r="U2476" s="9">
        <v>28.394641309673208</v>
      </c>
      <c r="V2476" s="9">
        <v>28.394641309673208</v>
      </c>
      <c r="W2476" s="9">
        <v>28.394641309673208</v>
      </c>
      <c r="X2476" s="9">
        <v>34.481353453939484</v>
      </c>
      <c r="Y2476" s="9">
        <v>34.481353453939484</v>
      </c>
      <c r="Z2476" s="9">
        <v>40.733986919834194</v>
      </c>
      <c r="AA2476" s="9">
        <v>40.733986919834194</v>
      </c>
      <c r="AB2476" s="9">
        <v>47.204537282413121</v>
      </c>
      <c r="AC2476" s="9">
        <v>47.204537282413121</v>
      </c>
      <c r="AD2476" s="9">
        <v>53.805016474910374</v>
      </c>
      <c r="AE2476" s="9">
        <v>60.552137154404392</v>
      </c>
      <c r="AF2476" s="9">
        <v>67.464818475061875</v>
      </c>
      <c r="AG2476" s="9">
        <v>67.464818475061875</v>
      </c>
      <c r="AH2476" s="9">
        <v>74.129442022189522</v>
      </c>
      <c r="AI2476" s="9">
        <v>81.304669029817305</v>
      </c>
      <c r="AJ2476" s="9">
        <v>3.0428788910505911</v>
      </c>
    </row>
    <row r="2477" spans="1:36" x14ac:dyDescent="0.25">
      <c r="A2477" t="s">
        <v>5411</v>
      </c>
      <c r="B2477" t="s">
        <v>16</v>
      </c>
      <c r="C2477" t="s">
        <v>17</v>
      </c>
      <c r="D2477">
        <v>55305000</v>
      </c>
      <c r="E2477">
        <v>55309999</v>
      </c>
      <c r="F2477" t="s">
        <v>2224</v>
      </c>
      <c r="G2477" t="str">
        <f t="shared" si="76"/>
        <v>PEI</v>
      </c>
      <c r="H2477" t="s">
        <v>2194</v>
      </c>
      <c r="I2477" t="s">
        <v>20</v>
      </c>
      <c r="J2477" t="s">
        <v>62</v>
      </c>
      <c r="K2477" s="6">
        <v>0.03</v>
      </c>
      <c r="L2477" s="7">
        <f t="shared" si="77"/>
        <v>2E-3</v>
      </c>
      <c r="M2477" s="7">
        <v>3.0000000000000001E-3</v>
      </c>
      <c r="N2477">
        <v>14</v>
      </c>
      <c r="O2477" s="8">
        <v>17.362919062478753</v>
      </c>
      <c r="P2477" s="9">
        <v>17.362919062478753</v>
      </c>
      <c r="Q2477" s="9">
        <v>17.362919062478753</v>
      </c>
      <c r="R2477" s="9">
        <v>18.763077462609331</v>
      </c>
      <c r="S2477" s="9">
        <v>20.822367518100933</v>
      </c>
      <c r="T2477" s="9">
        <v>22.932657006868226</v>
      </c>
      <c r="U2477" s="9">
        <v>28.394641309673208</v>
      </c>
      <c r="V2477" s="9">
        <v>28.394641309673208</v>
      </c>
      <c r="W2477" s="9">
        <v>28.394641309673208</v>
      </c>
      <c r="X2477" s="9">
        <v>34.481353453939484</v>
      </c>
      <c r="Y2477" s="9">
        <v>34.481353453939484</v>
      </c>
      <c r="Z2477" s="9">
        <v>40.733986919834194</v>
      </c>
      <c r="AA2477" s="9">
        <v>40.733986919834194</v>
      </c>
      <c r="AB2477" s="9">
        <v>47.204537282413121</v>
      </c>
      <c r="AC2477" s="9">
        <v>47.204537282413121</v>
      </c>
      <c r="AD2477" s="9">
        <v>53.805016474910374</v>
      </c>
      <c r="AE2477" s="9">
        <v>60.552137154404392</v>
      </c>
      <c r="AF2477" s="9">
        <v>67.464818475061875</v>
      </c>
      <c r="AG2477" s="9">
        <v>67.464818475061875</v>
      </c>
      <c r="AH2477" s="9">
        <v>74.129442022189522</v>
      </c>
      <c r="AI2477" s="9">
        <v>81.304669029817305</v>
      </c>
      <c r="AJ2477" s="9">
        <v>3.0428788910505911</v>
      </c>
    </row>
    <row r="2478" spans="1:36" x14ac:dyDescent="0.25">
      <c r="A2478" t="s">
        <v>5411</v>
      </c>
      <c r="B2478" t="s">
        <v>16</v>
      </c>
      <c r="C2478" t="s">
        <v>17</v>
      </c>
      <c r="D2478">
        <v>55310000</v>
      </c>
      <c r="E2478">
        <v>55314999</v>
      </c>
      <c r="F2478" t="s">
        <v>2225</v>
      </c>
      <c r="G2478" t="str">
        <f t="shared" si="76"/>
        <v>PEI</v>
      </c>
      <c r="H2478" t="s">
        <v>2194</v>
      </c>
      <c r="I2478" t="s">
        <v>20</v>
      </c>
      <c r="J2478" t="s">
        <v>62</v>
      </c>
      <c r="K2478" s="6">
        <v>0.03</v>
      </c>
      <c r="L2478" s="7">
        <f t="shared" si="77"/>
        <v>2E-3</v>
      </c>
      <c r="M2478" s="7">
        <v>3.0000000000000001E-3</v>
      </c>
      <c r="N2478">
        <v>14</v>
      </c>
      <c r="O2478" s="8">
        <v>17.362919062478753</v>
      </c>
      <c r="P2478" s="9">
        <v>17.362919062478753</v>
      </c>
      <c r="Q2478" s="9">
        <v>17.362919062478753</v>
      </c>
      <c r="R2478" s="9">
        <v>18.763077462609331</v>
      </c>
      <c r="S2478" s="9">
        <v>20.822367518100933</v>
      </c>
      <c r="T2478" s="9">
        <v>22.932657006868226</v>
      </c>
      <c r="U2478" s="9">
        <v>28.394641309673208</v>
      </c>
      <c r="V2478" s="9">
        <v>28.394641309673208</v>
      </c>
      <c r="W2478" s="9">
        <v>28.394641309673208</v>
      </c>
      <c r="X2478" s="9">
        <v>34.481353453939484</v>
      </c>
      <c r="Y2478" s="9">
        <v>34.481353453939484</v>
      </c>
      <c r="Z2478" s="9">
        <v>40.733986919834194</v>
      </c>
      <c r="AA2478" s="9">
        <v>40.733986919834194</v>
      </c>
      <c r="AB2478" s="9">
        <v>47.204537282413121</v>
      </c>
      <c r="AC2478" s="9">
        <v>47.204537282413121</v>
      </c>
      <c r="AD2478" s="9">
        <v>53.805016474910374</v>
      </c>
      <c r="AE2478" s="9">
        <v>60.552137154404392</v>
      </c>
      <c r="AF2478" s="9">
        <v>67.464818475061875</v>
      </c>
      <c r="AG2478" s="9">
        <v>67.464818475061875</v>
      </c>
      <c r="AH2478" s="9">
        <v>74.129442022189522</v>
      </c>
      <c r="AI2478" s="9">
        <v>81.304669029817305</v>
      </c>
      <c r="AJ2478" s="9">
        <v>3.0428788910505911</v>
      </c>
    </row>
    <row r="2479" spans="1:36" x14ac:dyDescent="0.25">
      <c r="A2479" t="s">
        <v>5411</v>
      </c>
      <c r="B2479" t="s">
        <v>16</v>
      </c>
      <c r="C2479" t="s">
        <v>17</v>
      </c>
      <c r="D2479">
        <v>55315000</v>
      </c>
      <c r="E2479">
        <v>55319999</v>
      </c>
      <c r="F2479" t="s">
        <v>2226</v>
      </c>
      <c r="G2479" t="str">
        <f t="shared" si="76"/>
        <v>PEI</v>
      </c>
      <c r="H2479" t="s">
        <v>2194</v>
      </c>
      <c r="I2479" t="s">
        <v>20</v>
      </c>
      <c r="J2479" t="s">
        <v>62</v>
      </c>
      <c r="K2479" s="6">
        <v>0.03</v>
      </c>
      <c r="L2479" s="7">
        <f t="shared" si="77"/>
        <v>2E-3</v>
      </c>
      <c r="M2479" s="7">
        <v>3.0000000000000001E-3</v>
      </c>
      <c r="N2479">
        <v>14</v>
      </c>
      <c r="O2479" s="8">
        <v>17.362919062478753</v>
      </c>
      <c r="P2479" s="9">
        <v>17.362919062478753</v>
      </c>
      <c r="Q2479" s="9">
        <v>17.362919062478753</v>
      </c>
      <c r="R2479" s="9">
        <v>18.763077462609331</v>
      </c>
      <c r="S2479" s="9">
        <v>20.822367518100933</v>
      </c>
      <c r="T2479" s="9">
        <v>22.932657006868226</v>
      </c>
      <c r="U2479" s="9">
        <v>28.394641309673208</v>
      </c>
      <c r="V2479" s="9">
        <v>28.394641309673208</v>
      </c>
      <c r="W2479" s="9">
        <v>28.394641309673208</v>
      </c>
      <c r="X2479" s="9">
        <v>34.481353453939484</v>
      </c>
      <c r="Y2479" s="9">
        <v>34.481353453939484</v>
      </c>
      <c r="Z2479" s="9">
        <v>40.733986919834194</v>
      </c>
      <c r="AA2479" s="9">
        <v>40.733986919834194</v>
      </c>
      <c r="AB2479" s="9">
        <v>47.204537282413121</v>
      </c>
      <c r="AC2479" s="9">
        <v>47.204537282413121</v>
      </c>
      <c r="AD2479" s="9">
        <v>53.805016474910374</v>
      </c>
      <c r="AE2479" s="9">
        <v>60.552137154404392</v>
      </c>
      <c r="AF2479" s="9">
        <v>67.464818475061875</v>
      </c>
      <c r="AG2479" s="9">
        <v>67.464818475061875</v>
      </c>
      <c r="AH2479" s="9">
        <v>74.129442022189522</v>
      </c>
      <c r="AI2479" s="9">
        <v>81.304669029817305</v>
      </c>
      <c r="AJ2479" s="9">
        <v>3.0428788910505911</v>
      </c>
    </row>
    <row r="2480" spans="1:36" x14ac:dyDescent="0.25">
      <c r="A2480" t="s">
        <v>5411</v>
      </c>
      <c r="B2480" t="s">
        <v>16</v>
      </c>
      <c r="C2480" t="s">
        <v>17</v>
      </c>
      <c r="D2480">
        <v>55320000</v>
      </c>
      <c r="E2480">
        <v>55324999</v>
      </c>
      <c r="F2480" t="s">
        <v>2227</v>
      </c>
      <c r="G2480" t="str">
        <f t="shared" si="76"/>
        <v>PEI</v>
      </c>
      <c r="H2480" t="s">
        <v>2194</v>
      </c>
      <c r="I2480" t="s">
        <v>20</v>
      </c>
      <c r="J2480" t="s">
        <v>62</v>
      </c>
      <c r="K2480" s="6">
        <v>0.03</v>
      </c>
      <c r="L2480" s="7">
        <f t="shared" si="77"/>
        <v>2E-3</v>
      </c>
      <c r="M2480" s="7">
        <v>3.0000000000000001E-3</v>
      </c>
      <c r="N2480">
        <v>14</v>
      </c>
      <c r="O2480" s="8">
        <v>17.362919062478753</v>
      </c>
      <c r="P2480" s="9">
        <v>17.362919062478753</v>
      </c>
      <c r="Q2480" s="9">
        <v>17.362919062478753</v>
      </c>
      <c r="R2480" s="9">
        <v>18.763077462609331</v>
      </c>
      <c r="S2480" s="9">
        <v>20.822367518100933</v>
      </c>
      <c r="T2480" s="9">
        <v>22.932657006868226</v>
      </c>
      <c r="U2480" s="9">
        <v>28.394641309673208</v>
      </c>
      <c r="V2480" s="9">
        <v>28.394641309673208</v>
      </c>
      <c r="W2480" s="9">
        <v>28.394641309673208</v>
      </c>
      <c r="X2480" s="9">
        <v>34.481353453939484</v>
      </c>
      <c r="Y2480" s="9">
        <v>34.481353453939484</v>
      </c>
      <c r="Z2480" s="9">
        <v>40.733986919834194</v>
      </c>
      <c r="AA2480" s="9">
        <v>40.733986919834194</v>
      </c>
      <c r="AB2480" s="9">
        <v>47.204537282413121</v>
      </c>
      <c r="AC2480" s="9">
        <v>47.204537282413121</v>
      </c>
      <c r="AD2480" s="9">
        <v>53.805016474910374</v>
      </c>
      <c r="AE2480" s="9">
        <v>60.552137154404392</v>
      </c>
      <c r="AF2480" s="9">
        <v>67.464818475061875</v>
      </c>
      <c r="AG2480" s="9">
        <v>67.464818475061875</v>
      </c>
      <c r="AH2480" s="9">
        <v>74.129442022189522</v>
      </c>
      <c r="AI2480" s="9">
        <v>81.304669029817305</v>
      </c>
      <c r="AJ2480" s="9">
        <v>3.0428788910505911</v>
      </c>
    </row>
    <row r="2481" spans="1:36" x14ac:dyDescent="0.25">
      <c r="A2481" t="s">
        <v>5411</v>
      </c>
      <c r="B2481" t="s">
        <v>16</v>
      </c>
      <c r="C2481" t="s">
        <v>17</v>
      </c>
      <c r="D2481">
        <v>55325000</v>
      </c>
      <c r="E2481">
        <v>55329999</v>
      </c>
      <c r="F2481" t="s">
        <v>2228</v>
      </c>
      <c r="G2481" t="str">
        <f t="shared" si="76"/>
        <v>PEI</v>
      </c>
      <c r="H2481" t="s">
        <v>2194</v>
      </c>
      <c r="I2481" t="s">
        <v>20</v>
      </c>
      <c r="J2481" t="s">
        <v>62</v>
      </c>
      <c r="K2481" s="6">
        <v>0.03</v>
      </c>
      <c r="L2481" s="7">
        <f t="shared" si="77"/>
        <v>2E-3</v>
      </c>
      <c r="M2481" s="7">
        <v>3.0000000000000001E-3</v>
      </c>
      <c r="N2481">
        <v>14</v>
      </c>
      <c r="O2481" s="8">
        <v>17.362919062478753</v>
      </c>
      <c r="P2481" s="9">
        <v>17.362919062478753</v>
      </c>
      <c r="Q2481" s="9">
        <v>17.362919062478753</v>
      </c>
      <c r="R2481" s="9">
        <v>18.763077462609331</v>
      </c>
      <c r="S2481" s="9">
        <v>20.822367518100933</v>
      </c>
      <c r="T2481" s="9">
        <v>22.932657006868226</v>
      </c>
      <c r="U2481" s="9">
        <v>28.394641309673208</v>
      </c>
      <c r="V2481" s="9">
        <v>28.394641309673208</v>
      </c>
      <c r="W2481" s="9">
        <v>28.394641309673208</v>
      </c>
      <c r="X2481" s="9">
        <v>34.481353453939484</v>
      </c>
      <c r="Y2481" s="9">
        <v>34.481353453939484</v>
      </c>
      <c r="Z2481" s="9">
        <v>40.733986919834194</v>
      </c>
      <c r="AA2481" s="9">
        <v>40.733986919834194</v>
      </c>
      <c r="AB2481" s="9">
        <v>47.204537282413121</v>
      </c>
      <c r="AC2481" s="9">
        <v>47.204537282413121</v>
      </c>
      <c r="AD2481" s="9">
        <v>53.805016474910374</v>
      </c>
      <c r="AE2481" s="9">
        <v>60.552137154404392</v>
      </c>
      <c r="AF2481" s="9">
        <v>67.464818475061875</v>
      </c>
      <c r="AG2481" s="9">
        <v>67.464818475061875</v>
      </c>
      <c r="AH2481" s="9">
        <v>74.129442022189522</v>
      </c>
      <c r="AI2481" s="9">
        <v>81.304669029817305</v>
      </c>
      <c r="AJ2481" s="9">
        <v>3.0428788910505911</v>
      </c>
    </row>
    <row r="2482" spans="1:36" x14ac:dyDescent="0.25">
      <c r="A2482" t="s">
        <v>5411</v>
      </c>
      <c r="B2482" t="s">
        <v>16</v>
      </c>
      <c r="C2482" t="s">
        <v>17</v>
      </c>
      <c r="D2482">
        <v>55330000</v>
      </c>
      <c r="E2482">
        <v>55339999</v>
      </c>
      <c r="F2482" t="s">
        <v>2229</v>
      </c>
      <c r="G2482" t="str">
        <f t="shared" si="76"/>
        <v>PEI II</v>
      </c>
      <c r="H2482" t="s">
        <v>2194</v>
      </c>
      <c r="I2482" t="s">
        <v>20</v>
      </c>
      <c r="J2482" t="s">
        <v>64</v>
      </c>
      <c r="K2482" s="6">
        <v>0.03</v>
      </c>
      <c r="L2482" s="7">
        <f t="shared" si="77"/>
        <v>2E-3</v>
      </c>
      <c r="M2482" s="7">
        <v>3.0000000000000001E-3</v>
      </c>
      <c r="N2482">
        <v>11</v>
      </c>
      <c r="O2482" s="8">
        <v>21.329668724084634</v>
      </c>
      <c r="P2482" s="9">
        <v>21.329668724084634</v>
      </c>
      <c r="Q2482" s="9">
        <v>21.329668724084634</v>
      </c>
      <c r="R2482" s="9">
        <v>23.535187126233286</v>
      </c>
      <c r="S2482" s="9">
        <v>25.969348495460661</v>
      </c>
      <c r="T2482" s="9">
        <v>28.018652515052967</v>
      </c>
      <c r="U2482" s="9">
        <v>34.474261331240129</v>
      </c>
      <c r="V2482" s="9">
        <v>34.474261331240129</v>
      </c>
      <c r="W2482" s="9">
        <v>34.474261331240129</v>
      </c>
      <c r="X2482" s="9">
        <v>41.6797573977124</v>
      </c>
      <c r="Y2482" s="9">
        <v>41.6797573977124</v>
      </c>
      <c r="Z2482" s="9">
        <v>48.964357977567339</v>
      </c>
      <c r="AA2482" s="9">
        <v>48.964357977567339</v>
      </c>
      <c r="AB2482" s="9">
        <v>56.335973522143213</v>
      </c>
      <c r="AC2482" s="9">
        <v>56.335973522143213</v>
      </c>
      <c r="AD2482" s="9">
        <v>65.349051350310745</v>
      </c>
      <c r="AE2482" s="9">
        <v>72.305128962695434</v>
      </c>
      <c r="AF2482" s="9">
        <v>79.365490610542253</v>
      </c>
      <c r="AG2482" s="9">
        <v>79.365490610542253</v>
      </c>
      <c r="AH2482" s="9">
        <v>87.219003417886043</v>
      </c>
      <c r="AI2482" s="9">
        <v>95.054924275940976</v>
      </c>
      <c r="AJ2482" s="9">
        <v>3.0428788910505911</v>
      </c>
    </row>
    <row r="2483" spans="1:36" x14ac:dyDescent="0.25">
      <c r="A2483" t="s">
        <v>5411</v>
      </c>
      <c r="B2483" t="s">
        <v>16</v>
      </c>
      <c r="C2483" t="s">
        <v>17</v>
      </c>
      <c r="D2483">
        <v>55340000</v>
      </c>
      <c r="E2483">
        <v>55344999</v>
      </c>
      <c r="F2483" t="s">
        <v>2230</v>
      </c>
      <c r="G2483" t="str">
        <f t="shared" si="76"/>
        <v>PEI II</v>
      </c>
      <c r="H2483" t="s">
        <v>2194</v>
      </c>
      <c r="I2483" t="s">
        <v>20</v>
      </c>
      <c r="J2483" t="s">
        <v>64</v>
      </c>
      <c r="K2483" s="6">
        <v>0.03</v>
      </c>
      <c r="L2483" s="7">
        <f t="shared" si="77"/>
        <v>2E-3</v>
      </c>
      <c r="M2483" s="7">
        <v>3.0000000000000001E-3</v>
      </c>
      <c r="N2483">
        <v>15</v>
      </c>
      <c r="O2483" s="8">
        <v>21.329668724084634</v>
      </c>
      <c r="P2483" s="9">
        <v>21.329668724084634</v>
      </c>
      <c r="Q2483" s="9">
        <v>21.329668724084634</v>
      </c>
      <c r="R2483" s="9">
        <v>23.535187126233286</v>
      </c>
      <c r="S2483" s="9">
        <v>25.969348495460661</v>
      </c>
      <c r="T2483" s="9">
        <v>28.018652515052967</v>
      </c>
      <c r="U2483" s="9">
        <v>34.474261331240129</v>
      </c>
      <c r="V2483" s="9">
        <v>34.474261331240129</v>
      </c>
      <c r="W2483" s="9">
        <v>34.474261331240129</v>
      </c>
      <c r="X2483" s="9">
        <v>41.6797573977124</v>
      </c>
      <c r="Y2483" s="9">
        <v>41.6797573977124</v>
      </c>
      <c r="Z2483" s="9">
        <v>48.964357977567339</v>
      </c>
      <c r="AA2483" s="9">
        <v>48.964357977567339</v>
      </c>
      <c r="AB2483" s="9">
        <v>56.335973522143213</v>
      </c>
      <c r="AC2483" s="9">
        <v>56.335973522143213</v>
      </c>
      <c r="AD2483" s="9">
        <v>65.349051350310745</v>
      </c>
      <c r="AE2483" s="9">
        <v>72.305128962695434</v>
      </c>
      <c r="AF2483" s="9">
        <v>79.365490610542253</v>
      </c>
      <c r="AG2483" s="9">
        <v>79.365490610542253</v>
      </c>
      <c r="AH2483" s="9">
        <v>87.219003417886043</v>
      </c>
      <c r="AI2483" s="9">
        <v>95.054924275940976</v>
      </c>
      <c r="AJ2483" s="9">
        <v>3.0428788910505911</v>
      </c>
    </row>
    <row r="2484" spans="1:36" x14ac:dyDescent="0.25">
      <c r="A2484" t="s">
        <v>5411</v>
      </c>
      <c r="B2484" t="s">
        <v>16</v>
      </c>
      <c r="C2484" t="s">
        <v>17</v>
      </c>
      <c r="D2484">
        <v>55345000</v>
      </c>
      <c r="E2484">
        <v>55349999</v>
      </c>
      <c r="F2484" t="s">
        <v>2231</v>
      </c>
      <c r="G2484" t="str">
        <f t="shared" si="76"/>
        <v>PEI II</v>
      </c>
      <c r="H2484" t="s">
        <v>2194</v>
      </c>
      <c r="I2484" t="s">
        <v>20</v>
      </c>
      <c r="J2484" t="s">
        <v>64</v>
      </c>
      <c r="K2484" s="6">
        <v>0.03</v>
      </c>
      <c r="L2484" s="7">
        <f t="shared" si="77"/>
        <v>2E-3</v>
      </c>
      <c r="M2484" s="7">
        <v>3.0000000000000001E-3</v>
      </c>
      <c r="N2484">
        <v>15</v>
      </c>
      <c r="O2484" s="8">
        <v>21.329668724084634</v>
      </c>
      <c r="P2484" s="9">
        <v>21.329668724084634</v>
      </c>
      <c r="Q2484" s="9">
        <v>21.329668724084634</v>
      </c>
      <c r="R2484" s="9">
        <v>23.535187126233286</v>
      </c>
      <c r="S2484" s="9">
        <v>25.969348495460661</v>
      </c>
      <c r="T2484" s="9">
        <v>28.018652515052967</v>
      </c>
      <c r="U2484" s="9">
        <v>34.474261331240129</v>
      </c>
      <c r="V2484" s="9">
        <v>34.474261331240129</v>
      </c>
      <c r="W2484" s="9">
        <v>34.474261331240129</v>
      </c>
      <c r="X2484" s="9">
        <v>41.6797573977124</v>
      </c>
      <c r="Y2484" s="9">
        <v>41.6797573977124</v>
      </c>
      <c r="Z2484" s="9">
        <v>48.964357977567339</v>
      </c>
      <c r="AA2484" s="9">
        <v>48.964357977567339</v>
      </c>
      <c r="AB2484" s="9">
        <v>56.335973522143213</v>
      </c>
      <c r="AC2484" s="9">
        <v>56.335973522143213</v>
      </c>
      <c r="AD2484" s="9">
        <v>65.349051350310745</v>
      </c>
      <c r="AE2484" s="9">
        <v>72.305128962695434</v>
      </c>
      <c r="AF2484" s="9">
        <v>79.365490610542253</v>
      </c>
      <c r="AG2484" s="9">
        <v>79.365490610542253</v>
      </c>
      <c r="AH2484" s="9">
        <v>87.219003417886043</v>
      </c>
      <c r="AI2484" s="9">
        <v>95.054924275940976</v>
      </c>
      <c r="AJ2484" s="9">
        <v>3.0428788910505911</v>
      </c>
    </row>
    <row r="2485" spans="1:36" x14ac:dyDescent="0.25">
      <c r="A2485" t="s">
        <v>5411</v>
      </c>
      <c r="B2485" t="s">
        <v>16</v>
      </c>
      <c r="C2485" t="s">
        <v>17</v>
      </c>
      <c r="D2485">
        <v>55350000</v>
      </c>
      <c r="E2485">
        <v>55354999</v>
      </c>
      <c r="F2485" t="s">
        <v>2232</v>
      </c>
      <c r="G2485" t="str">
        <f t="shared" si="76"/>
        <v>PEI II</v>
      </c>
      <c r="H2485" t="s">
        <v>2194</v>
      </c>
      <c r="I2485" t="s">
        <v>20</v>
      </c>
      <c r="J2485" t="s">
        <v>64</v>
      </c>
      <c r="K2485" s="6">
        <v>0.03</v>
      </c>
      <c r="L2485" s="7">
        <f t="shared" si="77"/>
        <v>2E-3</v>
      </c>
      <c r="M2485" s="7">
        <v>3.0000000000000001E-3</v>
      </c>
      <c r="N2485">
        <v>11</v>
      </c>
      <c r="O2485" s="8">
        <v>21.329668724084634</v>
      </c>
      <c r="P2485" s="9">
        <v>21.329668724084634</v>
      </c>
      <c r="Q2485" s="9">
        <v>21.329668724084634</v>
      </c>
      <c r="R2485" s="9">
        <v>23.535187126233286</v>
      </c>
      <c r="S2485" s="9">
        <v>25.969348495460661</v>
      </c>
      <c r="T2485" s="9">
        <v>28.018652515052967</v>
      </c>
      <c r="U2485" s="9">
        <v>34.474261331240129</v>
      </c>
      <c r="V2485" s="9">
        <v>34.474261331240129</v>
      </c>
      <c r="W2485" s="9">
        <v>34.474261331240129</v>
      </c>
      <c r="X2485" s="9">
        <v>41.6797573977124</v>
      </c>
      <c r="Y2485" s="9">
        <v>41.6797573977124</v>
      </c>
      <c r="Z2485" s="9">
        <v>48.964357977567339</v>
      </c>
      <c r="AA2485" s="9">
        <v>48.964357977567339</v>
      </c>
      <c r="AB2485" s="9">
        <v>56.335973522143213</v>
      </c>
      <c r="AC2485" s="9">
        <v>56.335973522143213</v>
      </c>
      <c r="AD2485" s="9">
        <v>65.349051350310745</v>
      </c>
      <c r="AE2485" s="9">
        <v>72.305128962695434</v>
      </c>
      <c r="AF2485" s="9">
        <v>79.365490610542253</v>
      </c>
      <c r="AG2485" s="9">
        <v>79.365490610542253</v>
      </c>
      <c r="AH2485" s="9">
        <v>87.219003417886043</v>
      </c>
      <c r="AI2485" s="9">
        <v>95.054924275940976</v>
      </c>
      <c r="AJ2485" s="9">
        <v>3.0428788910505911</v>
      </c>
    </row>
    <row r="2486" spans="1:36" x14ac:dyDescent="0.25">
      <c r="A2486" t="s">
        <v>5411</v>
      </c>
      <c r="B2486" t="s">
        <v>16</v>
      </c>
      <c r="C2486" t="s">
        <v>17</v>
      </c>
      <c r="D2486">
        <v>55355000</v>
      </c>
      <c r="E2486">
        <v>55359999</v>
      </c>
      <c r="F2486" t="s">
        <v>2233</v>
      </c>
      <c r="G2486" t="str">
        <f t="shared" si="76"/>
        <v>PEI II</v>
      </c>
      <c r="H2486" t="s">
        <v>2194</v>
      </c>
      <c r="I2486" t="s">
        <v>20</v>
      </c>
      <c r="J2486" t="s">
        <v>64</v>
      </c>
      <c r="K2486" s="6">
        <v>0.03</v>
      </c>
      <c r="L2486" s="7">
        <f t="shared" si="77"/>
        <v>2E-3</v>
      </c>
      <c r="M2486" s="7">
        <v>3.0000000000000001E-3</v>
      </c>
      <c r="N2486">
        <v>15</v>
      </c>
      <c r="O2486" s="8">
        <v>21.329668724084634</v>
      </c>
      <c r="P2486" s="9">
        <v>21.329668724084634</v>
      </c>
      <c r="Q2486" s="9">
        <v>21.329668724084634</v>
      </c>
      <c r="R2486" s="9">
        <v>23.535187126233286</v>
      </c>
      <c r="S2486" s="9">
        <v>25.969348495460661</v>
      </c>
      <c r="T2486" s="9">
        <v>28.018652515052967</v>
      </c>
      <c r="U2486" s="9">
        <v>34.474261331240129</v>
      </c>
      <c r="V2486" s="9">
        <v>34.474261331240129</v>
      </c>
      <c r="W2486" s="9">
        <v>34.474261331240129</v>
      </c>
      <c r="X2486" s="9">
        <v>41.6797573977124</v>
      </c>
      <c r="Y2486" s="9">
        <v>41.6797573977124</v>
      </c>
      <c r="Z2486" s="9">
        <v>48.964357977567339</v>
      </c>
      <c r="AA2486" s="9">
        <v>48.964357977567339</v>
      </c>
      <c r="AB2486" s="9">
        <v>56.335973522143213</v>
      </c>
      <c r="AC2486" s="9">
        <v>56.335973522143213</v>
      </c>
      <c r="AD2486" s="9">
        <v>65.349051350310745</v>
      </c>
      <c r="AE2486" s="9">
        <v>72.305128962695434</v>
      </c>
      <c r="AF2486" s="9">
        <v>79.365490610542253</v>
      </c>
      <c r="AG2486" s="9">
        <v>79.365490610542253</v>
      </c>
      <c r="AH2486" s="9">
        <v>87.219003417886043</v>
      </c>
      <c r="AI2486" s="9">
        <v>95.054924275940976</v>
      </c>
      <c r="AJ2486" s="9">
        <v>3.0428788910505911</v>
      </c>
    </row>
    <row r="2487" spans="1:36" x14ac:dyDescent="0.25">
      <c r="A2487" t="s">
        <v>5411</v>
      </c>
      <c r="B2487" t="s">
        <v>16</v>
      </c>
      <c r="C2487" t="s">
        <v>17</v>
      </c>
      <c r="D2487">
        <v>55360000</v>
      </c>
      <c r="E2487">
        <v>55364999</v>
      </c>
      <c r="F2487" t="s">
        <v>2234</v>
      </c>
      <c r="G2487" t="str">
        <f t="shared" si="76"/>
        <v>PEI II</v>
      </c>
      <c r="H2487" t="s">
        <v>2194</v>
      </c>
      <c r="I2487" t="s">
        <v>20</v>
      </c>
      <c r="J2487" t="s">
        <v>64</v>
      </c>
      <c r="K2487" s="6">
        <v>0.03</v>
      </c>
      <c r="L2487" s="7">
        <f t="shared" si="77"/>
        <v>2E-3</v>
      </c>
      <c r="M2487" s="7">
        <v>3.0000000000000001E-3</v>
      </c>
      <c r="N2487">
        <v>11</v>
      </c>
      <c r="O2487" s="8">
        <v>21.329668724084634</v>
      </c>
      <c r="P2487" s="9">
        <v>21.329668724084634</v>
      </c>
      <c r="Q2487" s="9">
        <v>21.329668724084634</v>
      </c>
      <c r="R2487" s="9">
        <v>23.535187126233286</v>
      </c>
      <c r="S2487" s="9">
        <v>25.969348495460661</v>
      </c>
      <c r="T2487" s="9">
        <v>28.018652515052967</v>
      </c>
      <c r="U2487" s="9">
        <v>34.474261331240129</v>
      </c>
      <c r="V2487" s="9">
        <v>34.474261331240129</v>
      </c>
      <c r="W2487" s="9">
        <v>34.474261331240129</v>
      </c>
      <c r="X2487" s="9">
        <v>41.6797573977124</v>
      </c>
      <c r="Y2487" s="9">
        <v>41.6797573977124</v>
      </c>
      <c r="Z2487" s="9">
        <v>48.964357977567339</v>
      </c>
      <c r="AA2487" s="9">
        <v>48.964357977567339</v>
      </c>
      <c r="AB2487" s="9">
        <v>56.335973522143213</v>
      </c>
      <c r="AC2487" s="9">
        <v>56.335973522143213</v>
      </c>
      <c r="AD2487" s="9">
        <v>65.349051350310745</v>
      </c>
      <c r="AE2487" s="9">
        <v>72.305128962695434</v>
      </c>
      <c r="AF2487" s="9">
        <v>79.365490610542253</v>
      </c>
      <c r="AG2487" s="9">
        <v>79.365490610542253</v>
      </c>
      <c r="AH2487" s="9">
        <v>87.219003417886043</v>
      </c>
      <c r="AI2487" s="9">
        <v>95.054924275940976</v>
      </c>
      <c r="AJ2487" s="9">
        <v>3.0428788910505911</v>
      </c>
    </row>
    <row r="2488" spans="1:36" x14ac:dyDescent="0.25">
      <c r="A2488" t="s">
        <v>5411</v>
      </c>
      <c r="B2488" t="s">
        <v>16</v>
      </c>
      <c r="C2488" t="s">
        <v>17</v>
      </c>
      <c r="D2488">
        <v>55365000</v>
      </c>
      <c r="E2488">
        <v>55369999</v>
      </c>
      <c r="F2488" t="s">
        <v>2235</v>
      </c>
      <c r="G2488" t="str">
        <f t="shared" si="76"/>
        <v>PEI II</v>
      </c>
      <c r="H2488" t="s">
        <v>2194</v>
      </c>
      <c r="I2488" t="s">
        <v>20</v>
      </c>
      <c r="J2488" t="s">
        <v>64</v>
      </c>
      <c r="K2488" s="6">
        <v>0.03</v>
      </c>
      <c r="L2488" s="7">
        <f t="shared" si="77"/>
        <v>2E-3</v>
      </c>
      <c r="M2488" s="7">
        <v>3.0000000000000001E-3</v>
      </c>
      <c r="N2488">
        <v>11</v>
      </c>
      <c r="O2488" s="8">
        <v>21.329668724084634</v>
      </c>
      <c r="P2488" s="9">
        <v>21.329668724084634</v>
      </c>
      <c r="Q2488" s="9">
        <v>21.329668724084634</v>
      </c>
      <c r="R2488" s="9">
        <v>23.535187126233286</v>
      </c>
      <c r="S2488" s="9">
        <v>25.969348495460661</v>
      </c>
      <c r="T2488" s="9">
        <v>28.018652515052967</v>
      </c>
      <c r="U2488" s="9">
        <v>34.474261331240129</v>
      </c>
      <c r="V2488" s="9">
        <v>34.474261331240129</v>
      </c>
      <c r="W2488" s="9">
        <v>34.474261331240129</v>
      </c>
      <c r="X2488" s="9">
        <v>41.6797573977124</v>
      </c>
      <c r="Y2488" s="9">
        <v>41.6797573977124</v>
      </c>
      <c r="Z2488" s="9">
        <v>48.964357977567339</v>
      </c>
      <c r="AA2488" s="9">
        <v>48.964357977567339</v>
      </c>
      <c r="AB2488" s="9">
        <v>56.335973522143213</v>
      </c>
      <c r="AC2488" s="9">
        <v>56.335973522143213</v>
      </c>
      <c r="AD2488" s="9">
        <v>65.349051350310745</v>
      </c>
      <c r="AE2488" s="9">
        <v>72.305128962695434</v>
      </c>
      <c r="AF2488" s="9">
        <v>79.365490610542253</v>
      </c>
      <c r="AG2488" s="9">
        <v>79.365490610542253</v>
      </c>
      <c r="AH2488" s="9">
        <v>87.219003417886043</v>
      </c>
      <c r="AI2488" s="9">
        <v>95.054924275940976</v>
      </c>
      <c r="AJ2488" s="9">
        <v>3.0428788910505911</v>
      </c>
    </row>
    <row r="2489" spans="1:36" x14ac:dyDescent="0.25">
      <c r="A2489" t="s">
        <v>5411</v>
      </c>
      <c r="B2489" t="s">
        <v>16</v>
      </c>
      <c r="C2489" t="s">
        <v>17</v>
      </c>
      <c r="D2489">
        <v>55370000</v>
      </c>
      <c r="E2489">
        <v>55374999</v>
      </c>
      <c r="F2489" t="s">
        <v>2236</v>
      </c>
      <c r="G2489" t="str">
        <f t="shared" si="76"/>
        <v>PEI</v>
      </c>
      <c r="H2489" t="s">
        <v>2194</v>
      </c>
      <c r="I2489" t="s">
        <v>20</v>
      </c>
      <c r="J2489" t="s">
        <v>62</v>
      </c>
      <c r="K2489" s="6">
        <v>0.03</v>
      </c>
      <c r="L2489" s="7">
        <f t="shared" si="77"/>
        <v>2E-3</v>
      </c>
      <c r="M2489" s="7">
        <v>3.0000000000000001E-3</v>
      </c>
      <c r="N2489">
        <v>11</v>
      </c>
      <c r="O2489" s="8">
        <v>17.362919062478753</v>
      </c>
      <c r="P2489" s="9">
        <v>17.362919062478753</v>
      </c>
      <c r="Q2489" s="9">
        <v>17.362919062478753</v>
      </c>
      <c r="R2489" s="9">
        <v>18.763077462609331</v>
      </c>
      <c r="S2489" s="9">
        <v>20.822367518100933</v>
      </c>
      <c r="T2489" s="9">
        <v>22.932657006868226</v>
      </c>
      <c r="U2489" s="9">
        <v>28.394641309673208</v>
      </c>
      <c r="V2489" s="9">
        <v>28.394641309673208</v>
      </c>
      <c r="W2489" s="9">
        <v>28.394641309673208</v>
      </c>
      <c r="X2489" s="9">
        <v>34.481353453939484</v>
      </c>
      <c r="Y2489" s="9">
        <v>34.481353453939484</v>
      </c>
      <c r="Z2489" s="9">
        <v>40.733986919834194</v>
      </c>
      <c r="AA2489" s="9">
        <v>40.733986919834194</v>
      </c>
      <c r="AB2489" s="9">
        <v>47.204537282413121</v>
      </c>
      <c r="AC2489" s="9">
        <v>47.204537282413121</v>
      </c>
      <c r="AD2489" s="9">
        <v>53.805016474910374</v>
      </c>
      <c r="AE2489" s="9">
        <v>60.552137154404392</v>
      </c>
      <c r="AF2489" s="9">
        <v>67.464818475061875</v>
      </c>
      <c r="AG2489" s="9">
        <v>67.464818475061875</v>
      </c>
      <c r="AH2489" s="9">
        <v>74.129442022189522</v>
      </c>
      <c r="AI2489" s="9">
        <v>81.304669029817305</v>
      </c>
      <c r="AJ2489" s="9">
        <v>3.0428788910505911</v>
      </c>
    </row>
    <row r="2490" spans="1:36" x14ac:dyDescent="0.25">
      <c r="A2490" t="s">
        <v>5411</v>
      </c>
      <c r="B2490" t="s">
        <v>16</v>
      </c>
      <c r="C2490" t="s">
        <v>17</v>
      </c>
      <c r="D2490">
        <v>55375000</v>
      </c>
      <c r="E2490">
        <v>55379999</v>
      </c>
      <c r="F2490" t="s">
        <v>2237</v>
      </c>
      <c r="G2490" t="str">
        <f t="shared" si="76"/>
        <v>PEI</v>
      </c>
      <c r="H2490" t="s">
        <v>2194</v>
      </c>
      <c r="I2490" t="s">
        <v>20</v>
      </c>
      <c r="J2490" t="s">
        <v>62</v>
      </c>
      <c r="K2490" s="6">
        <v>0.03</v>
      </c>
      <c r="L2490" s="7">
        <f t="shared" si="77"/>
        <v>2E-3</v>
      </c>
      <c r="M2490" s="7">
        <v>3.0000000000000001E-3</v>
      </c>
      <c r="N2490">
        <v>14</v>
      </c>
      <c r="O2490" s="8">
        <v>17.362919062478753</v>
      </c>
      <c r="P2490" s="9">
        <v>17.362919062478753</v>
      </c>
      <c r="Q2490" s="9">
        <v>17.362919062478753</v>
      </c>
      <c r="R2490" s="9">
        <v>18.763077462609331</v>
      </c>
      <c r="S2490" s="9">
        <v>20.822367518100933</v>
      </c>
      <c r="T2490" s="9">
        <v>22.932657006868226</v>
      </c>
      <c r="U2490" s="9">
        <v>28.394641309673208</v>
      </c>
      <c r="V2490" s="9">
        <v>28.394641309673208</v>
      </c>
      <c r="W2490" s="9">
        <v>28.394641309673208</v>
      </c>
      <c r="X2490" s="9">
        <v>34.481353453939484</v>
      </c>
      <c r="Y2490" s="9">
        <v>34.481353453939484</v>
      </c>
      <c r="Z2490" s="9">
        <v>40.733986919834194</v>
      </c>
      <c r="AA2490" s="9">
        <v>40.733986919834194</v>
      </c>
      <c r="AB2490" s="9">
        <v>47.204537282413121</v>
      </c>
      <c r="AC2490" s="9">
        <v>47.204537282413121</v>
      </c>
      <c r="AD2490" s="9">
        <v>53.805016474910374</v>
      </c>
      <c r="AE2490" s="9">
        <v>60.552137154404392</v>
      </c>
      <c r="AF2490" s="9">
        <v>67.464818475061875</v>
      </c>
      <c r="AG2490" s="9">
        <v>67.464818475061875</v>
      </c>
      <c r="AH2490" s="9">
        <v>74.129442022189522</v>
      </c>
      <c r="AI2490" s="9">
        <v>81.304669029817305</v>
      </c>
      <c r="AJ2490" s="9">
        <v>3.0428788910505911</v>
      </c>
    </row>
    <row r="2491" spans="1:36" x14ac:dyDescent="0.25">
      <c r="A2491" t="s">
        <v>5411</v>
      </c>
      <c r="B2491" t="s">
        <v>16</v>
      </c>
      <c r="C2491" t="s">
        <v>17</v>
      </c>
      <c r="D2491">
        <v>55380000</v>
      </c>
      <c r="E2491">
        <v>55384999</v>
      </c>
      <c r="F2491" t="s">
        <v>2238</v>
      </c>
      <c r="G2491" t="str">
        <f t="shared" si="76"/>
        <v>PEI</v>
      </c>
      <c r="H2491" t="s">
        <v>2194</v>
      </c>
      <c r="I2491" t="s">
        <v>20</v>
      </c>
      <c r="J2491" t="s">
        <v>62</v>
      </c>
      <c r="K2491" s="6">
        <v>0.03</v>
      </c>
      <c r="L2491" s="7">
        <f t="shared" si="77"/>
        <v>2E-3</v>
      </c>
      <c r="M2491" s="7">
        <v>3.0000000000000001E-3</v>
      </c>
      <c r="N2491">
        <v>11</v>
      </c>
      <c r="O2491" s="8">
        <v>17.362919062478753</v>
      </c>
      <c r="P2491" s="9">
        <v>17.362919062478753</v>
      </c>
      <c r="Q2491" s="9">
        <v>17.362919062478753</v>
      </c>
      <c r="R2491" s="9">
        <v>18.763077462609331</v>
      </c>
      <c r="S2491" s="9">
        <v>20.822367518100933</v>
      </c>
      <c r="T2491" s="9">
        <v>22.932657006868226</v>
      </c>
      <c r="U2491" s="9">
        <v>28.394641309673208</v>
      </c>
      <c r="V2491" s="9">
        <v>28.394641309673208</v>
      </c>
      <c r="W2491" s="9">
        <v>28.394641309673208</v>
      </c>
      <c r="X2491" s="9">
        <v>34.481353453939484</v>
      </c>
      <c r="Y2491" s="9">
        <v>34.481353453939484</v>
      </c>
      <c r="Z2491" s="9">
        <v>40.733986919834194</v>
      </c>
      <c r="AA2491" s="9">
        <v>40.733986919834194</v>
      </c>
      <c r="AB2491" s="9">
        <v>47.204537282413121</v>
      </c>
      <c r="AC2491" s="9">
        <v>47.204537282413121</v>
      </c>
      <c r="AD2491" s="9">
        <v>53.805016474910374</v>
      </c>
      <c r="AE2491" s="9">
        <v>60.552137154404392</v>
      </c>
      <c r="AF2491" s="9">
        <v>67.464818475061875</v>
      </c>
      <c r="AG2491" s="9">
        <v>67.464818475061875</v>
      </c>
      <c r="AH2491" s="9">
        <v>74.129442022189522</v>
      </c>
      <c r="AI2491" s="9">
        <v>81.304669029817305</v>
      </c>
      <c r="AJ2491" s="9">
        <v>3.0428788910505911</v>
      </c>
    </row>
    <row r="2492" spans="1:36" x14ac:dyDescent="0.25">
      <c r="A2492" t="s">
        <v>5411</v>
      </c>
      <c r="B2492" t="s">
        <v>16</v>
      </c>
      <c r="C2492" t="s">
        <v>17</v>
      </c>
      <c r="D2492">
        <v>55385000</v>
      </c>
      <c r="E2492">
        <v>55389999</v>
      </c>
      <c r="F2492" t="s">
        <v>2239</v>
      </c>
      <c r="G2492" t="str">
        <f t="shared" si="76"/>
        <v>PEI</v>
      </c>
      <c r="H2492" t="s">
        <v>2194</v>
      </c>
      <c r="I2492" t="s">
        <v>20</v>
      </c>
      <c r="J2492" t="s">
        <v>62</v>
      </c>
      <c r="K2492" s="6">
        <v>0.03</v>
      </c>
      <c r="L2492" s="7">
        <f t="shared" si="77"/>
        <v>2E-3</v>
      </c>
      <c r="M2492" s="7">
        <v>3.0000000000000001E-3</v>
      </c>
      <c r="N2492">
        <v>11</v>
      </c>
      <c r="O2492" s="8">
        <v>17.362919062478753</v>
      </c>
      <c r="P2492" s="9">
        <v>17.362919062478753</v>
      </c>
      <c r="Q2492" s="9">
        <v>17.362919062478753</v>
      </c>
      <c r="R2492" s="9">
        <v>18.763077462609331</v>
      </c>
      <c r="S2492" s="9">
        <v>20.822367518100933</v>
      </c>
      <c r="T2492" s="9">
        <v>22.932657006868226</v>
      </c>
      <c r="U2492" s="9">
        <v>28.394641309673208</v>
      </c>
      <c r="V2492" s="9">
        <v>28.394641309673208</v>
      </c>
      <c r="W2492" s="9">
        <v>28.394641309673208</v>
      </c>
      <c r="X2492" s="9">
        <v>34.481353453939484</v>
      </c>
      <c r="Y2492" s="9">
        <v>34.481353453939484</v>
      </c>
      <c r="Z2492" s="9">
        <v>40.733986919834194</v>
      </c>
      <c r="AA2492" s="9">
        <v>40.733986919834194</v>
      </c>
      <c r="AB2492" s="9">
        <v>47.204537282413121</v>
      </c>
      <c r="AC2492" s="9">
        <v>47.204537282413121</v>
      </c>
      <c r="AD2492" s="9">
        <v>53.805016474910374</v>
      </c>
      <c r="AE2492" s="9">
        <v>60.552137154404392</v>
      </c>
      <c r="AF2492" s="9">
        <v>67.464818475061875</v>
      </c>
      <c r="AG2492" s="9">
        <v>67.464818475061875</v>
      </c>
      <c r="AH2492" s="9">
        <v>74.129442022189522</v>
      </c>
      <c r="AI2492" s="9">
        <v>81.304669029817305</v>
      </c>
      <c r="AJ2492" s="9">
        <v>3.0428788910505911</v>
      </c>
    </row>
    <row r="2493" spans="1:36" x14ac:dyDescent="0.25">
      <c r="A2493" t="s">
        <v>5411</v>
      </c>
      <c r="B2493" t="s">
        <v>16</v>
      </c>
      <c r="C2493" t="s">
        <v>17</v>
      </c>
      <c r="D2493">
        <v>55390000</v>
      </c>
      <c r="E2493">
        <v>55394999</v>
      </c>
      <c r="F2493" t="s">
        <v>2240</v>
      </c>
      <c r="G2493" t="str">
        <f t="shared" si="76"/>
        <v>PEI II</v>
      </c>
      <c r="H2493" t="s">
        <v>2194</v>
      </c>
      <c r="I2493" t="s">
        <v>20</v>
      </c>
      <c r="J2493" t="s">
        <v>64</v>
      </c>
      <c r="K2493" s="6">
        <v>0.03</v>
      </c>
      <c r="L2493" s="7">
        <f t="shared" si="77"/>
        <v>2E-3</v>
      </c>
      <c r="M2493" s="7">
        <v>3.0000000000000001E-3</v>
      </c>
      <c r="N2493">
        <v>14</v>
      </c>
      <c r="O2493" s="8">
        <v>21.329668724084634</v>
      </c>
      <c r="P2493" s="9">
        <v>21.329668724084634</v>
      </c>
      <c r="Q2493" s="9">
        <v>21.329668724084634</v>
      </c>
      <c r="R2493" s="9">
        <v>23.535187126233286</v>
      </c>
      <c r="S2493" s="9">
        <v>25.969348495460661</v>
      </c>
      <c r="T2493" s="9">
        <v>28.018652515052967</v>
      </c>
      <c r="U2493" s="9">
        <v>34.474261331240129</v>
      </c>
      <c r="V2493" s="9">
        <v>34.474261331240129</v>
      </c>
      <c r="W2493" s="9">
        <v>34.474261331240129</v>
      </c>
      <c r="X2493" s="9">
        <v>41.6797573977124</v>
      </c>
      <c r="Y2493" s="9">
        <v>41.6797573977124</v>
      </c>
      <c r="Z2493" s="9">
        <v>48.964357977567339</v>
      </c>
      <c r="AA2493" s="9">
        <v>48.964357977567339</v>
      </c>
      <c r="AB2493" s="9">
        <v>56.335973522143213</v>
      </c>
      <c r="AC2493" s="9">
        <v>56.335973522143213</v>
      </c>
      <c r="AD2493" s="9">
        <v>65.349051350310745</v>
      </c>
      <c r="AE2493" s="9">
        <v>72.305128962695434</v>
      </c>
      <c r="AF2493" s="9">
        <v>79.365490610542253</v>
      </c>
      <c r="AG2493" s="9">
        <v>79.365490610542253</v>
      </c>
      <c r="AH2493" s="9">
        <v>87.219003417886043</v>
      </c>
      <c r="AI2493" s="9">
        <v>95.054924275940976</v>
      </c>
      <c r="AJ2493" s="9">
        <v>3.0428788910505911</v>
      </c>
    </row>
    <row r="2494" spans="1:36" x14ac:dyDescent="0.25">
      <c r="A2494" t="s">
        <v>5411</v>
      </c>
      <c r="B2494" t="s">
        <v>16</v>
      </c>
      <c r="C2494" t="s">
        <v>17</v>
      </c>
      <c r="D2494">
        <v>55395000</v>
      </c>
      <c r="E2494">
        <v>55397999</v>
      </c>
      <c r="F2494" t="s">
        <v>2241</v>
      </c>
      <c r="G2494" t="str">
        <f t="shared" si="76"/>
        <v>PEI II</v>
      </c>
      <c r="H2494" t="s">
        <v>2194</v>
      </c>
      <c r="I2494" t="s">
        <v>20</v>
      </c>
      <c r="J2494" t="s">
        <v>64</v>
      </c>
      <c r="K2494" s="6">
        <v>0.03</v>
      </c>
      <c r="L2494" s="7">
        <f t="shared" si="77"/>
        <v>2E-3</v>
      </c>
      <c r="M2494" s="7">
        <v>3.0000000000000001E-3</v>
      </c>
      <c r="N2494">
        <v>11</v>
      </c>
      <c r="O2494" s="8">
        <v>21.329668724084634</v>
      </c>
      <c r="P2494" s="9">
        <v>21.329668724084634</v>
      </c>
      <c r="Q2494" s="9">
        <v>21.329668724084634</v>
      </c>
      <c r="R2494" s="9">
        <v>23.535187126233286</v>
      </c>
      <c r="S2494" s="9">
        <v>25.969348495460661</v>
      </c>
      <c r="T2494" s="9">
        <v>28.018652515052967</v>
      </c>
      <c r="U2494" s="9">
        <v>34.474261331240129</v>
      </c>
      <c r="V2494" s="9">
        <v>34.474261331240129</v>
      </c>
      <c r="W2494" s="9">
        <v>34.474261331240129</v>
      </c>
      <c r="X2494" s="9">
        <v>41.6797573977124</v>
      </c>
      <c r="Y2494" s="9">
        <v>41.6797573977124</v>
      </c>
      <c r="Z2494" s="9">
        <v>48.964357977567339</v>
      </c>
      <c r="AA2494" s="9">
        <v>48.964357977567339</v>
      </c>
      <c r="AB2494" s="9">
        <v>56.335973522143213</v>
      </c>
      <c r="AC2494" s="9">
        <v>56.335973522143213</v>
      </c>
      <c r="AD2494" s="9">
        <v>65.349051350310745</v>
      </c>
      <c r="AE2494" s="9">
        <v>72.305128962695434</v>
      </c>
      <c r="AF2494" s="9">
        <v>79.365490610542253</v>
      </c>
      <c r="AG2494" s="9">
        <v>79.365490610542253</v>
      </c>
      <c r="AH2494" s="9">
        <v>87.219003417886043</v>
      </c>
      <c r="AI2494" s="9">
        <v>95.054924275940976</v>
      </c>
      <c r="AJ2494" s="9">
        <v>3.0428788910505911</v>
      </c>
    </row>
    <row r="2495" spans="1:36" x14ac:dyDescent="0.25">
      <c r="A2495" t="s">
        <v>5411</v>
      </c>
      <c r="B2495" t="s">
        <v>16</v>
      </c>
      <c r="C2495" t="s">
        <v>17</v>
      </c>
      <c r="D2495">
        <v>55398000</v>
      </c>
      <c r="E2495">
        <v>55399999</v>
      </c>
      <c r="F2495" t="s">
        <v>2242</v>
      </c>
      <c r="G2495" t="str">
        <f t="shared" si="76"/>
        <v>PEI II</v>
      </c>
      <c r="H2495" t="s">
        <v>2194</v>
      </c>
      <c r="I2495" t="s">
        <v>20</v>
      </c>
      <c r="J2495" t="s">
        <v>64</v>
      </c>
      <c r="K2495" s="6">
        <v>0.03</v>
      </c>
      <c r="L2495" s="7">
        <f t="shared" si="77"/>
        <v>2E-3</v>
      </c>
      <c r="M2495" s="7">
        <v>3.0000000000000001E-3</v>
      </c>
      <c r="N2495">
        <v>14</v>
      </c>
      <c r="O2495" s="8">
        <v>21.329668724084634</v>
      </c>
      <c r="P2495" s="9">
        <v>21.329668724084634</v>
      </c>
      <c r="Q2495" s="9">
        <v>21.329668724084634</v>
      </c>
      <c r="R2495" s="9">
        <v>23.535187126233286</v>
      </c>
      <c r="S2495" s="9">
        <v>25.969348495460661</v>
      </c>
      <c r="T2495" s="9">
        <v>28.018652515052967</v>
      </c>
      <c r="U2495" s="9">
        <v>34.474261331240129</v>
      </c>
      <c r="V2495" s="9">
        <v>34.474261331240129</v>
      </c>
      <c r="W2495" s="9">
        <v>34.474261331240129</v>
      </c>
      <c r="X2495" s="9">
        <v>41.6797573977124</v>
      </c>
      <c r="Y2495" s="9">
        <v>41.6797573977124</v>
      </c>
      <c r="Z2495" s="9">
        <v>48.964357977567339</v>
      </c>
      <c r="AA2495" s="9">
        <v>48.964357977567339</v>
      </c>
      <c r="AB2495" s="9">
        <v>56.335973522143213</v>
      </c>
      <c r="AC2495" s="9">
        <v>56.335973522143213</v>
      </c>
      <c r="AD2495" s="9">
        <v>65.349051350310745</v>
      </c>
      <c r="AE2495" s="9">
        <v>72.305128962695434</v>
      </c>
      <c r="AF2495" s="9">
        <v>79.365490610542253</v>
      </c>
      <c r="AG2495" s="9">
        <v>79.365490610542253</v>
      </c>
      <c r="AH2495" s="9">
        <v>87.219003417886043</v>
      </c>
      <c r="AI2495" s="9">
        <v>95.054924275940976</v>
      </c>
      <c r="AJ2495" s="9">
        <v>3.0428788910505911</v>
      </c>
    </row>
    <row r="2496" spans="1:36" x14ac:dyDescent="0.25">
      <c r="A2496" t="s">
        <v>5411</v>
      </c>
      <c r="B2496" t="s">
        <v>16</v>
      </c>
      <c r="C2496" t="s">
        <v>17</v>
      </c>
      <c r="D2496">
        <v>55400000</v>
      </c>
      <c r="E2496">
        <v>55404999</v>
      </c>
      <c r="F2496" t="s">
        <v>2243</v>
      </c>
      <c r="G2496" t="str">
        <f t="shared" si="76"/>
        <v>PEI II</v>
      </c>
      <c r="H2496" t="s">
        <v>2194</v>
      </c>
      <c r="I2496" t="s">
        <v>20</v>
      </c>
      <c r="J2496" t="s">
        <v>64</v>
      </c>
      <c r="K2496" s="6">
        <v>0.03</v>
      </c>
      <c r="L2496" s="7">
        <f t="shared" si="77"/>
        <v>2E-3</v>
      </c>
      <c r="M2496" s="7">
        <v>3.0000000000000001E-3</v>
      </c>
      <c r="N2496">
        <v>12</v>
      </c>
      <c r="O2496" s="8">
        <v>21.329668724084634</v>
      </c>
      <c r="P2496" s="9">
        <v>21.329668724084634</v>
      </c>
      <c r="Q2496" s="9">
        <v>21.329668724084634</v>
      </c>
      <c r="R2496" s="9">
        <v>23.535187126233286</v>
      </c>
      <c r="S2496" s="9">
        <v>25.969348495460661</v>
      </c>
      <c r="T2496" s="9">
        <v>28.018652515052967</v>
      </c>
      <c r="U2496" s="9">
        <v>34.474261331240129</v>
      </c>
      <c r="V2496" s="9">
        <v>34.474261331240129</v>
      </c>
      <c r="W2496" s="9">
        <v>34.474261331240129</v>
      </c>
      <c r="X2496" s="9">
        <v>41.6797573977124</v>
      </c>
      <c r="Y2496" s="9">
        <v>41.6797573977124</v>
      </c>
      <c r="Z2496" s="9">
        <v>48.964357977567339</v>
      </c>
      <c r="AA2496" s="9">
        <v>48.964357977567339</v>
      </c>
      <c r="AB2496" s="9">
        <v>56.335973522143213</v>
      </c>
      <c r="AC2496" s="9">
        <v>56.335973522143213</v>
      </c>
      <c r="AD2496" s="9">
        <v>65.349051350310745</v>
      </c>
      <c r="AE2496" s="9">
        <v>72.305128962695434</v>
      </c>
      <c r="AF2496" s="9">
        <v>79.365490610542253</v>
      </c>
      <c r="AG2496" s="9">
        <v>79.365490610542253</v>
      </c>
      <c r="AH2496" s="9">
        <v>87.219003417886043</v>
      </c>
      <c r="AI2496" s="9">
        <v>95.054924275940976</v>
      </c>
      <c r="AJ2496" s="9">
        <v>3.0428788910505911</v>
      </c>
    </row>
    <row r="2497" spans="1:36" x14ac:dyDescent="0.25">
      <c r="A2497" t="s">
        <v>5411</v>
      </c>
      <c r="B2497" t="s">
        <v>16</v>
      </c>
      <c r="C2497" t="s">
        <v>17</v>
      </c>
      <c r="D2497">
        <v>55405000</v>
      </c>
      <c r="E2497">
        <v>55408999</v>
      </c>
      <c r="F2497" t="s">
        <v>2244</v>
      </c>
      <c r="G2497" t="str">
        <f t="shared" si="76"/>
        <v>PEI II</v>
      </c>
      <c r="H2497" t="s">
        <v>2194</v>
      </c>
      <c r="I2497" t="s">
        <v>20</v>
      </c>
      <c r="J2497" t="s">
        <v>64</v>
      </c>
      <c r="K2497" s="6">
        <v>0.03</v>
      </c>
      <c r="L2497" s="7">
        <f t="shared" si="77"/>
        <v>2E-3</v>
      </c>
      <c r="M2497" s="7">
        <v>3.0000000000000001E-3</v>
      </c>
      <c r="N2497">
        <v>12</v>
      </c>
      <c r="O2497" s="8">
        <v>21.329668724084634</v>
      </c>
      <c r="P2497" s="9">
        <v>21.329668724084634</v>
      </c>
      <c r="Q2497" s="9">
        <v>21.329668724084634</v>
      </c>
      <c r="R2497" s="9">
        <v>23.535187126233286</v>
      </c>
      <c r="S2497" s="9">
        <v>25.969348495460661</v>
      </c>
      <c r="T2497" s="9">
        <v>28.018652515052967</v>
      </c>
      <c r="U2497" s="9">
        <v>34.474261331240129</v>
      </c>
      <c r="V2497" s="9">
        <v>34.474261331240129</v>
      </c>
      <c r="W2497" s="9">
        <v>34.474261331240129</v>
      </c>
      <c r="X2497" s="9">
        <v>41.6797573977124</v>
      </c>
      <c r="Y2497" s="9">
        <v>41.6797573977124</v>
      </c>
      <c r="Z2497" s="9">
        <v>48.964357977567339</v>
      </c>
      <c r="AA2497" s="9">
        <v>48.964357977567339</v>
      </c>
      <c r="AB2497" s="9">
        <v>56.335973522143213</v>
      </c>
      <c r="AC2497" s="9">
        <v>56.335973522143213</v>
      </c>
      <c r="AD2497" s="9">
        <v>65.349051350310745</v>
      </c>
      <c r="AE2497" s="9">
        <v>72.305128962695434</v>
      </c>
      <c r="AF2497" s="9">
        <v>79.365490610542253</v>
      </c>
      <c r="AG2497" s="9">
        <v>79.365490610542253</v>
      </c>
      <c r="AH2497" s="9">
        <v>87.219003417886043</v>
      </c>
      <c r="AI2497" s="9">
        <v>95.054924275940976</v>
      </c>
      <c r="AJ2497" s="9">
        <v>3.0428788910505911</v>
      </c>
    </row>
    <row r="2498" spans="1:36" x14ac:dyDescent="0.25">
      <c r="A2498" t="s">
        <v>5411</v>
      </c>
      <c r="B2498" t="s">
        <v>16</v>
      </c>
      <c r="C2498" t="s">
        <v>17</v>
      </c>
      <c r="D2498">
        <v>55409000</v>
      </c>
      <c r="E2498">
        <v>55409999</v>
      </c>
      <c r="F2498" t="s">
        <v>2245</v>
      </c>
      <c r="G2498" t="str">
        <f t="shared" si="76"/>
        <v>PEI II</v>
      </c>
      <c r="H2498" t="s">
        <v>2194</v>
      </c>
      <c r="I2498" t="s">
        <v>20</v>
      </c>
      <c r="J2498" t="s">
        <v>64</v>
      </c>
      <c r="K2498" s="6">
        <v>0.03</v>
      </c>
      <c r="L2498" s="7">
        <f t="shared" si="77"/>
        <v>2E-3</v>
      </c>
      <c r="M2498" s="7">
        <v>3.0000000000000001E-3</v>
      </c>
      <c r="N2498">
        <v>12</v>
      </c>
      <c r="O2498" s="8">
        <v>21.329668724084634</v>
      </c>
      <c r="P2498" s="9">
        <v>21.329668724084634</v>
      </c>
      <c r="Q2498" s="9">
        <v>21.329668724084634</v>
      </c>
      <c r="R2498" s="9">
        <v>23.535187126233286</v>
      </c>
      <c r="S2498" s="9">
        <v>25.969348495460661</v>
      </c>
      <c r="T2498" s="9">
        <v>28.018652515052967</v>
      </c>
      <c r="U2498" s="9">
        <v>34.474261331240129</v>
      </c>
      <c r="V2498" s="9">
        <v>34.474261331240129</v>
      </c>
      <c r="W2498" s="9">
        <v>34.474261331240129</v>
      </c>
      <c r="X2498" s="9">
        <v>41.6797573977124</v>
      </c>
      <c r="Y2498" s="9">
        <v>41.6797573977124</v>
      </c>
      <c r="Z2498" s="9">
        <v>48.964357977567339</v>
      </c>
      <c r="AA2498" s="9">
        <v>48.964357977567339</v>
      </c>
      <c r="AB2498" s="9">
        <v>56.335973522143213</v>
      </c>
      <c r="AC2498" s="9">
        <v>56.335973522143213</v>
      </c>
      <c r="AD2498" s="9">
        <v>65.349051350310745</v>
      </c>
      <c r="AE2498" s="9">
        <v>72.305128962695434</v>
      </c>
      <c r="AF2498" s="9">
        <v>79.365490610542253</v>
      </c>
      <c r="AG2498" s="9">
        <v>79.365490610542253</v>
      </c>
      <c r="AH2498" s="9">
        <v>87.219003417886043</v>
      </c>
      <c r="AI2498" s="9">
        <v>95.054924275940976</v>
      </c>
      <c r="AJ2498" s="9">
        <v>3.0428788910505911</v>
      </c>
    </row>
    <row r="2499" spans="1:36" x14ac:dyDescent="0.25">
      <c r="A2499" t="s">
        <v>5411</v>
      </c>
      <c r="B2499" t="s">
        <v>16</v>
      </c>
      <c r="C2499" t="s">
        <v>17</v>
      </c>
      <c r="D2499">
        <v>55410000</v>
      </c>
      <c r="E2499">
        <v>55414999</v>
      </c>
      <c r="F2499" t="s">
        <v>2246</v>
      </c>
      <c r="G2499" t="str">
        <f t="shared" si="76"/>
        <v>PEI II</v>
      </c>
      <c r="H2499" t="s">
        <v>2194</v>
      </c>
      <c r="I2499" t="s">
        <v>20</v>
      </c>
      <c r="J2499" t="s">
        <v>64</v>
      </c>
      <c r="K2499" s="6">
        <v>0.03</v>
      </c>
      <c r="L2499" s="7">
        <f t="shared" si="77"/>
        <v>2E-3</v>
      </c>
      <c r="M2499" s="7">
        <v>3.0000000000000001E-3</v>
      </c>
      <c r="N2499">
        <v>14</v>
      </c>
      <c r="O2499" s="8">
        <v>21.329668724084634</v>
      </c>
      <c r="P2499" s="9">
        <v>21.329668724084634</v>
      </c>
      <c r="Q2499" s="9">
        <v>21.329668724084634</v>
      </c>
      <c r="R2499" s="9">
        <v>23.535187126233286</v>
      </c>
      <c r="S2499" s="9">
        <v>25.969348495460661</v>
      </c>
      <c r="T2499" s="9">
        <v>28.018652515052967</v>
      </c>
      <c r="U2499" s="9">
        <v>34.474261331240129</v>
      </c>
      <c r="V2499" s="9">
        <v>34.474261331240129</v>
      </c>
      <c r="W2499" s="9">
        <v>34.474261331240129</v>
      </c>
      <c r="X2499" s="9">
        <v>41.6797573977124</v>
      </c>
      <c r="Y2499" s="9">
        <v>41.6797573977124</v>
      </c>
      <c r="Z2499" s="9">
        <v>48.964357977567339</v>
      </c>
      <c r="AA2499" s="9">
        <v>48.964357977567339</v>
      </c>
      <c r="AB2499" s="9">
        <v>56.335973522143213</v>
      </c>
      <c r="AC2499" s="9">
        <v>56.335973522143213</v>
      </c>
      <c r="AD2499" s="9">
        <v>65.349051350310745</v>
      </c>
      <c r="AE2499" s="9">
        <v>72.305128962695434</v>
      </c>
      <c r="AF2499" s="9">
        <v>79.365490610542253</v>
      </c>
      <c r="AG2499" s="9">
        <v>79.365490610542253</v>
      </c>
      <c r="AH2499" s="9">
        <v>87.219003417886043</v>
      </c>
      <c r="AI2499" s="9">
        <v>95.054924275940976</v>
      </c>
      <c r="AJ2499" s="9">
        <v>3.0428788910505911</v>
      </c>
    </row>
    <row r="2500" spans="1:36" x14ac:dyDescent="0.25">
      <c r="A2500" t="s">
        <v>5411</v>
      </c>
      <c r="B2500" t="s">
        <v>16</v>
      </c>
      <c r="C2500" t="s">
        <v>17</v>
      </c>
      <c r="D2500">
        <v>55415000</v>
      </c>
      <c r="E2500">
        <v>55419999</v>
      </c>
      <c r="F2500" t="s">
        <v>2247</v>
      </c>
      <c r="G2500" t="str">
        <f t="shared" ref="G2500:G2563" si="78">H2500&amp;IF(J2500="CAPITAL","C",IF(J2500="INTERIOR","I",IF(J2500="INTERIOR II","I II","R")))</f>
        <v>PEI II</v>
      </c>
      <c r="H2500" t="s">
        <v>2194</v>
      </c>
      <c r="I2500" t="s">
        <v>20</v>
      </c>
      <c r="J2500" t="s">
        <v>64</v>
      </c>
      <c r="K2500" s="6">
        <v>0.03</v>
      </c>
      <c r="L2500" s="7">
        <f t="shared" ref="L2500:L2563" si="79">IF(I2500="(0) Não",0.2%,3%)</f>
        <v>2E-3</v>
      </c>
      <c r="M2500" s="7">
        <v>3.0000000000000001E-3</v>
      </c>
      <c r="N2500">
        <v>15</v>
      </c>
      <c r="O2500" s="8">
        <v>21.329668724084634</v>
      </c>
      <c r="P2500" s="9">
        <v>21.329668724084634</v>
      </c>
      <c r="Q2500" s="9">
        <v>21.329668724084634</v>
      </c>
      <c r="R2500" s="9">
        <v>23.535187126233286</v>
      </c>
      <c r="S2500" s="9">
        <v>25.969348495460661</v>
      </c>
      <c r="T2500" s="9">
        <v>28.018652515052967</v>
      </c>
      <c r="U2500" s="9">
        <v>34.474261331240129</v>
      </c>
      <c r="V2500" s="9">
        <v>34.474261331240129</v>
      </c>
      <c r="W2500" s="9">
        <v>34.474261331240129</v>
      </c>
      <c r="X2500" s="9">
        <v>41.6797573977124</v>
      </c>
      <c r="Y2500" s="9">
        <v>41.6797573977124</v>
      </c>
      <c r="Z2500" s="9">
        <v>48.964357977567339</v>
      </c>
      <c r="AA2500" s="9">
        <v>48.964357977567339</v>
      </c>
      <c r="AB2500" s="9">
        <v>56.335973522143213</v>
      </c>
      <c r="AC2500" s="9">
        <v>56.335973522143213</v>
      </c>
      <c r="AD2500" s="9">
        <v>65.349051350310745</v>
      </c>
      <c r="AE2500" s="9">
        <v>72.305128962695434</v>
      </c>
      <c r="AF2500" s="9">
        <v>79.365490610542253</v>
      </c>
      <c r="AG2500" s="9">
        <v>79.365490610542253</v>
      </c>
      <c r="AH2500" s="9">
        <v>87.219003417886043</v>
      </c>
      <c r="AI2500" s="9">
        <v>95.054924275940976</v>
      </c>
      <c r="AJ2500" s="9">
        <v>3.0428788910505911</v>
      </c>
    </row>
    <row r="2501" spans="1:36" x14ac:dyDescent="0.25">
      <c r="A2501" t="s">
        <v>5411</v>
      </c>
      <c r="B2501" t="s">
        <v>16</v>
      </c>
      <c r="C2501" t="s">
        <v>17</v>
      </c>
      <c r="D2501">
        <v>55420000</v>
      </c>
      <c r="E2501">
        <v>55429999</v>
      </c>
      <c r="F2501" t="s">
        <v>2248</v>
      </c>
      <c r="G2501" t="str">
        <f t="shared" si="78"/>
        <v>PEI</v>
      </c>
      <c r="H2501" t="s">
        <v>2194</v>
      </c>
      <c r="I2501" t="s">
        <v>20</v>
      </c>
      <c r="J2501" t="s">
        <v>62</v>
      </c>
      <c r="K2501" s="6">
        <v>0.03</v>
      </c>
      <c r="L2501" s="7">
        <f t="shared" si="79"/>
        <v>2E-3</v>
      </c>
      <c r="M2501" s="7">
        <v>3.0000000000000001E-3</v>
      </c>
      <c r="N2501">
        <v>14</v>
      </c>
      <c r="O2501" s="8">
        <v>17.362919062478753</v>
      </c>
      <c r="P2501" s="9">
        <v>17.362919062478753</v>
      </c>
      <c r="Q2501" s="9">
        <v>17.362919062478753</v>
      </c>
      <c r="R2501" s="9">
        <v>18.763077462609331</v>
      </c>
      <c r="S2501" s="9">
        <v>20.822367518100933</v>
      </c>
      <c r="T2501" s="9">
        <v>22.932657006868226</v>
      </c>
      <c r="U2501" s="9">
        <v>28.394641309673208</v>
      </c>
      <c r="V2501" s="9">
        <v>28.394641309673208</v>
      </c>
      <c r="W2501" s="9">
        <v>28.394641309673208</v>
      </c>
      <c r="X2501" s="9">
        <v>34.481353453939484</v>
      </c>
      <c r="Y2501" s="9">
        <v>34.481353453939484</v>
      </c>
      <c r="Z2501" s="9">
        <v>40.733986919834194</v>
      </c>
      <c r="AA2501" s="9">
        <v>40.733986919834194</v>
      </c>
      <c r="AB2501" s="9">
        <v>47.204537282413121</v>
      </c>
      <c r="AC2501" s="9">
        <v>47.204537282413121</v>
      </c>
      <c r="AD2501" s="9">
        <v>53.805016474910374</v>
      </c>
      <c r="AE2501" s="9">
        <v>60.552137154404392</v>
      </c>
      <c r="AF2501" s="9">
        <v>67.464818475061875</v>
      </c>
      <c r="AG2501" s="9">
        <v>67.464818475061875</v>
      </c>
      <c r="AH2501" s="9">
        <v>74.129442022189522</v>
      </c>
      <c r="AI2501" s="9">
        <v>81.304669029817305</v>
      </c>
      <c r="AJ2501" s="9">
        <v>3.0428788910505911</v>
      </c>
    </row>
    <row r="2502" spans="1:36" x14ac:dyDescent="0.25">
      <c r="A2502" t="s">
        <v>5411</v>
      </c>
      <c r="B2502" t="s">
        <v>16</v>
      </c>
      <c r="C2502" t="s">
        <v>17</v>
      </c>
      <c r="D2502">
        <v>55430000</v>
      </c>
      <c r="E2502">
        <v>55434999</v>
      </c>
      <c r="F2502" t="s">
        <v>2249</v>
      </c>
      <c r="G2502" t="str">
        <f t="shared" si="78"/>
        <v>PEI</v>
      </c>
      <c r="H2502" t="s">
        <v>2194</v>
      </c>
      <c r="I2502" t="s">
        <v>20</v>
      </c>
      <c r="J2502" t="s">
        <v>62</v>
      </c>
      <c r="K2502" s="6">
        <v>0.03</v>
      </c>
      <c r="L2502" s="7">
        <f t="shared" si="79"/>
        <v>2E-3</v>
      </c>
      <c r="M2502" s="7">
        <v>3.0000000000000001E-3</v>
      </c>
      <c r="N2502">
        <v>14</v>
      </c>
      <c r="O2502" s="8">
        <v>17.362919062478753</v>
      </c>
      <c r="P2502" s="9">
        <v>17.362919062478753</v>
      </c>
      <c r="Q2502" s="9">
        <v>17.362919062478753</v>
      </c>
      <c r="R2502" s="9">
        <v>18.763077462609331</v>
      </c>
      <c r="S2502" s="9">
        <v>20.822367518100933</v>
      </c>
      <c r="T2502" s="9">
        <v>22.932657006868226</v>
      </c>
      <c r="U2502" s="9">
        <v>28.394641309673208</v>
      </c>
      <c r="V2502" s="9">
        <v>28.394641309673208</v>
      </c>
      <c r="W2502" s="9">
        <v>28.394641309673208</v>
      </c>
      <c r="X2502" s="9">
        <v>34.481353453939484</v>
      </c>
      <c r="Y2502" s="9">
        <v>34.481353453939484</v>
      </c>
      <c r="Z2502" s="9">
        <v>40.733986919834194</v>
      </c>
      <c r="AA2502" s="9">
        <v>40.733986919834194</v>
      </c>
      <c r="AB2502" s="9">
        <v>47.204537282413121</v>
      </c>
      <c r="AC2502" s="9">
        <v>47.204537282413121</v>
      </c>
      <c r="AD2502" s="9">
        <v>53.805016474910374</v>
      </c>
      <c r="AE2502" s="9">
        <v>60.552137154404392</v>
      </c>
      <c r="AF2502" s="9">
        <v>67.464818475061875</v>
      </c>
      <c r="AG2502" s="9">
        <v>67.464818475061875</v>
      </c>
      <c r="AH2502" s="9">
        <v>74.129442022189522</v>
      </c>
      <c r="AI2502" s="9">
        <v>81.304669029817305</v>
      </c>
      <c r="AJ2502" s="9">
        <v>3.0428788910505911</v>
      </c>
    </row>
    <row r="2503" spans="1:36" x14ac:dyDescent="0.25">
      <c r="A2503" t="s">
        <v>5411</v>
      </c>
      <c r="B2503" t="s">
        <v>16</v>
      </c>
      <c r="C2503" t="s">
        <v>17</v>
      </c>
      <c r="D2503">
        <v>55435000</v>
      </c>
      <c r="E2503">
        <v>55439999</v>
      </c>
      <c r="F2503" t="s">
        <v>2250</v>
      </c>
      <c r="G2503" t="str">
        <f t="shared" si="78"/>
        <v>PEI</v>
      </c>
      <c r="H2503" t="s">
        <v>2194</v>
      </c>
      <c r="I2503" t="s">
        <v>20</v>
      </c>
      <c r="J2503" t="s">
        <v>62</v>
      </c>
      <c r="K2503" s="6">
        <v>0.03</v>
      </c>
      <c r="L2503" s="7">
        <f t="shared" si="79"/>
        <v>2E-3</v>
      </c>
      <c r="M2503" s="7">
        <v>3.0000000000000001E-3</v>
      </c>
      <c r="N2503">
        <v>14</v>
      </c>
      <c r="O2503" s="8">
        <v>17.362919062478753</v>
      </c>
      <c r="P2503" s="9">
        <v>17.362919062478753</v>
      </c>
      <c r="Q2503" s="9">
        <v>17.362919062478753</v>
      </c>
      <c r="R2503" s="9">
        <v>18.763077462609331</v>
      </c>
      <c r="S2503" s="9">
        <v>20.822367518100933</v>
      </c>
      <c r="T2503" s="9">
        <v>22.932657006868226</v>
      </c>
      <c r="U2503" s="9">
        <v>28.394641309673208</v>
      </c>
      <c r="V2503" s="9">
        <v>28.394641309673208</v>
      </c>
      <c r="W2503" s="9">
        <v>28.394641309673208</v>
      </c>
      <c r="X2503" s="9">
        <v>34.481353453939484</v>
      </c>
      <c r="Y2503" s="9">
        <v>34.481353453939484</v>
      </c>
      <c r="Z2503" s="9">
        <v>40.733986919834194</v>
      </c>
      <c r="AA2503" s="9">
        <v>40.733986919834194</v>
      </c>
      <c r="AB2503" s="9">
        <v>47.204537282413121</v>
      </c>
      <c r="AC2503" s="9">
        <v>47.204537282413121</v>
      </c>
      <c r="AD2503" s="9">
        <v>53.805016474910374</v>
      </c>
      <c r="AE2503" s="9">
        <v>60.552137154404392</v>
      </c>
      <c r="AF2503" s="9">
        <v>67.464818475061875</v>
      </c>
      <c r="AG2503" s="9">
        <v>67.464818475061875</v>
      </c>
      <c r="AH2503" s="9">
        <v>74.129442022189522</v>
      </c>
      <c r="AI2503" s="9">
        <v>81.304669029817305</v>
      </c>
      <c r="AJ2503" s="9">
        <v>3.0428788910505911</v>
      </c>
    </row>
    <row r="2504" spans="1:36" x14ac:dyDescent="0.25">
      <c r="A2504" t="s">
        <v>5411</v>
      </c>
      <c r="B2504" t="s">
        <v>16</v>
      </c>
      <c r="C2504" t="s">
        <v>17</v>
      </c>
      <c r="D2504">
        <v>55440000</v>
      </c>
      <c r="E2504">
        <v>55449999</v>
      </c>
      <c r="F2504" t="s">
        <v>2251</v>
      </c>
      <c r="G2504" t="str">
        <f t="shared" si="78"/>
        <v>PEI II</v>
      </c>
      <c r="H2504" t="s">
        <v>2194</v>
      </c>
      <c r="I2504" t="s">
        <v>20</v>
      </c>
      <c r="J2504" t="s">
        <v>64</v>
      </c>
      <c r="K2504" s="6">
        <v>0.03</v>
      </c>
      <c r="L2504" s="7">
        <f t="shared" si="79"/>
        <v>2E-3</v>
      </c>
      <c r="M2504" s="7">
        <v>3.0000000000000001E-3</v>
      </c>
      <c r="N2504">
        <v>12</v>
      </c>
      <c r="O2504" s="8">
        <v>21.329668724084634</v>
      </c>
      <c r="P2504" s="9">
        <v>21.329668724084634</v>
      </c>
      <c r="Q2504" s="9">
        <v>21.329668724084634</v>
      </c>
      <c r="R2504" s="9">
        <v>23.535187126233286</v>
      </c>
      <c r="S2504" s="9">
        <v>25.969348495460661</v>
      </c>
      <c r="T2504" s="9">
        <v>28.018652515052967</v>
      </c>
      <c r="U2504" s="9">
        <v>34.474261331240129</v>
      </c>
      <c r="V2504" s="9">
        <v>34.474261331240129</v>
      </c>
      <c r="W2504" s="9">
        <v>34.474261331240129</v>
      </c>
      <c r="X2504" s="9">
        <v>41.6797573977124</v>
      </c>
      <c r="Y2504" s="9">
        <v>41.6797573977124</v>
      </c>
      <c r="Z2504" s="9">
        <v>48.964357977567339</v>
      </c>
      <c r="AA2504" s="9">
        <v>48.964357977567339</v>
      </c>
      <c r="AB2504" s="9">
        <v>56.335973522143213</v>
      </c>
      <c r="AC2504" s="9">
        <v>56.335973522143213</v>
      </c>
      <c r="AD2504" s="9">
        <v>65.349051350310745</v>
      </c>
      <c r="AE2504" s="9">
        <v>72.305128962695434</v>
      </c>
      <c r="AF2504" s="9">
        <v>79.365490610542253</v>
      </c>
      <c r="AG2504" s="9">
        <v>79.365490610542253</v>
      </c>
      <c r="AH2504" s="9">
        <v>87.219003417886043</v>
      </c>
      <c r="AI2504" s="9">
        <v>95.054924275940976</v>
      </c>
      <c r="AJ2504" s="9">
        <v>3.0428788910505911</v>
      </c>
    </row>
    <row r="2505" spans="1:36" x14ac:dyDescent="0.25">
      <c r="A2505" t="s">
        <v>5411</v>
      </c>
      <c r="B2505" t="s">
        <v>16</v>
      </c>
      <c r="C2505" t="s">
        <v>17</v>
      </c>
      <c r="D2505">
        <v>55450000</v>
      </c>
      <c r="E2505">
        <v>55459999</v>
      </c>
      <c r="F2505" t="s">
        <v>2252</v>
      </c>
      <c r="G2505" t="str">
        <f t="shared" si="78"/>
        <v>PEI II</v>
      </c>
      <c r="H2505" t="s">
        <v>2194</v>
      </c>
      <c r="I2505" t="s">
        <v>20</v>
      </c>
      <c r="J2505" t="s">
        <v>64</v>
      </c>
      <c r="K2505" s="6">
        <v>0.03</v>
      </c>
      <c r="L2505" s="7">
        <f t="shared" si="79"/>
        <v>2E-3</v>
      </c>
      <c r="M2505" s="7">
        <v>3.0000000000000001E-3</v>
      </c>
      <c r="N2505">
        <v>12</v>
      </c>
      <c r="O2505" s="8">
        <v>21.329668724084634</v>
      </c>
      <c r="P2505" s="9">
        <v>21.329668724084634</v>
      </c>
      <c r="Q2505" s="9">
        <v>21.329668724084634</v>
      </c>
      <c r="R2505" s="9">
        <v>23.535187126233286</v>
      </c>
      <c r="S2505" s="9">
        <v>25.969348495460661</v>
      </c>
      <c r="T2505" s="9">
        <v>28.018652515052967</v>
      </c>
      <c r="U2505" s="9">
        <v>34.474261331240129</v>
      </c>
      <c r="V2505" s="9">
        <v>34.474261331240129</v>
      </c>
      <c r="W2505" s="9">
        <v>34.474261331240129</v>
      </c>
      <c r="X2505" s="9">
        <v>41.6797573977124</v>
      </c>
      <c r="Y2505" s="9">
        <v>41.6797573977124</v>
      </c>
      <c r="Z2505" s="9">
        <v>48.964357977567339</v>
      </c>
      <c r="AA2505" s="9">
        <v>48.964357977567339</v>
      </c>
      <c r="AB2505" s="9">
        <v>56.335973522143213</v>
      </c>
      <c r="AC2505" s="9">
        <v>56.335973522143213</v>
      </c>
      <c r="AD2505" s="9">
        <v>65.349051350310745</v>
      </c>
      <c r="AE2505" s="9">
        <v>72.305128962695434</v>
      </c>
      <c r="AF2505" s="9">
        <v>79.365490610542253</v>
      </c>
      <c r="AG2505" s="9">
        <v>79.365490610542253</v>
      </c>
      <c r="AH2505" s="9">
        <v>87.219003417886043</v>
      </c>
      <c r="AI2505" s="9">
        <v>95.054924275940976</v>
      </c>
      <c r="AJ2505" s="9">
        <v>3.0428788910505911</v>
      </c>
    </row>
    <row r="2506" spans="1:36" x14ac:dyDescent="0.25">
      <c r="A2506" t="s">
        <v>5411</v>
      </c>
      <c r="B2506" t="s">
        <v>16</v>
      </c>
      <c r="C2506" t="s">
        <v>17</v>
      </c>
      <c r="D2506">
        <v>55460000</v>
      </c>
      <c r="E2506">
        <v>55469999</v>
      </c>
      <c r="F2506" t="s">
        <v>2253</v>
      </c>
      <c r="G2506" t="str">
        <f t="shared" si="78"/>
        <v>PEI II</v>
      </c>
      <c r="H2506" t="s">
        <v>2194</v>
      </c>
      <c r="I2506" t="s">
        <v>20</v>
      </c>
      <c r="J2506" t="s">
        <v>64</v>
      </c>
      <c r="K2506" s="6">
        <v>0.03</v>
      </c>
      <c r="L2506" s="7">
        <f t="shared" si="79"/>
        <v>2E-3</v>
      </c>
      <c r="M2506" s="7">
        <v>3.0000000000000001E-3</v>
      </c>
      <c r="N2506">
        <v>12</v>
      </c>
      <c r="O2506" s="8">
        <v>21.329668724084634</v>
      </c>
      <c r="P2506" s="9">
        <v>21.329668724084634</v>
      </c>
      <c r="Q2506" s="9">
        <v>21.329668724084634</v>
      </c>
      <c r="R2506" s="9">
        <v>23.535187126233286</v>
      </c>
      <c r="S2506" s="9">
        <v>25.969348495460661</v>
      </c>
      <c r="T2506" s="9">
        <v>28.018652515052967</v>
      </c>
      <c r="U2506" s="9">
        <v>34.474261331240129</v>
      </c>
      <c r="V2506" s="9">
        <v>34.474261331240129</v>
      </c>
      <c r="W2506" s="9">
        <v>34.474261331240129</v>
      </c>
      <c r="X2506" s="9">
        <v>41.6797573977124</v>
      </c>
      <c r="Y2506" s="9">
        <v>41.6797573977124</v>
      </c>
      <c r="Z2506" s="9">
        <v>48.964357977567339</v>
      </c>
      <c r="AA2506" s="9">
        <v>48.964357977567339</v>
      </c>
      <c r="AB2506" s="9">
        <v>56.335973522143213</v>
      </c>
      <c r="AC2506" s="9">
        <v>56.335973522143213</v>
      </c>
      <c r="AD2506" s="9">
        <v>65.349051350310745</v>
      </c>
      <c r="AE2506" s="9">
        <v>72.305128962695434</v>
      </c>
      <c r="AF2506" s="9">
        <v>79.365490610542253</v>
      </c>
      <c r="AG2506" s="9">
        <v>79.365490610542253</v>
      </c>
      <c r="AH2506" s="9">
        <v>87.219003417886043</v>
      </c>
      <c r="AI2506" s="9">
        <v>95.054924275940976</v>
      </c>
      <c r="AJ2506" s="9">
        <v>3.0428788910505911</v>
      </c>
    </row>
    <row r="2507" spans="1:36" x14ac:dyDescent="0.25">
      <c r="A2507" t="s">
        <v>5411</v>
      </c>
      <c r="B2507" t="s">
        <v>16</v>
      </c>
      <c r="C2507" t="s">
        <v>17</v>
      </c>
      <c r="D2507">
        <v>55470000</v>
      </c>
      <c r="E2507">
        <v>55479999</v>
      </c>
      <c r="F2507" t="s">
        <v>2254</v>
      </c>
      <c r="G2507" t="str">
        <f t="shared" si="78"/>
        <v>PEI II</v>
      </c>
      <c r="H2507" t="s">
        <v>2194</v>
      </c>
      <c r="I2507" t="s">
        <v>20</v>
      </c>
      <c r="J2507" t="s">
        <v>64</v>
      </c>
      <c r="K2507" s="6">
        <v>0.03</v>
      </c>
      <c r="L2507" s="7">
        <f t="shared" si="79"/>
        <v>2E-3</v>
      </c>
      <c r="M2507" s="7">
        <v>3.0000000000000001E-3</v>
      </c>
      <c r="N2507">
        <v>12</v>
      </c>
      <c r="O2507" s="8">
        <v>21.329668724084634</v>
      </c>
      <c r="P2507" s="9">
        <v>21.329668724084634</v>
      </c>
      <c r="Q2507" s="9">
        <v>21.329668724084634</v>
      </c>
      <c r="R2507" s="9">
        <v>23.535187126233286</v>
      </c>
      <c r="S2507" s="9">
        <v>25.969348495460661</v>
      </c>
      <c r="T2507" s="9">
        <v>28.018652515052967</v>
      </c>
      <c r="U2507" s="9">
        <v>34.474261331240129</v>
      </c>
      <c r="V2507" s="9">
        <v>34.474261331240129</v>
      </c>
      <c r="W2507" s="9">
        <v>34.474261331240129</v>
      </c>
      <c r="X2507" s="9">
        <v>41.6797573977124</v>
      </c>
      <c r="Y2507" s="9">
        <v>41.6797573977124</v>
      </c>
      <c r="Z2507" s="9">
        <v>48.964357977567339</v>
      </c>
      <c r="AA2507" s="9">
        <v>48.964357977567339</v>
      </c>
      <c r="AB2507" s="9">
        <v>56.335973522143213</v>
      </c>
      <c r="AC2507" s="9">
        <v>56.335973522143213</v>
      </c>
      <c r="AD2507" s="9">
        <v>65.349051350310745</v>
      </c>
      <c r="AE2507" s="9">
        <v>72.305128962695434</v>
      </c>
      <c r="AF2507" s="9">
        <v>79.365490610542253</v>
      </c>
      <c r="AG2507" s="9">
        <v>79.365490610542253</v>
      </c>
      <c r="AH2507" s="9">
        <v>87.219003417886043</v>
      </c>
      <c r="AI2507" s="9">
        <v>95.054924275940976</v>
      </c>
      <c r="AJ2507" s="9">
        <v>3.0428788910505911</v>
      </c>
    </row>
    <row r="2508" spans="1:36" x14ac:dyDescent="0.25">
      <c r="A2508" t="s">
        <v>5411</v>
      </c>
      <c r="B2508" t="s">
        <v>16</v>
      </c>
      <c r="C2508" t="s">
        <v>17</v>
      </c>
      <c r="D2508">
        <v>55480000</v>
      </c>
      <c r="E2508">
        <v>55489999</v>
      </c>
      <c r="F2508" t="s">
        <v>2255</v>
      </c>
      <c r="G2508" t="str">
        <f t="shared" si="78"/>
        <v>PEI II</v>
      </c>
      <c r="H2508" t="s">
        <v>2194</v>
      </c>
      <c r="I2508" t="s">
        <v>20</v>
      </c>
      <c r="J2508" t="s">
        <v>64</v>
      </c>
      <c r="K2508" s="6">
        <v>0.03</v>
      </c>
      <c r="L2508" s="7">
        <f t="shared" si="79"/>
        <v>2E-3</v>
      </c>
      <c r="M2508" s="7">
        <v>3.0000000000000001E-3</v>
      </c>
      <c r="N2508">
        <v>15</v>
      </c>
      <c r="O2508" s="8">
        <v>21.329668724084634</v>
      </c>
      <c r="P2508" s="9">
        <v>21.329668724084634</v>
      </c>
      <c r="Q2508" s="9">
        <v>21.329668724084634</v>
      </c>
      <c r="R2508" s="9">
        <v>23.535187126233286</v>
      </c>
      <c r="S2508" s="9">
        <v>25.969348495460661</v>
      </c>
      <c r="T2508" s="9">
        <v>28.018652515052967</v>
      </c>
      <c r="U2508" s="9">
        <v>34.474261331240129</v>
      </c>
      <c r="V2508" s="9">
        <v>34.474261331240129</v>
      </c>
      <c r="W2508" s="9">
        <v>34.474261331240129</v>
      </c>
      <c r="X2508" s="9">
        <v>41.6797573977124</v>
      </c>
      <c r="Y2508" s="9">
        <v>41.6797573977124</v>
      </c>
      <c r="Z2508" s="9">
        <v>48.964357977567339</v>
      </c>
      <c r="AA2508" s="9">
        <v>48.964357977567339</v>
      </c>
      <c r="AB2508" s="9">
        <v>56.335973522143213</v>
      </c>
      <c r="AC2508" s="9">
        <v>56.335973522143213</v>
      </c>
      <c r="AD2508" s="9">
        <v>65.349051350310745</v>
      </c>
      <c r="AE2508" s="9">
        <v>72.305128962695434</v>
      </c>
      <c r="AF2508" s="9">
        <v>79.365490610542253</v>
      </c>
      <c r="AG2508" s="9">
        <v>79.365490610542253</v>
      </c>
      <c r="AH2508" s="9">
        <v>87.219003417886043</v>
      </c>
      <c r="AI2508" s="9">
        <v>95.054924275940976</v>
      </c>
      <c r="AJ2508" s="9">
        <v>3.0428788910505911</v>
      </c>
    </row>
    <row r="2509" spans="1:36" x14ac:dyDescent="0.25">
      <c r="A2509" t="s">
        <v>5411</v>
      </c>
      <c r="B2509" t="s">
        <v>16</v>
      </c>
      <c r="C2509" t="s">
        <v>17</v>
      </c>
      <c r="D2509">
        <v>55490000</v>
      </c>
      <c r="E2509">
        <v>55494999</v>
      </c>
      <c r="F2509" t="s">
        <v>2256</v>
      </c>
      <c r="G2509" t="str">
        <f t="shared" si="78"/>
        <v>PEI II</v>
      </c>
      <c r="H2509" t="s">
        <v>2194</v>
      </c>
      <c r="I2509" t="s">
        <v>20</v>
      </c>
      <c r="J2509" t="s">
        <v>64</v>
      </c>
      <c r="K2509" s="6">
        <v>0.03</v>
      </c>
      <c r="L2509" s="7">
        <f t="shared" si="79"/>
        <v>2E-3</v>
      </c>
      <c r="M2509" s="7">
        <v>3.0000000000000001E-3</v>
      </c>
      <c r="N2509">
        <v>12</v>
      </c>
      <c r="O2509" s="8">
        <v>21.329668724084634</v>
      </c>
      <c r="P2509" s="9">
        <v>21.329668724084634</v>
      </c>
      <c r="Q2509" s="9">
        <v>21.329668724084634</v>
      </c>
      <c r="R2509" s="9">
        <v>23.535187126233286</v>
      </c>
      <c r="S2509" s="9">
        <v>25.969348495460661</v>
      </c>
      <c r="T2509" s="9">
        <v>28.018652515052967</v>
      </c>
      <c r="U2509" s="9">
        <v>34.474261331240129</v>
      </c>
      <c r="V2509" s="9">
        <v>34.474261331240129</v>
      </c>
      <c r="W2509" s="9">
        <v>34.474261331240129</v>
      </c>
      <c r="X2509" s="9">
        <v>41.6797573977124</v>
      </c>
      <c r="Y2509" s="9">
        <v>41.6797573977124</v>
      </c>
      <c r="Z2509" s="9">
        <v>48.964357977567339</v>
      </c>
      <c r="AA2509" s="9">
        <v>48.964357977567339</v>
      </c>
      <c r="AB2509" s="9">
        <v>56.335973522143213</v>
      </c>
      <c r="AC2509" s="9">
        <v>56.335973522143213</v>
      </c>
      <c r="AD2509" s="9">
        <v>65.349051350310745</v>
      </c>
      <c r="AE2509" s="9">
        <v>72.305128962695434</v>
      </c>
      <c r="AF2509" s="9">
        <v>79.365490610542253</v>
      </c>
      <c r="AG2509" s="9">
        <v>79.365490610542253</v>
      </c>
      <c r="AH2509" s="9">
        <v>87.219003417886043</v>
      </c>
      <c r="AI2509" s="9">
        <v>95.054924275940976</v>
      </c>
      <c r="AJ2509" s="9">
        <v>3.0428788910505911</v>
      </c>
    </row>
    <row r="2510" spans="1:36" x14ac:dyDescent="0.25">
      <c r="A2510" t="s">
        <v>5411</v>
      </c>
      <c r="B2510" t="s">
        <v>16</v>
      </c>
      <c r="C2510" t="s">
        <v>17</v>
      </c>
      <c r="D2510">
        <v>55495000</v>
      </c>
      <c r="E2510">
        <v>55499999</v>
      </c>
      <c r="F2510" t="s">
        <v>2257</v>
      </c>
      <c r="G2510" t="str">
        <f t="shared" si="78"/>
        <v>PEI II</v>
      </c>
      <c r="H2510" t="s">
        <v>2194</v>
      </c>
      <c r="I2510" t="s">
        <v>20</v>
      </c>
      <c r="J2510" t="s">
        <v>64</v>
      </c>
      <c r="K2510" s="6">
        <v>0.03</v>
      </c>
      <c r="L2510" s="7">
        <f t="shared" si="79"/>
        <v>2E-3</v>
      </c>
      <c r="M2510" s="7">
        <v>3.0000000000000001E-3</v>
      </c>
      <c r="N2510">
        <v>12</v>
      </c>
      <c r="O2510" s="8">
        <v>21.329668724084634</v>
      </c>
      <c r="P2510" s="9">
        <v>21.329668724084634</v>
      </c>
      <c r="Q2510" s="9">
        <v>21.329668724084634</v>
      </c>
      <c r="R2510" s="9">
        <v>23.535187126233286</v>
      </c>
      <c r="S2510" s="9">
        <v>25.969348495460661</v>
      </c>
      <c r="T2510" s="9">
        <v>28.018652515052967</v>
      </c>
      <c r="U2510" s="9">
        <v>34.474261331240129</v>
      </c>
      <c r="V2510" s="9">
        <v>34.474261331240129</v>
      </c>
      <c r="W2510" s="9">
        <v>34.474261331240129</v>
      </c>
      <c r="X2510" s="9">
        <v>41.6797573977124</v>
      </c>
      <c r="Y2510" s="9">
        <v>41.6797573977124</v>
      </c>
      <c r="Z2510" s="9">
        <v>48.964357977567339</v>
      </c>
      <c r="AA2510" s="9">
        <v>48.964357977567339</v>
      </c>
      <c r="AB2510" s="9">
        <v>56.335973522143213</v>
      </c>
      <c r="AC2510" s="9">
        <v>56.335973522143213</v>
      </c>
      <c r="AD2510" s="9">
        <v>65.349051350310745</v>
      </c>
      <c r="AE2510" s="9">
        <v>72.305128962695434</v>
      </c>
      <c r="AF2510" s="9">
        <v>79.365490610542253</v>
      </c>
      <c r="AG2510" s="9">
        <v>79.365490610542253</v>
      </c>
      <c r="AH2510" s="9">
        <v>87.219003417886043</v>
      </c>
      <c r="AI2510" s="9">
        <v>95.054924275940976</v>
      </c>
      <c r="AJ2510" s="9">
        <v>3.0428788910505911</v>
      </c>
    </row>
    <row r="2511" spans="1:36" x14ac:dyDescent="0.25">
      <c r="A2511" t="s">
        <v>5411</v>
      </c>
      <c r="B2511" t="s">
        <v>16</v>
      </c>
      <c r="C2511" t="s">
        <v>17</v>
      </c>
      <c r="D2511">
        <v>55500000</v>
      </c>
      <c r="E2511">
        <v>55509999</v>
      </c>
      <c r="F2511" t="s">
        <v>2258</v>
      </c>
      <c r="G2511" t="str">
        <f t="shared" si="78"/>
        <v>PEI</v>
      </c>
      <c r="H2511" t="s">
        <v>2194</v>
      </c>
      <c r="I2511" t="s">
        <v>20</v>
      </c>
      <c r="J2511" t="s">
        <v>62</v>
      </c>
      <c r="K2511" s="6">
        <v>0.03</v>
      </c>
      <c r="L2511" s="7">
        <f t="shared" si="79"/>
        <v>2E-3</v>
      </c>
      <c r="M2511" s="7">
        <v>3.0000000000000001E-3</v>
      </c>
      <c r="N2511">
        <v>11</v>
      </c>
      <c r="O2511" s="8">
        <v>17.362919062478753</v>
      </c>
      <c r="P2511" s="9">
        <v>17.362919062478753</v>
      </c>
      <c r="Q2511" s="9">
        <v>17.362919062478753</v>
      </c>
      <c r="R2511" s="9">
        <v>18.763077462609331</v>
      </c>
      <c r="S2511" s="9">
        <v>20.822367518100933</v>
      </c>
      <c r="T2511" s="9">
        <v>22.932657006868226</v>
      </c>
      <c r="U2511" s="9">
        <v>28.394641309673208</v>
      </c>
      <c r="V2511" s="9">
        <v>28.394641309673208</v>
      </c>
      <c r="W2511" s="9">
        <v>28.394641309673208</v>
      </c>
      <c r="X2511" s="9">
        <v>34.481353453939484</v>
      </c>
      <c r="Y2511" s="9">
        <v>34.481353453939484</v>
      </c>
      <c r="Z2511" s="9">
        <v>40.733986919834194</v>
      </c>
      <c r="AA2511" s="9">
        <v>40.733986919834194</v>
      </c>
      <c r="AB2511" s="9">
        <v>47.204537282413121</v>
      </c>
      <c r="AC2511" s="9">
        <v>47.204537282413121</v>
      </c>
      <c r="AD2511" s="9">
        <v>53.805016474910374</v>
      </c>
      <c r="AE2511" s="9">
        <v>60.552137154404392</v>
      </c>
      <c r="AF2511" s="9">
        <v>67.464818475061875</v>
      </c>
      <c r="AG2511" s="9">
        <v>67.464818475061875</v>
      </c>
      <c r="AH2511" s="9">
        <v>74.129442022189522</v>
      </c>
      <c r="AI2511" s="9">
        <v>81.304669029817305</v>
      </c>
      <c r="AJ2511" s="9">
        <v>3.0428788910505911</v>
      </c>
    </row>
    <row r="2512" spans="1:36" x14ac:dyDescent="0.25">
      <c r="A2512" t="s">
        <v>5411</v>
      </c>
      <c r="B2512" t="s">
        <v>16</v>
      </c>
      <c r="C2512" t="s">
        <v>17</v>
      </c>
      <c r="D2512">
        <v>55510000</v>
      </c>
      <c r="E2512">
        <v>55514999</v>
      </c>
      <c r="F2512" t="s">
        <v>2259</v>
      </c>
      <c r="G2512" t="str">
        <f t="shared" si="78"/>
        <v>PEI II</v>
      </c>
      <c r="H2512" t="s">
        <v>2194</v>
      </c>
      <c r="I2512" t="s">
        <v>20</v>
      </c>
      <c r="J2512" t="s">
        <v>64</v>
      </c>
      <c r="K2512" s="6">
        <v>0.03</v>
      </c>
      <c r="L2512" s="7">
        <f t="shared" si="79"/>
        <v>2E-3</v>
      </c>
      <c r="M2512" s="7">
        <v>3.0000000000000001E-3</v>
      </c>
      <c r="N2512">
        <v>12</v>
      </c>
      <c r="O2512" s="8">
        <v>21.329668724084634</v>
      </c>
      <c r="P2512" s="9">
        <v>21.329668724084634</v>
      </c>
      <c r="Q2512" s="9">
        <v>21.329668724084634</v>
      </c>
      <c r="R2512" s="9">
        <v>23.535187126233286</v>
      </c>
      <c r="S2512" s="9">
        <v>25.969348495460661</v>
      </c>
      <c r="T2512" s="9">
        <v>28.018652515052967</v>
      </c>
      <c r="U2512" s="9">
        <v>34.474261331240129</v>
      </c>
      <c r="V2512" s="9">
        <v>34.474261331240129</v>
      </c>
      <c r="W2512" s="9">
        <v>34.474261331240129</v>
      </c>
      <c r="X2512" s="9">
        <v>41.6797573977124</v>
      </c>
      <c r="Y2512" s="9">
        <v>41.6797573977124</v>
      </c>
      <c r="Z2512" s="9">
        <v>48.964357977567339</v>
      </c>
      <c r="AA2512" s="9">
        <v>48.964357977567339</v>
      </c>
      <c r="AB2512" s="9">
        <v>56.335973522143213</v>
      </c>
      <c r="AC2512" s="9">
        <v>56.335973522143213</v>
      </c>
      <c r="AD2512" s="9">
        <v>65.349051350310745</v>
      </c>
      <c r="AE2512" s="9">
        <v>72.305128962695434</v>
      </c>
      <c r="AF2512" s="9">
        <v>79.365490610542253</v>
      </c>
      <c r="AG2512" s="9">
        <v>79.365490610542253</v>
      </c>
      <c r="AH2512" s="9">
        <v>87.219003417886043</v>
      </c>
      <c r="AI2512" s="9">
        <v>95.054924275940976</v>
      </c>
      <c r="AJ2512" s="9">
        <v>3.0428788910505911</v>
      </c>
    </row>
    <row r="2513" spans="1:36" x14ac:dyDescent="0.25">
      <c r="A2513" t="s">
        <v>5411</v>
      </c>
      <c r="B2513" t="s">
        <v>16</v>
      </c>
      <c r="C2513" t="s">
        <v>17</v>
      </c>
      <c r="D2513">
        <v>55515000</v>
      </c>
      <c r="E2513">
        <v>55519999</v>
      </c>
      <c r="F2513" t="s">
        <v>2260</v>
      </c>
      <c r="G2513" t="str">
        <f t="shared" si="78"/>
        <v>PEI II</v>
      </c>
      <c r="H2513" t="s">
        <v>2194</v>
      </c>
      <c r="I2513" t="s">
        <v>20</v>
      </c>
      <c r="J2513" t="s">
        <v>64</v>
      </c>
      <c r="K2513" s="6">
        <v>0.03</v>
      </c>
      <c r="L2513" s="7">
        <f t="shared" si="79"/>
        <v>2E-3</v>
      </c>
      <c r="M2513" s="7">
        <v>3.0000000000000001E-3</v>
      </c>
      <c r="N2513">
        <v>12</v>
      </c>
      <c r="O2513" s="8">
        <v>21.329668724084634</v>
      </c>
      <c r="P2513" s="9">
        <v>21.329668724084634</v>
      </c>
      <c r="Q2513" s="9">
        <v>21.329668724084634</v>
      </c>
      <c r="R2513" s="9">
        <v>23.535187126233286</v>
      </c>
      <c r="S2513" s="9">
        <v>25.969348495460661</v>
      </c>
      <c r="T2513" s="9">
        <v>28.018652515052967</v>
      </c>
      <c r="U2513" s="9">
        <v>34.474261331240129</v>
      </c>
      <c r="V2513" s="9">
        <v>34.474261331240129</v>
      </c>
      <c r="W2513" s="9">
        <v>34.474261331240129</v>
      </c>
      <c r="X2513" s="9">
        <v>41.6797573977124</v>
      </c>
      <c r="Y2513" s="9">
        <v>41.6797573977124</v>
      </c>
      <c r="Z2513" s="9">
        <v>48.964357977567339</v>
      </c>
      <c r="AA2513" s="9">
        <v>48.964357977567339</v>
      </c>
      <c r="AB2513" s="9">
        <v>56.335973522143213</v>
      </c>
      <c r="AC2513" s="9">
        <v>56.335973522143213</v>
      </c>
      <c r="AD2513" s="9">
        <v>65.349051350310745</v>
      </c>
      <c r="AE2513" s="9">
        <v>72.305128962695434</v>
      </c>
      <c r="AF2513" s="9">
        <v>79.365490610542253</v>
      </c>
      <c r="AG2513" s="9">
        <v>79.365490610542253</v>
      </c>
      <c r="AH2513" s="9">
        <v>87.219003417886043</v>
      </c>
      <c r="AI2513" s="9">
        <v>95.054924275940976</v>
      </c>
      <c r="AJ2513" s="9">
        <v>3.0428788910505911</v>
      </c>
    </row>
    <row r="2514" spans="1:36" x14ac:dyDescent="0.25">
      <c r="A2514" t="s">
        <v>5411</v>
      </c>
      <c r="B2514" t="s">
        <v>16</v>
      </c>
      <c r="C2514" t="s">
        <v>17</v>
      </c>
      <c r="D2514">
        <v>55520000</v>
      </c>
      <c r="E2514">
        <v>55524999</v>
      </c>
      <c r="F2514" t="s">
        <v>2261</v>
      </c>
      <c r="G2514" t="str">
        <f t="shared" si="78"/>
        <v>PEI</v>
      </c>
      <c r="H2514" t="s">
        <v>2194</v>
      </c>
      <c r="I2514" t="s">
        <v>20</v>
      </c>
      <c r="J2514" t="s">
        <v>62</v>
      </c>
      <c r="K2514" s="6">
        <v>0.03</v>
      </c>
      <c r="L2514" s="7">
        <f t="shared" si="79"/>
        <v>2E-3</v>
      </c>
      <c r="M2514" s="7">
        <v>3.0000000000000001E-3</v>
      </c>
      <c r="N2514">
        <v>11</v>
      </c>
      <c r="O2514" s="8">
        <v>17.362919062478753</v>
      </c>
      <c r="P2514" s="9">
        <v>17.362919062478753</v>
      </c>
      <c r="Q2514" s="9">
        <v>17.362919062478753</v>
      </c>
      <c r="R2514" s="9">
        <v>18.763077462609331</v>
      </c>
      <c r="S2514" s="9">
        <v>20.822367518100933</v>
      </c>
      <c r="T2514" s="9">
        <v>22.932657006868226</v>
      </c>
      <c r="U2514" s="9">
        <v>28.394641309673208</v>
      </c>
      <c r="V2514" s="9">
        <v>28.394641309673208</v>
      </c>
      <c r="W2514" s="9">
        <v>28.394641309673208</v>
      </c>
      <c r="X2514" s="9">
        <v>34.481353453939484</v>
      </c>
      <c r="Y2514" s="9">
        <v>34.481353453939484</v>
      </c>
      <c r="Z2514" s="9">
        <v>40.733986919834194</v>
      </c>
      <c r="AA2514" s="9">
        <v>40.733986919834194</v>
      </c>
      <c r="AB2514" s="9">
        <v>47.204537282413121</v>
      </c>
      <c r="AC2514" s="9">
        <v>47.204537282413121</v>
      </c>
      <c r="AD2514" s="9">
        <v>53.805016474910374</v>
      </c>
      <c r="AE2514" s="9">
        <v>60.552137154404392</v>
      </c>
      <c r="AF2514" s="9">
        <v>67.464818475061875</v>
      </c>
      <c r="AG2514" s="9">
        <v>67.464818475061875</v>
      </c>
      <c r="AH2514" s="9">
        <v>74.129442022189522</v>
      </c>
      <c r="AI2514" s="9">
        <v>81.304669029817305</v>
      </c>
      <c r="AJ2514" s="9">
        <v>3.0428788910505911</v>
      </c>
    </row>
    <row r="2515" spans="1:36" x14ac:dyDescent="0.25">
      <c r="A2515" t="s">
        <v>5411</v>
      </c>
      <c r="B2515" t="s">
        <v>16</v>
      </c>
      <c r="C2515" t="s">
        <v>17</v>
      </c>
      <c r="D2515">
        <v>55525000</v>
      </c>
      <c r="E2515">
        <v>55529999</v>
      </c>
      <c r="F2515" t="s">
        <v>2262</v>
      </c>
      <c r="G2515" t="str">
        <f t="shared" si="78"/>
        <v>PEI II</v>
      </c>
      <c r="H2515" t="s">
        <v>2194</v>
      </c>
      <c r="I2515" t="s">
        <v>20</v>
      </c>
      <c r="J2515" t="s">
        <v>64</v>
      </c>
      <c r="K2515" s="6">
        <v>0.03</v>
      </c>
      <c r="L2515" s="7">
        <f t="shared" si="79"/>
        <v>2E-3</v>
      </c>
      <c r="M2515" s="7">
        <v>3.0000000000000001E-3</v>
      </c>
      <c r="N2515">
        <v>12</v>
      </c>
      <c r="O2515" s="8">
        <v>21.329668724084634</v>
      </c>
      <c r="P2515" s="9">
        <v>21.329668724084634</v>
      </c>
      <c r="Q2515" s="9">
        <v>21.329668724084634</v>
      </c>
      <c r="R2515" s="9">
        <v>23.535187126233286</v>
      </c>
      <c r="S2515" s="9">
        <v>25.969348495460661</v>
      </c>
      <c r="T2515" s="9">
        <v>28.018652515052967</v>
      </c>
      <c r="U2515" s="9">
        <v>34.474261331240129</v>
      </c>
      <c r="V2515" s="9">
        <v>34.474261331240129</v>
      </c>
      <c r="W2515" s="9">
        <v>34.474261331240129</v>
      </c>
      <c r="X2515" s="9">
        <v>41.6797573977124</v>
      </c>
      <c r="Y2515" s="9">
        <v>41.6797573977124</v>
      </c>
      <c r="Z2515" s="9">
        <v>48.964357977567339</v>
      </c>
      <c r="AA2515" s="9">
        <v>48.964357977567339</v>
      </c>
      <c r="AB2515" s="9">
        <v>56.335973522143213</v>
      </c>
      <c r="AC2515" s="9">
        <v>56.335973522143213</v>
      </c>
      <c r="AD2515" s="9">
        <v>65.349051350310745</v>
      </c>
      <c r="AE2515" s="9">
        <v>72.305128962695434</v>
      </c>
      <c r="AF2515" s="9">
        <v>79.365490610542253</v>
      </c>
      <c r="AG2515" s="9">
        <v>79.365490610542253</v>
      </c>
      <c r="AH2515" s="9">
        <v>87.219003417886043</v>
      </c>
      <c r="AI2515" s="9">
        <v>95.054924275940976</v>
      </c>
      <c r="AJ2515" s="9">
        <v>3.0428788910505911</v>
      </c>
    </row>
    <row r="2516" spans="1:36" x14ac:dyDescent="0.25">
      <c r="A2516" t="s">
        <v>5411</v>
      </c>
      <c r="B2516" t="s">
        <v>16</v>
      </c>
      <c r="C2516" t="s">
        <v>17</v>
      </c>
      <c r="D2516">
        <v>55530000</v>
      </c>
      <c r="E2516">
        <v>55534999</v>
      </c>
      <c r="F2516" t="s">
        <v>2263</v>
      </c>
      <c r="G2516" t="str">
        <f t="shared" si="78"/>
        <v>PEI II</v>
      </c>
      <c r="H2516" t="s">
        <v>2194</v>
      </c>
      <c r="I2516" t="s">
        <v>20</v>
      </c>
      <c r="J2516" t="s">
        <v>64</v>
      </c>
      <c r="K2516" s="6">
        <v>0.03</v>
      </c>
      <c r="L2516" s="7">
        <f t="shared" si="79"/>
        <v>2E-3</v>
      </c>
      <c r="M2516" s="7">
        <v>3.0000000000000001E-3</v>
      </c>
      <c r="N2516">
        <v>11</v>
      </c>
      <c r="O2516" s="8">
        <v>21.329668724084634</v>
      </c>
      <c r="P2516" s="9">
        <v>21.329668724084634</v>
      </c>
      <c r="Q2516" s="9">
        <v>21.329668724084634</v>
      </c>
      <c r="R2516" s="9">
        <v>23.535187126233286</v>
      </c>
      <c r="S2516" s="9">
        <v>25.969348495460661</v>
      </c>
      <c r="T2516" s="9">
        <v>28.018652515052967</v>
      </c>
      <c r="U2516" s="9">
        <v>34.474261331240129</v>
      </c>
      <c r="V2516" s="9">
        <v>34.474261331240129</v>
      </c>
      <c r="W2516" s="9">
        <v>34.474261331240129</v>
      </c>
      <c r="X2516" s="9">
        <v>41.6797573977124</v>
      </c>
      <c r="Y2516" s="9">
        <v>41.6797573977124</v>
      </c>
      <c r="Z2516" s="9">
        <v>48.964357977567339</v>
      </c>
      <c r="AA2516" s="9">
        <v>48.964357977567339</v>
      </c>
      <c r="AB2516" s="9">
        <v>56.335973522143213</v>
      </c>
      <c r="AC2516" s="9">
        <v>56.335973522143213</v>
      </c>
      <c r="AD2516" s="9">
        <v>65.349051350310745</v>
      </c>
      <c r="AE2516" s="9">
        <v>72.305128962695434</v>
      </c>
      <c r="AF2516" s="9">
        <v>79.365490610542253</v>
      </c>
      <c r="AG2516" s="9">
        <v>79.365490610542253</v>
      </c>
      <c r="AH2516" s="9">
        <v>87.219003417886043</v>
      </c>
      <c r="AI2516" s="9">
        <v>95.054924275940976</v>
      </c>
      <c r="AJ2516" s="9">
        <v>3.0428788910505911</v>
      </c>
    </row>
    <row r="2517" spans="1:36" x14ac:dyDescent="0.25">
      <c r="A2517" t="s">
        <v>5411</v>
      </c>
      <c r="B2517" t="s">
        <v>16</v>
      </c>
      <c r="C2517" t="s">
        <v>17</v>
      </c>
      <c r="D2517">
        <v>55535000</v>
      </c>
      <c r="E2517">
        <v>55539999</v>
      </c>
      <c r="F2517" t="s">
        <v>2264</v>
      </c>
      <c r="G2517" t="str">
        <f t="shared" si="78"/>
        <v>PEI II</v>
      </c>
      <c r="H2517" t="s">
        <v>2194</v>
      </c>
      <c r="I2517" t="s">
        <v>20</v>
      </c>
      <c r="J2517" t="s">
        <v>64</v>
      </c>
      <c r="K2517" s="6">
        <v>0.03</v>
      </c>
      <c r="L2517" s="7">
        <f t="shared" si="79"/>
        <v>2E-3</v>
      </c>
      <c r="M2517" s="7">
        <v>3.0000000000000001E-3</v>
      </c>
      <c r="N2517">
        <v>11</v>
      </c>
      <c r="O2517" s="8">
        <v>21.329668724084634</v>
      </c>
      <c r="P2517" s="9">
        <v>21.329668724084634</v>
      </c>
      <c r="Q2517" s="9">
        <v>21.329668724084634</v>
      </c>
      <c r="R2517" s="9">
        <v>23.535187126233286</v>
      </c>
      <c r="S2517" s="9">
        <v>25.969348495460661</v>
      </c>
      <c r="T2517" s="9">
        <v>28.018652515052967</v>
      </c>
      <c r="U2517" s="9">
        <v>34.474261331240129</v>
      </c>
      <c r="V2517" s="9">
        <v>34.474261331240129</v>
      </c>
      <c r="W2517" s="9">
        <v>34.474261331240129</v>
      </c>
      <c r="X2517" s="9">
        <v>41.6797573977124</v>
      </c>
      <c r="Y2517" s="9">
        <v>41.6797573977124</v>
      </c>
      <c r="Z2517" s="9">
        <v>48.964357977567339</v>
      </c>
      <c r="AA2517" s="9">
        <v>48.964357977567339</v>
      </c>
      <c r="AB2517" s="9">
        <v>56.335973522143213</v>
      </c>
      <c r="AC2517" s="9">
        <v>56.335973522143213</v>
      </c>
      <c r="AD2517" s="9">
        <v>65.349051350310745</v>
      </c>
      <c r="AE2517" s="9">
        <v>72.305128962695434</v>
      </c>
      <c r="AF2517" s="9">
        <v>79.365490610542253</v>
      </c>
      <c r="AG2517" s="9">
        <v>79.365490610542253</v>
      </c>
      <c r="AH2517" s="9">
        <v>87.219003417886043</v>
      </c>
      <c r="AI2517" s="9">
        <v>95.054924275940976</v>
      </c>
      <c r="AJ2517" s="9">
        <v>3.0428788910505911</v>
      </c>
    </row>
    <row r="2518" spans="1:36" x14ac:dyDescent="0.25">
      <c r="A2518" t="s">
        <v>5411</v>
      </c>
      <c r="B2518" t="s">
        <v>16</v>
      </c>
      <c r="C2518" t="s">
        <v>17</v>
      </c>
      <c r="D2518">
        <v>55540000</v>
      </c>
      <c r="E2518">
        <v>55549999</v>
      </c>
      <c r="F2518" t="s">
        <v>2265</v>
      </c>
      <c r="G2518" t="str">
        <f t="shared" si="78"/>
        <v>PEI</v>
      </c>
      <c r="H2518" t="s">
        <v>2194</v>
      </c>
      <c r="I2518" t="s">
        <v>20</v>
      </c>
      <c r="J2518" t="s">
        <v>62</v>
      </c>
      <c r="K2518" s="6">
        <v>0.03</v>
      </c>
      <c r="L2518" s="7">
        <f t="shared" si="79"/>
        <v>2E-3</v>
      </c>
      <c r="M2518" s="7">
        <v>3.0000000000000001E-3</v>
      </c>
      <c r="N2518">
        <v>11</v>
      </c>
      <c r="O2518" s="8">
        <v>17.362919062478753</v>
      </c>
      <c r="P2518" s="9">
        <v>17.362919062478753</v>
      </c>
      <c r="Q2518" s="9">
        <v>17.362919062478753</v>
      </c>
      <c r="R2518" s="9">
        <v>18.763077462609331</v>
      </c>
      <c r="S2518" s="9">
        <v>20.822367518100933</v>
      </c>
      <c r="T2518" s="9">
        <v>22.932657006868226</v>
      </c>
      <c r="U2518" s="9">
        <v>28.394641309673208</v>
      </c>
      <c r="V2518" s="9">
        <v>28.394641309673208</v>
      </c>
      <c r="W2518" s="9">
        <v>28.394641309673208</v>
      </c>
      <c r="X2518" s="9">
        <v>34.481353453939484</v>
      </c>
      <c r="Y2518" s="9">
        <v>34.481353453939484</v>
      </c>
      <c r="Z2518" s="9">
        <v>40.733986919834194</v>
      </c>
      <c r="AA2518" s="9">
        <v>40.733986919834194</v>
      </c>
      <c r="AB2518" s="9">
        <v>47.204537282413121</v>
      </c>
      <c r="AC2518" s="9">
        <v>47.204537282413121</v>
      </c>
      <c r="AD2518" s="9">
        <v>53.805016474910374</v>
      </c>
      <c r="AE2518" s="9">
        <v>60.552137154404392</v>
      </c>
      <c r="AF2518" s="9">
        <v>67.464818475061875</v>
      </c>
      <c r="AG2518" s="9">
        <v>67.464818475061875</v>
      </c>
      <c r="AH2518" s="9">
        <v>74.129442022189522</v>
      </c>
      <c r="AI2518" s="9">
        <v>81.304669029817305</v>
      </c>
      <c r="AJ2518" s="9">
        <v>3.0428788910505911</v>
      </c>
    </row>
    <row r="2519" spans="1:36" x14ac:dyDescent="0.25">
      <c r="A2519" t="s">
        <v>5411</v>
      </c>
      <c r="B2519" t="s">
        <v>16</v>
      </c>
      <c r="C2519" t="s">
        <v>17</v>
      </c>
      <c r="D2519">
        <v>55550000</v>
      </c>
      <c r="E2519">
        <v>55554999</v>
      </c>
      <c r="F2519" t="s">
        <v>2266</v>
      </c>
      <c r="G2519" t="str">
        <f t="shared" si="78"/>
        <v>PEI II</v>
      </c>
      <c r="H2519" t="s">
        <v>2194</v>
      </c>
      <c r="I2519" t="s">
        <v>20</v>
      </c>
      <c r="J2519" t="s">
        <v>64</v>
      </c>
      <c r="K2519" s="6">
        <v>0.03</v>
      </c>
      <c r="L2519" s="7">
        <f t="shared" si="79"/>
        <v>2E-3</v>
      </c>
      <c r="M2519" s="7">
        <v>3.0000000000000001E-3</v>
      </c>
      <c r="N2519">
        <v>11</v>
      </c>
      <c r="O2519" s="8">
        <v>21.329668724084634</v>
      </c>
      <c r="P2519" s="9">
        <v>21.329668724084634</v>
      </c>
      <c r="Q2519" s="9">
        <v>21.329668724084634</v>
      </c>
      <c r="R2519" s="9">
        <v>23.535187126233286</v>
      </c>
      <c r="S2519" s="9">
        <v>25.969348495460661</v>
      </c>
      <c r="T2519" s="9">
        <v>28.018652515052967</v>
      </c>
      <c r="U2519" s="9">
        <v>34.474261331240129</v>
      </c>
      <c r="V2519" s="9">
        <v>34.474261331240129</v>
      </c>
      <c r="W2519" s="9">
        <v>34.474261331240129</v>
      </c>
      <c r="X2519" s="9">
        <v>41.6797573977124</v>
      </c>
      <c r="Y2519" s="9">
        <v>41.6797573977124</v>
      </c>
      <c r="Z2519" s="9">
        <v>48.964357977567339</v>
      </c>
      <c r="AA2519" s="9">
        <v>48.964357977567339</v>
      </c>
      <c r="AB2519" s="9">
        <v>56.335973522143213</v>
      </c>
      <c r="AC2519" s="9">
        <v>56.335973522143213</v>
      </c>
      <c r="AD2519" s="9">
        <v>65.349051350310745</v>
      </c>
      <c r="AE2519" s="9">
        <v>72.305128962695434</v>
      </c>
      <c r="AF2519" s="9">
        <v>79.365490610542253</v>
      </c>
      <c r="AG2519" s="9">
        <v>79.365490610542253</v>
      </c>
      <c r="AH2519" s="9">
        <v>87.219003417886043</v>
      </c>
      <c r="AI2519" s="9">
        <v>95.054924275940976</v>
      </c>
      <c r="AJ2519" s="9">
        <v>3.0428788910505911</v>
      </c>
    </row>
    <row r="2520" spans="1:36" x14ac:dyDescent="0.25">
      <c r="A2520" t="s">
        <v>5411</v>
      </c>
      <c r="B2520" t="s">
        <v>16</v>
      </c>
      <c r="C2520" t="s">
        <v>17</v>
      </c>
      <c r="D2520">
        <v>55555000</v>
      </c>
      <c r="E2520">
        <v>55559999</v>
      </c>
      <c r="F2520" t="s">
        <v>2267</v>
      </c>
      <c r="G2520" t="str">
        <f t="shared" si="78"/>
        <v>PEI II</v>
      </c>
      <c r="H2520" t="s">
        <v>2194</v>
      </c>
      <c r="I2520" t="s">
        <v>20</v>
      </c>
      <c r="J2520" t="s">
        <v>64</v>
      </c>
      <c r="K2520" s="6">
        <v>0.03</v>
      </c>
      <c r="L2520" s="7">
        <f t="shared" si="79"/>
        <v>2E-3</v>
      </c>
      <c r="M2520" s="7">
        <v>3.0000000000000001E-3</v>
      </c>
      <c r="N2520">
        <v>15</v>
      </c>
      <c r="O2520" s="8">
        <v>21.329668724084634</v>
      </c>
      <c r="P2520" s="9">
        <v>21.329668724084634</v>
      </c>
      <c r="Q2520" s="9">
        <v>21.329668724084634</v>
      </c>
      <c r="R2520" s="9">
        <v>23.535187126233286</v>
      </c>
      <c r="S2520" s="9">
        <v>25.969348495460661</v>
      </c>
      <c r="T2520" s="9">
        <v>28.018652515052967</v>
      </c>
      <c r="U2520" s="9">
        <v>34.474261331240129</v>
      </c>
      <c r="V2520" s="9">
        <v>34.474261331240129</v>
      </c>
      <c r="W2520" s="9">
        <v>34.474261331240129</v>
      </c>
      <c r="X2520" s="9">
        <v>41.6797573977124</v>
      </c>
      <c r="Y2520" s="9">
        <v>41.6797573977124</v>
      </c>
      <c r="Z2520" s="9">
        <v>48.964357977567339</v>
      </c>
      <c r="AA2520" s="9">
        <v>48.964357977567339</v>
      </c>
      <c r="AB2520" s="9">
        <v>56.335973522143213</v>
      </c>
      <c r="AC2520" s="9">
        <v>56.335973522143213</v>
      </c>
      <c r="AD2520" s="9">
        <v>65.349051350310745</v>
      </c>
      <c r="AE2520" s="9">
        <v>72.305128962695434</v>
      </c>
      <c r="AF2520" s="9">
        <v>79.365490610542253</v>
      </c>
      <c r="AG2520" s="9">
        <v>79.365490610542253</v>
      </c>
      <c r="AH2520" s="9">
        <v>87.219003417886043</v>
      </c>
      <c r="AI2520" s="9">
        <v>95.054924275940976</v>
      </c>
      <c r="AJ2520" s="9">
        <v>3.0428788910505911</v>
      </c>
    </row>
    <row r="2521" spans="1:36" x14ac:dyDescent="0.25">
      <c r="A2521" t="s">
        <v>5411</v>
      </c>
      <c r="B2521" t="s">
        <v>16</v>
      </c>
      <c r="C2521" t="s">
        <v>17</v>
      </c>
      <c r="D2521">
        <v>55560000</v>
      </c>
      <c r="E2521">
        <v>55564999</v>
      </c>
      <c r="F2521" t="s">
        <v>2268</v>
      </c>
      <c r="G2521" t="str">
        <f t="shared" si="78"/>
        <v>PEI</v>
      </c>
      <c r="H2521" t="s">
        <v>2194</v>
      </c>
      <c r="I2521" t="s">
        <v>20</v>
      </c>
      <c r="J2521" t="s">
        <v>62</v>
      </c>
      <c r="K2521" s="6">
        <v>0.03</v>
      </c>
      <c r="L2521" s="7">
        <f t="shared" si="79"/>
        <v>2E-3</v>
      </c>
      <c r="M2521" s="7">
        <v>3.0000000000000001E-3</v>
      </c>
      <c r="N2521">
        <v>11</v>
      </c>
      <c r="O2521" s="8">
        <v>17.362919062478753</v>
      </c>
      <c r="P2521" s="9">
        <v>17.362919062478753</v>
      </c>
      <c r="Q2521" s="9">
        <v>17.362919062478753</v>
      </c>
      <c r="R2521" s="9">
        <v>18.763077462609331</v>
      </c>
      <c r="S2521" s="9">
        <v>20.822367518100933</v>
      </c>
      <c r="T2521" s="9">
        <v>22.932657006868226</v>
      </c>
      <c r="U2521" s="9">
        <v>28.394641309673208</v>
      </c>
      <c r="V2521" s="9">
        <v>28.394641309673208</v>
      </c>
      <c r="W2521" s="9">
        <v>28.394641309673208</v>
      </c>
      <c r="X2521" s="9">
        <v>34.481353453939484</v>
      </c>
      <c r="Y2521" s="9">
        <v>34.481353453939484</v>
      </c>
      <c r="Z2521" s="9">
        <v>40.733986919834194</v>
      </c>
      <c r="AA2521" s="9">
        <v>40.733986919834194</v>
      </c>
      <c r="AB2521" s="9">
        <v>47.204537282413121</v>
      </c>
      <c r="AC2521" s="9">
        <v>47.204537282413121</v>
      </c>
      <c r="AD2521" s="9">
        <v>53.805016474910374</v>
      </c>
      <c r="AE2521" s="9">
        <v>60.552137154404392</v>
      </c>
      <c r="AF2521" s="9">
        <v>67.464818475061875</v>
      </c>
      <c r="AG2521" s="9">
        <v>67.464818475061875</v>
      </c>
      <c r="AH2521" s="9">
        <v>74.129442022189522</v>
      </c>
      <c r="AI2521" s="9">
        <v>81.304669029817305</v>
      </c>
      <c r="AJ2521" s="9">
        <v>3.0428788910505911</v>
      </c>
    </row>
    <row r="2522" spans="1:36" x14ac:dyDescent="0.25">
      <c r="A2522" t="s">
        <v>5411</v>
      </c>
      <c r="B2522" t="s">
        <v>16</v>
      </c>
      <c r="C2522" t="s">
        <v>17</v>
      </c>
      <c r="D2522">
        <v>55565000</v>
      </c>
      <c r="E2522">
        <v>55569999</v>
      </c>
      <c r="F2522" t="s">
        <v>2269</v>
      </c>
      <c r="G2522" t="str">
        <f t="shared" si="78"/>
        <v>PEI</v>
      </c>
      <c r="H2522" t="s">
        <v>2194</v>
      </c>
      <c r="I2522" t="s">
        <v>20</v>
      </c>
      <c r="J2522" t="s">
        <v>62</v>
      </c>
      <c r="K2522" s="6">
        <v>0.03</v>
      </c>
      <c r="L2522" s="7">
        <f t="shared" si="79"/>
        <v>2E-3</v>
      </c>
      <c r="M2522" s="7">
        <v>3.0000000000000001E-3</v>
      </c>
      <c r="N2522">
        <v>11</v>
      </c>
      <c r="O2522" s="8">
        <v>17.362919062478753</v>
      </c>
      <c r="P2522" s="9">
        <v>17.362919062478753</v>
      </c>
      <c r="Q2522" s="9">
        <v>17.362919062478753</v>
      </c>
      <c r="R2522" s="9">
        <v>18.763077462609331</v>
      </c>
      <c r="S2522" s="9">
        <v>20.822367518100933</v>
      </c>
      <c r="T2522" s="9">
        <v>22.932657006868226</v>
      </c>
      <c r="U2522" s="9">
        <v>28.394641309673208</v>
      </c>
      <c r="V2522" s="9">
        <v>28.394641309673208</v>
      </c>
      <c r="W2522" s="9">
        <v>28.394641309673208</v>
      </c>
      <c r="X2522" s="9">
        <v>34.481353453939484</v>
      </c>
      <c r="Y2522" s="9">
        <v>34.481353453939484</v>
      </c>
      <c r="Z2522" s="9">
        <v>40.733986919834194</v>
      </c>
      <c r="AA2522" s="9">
        <v>40.733986919834194</v>
      </c>
      <c r="AB2522" s="9">
        <v>47.204537282413121</v>
      </c>
      <c r="AC2522" s="9">
        <v>47.204537282413121</v>
      </c>
      <c r="AD2522" s="9">
        <v>53.805016474910374</v>
      </c>
      <c r="AE2522" s="9">
        <v>60.552137154404392</v>
      </c>
      <c r="AF2522" s="9">
        <v>67.464818475061875</v>
      </c>
      <c r="AG2522" s="9">
        <v>67.464818475061875</v>
      </c>
      <c r="AH2522" s="9">
        <v>74.129442022189522</v>
      </c>
      <c r="AI2522" s="9">
        <v>81.304669029817305</v>
      </c>
      <c r="AJ2522" s="9">
        <v>3.0428788910505911</v>
      </c>
    </row>
    <row r="2523" spans="1:36" x14ac:dyDescent="0.25">
      <c r="A2523" t="s">
        <v>5411</v>
      </c>
      <c r="B2523" t="s">
        <v>16</v>
      </c>
      <c r="C2523" t="s">
        <v>17</v>
      </c>
      <c r="D2523">
        <v>55570000</v>
      </c>
      <c r="E2523">
        <v>55577999</v>
      </c>
      <c r="F2523" t="s">
        <v>2270</v>
      </c>
      <c r="G2523" t="str">
        <f t="shared" si="78"/>
        <v>PEI</v>
      </c>
      <c r="H2523" t="s">
        <v>2194</v>
      </c>
      <c r="I2523" t="s">
        <v>20</v>
      </c>
      <c r="J2523" t="s">
        <v>62</v>
      </c>
      <c r="K2523" s="6">
        <v>0.03</v>
      </c>
      <c r="L2523" s="7">
        <f t="shared" si="79"/>
        <v>2E-3</v>
      </c>
      <c r="M2523" s="7">
        <v>3.0000000000000001E-3</v>
      </c>
      <c r="N2523">
        <v>11</v>
      </c>
      <c r="O2523" s="8">
        <v>17.362919062478753</v>
      </c>
      <c r="P2523" s="9">
        <v>17.362919062478753</v>
      </c>
      <c r="Q2523" s="9">
        <v>17.362919062478753</v>
      </c>
      <c r="R2523" s="9">
        <v>18.763077462609331</v>
      </c>
      <c r="S2523" s="9">
        <v>20.822367518100933</v>
      </c>
      <c r="T2523" s="9">
        <v>22.932657006868226</v>
      </c>
      <c r="U2523" s="9">
        <v>28.394641309673208</v>
      </c>
      <c r="V2523" s="9">
        <v>28.394641309673208</v>
      </c>
      <c r="W2523" s="9">
        <v>28.394641309673208</v>
      </c>
      <c r="X2523" s="9">
        <v>34.481353453939484</v>
      </c>
      <c r="Y2523" s="9">
        <v>34.481353453939484</v>
      </c>
      <c r="Z2523" s="9">
        <v>40.733986919834194</v>
      </c>
      <c r="AA2523" s="9">
        <v>40.733986919834194</v>
      </c>
      <c r="AB2523" s="9">
        <v>47.204537282413121</v>
      </c>
      <c r="AC2523" s="9">
        <v>47.204537282413121</v>
      </c>
      <c r="AD2523" s="9">
        <v>53.805016474910374</v>
      </c>
      <c r="AE2523" s="9">
        <v>60.552137154404392</v>
      </c>
      <c r="AF2523" s="9">
        <v>67.464818475061875</v>
      </c>
      <c r="AG2523" s="9">
        <v>67.464818475061875</v>
      </c>
      <c r="AH2523" s="9">
        <v>74.129442022189522</v>
      </c>
      <c r="AI2523" s="9">
        <v>81.304669029817305</v>
      </c>
      <c r="AJ2523" s="9">
        <v>3.0428788910505911</v>
      </c>
    </row>
    <row r="2524" spans="1:36" x14ac:dyDescent="0.25">
      <c r="A2524" t="s">
        <v>5411</v>
      </c>
      <c r="B2524" t="s">
        <v>16</v>
      </c>
      <c r="C2524" t="s">
        <v>17</v>
      </c>
      <c r="D2524">
        <v>55578000</v>
      </c>
      <c r="E2524">
        <v>55579999</v>
      </c>
      <c r="F2524" t="s">
        <v>2271</v>
      </c>
      <c r="G2524" t="str">
        <f t="shared" si="78"/>
        <v>PEI II</v>
      </c>
      <c r="H2524" t="s">
        <v>2194</v>
      </c>
      <c r="I2524" t="s">
        <v>20</v>
      </c>
      <c r="J2524" t="s">
        <v>64</v>
      </c>
      <c r="K2524" s="6">
        <v>0.03</v>
      </c>
      <c r="L2524" s="7">
        <f t="shared" si="79"/>
        <v>2E-3</v>
      </c>
      <c r="M2524" s="7">
        <v>3.0000000000000001E-3</v>
      </c>
      <c r="N2524">
        <v>11</v>
      </c>
      <c r="O2524" s="8">
        <v>21.329668724084634</v>
      </c>
      <c r="P2524" s="9">
        <v>21.329668724084634</v>
      </c>
      <c r="Q2524" s="9">
        <v>21.329668724084634</v>
      </c>
      <c r="R2524" s="9">
        <v>23.535187126233286</v>
      </c>
      <c r="S2524" s="9">
        <v>25.969348495460661</v>
      </c>
      <c r="T2524" s="9">
        <v>28.018652515052967</v>
      </c>
      <c r="U2524" s="9">
        <v>34.474261331240129</v>
      </c>
      <c r="V2524" s="9">
        <v>34.474261331240129</v>
      </c>
      <c r="W2524" s="9">
        <v>34.474261331240129</v>
      </c>
      <c r="X2524" s="9">
        <v>41.6797573977124</v>
      </c>
      <c r="Y2524" s="9">
        <v>41.6797573977124</v>
      </c>
      <c r="Z2524" s="9">
        <v>48.964357977567339</v>
      </c>
      <c r="AA2524" s="9">
        <v>48.964357977567339</v>
      </c>
      <c r="AB2524" s="9">
        <v>56.335973522143213</v>
      </c>
      <c r="AC2524" s="9">
        <v>56.335973522143213</v>
      </c>
      <c r="AD2524" s="9">
        <v>65.349051350310745</v>
      </c>
      <c r="AE2524" s="9">
        <v>72.305128962695434</v>
      </c>
      <c r="AF2524" s="9">
        <v>79.365490610542253</v>
      </c>
      <c r="AG2524" s="9">
        <v>79.365490610542253</v>
      </c>
      <c r="AH2524" s="9">
        <v>87.219003417886043</v>
      </c>
      <c r="AI2524" s="9">
        <v>95.054924275940976</v>
      </c>
      <c r="AJ2524" s="9">
        <v>3.0428788910505911</v>
      </c>
    </row>
    <row r="2525" spans="1:36" x14ac:dyDescent="0.25">
      <c r="A2525" t="s">
        <v>5411</v>
      </c>
      <c r="B2525" t="s">
        <v>16</v>
      </c>
      <c r="C2525" t="s">
        <v>17</v>
      </c>
      <c r="D2525">
        <v>55580000</v>
      </c>
      <c r="E2525">
        <v>55589999</v>
      </c>
      <c r="F2525" t="s">
        <v>2272</v>
      </c>
      <c r="G2525" t="str">
        <f t="shared" si="78"/>
        <v>PEI II</v>
      </c>
      <c r="H2525" t="s">
        <v>2194</v>
      </c>
      <c r="I2525" t="s">
        <v>20</v>
      </c>
      <c r="J2525" t="s">
        <v>64</v>
      </c>
      <c r="K2525" s="6">
        <v>0.03</v>
      </c>
      <c r="L2525" s="7">
        <f t="shared" si="79"/>
        <v>2E-3</v>
      </c>
      <c r="M2525" s="7">
        <v>3.0000000000000001E-3</v>
      </c>
      <c r="N2525">
        <v>11</v>
      </c>
      <c r="O2525" s="8">
        <v>21.329668724084634</v>
      </c>
      <c r="P2525" s="9">
        <v>21.329668724084634</v>
      </c>
      <c r="Q2525" s="9">
        <v>21.329668724084634</v>
      </c>
      <c r="R2525" s="9">
        <v>23.535187126233286</v>
      </c>
      <c r="S2525" s="9">
        <v>25.969348495460661</v>
      </c>
      <c r="T2525" s="9">
        <v>28.018652515052967</v>
      </c>
      <c r="U2525" s="9">
        <v>34.474261331240129</v>
      </c>
      <c r="V2525" s="9">
        <v>34.474261331240129</v>
      </c>
      <c r="W2525" s="9">
        <v>34.474261331240129</v>
      </c>
      <c r="X2525" s="9">
        <v>41.6797573977124</v>
      </c>
      <c r="Y2525" s="9">
        <v>41.6797573977124</v>
      </c>
      <c r="Z2525" s="9">
        <v>48.964357977567339</v>
      </c>
      <c r="AA2525" s="9">
        <v>48.964357977567339</v>
      </c>
      <c r="AB2525" s="9">
        <v>56.335973522143213</v>
      </c>
      <c r="AC2525" s="9">
        <v>56.335973522143213</v>
      </c>
      <c r="AD2525" s="9">
        <v>65.349051350310745</v>
      </c>
      <c r="AE2525" s="9">
        <v>72.305128962695434</v>
      </c>
      <c r="AF2525" s="9">
        <v>79.365490610542253</v>
      </c>
      <c r="AG2525" s="9">
        <v>79.365490610542253</v>
      </c>
      <c r="AH2525" s="9">
        <v>87.219003417886043</v>
      </c>
      <c r="AI2525" s="9">
        <v>95.054924275940976</v>
      </c>
      <c r="AJ2525" s="9">
        <v>3.0428788910505911</v>
      </c>
    </row>
    <row r="2526" spans="1:36" x14ac:dyDescent="0.25">
      <c r="A2526" t="s">
        <v>5411</v>
      </c>
      <c r="B2526" t="s">
        <v>16</v>
      </c>
      <c r="C2526" t="s">
        <v>17</v>
      </c>
      <c r="D2526">
        <v>55590000</v>
      </c>
      <c r="E2526">
        <v>55599999</v>
      </c>
      <c r="F2526" t="s">
        <v>2273</v>
      </c>
      <c r="G2526" t="str">
        <f t="shared" si="78"/>
        <v>PEI</v>
      </c>
      <c r="H2526" t="s">
        <v>2194</v>
      </c>
      <c r="I2526" t="s">
        <v>20</v>
      </c>
      <c r="J2526" t="s">
        <v>62</v>
      </c>
      <c r="K2526" s="6">
        <v>0.03</v>
      </c>
      <c r="L2526" s="7">
        <f t="shared" si="79"/>
        <v>2E-3</v>
      </c>
      <c r="M2526" s="7">
        <v>3.0000000000000001E-3</v>
      </c>
      <c r="N2526">
        <v>11</v>
      </c>
      <c r="O2526" s="8">
        <v>17.362919062478753</v>
      </c>
      <c r="P2526" s="9">
        <v>17.362919062478753</v>
      </c>
      <c r="Q2526" s="9">
        <v>17.362919062478753</v>
      </c>
      <c r="R2526" s="9">
        <v>18.763077462609331</v>
      </c>
      <c r="S2526" s="9">
        <v>20.822367518100933</v>
      </c>
      <c r="T2526" s="9">
        <v>22.932657006868226</v>
      </c>
      <c r="U2526" s="9">
        <v>28.394641309673208</v>
      </c>
      <c r="V2526" s="9">
        <v>28.394641309673208</v>
      </c>
      <c r="W2526" s="9">
        <v>28.394641309673208</v>
      </c>
      <c r="X2526" s="9">
        <v>34.481353453939484</v>
      </c>
      <c r="Y2526" s="9">
        <v>34.481353453939484</v>
      </c>
      <c r="Z2526" s="9">
        <v>40.733986919834194</v>
      </c>
      <c r="AA2526" s="9">
        <v>40.733986919834194</v>
      </c>
      <c r="AB2526" s="9">
        <v>47.204537282413121</v>
      </c>
      <c r="AC2526" s="9">
        <v>47.204537282413121</v>
      </c>
      <c r="AD2526" s="9">
        <v>53.805016474910374</v>
      </c>
      <c r="AE2526" s="9">
        <v>60.552137154404392</v>
      </c>
      <c r="AF2526" s="9">
        <v>67.464818475061875</v>
      </c>
      <c r="AG2526" s="9">
        <v>67.464818475061875</v>
      </c>
      <c r="AH2526" s="9">
        <v>74.129442022189522</v>
      </c>
      <c r="AI2526" s="9">
        <v>81.304669029817305</v>
      </c>
      <c r="AJ2526" s="9">
        <v>3.0428788910505911</v>
      </c>
    </row>
    <row r="2527" spans="1:36" x14ac:dyDescent="0.25">
      <c r="A2527" t="s">
        <v>5411</v>
      </c>
      <c r="B2527" t="s">
        <v>16</v>
      </c>
      <c r="C2527" t="s">
        <v>17</v>
      </c>
      <c r="D2527">
        <v>55600000</v>
      </c>
      <c r="E2527">
        <v>55619999</v>
      </c>
      <c r="F2527" t="s">
        <v>2274</v>
      </c>
      <c r="G2527" t="str">
        <f t="shared" si="78"/>
        <v>PEI</v>
      </c>
      <c r="H2527" t="s">
        <v>2194</v>
      </c>
      <c r="I2527" t="s">
        <v>20</v>
      </c>
      <c r="J2527" t="s">
        <v>62</v>
      </c>
      <c r="K2527" s="6">
        <v>0.03</v>
      </c>
      <c r="L2527" s="7">
        <f t="shared" si="79"/>
        <v>2E-3</v>
      </c>
      <c r="M2527" s="7">
        <v>3.0000000000000001E-3</v>
      </c>
      <c r="N2527">
        <v>11</v>
      </c>
      <c r="O2527" s="8">
        <v>17.362919062478753</v>
      </c>
      <c r="P2527" s="9">
        <v>17.362919062478753</v>
      </c>
      <c r="Q2527" s="9">
        <v>17.362919062478753</v>
      </c>
      <c r="R2527" s="9">
        <v>18.763077462609331</v>
      </c>
      <c r="S2527" s="9">
        <v>20.822367518100933</v>
      </c>
      <c r="T2527" s="9">
        <v>22.932657006868226</v>
      </c>
      <c r="U2527" s="9">
        <v>28.394641309673208</v>
      </c>
      <c r="V2527" s="9">
        <v>28.394641309673208</v>
      </c>
      <c r="W2527" s="9">
        <v>28.394641309673208</v>
      </c>
      <c r="X2527" s="9">
        <v>34.481353453939484</v>
      </c>
      <c r="Y2527" s="9">
        <v>34.481353453939484</v>
      </c>
      <c r="Z2527" s="9">
        <v>40.733986919834194</v>
      </c>
      <c r="AA2527" s="9">
        <v>40.733986919834194</v>
      </c>
      <c r="AB2527" s="9">
        <v>47.204537282413121</v>
      </c>
      <c r="AC2527" s="9">
        <v>47.204537282413121</v>
      </c>
      <c r="AD2527" s="9">
        <v>53.805016474910374</v>
      </c>
      <c r="AE2527" s="9">
        <v>60.552137154404392</v>
      </c>
      <c r="AF2527" s="9">
        <v>67.464818475061875</v>
      </c>
      <c r="AG2527" s="9">
        <v>67.464818475061875</v>
      </c>
      <c r="AH2527" s="9">
        <v>74.129442022189522</v>
      </c>
      <c r="AI2527" s="9">
        <v>81.304669029817305</v>
      </c>
      <c r="AJ2527" s="9">
        <v>3.0428788910505911</v>
      </c>
    </row>
    <row r="2528" spans="1:36" x14ac:dyDescent="0.25">
      <c r="A2528" t="s">
        <v>5411</v>
      </c>
      <c r="B2528" t="s">
        <v>16</v>
      </c>
      <c r="C2528" t="s">
        <v>17</v>
      </c>
      <c r="D2528">
        <v>55620000</v>
      </c>
      <c r="E2528">
        <v>55629999</v>
      </c>
      <c r="F2528" t="s">
        <v>2275</v>
      </c>
      <c r="G2528" t="str">
        <f t="shared" si="78"/>
        <v>PEI II</v>
      </c>
      <c r="H2528" t="s">
        <v>2194</v>
      </c>
      <c r="I2528" t="s">
        <v>20</v>
      </c>
      <c r="J2528" t="s">
        <v>64</v>
      </c>
      <c r="K2528" s="6">
        <v>0.03</v>
      </c>
      <c r="L2528" s="7">
        <f t="shared" si="79"/>
        <v>2E-3</v>
      </c>
      <c r="M2528" s="7">
        <v>3.0000000000000001E-3</v>
      </c>
      <c r="N2528">
        <v>11</v>
      </c>
      <c r="O2528" s="8">
        <v>21.329668724084634</v>
      </c>
      <c r="P2528" s="9">
        <v>21.329668724084634</v>
      </c>
      <c r="Q2528" s="9">
        <v>21.329668724084634</v>
      </c>
      <c r="R2528" s="9">
        <v>23.535187126233286</v>
      </c>
      <c r="S2528" s="9">
        <v>25.969348495460661</v>
      </c>
      <c r="T2528" s="9">
        <v>28.018652515052967</v>
      </c>
      <c r="U2528" s="9">
        <v>34.474261331240129</v>
      </c>
      <c r="V2528" s="9">
        <v>34.474261331240129</v>
      </c>
      <c r="W2528" s="9">
        <v>34.474261331240129</v>
      </c>
      <c r="X2528" s="9">
        <v>41.6797573977124</v>
      </c>
      <c r="Y2528" s="9">
        <v>41.6797573977124</v>
      </c>
      <c r="Z2528" s="9">
        <v>48.964357977567339</v>
      </c>
      <c r="AA2528" s="9">
        <v>48.964357977567339</v>
      </c>
      <c r="AB2528" s="9">
        <v>56.335973522143213</v>
      </c>
      <c r="AC2528" s="9">
        <v>56.335973522143213</v>
      </c>
      <c r="AD2528" s="9">
        <v>65.349051350310745</v>
      </c>
      <c r="AE2528" s="9">
        <v>72.305128962695434</v>
      </c>
      <c r="AF2528" s="9">
        <v>79.365490610542253</v>
      </c>
      <c r="AG2528" s="9">
        <v>79.365490610542253</v>
      </c>
      <c r="AH2528" s="9">
        <v>87.219003417886043</v>
      </c>
      <c r="AI2528" s="9">
        <v>95.054924275940976</v>
      </c>
      <c r="AJ2528" s="9">
        <v>3.0428788910505911</v>
      </c>
    </row>
    <row r="2529" spans="1:36" x14ac:dyDescent="0.25">
      <c r="A2529" t="s">
        <v>5411</v>
      </c>
      <c r="B2529" t="s">
        <v>16</v>
      </c>
      <c r="C2529" t="s">
        <v>17</v>
      </c>
      <c r="D2529">
        <v>55630000</v>
      </c>
      <c r="E2529">
        <v>55635999</v>
      </c>
      <c r="F2529" t="s">
        <v>2276</v>
      </c>
      <c r="G2529" t="str">
        <f t="shared" si="78"/>
        <v>PEI II</v>
      </c>
      <c r="H2529" t="s">
        <v>2194</v>
      </c>
      <c r="I2529" t="s">
        <v>20</v>
      </c>
      <c r="J2529" t="s">
        <v>64</v>
      </c>
      <c r="K2529" s="6">
        <v>0.03</v>
      </c>
      <c r="L2529" s="7">
        <f t="shared" si="79"/>
        <v>2E-3</v>
      </c>
      <c r="M2529" s="7">
        <v>3.0000000000000001E-3</v>
      </c>
      <c r="N2529">
        <v>15</v>
      </c>
      <c r="O2529" s="8">
        <v>21.329668724084634</v>
      </c>
      <c r="P2529" s="9">
        <v>21.329668724084634</v>
      </c>
      <c r="Q2529" s="9">
        <v>21.329668724084634</v>
      </c>
      <c r="R2529" s="9">
        <v>23.535187126233286</v>
      </c>
      <c r="S2529" s="9">
        <v>25.969348495460661</v>
      </c>
      <c r="T2529" s="9">
        <v>28.018652515052967</v>
      </c>
      <c r="U2529" s="9">
        <v>34.474261331240129</v>
      </c>
      <c r="V2529" s="9">
        <v>34.474261331240129</v>
      </c>
      <c r="W2529" s="9">
        <v>34.474261331240129</v>
      </c>
      <c r="X2529" s="9">
        <v>41.6797573977124</v>
      </c>
      <c r="Y2529" s="9">
        <v>41.6797573977124</v>
      </c>
      <c r="Z2529" s="9">
        <v>48.964357977567339</v>
      </c>
      <c r="AA2529" s="9">
        <v>48.964357977567339</v>
      </c>
      <c r="AB2529" s="9">
        <v>56.335973522143213</v>
      </c>
      <c r="AC2529" s="9">
        <v>56.335973522143213</v>
      </c>
      <c r="AD2529" s="9">
        <v>65.349051350310745</v>
      </c>
      <c r="AE2529" s="9">
        <v>72.305128962695434</v>
      </c>
      <c r="AF2529" s="9">
        <v>79.365490610542253</v>
      </c>
      <c r="AG2529" s="9">
        <v>79.365490610542253</v>
      </c>
      <c r="AH2529" s="9">
        <v>87.219003417886043</v>
      </c>
      <c r="AI2529" s="9">
        <v>95.054924275940976</v>
      </c>
      <c r="AJ2529" s="9">
        <v>3.0428788910505911</v>
      </c>
    </row>
    <row r="2530" spans="1:36" x14ac:dyDescent="0.25">
      <c r="A2530" t="s">
        <v>5411</v>
      </c>
      <c r="B2530" t="s">
        <v>16</v>
      </c>
      <c r="C2530" t="s">
        <v>17</v>
      </c>
      <c r="D2530">
        <v>55636000</v>
      </c>
      <c r="E2530">
        <v>55639999</v>
      </c>
      <c r="F2530" t="s">
        <v>2277</v>
      </c>
      <c r="G2530" t="str">
        <f t="shared" si="78"/>
        <v>PEI II</v>
      </c>
      <c r="H2530" t="s">
        <v>2194</v>
      </c>
      <c r="I2530" t="s">
        <v>20</v>
      </c>
      <c r="J2530" t="s">
        <v>64</v>
      </c>
      <c r="K2530" s="6">
        <v>0.03</v>
      </c>
      <c r="L2530" s="7">
        <f t="shared" si="79"/>
        <v>2E-3</v>
      </c>
      <c r="M2530" s="7">
        <v>3.0000000000000001E-3</v>
      </c>
      <c r="N2530">
        <v>12</v>
      </c>
      <c r="O2530" s="8">
        <v>21.329668724084634</v>
      </c>
      <c r="P2530" s="9">
        <v>21.329668724084634</v>
      </c>
      <c r="Q2530" s="9">
        <v>21.329668724084634</v>
      </c>
      <c r="R2530" s="9">
        <v>23.535187126233286</v>
      </c>
      <c r="S2530" s="9">
        <v>25.969348495460661</v>
      </c>
      <c r="T2530" s="9">
        <v>28.018652515052967</v>
      </c>
      <c r="U2530" s="9">
        <v>34.474261331240129</v>
      </c>
      <c r="V2530" s="9">
        <v>34.474261331240129</v>
      </c>
      <c r="W2530" s="9">
        <v>34.474261331240129</v>
      </c>
      <c r="X2530" s="9">
        <v>41.6797573977124</v>
      </c>
      <c r="Y2530" s="9">
        <v>41.6797573977124</v>
      </c>
      <c r="Z2530" s="9">
        <v>48.964357977567339</v>
      </c>
      <c r="AA2530" s="9">
        <v>48.964357977567339</v>
      </c>
      <c r="AB2530" s="9">
        <v>56.335973522143213</v>
      </c>
      <c r="AC2530" s="9">
        <v>56.335973522143213</v>
      </c>
      <c r="AD2530" s="9">
        <v>65.349051350310745</v>
      </c>
      <c r="AE2530" s="9">
        <v>72.305128962695434</v>
      </c>
      <c r="AF2530" s="9">
        <v>79.365490610542253</v>
      </c>
      <c r="AG2530" s="9">
        <v>79.365490610542253</v>
      </c>
      <c r="AH2530" s="9">
        <v>87.219003417886043</v>
      </c>
      <c r="AI2530" s="9">
        <v>95.054924275940976</v>
      </c>
      <c r="AJ2530" s="9">
        <v>3.0428788910505911</v>
      </c>
    </row>
    <row r="2531" spans="1:36" x14ac:dyDescent="0.25">
      <c r="A2531" t="s">
        <v>5411</v>
      </c>
      <c r="B2531" t="s">
        <v>16</v>
      </c>
      <c r="C2531" t="s">
        <v>17</v>
      </c>
      <c r="D2531">
        <v>55640000</v>
      </c>
      <c r="E2531">
        <v>55649999</v>
      </c>
      <c r="F2531" t="s">
        <v>2278</v>
      </c>
      <c r="G2531" t="str">
        <f t="shared" si="78"/>
        <v>PEI</v>
      </c>
      <c r="H2531" t="s">
        <v>2194</v>
      </c>
      <c r="I2531" t="s">
        <v>20</v>
      </c>
      <c r="J2531" t="s">
        <v>62</v>
      </c>
      <c r="K2531" s="6">
        <v>0.03</v>
      </c>
      <c r="L2531" s="7">
        <f t="shared" si="79"/>
        <v>2E-3</v>
      </c>
      <c r="M2531" s="7">
        <v>3.0000000000000001E-3</v>
      </c>
      <c r="N2531">
        <v>11</v>
      </c>
      <c r="O2531" s="8">
        <v>17.362919062478753</v>
      </c>
      <c r="P2531" s="9">
        <v>17.362919062478753</v>
      </c>
      <c r="Q2531" s="9">
        <v>17.362919062478753</v>
      </c>
      <c r="R2531" s="9">
        <v>18.763077462609331</v>
      </c>
      <c r="S2531" s="9">
        <v>20.822367518100933</v>
      </c>
      <c r="T2531" s="9">
        <v>22.932657006868226</v>
      </c>
      <c r="U2531" s="9">
        <v>28.394641309673208</v>
      </c>
      <c r="V2531" s="9">
        <v>28.394641309673208</v>
      </c>
      <c r="W2531" s="9">
        <v>28.394641309673208</v>
      </c>
      <c r="X2531" s="9">
        <v>34.481353453939484</v>
      </c>
      <c r="Y2531" s="9">
        <v>34.481353453939484</v>
      </c>
      <c r="Z2531" s="9">
        <v>40.733986919834194</v>
      </c>
      <c r="AA2531" s="9">
        <v>40.733986919834194</v>
      </c>
      <c r="AB2531" s="9">
        <v>47.204537282413121</v>
      </c>
      <c r="AC2531" s="9">
        <v>47.204537282413121</v>
      </c>
      <c r="AD2531" s="9">
        <v>53.805016474910374</v>
      </c>
      <c r="AE2531" s="9">
        <v>60.552137154404392</v>
      </c>
      <c r="AF2531" s="9">
        <v>67.464818475061875</v>
      </c>
      <c r="AG2531" s="9">
        <v>67.464818475061875</v>
      </c>
      <c r="AH2531" s="9">
        <v>74.129442022189522</v>
      </c>
      <c r="AI2531" s="9">
        <v>81.304669029817305</v>
      </c>
      <c r="AJ2531" s="9">
        <v>3.0428788910505911</v>
      </c>
    </row>
    <row r="2532" spans="1:36" x14ac:dyDescent="0.25">
      <c r="A2532" t="s">
        <v>5411</v>
      </c>
      <c r="B2532" t="s">
        <v>16</v>
      </c>
      <c r="C2532" t="s">
        <v>17</v>
      </c>
      <c r="D2532">
        <v>55650000</v>
      </c>
      <c r="E2532">
        <v>55654999</v>
      </c>
      <c r="F2532" t="s">
        <v>2279</v>
      </c>
      <c r="G2532" t="str">
        <f t="shared" si="78"/>
        <v>PEI II</v>
      </c>
      <c r="H2532" t="s">
        <v>2194</v>
      </c>
      <c r="I2532" t="s">
        <v>20</v>
      </c>
      <c r="J2532" t="s">
        <v>64</v>
      </c>
      <c r="K2532" s="6">
        <v>0.03</v>
      </c>
      <c r="L2532" s="7">
        <f t="shared" si="79"/>
        <v>2E-3</v>
      </c>
      <c r="M2532" s="7">
        <v>3.0000000000000001E-3</v>
      </c>
      <c r="N2532">
        <v>15</v>
      </c>
      <c r="O2532" s="8">
        <v>21.329668724084634</v>
      </c>
      <c r="P2532" s="9">
        <v>21.329668724084634</v>
      </c>
      <c r="Q2532" s="9">
        <v>21.329668724084634</v>
      </c>
      <c r="R2532" s="9">
        <v>23.535187126233286</v>
      </c>
      <c r="S2532" s="9">
        <v>25.969348495460661</v>
      </c>
      <c r="T2532" s="9">
        <v>28.018652515052967</v>
      </c>
      <c r="U2532" s="9">
        <v>34.474261331240129</v>
      </c>
      <c r="V2532" s="9">
        <v>34.474261331240129</v>
      </c>
      <c r="W2532" s="9">
        <v>34.474261331240129</v>
      </c>
      <c r="X2532" s="9">
        <v>41.6797573977124</v>
      </c>
      <c r="Y2532" s="9">
        <v>41.6797573977124</v>
      </c>
      <c r="Z2532" s="9">
        <v>48.964357977567339</v>
      </c>
      <c r="AA2532" s="9">
        <v>48.964357977567339</v>
      </c>
      <c r="AB2532" s="9">
        <v>56.335973522143213</v>
      </c>
      <c r="AC2532" s="9">
        <v>56.335973522143213</v>
      </c>
      <c r="AD2532" s="9">
        <v>65.349051350310745</v>
      </c>
      <c r="AE2532" s="9">
        <v>72.305128962695434</v>
      </c>
      <c r="AF2532" s="9">
        <v>79.365490610542253</v>
      </c>
      <c r="AG2532" s="9">
        <v>79.365490610542253</v>
      </c>
      <c r="AH2532" s="9">
        <v>87.219003417886043</v>
      </c>
      <c r="AI2532" s="9">
        <v>95.054924275940976</v>
      </c>
      <c r="AJ2532" s="9">
        <v>3.0428788910505911</v>
      </c>
    </row>
    <row r="2533" spans="1:36" x14ac:dyDescent="0.25">
      <c r="A2533" t="s">
        <v>5411</v>
      </c>
      <c r="B2533" t="s">
        <v>16</v>
      </c>
      <c r="C2533" t="s">
        <v>17</v>
      </c>
      <c r="D2533">
        <v>55655000</v>
      </c>
      <c r="E2533">
        <v>55659999</v>
      </c>
      <c r="F2533" t="s">
        <v>2280</v>
      </c>
      <c r="G2533" t="str">
        <f t="shared" si="78"/>
        <v>PEI II</v>
      </c>
      <c r="H2533" t="s">
        <v>2194</v>
      </c>
      <c r="I2533" t="s">
        <v>20</v>
      </c>
      <c r="J2533" t="s">
        <v>64</v>
      </c>
      <c r="K2533" s="6">
        <v>0.03</v>
      </c>
      <c r="L2533" s="7">
        <f t="shared" si="79"/>
        <v>2E-3</v>
      </c>
      <c r="M2533" s="7">
        <v>3.0000000000000001E-3</v>
      </c>
      <c r="N2533">
        <v>15</v>
      </c>
      <c r="O2533" s="8">
        <v>21.329668724084634</v>
      </c>
      <c r="P2533" s="9">
        <v>21.329668724084634</v>
      </c>
      <c r="Q2533" s="9">
        <v>21.329668724084634</v>
      </c>
      <c r="R2533" s="9">
        <v>23.535187126233286</v>
      </c>
      <c r="S2533" s="9">
        <v>25.969348495460661</v>
      </c>
      <c r="T2533" s="9">
        <v>28.018652515052967</v>
      </c>
      <c r="U2533" s="9">
        <v>34.474261331240129</v>
      </c>
      <c r="V2533" s="9">
        <v>34.474261331240129</v>
      </c>
      <c r="W2533" s="9">
        <v>34.474261331240129</v>
      </c>
      <c r="X2533" s="9">
        <v>41.6797573977124</v>
      </c>
      <c r="Y2533" s="9">
        <v>41.6797573977124</v>
      </c>
      <c r="Z2533" s="9">
        <v>48.964357977567339</v>
      </c>
      <c r="AA2533" s="9">
        <v>48.964357977567339</v>
      </c>
      <c r="AB2533" s="9">
        <v>56.335973522143213</v>
      </c>
      <c r="AC2533" s="9">
        <v>56.335973522143213</v>
      </c>
      <c r="AD2533" s="9">
        <v>65.349051350310745</v>
      </c>
      <c r="AE2533" s="9">
        <v>72.305128962695434</v>
      </c>
      <c r="AF2533" s="9">
        <v>79.365490610542253</v>
      </c>
      <c r="AG2533" s="9">
        <v>79.365490610542253</v>
      </c>
      <c r="AH2533" s="9">
        <v>87.219003417886043</v>
      </c>
      <c r="AI2533" s="9">
        <v>95.054924275940976</v>
      </c>
      <c r="AJ2533" s="9">
        <v>3.0428788910505911</v>
      </c>
    </row>
    <row r="2534" spans="1:36" x14ac:dyDescent="0.25">
      <c r="A2534" t="s">
        <v>5411</v>
      </c>
      <c r="B2534" t="s">
        <v>16</v>
      </c>
      <c r="C2534" t="s">
        <v>17</v>
      </c>
      <c r="D2534">
        <v>55660000</v>
      </c>
      <c r="E2534">
        <v>55664999</v>
      </c>
      <c r="F2534" t="s">
        <v>2281</v>
      </c>
      <c r="G2534" t="str">
        <f t="shared" si="78"/>
        <v>PEI II</v>
      </c>
      <c r="H2534" t="s">
        <v>2194</v>
      </c>
      <c r="I2534" t="s">
        <v>20</v>
      </c>
      <c r="J2534" t="s">
        <v>64</v>
      </c>
      <c r="K2534" s="6">
        <v>0.03</v>
      </c>
      <c r="L2534" s="7">
        <f t="shared" si="79"/>
        <v>2E-3</v>
      </c>
      <c r="M2534" s="7">
        <v>3.0000000000000001E-3</v>
      </c>
      <c r="N2534">
        <v>11</v>
      </c>
      <c r="O2534" s="8">
        <v>21.329668724084634</v>
      </c>
      <c r="P2534" s="9">
        <v>21.329668724084634</v>
      </c>
      <c r="Q2534" s="9">
        <v>21.329668724084634</v>
      </c>
      <c r="R2534" s="9">
        <v>23.535187126233286</v>
      </c>
      <c r="S2534" s="9">
        <v>25.969348495460661</v>
      </c>
      <c r="T2534" s="9">
        <v>28.018652515052967</v>
      </c>
      <c r="U2534" s="9">
        <v>34.474261331240129</v>
      </c>
      <c r="V2534" s="9">
        <v>34.474261331240129</v>
      </c>
      <c r="W2534" s="9">
        <v>34.474261331240129</v>
      </c>
      <c r="X2534" s="9">
        <v>41.6797573977124</v>
      </c>
      <c r="Y2534" s="9">
        <v>41.6797573977124</v>
      </c>
      <c r="Z2534" s="9">
        <v>48.964357977567339</v>
      </c>
      <c r="AA2534" s="9">
        <v>48.964357977567339</v>
      </c>
      <c r="AB2534" s="9">
        <v>56.335973522143213</v>
      </c>
      <c r="AC2534" s="9">
        <v>56.335973522143213</v>
      </c>
      <c r="AD2534" s="9">
        <v>65.349051350310745</v>
      </c>
      <c r="AE2534" s="9">
        <v>72.305128962695434</v>
      </c>
      <c r="AF2534" s="9">
        <v>79.365490610542253</v>
      </c>
      <c r="AG2534" s="9">
        <v>79.365490610542253</v>
      </c>
      <c r="AH2534" s="9">
        <v>87.219003417886043</v>
      </c>
      <c r="AI2534" s="9">
        <v>95.054924275940976</v>
      </c>
      <c r="AJ2534" s="9">
        <v>3.0428788910505911</v>
      </c>
    </row>
    <row r="2535" spans="1:36" x14ac:dyDescent="0.25">
      <c r="A2535" t="s">
        <v>5411</v>
      </c>
      <c r="B2535" t="s">
        <v>16</v>
      </c>
      <c r="C2535" t="s">
        <v>17</v>
      </c>
      <c r="D2535">
        <v>55665000</v>
      </c>
      <c r="E2535">
        <v>55669999</v>
      </c>
      <c r="F2535" t="s">
        <v>2282</v>
      </c>
      <c r="G2535" t="str">
        <f t="shared" si="78"/>
        <v>PEI II</v>
      </c>
      <c r="H2535" t="s">
        <v>2194</v>
      </c>
      <c r="I2535" t="s">
        <v>20</v>
      </c>
      <c r="J2535" t="s">
        <v>64</v>
      </c>
      <c r="K2535" s="6">
        <v>0.03</v>
      </c>
      <c r="L2535" s="7">
        <f t="shared" si="79"/>
        <v>2E-3</v>
      </c>
      <c r="M2535" s="7">
        <v>3.0000000000000001E-3</v>
      </c>
      <c r="N2535">
        <v>12</v>
      </c>
      <c r="O2535" s="8">
        <v>21.329668724084634</v>
      </c>
      <c r="P2535" s="9">
        <v>21.329668724084634</v>
      </c>
      <c r="Q2535" s="9">
        <v>21.329668724084634</v>
      </c>
      <c r="R2535" s="9">
        <v>23.535187126233286</v>
      </c>
      <c r="S2535" s="9">
        <v>25.969348495460661</v>
      </c>
      <c r="T2535" s="9">
        <v>28.018652515052967</v>
      </c>
      <c r="U2535" s="9">
        <v>34.474261331240129</v>
      </c>
      <c r="V2535" s="9">
        <v>34.474261331240129</v>
      </c>
      <c r="W2535" s="9">
        <v>34.474261331240129</v>
      </c>
      <c r="X2535" s="9">
        <v>41.6797573977124</v>
      </c>
      <c r="Y2535" s="9">
        <v>41.6797573977124</v>
      </c>
      <c r="Z2535" s="9">
        <v>48.964357977567339</v>
      </c>
      <c r="AA2535" s="9">
        <v>48.964357977567339</v>
      </c>
      <c r="AB2535" s="9">
        <v>56.335973522143213</v>
      </c>
      <c r="AC2535" s="9">
        <v>56.335973522143213</v>
      </c>
      <c r="AD2535" s="9">
        <v>65.349051350310745</v>
      </c>
      <c r="AE2535" s="9">
        <v>72.305128962695434</v>
      </c>
      <c r="AF2535" s="9">
        <v>79.365490610542253</v>
      </c>
      <c r="AG2535" s="9">
        <v>79.365490610542253</v>
      </c>
      <c r="AH2535" s="9">
        <v>87.219003417886043</v>
      </c>
      <c r="AI2535" s="9">
        <v>95.054924275940976</v>
      </c>
      <c r="AJ2535" s="9">
        <v>3.0428788910505911</v>
      </c>
    </row>
    <row r="2536" spans="1:36" x14ac:dyDescent="0.25">
      <c r="A2536" t="s">
        <v>5411</v>
      </c>
      <c r="B2536" t="s">
        <v>16</v>
      </c>
      <c r="C2536" t="s">
        <v>17</v>
      </c>
      <c r="D2536">
        <v>55670000</v>
      </c>
      <c r="E2536">
        <v>55674999</v>
      </c>
      <c r="F2536" t="s">
        <v>2283</v>
      </c>
      <c r="G2536" t="str">
        <f t="shared" si="78"/>
        <v>PEI II</v>
      </c>
      <c r="H2536" t="s">
        <v>2194</v>
      </c>
      <c r="I2536" t="s">
        <v>20</v>
      </c>
      <c r="J2536" t="s">
        <v>64</v>
      </c>
      <c r="K2536" s="6">
        <v>0.03</v>
      </c>
      <c r="L2536" s="7">
        <f t="shared" si="79"/>
        <v>2E-3</v>
      </c>
      <c r="M2536" s="7">
        <v>3.0000000000000001E-3</v>
      </c>
      <c r="N2536">
        <v>12</v>
      </c>
      <c r="O2536" s="8">
        <v>21.329668724084634</v>
      </c>
      <c r="P2536" s="9">
        <v>21.329668724084634</v>
      </c>
      <c r="Q2536" s="9">
        <v>21.329668724084634</v>
      </c>
      <c r="R2536" s="9">
        <v>23.535187126233286</v>
      </c>
      <c r="S2536" s="9">
        <v>25.969348495460661</v>
      </c>
      <c r="T2536" s="9">
        <v>28.018652515052967</v>
      </c>
      <c r="U2536" s="9">
        <v>34.474261331240129</v>
      </c>
      <c r="V2536" s="9">
        <v>34.474261331240129</v>
      </c>
      <c r="W2536" s="9">
        <v>34.474261331240129</v>
      </c>
      <c r="X2536" s="9">
        <v>41.6797573977124</v>
      </c>
      <c r="Y2536" s="9">
        <v>41.6797573977124</v>
      </c>
      <c r="Z2536" s="9">
        <v>48.964357977567339</v>
      </c>
      <c r="AA2536" s="9">
        <v>48.964357977567339</v>
      </c>
      <c r="AB2536" s="9">
        <v>56.335973522143213</v>
      </c>
      <c r="AC2536" s="9">
        <v>56.335973522143213</v>
      </c>
      <c r="AD2536" s="9">
        <v>65.349051350310745</v>
      </c>
      <c r="AE2536" s="9">
        <v>72.305128962695434</v>
      </c>
      <c r="AF2536" s="9">
        <v>79.365490610542253</v>
      </c>
      <c r="AG2536" s="9">
        <v>79.365490610542253</v>
      </c>
      <c r="AH2536" s="9">
        <v>87.219003417886043</v>
      </c>
      <c r="AI2536" s="9">
        <v>95.054924275940976</v>
      </c>
      <c r="AJ2536" s="9">
        <v>3.0428788910505911</v>
      </c>
    </row>
    <row r="2537" spans="1:36" x14ac:dyDescent="0.25">
      <c r="A2537" t="s">
        <v>5411</v>
      </c>
      <c r="B2537" t="s">
        <v>16</v>
      </c>
      <c r="C2537" t="s">
        <v>17</v>
      </c>
      <c r="D2537">
        <v>55675000</v>
      </c>
      <c r="E2537">
        <v>55679999</v>
      </c>
      <c r="F2537" t="s">
        <v>2284</v>
      </c>
      <c r="G2537" t="str">
        <f t="shared" si="78"/>
        <v>PEI II</v>
      </c>
      <c r="H2537" t="s">
        <v>2194</v>
      </c>
      <c r="I2537" t="s">
        <v>20</v>
      </c>
      <c r="J2537" t="s">
        <v>64</v>
      </c>
      <c r="K2537" s="6">
        <v>0.03</v>
      </c>
      <c r="L2537" s="7">
        <f t="shared" si="79"/>
        <v>2E-3</v>
      </c>
      <c r="M2537" s="7">
        <v>3.0000000000000001E-3</v>
      </c>
      <c r="N2537">
        <v>12</v>
      </c>
      <c r="O2537" s="8">
        <v>21.329668724084634</v>
      </c>
      <c r="P2537" s="9">
        <v>21.329668724084634</v>
      </c>
      <c r="Q2537" s="9">
        <v>21.329668724084634</v>
      </c>
      <c r="R2537" s="9">
        <v>23.535187126233286</v>
      </c>
      <c r="S2537" s="9">
        <v>25.969348495460661</v>
      </c>
      <c r="T2537" s="9">
        <v>28.018652515052967</v>
      </c>
      <c r="U2537" s="9">
        <v>34.474261331240129</v>
      </c>
      <c r="V2537" s="9">
        <v>34.474261331240129</v>
      </c>
      <c r="W2537" s="9">
        <v>34.474261331240129</v>
      </c>
      <c r="X2537" s="9">
        <v>41.6797573977124</v>
      </c>
      <c r="Y2537" s="9">
        <v>41.6797573977124</v>
      </c>
      <c r="Z2537" s="9">
        <v>48.964357977567339</v>
      </c>
      <c r="AA2537" s="9">
        <v>48.964357977567339</v>
      </c>
      <c r="AB2537" s="9">
        <v>56.335973522143213</v>
      </c>
      <c r="AC2537" s="9">
        <v>56.335973522143213</v>
      </c>
      <c r="AD2537" s="9">
        <v>65.349051350310745</v>
      </c>
      <c r="AE2537" s="9">
        <v>72.305128962695434</v>
      </c>
      <c r="AF2537" s="9">
        <v>79.365490610542253</v>
      </c>
      <c r="AG2537" s="9">
        <v>79.365490610542253</v>
      </c>
      <c r="AH2537" s="9">
        <v>87.219003417886043</v>
      </c>
      <c r="AI2537" s="9">
        <v>95.054924275940976</v>
      </c>
      <c r="AJ2537" s="9">
        <v>3.0428788910505911</v>
      </c>
    </row>
    <row r="2538" spans="1:36" x14ac:dyDescent="0.25">
      <c r="A2538" t="s">
        <v>5411</v>
      </c>
      <c r="B2538" t="s">
        <v>16</v>
      </c>
      <c r="C2538" t="s">
        <v>17</v>
      </c>
      <c r="D2538">
        <v>55680000</v>
      </c>
      <c r="E2538">
        <v>55689999</v>
      </c>
      <c r="F2538" t="s">
        <v>1986</v>
      </c>
      <c r="G2538" t="str">
        <f t="shared" si="78"/>
        <v>PEI II</v>
      </c>
      <c r="H2538" t="s">
        <v>2194</v>
      </c>
      <c r="I2538" t="s">
        <v>20</v>
      </c>
      <c r="J2538" t="s">
        <v>64</v>
      </c>
      <c r="K2538" s="6">
        <v>0.03</v>
      </c>
      <c r="L2538" s="7">
        <f t="shared" si="79"/>
        <v>2E-3</v>
      </c>
      <c r="M2538" s="7">
        <v>3.0000000000000001E-3</v>
      </c>
      <c r="N2538">
        <v>12</v>
      </c>
      <c r="O2538" s="8">
        <v>21.329668724084634</v>
      </c>
      <c r="P2538" s="9">
        <v>21.329668724084634</v>
      </c>
      <c r="Q2538" s="9">
        <v>21.329668724084634</v>
      </c>
      <c r="R2538" s="9">
        <v>23.535187126233286</v>
      </c>
      <c r="S2538" s="9">
        <v>25.969348495460661</v>
      </c>
      <c r="T2538" s="9">
        <v>28.018652515052967</v>
      </c>
      <c r="U2538" s="9">
        <v>34.474261331240129</v>
      </c>
      <c r="V2538" s="9">
        <v>34.474261331240129</v>
      </c>
      <c r="W2538" s="9">
        <v>34.474261331240129</v>
      </c>
      <c r="X2538" s="9">
        <v>41.6797573977124</v>
      </c>
      <c r="Y2538" s="9">
        <v>41.6797573977124</v>
      </c>
      <c r="Z2538" s="9">
        <v>48.964357977567339</v>
      </c>
      <c r="AA2538" s="9">
        <v>48.964357977567339</v>
      </c>
      <c r="AB2538" s="9">
        <v>56.335973522143213</v>
      </c>
      <c r="AC2538" s="9">
        <v>56.335973522143213</v>
      </c>
      <c r="AD2538" s="9">
        <v>65.349051350310745</v>
      </c>
      <c r="AE2538" s="9">
        <v>72.305128962695434</v>
      </c>
      <c r="AF2538" s="9">
        <v>79.365490610542253</v>
      </c>
      <c r="AG2538" s="9">
        <v>79.365490610542253</v>
      </c>
      <c r="AH2538" s="9">
        <v>87.219003417886043</v>
      </c>
      <c r="AI2538" s="9">
        <v>95.054924275940976</v>
      </c>
      <c r="AJ2538" s="9">
        <v>3.0428788910505911</v>
      </c>
    </row>
    <row r="2539" spans="1:36" x14ac:dyDescent="0.25">
      <c r="A2539" t="s">
        <v>5411</v>
      </c>
      <c r="B2539" t="s">
        <v>16</v>
      </c>
      <c r="C2539" t="s">
        <v>17</v>
      </c>
      <c r="D2539">
        <v>55690000</v>
      </c>
      <c r="E2539">
        <v>55694999</v>
      </c>
      <c r="F2539" t="s">
        <v>2285</v>
      </c>
      <c r="G2539" t="str">
        <f t="shared" si="78"/>
        <v>PEI II</v>
      </c>
      <c r="H2539" t="s">
        <v>2194</v>
      </c>
      <c r="I2539" t="s">
        <v>20</v>
      </c>
      <c r="J2539" t="s">
        <v>64</v>
      </c>
      <c r="K2539" s="6">
        <v>0.03</v>
      </c>
      <c r="L2539" s="7">
        <f t="shared" si="79"/>
        <v>2E-3</v>
      </c>
      <c r="M2539" s="7">
        <v>3.0000000000000001E-3</v>
      </c>
      <c r="N2539">
        <v>12</v>
      </c>
      <c r="O2539" s="8">
        <v>21.329668724084634</v>
      </c>
      <c r="P2539" s="9">
        <v>21.329668724084634</v>
      </c>
      <c r="Q2539" s="9">
        <v>21.329668724084634</v>
      </c>
      <c r="R2539" s="9">
        <v>23.535187126233286</v>
      </c>
      <c r="S2539" s="9">
        <v>25.969348495460661</v>
      </c>
      <c r="T2539" s="9">
        <v>28.018652515052967</v>
      </c>
      <c r="U2539" s="9">
        <v>34.474261331240129</v>
      </c>
      <c r="V2539" s="9">
        <v>34.474261331240129</v>
      </c>
      <c r="W2539" s="9">
        <v>34.474261331240129</v>
      </c>
      <c r="X2539" s="9">
        <v>41.6797573977124</v>
      </c>
      <c r="Y2539" s="9">
        <v>41.6797573977124</v>
      </c>
      <c r="Z2539" s="9">
        <v>48.964357977567339</v>
      </c>
      <c r="AA2539" s="9">
        <v>48.964357977567339</v>
      </c>
      <c r="AB2539" s="9">
        <v>56.335973522143213</v>
      </c>
      <c r="AC2539" s="9">
        <v>56.335973522143213</v>
      </c>
      <c r="AD2539" s="9">
        <v>65.349051350310745</v>
      </c>
      <c r="AE2539" s="9">
        <v>72.305128962695434</v>
      </c>
      <c r="AF2539" s="9">
        <v>79.365490610542253</v>
      </c>
      <c r="AG2539" s="9">
        <v>79.365490610542253</v>
      </c>
      <c r="AH2539" s="9">
        <v>87.219003417886043</v>
      </c>
      <c r="AI2539" s="9">
        <v>95.054924275940976</v>
      </c>
      <c r="AJ2539" s="9">
        <v>3.0428788910505911</v>
      </c>
    </row>
    <row r="2540" spans="1:36" x14ac:dyDescent="0.25">
      <c r="A2540" t="s">
        <v>5411</v>
      </c>
      <c r="B2540" t="s">
        <v>16</v>
      </c>
      <c r="C2540" t="s">
        <v>17</v>
      </c>
      <c r="D2540">
        <v>55695000</v>
      </c>
      <c r="E2540">
        <v>55699999</v>
      </c>
      <c r="F2540" t="s">
        <v>2286</v>
      </c>
      <c r="G2540" t="str">
        <f t="shared" si="78"/>
        <v>PEI II</v>
      </c>
      <c r="H2540" t="s">
        <v>2194</v>
      </c>
      <c r="I2540" t="s">
        <v>20</v>
      </c>
      <c r="J2540" t="s">
        <v>64</v>
      </c>
      <c r="K2540" s="6">
        <v>0.03</v>
      </c>
      <c r="L2540" s="7">
        <f t="shared" si="79"/>
        <v>2E-3</v>
      </c>
      <c r="M2540" s="7">
        <v>3.0000000000000001E-3</v>
      </c>
      <c r="N2540">
        <v>12</v>
      </c>
      <c r="O2540" s="8">
        <v>21.329668724084634</v>
      </c>
      <c r="P2540" s="9">
        <v>21.329668724084634</v>
      </c>
      <c r="Q2540" s="9">
        <v>21.329668724084634</v>
      </c>
      <c r="R2540" s="9">
        <v>23.535187126233286</v>
      </c>
      <c r="S2540" s="9">
        <v>25.969348495460661</v>
      </c>
      <c r="T2540" s="9">
        <v>28.018652515052967</v>
      </c>
      <c r="U2540" s="9">
        <v>34.474261331240129</v>
      </c>
      <c r="V2540" s="9">
        <v>34.474261331240129</v>
      </c>
      <c r="W2540" s="9">
        <v>34.474261331240129</v>
      </c>
      <c r="X2540" s="9">
        <v>41.6797573977124</v>
      </c>
      <c r="Y2540" s="9">
        <v>41.6797573977124</v>
      </c>
      <c r="Z2540" s="9">
        <v>48.964357977567339</v>
      </c>
      <c r="AA2540" s="9">
        <v>48.964357977567339</v>
      </c>
      <c r="AB2540" s="9">
        <v>56.335973522143213</v>
      </c>
      <c r="AC2540" s="9">
        <v>56.335973522143213</v>
      </c>
      <c r="AD2540" s="9">
        <v>65.349051350310745</v>
      </c>
      <c r="AE2540" s="9">
        <v>72.305128962695434</v>
      </c>
      <c r="AF2540" s="9">
        <v>79.365490610542253</v>
      </c>
      <c r="AG2540" s="9">
        <v>79.365490610542253</v>
      </c>
      <c r="AH2540" s="9">
        <v>87.219003417886043</v>
      </c>
      <c r="AI2540" s="9">
        <v>95.054924275940976</v>
      </c>
      <c r="AJ2540" s="9">
        <v>3.0428788910505911</v>
      </c>
    </row>
    <row r="2541" spans="1:36" x14ac:dyDescent="0.25">
      <c r="A2541" t="s">
        <v>5411</v>
      </c>
      <c r="B2541" t="s">
        <v>16</v>
      </c>
      <c r="C2541" t="s">
        <v>17</v>
      </c>
      <c r="D2541">
        <v>55700000</v>
      </c>
      <c r="E2541">
        <v>55714999</v>
      </c>
      <c r="F2541" t="s">
        <v>2287</v>
      </c>
      <c r="G2541" t="str">
        <f t="shared" si="78"/>
        <v>PEI</v>
      </c>
      <c r="H2541" t="s">
        <v>2194</v>
      </c>
      <c r="I2541" t="s">
        <v>20</v>
      </c>
      <c r="J2541" t="s">
        <v>62</v>
      </c>
      <c r="K2541" s="6">
        <v>0.03</v>
      </c>
      <c r="L2541" s="7">
        <f t="shared" si="79"/>
        <v>2E-3</v>
      </c>
      <c r="M2541" s="7">
        <v>3.0000000000000001E-3</v>
      </c>
      <c r="N2541">
        <v>11</v>
      </c>
      <c r="O2541" s="8">
        <v>17.362919062478753</v>
      </c>
      <c r="P2541" s="9">
        <v>17.362919062478753</v>
      </c>
      <c r="Q2541" s="9">
        <v>17.362919062478753</v>
      </c>
      <c r="R2541" s="9">
        <v>18.763077462609331</v>
      </c>
      <c r="S2541" s="9">
        <v>20.822367518100933</v>
      </c>
      <c r="T2541" s="9">
        <v>22.932657006868226</v>
      </c>
      <c r="U2541" s="9">
        <v>28.394641309673208</v>
      </c>
      <c r="V2541" s="9">
        <v>28.394641309673208</v>
      </c>
      <c r="W2541" s="9">
        <v>28.394641309673208</v>
      </c>
      <c r="X2541" s="9">
        <v>34.481353453939484</v>
      </c>
      <c r="Y2541" s="9">
        <v>34.481353453939484</v>
      </c>
      <c r="Z2541" s="9">
        <v>40.733986919834194</v>
      </c>
      <c r="AA2541" s="9">
        <v>40.733986919834194</v>
      </c>
      <c r="AB2541" s="9">
        <v>47.204537282413121</v>
      </c>
      <c r="AC2541" s="9">
        <v>47.204537282413121</v>
      </c>
      <c r="AD2541" s="9">
        <v>53.805016474910374</v>
      </c>
      <c r="AE2541" s="9">
        <v>60.552137154404392</v>
      </c>
      <c r="AF2541" s="9">
        <v>67.464818475061875</v>
      </c>
      <c r="AG2541" s="9">
        <v>67.464818475061875</v>
      </c>
      <c r="AH2541" s="9">
        <v>74.129442022189522</v>
      </c>
      <c r="AI2541" s="9">
        <v>81.304669029817305</v>
      </c>
      <c r="AJ2541" s="9">
        <v>3.0428788910505911</v>
      </c>
    </row>
    <row r="2542" spans="1:36" x14ac:dyDescent="0.25">
      <c r="A2542" t="s">
        <v>5411</v>
      </c>
      <c r="B2542" t="s">
        <v>16</v>
      </c>
      <c r="C2542" t="s">
        <v>17</v>
      </c>
      <c r="D2542">
        <v>55715000</v>
      </c>
      <c r="E2542">
        <v>55719999</v>
      </c>
      <c r="F2542" t="s">
        <v>2163</v>
      </c>
      <c r="G2542" t="str">
        <f t="shared" si="78"/>
        <v>PEI II</v>
      </c>
      <c r="H2542" t="s">
        <v>2194</v>
      </c>
      <c r="I2542" t="s">
        <v>20</v>
      </c>
      <c r="J2542" t="s">
        <v>64</v>
      </c>
      <c r="K2542" s="6">
        <v>0.03</v>
      </c>
      <c r="L2542" s="7">
        <f t="shared" si="79"/>
        <v>2E-3</v>
      </c>
      <c r="M2542" s="7">
        <v>3.0000000000000001E-3</v>
      </c>
      <c r="N2542">
        <v>11</v>
      </c>
      <c r="O2542" s="8">
        <v>21.329668724084634</v>
      </c>
      <c r="P2542" s="9">
        <v>21.329668724084634</v>
      </c>
      <c r="Q2542" s="9">
        <v>21.329668724084634</v>
      </c>
      <c r="R2542" s="9">
        <v>23.535187126233286</v>
      </c>
      <c r="S2542" s="9">
        <v>25.969348495460661</v>
      </c>
      <c r="T2542" s="9">
        <v>28.018652515052967</v>
      </c>
      <c r="U2542" s="9">
        <v>34.474261331240129</v>
      </c>
      <c r="V2542" s="9">
        <v>34.474261331240129</v>
      </c>
      <c r="W2542" s="9">
        <v>34.474261331240129</v>
      </c>
      <c r="X2542" s="9">
        <v>41.6797573977124</v>
      </c>
      <c r="Y2542" s="9">
        <v>41.6797573977124</v>
      </c>
      <c r="Z2542" s="9">
        <v>48.964357977567339</v>
      </c>
      <c r="AA2542" s="9">
        <v>48.964357977567339</v>
      </c>
      <c r="AB2542" s="9">
        <v>56.335973522143213</v>
      </c>
      <c r="AC2542" s="9">
        <v>56.335973522143213</v>
      </c>
      <c r="AD2542" s="9">
        <v>65.349051350310745</v>
      </c>
      <c r="AE2542" s="9">
        <v>72.305128962695434</v>
      </c>
      <c r="AF2542" s="9">
        <v>79.365490610542253</v>
      </c>
      <c r="AG2542" s="9">
        <v>79.365490610542253</v>
      </c>
      <c r="AH2542" s="9">
        <v>87.219003417886043</v>
      </c>
      <c r="AI2542" s="9">
        <v>95.054924275940976</v>
      </c>
      <c r="AJ2542" s="9">
        <v>3.0428788910505911</v>
      </c>
    </row>
    <row r="2543" spans="1:36" x14ac:dyDescent="0.25">
      <c r="A2543" t="s">
        <v>5411</v>
      </c>
      <c r="B2543" t="s">
        <v>16</v>
      </c>
      <c r="C2543" t="s">
        <v>17</v>
      </c>
      <c r="D2543">
        <v>55720000</v>
      </c>
      <c r="E2543">
        <v>55729999</v>
      </c>
      <c r="F2543" t="s">
        <v>2288</v>
      </c>
      <c r="G2543" t="str">
        <f t="shared" si="78"/>
        <v>PEI II</v>
      </c>
      <c r="H2543" t="s">
        <v>2194</v>
      </c>
      <c r="I2543" t="s">
        <v>20</v>
      </c>
      <c r="J2543" t="s">
        <v>64</v>
      </c>
      <c r="K2543" s="6">
        <v>0.03</v>
      </c>
      <c r="L2543" s="7">
        <f t="shared" si="79"/>
        <v>2E-3</v>
      </c>
      <c r="M2543" s="7">
        <v>3.0000000000000001E-3</v>
      </c>
      <c r="N2543">
        <v>11</v>
      </c>
      <c r="O2543" s="8">
        <v>21.329668724084634</v>
      </c>
      <c r="P2543" s="9">
        <v>21.329668724084634</v>
      </c>
      <c r="Q2543" s="9">
        <v>21.329668724084634</v>
      </c>
      <c r="R2543" s="9">
        <v>23.535187126233286</v>
      </c>
      <c r="S2543" s="9">
        <v>25.969348495460661</v>
      </c>
      <c r="T2543" s="9">
        <v>28.018652515052967</v>
      </c>
      <c r="U2543" s="9">
        <v>34.474261331240129</v>
      </c>
      <c r="V2543" s="9">
        <v>34.474261331240129</v>
      </c>
      <c r="W2543" s="9">
        <v>34.474261331240129</v>
      </c>
      <c r="X2543" s="9">
        <v>41.6797573977124</v>
      </c>
      <c r="Y2543" s="9">
        <v>41.6797573977124</v>
      </c>
      <c r="Z2543" s="9">
        <v>48.964357977567339</v>
      </c>
      <c r="AA2543" s="9">
        <v>48.964357977567339</v>
      </c>
      <c r="AB2543" s="9">
        <v>56.335973522143213</v>
      </c>
      <c r="AC2543" s="9">
        <v>56.335973522143213</v>
      </c>
      <c r="AD2543" s="9">
        <v>65.349051350310745</v>
      </c>
      <c r="AE2543" s="9">
        <v>72.305128962695434</v>
      </c>
      <c r="AF2543" s="9">
        <v>79.365490610542253</v>
      </c>
      <c r="AG2543" s="9">
        <v>79.365490610542253</v>
      </c>
      <c r="AH2543" s="9">
        <v>87.219003417886043</v>
      </c>
      <c r="AI2543" s="9">
        <v>95.054924275940976</v>
      </c>
      <c r="AJ2543" s="9">
        <v>3.0428788910505911</v>
      </c>
    </row>
    <row r="2544" spans="1:36" x14ac:dyDescent="0.25">
      <c r="A2544" t="s">
        <v>5411</v>
      </c>
      <c r="B2544" t="s">
        <v>16</v>
      </c>
      <c r="C2544" t="s">
        <v>17</v>
      </c>
      <c r="D2544">
        <v>55730000</v>
      </c>
      <c r="E2544">
        <v>55739999</v>
      </c>
      <c r="F2544" t="s">
        <v>750</v>
      </c>
      <c r="G2544" t="str">
        <f t="shared" si="78"/>
        <v>PEI II</v>
      </c>
      <c r="H2544" t="s">
        <v>2194</v>
      </c>
      <c r="I2544" t="s">
        <v>20</v>
      </c>
      <c r="J2544" t="s">
        <v>64</v>
      </c>
      <c r="K2544" s="6">
        <v>0.03</v>
      </c>
      <c r="L2544" s="7">
        <f t="shared" si="79"/>
        <v>2E-3</v>
      </c>
      <c r="M2544" s="7">
        <v>3.0000000000000001E-3</v>
      </c>
      <c r="N2544">
        <v>11</v>
      </c>
      <c r="O2544" s="8">
        <v>21.329668724084634</v>
      </c>
      <c r="P2544" s="9">
        <v>21.329668724084634</v>
      </c>
      <c r="Q2544" s="9">
        <v>21.329668724084634</v>
      </c>
      <c r="R2544" s="9">
        <v>23.535187126233286</v>
      </c>
      <c r="S2544" s="9">
        <v>25.969348495460661</v>
      </c>
      <c r="T2544" s="9">
        <v>28.018652515052967</v>
      </c>
      <c r="U2544" s="9">
        <v>34.474261331240129</v>
      </c>
      <c r="V2544" s="9">
        <v>34.474261331240129</v>
      </c>
      <c r="W2544" s="9">
        <v>34.474261331240129</v>
      </c>
      <c r="X2544" s="9">
        <v>41.6797573977124</v>
      </c>
      <c r="Y2544" s="9">
        <v>41.6797573977124</v>
      </c>
      <c r="Z2544" s="9">
        <v>48.964357977567339</v>
      </c>
      <c r="AA2544" s="9">
        <v>48.964357977567339</v>
      </c>
      <c r="AB2544" s="9">
        <v>56.335973522143213</v>
      </c>
      <c r="AC2544" s="9">
        <v>56.335973522143213</v>
      </c>
      <c r="AD2544" s="9">
        <v>65.349051350310745</v>
      </c>
      <c r="AE2544" s="9">
        <v>72.305128962695434</v>
      </c>
      <c r="AF2544" s="9">
        <v>79.365490610542253</v>
      </c>
      <c r="AG2544" s="9">
        <v>79.365490610542253</v>
      </c>
      <c r="AH2544" s="9">
        <v>87.219003417886043</v>
      </c>
      <c r="AI2544" s="9">
        <v>95.054924275940976</v>
      </c>
      <c r="AJ2544" s="9">
        <v>3.0428788910505911</v>
      </c>
    </row>
    <row r="2545" spans="1:36" x14ac:dyDescent="0.25">
      <c r="A2545" t="s">
        <v>5411</v>
      </c>
      <c r="B2545" t="s">
        <v>16</v>
      </c>
      <c r="C2545" t="s">
        <v>17</v>
      </c>
      <c r="D2545">
        <v>55740000</v>
      </c>
      <c r="E2545">
        <v>55744999</v>
      </c>
      <c r="F2545" t="s">
        <v>2289</v>
      </c>
      <c r="G2545" t="str">
        <f t="shared" si="78"/>
        <v>PEI II</v>
      </c>
      <c r="H2545" t="s">
        <v>2194</v>
      </c>
      <c r="I2545" t="s">
        <v>20</v>
      </c>
      <c r="J2545" t="s">
        <v>64</v>
      </c>
      <c r="K2545" s="6">
        <v>0.03</v>
      </c>
      <c r="L2545" s="7">
        <f t="shared" si="79"/>
        <v>2E-3</v>
      </c>
      <c r="M2545" s="7">
        <v>3.0000000000000001E-3</v>
      </c>
      <c r="N2545">
        <v>11</v>
      </c>
      <c r="O2545" s="8">
        <v>21.329668724084634</v>
      </c>
      <c r="P2545" s="9">
        <v>21.329668724084634</v>
      </c>
      <c r="Q2545" s="9">
        <v>21.329668724084634</v>
      </c>
      <c r="R2545" s="9">
        <v>23.535187126233286</v>
      </c>
      <c r="S2545" s="9">
        <v>25.969348495460661</v>
      </c>
      <c r="T2545" s="9">
        <v>28.018652515052967</v>
      </c>
      <c r="U2545" s="9">
        <v>34.474261331240129</v>
      </c>
      <c r="V2545" s="9">
        <v>34.474261331240129</v>
      </c>
      <c r="W2545" s="9">
        <v>34.474261331240129</v>
      </c>
      <c r="X2545" s="9">
        <v>41.6797573977124</v>
      </c>
      <c r="Y2545" s="9">
        <v>41.6797573977124</v>
      </c>
      <c r="Z2545" s="9">
        <v>48.964357977567339</v>
      </c>
      <c r="AA2545" s="9">
        <v>48.964357977567339</v>
      </c>
      <c r="AB2545" s="9">
        <v>56.335973522143213</v>
      </c>
      <c r="AC2545" s="9">
        <v>56.335973522143213</v>
      </c>
      <c r="AD2545" s="9">
        <v>65.349051350310745</v>
      </c>
      <c r="AE2545" s="9">
        <v>72.305128962695434</v>
      </c>
      <c r="AF2545" s="9">
        <v>79.365490610542253</v>
      </c>
      <c r="AG2545" s="9">
        <v>79.365490610542253</v>
      </c>
      <c r="AH2545" s="9">
        <v>87.219003417886043</v>
      </c>
      <c r="AI2545" s="9">
        <v>95.054924275940976</v>
      </c>
      <c r="AJ2545" s="9">
        <v>3.0428788910505911</v>
      </c>
    </row>
    <row r="2546" spans="1:36" x14ac:dyDescent="0.25">
      <c r="A2546" t="s">
        <v>5411</v>
      </c>
      <c r="B2546" t="s">
        <v>16</v>
      </c>
      <c r="C2546" t="s">
        <v>17</v>
      </c>
      <c r="D2546">
        <v>55745000</v>
      </c>
      <c r="E2546">
        <v>55749999</v>
      </c>
      <c r="F2546" t="s">
        <v>2290</v>
      </c>
      <c r="G2546" t="str">
        <f t="shared" si="78"/>
        <v>PEI II</v>
      </c>
      <c r="H2546" t="s">
        <v>2194</v>
      </c>
      <c r="I2546" t="s">
        <v>20</v>
      </c>
      <c r="J2546" t="s">
        <v>64</v>
      </c>
      <c r="K2546" s="6">
        <v>0.03</v>
      </c>
      <c r="L2546" s="7">
        <f t="shared" si="79"/>
        <v>2E-3</v>
      </c>
      <c r="M2546" s="7">
        <v>3.0000000000000001E-3</v>
      </c>
      <c r="N2546">
        <v>11</v>
      </c>
      <c r="O2546" s="8">
        <v>21.329668724084634</v>
      </c>
      <c r="P2546" s="9">
        <v>21.329668724084634</v>
      </c>
      <c r="Q2546" s="9">
        <v>21.329668724084634</v>
      </c>
      <c r="R2546" s="9">
        <v>23.535187126233286</v>
      </c>
      <c r="S2546" s="9">
        <v>25.969348495460661</v>
      </c>
      <c r="T2546" s="9">
        <v>28.018652515052967</v>
      </c>
      <c r="U2546" s="9">
        <v>34.474261331240129</v>
      </c>
      <c r="V2546" s="9">
        <v>34.474261331240129</v>
      </c>
      <c r="W2546" s="9">
        <v>34.474261331240129</v>
      </c>
      <c r="X2546" s="9">
        <v>41.6797573977124</v>
      </c>
      <c r="Y2546" s="9">
        <v>41.6797573977124</v>
      </c>
      <c r="Z2546" s="9">
        <v>48.964357977567339</v>
      </c>
      <c r="AA2546" s="9">
        <v>48.964357977567339</v>
      </c>
      <c r="AB2546" s="9">
        <v>56.335973522143213</v>
      </c>
      <c r="AC2546" s="9">
        <v>56.335973522143213</v>
      </c>
      <c r="AD2546" s="9">
        <v>65.349051350310745</v>
      </c>
      <c r="AE2546" s="9">
        <v>72.305128962695434</v>
      </c>
      <c r="AF2546" s="9">
        <v>79.365490610542253</v>
      </c>
      <c r="AG2546" s="9">
        <v>79.365490610542253</v>
      </c>
      <c r="AH2546" s="9">
        <v>87.219003417886043</v>
      </c>
      <c r="AI2546" s="9">
        <v>95.054924275940976</v>
      </c>
      <c r="AJ2546" s="9">
        <v>3.0428788910505911</v>
      </c>
    </row>
    <row r="2547" spans="1:36" x14ac:dyDescent="0.25">
      <c r="A2547" t="s">
        <v>5411</v>
      </c>
      <c r="B2547" t="s">
        <v>16</v>
      </c>
      <c r="C2547" t="s">
        <v>17</v>
      </c>
      <c r="D2547">
        <v>55750000</v>
      </c>
      <c r="E2547">
        <v>55754999</v>
      </c>
      <c r="F2547" t="s">
        <v>2291</v>
      </c>
      <c r="G2547" t="str">
        <f t="shared" si="78"/>
        <v>PEI</v>
      </c>
      <c r="H2547" t="s">
        <v>2194</v>
      </c>
      <c r="I2547" t="s">
        <v>20</v>
      </c>
      <c r="J2547" t="s">
        <v>62</v>
      </c>
      <c r="K2547" s="6">
        <v>0.03</v>
      </c>
      <c r="L2547" s="7">
        <f t="shared" si="79"/>
        <v>2E-3</v>
      </c>
      <c r="M2547" s="7">
        <v>3.0000000000000001E-3</v>
      </c>
      <c r="N2547">
        <v>11</v>
      </c>
      <c r="O2547" s="8">
        <v>17.362919062478753</v>
      </c>
      <c r="P2547" s="9">
        <v>17.362919062478753</v>
      </c>
      <c r="Q2547" s="9">
        <v>17.362919062478753</v>
      </c>
      <c r="R2547" s="9">
        <v>18.763077462609331</v>
      </c>
      <c r="S2547" s="9">
        <v>20.822367518100933</v>
      </c>
      <c r="T2547" s="9">
        <v>22.932657006868226</v>
      </c>
      <c r="U2547" s="9">
        <v>28.394641309673208</v>
      </c>
      <c r="V2547" s="9">
        <v>28.394641309673208</v>
      </c>
      <c r="W2547" s="9">
        <v>28.394641309673208</v>
      </c>
      <c r="X2547" s="9">
        <v>34.481353453939484</v>
      </c>
      <c r="Y2547" s="9">
        <v>34.481353453939484</v>
      </c>
      <c r="Z2547" s="9">
        <v>40.733986919834194</v>
      </c>
      <c r="AA2547" s="9">
        <v>40.733986919834194</v>
      </c>
      <c r="AB2547" s="9">
        <v>47.204537282413121</v>
      </c>
      <c r="AC2547" s="9">
        <v>47.204537282413121</v>
      </c>
      <c r="AD2547" s="9">
        <v>53.805016474910374</v>
      </c>
      <c r="AE2547" s="9">
        <v>60.552137154404392</v>
      </c>
      <c r="AF2547" s="9">
        <v>67.464818475061875</v>
      </c>
      <c r="AG2547" s="9">
        <v>67.464818475061875</v>
      </c>
      <c r="AH2547" s="9">
        <v>74.129442022189522</v>
      </c>
      <c r="AI2547" s="9">
        <v>81.304669029817305</v>
      </c>
      <c r="AJ2547" s="9">
        <v>3.0428788910505911</v>
      </c>
    </row>
    <row r="2548" spans="1:36" x14ac:dyDescent="0.25">
      <c r="A2548" t="s">
        <v>5411</v>
      </c>
      <c r="B2548" t="s">
        <v>16</v>
      </c>
      <c r="C2548" t="s">
        <v>17</v>
      </c>
      <c r="D2548">
        <v>55755000</v>
      </c>
      <c r="E2548">
        <v>55759999</v>
      </c>
      <c r="F2548" t="s">
        <v>2292</v>
      </c>
      <c r="G2548" t="str">
        <f t="shared" si="78"/>
        <v>PEI II</v>
      </c>
      <c r="H2548" t="s">
        <v>2194</v>
      </c>
      <c r="I2548" t="s">
        <v>20</v>
      </c>
      <c r="J2548" t="s">
        <v>64</v>
      </c>
      <c r="K2548" s="6">
        <v>0.03</v>
      </c>
      <c r="L2548" s="7">
        <f t="shared" si="79"/>
        <v>2E-3</v>
      </c>
      <c r="M2548" s="7">
        <v>3.0000000000000001E-3</v>
      </c>
      <c r="N2548">
        <v>14</v>
      </c>
      <c r="O2548" s="8">
        <v>21.329668724084634</v>
      </c>
      <c r="P2548" s="9">
        <v>21.329668724084634</v>
      </c>
      <c r="Q2548" s="9">
        <v>21.329668724084634</v>
      </c>
      <c r="R2548" s="9">
        <v>23.535187126233286</v>
      </c>
      <c r="S2548" s="9">
        <v>25.969348495460661</v>
      </c>
      <c r="T2548" s="9">
        <v>28.018652515052967</v>
      </c>
      <c r="U2548" s="9">
        <v>34.474261331240129</v>
      </c>
      <c r="V2548" s="9">
        <v>34.474261331240129</v>
      </c>
      <c r="W2548" s="9">
        <v>34.474261331240129</v>
      </c>
      <c r="X2548" s="9">
        <v>41.6797573977124</v>
      </c>
      <c r="Y2548" s="9">
        <v>41.6797573977124</v>
      </c>
      <c r="Z2548" s="9">
        <v>48.964357977567339</v>
      </c>
      <c r="AA2548" s="9">
        <v>48.964357977567339</v>
      </c>
      <c r="AB2548" s="9">
        <v>56.335973522143213</v>
      </c>
      <c r="AC2548" s="9">
        <v>56.335973522143213</v>
      </c>
      <c r="AD2548" s="9">
        <v>65.349051350310745</v>
      </c>
      <c r="AE2548" s="9">
        <v>72.305128962695434</v>
      </c>
      <c r="AF2548" s="9">
        <v>79.365490610542253</v>
      </c>
      <c r="AG2548" s="9">
        <v>79.365490610542253</v>
      </c>
      <c r="AH2548" s="9">
        <v>87.219003417886043</v>
      </c>
      <c r="AI2548" s="9">
        <v>95.054924275940976</v>
      </c>
      <c r="AJ2548" s="9">
        <v>3.0428788910505911</v>
      </c>
    </row>
    <row r="2549" spans="1:36" x14ac:dyDescent="0.25">
      <c r="A2549" t="s">
        <v>5411</v>
      </c>
      <c r="B2549" t="s">
        <v>16</v>
      </c>
      <c r="C2549" t="s">
        <v>17</v>
      </c>
      <c r="D2549">
        <v>55760000</v>
      </c>
      <c r="E2549">
        <v>55764999</v>
      </c>
      <c r="F2549" t="s">
        <v>2293</v>
      </c>
      <c r="G2549" t="str">
        <f t="shared" si="78"/>
        <v>PEI II</v>
      </c>
      <c r="H2549" t="s">
        <v>2194</v>
      </c>
      <c r="I2549" t="s">
        <v>20</v>
      </c>
      <c r="J2549" t="s">
        <v>64</v>
      </c>
      <c r="K2549" s="6">
        <v>0.03</v>
      </c>
      <c r="L2549" s="7">
        <f t="shared" si="79"/>
        <v>2E-3</v>
      </c>
      <c r="M2549" s="7">
        <v>3.0000000000000001E-3</v>
      </c>
      <c r="N2549">
        <v>14</v>
      </c>
      <c r="O2549" s="8">
        <v>21.329668724084634</v>
      </c>
      <c r="P2549" s="9">
        <v>21.329668724084634</v>
      </c>
      <c r="Q2549" s="9">
        <v>21.329668724084634</v>
      </c>
      <c r="R2549" s="9">
        <v>23.535187126233286</v>
      </c>
      <c r="S2549" s="9">
        <v>25.969348495460661</v>
      </c>
      <c r="T2549" s="9">
        <v>28.018652515052967</v>
      </c>
      <c r="U2549" s="9">
        <v>34.474261331240129</v>
      </c>
      <c r="V2549" s="9">
        <v>34.474261331240129</v>
      </c>
      <c r="W2549" s="9">
        <v>34.474261331240129</v>
      </c>
      <c r="X2549" s="9">
        <v>41.6797573977124</v>
      </c>
      <c r="Y2549" s="9">
        <v>41.6797573977124</v>
      </c>
      <c r="Z2549" s="9">
        <v>48.964357977567339</v>
      </c>
      <c r="AA2549" s="9">
        <v>48.964357977567339</v>
      </c>
      <c r="AB2549" s="9">
        <v>56.335973522143213</v>
      </c>
      <c r="AC2549" s="9">
        <v>56.335973522143213</v>
      </c>
      <c r="AD2549" s="9">
        <v>65.349051350310745</v>
      </c>
      <c r="AE2549" s="9">
        <v>72.305128962695434</v>
      </c>
      <c r="AF2549" s="9">
        <v>79.365490610542253</v>
      </c>
      <c r="AG2549" s="9">
        <v>79.365490610542253</v>
      </c>
      <c r="AH2549" s="9">
        <v>87.219003417886043</v>
      </c>
      <c r="AI2549" s="9">
        <v>95.054924275940976</v>
      </c>
      <c r="AJ2549" s="9">
        <v>3.0428788910505911</v>
      </c>
    </row>
    <row r="2550" spans="1:36" x14ac:dyDescent="0.25">
      <c r="A2550" t="s">
        <v>5411</v>
      </c>
      <c r="B2550" t="s">
        <v>16</v>
      </c>
      <c r="C2550" t="s">
        <v>17</v>
      </c>
      <c r="D2550">
        <v>55765000</v>
      </c>
      <c r="E2550">
        <v>55769999</v>
      </c>
      <c r="F2550" t="s">
        <v>2294</v>
      </c>
      <c r="G2550" t="str">
        <f t="shared" si="78"/>
        <v>PEI II</v>
      </c>
      <c r="H2550" t="s">
        <v>2194</v>
      </c>
      <c r="I2550" t="s">
        <v>20</v>
      </c>
      <c r="J2550" t="s">
        <v>64</v>
      </c>
      <c r="K2550" s="6">
        <v>0.03</v>
      </c>
      <c r="L2550" s="7">
        <f t="shared" si="79"/>
        <v>2E-3</v>
      </c>
      <c r="M2550" s="7">
        <v>3.0000000000000001E-3</v>
      </c>
      <c r="N2550">
        <v>15</v>
      </c>
      <c r="O2550" s="8">
        <v>21.329668724084634</v>
      </c>
      <c r="P2550" s="9">
        <v>21.329668724084634</v>
      </c>
      <c r="Q2550" s="9">
        <v>21.329668724084634</v>
      </c>
      <c r="R2550" s="9">
        <v>23.535187126233286</v>
      </c>
      <c r="S2550" s="9">
        <v>25.969348495460661</v>
      </c>
      <c r="T2550" s="9">
        <v>28.018652515052967</v>
      </c>
      <c r="U2550" s="9">
        <v>34.474261331240129</v>
      </c>
      <c r="V2550" s="9">
        <v>34.474261331240129</v>
      </c>
      <c r="W2550" s="9">
        <v>34.474261331240129</v>
      </c>
      <c r="X2550" s="9">
        <v>41.6797573977124</v>
      </c>
      <c r="Y2550" s="9">
        <v>41.6797573977124</v>
      </c>
      <c r="Z2550" s="9">
        <v>48.964357977567339</v>
      </c>
      <c r="AA2550" s="9">
        <v>48.964357977567339</v>
      </c>
      <c r="AB2550" s="9">
        <v>56.335973522143213</v>
      </c>
      <c r="AC2550" s="9">
        <v>56.335973522143213</v>
      </c>
      <c r="AD2550" s="9">
        <v>65.349051350310745</v>
      </c>
      <c r="AE2550" s="9">
        <v>72.305128962695434</v>
      </c>
      <c r="AF2550" s="9">
        <v>79.365490610542253</v>
      </c>
      <c r="AG2550" s="9">
        <v>79.365490610542253</v>
      </c>
      <c r="AH2550" s="9">
        <v>87.219003417886043</v>
      </c>
      <c r="AI2550" s="9">
        <v>95.054924275940976</v>
      </c>
      <c r="AJ2550" s="9">
        <v>3.0428788910505911</v>
      </c>
    </row>
    <row r="2551" spans="1:36" x14ac:dyDescent="0.25">
      <c r="A2551" t="s">
        <v>5411</v>
      </c>
      <c r="B2551" t="s">
        <v>16</v>
      </c>
      <c r="C2551" t="s">
        <v>17</v>
      </c>
      <c r="D2551">
        <v>55770000</v>
      </c>
      <c r="E2551">
        <v>55779999</v>
      </c>
      <c r="F2551" t="s">
        <v>2295</v>
      </c>
      <c r="G2551" t="str">
        <f t="shared" si="78"/>
        <v>PEI II</v>
      </c>
      <c r="H2551" t="s">
        <v>2194</v>
      </c>
      <c r="I2551" t="s">
        <v>20</v>
      </c>
      <c r="J2551" t="s">
        <v>64</v>
      </c>
      <c r="K2551" s="6">
        <v>0.03</v>
      </c>
      <c r="L2551" s="7">
        <f t="shared" si="79"/>
        <v>2E-3</v>
      </c>
      <c r="M2551" s="7">
        <v>3.0000000000000001E-3</v>
      </c>
      <c r="N2551">
        <v>11</v>
      </c>
      <c r="O2551" s="8">
        <v>21.329668724084634</v>
      </c>
      <c r="P2551" s="9">
        <v>21.329668724084634</v>
      </c>
      <c r="Q2551" s="9">
        <v>21.329668724084634</v>
      </c>
      <c r="R2551" s="9">
        <v>23.535187126233286</v>
      </c>
      <c r="S2551" s="9">
        <v>25.969348495460661</v>
      </c>
      <c r="T2551" s="9">
        <v>28.018652515052967</v>
      </c>
      <c r="U2551" s="9">
        <v>34.474261331240129</v>
      </c>
      <c r="V2551" s="9">
        <v>34.474261331240129</v>
      </c>
      <c r="W2551" s="9">
        <v>34.474261331240129</v>
      </c>
      <c r="X2551" s="9">
        <v>41.6797573977124</v>
      </c>
      <c r="Y2551" s="9">
        <v>41.6797573977124</v>
      </c>
      <c r="Z2551" s="9">
        <v>48.964357977567339</v>
      </c>
      <c r="AA2551" s="9">
        <v>48.964357977567339</v>
      </c>
      <c r="AB2551" s="9">
        <v>56.335973522143213</v>
      </c>
      <c r="AC2551" s="9">
        <v>56.335973522143213</v>
      </c>
      <c r="AD2551" s="9">
        <v>65.349051350310745</v>
      </c>
      <c r="AE2551" s="9">
        <v>72.305128962695434</v>
      </c>
      <c r="AF2551" s="9">
        <v>79.365490610542253</v>
      </c>
      <c r="AG2551" s="9">
        <v>79.365490610542253</v>
      </c>
      <c r="AH2551" s="9">
        <v>87.219003417886043</v>
      </c>
      <c r="AI2551" s="9">
        <v>95.054924275940976</v>
      </c>
      <c r="AJ2551" s="9">
        <v>3.0428788910505911</v>
      </c>
    </row>
    <row r="2552" spans="1:36" x14ac:dyDescent="0.25">
      <c r="A2552" t="s">
        <v>5411</v>
      </c>
      <c r="B2552" t="s">
        <v>16</v>
      </c>
      <c r="C2552" t="s">
        <v>17</v>
      </c>
      <c r="D2552">
        <v>55780000</v>
      </c>
      <c r="E2552">
        <v>55789999</v>
      </c>
      <c r="F2552" t="s">
        <v>2296</v>
      </c>
      <c r="G2552" t="str">
        <f t="shared" si="78"/>
        <v>PEI II</v>
      </c>
      <c r="H2552" t="s">
        <v>2194</v>
      </c>
      <c r="I2552" t="s">
        <v>20</v>
      </c>
      <c r="J2552" t="s">
        <v>64</v>
      </c>
      <c r="K2552" s="6">
        <v>0.03</v>
      </c>
      <c r="L2552" s="7">
        <f t="shared" si="79"/>
        <v>2E-3</v>
      </c>
      <c r="M2552" s="7">
        <v>3.0000000000000001E-3</v>
      </c>
      <c r="N2552">
        <v>11</v>
      </c>
      <c r="O2552" s="8">
        <v>21.329668724084634</v>
      </c>
      <c r="P2552" s="9">
        <v>21.329668724084634</v>
      </c>
      <c r="Q2552" s="9">
        <v>21.329668724084634</v>
      </c>
      <c r="R2552" s="9">
        <v>23.535187126233286</v>
      </c>
      <c r="S2552" s="9">
        <v>25.969348495460661</v>
      </c>
      <c r="T2552" s="9">
        <v>28.018652515052967</v>
      </c>
      <c r="U2552" s="9">
        <v>34.474261331240129</v>
      </c>
      <c r="V2552" s="9">
        <v>34.474261331240129</v>
      </c>
      <c r="W2552" s="9">
        <v>34.474261331240129</v>
      </c>
      <c r="X2552" s="9">
        <v>41.6797573977124</v>
      </c>
      <c r="Y2552" s="9">
        <v>41.6797573977124</v>
      </c>
      <c r="Z2552" s="9">
        <v>48.964357977567339</v>
      </c>
      <c r="AA2552" s="9">
        <v>48.964357977567339</v>
      </c>
      <c r="AB2552" s="9">
        <v>56.335973522143213</v>
      </c>
      <c r="AC2552" s="9">
        <v>56.335973522143213</v>
      </c>
      <c r="AD2552" s="9">
        <v>65.349051350310745</v>
      </c>
      <c r="AE2552" s="9">
        <v>72.305128962695434</v>
      </c>
      <c r="AF2552" s="9">
        <v>79.365490610542253</v>
      </c>
      <c r="AG2552" s="9">
        <v>79.365490610542253</v>
      </c>
      <c r="AH2552" s="9">
        <v>87.219003417886043</v>
      </c>
      <c r="AI2552" s="9">
        <v>95.054924275940976</v>
      </c>
      <c r="AJ2552" s="9">
        <v>3.0428788910505911</v>
      </c>
    </row>
    <row r="2553" spans="1:36" x14ac:dyDescent="0.25">
      <c r="A2553" t="s">
        <v>5411</v>
      </c>
      <c r="B2553" t="s">
        <v>16</v>
      </c>
      <c r="C2553" t="s">
        <v>17</v>
      </c>
      <c r="D2553">
        <v>55790000</v>
      </c>
      <c r="E2553">
        <v>55799999</v>
      </c>
      <c r="F2553" t="s">
        <v>2297</v>
      </c>
      <c r="G2553" t="str">
        <f t="shared" si="78"/>
        <v>PEI II</v>
      </c>
      <c r="H2553" t="s">
        <v>2194</v>
      </c>
      <c r="I2553" t="s">
        <v>20</v>
      </c>
      <c r="J2553" t="s">
        <v>64</v>
      </c>
      <c r="K2553" s="6">
        <v>0.03</v>
      </c>
      <c r="L2553" s="7">
        <f t="shared" si="79"/>
        <v>2E-3</v>
      </c>
      <c r="M2553" s="7">
        <v>3.0000000000000001E-3</v>
      </c>
      <c r="N2553">
        <v>11</v>
      </c>
      <c r="O2553" s="8">
        <v>21.329668724084634</v>
      </c>
      <c r="P2553" s="9">
        <v>21.329668724084634</v>
      </c>
      <c r="Q2553" s="9">
        <v>21.329668724084634</v>
      </c>
      <c r="R2553" s="9">
        <v>23.535187126233286</v>
      </c>
      <c r="S2553" s="9">
        <v>25.969348495460661</v>
      </c>
      <c r="T2553" s="9">
        <v>28.018652515052967</v>
      </c>
      <c r="U2553" s="9">
        <v>34.474261331240129</v>
      </c>
      <c r="V2553" s="9">
        <v>34.474261331240129</v>
      </c>
      <c r="W2553" s="9">
        <v>34.474261331240129</v>
      </c>
      <c r="X2553" s="9">
        <v>41.6797573977124</v>
      </c>
      <c r="Y2553" s="9">
        <v>41.6797573977124</v>
      </c>
      <c r="Z2553" s="9">
        <v>48.964357977567339</v>
      </c>
      <c r="AA2553" s="9">
        <v>48.964357977567339</v>
      </c>
      <c r="AB2553" s="9">
        <v>56.335973522143213</v>
      </c>
      <c r="AC2553" s="9">
        <v>56.335973522143213</v>
      </c>
      <c r="AD2553" s="9">
        <v>65.349051350310745</v>
      </c>
      <c r="AE2553" s="9">
        <v>72.305128962695434</v>
      </c>
      <c r="AF2553" s="9">
        <v>79.365490610542253</v>
      </c>
      <c r="AG2553" s="9">
        <v>79.365490610542253</v>
      </c>
      <c r="AH2553" s="9">
        <v>87.219003417886043</v>
      </c>
      <c r="AI2553" s="9">
        <v>95.054924275940976</v>
      </c>
      <c r="AJ2553" s="9">
        <v>3.0428788910505911</v>
      </c>
    </row>
    <row r="2554" spans="1:36" x14ac:dyDescent="0.25">
      <c r="A2554" t="s">
        <v>5411</v>
      </c>
      <c r="B2554" t="s">
        <v>16</v>
      </c>
      <c r="C2554" t="s">
        <v>17</v>
      </c>
      <c r="D2554">
        <v>55800000</v>
      </c>
      <c r="E2554">
        <v>55804999</v>
      </c>
      <c r="F2554" t="s">
        <v>2298</v>
      </c>
      <c r="G2554" t="str">
        <f t="shared" si="78"/>
        <v>PEI</v>
      </c>
      <c r="H2554" t="s">
        <v>2194</v>
      </c>
      <c r="I2554" t="s">
        <v>20</v>
      </c>
      <c r="J2554" t="s">
        <v>62</v>
      </c>
      <c r="K2554" s="6">
        <v>0.03</v>
      </c>
      <c r="L2554" s="7">
        <f t="shared" si="79"/>
        <v>2E-3</v>
      </c>
      <c r="M2554" s="7">
        <v>3.0000000000000001E-3</v>
      </c>
      <c r="N2554">
        <v>11</v>
      </c>
      <c r="O2554" s="8">
        <v>17.362919062478753</v>
      </c>
      <c r="P2554" s="9">
        <v>17.362919062478753</v>
      </c>
      <c r="Q2554" s="9">
        <v>17.362919062478753</v>
      </c>
      <c r="R2554" s="9">
        <v>18.763077462609331</v>
      </c>
      <c r="S2554" s="9">
        <v>20.822367518100933</v>
      </c>
      <c r="T2554" s="9">
        <v>22.932657006868226</v>
      </c>
      <c r="U2554" s="9">
        <v>28.394641309673208</v>
      </c>
      <c r="V2554" s="9">
        <v>28.394641309673208</v>
      </c>
      <c r="W2554" s="9">
        <v>28.394641309673208</v>
      </c>
      <c r="X2554" s="9">
        <v>34.481353453939484</v>
      </c>
      <c r="Y2554" s="9">
        <v>34.481353453939484</v>
      </c>
      <c r="Z2554" s="9">
        <v>40.733986919834194</v>
      </c>
      <c r="AA2554" s="9">
        <v>40.733986919834194</v>
      </c>
      <c r="AB2554" s="9">
        <v>47.204537282413121</v>
      </c>
      <c r="AC2554" s="9">
        <v>47.204537282413121</v>
      </c>
      <c r="AD2554" s="9">
        <v>53.805016474910374</v>
      </c>
      <c r="AE2554" s="9">
        <v>60.552137154404392</v>
      </c>
      <c r="AF2554" s="9">
        <v>67.464818475061875</v>
      </c>
      <c r="AG2554" s="9">
        <v>67.464818475061875</v>
      </c>
      <c r="AH2554" s="9">
        <v>74.129442022189522</v>
      </c>
      <c r="AI2554" s="9">
        <v>81.304669029817305</v>
      </c>
      <c r="AJ2554" s="9">
        <v>3.0428788910505911</v>
      </c>
    </row>
    <row r="2555" spans="1:36" x14ac:dyDescent="0.25">
      <c r="A2555" t="s">
        <v>5411</v>
      </c>
      <c r="B2555" t="s">
        <v>16</v>
      </c>
      <c r="C2555" t="s">
        <v>17</v>
      </c>
      <c r="D2555">
        <v>55805000</v>
      </c>
      <c r="E2555">
        <v>55809999</v>
      </c>
      <c r="F2555" t="s">
        <v>2299</v>
      </c>
      <c r="G2555" t="str">
        <f t="shared" si="78"/>
        <v>PEI II</v>
      </c>
      <c r="H2555" t="s">
        <v>2194</v>
      </c>
      <c r="I2555" t="s">
        <v>20</v>
      </c>
      <c r="J2555" t="s">
        <v>64</v>
      </c>
      <c r="K2555" s="6">
        <v>0.03</v>
      </c>
      <c r="L2555" s="7">
        <f t="shared" si="79"/>
        <v>2E-3</v>
      </c>
      <c r="M2555" s="7">
        <v>3.0000000000000001E-3</v>
      </c>
      <c r="N2555">
        <v>11</v>
      </c>
      <c r="O2555" s="8">
        <v>21.329668724084634</v>
      </c>
      <c r="P2555" s="9">
        <v>21.329668724084634</v>
      </c>
      <c r="Q2555" s="9">
        <v>21.329668724084634</v>
      </c>
      <c r="R2555" s="9">
        <v>23.535187126233286</v>
      </c>
      <c r="S2555" s="9">
        <v>25.969348495460661</v>
      </c>
      <c r="T2555" s="9">
        <v>28.018652515052967</v>
      </c>
      <c r="U2555" s="9">
        <v>34.474261331240129</v>
      </c>
      <c r="V2555" s="9">
        <v>34.474261331240129</v>
      </c>
      <c r="W2555" s="9">
        <v>34.474261331240129</v>
      </c>
      <c r="X2555" s="9">
        <v>41.6797573977124</v>
      </c>
      <c r="Y2555" s="9">
        <v>41.6797573977124</v>
      </c>
      <c r="Z2555" s="9">
        <v>48.964357977567339</v>
      </c>
      <c r="AA2555" s="9">
        <v>48.964357977567339</v>
      </c>
      <c r="AB2555" s="9">
        <v>56.335973522143213</v>
      </c>
      <c r="AC2555" s="9">
        <v>56.335973522143213</v>
      </c>
      <c r="AD2555" s="9">
        <v>65.349051350310745</v>
      </c>
      <c r="AE2555" s="9">
        <v>72.305128962695434</v>
      </c>
      <c r="AF2555" s="9">
        <v>79.365490610542253</v>
      </c>
      <c r="AG2555" s="9">
        <v>79.365490610542253</v>
      </c>
      <c r="AH2555" s="9">
        <v>87.219003417886043</v>
      </c>
      <c r="AI2555" s="9">
        <v>95.054924275940976</v>
      </c>
      <c r="AJ2555" s="9">
        <v>3.0428788910505911</v>
      </c>
    </row>
    <row r="2556" spans="1:36" x14ac:dyDescent="0.25">
      <c r="A2556" t="s">
        <v>5411</v>
      </c>
      <c r="B2556" t="s">
        <v>16</v>
      </c>
      <c r="C2556" t="s">
        <v>17</v>
      </c>
      <c r="D2556">
        <v>55810000</v>
      </c>
      <c r="E2556">
        <v>55819999</v>
      </c>
      <c r="F2556" t="s">
        <v>2300</v>
      </c>
      <c r="G2556" t="str">
        <f t="shared" si="78"/>
        <v>PEI</v>
      </c>
      <c r="H2556" t="s">
        <v>2194</v>
      </c>
      <c r="I2556" t="s">
        <v>20</v>
      </c>
      <c r="J2556" t="s">
        <v>62</v>
      </c>
      <c r="K2556" s="6">
        <v>0.03</v>
      </c>
      <c r="L2556" s="7">
        <f t="shared" si="79"/>
        <v>2E-3</v>
      </c>
      <c r="M2556" s="7">
        <v>3.0000000000000001E-3</v>
      </c>
      <c r="N2556">
        <v>11</v>
      </c>
      <c r="O2556" s="8">
        <v>17.362919062478753</v>
      </c>
      <c r="P2556" s="9">
        <v>17.362919062478753</v>
      </c>
      <c r="Q2556" s="9">
        <v>17.362919062478753</v>
      </c>
      <c r="R2556" s="9">
        <v>18.763077462609331</v>
      </c>
      <c r="S2556" s="9">
        <v>20.822367518100933</v>
      </c>
      <c r="T2556" s="9">
        <v>22.932657006868226</v>
      </c>
      <c r="U2556" s="9">
        <v>28.394641309673208</v>
      </c>
      <c r="V2556" s="9">
        <v>28.394641309673208</v>
      </c>
      <c r="W2556" s="9">
        <v>28.394641309673208</v>
      </c>
      <c r="X2556" s="9">
        <v>34.481353453939484</v>
      </c>
      <c r="Y2556" s="9">
        <v>34.481353453939484</v>
      </c>
      <c r="Z2556" s="9">
        <v>40.733986919834194</v>
      </c>
      <c r="AA2556" s="9">
        <v>40.733986919834194</v>
      </c>
      <c r="AB2556" s="9">
        <v>47.204537282413121</v>
      </c>
      <c r="AC2556" s="9">
        <v>47.204537282413121</v>
      </c>
      <c r="AD2556" s="9">
        <v>53.805016474910374</v>
      </c>
      <c r="AE2556" s="9">
        <v>60.552137154404392</v>
      </c>
      <c r="AF2556" s="9">
        <v>67.464818475061875</v>
      </c>
      <c r="AG2556" s="9">
        <v>67.464818475061875</v>
      </c>
      <c r="AH2556" s="9">
        <v>74.129442022189522</v>
      </c>
      <c r="AI2556" s="9">
        <v>81.304669029817305</v>
      </c>
      <c r="AJ2556" s="9">
        <v>3.0428788910505911</v>
      </c>
    </row>
    <row r="2557" spans="1:36" x14ac:dyDescent="0.25">
      <c r="A2557" t="s">
        <v>5411</v>
      </c>
      <c r="B2557" t="s">
        <v>16</v>
      </c>
      <c r="C2557" t="s">
        <v>17</v>
      </c>
      <c r="D2557">
        <v>55820000</v>
      </c>
      <c r="E2557">
        <v>55824999</v>
      </c>
      <c r="F2557" t="s">
        <v>2301</v>
      </c>
      <c r="G2557" t="str">
        <f t="shared" si="78"/>
        <v>PEI II</v>
      </c>
      <c r="H2557" t="s">
        <v>2194</v>
      </c>
      <c r="I2557" t="s">
        <v>20</v>
      </c>
      <c r="J2557" t="s">
        <v>64</v>
      </c>
      <c r="K2557" s="6">
        <v>0.03</v>
      </c>
      <c r="L2557" s="7">
        <f t="shared" si="79"/>
        <v>2E-3</v>
      </c>
      <c r="M2557" s="7">
        <v>3.0000000000000001E-3</v>
      </c>
      <c r="N2557">
        <v>12</v>
      </c>
      <c r="O2557" s="8">
        <v>21.329668724084634</v>
      </c>
      <c r="P2557" s="9">
        <v>21.329668724084634</v>
      </c>
      <c r="Q2557" s="9">
        <v>21.329668724084634</v>
      </c>
      <c r="R2557" s="9">
        <v>23.535187126233286</v>
      </c>
      <c r="S2557" s="9">
        <v>25.969348495460661</v>
      </c>
      <c r="T2557" s="9">
        <v>28.018652515052967</v>
      </c>
      <c r="U2557" s="9">
        <v>34.474261331240129</v>
      </c>
      <c r="V2557" s="9">
        <v>34.474261331240129</v>
      </c>
      <c r="W2557" s="9">
        <v>34.474261331240129</v>
      </c>
      <c r="X2557" s="9">
        <v>41.6797573977124</v>
      </c>
      <c r="Y2557" s="9">
        <v>41.6797573977124</v>
      </c>
      <c r="Z2557" s="9">
        <v>48.964357977567339</v>
      </c>
      <c r="AA2557" s="9">
        <v>48.964357977567339</v>
      </c>
      <c r="AB2557" s="9">
        <v>56.335973522143213</v>
      </c>
      <c r="AC2557" s="9">
        <v>56.335973522143213</v>
      </c>
      <c r="AD2557" s="9">
        <v>65.349051350310745</v>
      </c>
      <c r="AE2557" s="9">
        <v>72.305128962695434</v>
      </c>
      <c r="AF2557" s="9">
        <v>79.365490610542253</v>
      </c>
      <c r="AG2557" s="9">
        <v>79.365490610542253</v>
      </c>
      <c r="AH2557" s="9">
        <v>87.219003417886043</v>
      </c>
      <c r="AI2557" s="9">
        <v>95.054924275940976</v>
      </c>
      <c r="AJ2557" s="9">
        <v>3.0428788910505911</v>
      </c>
    </row>
    <row r="2558" spans="1:36" x14ac:dyDescent="0.25">
      <c r="A2558" t="s">
        <v>5411</v>
      </c>
      <c r="B2558" t="s">
        <v>16</v>
      </c>
      <c r="C2558" t="s">
        <v>17</v>
      </c>
      <c r="D2558">
        <v>55825000</v>
      </c>
      <c r="E2558">
        <v>55834999</v>
      </c>
      <c r="F2558" t="s">
        <v>2302</v>
      </c>
      <c r="G2558" t="str">
        <f t="shared" si="78"/>
        <v>PEI</v>
      </c>
      <c r="H2558" t="s">
        <v>2194</v>
      </c>
      <c r="I2558" t="s">
        <v>20</v>
      </c>
      <c r="J2558" t="s">
        <v>62</v>
      </c>
      <c r="K2558" s="6">
        <v>0.03</v>
      </c>
      <c r="L2558" s="7">
        <f t="shared" si="79"/>
        <v>2E-3</v>
      </c>
      <c r="M2558" s="7">
        <v>3.0000000000000001E-3</v>
      </c>
      <c r="N2558">
        <v>11</v>
      </c>
      <c r="O2558" s="8">
        <v>17.362919062478753</v>
      </c>
      <c r="P2558" s="9">
        <v>17.362919062478753</v>
      </c>
      <c r="Q2558" s="9">
        <v>17.362919062478753</v>
      </c>
      <c r="R2558" s="9">
        <v>18.763077462609331</v>
      </c>
      <c r="S2558" s="9">
        <v>20.822367518100933</v>
      </c>
      <c r="T2558" s="9">
        <v>22.932657006868226</v>
      </c>
      <c r="U2558" s="9">
        <v>28.394641309673208</v>
      </c>
      <c r="V2558" s="9">
        <v>28.394641309673208</v>
      </c>
      <c r="W2558" s="9">
        <v>28.394641309673208</v>
      </c>
      <c r="X2558" s="9">
        <v>34.481353453939484</v>
      </c>
      <c r="Y2558" s="9">
        <v>34.481353453939484</v>
      </c>
      <c r="Z2558" s="9">
        <v>40.733986919834194</v>
      </c>
      <c r="AA2558" s="9">
        <v>40.733986919834194</v>
      </c>
      <c r="AB2558" s="9">
        <v>47.204537282413121</v>
      </c>
      <c r="AC2558" s="9">
        <v>47.204537282413121</v>
      </c>
      <c r="AD2558" s="9">
        <v>53.805016474910374</v>
      </c>
      <c r="AE2558" s="9">
        <v>60.552137154404392</v>
      </c>
      <c r="AF2558" s="9">
        <v>67.464818475061875</v>
      </c>
      <c r="AG2558" s="9">
        <v>67.464818475061875</v>
      </c>
      <c r="AH2558" s="9">
        <v>74.129442022189522</v>
      </c>
      <c r="AI2558" s="9">
        <v>81.304669029817305</v>
      </c>
      <c r="AJ2558" s="9">
        <v>3.0428788910505911</v>
      </c>
    </row>
    <row r="2559" spans="1:36" x14ac:dyDescent="0.25">
      <c r="A2559" t="s">
        <v>5411</v>
      </c>
      <c r="B2559" t="s">
        <v>16</v>
      </c>
      <c r="C2559" t="s">
        <v>17</v>
      </c>
      <c r="D2559">
        <v>55835000</v>
      </c>
      <c r="E2559">
        <v>55839999</v>
      </c>
      <c r="F2559" t="s">
        <v>2303</v>
      </c>
      <c r="G2559" t="str">
        <f t="shared" si="78"/>
        <v>PEI II</v>
      </c>
      <c r="H2559" t="s">
        <v>2194</v>
      </c>
      <c r="I2559" t="s">
        <v>20</v>
      </c>
      <c r="J2559" t="s">
        <v>64</v>
      </c>
      <c r="K2559" s="6">
        <v>0.03</v>
      </c>
      <c r="L2559" s="7">
        <f t="shared" si="79"/>
        <v>2E-3</v>
      </c>
      <c r="M2559" s="7">
        <v>3.0000000000000001E-3</v>
      </c>
      <c r="N2559">
        <v>12</v>
      </c>
      <c r="O2559" s="8">
        <v>21.329668724084634</v>
      </c>
      <c r="P2559" s="9">
        <v>21.329668724084634</v>
      </c>
      <c r="Q2559" s="9">
        <v>21.329668724084634</v>
      </c>
      <c r="R2559" s="9">
        <v>23.535187126233286</v>
      </c>
      <c r="S2559" s="9">
        <v>25.969348495460661</v>
      </c>
      <c r="T2559" s="9">
        <v>28.018652515052967</v>
      </c>
      <c r="U2559" s="9">
        <v>34.474261331240129</v>
      </c>
      <c r="V2559" s="9">
        <v>34.474261331240129</v>
      </c>
      <c r="W2559" s="9">
        <v>34.474261331240129</v>
      </c>
      <c r="X2559" s="9">
        <v>41.6797573977124</v>
      </c>
      <c r="Y2559" s="9">
        <v>41.6797573977124</v>
      </c>
      <c r="Z2559" s="9">
        <v>48.964357977567339</v>
      </c>
      <c r="AA2559" s="9">
        <v>48.964357977567339</v>
      </c>
      <c r="AB2559" s="9">
        <v>56.335973522143213</v>
      </c>
      <c r="AC2559" s="9">
        <v>56.335973522143213</v>
      </c>
      <c r="AD2559" s="9">
        <v>65.349051350310745</v>
      </c>
      <c r="AE2559" s="9">
        <v>72.305128962695434</v>
      </c>
      <c r="AF2559" s="9">
        <v>79.365490610542253</v>
      </c>
      <c r="AG2559" s="9">
        <v>79.365490610542253</v>
      </c>
      <c r="AH2559" s="9">
        <v>87.219003417886043</v>
      </c>
      <c r="AI2559" s="9">
        <v>95.054924275940976</v>
      </c>
      <c r="AJ2559" s="9">
        <v>3.0428788910505911</v>
      </c>
    </row>
    <row r="2560" spans="1:36" x14ac:dyDescent="0.25">
      <c r="A2560" t="s">
        <v>5411</v>
      </c>
      <c r="B2560" t="s">
        <v>16</v>
      </c>
      <c r="C2560" t="s">
        <v>17</v>
      </c>
      <c r="D2560">
        <v>55840000</v>
      </c>
      <c r="E2560">
        <v>55844999</v>
      </c>
      <c r="F2560" t="s">
        <v>2304</v>
      </c>
      <c r="G2560" t="str">
        <f t="shared" si="78"/>
        <v>PEI II</v>
      </c>
      <c r="H2560" t="s">
        <v>2194</v>
      </c>
      <c r="I2560" t="s">
        <v>20</v>
      </c>
      <c r="J2560" t="s">
        <v>64</v>
      </c>
      <c r="K2560" s="6">
        <v>0.03</v>
      </c>
      <c r="L2560" s="7">
        <f t="shared" si="79"/>
        <v>2E-3</v>
      </c>
      <c r="M2560" s="7">
        <v>3.0000000000000001E-3</v>
      </c>
      <c r="N2560">
        <v>11</v>
      </c>
      <c r="O2560" s="8">
        <v>21.329668724084634</v>
      </c>
      <c r="P2560" s="9">
        <v>21.329668724084634</v>
      </c>
      <c r="Q2560" s="9">
        <v>21.329668724084634</v>
      </c>
      <c r="R2560" s="9">
        <v>23.535187126233286</v>
      </c>
      <c r="S2560" s="9">
        <v>25.969348495460661</v>
      </c>
      <c r="T2560" s="9">
        <v>28.018652515052967</v>
      </c>
      <c r="U2560" s="9">
        <v>34.474261331240129</v>
      </c>
      <c r="V2560" s="9">
        <v>34.474261331240129</v>
      </c>
      <c r="W2560" s="9">
        <v>34.474261331240129</v>
      </c>
      <c r="X2560" s="9">
        <v>41.6797573977124</v>
      </c>
      <c r="Y2560" s="9">
        <v>41.6797573977124</v>
      </c>
      <c r="Z2560" s="9">
        <v>48.964357977567339</v>
      </c>
      <c r="AA2560" s="9">
        <v>48.964357977567339</v>
      </c>
      <c r="AB2560" s="9">
        <v>56.335973522143213</v>
      </c>
      <c r="AC2560" s="9">
        <v>56.335973522143213</v>
      </c>
      <c r="AD2560" s="9">
        <v>65.349051350310745</v>
      </c>
      <c r="AE2560" s="9">
        <v>72.305128962695434</v>
      </c>
      <c r="AF2560" s="9">
        <v>79.365490610542253</v>
      </c>
      <c r="AG2560" s="9">
        <v>79.365490610542253</v>
      </c>
      <c r="AH2560" s="9">
        <v>87.219003417886043</v>
      </c>
      <c r="AI2560" s="9">
        <v>95.054924275940976</v>
      </c>
      <c r="AJ2560" s="9">
        <v>3.0428788910505911</v>
      </c>
    </row>
    <row r="2561" spans="1:36" x14ac:dyDescent="0.25">
      <c r="A2561" t="s">
        <v>5411</v>
      </c>
      <c r="B2561" t="s">
        <v>16</v>
      </c>
      <c r="C2561" t="s">
        <v>17</v>
      </c>
      <c r="D2561">
        <v>55845000</v>
      </c>
      <c r="E2561">
        <v>55849999</v>
      </c>
      <c r="F2561" t="s">
        <v>2305</v>
      </c>
      <c r="G2561" t="str">
        <f t="shared" si="78"/>
        <v>PEI II</v>
      </c>
      <c r="H2561" t="s">
        <v>2194</v>
      </c>
      <c r="I2561" t="s">
        <v>20</v>
      </c>
      <c r="J2561" t="s">
        <v>64</v>
      </c>
      <c r="K2561" s="6">
        <v>0.03</v>
      </c>
      <c r="L2561" s="7">
        <f t="shared" si="79"/>
        <v>2E-3</v>
      </c>
      <c r="M2561" s="7">
        <v>3.0000000000000001E-3</v>
      </c>
      <c r="N2561">
        <v>11</v>
      </c>
      <c r="O2561" s="8">
        <v>21.329668724084634</v>
      </c>
      <c r="P2561" s="9">
        <v>21.329668724084634</v>
      </c>
      <c r="Q2561" s="9">
        <v>21.329668724084634</v>
      </c>
      <c r="R2561" s="9">
        <v>23.535187126233286</v>
      </c>
      <c r="S2561" s="9">
        <v>25.969348495460661</v>
      </c>
      <c r="T2561" s="9">
        <v>28.018652515052967</v>
      </c>
      <c r="U2561" s="9">
        <v>34.474261331240129</v>
      </c>
      <c r="V2561" s="9">
        <v>34.474261331240129</v>
      </c>
      <c r="W2561" s="9">
        <v>34.474261331240129</v>
      </c>
      <c r="X2561" s="9">
        <v>41.6797573977124</v>
      </c>
      <c r="Y2561" s="9">
        <v>41.6797573977124</v>
      </c>
      <c r="Z2561" s="9">
        <v>48.964357977567339</v>
      </c>
      <c r="AA2561" s="9">
        <v>48.964357977567339</v>
      </c>
      <c r="AB2561" s="9">
        <v>56.335973522143213</v>
      </c>
      <c r="AC2561" s="9">
        <v>56.335973522143213</v>
      </c>
      <c r="AD2561" s="9">
        <v>65.349051350310745</v>
      </c>
      <c r="AE2561" s="9">
        <v>72.305128962695434</v>
      </c>
      <c r="AF2561" s="9">
        <v>79.365490610542253</v>
      </c>
      <c r="AG2561" s="9">
        <v>79.365490610542253</v>
      </c>
      <c r="AH2561" s="9">
        <v>87.219003417886043</v>
      </c>
      <c r="AI2561" s="9">
        <v>95.054924275940976</v>
      </c>
      <c r="AJ2561" s="9">
        <v>3.0428788910505911</v>
      </c>
    </row>
    <row r="2562" spans="1:36" x14ac:dyDescent="0.25">
      <c r="A2562" t="s">
        <v>5411</v>
      </c>
      <c r="B2562" t="s">
        <v>16</v>
      </c>
      <c r="C2562" t="s">
        <v>17</v>
      </c>
      <c r="D2562">
        <v>55850000</v>
      </c>
      <c r="E2562">
        <v>55859999</v>
      </c>
      <c r="F2562" t="s">
        <v>2306</v>
      </c>
      <c r="G2562" t="str">
        <f t="shared" si="78"/>
        <v>PEI II</v>
      </c>
      <c r="H2562" t="s">
        <v>2194</v>
      </c>
      <c r="I2562" t="s">
        <v>20</v>
      </c>
      <c r="J2562" t="s">
        <v>64</v>
      </c>
      <c r="K2562" s="6">
        <v>0.03</v>
      </c>
      <c r="L2562" s="7">
        <f t="shared" si="79"/>
        <v>2E-3</v>
      </c>
      <c r="M2562" s="7">
        <v>3.0000000000000001E-3</v>
      </c>
      <c r="N2562">
        <v>11</v>
      </c>
      <c r="O2562" s="8">
        <v>21.329668724084634</v>
      </c>
      <c r="P2562" s="9">
        <v>21.329668724084634</v>
      </c>
      <c r="Q2562" s="9">
        <v>21.329668724084634</v>
      </c>
      <c r="R2562" s="9">
        <v>23.535187126233286</v>
      </c>
      <c r="S2562" s="9">
        <v>25.969348495460661</v>
      </c>
      <c r="T2562" s="9">
        <v>28.018652515052967</v>
      </c>
      <c r="U2562" s="9">
        <v>34.474261331240129</v>
      </c>
      <c r="V2562" s="9">
        <v>34.474261331240129</v>
      </c>
      <c r="W2562" s="9">
        <v>34.474261331240129</v>
      </c>
      <c r="X2562" s="9">
        <v>41.6797573977124</v>
      </c>
      <c r="Y2562" s="9">
        <v>41.6797573977124</v>
      </c>
      <c r="Z2562" s="9">
        <v>48.964357977567339</v>
      </c>
      <c r="AA2562" s="9">
        <v>48.964357977567339</v>
      </c>
      <c r="AB2562" s="9">
        <v>56.335973522143213</v>
      </c>
      <c r="AC2562" s="9">
        <v>56.335973522143213</v>
      </c>
      <c r="AD2562" s="9">
        <v>65.349051350310745</v>
      </c>
      <c r="AE2562" s="9">
        <v>72.305128962695434</v>
      </c>
      <c r="AF2562" s="9">
        <v>79.365490610542253</v>
      </c>
      <c r="AG2562" s="9">
        <v>79.365490610542253</v>
      </c>
      <c r="AH2562" s="9">
        <v>87.219003417886043</v>
      </c>
      <c r="AI2562" s="9">
        <v>95.054924275940976</v>
      </c>
      <c r="AJ2562" s="9">
        <v>3.0428788910505911</v>
      </c>
    </row>
    <row r="2563" spans="1:36" x14ac:dyDescent="0.25">
      <c r="A2563" t="s">
        <v>5411</v>
      </c>
      <c r="B2563" t="s">
        <v>16</v>
      </c>
      <c r="C2563" t="s">
        <v>17</v>
      </c>
      <c r="D2563">
        <v>55860000</v>
      </c>
      <c r="E2563">
        <v>55864999</v>
      </c>
      <c r="F2563" t="s">
        <v>2307</v>
      </c>
      <c r="G2563" t="str">
        <f t="shared" si="78"/>
        <v>PEI II</v>
      </c>
      <c r="H2563" t="s">
        <v>2194</v>
      </c>
      <c r="I2563" t="s">
        <v>20</v>
      </c>
      <c r="J2563" t="s">
        <v>64</v>
      </c>
      <c r="K2563" s="6">
        <v>0.03</v>
      </c>
      <c r="L2563" s="7">
        <f t="shared" si="79"/>
        <v>2E-3</v>
      </c>
      <c r="M2563" s="7">
        <v>3.0000000000000001E-3</v>
      </c>
      <c r="N2563">
        <v>11</v>
      </c>
      <c r="O2563" s="8">
        <v>21.329668724084634</v>
      </c>
      <c r="P2563" s="9">
        <v>21.329668724084634</v>
      </c>
      <c r="Q2563" s="9">
        <v>21.329668724084634</v>
      </c>
      <c r="R2563" s="9">
        <v>23.535187126233286</v>
      </c>
      <c r="S2563" s="9">
        <v>25.969348495460661</v>
      </c>
      <c r="T2563" s="9">
        <v>28.018652515052967</v>
      </c>
      <c r="U2563" s="9">
        <v>34.474261331240129</v>
      </c>
      <c r="V2563" s="9">
        <v>34.474261331240129</v>
      </c>
      <c r="W2563" s="9">
        <v>34.474261331240129</v>
      </c>
      <c r="X2563" s="9">
        <v>41.6797573977124</v>
      </c>
      <c r="Y2563" s="9">
        <v>41.6797573977124</v>
      </c>
      <c r="Z2563" s="9">
        <v>48.964357977567339</v>
      </c>
      <c r="AA2563" s="9">
        <v>48.964357977567339</v>
      </c>
      <c r="AB2563" s="9">
        <v>56.335973522143213</v>
      </c>
      <c r="AC2563" s="9">
        <v>56.335973522143213</v>
      </c>
      <c r="AD2563" s="9">
        <v>65.349051350310745</v>
      </c>
      <c r="AE2563" s="9">
        <v>72.305128962695434</v>
      </c>
      <c r="AF2563" s="9">
        <v>79.365490610542253</v>
      </c>
      <c r="AG2563" s="9">
        <v>79.365490610542253</v>
      </c>
      <c r="AH2563" s="9">
        <v>87.219003417886043</v>
      </c>
      <c r="AI2563" s="9">
        <v>95.054924275940976</v>
      </c>
      <c r="AJ2563" s="9">
        <v>3.0428788910505911</v>
      </c>
    </row>
    <row r="2564" spans="1:36" x14ac:dyDescent="0.25">
      <c r="A2564" t="s">
        <v>5411</v>
      </c>
      <c r="B2564" t="s">
        <v>16</v>
      </c>
      <c r="C2564" t="s">
        <v>17</v>
      </c>
      <c r="D2564">
        <v>55865000</v>
      </c>
      <c r="E2564">
        <v>55869999</v>
      </c>
      <c r="F2564" t="s">
        <v>2308</v>
      </c>
      <c r="G2564" t="str">
        <f t="shared" ref="G2564:G2627" si="80">H2564&amp;IF(J2564="CAPITAL","C",IF(J2564="INTERIOR","I",IF(J2564="INTERIOR II","I II","R")))</f>
        <v>PEI II</v>
      </c>
      <c r="H2564" t="s">
        <v>2194</v>
      </c>
      <c r="I2564" t="s">
        <v>20</v>
      </c>
      <c r="J2564" t="s">
        <v>64</v>
      </c>
      <c r="K2564" s="6">
        <v>0.03</v>
      </c>
      <c r="L2564" s="7">
        <f t="shared" ref="L2564:L2627" si="81">IF(I2564="(0) Não",0.2%,3%)</f>
        <v>2E-3</v>
      </c>
      <c r="M2564" s="7">
        <v>3.0000000000000001E-3</v>
      </c>
      <c r="N2564">
        <v>11</v>
      </c>
      <c r="O2564" s="8">
        <v>21.329668724084634</v>
      </c>
      <c r="P2564" s="9">
        <v>21.329668724084634</v>
      </c>
      <c r="Q2564" s="9">
        <v>21.329668724084634</v>
      </c>
      <c r="R2564" s="9">
        <v>23.535187126233286</v>
      </c>
      <c r="S2564" s="9">
        <v>25.969348495460661</v>
      </c>
      <c r="T2564" s="9">
        <v>28.018652515052967</v>
      </c>
      <c r="U2564" s="9">
        <v>34.474261331240129</v>
      </c>
      <c r="V2564" s="9">
        <v>34.474261331240129</v>
      </c>
      <c r="W2564" s="9">
        <v>34.474261331240129</v>
      </c>
      <c r="X2564" s="9">
        <v>41.6797573977124</v>
      </c>
      <c r="Y2564" s="9">
        <v>41.6797573977124</v>
      </c>
      <c r="Z2564" s="9">
        <v>48.964357977567339</v>
      </c>
      <c r="AA2564" s="9">
        <v>48.964357977567339</v>
      </c>
      <c r="AB2564" s="9">
        <v>56.335973522143213</v>
      </c>
      <c r="AC2564" s="9">
        <v>56.335973522143213</v>
      </c>
      <c r="AD2564" s="9">
        <v>65.349051350310745</v>
      </c>
      <c r="AE2564" s="9">
        <v>72.305128962695434</v>
      </c>
      <c r="AF2564" s="9">
        <v>79.365490610542253</v>
      </c>
      <c r="AG2564" s="9">
        <v>79.365490610542253</v>
      </c>
      <c r="AH2564" s="9">
        <v>87.219003417886043</v>
      </c>
      <c r="AI2564" s="9">
        <v>95.054924275940976</v>
      </c>
      <c r="AJ2564" s="9">
        <v>3.0428788910505911</v>
      </c>
    </row>
    <row r="2565" spans="1:36" x14ac:dyDescent="0.25">
      <c r="A2565" t="s">
        <v>5411</v>
      </c>
      <c r="B2565" t="s">
        <v>16</v>
      </c>
      <c r="C2565" t="s">
        <v>17</v>
      </c>
      <c r="D2565">
        <v>55870000</v>
      </c>
      <c r="E2565">
        <v>55879999</v>
      </c>
      <c r="F2565" t="s">
        <v>2309</v>
      </c>
      <c r="G2565" t="str">
        <f t="shared" si="80"/>
        <v>PEI</v>
      </c>
      <c r="H2565" t="s">
        <v>2194</v>
      </c>
      <c r="I2565" t="s">
        <v>20</v>
      </c>
      <c r="J2565" t="s">
        <v>62</v>
      </c>
      <c r="K2565" s="6">
        <v>0.03</v>
      </c>
      <c r="L2565" s="7">
        <f t="shared" si="81"/>
        <v>2E-3</v>
      </c>
      <c r="M2565" s="7">
        <v>3.0000000000000001E-3</v>
      </c>
      <c r="N2565">
        <v>11</v>
      </c>
      <c r="O2565" s="8">
        <v>17.362919062478753</v>
      </c>
      <c r="P2565" s="9">
        <v>17.362919062478753</v>
      </c>
      <c r="Q2565" s="9">
        <v>17.362919062478753</v>
      </c>
      <c r="R2565" s="9">
        <v>18.763077462609331</v>
      </c>
      <c r="S2565" s="9">
        <v>20.822367518100933</v>
      </c>
      <c r="T2565" s="9">
        <v>22.932657006868226</v>
      </c>
      <c r="U2565" s="9">
        <v>28.394641309673208</v>
      </c>
      <c r="V2565" s="9">
        <v>28.394641309673208</v>
      </c>
      <c r="W2565" s="9">
        <v>28.394641309673208</v>
      </c>
      <c r="X2565" s="9">
        <v>34.481353453939484</v>
      </c>
      <c r="Y2565" s="9">
        <v>34.481353453939484</v>
      </c>
      <c r="Z2565" s="9">
        <v>40.733986919834194</v>
      </c>
      <c r="AA2565" s="9">
        <v>40.733986919834194</v>
      </c>
      <c r="AB2565" s="9">
        <v>47.204537282413121</v>
      </c>
      <c r="AC2565" s="9">
        <v>47.204537282413121</v>
      </c>
      <c r="AD2565" s="9">
        <v>53.805016474910374</v>
      </c>
      <c r="AE2565" s="9">
        <v>60.552137154404392</v>
      </c>
      <c r="AF2565" s="9">
        <v>67.464818475061875</v>
      </c>
      <c r="AG2565" s="9">
        <v>67.464818475061875</v>
      </c>
      <c r="AH2565" s="9">
        <v>74.129442022189522</v>
      </c>
      <c r="AI2565" s="9">
        <v>81.304669029817305</v>
      </c>
      <c r="AJ2565" s="9">
        <v>3.0428788910505911</v>
      </c>
    </row>
    <row r="2566" spans="1:36" x14ac:dyDescent="0.25">
      <c r="A2566" t="s">
        <v>5411</v>
      </c>
      <c r="B2566" t="s">
        <v>16</v>
      </c>
      <c r="C2566" t="s">
        <v>17</v>
      </c>
      <c r="D2566">
        <v>55880000</v>
      </c>
      <c r="E2566">
        <v>55889999</v>
      </c>
      <c r="F2566" t="s">
        <v>2310</v>
      </c>
      <c r="G2566" t="str">
        <f t="shared" si="80"/>
        <v>PEI II</v>
      </c>
      <c r="H2566" t="s">
        <v>2194</v>
      </c>
      <c r="I2566" t="s">
        <v>20</v>
      </c>
      <c r="J2566" t="s">
        <v>64</v>
      </c>
      <c r="K2566" s="6">
        <v>0.03</v>
      </c>
      <c r="L2566" s="7">
        <f t="shared" si="81"/>
        <v>2E-3</v>
      </c>
      <c r="M2566" s="7">
        <v>3.0000000000000001E-3</v>
      </c>
      <c r="N2566">
        <v>11</v>
      </c>
      <c r="O2566" s="8">
        <v>21.329668724084634</v>
      </c>
      <c r="P2566" s="9">
        <v>21.329668724084634</v>
      </c>
      <c r="Q2566" s="9">
        <v>21.329668724084634</v>
      </c>
      <c r="R2566" s="9">
        <v>23.535187126233286</v>
      </c>
      <c r="S2566" s="9">
        <v>25.969348495460661</v>
      </c>
      <c r="T2566" s="9">
        <v>28.018652515052967</v>
      </c>
      <c r="U2566" s="9">
        <v>34.474261331240129</v>
      </c>
      <c r="V2566" s="9">
        <v>34.474261331240129</v>
      </c>
      <c r="W2566" s="9">
        <v>34.474261331240129</v>
      </c>
      <c r="X2566" s="9">
        <v>41.6797573977124</v>
      </c>
      <c r="Y2566" s="9">
        <v>41.6797573977124</v>
      </c>
      <c r="Z2566" s="9">
        <v>48.964357977567339</v>
      </c>
      <c r="AA2566" s="9">
        <v>48.964357977567339</v>
      </c>
      <c r="AB2566" s="9">
        <v>56.335973522143213</v>
      </c>
      <c r="AC2566" s="9">
        <v>56.335973522143213</v>
      </c>
      <c r="AD2566" s="9">
        <v>65.349051350310745</v>
      </c>
      <c r="AE2566" s="9">
        <v>72.305128962695434</v>
      </c>
      <c r="AF2566" s="9">
        <v>79.365490610542253</v>
      </c>
      <c r="AG2566" s="9">
        <v>79.365490610542253</v>
      </c>
      <c r="AH2566" s="9">
        <v>87.219003417886043</v>
      </c>
      <c r="AI2566" s="9">
        <v>95.054924275940976</v>
      </c>
      <c r="AJ2566" s="9">
        <v>3.0428788910505911</v>
      </c>
    </row>
    <row r="2567" spans="1:36" x14ac:dyDescent="0.25">
      <c r="A2567" t="s">
        <v>5411</v>
      </c>
      <c r="B2567" t="s">
        <v>16</v>
      </c>
      <c r="C2567" t="s">
        <v>17</v>
      </c>
      <c r="D2567">
        <v>55890000</v>
      </c>
      <c r="E2567">
        <v>55899999</v>
      </c>
      <c r="F2567" t="s">
        <v>2311</v>
      </c>
      <c r="G2567" t="str">
        <f t="shared" si="80"/>
        <v>PEI II</v>
      </c>
      <c r="H2567" t="s">
        <v>2194</v>
      </c>
      <c r="I2567" t="s">
        <v>20</v>
      </c>
      <c r="J2567" t="s">
        <v>64</v>
      </c>
      <c r="K2567" s="6">
        <v>0.03</v>
      </c>
      <c r="L2567" s="7">
        <f t="shared" si="81"/>
        <v>2E-3</v>
      </c>
      <c r="M2567" s="7">
        <v>3.0000000000000001E-3</v>
      </c>
      <c r="N2567">
        <v>11</v>
      </c>
      <c r="O2567" s="8">
        <v>21.329668724084634</v>
      </c>
      <c r="P2567" s="9">
        <v>21.329668724084634</v>
      </c>
      <c r="Q2567" s="9">
        <v>21.329668724084634</v>
      </c>
      <c r="R2567" s="9">
        <v>23.535187126233286</v>
      </c>
      <c r="S2567" s="9">
        <v>25.969348495460661</v>
      </c>
      <c r="T2567" s="9">
        <v>28.018652515052967</v>
      </c>
      <c r="U2567" s="9">
        <v>34.474261331240129</v>
      </c>
      <c r="V2567" s="9">
        <v>34.474261331240129</v>
      </c>
      <c r="W2567" s="9">
        <v>34.474261331240129</v>
      </c>
      <c r="X2567" s="9">
        <v>41.6797573977124</v>
      </c>
      <c r="Y2567" s="9">
        <v>41.6797573977124</v>
      </c>
      <c r="Z2567" s="9">
        <v>48.964357977567339</v>
      </c>
      <c r="AA2567" s="9">
        <v>48.964357977567339</v>
      </c>
      <c r="AB2567" s="9">
        <v>56.335973522143213</v>
      </c>
      <c r="AC2567" s="9">
        <v>56.335973522143213</v>
      </c>
      <c r="AD2567" s="9">
        <v>65.349051350310745</v>
      </c>
      <c r="AE2567" s="9">
        <v>72.305128962695434</v>
      </c>
      <c r="AF2567" s="9">
        <v>79.365490610542253</v>
      </c>
      <c r="AG2567" s="9">
        <v>79.365490610542253</v>
      </c>
      <c r="AH2567" s="9">
        <v>87.219003417886043</v>
      </c>
      <c r="AI2567" s="9">
        <v>95.054924275940976</v>
      </c>
      <c r="AJ2567" s="9">
        <v>3.0428788910505911</v>
      </c>
    </row>
    <row r="2568" spans="1:36" x14ac:dyDescent="0.25">
      <c r="A2568" t="s">
        <v>5411</v>
      </c>
      <c r="B2568" t="s">
        <v>16</v>
      </c>
      <c r="C2568" t="s">
        <v>17</v>
      </c>
      <c r="D2568">
        <v>55900000</v>
      </c>
      <c r="E2568">
        <v>55919999</v>
      </c>
      <c r="F2568" t="s">
        <v>1088</v>
      </c>
      <c r="G2568" t="str">
        <f t="shared" si="80"/>
        <v>PEI</v>
      </c>
      <c r="H2568" t="s">
        <v>2194</v>
      </c>
      <c r="I2568" t="s">
        <v>20</v>
      </c>
      <c r="J2568" t="s">
        <v>62</v>
      </c>
      <c r="K2568" s="6">
        <v>0.03</v>
      </c>
      <c r="L2568" s="7">
        <f t="shared" si="81"/>
        <v>2E-3</v>
      </c>
      <c r="M2568" s="7">
        <v>3.0000000000000001E-3</v>
      </c>
      <c r="N2568">
        <v>11</v>
      </c>
      <c r="O2568" s="8">
        <v>17.362919062478753</v>
      </c>
      <c r="P2568" s="9">
        <v>17.362919062478753</v>
      </c>
      <c r="Q2568" s="9">
        <v>17.362919062478753</v>
      </c>
      <c r="R2568" s="9">
        <v>18.763077462609331</v>
      </c>
      <c r="S2568" s="9">
        <v>20.822367518100933</v>
      </c>
      <c r="T2568" s="9">
        <v>22.932657006868226</v>
      </c>
      <c r="U2568" s="9">
        <v>28.394641309673208</v>
      </c>
      <c r="V2568" s="9">
        <v>28.394641309673208</v>
      </c>
      <c r="W2568" s="9">
        <v>28.394641309673208</v>
      </c>
      <c r="X2568" s="9">
        <v>34.481353453939484</v>
      </c>
      <c r="Y2568" s="9">
        <v>34.481353453939484</v>
      </c>
      <c r="Z2568" s="9">
        <v>40.733986919834194</v>
      </c>
      <c r="AA2568" s="9">
        <v>40.733986919834194</v>
      </c>
      <c r="AB2568" s="9">
        <v>47.204537282413121</v>
      </c>
      <c r="AC2568" s="9">
        <v>47.204537282413121</v>
      </c>
      <c r="AD2568" s="9">
        <v>53.805016474910374</v>
      </c>
      <c r="AE2568" s="9">
        <v>60.552137154404392</v>
      </c>
      <c r="AF2568" s="9">
        <v>67.464818475061875</v>
      </c>
      <c r="AG2568" s="9">
        <v>67.464818475061875</v>
      </c>
      <c r="AH2568" s="9">
        <v>74.129442022189522</v>
      </c>
      <c r="AI2568" s="9">
        <v>81.304669029817305</v>
      </c>
      <c r="AJ2568" s="9">
        <v>3.0428788910505911</v>
      </c>
    </row>
    <row r="2569" spans="1:36" x14ac:dyDescent="0.25">
      <c r="A2569" t="s">
        <v>5411</v>
      </c>
      <c r="B2569" t="s">
        <v>16</v>
      </c>
      <c r="C2569" t="s">
        <v>17</v>
      </c>
      <c r="D2569">
        <v>55920000</v>
      </c>
      <c r="E2569">
        <v>55929999</v>
      </c>
      <c r="F2569" t="s">
        <v>1802</v>
      </c>
      <c r="G2569" t="str">
        <f t="shared" si="80"/>
        <v>PEI II</v>
      </c>
      <c r="H2569" t="s">
        <v>2194</v>
      </c>
      <c r="I2569" t="s">
        <v>20</v>
      </c>
      <c r="J2569" t="s">
        <v>64</v>
      </c>
      <c r="K2569" s="6">
        <v>0.03</v>
      </c>
      <c r="L2569" s="7">
        <f t="shared" si="81"/>
        <v>2E-3</v>
      </c>
      <c r="M2569" s="7">
        <v>3.0000000000000001E-3</v>
      </c>
      <c r="N2569">
        <v>11</v>
      </c>
      <c r="O2569" s="8">
        <v>21.329668724084634</v>
      </c>
      <c r="P2569" s="9">
        <v>21.329668724084634</v>
      </c>
      <c r="Q2569" s="9">
        <v>21.329668724084634</v>
      </c>
      <c r="R2569" s="9">
        <v>23.535187126233286</v>
      </c>
      <c r="S2569" s="9">
        <v>25.969348495460661</v>
      </c>
      <c r="T2569" s="9">
        <v>28.018652515052967</v>
      </c>
      <c r="U2569" s="9">
        <v>34.474261331240129</v>
      </c>
      <c r="V2569" s="9">
        <v>34.474261331240129</v>
      </c>
      <c r="W2569" s="9">
        <v>34.474261331240129</v>
      </c>
      <c r="X2569" s="9">
        <v>41.6797573977124</v>
      </c>
      <c r="Y2569" s="9">
        <v>41.6797573977124</v>
      </c>
      <c r="Z2569" s="9">
        <v>48.964357977567339</v>
      </c>
      <c r="AA2569" s="9">
        <v>48.964357977567339</v>
      </c>
      <c r="AB2569" s="9">
        <v>56.335973522143213</v>
      </c>
      <c r="AC2569" s="9">
        <v>56.335973522143213</v>
      </c>
      <c r="AD2569" s="9">
        <v>65.349051350310745</v>
      </c>
      <c r="AE2569" s="9">
        <v>72.305128962695434</v>
      </c>
      <c r="AF2569" s="9">
        <v>79.365490610542253</v>
      </c>
      <c r="AG2569" s="9">
        <v>79.365490610542253</v>
      </c>
      <c r="AH2569" s="9">
        <v>87.219003417886043</v>
      </c>
      <c r="AI2569" s="9">
        <v>95.054924275940976</v>
      </c>
      <c r="AJ2569" s="9">
        <v>3.0428788910505911</v>
      </c>
    </row>
    <row r="2570" spans="1:36" x14ac:dyDescent="0.25">
      <c r="A2570" t="s">
        <v>5411</v>
      </c>
      <c r="B2570" t="s">
        <v>16</v>
      </c>
      <c r="C2570" t="s">
        <v>17</v>
      </c>
      <c r="D2570">
        <v>55930000</v>
      </c>
      <c r="E2570">
        <v>55939999</v>
      </c>
      <c r="F2570" t="s">
        <v>2312</v>
      </c>
      <c r="G2570" t="str">
        <f t="shared" si="80"/>
        <v>PEI II</v>
      </c>
      <c r="H2570" t="s">
        <v>2194</v>
      </c>
      <c r="I2570" t="s">
        <v>20</v>
      </c>
      <c r="J2570" t="s">
        <v>64</v>
      </c>
      <c r="K2570" s="6">
        <v>0.03</v>
      </c>
      <c r="L2570" s="7">
        <f t="shared" si="81"/>
        <v>2E-3</v>
      </c>
      <c r="M2570" s="7">
        <v>3.0000000000000001E-3</v>
      </c>
      <c r="N2570">
        <v>11</v>
      </c>
      <c r="O2570" s="8">
        <v>21.329668724084634</v>
      </c>
      <c r="P2570" s="9">
        <v>21.329668724084634</v>
      </c>
      <c r="Q2570" s="9">
        <v>21.329668724084634</v>
      </c>
      <c r="R2570" s="9">
        <v>23.535187126233286</v>
      </c>
      <c r="S2570" s="9">
        <v>25.969348495460661</v>
      </c>
      <c r="T2570" s="9">
        <v>28.018652515052967</v>
      </c>
      <c r="U2570" s="9">
        <v>34.474261331240129</v>
      </c>
      <c r="V2570" s="9">
        <v>34.474261331240129</v>
      </c>
      <c r="W2570" s="9">
        <v>34.474261331240129</v>
      </c>
      <c r="X2570" s="9">
        <v>41.6797573977124</v>
      </c>
      <c r="Y2570" s="9">
        <v>41.6797573977124</v>
      </c>
      <c r="Z2570" s="9">
        <v>48.964357977567339</v>
      </c>
      <c r="AA2570" s="9">
        <v>48.964357977567339</v>
      </c>
      <c r="AB2570" s="9">
        <v>56.335973522143213</v>
      </c>
      <c r="AC2570" s="9">
        <v>56.335973522143213</v>
      </c>
      <c r="AD2570" s="9">
        <v>65.349051350310745</v>
      </c>
      <c r="AE2570" s="9">
        <v>72.305128962695434</v>
      </c>
      <c r="AF2570" s="9">
        <v>79.365490610542253</v>
      </c>
      <c r="AG2570" s="9">
        <v>79.365490610542253</v>
      </c>
      <c r="AH2570" s="9">
        <v>87.219003417886043</v>
      </c>
      <c r="AI2570" s="9">
        <v>95.054924275940976</v>
      </c>
      <c r="AJ2570" s="9">
        <v>3.0428788910505911</v>
      </c>
    </row>
    <row r="2571" spans="1:36" x14ac:dyDescent="0.25">
      <c r="A2571" t="s">
        <v>5411</v>
      </c>
      <c r="B2571" t="s">
        <v>16</v>
      </c>
      <c r="C2571" t="s">
        <v>17</v>
      </c>
      <c r="D2571">
        <v>55940000</v>
      </c>
      <c r="E2571">
        <v>55949999</v>
      </c>
      <c r="F2571" t="s">
        <v>2313</v>
      </c>
      <c r="G2571" t="str">
        <f t="shared" si="80"/>
        <v>PEI II</v>
      </c>
      <c r="H2571" t="s">
        <v>2194</v>
      </c>
      <c r="I2571" t="s">
        <v>20</v>
      </c>
      <c r="J2571" t="s">
        <v>64</v>
      </c>
      <c r="K2571" s="6">
        <v>0.03</v>
      </c>
      <c r="L2571" s="7">
        <f t="shared" si="81"/>
        <v>2E-3</v>
      </c>
      <c r="M2571" s="7">
        <v>3.0000000000000001E-3</v>
      </c>
      <c r="N2571">
        <v>11</v>
      </c>
      <c r="O2571" s="8">
        <v>21.329668724084634</v>
      </c>
      <c r="P2571" s="9">
        <v>21.329668724084634</v>
      </c>
      <c r="Q2571" s="9">
        <v>21.329668724084634</v>
      </c>
      <c r="R2571" s="9">
        <v>23.535187126233286</v>
      </c>
      <c r="S2571" s="9">
        <v>25.969348495460661</v>
      </c>
      <c r="T2571" s="9">
        <v>28.018652515052967</v>
      </c>
      <c r="U2571" s="9">
        <v>34.474261331240129</v>
      </c>
      <c r="V2571" s="9">
        <v>34.474261331240129</v>
      </c>
      <c r="W2571" s="9">
        <v>34.474261331240129</v>
      </c>
      <c r="X2571" s="9">
        <v>41.6797573977124</v>
      </c>
      <c r="Y2571" s="9">
        <v>41.6797573977124</v>
      </c>
      <c r="Z2571" s="9">
        <v>48.964357977567339</v>
      </c>
      <c r="AA2571" s="9">
        <v>48.964357977567339</v>
      </c>
      <c r="AB2571" s="9">
        <v>56.335973522143213</v>
      </c>
      <c r="AC2571" s="9">
        <v>56.335973522143213</v>
      </c>
      <c r="AD2571" s="9">
        <v>65.349051350310745</v>
      </c>
      <c r="AE2571" s="9">
        <v>72.305128962695434</v>
      </c>
      <c r="AF2571" s="9">
        <v>79.365490610542253</v>
      </c>
      <c r="AG2571" s="9">
        <v>79.365490610542253</v>
      </c>
      <c r="AH2571" s="9">
        <v>87.219003417886043</v>
      </c>
      <c r="AI2571" s="9">
        <v>95.054924275940976</v>
      </c>
      <c r="AJ2571" s="9">
        <v>3.0428788910505911</v>
      </c>
    </row>
    <row r="2572" spans="1:36" x14ac:dyDescent="0.25">
      <c r="A2572" t="s">
        <v>5411</v>
      </c>
      <c r="B2572" t="s">
        <v>16</v>
      </c>
      <c r="C2572" t="s">
        <v>17</v>
      </c>
      <c r="D2572">
        <v>55950000</v>
      </c>
      <c r="E2572">
        <v>55999999</v>
      </c>
      <c r="F2572" t="s">
        <v>2314</v>
      </c>
      <c r="G2572" t="str">
        <f t="shared" si="80"/>
        <v>PEI II</v>
      </c>
      <c r="H2572" t="s">
        <v>2194</v>
      </c>
      <c r="I2572" t="s">
        <v>20</v>
      </c>
      <c r="J2572" t="s">
        <v>64</v>
      </c>
      <c r="K2572" s="6">
        <v>0.03</v>
      </c>
      <c r="L2572" s="7">
        <f t="shared" si="81"/>
        <v>2E-3</v>
      </c>
      <c r="M2572" s="7">
        <v>3.0000000000000001E-3</v>
      </c>
      <c r="N2572">
        <v>11</v>
      </c>
      <c r="O2572" s="8">
        <v>21.329668724084634</v>
      </c>
      <c r="P2572" s="9">
        <v>21.329668724084634</v>
      </c>
      <c r="Q2572" s="9">
        <v>21.329668724084634</v>
      </c>
      <c r="R2572" s="9">
        <v>23.535187126233286</v>
      </c>
      <c r="S2572" s="9">
        <v>25.969348495460661</v>
      </c>
      <c r="T2572" s="9">
        <v>28.018652515052967</v>
      </c>
      <c r="U2572" s="9">
        <v>34.474261331240129</v>
      </c>
      <c r="V2572" s="9">
        <v>34.474261331240129</v>
      </c>
      <c r="W2572" s="9">
        <v>34.474261331240129</v>
      </c>
      <c r="X2572" s="9">
        <v>41.6797573977124</v>
      </c>
      <c r="Y2572" s="9">
        <v>41.6797573977124</v>
      </c>
      <c r="Z2572" s="9">
        <v>48.964357977567339</v>
      </c>
      <c r="AA2572" s="9">
        <v>48.964357977567339</v>
      </c>
      <c r="AB2572" s="9">
        <v>56.335973522143213</v>
      </c>
      <c r="AC2572" s="9">
        <v>56.335973522143213</v>
      </c>
      <c r="AD2572" s="9">
        <v>65.349051350310745</v>
      </c>
      <c r="AE2572" s="9">
        <v>72.305128962695434</v>
      </c>
      <c r="AF2572" s="9">
        <v>79.365490610542253</v>
      </c>
      <c r="AG2572" s="9">
        <v>79.365490610542253</v>
      </c>
      <c r="AH2572" s="9">
        <v>87.219003417886043</v>
      </c>
      <c r="AI2572" s="9">
        <v>95.054924275940976</v>
      </c>
      <c r="AJ2572" s="9">
        <v>3.0428788910505911</v>
      </c>
    </row>
    <row r="2573" spans="1:36" x14ac:dyDescent="0.25">
      <c r="A2573" t="s">
        <v>5411</v>
      </c>
      <c r="B2573" t="s">
        <v>16</v>
      </c>
      <c r="C2573" t="s">
        <v>17</v>
      </c>
      <c r="D2573">
        <v>56000000</v>
      </c>
      <c r="E2573">
        <v>56119999</v>
      </c>
      <c r="F2573" t="s">
        <v>2315</v>
      </c>
      <c r="G2573" t="str">
        <f t="shared" si="80"/>
        <v>PEI</v>
      </c>
      <c r="H2573" t="s">
        <v>2194</v>
      </c>
      <c r="I2573" t="s">
        <v>20</v>
      </c>
      <c r="J2573" t="s">
        <v>62</v>
      </c>
      <c r="K2573" s="6">
        <v>0.03</v>
      </c>
      <c r="L2573" s="7">
        <f t="shared" si="81"/>
        <v>2E-3</v>
      </c>
      <c r="M2573" s="7">
        <v>3.0000000000000001E-3</v>
      </c>
      <c r="N2573">
        <v>11</v>
      </c>
      <c r="O2573" s="8">
        <v>17.362919062478753</v>
      </c>
      <c r="P2573" s="9">
        <v>17.362919062478753</v>
      </c>
      <c r="Q2573" s="9">
        <v>17.362919062478753</v>
      </c>
      <c r="R2573" s="9">
        <v>18.763077462609331</v>
      </c>
      <c r="S2573" s="9">
        <v>20.822367518100933</v>
      </c>
      <c r="T2573" s="9">
        <v>22.932657006868226</v>
      </c>
      <c r="U2573" s="9">
        <v>28.394641309673208</v>
      </c>
      <c r="V2573" s="9">
        <v>28.394641309673208</v>
      </c>
      <c r="W2573" s="9">
        <v>28.394641309673208</v>
      </c>
      <c r="X2573" s="9">
        <v>34.481353453939484</v>
      </c>
      <c r="Y2573" s="9">
        <v>34.481353453939484</v>
      </c>
      <c r="Z2573" s="9">
        <v>40.733986919834194</v>
      </c>
      <c r="AA2573" s="9">
        <v>40.733986919834194</v>
      </c>
      <c r="AB2573" s="9">
        <v>47.204537282413121</v>
      </c>
      <c r="AC2573" s="9">
        <v>47.204537282413121</v>
      </c>
      <c r="AD2573" s="9">
        <v>53.805016474910374</v>
      </c>
      <c r="AE2573" s="9">
        <v>60.552137154404392</v>
      </c>
      <c r="AF2573" s="9">
        <v>67.464818475061875</v>
      </c>
      <c r="AG2573" s="9">
        <v>67.464818475061875</v>
      </c>
      <c r="AH2573" s="9">
        <v>74.129442022189522</v>
      </c>
      <c r="AI2573" s="9">
        <v>81.304669029817305</v>
      </c>
      <c r="AJ2573" s="9">
        <v>3.0428788910505911</v>
      </c>
    </row>
    <row r="2574" spans="1:36" x14ac:dyDescent="0.25">
      <c r="A2574" t="s">
        <v>5411</v>
      </c>
      <c r="B2574" t="s">
        <v>16</v>
      </c>
      <c r="C2574" t="s">
        <v>17</v>
      </c>
      <c r="D2574">
        <v>56120000</v>
      </c>
      <c r="E2574">
        <v>56129999</v>
      </c>
      <c r="F2574" t="s">
        <v>2316</v>
      </c>
      <c r="G2574" t="str">
        <f t="shared" si="80"/>
        <v>PEI</v>
      </c>
      <c r="H2574" t="s">
        <v>2194</v>
      </c>
      <c r="I2574" t="s">
        <v>20</v>
      </c>
      <c r="J2574" t="s">
        <v>62</v>
      </c>
      <c r="K2574" s="6">
        <v>0.03</v>
      </c>
      <c r="L2574" s="7">
        <f t="shared" si="81"/>
        <v>2E-3</v>
      </c>
      <c r="M2574" s="7">
        <v>3.0000000000000001E-3</v>
      </c>
      <c r="N2574">
        <v>14</v>
      </c>
      <c r="O2574" s="8">
        <v>17.362919062478753</v>
      </c>
      <c r="P2574" s="9">
        <v>17.362919062478753</v>
      </c>
      <c r="Q2574" s="9">
        <v>17.362919062478753</v>
      </c>
      <c r="R2574" s="9">
        <v>18.763077462609331</v>
      </c>
      <c r="S2574" s="9">
        <v>20.822367518100933</v>
      </c>
      <c r="T2574" s="9">
        <v>22.932657006868226</v>
      </c>
      <c r="U2574" s="9">
        <v>28.394641309673208</v>
      </c>
      <c r="V2574" s="9">
        <v>28.394641309673208</v>
      </c>
      <c r="W2574" s="9">
        <v>28.394641309673208</v>
      </c>
      <c r="X2574" s="9">
        <v>34.481353453939484</v>
      </c>
      <c r="Y2574" s="9">
        <v>34.481353453939484</v>
      </c>
      <c r="Z2574" s="9">
        <v>40.733986919834194</v>
      </c>
      <c r="AA2574" s="9">
        <v>40.733986919834194</v>
      </c>
      <c r="AB2574" s="9">
        <v>47.204537282413121</v>
      </c>
      <c r="AC2574" s="9">
        <v>47.204537282413121</v>
      </c>
      <c r="AD2574" s="9">
        <v>53.805016474910374</v>
      </c>
      <c r="AE2574" s="9">
        <v>60.552137154404392</v>
      </c>
      <c r="AF2574" s="9">
        <v>67.464818475061875</v>
      </c>
      <c r="AG2574" s="9">
        <v>67.464818475061875</v>
      </c>
      <c r="AH2574" s="9">
        <v>74.129442022189522</v>
      </c>
      <c r="AI2574" s="9">
        <v>81.304669029817305</v>
      </c>
      <c r="AJ2574" s="9">
        <v>3.0428788910505911</v>
      </c>
    </row>
    <row r="2575" spans="1:36" x14ac:dyDescent="0.25">
      <c r="A2575" t="s">
        <v>5411</v>
      </c>
      <c r="B2575" t="s">
        <v>16</v>
      </c>
      <c r="C2575" t="s">
        <v>17</v>
      </c>
      <c r="D2575">
        <v>56130000</v>
      </c>
      <c r="E2575">
        <v>56139999</v>
      </c>
      <c r="F2575" t="s">
        <v>2317</v>
      </c>
      <c r="G2575" t="str">
        <f t="shared" si="80"/>
        <v>PEI</v>
      </c>
      <c r="H2575" t="s">
        <v>2194</v>
      </c>
      <c r="I2575" t="s">
        <v>20</v>
      </c>
      <c r="J2575" t="s">
        <v>62</v>
      </c>
      <c r="K2575" s="6">
        <v>0.03</v>
      </c>
      <c r="L2575" s="7">
        <f t="shared" si="81"/>
        <v>2E-3</v>
      </c>
      <c r="M2575" s="7">
        <v>3.0000000000000001E-3</v>
      </c>
      <c r="N2575">
        <v>14</v>
      </c>
      <c r="O2575" s="8">
        <v>17.362919062478753</v>
      </c>
      <c r="P2575" s="9">
        <v>17.362919062478753</v>
      </c>
      <c r="Q2575" s="9">
        <v>17.362919062478753</v>
      </c>
      <c r="R2575" s="9">
        <v>18.763077462609331</v>
      </c>
      <c r="S2575" s="9">
        <v>20.822367518100933</v>
      </c>
      <c r="T2575" s="9">
        <v>22.932657006868226</v>
      </c>
      <c r="U2575" s="9">
        <v>28.394641309673208</v>
      </c>
      <c r="V2575" s="9">
        <v>28.394641309673208</v>
      </c>
      <c r="W2575" s="9">
        <v>28.394641309673208</v>
      </c>
      <c r="X2575" s="9">
        <v>34.481353453939484</v>
      </c>
      <c r="Y2575" s="9">
        <v>34.481353453939484</v>
      </c>
      <c r="Z2575" s="9">
        <v>40.733986919834194</v>
      </c>
      <c r="AA2575" s="9">
        <v>40.733986919834194</v>
      </c>
      <c r="AB2575" s="9">
        <v>47.204537282413121</v>
      </c>
      <c r="AC2575" s="9">
        <v>47.204537282413121</v>
      </c>
      <c r="AD2575" s="9">
        <v>53.805016474910374</v>
      </c>
      <c r="AE2575" s="9">
        <v>60.552137154404392</v>
      </c>
      <c r="AF2575" s="9">
        <v>67.464818475061875</v>
      </c>
      <c r="AG2575" s="9">
        <v>67.464818475061875</v>
      </c>
      <c r="AH2575" s="9">
        <v>74.129442022189522</v>
      </c>
      <c r="AI2575" s="9">
        <v>81.304669029817305</v>
      </c>
      <c r="AJ2575" s="9">
        <v>3.0428788910505911</v>
      </c>
    </row>
    <row r="2576" spans="1:36" x14ac:dyDescent="0.25">
      <c r="A2576" t="s">
        <v>5411</v>
      </c>
      <c r="B2576" t="s">
        <v>16</v>
      </c>
      <c r="C2576" t="s">
        <v>17</v>
      </c>
      <c r="D2576">
        <v>56140000</v>
      </c>
      <c r="E2576">
        <v>56149999</v>
      </c>
      <c r="F2576" t="s">
        <v>2318</v>
      </c>
      <c r="G2576" t="str">
        <f t="shared" si="80"/>
        <v>PEI</v>
      </c>
      <c r="H2576" t="s">
        <v>2194</v>
      </c>
      <c r="I2576" t="s">
        <v>20</v>
      </c>
      <c r="J2576" t="s">
        <v>62</v>
      </c>
      <c r="K2576" s="6">
        <v>0.03</v>
      </c>
      <c r="L2576" s="7">
        <f t="shared" si="81"/>
        <v>2E-3</v>
      </c>
      <c r="M2576" s="7">
        <v>3.0000000000000001E-3</v>
      </c>
      <c r="N2576">
        <v>14</v>
      </c>
      <c r="O2576" s="8">
        <v>17.362919062478753</v>
      </c>
      <c r="P2576" s="9">
        <v>17.362919062478753</v>
      </c>
      <c r="Q2576" s="9">
        <v>17.362919062478753</v>
      </c>
      <c r="R2576" s="9">
        <v>18.763077462609331</v>
      </c>
      <c r="S2576" s="9">
        <v>20.822367518100933</v>
      </c>
      <c r="T2576" s="9">
        <v>22.932657006868226</v>
      </c>
      <c r="U2576" s="9">
        <v>28.394641309673208</v>
      </c>
      <c r="V2576" s="9">
        <v>28.394641309673208</v>
      </c>
      <c r="W2576" s="9">
        <v>28.394641309673208</v>
      </c>
      <c r="X2576" s="9">
        <v>34.481353453939484</v>
      </c>
      <c r="Y2576" s="9">
        <v>34.481353453939484</v>
      </c>
      <c r="Z2576" s="9">
        <v>40.733986919834194</v>
      </c>
      <c r="AA2576" s="9">
        <v>40.733986919834194</v>
      </c>
      <c r="AB2576" s="9">
        <v>47.204537282413121</v>
      </c>
      <c r="AC2576" s="9">
        <v>47.204537282413121</v>
      </c>
      <c r="AD2576" s="9">
        <v>53.805016474910374</v>
      </c>
      <c r="AE2576" s="9">
        <v>60.552137154404392</v>
      </c>
      <c r="AF2576" s="9">
        <v>67.464818475061875</v>
      </c>
      <c r="AG2576" s="9">
        <v>67.464818475061875</v>
      </c>
      <c r="AH2576" s="9">
        <v>74.129442022189522</v>
      </c>
      <c r="AI2576" s="9">
        <v>81.304669029817305</v>
      </c>
      <c r="AJ2576" s="9">
        <v>3.0428788910505911</v>
      </c>
    </row>
    <row r="2577" spans="1:36" x14ac:dyDescent="0.25">
      <c r="A2577" t="s">
        <v>5411</v>
      </c>
      <c r="B2577" t="s">
        <v>16</v>
      </c>
      <c r="C2577" t="s">
        <v>17</v>
      </c>
      <c r="D2577">
        <v>56150000</v>
      </c>
      <c r="E2577">
        <v>56159999</v>
      </c>
      <c r="F2577" t="s">
        <v>2319</v>
      </c>
      <c r="G2577" t="str">
        <f t="shared" si="80"/>
        <v>PEI II</v>
      </c>
      <c r="H2577" t="s">
        <v>2194</v>
      </c>
      <c r="I2577" t="s">
        <v>20</v>
      </c>
      <c r="J2577" t="s">
        <v>64</v>
      </c>
      <c r="K2577" s="6">
        <v>0.03</v>
      </c>
      <c r="L2577" s="7">
        <f t="shared" si="81"/>
        <v>2E-3</v>
      </c>
      <c r="M2577" s="7">
        <v>3.0000000000000001E-3</v>
      </c>
      <c r="N2577">
        <v>14</v>
      </c>
      <c r="O2577" s="8">
        <v>21.329668724084634</v>
      </c>
      <c r="P2577" s="9">
        <v>21.329668724084634</v>
      </c>
      <c r="Q2577" s="9">
        <v>21.329668724084634</v>
      </c>
      <c r="R2577" s="9">
        <v>23.535187126233286</v>
      </c>
      <c r="S2577" s="9">
        <v>25.969348495460661</v>
      </c>
      <c r="T2577" s="9">
        <v>28.018652515052967</v>
      </c>
      <c r="U2577" s="9">
        <v>34.474261331240129</v>
      </c>
      <c r="V2577" s="9">
        <v>34.474261331240129</v>
      </c>
      <c r="W2577" s="9">
        <v>34.474261331240129</v>
      </c>
      <c r="X2577" s="9">
        <v>41.6797573977124</v>
      </c>
      <c r="Y2577" s="9">
        <v>41.6797573977124</v>
      </c>
      <c r="Z2577" s="9">
        <v>48.964357977567339</v>
      </c>
      <c r="AA2577" s="9">
        <v>48.964357977567339</v>
      </c>
      <c r="AB2577" s="9">
        <v>56.335973522143213</v>
      </c>
      <c r="AC2577" s="9">
        <v>56.335973522143213</v>
      </c>
      <c r="AD2577" s="9">
        <v>65.349051350310745</v>
      </c>
      <c r="AE2577" s="9">
        <v>72.305128962695434</v>
      </c>
      <c r="AF2577" s="9">
        <v>79.365490610542253</v>
      </c>
      <c r="AG2577" s="9">
        <v>79.365490610542253</v>
      </c>
      <c r="AH2577" s="9">
        <v>87.219003417886043</v>
      </c>
      <c r="AI2577" s="9">
        <v>95.054924275940976</v>
      </c>
      <c r="AJ2577" s="9">
        <v>3.0428788910505911</v>
      </c>
    </row>
    <row r="2578" spans="1:36" x14ac:dyDescent="0.25">
      <c r="A2578" t="s">
        <v>5411</v>
      </c>
      <c r="B2578" t="s">
        <v>16</v>
      </c>
      <c r="C2578" t="s">
        <v>17</v>
      </c>
      <c r="D2578">
        <v>56160000</v>
      </c>
      <c r="E2578">
        <v>56162999</v>
      </c>
      <c r="F2578" t="s">
        <v>2320</v>
      </c>
      <c r="G2578" t="str">
        <f t="shared" si="80"/>
        <v>PEI II</v>
      </c>
      <c r="H2578" t="s">
        <v>2194</v>
      </c>
      <c r="I2578" t="s">
        <v>20</v>
      </c>
      <c r="J2578" t="s">
        <v>64</v>
      </c>
      <c r="K2578" s="6">
        <v>0.03</v>
      </c>
      <c r="L2578" s="7">
        <f t="shared" si="81"/>
        <v>2E-3</v>
      </c>
      <c r="M2578" s="7">
        <v>3.0000000000000001E-3</v>
      </c>
      <c r="N2578">
        <v>14</v>
      </c>
      <c r="O2578" s="8">
        <v>21.329668724084634</v>
      </c>
      <c r="P2578" s="9">
        <v>21.329668724084634</v>
      </c>
      <c r="Q2578" s="9">
        <v>21.329668724084634</v>
      </c>
      <c r="R2578" s="9">
        <v>23.535187126233286</v>
      </c>
      <c r="S2578" s="9">
        <v>25.969348495460661</v>
      </c>
      <c r="T2578" s="9">
        <v>28.018652515052967</v>
      </c>
      <c r="U2578" s="9">
        <v>34.474261331240129</v>
      </c>
      <c r="V2578" s="9">
        <v>34.474261331240129</v>
      </c>
      <c r="W2578" s="9">
        <v>34.474261331240129</v>
      </c>
      <c r="X2578" s="9">
        <v>41.6797573977124</v>
      </c>
      <c r="Y2578" s="9">
        <v>41.6797573977124</v>
      </c>
      <c r="Z2578" s="9">
        <v>48.964357977567339</v>
      </c>
      <c r="AA2578" s="9">
        <v>48.964357977567339</v>
      </c>
      <c r="AB2578" s="9">
        <v>56.335973522143213</v>
      </c>
      <c r="AC2578" s="9">
        <v>56.335973522143213</v>
      </c>
      <c r="AD2578" s="9">
        <v>65.349051350310745</v>
      </c>
      <c r="AE2578" s="9">
        <v>72.305128962695434</v>
      </c>
      <c r="AF2578" s="9">
        <v>79.365490610542253</v>
      </c>
      <c r="AG2578" s="9">
        <v>79.365490610542253</v>
      </c>
      <c r="AH2578" s="9">
        <v>87.219003417886043</v>
      </c>
      <c r="AI2578" s="9">
        <v>95.054924275940976</v>
      </c>
      <c r="AJ2578" s="9">
        <v>3.0428788910505911</v>
      </c>
    </row>
    <row r="2579" spans="1:36" x14ac:dyDescent="0.25">
      <c r="A2579" t="s">
        <v>5411</v>
      </c>
      <c r="B2579" t="s">
        <v>16</v>
      </c>
      <c r="C2579" t="s">
        <v>17</v>
      </c>
      <c r="D2579">
        <v>56163000</v>
      </c>
      <c r="E2579">
        <v>56169999</v>
      </c>
      <c r="F2579" t="s">
        <v>2321</v>
      </c>
      <c r="G2579" t="str">
        <f t="shared" si="80"/>
        <v>PEI</v>
      </c>
      <c r="H2579" t="s">
        <v>2194</v>
      </c>
      <c r="I2579" t="s">
        <v>20</v>
      </c>
      <c r="J2579" t="s">
        <v>62</v>
      </c>
      <c r="K2579" s="6">
        <v>0.03</v>
      </c>
      <c r="L2579" s="7">
        <f t="shared" si="81"/>
        <v>2E-3</v>
      </c>
      <c r="M2579" s="7">
        <v>3.0000000000000001E-3</v>
      </c>
      <c r="N2579">
        <v>14</v>
      </c>
      <c r="O2579" s="8">
        <v>17.362919062478753</v>
      </c>
      <c r="P2579" s="9">
        <v>17.362919062478753</v>
      </c>
      <c r="Q2579" s="9">
        <v>17.362919062478753</v>
      </c>
      <c r="R2579" s="9">
        <v>18.763077462609331</v>
      </c>
      <c r="S2579" s="9">
        <v>20.822367518100933</v>
      </c>
      <c r="T2579" s="9">
        <v>22.932657006868226</v>
      </c>
      <c r="U2579" s="9">
        <v>28.394641309673208</v>
      </c>
      <c r="V2579" s="9">
        <v>28.394641309673208</v>
      </c>
      <c r="W2579" s="9">
        <v>28.394641309673208</v>
      </c>
      <c r="X2579" s="9">
        <v>34.481353453939484</v>
      </c>
      <c r="Y2579" s="9">
        <v>34.481353453939484</v>
      </c>
      <c r="Z2579" s="9">
        <v>40.733986919834194</v>
      </c>
      <c r="AA2579" s="9">
        <v>40.733986919834194</v>
      </c>
      <c r="AB2579" s="9">
        <v>47.204537282413121</v>
      </c>
      <c r="AC2579" s="9">
        <v>47.204537282413121</v>
      </c>
      <c r="AD2579" s="9">
        <v>53.805016474910374</v>
      </c>
      <c r="AE2579" s="9">
        <v>60.552137154404392</v>
      </c>
      <c r="AF2579" s="9">
        <v>67.464818475061875</v>
      </c>
      <c r="AG2579" s="9">
        <v>67.464818475061875</v>
      </c>
      <c r="AH2579" s="9">
        <v>74.129442022189522</v>
      </c>
      <c r="AI2579" s="9">
        <v>81.304669029817305</v>
      </c>
      <c r="AJ2579" s="9">
        <v>3.0428788910505911</v>
      </c>
    </row>
    <row r="2580" spans="1:36" x14ac:dyDescent="0.25">
      <c r="A2580" t="s">
        <v>5411</v>
      </c>
      <c r="B2580" t="s">
        <v>16</v>
      </c>
      <c r="C2580" t="s">
        <v>17</v>
      </c>
      <c r="D2580">
        <v>56170000</v>
      </c>
      <c r="E2580">
        <v>56179999</v>
      </c>
      <c r="F2580" t="s">
        <v>2322</v>
      </c>
      <c r="G2580" t="str">
        <f t="shared" si="80"/>
        <v>PEI II</v>
      </c>
      <c r="H2580" t="s">
        <v>2194</v>
      </c>
      <c r="I2580" t="s">
        <v>20</v>
      </c>
      <c r="J2580" t="s">
        <v>64</v>
      </c>
      <c r="K2580" s="6">
        <v>0.03</v>
      </c>
      <c r="L2580" s="7">
        <f t="shared" si="81"/>
        <v>2E-3</v>
      </c>
      <c r="M2580" s="7">
        <v>3.0000000000000001E-3</v>
      </c>
      <c r="N2580">
        <v>11</v>
      </c>
      <c r="O2580" s="8">
        <v>21.329668724084634</v>
      </c>
      <c r="P2580" s="9">
        <v>21.329668724084634</v>
      </c>
      <c r="Q2580" s="9">
        <v>21.329668724084634</v>
      </c>
      <c r="R2580" s="9">
        <v>23.535187126233286</v>
      </c>
      <c r="S2580" s="9">
        <v>25.969348495460661</v>
      </c>
      <c r="T2580" s="9">
        <v>28.018652515052967</v>
      </c>
      <c r="U2580" s="9">
        <v>34.474261331240129</v>
      </c>
      <c r="V2580" s="9">
        <v>34.474261331240129</v>
      </c>
      <c r="W2580" s="9">
        <v>34.474261331240129</v>
      </c>
      <c r="X2580" s="9">
        <v>41.6797573977124</v>
      </c>
      <c r="Y2580" s="9">
        <v>41.6797573977124</v>
      </c>
      <c r="Z2580" s="9">
        <v>48.964357977567339</v>
      </c>
      <c r="AA2580" s="9">
        <v>48.964357977567339</v>
      </c>
      <c r="AB2580" s="9">
        <v>56.335973522143213</v>
      </c>
      <c r="AC2580" s="9">
        <v>56.335973522143213</v>
      </c>
      <c r="AD2580" s="9">
        <v>65.349051350310745</v>
      </c>
      <c r="AE2580" s="9">
        <v>72.305128962695434</v>
      </c>
      <c r="AF2580" s="9">
        <v>79.365490610542253</v>
      </c>
      <c r="AG2580" s="9">
        <v>79.365490610542253</v>
      </c>
      <c r="AH2580" s="9">
        <v>87.219003417886043</v>
      </c>
      <c r="AI2580" s="9">
        <v>95.054924275940976</v>
      </c>
      <c r="AJ2580" s="9">
        <v>3.0428788910505911</v>
      </c>
    </row>
    <row r="2581" spans="1:36" x14ac:dyDescent="0.25">
      <c r="A2581" t="s">
        <v>5411</v>
      </c>
      <c r="B2581" t="s">
        <v>16</v>
      </c>
      <c r="C2581" t="s">
        <v>17</v>
      </c>
      <c r="D2581">
        <v>56180000</v>
      </c>
      <c r="E2581">
        <v>56189999</v>
      </c>
      <c r="F2581" t="s">
        <v>2323</v>
      </c>
      <c r="G2581" t="str">
        <f t="shared" si="80"/>
        <v>PEI II</v>
      </c>
      <c r="H2581" t="s">
        <v>2194</v>
      </c>
      <c r="I2581" t="s">
        <v>20</v>
      </c>
      <c r="J2581" t="s">
        <v>64</v>
      </c>
      <c r="K2581" s="6">
        <v>0.03</v>
      </c>
      <c r="L2581" s="7">
        <f t="shared" si="81"/>
        <v>2E-3</v>
      </c>
      <c r="M2581" s="7">
        <v>3.0000000000000001E-3</v>
      </c>
      <c r="N2581">
        <v>11</v>
      </c>
      <c r="O2581" s="8">
        <v>21.329668724084634</v>
      </c>
      <c r="P2581" s="9">
        <v>21.329668724084634</v>
      </c>
      <c r="Q2581" s="9">
        <v>21.329668724084634</v>
      </c>
      <c r="R2581" s="9">
        <v>23.535187126233286</v>
      </c>
      <c r="S2581" s="9">
        <v>25.969348495460661</v>
      </c>
      <c r="T2581" s="9">
        <v>28.018652515052967</v>
      </c>
      <c r="U2581" s="9">
        <v>34.474261331240129</v>
      </c>
      <c r="V2581" s="9">
        <v>34.474261331240129</v>
      </c>
      <c r="W2581" s="9">
        <v>34.474261331240129</v>
      </c>
      <c r="X2581" s="9">
        <v>41.6797573977124</v>
      </c>
      <c r="Y2581" s="9">
        <v>41.6797573977124</v>
      </c>
      <c r="Z2581" s="9">
        <v>48.964357977567339</v>
      </c>
      <c r="AA2581" s="9">
        <v>48.964357977567339</v>
      </c>
      <c r="AB2581" s="9">
        <v>56.335973522143213</v>
      </c>
      <c r="AC2581" s="9">
        <v>56.335973522143213</v>
      </c>
      <c r="AD2581" s="9">
        <v>65.349051350310745</v>
      </c>
      <c r="AE2581" s="9">
        <v>72.305128962695434</v>
      </c>
      <c r="AF2581" s="9">
        <v>79.365490610542253</v>
      </c>
      <c r="AG2581" s="9">
        <v>79.365490610542253</v>
      </c>
      <c r="AH2581" s="9">
        <v>87.219003417886043</v>
      </c>
      <c r="AI2581" s="9">
        <v>95.054924275940976</v>
      </c>
      <c r="AJ2581" s="9">
        <v>3.0428788910505911</v>
      </c>
    </row>
    <row r="2582" spans="1:36" x14ac:dyDescent="0.25">
      <c r="A2582" t="s">
        <v>5411</v>
      </c>
      <c r="B2582" t="s">
        <v>16</v>
      </c>
      <c r="C2582" t="s">
        <v>17</v>
      </c>
      <c r="D2582">
        <v>56190000</v>
      </c>
      <c r="E2582">
        <v>56199999</v>
      </c>
      <c r="F2582" t="s">
        <v>1721</v>
      </c>
      <c r="G2582" t="str">
        <f t="shared" si="80"/>
        <v>PEI</v>
      </c>
      <c r="H2582" t="s">
        <v>2194</v>
      </c>
      <c r="I2582" t="s">
        <v>20</v>
      </c>
      <c r="J2582" t="s">
        <v>62</v>
      </c>
      <c r="K2582" s="6">
        <v>0.03</v>
      </c>
      <c r="L2582" s="7">
        <f t="shared" si="81"/>
        <v>2E-3</v>
      </c>
      <c r="M2582" s="7">
        <v>3.0000000000000001E-3</v>
      </c>
      <c r="N2582">
        <v>14</v>
      </c>
      <c r="O2582" s="8">
        <v>17.362919062478753</v>
      </c>
      <c r="P2582" s="9">
        <v>17.362919062478753</v>
      </c>
      <c r="Q2582" s="9">
        <v>17.362919062478753</v>
      </c>
      <c r="R2582" s="9">
        <v>18.763077462609331</v>
      </c>
      <c r="S2582" s="9">
        <v>20.822367518100933</v>
      </c>
      <c r="T2582" s="9">
        <v>22.932657006868226</v>
      </c>
      <c r="U2582" s="9">
        <v>28.394641309673208</v>
      </c>
      <c r="V2582" s="9">
        <v>28.394641309673208</v>
      </c>
      <c r="W2582" s="9">
        <v>28.394641309673208</v>
      </c>
      <c r="X2582" s="9">
        <v>34.481353453939484</v>
      </c>
      <c r="Y2582" s="9">
        <v>34.481353453939484</v>
      </c>
      <c r="Z2582" s="9">
        <v>40.733986919834194</v>
      </c>
      <c r="AA2582" s="9">
        <v>40.733986919834194</v>
      </c>
      <c r="AB2582" s="9">
        <v>47.204537282413121</v>
      </c>
      <c r="AC2582" s="9">
        <v>47.204537282413121</v>
      </c>
      <c r="AD2582" s="9">
        <v>53.805016474910374</v>
      </c>
      <c r="AE2582" s="9">
        <v>60.552137154404392</v>
      </c>
      <c r="AF2582" s="9">
        <v>67.464818475061875</v>
      </c>
      <c r="AG2582" s="9">
        <v>67.464818475061875</v>
      </c>
      <c r="AH2582" s="9">
        <v>74.129442022189522</v>
      </c>
      <c r="AI2582" s="9">
        <v>81.304669029817305</v>
      </c>
      <c r="AJ2582" s="9">
        <v>3.0428788910505911</v>
      </c>
    </row>
    <row r="2583" spans="1:36" x14ac:dyDescent="0.25">
      <c r="A2583" t="s">
        <v>5411</v>
      </c>
      <c r="B2583" t="s">
        <v>16</v>
      </c>
      <c r="C2583" t="s">
        <v>17</v>
      </c>
      <c r="D2583">
        <v>56200000</v>
      </c>
      <c r="E2583">
        <v>56209999</v>
      </c>
      <c r="F2583" t="s">
        <v>2324</v>
      </c>
      <c r="G2583" t="str">
        <f t="shared" si="80"/>
        <v>PEI</v>
      </c>
      <c r="H2583" t="s">
        <v>2194</v>
      </c>
      <c r="I2583" t="s">
        <v>20</v>
      </c>
      <c r="J2583" t="s">
        <v>62</v>
      </c>
      <c r="K2583" s="6">
        <v>0.03</v>
      </c>
      <c r="L2583" s="7">
        <f t="shared" si="81"/>
        <v>2E-3</v>
      </c>
      <c r="M2583" s="7">
        <v>3.0000000000000001E-3</v>
      </c>
      <c r="N2583">
        <v>13</v>
      </c>
      <c r="O2583" s="8">
        <v>17.362919062478753</v>
      </c>
      <c r="P2583" s="9">
        <v>17.362919062478753</v>
      </c>
      <c r="Q2583" s="9">
        <v>17.362919062478753</v>
      </c>
      <c r="R2583" s="9">
        <v>18.763077462609331</v>
      </c>
      <c r="S2583" s="9">
        <v>20.822367518100933</v>
      </c>
      <c r="T2583" s="9">
        <v>22.932657006868226</v>
      </c>
      <c r="U2583" s="9">
        <v>28.394641309673208</v>
      </c>
      <c r="V2583" s="9">
        <v>28.394641309673208</v>
      </c>
      <c r="W2583" s="9">
        <v>28.394641309673208</v>
      </c>
      <c r="X2583" s="9">
        <v>34.481353453939484</v>
      </c>
      <c r="Y2583" s="9">
        <v>34.481353453939484</v>
      </c>
      <c r="Z2583" s="9">
        <v>40.733986919834194</v>
      </c>
      <c r="AA2583" s="9">
        <v>40.733986919834194</v>
      </c>
      <c r="AB2583" s="9">
        <v>47.204537282413121</v>
      </c>
      <c r="AC2583" s="9">
        <v>47.204537282413121</v>
      </c>
      <c r="AD2583" s="9">
        <v>53.805016474910374</v>
      </c>
      <c r="AE2583" s="9">
        <v>60.552137154404392</v>
      </c>
      <c r="AF2583" s="9">
        <v>67.464818475061875</v>
      </c>
      <c r="AG2583" s="9">
        <v>67.464818475061875</v>
      </c>
      <c r="AH2583" s="9">
        <v>74.129442022189522</v>
      </c>
      <c r="AI2583" s="9">
        <v>81.304669029817305</v>
      </c>
      <c r="AJ2583" s="9">
        <v>3.0428788910505911</v>
      </c>
    </row>
    <row r="2584" spans="1:36" x14ac:dyDescent="0.25">
      <c r="A2584" t="s">
        <v>5411</v>
      </c>
      <c r="B2584" t="s">
        <v>16</v>
      </c>
      <c r="C2584" t="s">
        <v>17</v>
      </c>
      <c r="D2584">
        <v>56210000</v>
      </c>
      <c r="E2584">
        <v>56214999</v>
      </c>
      <c r="F2584" t="s">
        <v>2325</v>
      </c>
      <c r="G2584" t="str">
        <f t="shared" si="80"/>
        <v>PEI II</v>
      </c>
      <c r="H2584" t="s">
        <v>2194</v>
      </c>
      <c r="I2584" t="s">
        <v>20</v>
      </c>
      <c r="J2584" t="s">
        <v>64</v>
      </c>
      <c r="K2584" s="6">
        <v>0.03</v>
      </c>
      <c r="L2584" s="7">
        <f t="shared" si="81"/>
        <v>2E-3</v>
      </c>
      <c r="M2584" s="7">
        <v>3.0000000000000001E-3</v>
      </c>
      <c r="N2584">
        <v>14</v>
      </c>
      <c r="O2584" s="8">
        <v>21.329668724084634</v>
      </c>
      <c r="P2584" s="9">
        <v>21.329668724084634</v>
      </c>
      <c r="Q2584" s="9">
        <v>21.329668724084634</v>
      </c>
      <c r="R2584" s="9">
        <v>23.535187126233286</v>
      </c>
      <c r="S2584" s="9">
        <v>25.969348495460661</v>
      </c>
      <c r="T2584" s="9">
        <v>28.018652515052967</v>
      </c>
      <c r="U2584" s="9">
        <v>34.474261331240129</v>
      </c>
      <c r="V2584" s="9">
        <v>34.474261331240129</v>
      </c>
      <c r="W2584" s="9">
        <v>34.474261331240129</v>
      </c>
      <c r="X2584" s="9">
        <v>41.6797573977124</v>
      </c>
      <c r="Y2584" s="9">
        <v>41.6797573977124</v>
      </c>
      <c r="Z2584" s="9">
        <v>48.964357977567339</v>
      </c>
      <c r="AA2584" s="9">
        <v>48.964357977567339</v>
      </c>
      <c r="AB2584" s="9">
        <v>56.335973522143213</v>
      </c>
      <c r="AC2584" s="9">
        <v>56.335973522143213</v>
      </c>
      <c r="AD2584" s="9">
        <v>65.349051350310745</v>
      </c>
      <c r="AE2584" s="9">
        <v>72.305128962695434</v>
      </c>
      <c r="AF2584" s="9">
        <v>79.365490610542253</v>
      </c>
      <c r="AG2584" s="9">
        <v>79.365490610542253</v>
      </c>
      <c r="AH2584" s="9">
        <v>87.219003417886043</v>
      </c>
      <c r="AI2584" s="9">
        <v>95.054924275940976</v>
      </c>
      <c r="AJ2584" s="9">
        <v>3.0428788910505911</v>
      </c>
    </row>
    <row r="2585" spans="1:36" x14ac:dyDescent="0.25">
      <c r="A2585" t="s">
        <v>5411</v>
      </c>
      <c r="B2585" t="s">
        <v>16</v>
      </c>
      <c r="C2585" t="s">
        <v>17</v>
      </c>
      <c r="D2585">
        <v>56215000</v>
      </c>
      <c r="E2585">
        <v>56219999</v>
      </c>
      <c r="F2585" t="s">
        <v>2326</v>
      </c>
      <c r="G2585" t="str">
        <f t="shared" si="80"/>
        <v>PEI II</v>
      </c>
      <c r="H2585" t="s">
        <v>2194</v>
      </c>
      <c r="I2585" t="s">
        <v>20</v>
      </c>
      <c r="J2585" t="s">
        <v>64</v>
      </c>
      <c r="K2585" s="6">
        <v>0.03</v>
      </c>
      <c r="L2585" s="7">
        <f t="shared" si="81"/>
        <v>2E-3</v>
      </c>
      <c r="M2585" s="7">
        <v>3.0000000000000001E-3</v>
      </c>
      <c r="N2585">
        <v>14</v>
      </c>
      <c r="O2585" s="8">
        <v>21.329668724084634</v>
      </c>
      <c r="P2585" s="9">
        <v>21.329668724084634</v>
      </c>
      <c r="Q2585" s="9">
        <v>21.329668724084634</v>
      </c>
      <c r="R2585" s="9">
        <v>23.535187126233286</v>
      </c>
      <c r="S2585" s="9">
        <v>25.969348495460661</v>
      </c>
      <c r="T2585" s="9">
        <v>28.018652515052967</v>
      </c>
      <c r="U2585" s="9">
        <v>34.474261331240129</v>
      </c>
      <c r="V2585" s="9">
        <v>34.474261331240129</v>
      </c>
      <c r="W2585" s="9">
        <v>34.474261331240129</v>
      </c>
      <c r="X2585" s="9">
        <v>41.6797573977124</v>
      </c>
      <c r="Y2585" s="9">
        <v>41.6797573977124</v>
      </c>
      <c r="Z2585" s="9">
        <v>48.964357977567339</v>
      </c>
      <c r="AA2585" s="9">
        <v>48.964357977567339</v>
      </c>
      <c r="AB2585" s="9">
        <v>56.335973522143213</v>
      </c>
      <c r="AC2585" s="9">
        <v>56.335973522143213</v>
      </c>
      <c r="AD2585" s="9">
        <v>65.349051350310745</v>
      </c>
      <c r="AE2585" s="9">
        <v>72.305128962695434</v>
      </c>
      <c r="AF2585" s="9">
        <v>79.365490610542253</v>
      </c>
      <c r="AG2585" s="9">
        <v>79.365490610542253</v>
      </c>
      <c r="AH2585" s="9">
        <v>87.219003417886043</v>
      </c>
      <c r="AI2585" s="9">
        <v>95.054924275940976</v>
      </c>
      <c r="AJ2585" s="9">
        <v>3.0428788910505911</v>
      </c>
    </row>
    <row r="2586" spans="1:36" x14ac:dyDescent="0.25">
      <c r="A2586" t="s">
        <v>5411</v>
      </c>
      <c r="B2586" t="s">
        <v>16</v>
      </c>
      <c r="C2586" t="s">
        <v>17</v>
      </c>
      <c r="D2586">
        <v>56220000</v>
      </c>
      <c r="E2586">
        <v>56229999</v>
      </c>
      <c r="F2586" t="s">
        <v>2327</v>
      </c>
      <c r="G2586" t="str">
        <f t="shared" si="80"/>
        <v>PEI II</v>
      </c>
      <c r="H2586" t="s">
        <v>2194</v>
      </c>
      <c r="I2586" t="s">
        <v>20</v>
      </c>
      <c r="J2586" t="s">
        <v>64</v>
      </c>
      <c r="K2586" s="6">
        <v>0.03</v>
      </c>
      <c r="L2586" s="7">
        <f t="shared" si="81"/>
        <v>2E-3</v>
      </c>
      <c r="M2586" s="7">
        <v>3.0000000000000001E-3</v>
      </c>
      <c r="N2586">
        <v>14</v>
      </c>
      <c r="O2586" s="8">
        <v>21.329668724084634</v>
      </c>
      <c r="P2586" s="9">
        <v>21.329668724084634</v>
      </c>
      <c r="Q2586" s="9">
        <v>21.329668724084634</v>
      </c>
      <c r="R2586" s="9">
        <v>23.535187126233286</v>
      </c>
      <c r="S2586" s="9">
        <v>25.969348495460661</v>
      </c>
      <c r="T2586" s="9">
        <v>28.018652515052967</v>
      </c>
      <c r="U2586" s="9">
        <v>34.474261331240129</v>
      </c>
      <c r="V2586" s="9">
        <v>34.474261331240129</v>
      </c>
      <c r="W2586" s="9">
        <v>34.474261331240129</v>
      </c>
      <c r="X2586" s="9">
        <v>41.6797573977124</v>
      </c>
      <c r="Y2586" s="9">
        <v>41.6797573977124</v>
      </c>
      <c r="Z2586" s="9">
        <v>48.964357977567339</v>
      </c>
      <c r="AA2586" s="9">
        <v>48.964357977567339</v>
      </c>
      <c r="AB2586" s="9">
        <v>56.335973522143213</v>
      </c>
      <c r="AC2586" s="9">
        <v>56.335973522143213</v>
      </c>
      <c r="AD2586" s="9">
        <v>65.349051350310745</v>
      </c>
      <c r="AE2586" s="9">
        <v>72.305128962695434</v>
      </c>
      <c r="AF2586" s="9">
        <v>79.365490610542253</v>
      </c>
      <c r="AG2586" s="9">
        <v>79.365490610542253</v>
      </c>
      <c r="AH2586" s="9">
        <v>87.219003417886043</v>
      </c>
      <c r="AI2586" s="9">
        <v>95.054924275940976</v>
      </c>
      <c r="AJ2586" s="9">
        <v>3.0428788910505911</v>
      </c>
    </row>
    <row r="2587" spans="1:36" x14ac:dyDescent="0.25">
      <c r="A2587" t="s">
        <v>5411</v>
      </c>
      <c r="B2587" t="s">
        <v>16</v>
      </c>
      <c r="C2587" t="s">
        <v>17</v>
      </c>
      <c r="D2587">
        <v>56230000</v>
      </c>
      <c r="E2587">
        <v>56249999</v>
      </c>
      <c r="F2587" t="s">
        <v>2328</v>
      </c>
      <c r="G2587" t="str">
        <f t="shared" si="80"/>
        <v>PEI II</v>
      </c>
      <c r="H2587" t="s">
        <v>2194</v>
      </c>
      <c r="I2587" t="s">
        <v>20</v>
      </c>
      <c r="J2587" t="s">
        <v>64</v>
      </c>
      <c r="K2587" s="6">
        <v>0.03</v>
      </c>
      <c r="L2587" s="7">
        <f t="shared" si="81"/>
        <v>2E-3</v>
      </c>
      <c r="M2587" s="7">
        <v>3.0000000000000001E-3</v>
      </c>
      <c r="N2587">
        <v>14</v>
      </c>
      <c r="O2587" s="8">
        <v>21.329668724084634</v>
      </c>
      <c r="P2587" s="9">
        <v>21.329668724084634</v>
      </c>
      <c r="Q2587" s="9">
        <v>21.329668724084634</v>
      </c>
      <c r="R2587" s="9">
        <v>23.535187126233286</v>
      </c>
      <c r="S2587" s="9">
        <v>25.969348495460661</v>
      </c>
      <c r="T2587" s="9">
        <v>28.018652515052967</v>
      </c>
      <c r="U2587" s="9">
        <v>34.474261331240129</v>
      </c>
      <c r="V2587" s="9">
        <v>34.474261331240129</v>
      </c>
      <c r="W2587" s="9">
        <v>34.474261331240129</v>
      </c>
      <c r="X2587" s="9">
        <v>41.6797573977124</v>
      </c>
      <c r="Y2587" s="9">
        <v>41.6797573977124</v>
      </c>
      <c r="Z2587" s="9">
        <v>48.964357977567339</v>
      </c>
      <c r="AA2587" s="9">
        <v>48.964357977567339</v>
      </c>
      <c r="AB2587" s="9">
        <v>56.335973522143213</v>
      </c>
      <c r="AC2587" s="9">
        <v>56.335973522143213</v>
      </c>
      <c r="AD2587" s="9">
        <v>65.349051350310745</v>
      </c>
      <c r="AE2587" s="9">
        <v>72.305128962695434</v>
      </c>
      <c r="AF2587" s="9">
        <v>79.365490610542253</v>
      </c>
      <c r="AG2587" s="9">
        <v>79.365490610542253</v>
      </c>
      <c r="AH2587" s="9">
        <v>87.219003417886043</v>
      </c>
      <c r="AI2587" s="9">
        <v>95.054924275940976</v>
      </c>
      <c r="AJ2587" s="9">
        <v>3.0428788910505911</v>
      </c>
    </row>
    <row r="2588" spans="1:36" x14ac:dyDescent="0.25">
      <c r="A2588" t="s">
        <v>5411</v>
      </c>
      <c r="B2588" t="s">
        <v>16</v>
      </c>
      <c r="C2588" t="s">
        <v>17</v>
      </c>
      <c r="D2588">
        <v>56250000</v>
      </c>
      <c r="E2588">
        <v>56259999</v>
      </c>
      <c r="F2588" t="s">
        <v>2329</v>
      </c>
      <c r="G2588" t="str">
        <f t="shared" si="80"/>
        <v>PEI II</v>
      </c>
      <c r="H2588" t="s">
        <v>2194</v>
      </c>
      <c r="I2588" t="s">
        <v>20</v>
      </c>
      <c r="J2588" t="s">
        <v>64</v>
      </c>
      <c r="K2588" s="6">
        <v>0.03</v>
      </c>
      <c r="L2588" s="7">
        <f t="shared" si="81"/>
        <v>2E-3</v>
      </c>
      <c r="M2588" s="7">
        <v>3.0000000000000001E-3</v>
      </c>
      <c r="N2588">
        <v>14</v>
      </c>
      <c r="O2588" s="8">
        <v>21.329668724084634</v>
      </c>
      <c r="P2588" s="9">
        <v>21.329668724084634</v>
      </c>
      <c r="Q2588" s="9">
        <v>21.329668724084634</v>
      </c>
      <c r="R2588" s="9">
        <v>23.535187126233286</v>
      </c>
      <c r="S2588" s="9">
        <v>25.969348495460661</v>
      </c>
      <c r="T2588" s="9">
        <v>28.018652515052967</v>
      </c>
      <c r="U2588" s="9">
        <v>34.474261331240129</v>
      </c>
      <c r="V2588" s="9">
        <v>34.474261331240129</v>
      </c>
      <c r="W2588" s="9">
        <v>34.474261331240129</v>
      </c>
      <c r="X2588" s="9">
        <v>41.6797573977124</v>
      </c>
      <c r="Y2588" s="9">
        <v>41.6797573977124</v>
      </c>
      <c r="Z2588" s="9">
        <v>48.964357977567339</v>
      </c>
      <c r="AA2588" s="9">
        <v>48.964357977567339</v>
      </c>
      <c r="AB2588" s="9">
        <v>56.335973522143213</v>
      </c>
      <c r="AC2588" s="9">
        <v>56.335973522143213</v>
      </c>
      <c r="AD2588" s="9">
        <v>65.349051350310745</v>
      </c>
      <c r="AE2588" s="9">
        <v>72.305128962695434</v>
      </c>
      <c r="AF2588" s="9">
        <v>79.365490610542253</v>
      </c>
      <c r="AG2588" s="9">
        <v>79.365490610542253</v>
      </c>
      <c r="AH2588" s="9">
        <v>87.219003417886043</v>
      </c>
      <c r="AI2588" s="9">
        <v>95.054924275940976</v>
      </c>
      <c r="AJ2588" s="9">
        <v>3.0428788910505911</v>
      </c>
    </row>
    <row r="2589" spans="1:36" x14ac:dyDescent="0.25">
      <c r="A2589" t="s">
        <v>5411</v>
      </c>
      <c r="B2589" t="s">
        <v>16</v>
      </c>
      <c r="C2589" t="s">
        <v>17</v>
      </c>
      <c r="D2589">
        <v>56260000</v>
      </c>
      <c r="E2589">
        <v>56279999</v>
      </c>
      <c r="F2589" t="s">
        <v>2330</v>
      </c>
      <c r="G2589" t="str">
        <f t="shared" si="80"/>
        <v>PEI II</v>
      </c>
      <c r="H2589" t="s">
        <v>2194</v>
      </c>
      <c r="I2589" t="s">
        <v>20</v>
      </c>
      <c r="J2589" t="s">
        <v>64</v>
      </c>
      <c r="K2589" s="6">
        <v>0.03</v>
      </c>
      <c r="L2589" s="7">
        <f t="shared" si="81"/>
        <v>2E-3</v>
      </c>
      <c r="M2589" s="7">
        <v>3.0000000000000001E-3</v>
      </c>
      <c r="N2589">
        <v>14</v>
      </c>
      <c r="O2589" s="8">
        <v>21.329668724084634</v>
      </c>
      <c r="P2589" s="9">
        <v>21.329668724084634</v>
      </c>
      <c r="Q2589" s="9">
        <v>21.329668724084634</v>
      </c>
      <c r="R2589" s="9">
        <v>23.535187126233286</v>
      </c>
      <c r="S2589" s="9">
        <v>25.969348495460661</v>
      </c>
      <c r="T2589" s="9">
        <v>28.018652515052967</v>
      </c>
      <c r="U2589" s="9">
        <v>34.474261331240129</v>
      </c>
      <c r="V2589" s="9">
        <v>34.474261331240129</v>
      </c>
      <c r="W2589" s="9">
        <v>34.474261331240129</v>
      </c>
      <c r="X2589" s="9">
        <v>41.6797573977124</v>
      </c>
      <c r="Y2589" s="9">
        <v>41.6797573977124</v>
      </c>
      <c r="Z2589" s="9">
        <v>48.964357977567339</v>
      </c>
      <c r="AA2589" s="9">
        <v>48.964357977567339</v>
      </c>
      <c r="AB2589" s="9">
        <v>56.335973522143213</v>
      </c>
      <c r="AC2589" s="9">
        <v>56.335973522143213</v>
      </c>
      <c r="AD2589" s="9">
        <v>65.349051350310745</v>
      </c>
      <c r="AE2589" s="9">
        <v>72.305128962695434</v>
      </c>
      <c r="AF2589" s="9">
        <v>79.365490610542253</v>
      </c>
      <c r="AG2589" s="9">
        <v>79.365490610542253</v>
      </c>
      <c r="AH2589" s="9">
        <v>87.219003417886043</v>
      </c>
      <c r="AI2589" s="9">
        <v>95.054924275940976</v>
      </c>
      <c r="AJ2589" s="9">
        <v>3.0428788910505911</v>
      </c>
    </row>
    <row r="2590" spans="1:36" x14ac:dyDescent="0.25">
      <c r="A2590" t="s">
        <v>5411</v>
      </c>
      <c r="B2590" t="s">
        <v>16</v>
      </c>
      <c r="C2590" t="s">
        <v>17</v>
      </c>
      <c r="D2590">
        <v>56280000</v>
      </c>
      <c r="E2590">
        <v>56299999</v>
      </c>
      <c r="F2590" t="s">
        <v>2331</v>
      </c>
      <c r="G2590" t="str">
        <f t="shared" si="80"/>
        <v>PEI</v>
      </c>
      <c r="H2590" t="s">
        <v>2194</v>
      </c>
      <c r="I2590" t="s">
        <v>20</v>
      </c>
      <c r="J2590" t="s">
        <v>62</v>
      </c>
      <c r="K2590" s="6">
        <v>0.03</v>
      </c>
      <c r="L2590" s="7">
        <f t="shared" si="81"/>
        <v>2E-3</v>
      </c>
      <c r="M2590" s="7">
        <v>3.0000000000000001E-3</v>
      </c>
      <c r="N2590">
        <v>11</v>
      </c>
      <c r="O2590" s="8">
        <v>17.362919062478753</v>
      </c>
      <c r="P2590" s="9">
        <v>17.362919062478753</v>
      </c>
      <c r="Q2590" s="9">
        <v>17.362919062478753</v>
      </c>
      <c r="R2590" s="9">
        <v>18.763077462609331</v>
      </c>
      <c r="S2590" s="9">
        <v>20.822367518100933</v>
      </c>
      <c r="T2590" s="9">
        <v>22.932657006868226</v>
      </c>
      <c r="U2590" s="9">
        <v>28.394641309673208</v>
      </c>
      <c r="V2590" s="9">
        <v>28.394641309673208</v>
      </c>
      <c r="W2590" s="9">
        <v>28.394641309673208</v>
      </c>
      <c r="X2590" s="9">
        <v>34.481353453939484</v>
      </c>
      <c r="Y2590" s="9">
        <v>34.481353453939484</v>
      </c>
      <c r="Z2590" s="9">
        <v>40.733986919834194</v>
      </c>
      <c r="AA2590" s="9">
        <v>40.733986919834194</v>
      </c>
      <c r="AB2590" s="9">
        <v>47.204537282413121</v>
      </c>
      <c r="AC2590" s="9">
        <v>47.204537282413121</v>
      </c>
      <c r="AD2590" s="9">
        <v>53.805016474910374</v>
      </c>
      <c r="AE2590" s="9">
        <v>60.552137154404392</v>
      </c>
      <c r="AF2590" s="9">
        <v>67.464818475061875</v>
      </c>
      <c r="AG2590" s="9">
        <v>67.464818475061875</v>
      </c>
      <c r="AH2590" s="9">
        <v>74.129442022189522</v>
      </c>
      <c r="AI2590" s="9">
        <v>81.304669029817305</v>
      </c>
      <c r="AJ2590" s="9">
        <v>3.0428788910505911</v>
      </c>
    </row>
    <row r="2591" spans="1:36" x14ac:dyDescent="0.25">
      <c r="A2591" t="s">
        <v>5411</v>
      </c>
      <c r="B2591" t="s">
        <v>16</v>
      </c>
      <c r="C2591" t="s">
        <v>17</v>
      </c>
      <c r="D2591">
        <v>56300000</v>
      </c>
      <c r="E2591">
        <v>56334999</v>
      </c>
      <c r="F2591" t="s">
        <v>2332</v>
      </c>
      <c r="G2591" t="str">
        <f t="shared" si="80"/>
        <v>PEI</v>
      </c>
      <c r="H2591" t="s">
        <v>2194</v>
      </c>
      <c r="I2591" t="s">
        <v>20</v>
      </c>
      <c r="J2591" t="s">
        <v>62</v>
      </c>
      <c r="K2591" s="6">
        <v>0.03</v>
      </c>
      <c r="L2591" s="7">
        <f t="shared" si="81"/>
        <v>2E-3</v>
      </c>
      <c r="M2591" s="7">
        <v>3.0000000000000001E-3</v>
      </c>
      <c r="N2591">
        <v>10</v>
      </c>
      <c r="O2591" s="8">
        <v>17.362919062478753</v>
      </c>
      <c r="P2591" s="9">
        <v>17.362919062478753</v>
      </c>
      <c r="Q2591" s="9">
        <v>17.362919062478753</v>
      </c>
      <c r="R2591" s="9">
        <v>18.763077462609331</v>
      </c>
      <c r="S2591" s="9">
        <v>20.822367518100933</v>
      </c>
      <c r="T2591" s="9">
        <v>22.932657006868226</v>
      </c>
      <c r="U2591" s="9">
        <v>28.394641309673208</v>
      </c>
      <c r="V2591" s="9">
        <v>28.394641309673208</v>
      </c>
      <c r="W2591" s="9">
        <v>28.394641309673208</v>
      </c>
      <c r="X2591" s="9">
        <v>34.481353453939484</v>
      </c>
      <c r="Y2591" s="9">
        <v>34.481353453939484</v>
      </c>
      <c r="Z2591" s="9">
        <v>40.733986919834194</v>
      </c>
      <c r="AA2591" s="9">
        <v>40.733986919834194</v>
      </c>
      <c r="AB2591" s="9">
        <v>47.204537282413121</v>
      </c>
      <c r="AC2591" s="9">
        <v>47.204537282413121</v>
      </c>
      <c r="AD2591" s="9">
        <v>53.805016474910374</v>
      </c>
      <c r="AE2591" s="9">
        <v>60.552137154404392</v>
      </c>
      <c r="AF2591" s="9">
        <v>67.464818475061875</v>
      </c>
      <c r="AG2591" s="9">
        <v>67.464818475061875</v>
      </c>
      <c r="AH2591" s="9">
        <v>74.129442022189522</v>
      </c>
      <c r="AI2591" s="9">
        <v>81.304669029817305</v>
      </c>
      <c r="AJ2591" s="9">
        <v>3.0428788910505911</v>
      </c>
    </row>
    <row r="2592" spans="1:36" x14ac:dyDescent="0.25">
      <c r="A2592" t="s">
        <v>5411</v>
      </c>
      <c r="B2592" t="s">
        <v>16</v>
      </c>
      <c r="C2592" t="s">
        <v>17</v>
      </c>
      <c r="D2592">
        <v>56335000</v>
      </c>
      <c r="E2592">
        <v>56354999</v>
      </c>
      <c r="F2592" t="s">
        <v>2333</v>
      </c>
      <c r="G2592" t="str">
        <f t="shared" si="80"/>
        <v>PEI II</v>
      </c>
      <c r="H2592" t="s">
        <v>2194</v>
      </c>
      <c r="I2592" t="s">
        <v>20</v>
      </c>
      <c r="J2592" t="s">
        <v>64</v>
      </c>
      <c r="K2592" s="6">
        <v>0.03</v>
      </c>
      <c r="L2592" s="7">
        <f t="shared" si="81"/>
        <v>2E-3</v>
      </c>
      <c r="M2592" s="7">
        <v>3.0000000000000001E-3</v>
      </c>
      <c r="N2592">
        <v>12</v>
      </c>
      <c r="O2592" s="8">
        <v>21.329668724084634</v>
      </c>
      <c r="P2592" s="9">
        <v>21.329668724084634</v>
      </c>
      <c r="Q2592" s="9">
        <v>21.329668724084634</v>
      </c>
      <c r="R2592" s="9">
        <v>23.535187126233286</v>
      </c>
      <c r="S2592" s="9">
        <v>25.969348495460661</v>
      </c>
      <c r="T2592" s="9">
        <v>28.018652515052967</v>
      </c>
      <c r="U2592" s="9">
        <v>34.474261331240129</v>
      </c>
      <c r="V2592" s="9">
        <v>34.474261331240129</v>
      </c>
      <c r="W2592" s="9">
        <v>34.474261331240129</v>
      </c>
      <c r="X2592" s="9">
        <v>41.6797573977124</v>
      </c>
      <c r="Y2592" s="9">
        <v>41.6797573977124</v>
      </c>
      <c r="Z2592" s="9">
        <v>48.964357977567339</v>
      </c>
      <c r="AA2592" s="9">
        <v>48.964357977567339</v>
      </c>
      <c r="AB2592" s="9">
        <v>56.335973522143213</v>
      </c>
      <c r="AC2592" s="9">
        <v>56.335973522143213</v>
      </c>
      <c r="AD2592" s="9">
        <v>65.349051350310745</v>
      </c>
      <c r="AE2592" s="9">
        <v>72.305128962695434</v>
      </c>
      <c r="AF2592" s="9">
        <v>79.365490610542253</v>
      </c>
      <c r="AG2592" s="9">
        <v>79.365490610542253</v>
      </c>
      <c r="AH2592" s="9">
        <v>87.219003417886043</v>
      </c>
      <c r="AI2592" s="9">
        <v>95.054924275940976</v>
      </c>
      <c r="AJ2592" s="9">
        <v>3.0428788910505911</v>
      </c>
    </row>
    <row r="2593" spans="1:36" x14ac:dyDescent="0.25">
      <c r="A2593" t="s">
        <v>5411</v>
      </c>
      <c r="B2593" t="s">
        <v>16</v>
      </c>
      <c r="C2593" t="s">
        <v>17</v>
      </c>
      <c r="D2593">
        <v>56355000</v>
      </c>
      <c r="E2593">
        <v>56359999</v>
      </c>
      <c r="F2593" t="s">
        <v>2334</v>
      </c>
      <c r="G2593" t="str">
        <f t="shared" si="80"/>
        <v>PEI II</v>
      </c>
      <c r="H2593" t="s">
        <v>2194</v>
      </c>
      <c r="I2593" t="s">
        <v>20</v>
      </c>
      <c r="J2593" t="s">
        <v>64</v>
      </c>
      <c r="K2593" s="6">
        <v>0.03</v>
      </c>
      <c r="L2593" s="7">
        <f t="shared" si="81"/>
        <v>2E-3</v>
      </c>
      <c r="M2593" s="7">
        <v>3.0000000000000001E-3</v>
      </c>
      <c r="N2593">
        <v>11</v>
      </c>
      <c r="O2593" s="8">
        <v>21.329668724084634</v>
      </c>
      <c r="P2593" s="9">
        <v>21.329668724084634</v>
      </c>
      <c r="Q2593" s="9">
        <v>21.329668724084634</v>
      </c>
      <c r="R2593" s="9">
        <v>23.535187126233286</v>
      </c>
      <c r="S2593" s="9">
        <v>25.969348495460661</v>
      </c>
      <c r="T2593" s="9">
        <v>28.018652515052967</v>
      </c>
      <c r="U2593" s="9">
        <v>34.474261331240129</v>
      </c>
      <c r="V2593" s="9">
        <v>34.474261331240129</v>
      </c>
      <c r="W2593" s="9">
        <v>34.474261331240129</v>
      </c>
      <c r="X2593" s="9">
        <v>41.6797573977124</v>
      </c>
      <c r="Y2593" s="9">
        <v>41.6797573977124</v>
      </c>
      <c r="Z2593" s="9">
        <v>48.964357977567339</v>
      </c>
      <c r="AA2593" s="9">
        <v>48.964357977567339</v>
      </c>
      <c r="AB2593" s="9">
        <v>56.335973522143213</v>
      </c>
      <c r="AC2593" s="9">
        <v>56.335973522143213</v>
      </c>
      <c r="AD2593" s="9">
        <v>65.349051350310745</v>
      </c>
      <c r="AE2593" s="9">
        <v>72.305128962695434</v>
      </c>
      <c r="AF2593" s="9">
        <v>79.365490610542253</v>
      </c>
      <c r="AG2593" s="9">
        <v>79.365490610542253</v>
      </c>
      <c r="AH2593" s="9">
        <v>87.219003417886043</v>
      </c>
      <c r="AI2593" s="9">
        <v>95.054924275940976</v>
      </c>
      <c r="AJ2593" s="9">
        <v>3.0428788910505911</v>
      </c>
    </row>
    <row r="2594" spans="1:36" x14ac:dyDescent="0.25">
      <c r="A2594" t="s">
        <v>5411</v>
      </c>
      <c r="B2594" t="s">
        <v>16</v>
      </c>
      <c r="C2594" t="s">
        <v>17</v>
      </c>
      <c r="D2594">
        <v>56360000</v>
      </c>
      <c r="E2594">
        <v>56379999</v>
      </c>
      <c r="F2594" t="s">
        <v>2335</v>
      </c>
      <c r="G2594" t="str">
        <f t="shared" si="80"/>
        <v>PEI II</v>
      </c>
      <c r="H2594" t="s">
        <v>2194</v>
      </c>
      <c r="I2594" t="s">
        <v>20</v>
      </c>
      <c r="J2594" t="s">
        <v>64</v>
      </c>
      <c r="K2594" s="6">
        <v>0.03</v>
      </c>
      <c r="L2594" s="7">
        <f t="shared" si="81"/>
        <v>2E-3</v>
      </c>
      <c r="M2594" s="7">
        <v>3.0000000000000001E-3</v>
      </c>
      <c r="N2594">
        <v>11</v>
      </c>
      <c r="O2594" s="8">
        <v>21.329668724084634</v>
      </c>
      <c r="P2594" s="9">
        <v>21.329668724084634</v>
      </c>
      <c r="Q2594" s="9">
        <v>21.329668724084634</v>
      </c>
      <c r="R2594" s="9">
        <v>23.535187126233286</v>
      </c>
      <c r="S2594" s="9">
        <v>25.969348495460661</v>
      </c>
      <c r="T2594" s="9">
        <v>28.018652515052967</v>
      </c>
      <c r="U2594" s="9">
        <v>34.474261331240129</v>
      </c>
      <c r="V2594" s="9">
        <v>34.474261331240129</v>
      </c>
      <c r="W2594" s="9">
        <v>34.474261331240129</v>
      </c>
      <c r="X2594" s="9">
        <v>41.6797573977124</v>
      </c>
      <c r="Y2594" s="9">
        <v>41.6797573977124</v>
      </c>
      <c r="Z2594" s="9">
        <v>48.964357977567339</v>
      </c>
      <c r="AA2594" s="9">
        <v>48.964357977567339</v>
      </c>
      <c r="AB2594" s="9">
        <v>56.335973522143213</v>
      </c>
      <c r="AC2594" s="9">
        <v>56.335973522143213</v>
      </c>
      <c r="AD2594" s="9">
        <v>65.349051350310745</v>
      </c>
      <c r="AE2594" s="9">
        <v>72.305128962695434</v>
      </c>
      <c r="AF2594" s="9">
        <v>79.365490610542253</v>
      </c>
      <c r="AG2594" s="9">
        <v>79.365490610542253</v>
      </c>
      <c r="AH2594" s="9">
        <v>87.219003417886043</v>
      </c>
      <c r="AI2594" s="9">
        <v>95.054924275940976</v>
      </c>
      <c r="AJ2594" s="9">
        <v>3.0428788910505911</v>
      </c>
    </row>
    <row r="2595" spans="1:36" x14ac:dyDescent="0.25">
      <c r="A2595" t="s">
        <v>5411</v>
      </c>
      <c r="B2595" t="s">
        <v>16</v>
      </c>
      <c r="C2595" t="s">
        <v>17</v>
      </c>
      <c r="D2595">
        <v>56380000</v>
      </c>
      <c r="E2595">
        <v>56394999</v>
      </c>
      <c r="F2595" t="s">
        <v>2336</v>
      </c>
      <c r="G2595" t="str">
        <f t="shared" si="80"/>
        <v>PEI II</v>
      </c>
      <c r="H2595" t="s">
        <v>2194</v>
      </c>
      <c r="I2595" t="s">
        <v>20</v>
      </c>
      <c r="J2595" t="s">
        <v>64</v>
      </c>
      <c r="K2595" s="6">
        <v>0.03</v>
      </c>
      <c r="L2595" s="7">
        <f t="shared" si="81"/>
        <v>2E-3</v>
      </c>
      <c r="M2595" s="7">
        <v>3.0000000000000001E-3</v>
      </c>
      <c r="N2595">
        <v>12</v>
      </c>
      <c r="O2595" s="8">
        <v>21.329668724084634</v>
      </c>
      <c r="P2595" s="9">
        <v>21.329668724084634</v>
      </c>
      <c r="Q2595" s="9">
        <v>21.329668724084634</v>
      </c>
      <c r="R2595" s="9">
        <v>23.535187126233286</v>
      </c>
      <c r="S2595" s="9">
        <v>25.969348495460661</v>
      </c>
      <c r="T2595" s="9">
        <v>28.018652515052967</v>
      </c>
      <c r="U2595" s="9">
        <v>34.474261331240129</v>
      </c>
      <c r="V2595" s="9">
        <v>34.474261331240129</v>
      </c>
      <c r="W2595" s="9">
        <v>34.474261331240129</v>
      </c>
      <c r="X2595" s="9">
        <v>41.6797573977124</v>
      </c>
      <c r="Y2595" s="9">
        <v>41.6797573977124</v>
      </c>
      <c r="Z2595" s="9">
        <v>48.964357977567339</v>
      </c>
      <c r="AA2595" s="9">
        <v>48.964357977567339</v>
      </c>
      <c r="AB2595" s="9">
        <v>56.335973522143213</v>
      </c>
      <c r="AC2595" s="9">
        <v>56.335973522143213</v>
      </c>
      <c r="AD2595" s="9">
        <v>65.349051350310745</v>
      </c>
      <c r="AE2595" s="9">
        <v>72.305128962695434</v>
      </c>
      <c r="AF2595" s="9">
        <v>79.365490610542253</v>
      </c>
      <c r="AG2595" s="9">
        <v>79.365490610542253</v>
      </c>
      <c r="AH2595" s="9">
        <v>87.219003417886043</v>
      </c>
      <c r="AI2595" s="9">
        <v>95.054924275940976</v>
      </c>
      <c r="AJ2595" s="9">
        <v>3.0428788910505911</v>
      </c>
    </row>
    <row r="2596" spans="1:36" x14ac:dyDescent="0.25">
      <c r="A2596" t="s">
        <v>5411</v>
      </c>
      <c r="B2596" t="s">
        <v>16</v>
      </c>
      <c r="C2596" t="s">
        <v>17</v>
      </c>
      <c r="D2596">
        <v>56395000</v>
      </c>
      <c r="E2596">
        <v>56399999</v>
      </c>
      <c r="F2596" t="s">
        <v>1473</v>
      </c>
      <c r="G2596" t="str">
        <f t="shared" si="80"/>
        <v>PEI II</v>
      </c>
      <c r="H2596" t="s">
        <v>2194</v>
      </c>
      <c r="I2596" t="s">
        <v>20</v>
      </c>
      <c r="J2596" t="s">
        <v>64</v>
      </c>
      <c r="K2596" s="6">
        <v>0.03</v>
      </c>
      <c r="L2596" s="7">
        <f t="shared" si="81"/>
        <v>2E-3</v>
      </c>
      <c r="M2596" s="7">
        <v>3.0000000000000001E-3</v>
      </c>
      <c r="N2596">
        <v>11</v>
      </c>
      <c r="O2596" s="8">
        <v>21.329668724084634</v>
      </c>
      <c r="P2596" s="9">
        <v>21.329668724084634</v>
      </c>
      <c r="Q2596" s="9">
        <v>21.329668724084634</v>
      </c>
      <c r="R2596" s="9">
        <v>23.535187126233286</v>
      </c>
      <c r="S2596" s="9">
        <v>25.969348495460661</v>
      </c>
      <c r="T2596" s="9">
        <v>28.018652515052967</v>
      </c>
      <c r="U2596" s="9">
        <v>34.474261331240129</v>
      </c>
      <c r="V2596" s="9">
        <v>34.474261331240129</v>
      </c>
      <c r="W2596" s="9">
        <v>34.474261331240129</v>
      </c>
      <c r="X2596" s="9">
        <v>41.6797573977124</v>
      </c>
      <c r="Y2596" s="9">
        <v>41.6797573977124</v>
      </c>
      <c r="Z2596" s="9">
        <v>48.964357977567339</v>
      </c>
      <c r="AA2596" s="9">
        <v>48.964357977567339</v>
      </c>
      <c r="AB2596" s="9">
        <v>56.335973522143213</v>
      </c>
      <c r="AC2596" s="9">
        <v>56.335973522143213</v>
      </c>
      <c r="AD2596" s="9">
        <v>65.349051350310745</v>
      </c>
      <c r="AE2596" s="9">
        <v>72.305128962695434</v>
      </c>
      <c r="AF2596" s="9">
        <v>79.365490610542253</v>
      </c>
      <c r="AG2596" s="9">
        <v>79.365490610542253</v>
      </c>
      <c r="AH2596" s="9">
        <v>87.219003417886043</v>
      </c>
      <c r="AI2596" s="9">
        <v>95.054924275940976</v>
      </c>
      <c r="AJ2596" s="9">
        <v>3.0428788910505911</v>
      </c>
    </row>
    <row r="2597" spans="1:36" x14ac:dyDescent="0.25">
      <c r="A2597" t="s">
        <v>5411</v>
      </c>
      <c r="B2597" t="s">
        <v>16</v>
      </c>
      <c r="C2597" t="s">
        <v>17</v>
      </c>
      <c r="D2597">
        <v>56400000</v>
      </c>
      <c r="E2597">
        <v>56419999</v>
      </c>
      <c r="F2597" t="s">
        <v>2337</v>
      </c>
      <c r="G2597" t="str">
        <f t="shared" si="80"/>
        <v>PEI II</v>
      </c>
      <c r="H2597" t="s">
        <v>2194</v>
      </c>
      <c r="I2597" t="s">
        <v>22</v>
      </c>
      <c r="J2597" t="s">
        <v>64</v>
      </c>
      <c r="K2597" s="6">
        <v>0.03</v>
      </c>
      <c r="L2597" s="7">
        <f t="shared" si="81"/>
        <v>0.03</v>
      </c>
      <c r="M2597" s="7">
        <v>3.0000000000000001E-3</v>
      </c>
      <c r="N2597">
        <v>12</v>
      </c>
      <c r="O2597" s="8">
        <v>21.329668724084634</v>
      </c>
      <c r="P2597" s="9">
        <v>21.329668724084634</v>
      </c>
      <c r="Q2597" s="9">
        <v>21.329668724084634</v>
      </c>
      <c r="R2597" s="9">
        <v>23.535187126233286</v>
      </c>
      <c r="S2597" s="9">
        <v>25.969348495460661</v>
      </c>
      <c r="T2597" s="9">
        <v>28.018652515052967</v>
      </c>
      <c r="U2597" s="9">
        <v>34.474261331240129</v>
      </c>
      <c r="V2597" s="9">
        <v>34.474261331240129</v>
      </c>
      <c r="W2597" s="9">
        <v>34.474261331240129</v>
      </c>
      <c r="X2597" s="9">
        <v>41.6797573977124</v>
      </c>
      <c r="Y2597" s="9">
        <v>41.6797573977124</v>
      </c>
      <c r="Z2597" s="9">
        <v>48.964357977567339</v>
      </c>
      <c r="AA2597" s="9">
        <v>48.964357977567339</v>
      </c>
      <c r="AB2597" s="9">
        <v>56.335973522143213</v>
      </c>
      <c r="AC2597" s="9">
        <v>56.335973522143213</v>
      </c>
      <c r="AD2597" s="9">
        <v>65.349051350310745</v>
      </c>
      <c r="AE2597" s="9">
        <v>72.305128962695434</v>
      </c>
      <c r="AF2597" s="9">
        <v>79.365490610542253</v>
      </c>
      <c r="AG2597" s="9">
        <v>79.365490610542253</v>
      </c>
      <c r="AH2597" s="9">
        <v>87.219003417886043</v>
      </c>
      <c r="AI2597" s="9">
        <v>95.054924275940976</v>
      </c>
      <c r="AJ2597" s="9">
        <v>3.0428788910505911</v>
      </c>
    </row>
    <row r="2598" spans="1:36" x14ac:dyDescent="0.25">
      <c r="A2598" t="s">
        <v>5411</v>
      </c>
      <c r="B2598" t="s">
        <v>16</v>
      </c>
      <c r="C2598" t="s">
        <v>17</v>
      </c>
      <c r="D2598">
        <v>56420000</v>
      </c>
      <c r="E2598">
        <v>56429999</v>
      </c>
      <c r="F2598" t="s">
        <v>2338</v>
      </c>
      <c r="G2598" t="str">
        <f t="shared" si="80"/>
        <v>PEI II</v>
      </c>
      <c r="H2598" t="s">
        <v>2194</v>
      </c>
      <c r="I2598" t="s">
        <v>20</v>
      </c>
      <c r="J2598" t="s">
        <v>64</v>
      </c>
      <c r="K2598" s="6">
        <v>0.03</v>
      </c>
      <c r="L2598" s="7">
        <f t="shared" si="81"/>
        <v>2E-3</v>
      </c>
      <c r="M2598" s="7">
        <v>3.0000000000000001E-3</v>
      </c>
      <c r="N2598">
        <v>15</v>
      </c>
      <c r="O2598" s="8">
        <v>21.329668724084634</v>
      </c>
      <c r="P2598" s="9">
        <v>21.329668724084634</v>
      </c>
      <c r="Q2598" s="9">
        <v>21.329668724084634</v>
      </c>
      <c r="R2598" s="9">
        <v>23.535187126233286</v>
      </c>
      <c r="S2598" s="9">
        <v>25.969348495460661</v>
      </c>
      <c r="T2598" s="9">
        <v>28.018652515052967</v>
      </c>
      <c r="U2598" s="9">
        <v>34.474261331240129</v>
      </c>
      <c r="V2598" s="9">
        <v>34.474261331240129</v>
      </c>
      <c r="W2598" s="9">
        <v>34.474261331240129</v>
      </c>
      <c r="X2598" s="9">
        <v>41.6797573977124</v>
      </c>
      <c r="Y2598" s="9">
        <v>41.6797573977124</v>
      </c>
      <c r="Z2598" s="9">
        <v>48.964357977567339</v>
      </c>
      <c r="AA2598" s="9">
        <v>48.964357977567339</v>
      </c>
      <c r="AB2598" s="9">
        <v>56.335973522143213</v>
      </c>
      <c r="AC2598" s="9">
        <v>56.335973522143213</v>
      </c>
      <c r="AD2598" s="9">
        <v>65.349051350310745</v>
      </c>
      <c r="AE2598" s="9">
        <v>72.305128962695434</v>
      </c>
      <c r="AF2598" s="9">
        <v>79.365490610542253</v>
      </c>
      <c r="AG2598" s="9">
        <v>79.365490610542253</v>
      </c>
      <c r="AH2598" s="9">
        <v>87.219003417886043</v>
      </c>
      <c r="AI2598" s="9">
        <v>95.054924275940976</v>
      </c>
      <c r="AJ2598" s="9">
        <v>3.0428788910505911</v>
      </c>
    </row>
    <row r="2599" spans="1:36" x14ac:dyDescent="0.25">
      <c r="A2599" t="s">
        <v>5411</v>
      </c>
      <c r="B2599" t="s">
        <v>16</v>
      </c>
      <c r="C2599" t="s">
        <v>17</v>
      </c>
      <c r="D2599">
        <v>56430000</v>
      </c>
      <c r="E2599">
        <v>56439999</v>
      </c>
      <c r="F2599" t="s">
        <v>2339</v>
      </c>
      <c r="G2599" t="str">
        <f t="shared" si="80"/>
        <v>PEI II</v>
      </c>
      <c r="H2599" t="s">
        <v>2194</v>
      </c>
      <c r="I2599" t="s">
        <v>22</v>
      </c>
      <c r="J2599" t="s">
        <v>64</v>
      </c>
      <c r="K2599" s="6">
        <v>0.03</v>
      </c>
      <c r="L2599" s="7">
        <f t="shared" si="81"/>
        <v>0.03</v>
      </c>
      <c r="M2599" s="7">
        <v>3.0000000000000001E-3</v>
      </c>
      <c r="N2599">
        <v>12</v>
      </c>
      <c r="O2599" s="8">
        <v>21.329668724084634</v>
      </c>
      <c r="P2599" s="9">
        <v>21.329668724084634</v>
      </c>
      <c r="Q2599" s="9">
        <v>21.329668724084634</v>
      </c>
      <c r="R2599" s="9">
        <v>23.535187126233286</v>
      </c>
      <c r="S2599" s="9">
        <v>25.969348495460661</v>
      </c>
      <c r="T2599" s="9">
        <v>28.018652515052967</v>
      </c>
      <c r="U2599" s="9">
        <v>34.474261331240129</v>
      </c>
      <c r="V2599" s="9">
        <v>34.474261331240129</v>
      </c>
      <c r="W2599" s="9">
        <v>34.474261331240129</v>
      </c>
      <c r="X2599" s="9">
        <v>41.6797573977124</v>
      </c>
      <c r="Y2599" s="9">
        <v>41.6797573977124</v>
      </c>
      <c r="Z2599" s="9">
        <v>48.964357977567339</v>
      </c>
      <c r="AA2599" s="9">
        <v>48.964357977567339</v>
      </c>
      <c r="AB2599" s="9">
        <v>56.335973522143213</v>
      </c>
      <c r="AC2599" s="9">
        <v>56.335973522143213</v>
      </c>
      <c r="AD2599" s="9">
        <v>65.349051350310745</v>
      </c>
      <c r="AE2599" s="9">
        <v>72.305128962695434</v>
      </c>
      <c r="AF2599" s="9">
        <v>79.365490610542253</v>
      </c>
      <c r="AG2599" s="9">
        <v>79.365490610542253</v>
      </c>
      <c r="AH2599" s="9">
        <v>87.219003417886043</v>
      </c>
      <c r="AI2599" s="9">
        <v>95.054924275940976</v>
      </c>
      <c r="AJ2599" s="9">
        <v>3.0428788910505911</v>
      </c>
    </row>
    <row r="2600" spans="1:36" x14ac:dyDescent="0.25">
      <c r="A2600" t="s">
        <v>5411</v>
      </c>
      <c r="B2600" t="s">
        <v>16</v>
      </c>
      <c r="C2600" t="s">
        <v>17</v>
      </c>
      <c r="D2600">
        <v>56440000</v>
      </c>
      <c r="E2600">
        <v>56459999</v>
      </c>
      <c r="F2600" t="s">
        <v>2340</v>
      </c>
      <c r="G2600" t="str">
        <f t="shared" si="80"/>
        <v>PEI II</v>
      </c>
      <c r="H2600" t="s">
        <v>2194</v>
      </c>
      <c r="I2600" t="s">
        <v>22</v>
      </c>
      <c r="J2600" t="s">
        <v>64</v>
      </c>
      <c r="K2600" s="6">
        <v>0.03</v>
      </c>
      <c r="L2600" s="7">
        <f t="shared" si="81"/>
        <v>0.03</v>
      </c>
      <c r="M2600" s="7">
        <v>3.0000000000000001E-3</v>
      </c>
      <c r="N2600">
        <v>12</v>
      </c>
      <c r="O2600" s="8">
        <v>21.329668724084634</v>
      </c>
      <c r="P2600" s="9">
        <v>21.329668724084634</v>
      </c>
      <c r="Q2600" s="9">
        <v>21.329668724084634</v>
      </c>
      <c r="R2600" s="9">
        <v>23.535187126233286</v>
      </c>
      <c r="S2600" s="9">
        <v>25.969348495460661</v>
      </c>
      <c r="T2600" s="9">
        <v>28.018652515052967</v>
      </c>
      <c r="U2600" s="9">
        <v>34.474261331240129</v>
      </c>
      <c r="V2600" s="9">
        <v>34.474261331240129</v>
      </c>
      <c r="W2600" s="9">
        <v>34.474261331240129</v>
      </c>
      <c r="X2600" s="9">
        <v>41.6797573977124</v>
      </c>
      <c r="Y2600" s="9">
        <v>41.6797573977124</v>
      </c>
      <c r="Z2600" s="9">
        <v>48.964357977567339</v>
      </c>
      <c r="AA2600" s="9">
        <v>48.964357977567339</v>
      </c>
      <c r="AB2600" s="9">
        <v>56.335973522143213</v>
      </c>
      <c r="AC2600" s="9">
        <v>56.335973522143213</v>
      </c>
      <c r="AD2600" s="9">
        <v>65.349051350310745</v>
      </c>
      <c r="AE2600" s="9">
        <v>72.305128962695434</v>
      </c>
      <c r="AF2600" s="9">
        <v>79.365490610542253</v>
      </c>
      <c r="AG2600" s="9">
        <v>79.365490610542253</v>
      </c>
      <c r="AH2600" s="9">
        <v>87.219003417886043</v>
      </c>
      <c r="AI2600" s="9">
        <v>95.054924275940976</v>
      </c>
      <c r="AJ2600" s="9">
        <v>3.0428788910505911</v>
      </c>
    </row>
    <row r="2601" spans="1:36" x14ac:dyDescent="0.25">
      <c r="A2601" t="s">
        <v>5411</v>
      </c>
      <c r="B2601" t="s">
        <v>16</v>
      </c>
      <c r="C2601" t="s">
        <v>17</v>
      </c>
      <c r="D2601">
        <v>56460000</v>
      </c>
      <c r="E2601">
        <v>56469999</v>
      </c>
      <c r="F2601" t="s">
        <v>2341</v>
      </c>
      <c r="G2601" t="str">
        <f t="shared" si="80"/>
        <v>PEI II</v>
      </c>
      <c r="H2601" t="s">
        <v>2194</v>
      </c>
      <c r="I2601" t="s">
        <v>22</v>
      </c>
      <c r="J2601" t="s">
        <v>64</v>
      </c>
      <c r="K2601" s="6">
        <v>0.03</v>
      </c>
      <c r="L2601" s="7">
        <f t="shared" si="81"/>
        <v>0.03</v>
      </c>
      <c r="M2601" s="7">
        <v>3.0000000000000001E-3</v>
      </c>
      <c r="N2601">
        <v>12</v>
      </c>
      <c r="O2601" s="8">
        <v>21.329668724084634</v>
      </c>
      <c r="P2601" s="9">
        <v>21.329668724084634</v>
      </c>
      <c r="Q2601" s="9">
        <v>21.329668724084634</v>
      </c>
      <c r="R2601" s="9">
        <v>23.535187126233286</v>
      </c>
      <c r="S2601" s="9">
        <v>25.969348495460661</v>
      </c>
      <c r="T2601" s="9">
        <v>28.018652515052967</v>
      </c>
      <c r="U2601" s="9">
        <v>34.474261331240129</v>
      </c>
      <c r="V2601" s="9">
        <v>34.474261331240129</v>
      </c>
      <c r="W2601" s="9">
        <v>34.474261331240129</v>
      </c>
      <c r="X2601" s="9">
        <v>41.6797573977124</v>
      </c>
      <c r="Y2601" s="9">
        <v>41.6797573977124</v>
      </c>
      <c r="Z2601" s="9">
        <v>48.964357977567339</v>
      </c>
      <c r="AA2601" s="9">
        <v>48.964357977567339</v>
      </c>
      <c r="AB2601" s="9">
        <v>56.335973522143213</v>
      </c>
      <c r="AC2601" s="9">
        <v>56.335973522143213</v>
      </c>
      <c r="AD2601" s="9">
        <v>65.349051350310745</v>
      </c>
      <c r="AE2601" s="9">
        <v>72.305128962695434</v>
      </c>
      <c r="AF2601" s="9">
        <v>79.365490610542253</v>
      </c>
      <c r="AG2601" s="9">
        <v>79.365490610542253</v>
      </c>
      <c r="AH2601" s="9">
        <v>87.219003417886043</v>
      </c>
      <c r="AI2601" s="9">
        <v>95.054924275940976</v>
      </c>
      <c r="AJ2601" s="9">
        <v>3.0428788910505911</v>
      </c>
    </row>
    <row r="2602" spans="1:36" x14ac:dyDescent="0.25">
      <c r="A2602" t="s">
        <v>5411</v>
      </c>
      <c r="B2602" t="s">
        <v>16</v>
      </c>
      <c r="C2602" t="s">
        <v>17</v>
      </c>
      <c r="D2602">
        <v>56470000</v>
      </c>
      <c r="E2602">
        <v>56479999</v>
      </c>
      <c r="F2602" t="s">
        <v>2342</v>
      </c>
      <c r="G2602" t="str">
        <f t="shared" si="80"/>
        <v>PEI II</v>
      </c>
      <c r="H2602" t="s">
        <v>2194</v>
      </c>
      <c r="I2602" t="s">
        <v>22</v>
      </c>
      <c r="J2602" t="s">
        <v>64</v>
      </c>
      <c r="K2602" s="6">
        <v>0.03</v>
      </c>
      <c r="L2602" s="7">
        <f t="shared" si="81"/>
        <v>0.03</v>
      </c>
      <c r="M2602" s="7">
        <v>3.0000000000000001E-3</v>
      </c>
      <c r="N2602">
        <v>12</v>
      </c>
      <c r="O2602" s="8">
        <v>21.329668724084634</v>
      </c>
      <c r="P2602" s="9">
        <v>21.329668724084634</v>
      </c>
      <c r="Q2602" s="9">
        <v>21.329668724084634</v>
      </c>
      <c r="R2602" s="9">
        <v>23.535187126233286</v>
      </c>
      <c r="S2602" s="9">
        <v>25.969348495460661</v>
      </c>
      <c r="T2602" s="9">
        <v>28.018652515052967</v>
      </c>
      <c r="U2602" s="9">
        <v>34.474261331240129</v>
      </c>
      <c r="V2602" s="9">
        <v>34.474261331240129</v>
      </c>
      <c r="W2602" s="9">
        <v>34.474261331240129</v>
      </c>
      <c r="X2602" s="9">
        <v>41.6797573977124</v>
      </c>
      <c r="Y2602" s="9">
        <v>41.6797573977124</v>
      </c>
      <c r="Z2602" s="9">
        <v>48.964357977567339</v>
      </c>
      <c r="AA2602" s="9">
        <v>48.964357977567339</v>
      </c>
      <c r="AB2602" s="9">
        <v>56.335973522143213</v>
      </c>
      <c r="AC2602" s="9">
        <v>56.335973522143213</v>
      </c>
      <c r="AD2602" s="9">
        <v>65.349051350310745</v>
      </c>
      <c r="AE2602" s="9">
        <v>72.305128962695434</v>
      </c>
      <c r="AF2602" s="9">
        <v>79.365490610542253</v>
      </c>
      <c r="AG2602" s="9">
        <v>79.365490610542253</v>
      </c>
      <c r="AH2602" s="9">
        <v>87.219003417886043</v>
      </c>
      <c r="AI2602" s="9">
        <v>95.054924275940976</v>
      </c>
      <c r="AJ2602" s="9">
        <v>3.0428788910505911</v>
      </c>
    </row>
    <row r="2603" spans="1:36" x14ac:dyDescent="0.25">
      <c r="A2603" t="s">
        <v>5411</v>
      </c>
      <c r="B2603" t="s">
        <v>16</v>
      </c>
      <c r="C2603" t="s">
        <v>17</v>
      </c>
      <c r="D2603">
        <v>56480000</v>
      </c>
      <c r="E2603">
        <v>56499999</v>
      </c>
      <c r="F2603" t="s">
        <v>2343</v>
      </c>
      <c r="G2603" t="str">
        <f t="shared" si="80"/>
        <v>PEI II</v>
      </c>
      <c r="H2603" t="s">
        <v>2194</v>
      </c>
      <c r="I2603" t="s">
        <v>22</v>
      </c>
      <c r="J2603" t="s">
        <v>64</v>
      </c>
      <c r="K2603" s="6">
        <v>0.03</v>
      </c>
      <c r="L2603" s="7">
        <f t="shared" si="81"/>
        <v>0.03</v>
      </c>
      <c r="M2603" s="7">
        <v>3.0000000000000001E-3</v>
      </c>
      <c r="N2603">
        <v>12</v>
      </c>
      <c r="O2603" s="8">
        <v>21.329668724084634</v>
      </c>
      <c r="P2603" s="9">
        <v>21.329668724084634</v>
      </c>
      <c r="Q2603" s="9">
        <v>21.329668724084634</v>
      </c>
      <c r="R2603" s="9">
        <v>23.535187126233286</v>
      </c>
      <c r="S2603" s="9">
        <v>25.969348495460661</v>
      </c>
      <c r="T2603" s="9">
        <v>28.018652515052967</v>
      </c>
      <c r="U2603" s="9">
        <v>34.474261331240129</v>
      </c>
      <c r="V2603" s="9">
        <v>34.474261331240129</v>
      </c>
      <c r="W2603" s="9">
        <v>34.474261331240129</v>
      </c>
      <c r="X2603" s="9">
        <v>41.6797573977124</v>
      </c>
      <c r="Y2603" s="9">
        <v>41.6797573977124</v>
      </c>
      <c r="Z2603" s="9">
        <v>48.964357977567339</v>
      </c>
      <c r="AA2603" s="9">
        <v>48.964357977567339</v>
      </c>
      <c r="AB2603" s="9">
        <v>56.335973522143213</v>
      </c>
      <c r="AC2603" s="9">
        <v>56.335973522143213</v>
      </c>
      <c r="AD2603" s="9">
        <v>65.349051350310745</v>
      </c>
      <c r="AE2603" s="9">
        <v>72.305128962695434</v>
      </c>
      <c r="AF2603" s="9">
        <v>79.365490610542253</v>
      </c>
      <c r="AG2603" s="9">
        <v>79.365490610542253</v>
      </c>
      <c r="AH2603" s="9">
        <v>87.219003417886043</v>
      </c>
      <c r="AI2603" s="9">
        <v>95.054924275940976</v>
      </c>
      <c r="AJ2603" s="9">
        <v>3.0428788910505911</v>
      </c>
    </row>
    <row r="2604" spans="1:36" x14ac:dyDescent="0.25">
      <c r="A2604" t="s">
        <v>5411</v>
      </c>
      <c r="B2604" t="s">
        <v>16</v>
      </c>
      <c r="C2604" t="s">
        <v>17</v>
      </c>
      <c r="D2604">
        <v>56500000</v>
      </c>
      <c r="E2604">
        <v>56519999</v>
      </c>
      <c r="F2604" t="s">
        <v>2344</v>
      </c>
      <c r="G2604" t="str">
        <f t="shared" si="80"/>
        <v>PEI</v>
      </c>
      <c r="H2604" t="s">
        <v>2194</v>
      </c>
      <c r="I2604" t="s">
        <v>20</v>
      </c>
      <c r="J2604" t="s">
        <v>62</v>
      </c>
      <c r="K2604" s="6">
        <v>0.03</v>
      </c>
      <c r="L2604" s="7">
        <f t="shared" si="81"/>
        <v>2E-3</v>
      </c>
      <c r="M2604" s="7">
        <v>3.0000000000000001E-3</v>
      </c>
      <c r="N2604">
        <v>11</v>
      </c>
      <c r="O2604" s="8">
        <v>17.362919062478753</v>
      </c>
      <c r="P2604" s="9">
        <v>17.362919062478753</v>
      </c>
      <c r="Q2604" s="9">
        <v>17.362919062478753</v>
      </c>
      <c r="R2604" s="9">
        <v>18.763077462609331</v>
      </c>
      <c r="S2604" s="9">
        <v>20.822367518100933</v>
      </c>
      <c r="T2604" s="9">
        <v>22.932657006868226</v>
      </c>
      <c r="U2604" s="9">
        <v>28.394641309673208</v>
      </c>
      <c r="V2604" s="9">
        <v>28.394641309673208</v>
      </c>
      <c r="W2604" s="9">
        <v>28.394641309673208</v>
      </c>
      <c r="X2604" s="9">
        <v>34.481353453939484</v>
      </c>
      <c r="Y2604" s="9">
        <v>34.481353453939484</v>
      </c>
      <c r="Z2604" s="9">
        <v>40.733986919834194</v>
      </c>
      <c r="AA2604" s="9">
        <v>40.733986919834194</v>
      </c>
      <c r="AB2604" s="9">
        <v>47.204537282413121</v>
      </c>
      <c r="AC2604" s="9">
        <v>47.204537282413121</v>
      </c>
      <c r="AD2604" s="9">
        <v>53.805016474910374</v>
      </c>
      <c r="AE2604" s="9">
        <v>60.552137154404392</v>
      </c>
      <c r="AF2604" s="9">
        <v>67.464818475061875</v>
      </c>
      <c r="AG2604" s="9">
        <v>67.464818475061875</v>
      </c>
      <c r="AH2604" s="9">
        <v>74.129442022189522</v>
      </c>
      <c r="AI2604" s="9">
        <v>81.304669029817305</v>
      </c>
      <c r="AJ2604" s="9">
        <v>3.0428788910505911</v>
      </c>
    </row>
    <row r="2605" spans="1:36" x14ac:dyDescent="0.25">
      <c r="A2605" t="s">
        <v>5411</v>
      </c>
      <c r="B2605" t="s">
        <v>16</v>
      </c>
      <c r="C2605" t="s">
        <v>17</v>
      </c>
      <c r="D2605">
        <v>56520000</v>
      </c>
      <c r="E2605">
        <v>56539999</v>
      </c>
      <c r="F2605" t="s">
        <v>2345</v>
      </c>
      <c r="G2605" t="str">
        <f t="shared" si="80"/>
        <v>PEI II</v>
      </c>
      <c r="H2605" t="s">
        <v>2194</v>
      </c>
      <c r="I2605" t="s">
        <v>20</v>
      </c>
      <c r="J2605" t="s">
        <v>64</v>
      </c>
      <c r="K2605" s="6">
        <v>0.03</v>
      </c>
      <c r="L2605" s="7">
        <f t="shared" si="81"/>
        <v>2E-3</v>
      </c>
      <c r="M2605" s="7">
        <v>3.0000000000000001E-3</v>
      </c>
      <c r="N2605">
        <v>11</v>
      </c>
      <c r="O2605" s="8">
        <v>21.329668724084634</v>
      </c>
      <c r="P2605" s="9">
        <v>21.329668724084634</v>
      </c>
      <c r="Q2605" s="9">
        <v>21.329668724084634</v>
      </c>
      <c r="R2605" s="9">
        <v>23.535187126233286</v>
      </c>
      <c r="S2605" s="9">
        <v>25.969348495460661</v>
      </c>
      <c r="T2605" s="9">
        <v>28.018652515052967</v>
      </c>
      <c r="U2605" s="9">
        <v>34.474261331240129</v>
      </c>
      <c r="V2605" s="9">
        <v>34.474261331240129</v>
      </c>
      <c r="W2605" s="9">
        <v>34.474261331240129</v>
      </c>
      <c r="X2605" s="9">
        <v>41.6797573977124</v>
      </c>
      <c r="Y2605" s="9">
        <v>41.6797573977124</v>
      </c>
      <c r="Z2605" s="9">
        <v>48.964357977567339</v>
      </c>
      <c r="AA2605" s="9">
        <v>48.964357977567339</v>
      </c>
      <c r="AB2605" s="9">
        <v>56.335973522143213</v>
      </c>
      <c r="AC2605" s="9">
        <v>56.335973522143213</v>
      </c>
      <c r="AD2605" s="9">
        <v>65.349051350310745</v>
      </c>
      <c r="AE2605" s="9">
        <v>72.305128962695434</v>
      </c>
      <c r="AF2605" s="9">
        <v>79.365490610542253</v>
      </c>
      <c r="AG2605" s="9">
        <v>79.365490610542253</v>
      </c>
      <c r="AH2605" s="9">
        <v>87.219003417886043</v>
      </c>
      <c r="AI2605" s="9">
        <v>95.054924275940976</v>
      </c>
      <c r="AJ2605" s="9">
        <v>3.0428788910505911</v>
      </c>
    </row>
    <row r="2606" spans="1:36" x14ac:dyDescent="0.25">
      <c r="A2606" t="s">
        <v>5411</v>
      </c>
      <c r="B2606" t="s">
        <v>16</v>
      </c>
      <c r="C2606" t="s">
        <v>17</v>
      </c>
      <c r="D2606">
        <v>56540000</v>
      </c>
      <c r="E2606">
        <v>56549999</v>
      </c>
      <c r="F2606" t="s">
        <v>2346</v>
      </c>
      <c r="G2606" t="str">
        <f t="shared" si="80"/>
        <v>PEI II</v>
      </c>
      <c r="H2606" t="s">
        <v>2194</v>
      </c>
      <c r="I2606" t="s">
        <v>20</v>
      </c>
      <c r="J2606" t="s">
        <v>64</v>
      </c>
      <c r="K2606" s="6">
        <v>0.03</v>
      </c>
      <c r="L2606" s="7">
        <f t="shared" si="81"/>
        <v>2E-3</v>
      </c>
      <c r="M2606" s="7">
        <v>3.0000000000000001E-3</v>
      </c>
      <c r="N2606">
        <v>11</v>
      </c>
      <c r="O2606" s="8">
        <v>21.329668724084634</v>
      </c>
      <c r="P2606" s="9">
        <v>21.329668724084634</v>
      </c>
      <c r="Q2606" s="9">
        <v>21.329668724084634</v>
      </c>
      <c r="R2606" s="9">
        <v>23.535187126233286</v>
      </c>
      <c r="S2606" s="9">
        <v>25.969348495460661</v>
      </c>
      <c r="T2606" s="9">
        <v>28.018652515052967</v>
      </c>
      <c r="U2606" s="9">
        <v>34.474261331240129</v>
      </c>
      <c r="V2606" s="9">
        <v>34.474261331240129</v>
      </c>
      <c r="W2606" s="9">
        <v>34.474261331240129</v>
      </c>
      <c r="X2606" s="9">
        <v>41.6797573977124</v>
      </c>
      <c r="Y2606" s="9">
        <v>41.6797573977124</v>
      </c>
      <c r="Z2606" s="9">
        <v>48.964357977567339</v>
      </c>
      <c r="AA2606" s="9">
        <v>48.964357977567339</v>
      </c>
      <c r="AB2606" s="9">
        <v>56.335973522143213</v>
      </c>
      <c r="AC2606" s="9">
        <v>56.335973522143213</v>
      </c>
      <c r="AD2606" s="9">
        <v>65.349051350310745</v>
      </c>
      <c r="AE2606" s="9">
        <v>72.305128962695434</v>
      </c>
      <c r="AF2606" s="9">
        <v>79.365490610542253</v>
      </c>
      <c r="AG2606" s="9">
        <v>79.365490610542253</v>
      </c>
      <c r="AH2606" s="9">
        <v>87.219003417886043</v>
      </c>
      <c r="AI2606" s="9">
        <v>95.054924275940976</v>
      </c>
      <c r="AJ2606" s="9">
        <v>3.0428788910505911</v>
      </c>
    </row>
    <row r="2607" spans="1:36" x14ac:dyDescent="0.25">
      <c r="A2607" t="s">
        <v>5411</v>
      </c>
      <c r="B2607" t="s">
        <v>16</v>
      </c>
      <c r="C2607" t="s">
        <v>17</v>
      </c>
      <c r="D2607">
        <v>56550000</v>
      </c>
      <c r="E2607">
        <v>56559999</v>
      </c>
      <c r="F2607" t="s">
        <v>2347</v>
      </c>
      <c r="G2607" t="str">
        <f t="shared" si="80"/>
        <v>PEI II</v>
      </c>
      <c r="H2607" t="s">
        <v>2194</v>
      </c>
      <c r="I2607" t="s">
        <v>20</v>
      </c>
      <c r="J2607" t="s">
        <v>64</v>
      </c>
      <c r="K2607" s="6">
        <v>0.03</v>
      </c>
      <c r="L2607" s="7">
        <f t="shared" si="81"/>
        <v>2E-3</v>
      </c>
      <c r="M2607" s="7">
        <v>3.0000000000000001E-3</v>
      </c>
      <c r="N2607">
        <v>11</v>
      </c>
      <c r="O2607" s="8">
        <v>21.329668724084634</v>
      </c>
      <c r="P2607" s="9">
        <v>21.329668724084634</v>
      </c>
      <c r="Q2607" s="9">
        <v>21.329668724084634</v>
      </c>
      <c r="R2607" s="9">
        <v>23.535187126233286</v>
      </c>
      <c r="S2607" s="9">
        <v>25.969348495460661</v>
      </c>
      <c r="T2607" s="9">
        <v>28.018652515052967</v>
      </c>
      <c r="U2607" s="9">
        <v>34.474261331240129</v>
      </c>
      <c r="V2607" s="9">
        <v>34.474261331240129</v>
      </c>
      <c r="W2607" s="9">
        <v>34.474261331240129</v>
      </c>
      <c r="X2607" s="9">
        <v>41.6797573977124</v>
      </c>
      <c r="Y2607" s="9">
        <v>41.6797573977124</v>
      </c>
      <c r="Z2607" s="9">
        <v>48.964357977567339</v>
      </c>
      <c r="AA2607" s="9">
        <v>48.964357977567339</v>
      </c>
      <c r="AB2607" s="9">
        <v>56.335973522143213</v>
      </c>
      <c r="AC2607" s="9">
        <v>56.335973522143213</v>
      </c>
      <c r="AD2607" s="9">
        <v>65.349051350310745</v>
      </c>
      <c r="AE2607" s="9">
        <v>72.305128962695434</v>
      </c>
      <c r="AF2607" s="9">
        <v>79.365490610542253</v>
      </c>
      <c r="AG2607" s="9">
        <v>79.365490610542253</v>
      </c>
      <c r="AH2607" s="9">
        <v>87.219003417886043</v>
      </c>
      <c r="AI2607" s="9">
        <v>95.054924275940976</v>
      </c>
      <c r="AJ2607" s="9">
        <v>3.0428788910505911</v>
      </c>
    </row>
    <row r="2608" spans="1:36" x14ac:dyDescent="0.25">
      <c r="A2608" t="s">
        <v>5411</v>
      </c>
      <c r="B2608" t="s">
        <v>16</v>
      </c>
      <c r="C2608" t="s">
        <v>17</v>
      </c>
      <c r="D2608">
        <v>56560000</v>
      </c>
      <c r="E2608">
        <v>56564999</v>
      </c>
      <c r="F2608" t="s">
        <v>2348</v>
      </c>
      <c r="G2608" t="str">
        <f t="shared" si="80"/>
        <v>PEI II</v>
      </c>
      <c r="H2608" t="s">
        <v>2194</v>
      </c>
      <c r="I2608" t="s">
        <v>20</v>
      </c>
      <c r="J2608" t="s">
        <v>64</v>
      </c>
      <c r="K2608" s="6">
        <v>0.03</v>
      </c>
      <c r="L2608" s="7">
        <f t="shared" si="81"/>
        <v>2E-3</v>
      </c>
      <c r="M2608" s="7">
        <v>3.0000000000000001E-3</v>
      </c>
      <c r="N2608">
        <v>11</v>
      </c>
      <c r="O2608" s="8">
        <v>21.329668724084634</v>
      </c>
      <c r="P2608" s="9">
        <v>21.329668724084634</v>
      </c>
      <c r="Q2608" s="9">
        <v>21.329668724084634</v>
      </c>
      <c r="R2608" s="9">
        <v>23.535187126233286</v>
      </c>
      <c r="S2608" s="9">
        <v>25.969348495460661</v>
      </c>
      <c r="T2608" s="9">
        <v>28.018652515052967</v>
      </c>
      <c r="U2608" s="9">
        <v>34.474261331240129</v>
      </c>
      <c r="V2608" s="9">
        <v>34.474261331240129</v>
      </c>
      <c r="W2608" s="9">
        <v>34.474261331240129</v>
      </c>
      <c r="X2608" s="9">
        <v>41.6797573977124</v>
      </c>
      <c r="Y2608" s="9">
        <v>41.6797573977124</v>
      </c>
      <c r="Z2608" s="9">
        <v>48.964357977567339</v>
      </c>
      <c r="AA2608" s="9">
        <v>48.964357977567339</v>
      </c>
      <c r="AB2608" s="9">
        <v>56.335973522143213</v>
      </c>
      <c r="AC2608" s="9">
        <v>56.335973522143213</v>
      </c>
      <c r="AD2608" s="9">
        <v>65.349051350310745</v>
      </c>
      <c r="AE2608" s="9">
        <v>72.305128962695434</v>
      </c>
      <c r="AF2608" s="9">
        <v>79.365490610542253</v>
      </c>
      <c r="AG2608" s="9">
        <v>79.365490610542253</v>
      </c>
      <c r="AH2608" s="9">
        <v>87.219003417886043</v>
      </c>
      <c r="AI2608" s="9">
        <v>95.054924275940976</v>
      </c>
      <c r="AJ2608" s="9">
        <v>3.0428788910505911</v>
      </c>
    </row>
    <row r="2609" spans="1:36" x14ac:dyDescent="0.25">
      <c r="A2609" t="s">
        <v>5411</v>
      </c>
      <c r="B2609" t="s">
        <v>16</v>
      </c>
      <c r="C2609" t="s">
        <v>17</v>
      </c>
      <c r="D2609">
        <v>56565000</v>
      </c>
      <c r="E2609">
        <v>56579999</v>
      </c>
      <c r="F2609" t="s">
        <v>2349</v>
      </c>
      <c r="G2609" t="str">
        <f t="shared" si="80"/>
        <v>PEI II</v>
      </c>
      <c r="H2609" t="s">
        <v>2194</v>
      </c>
      <c r="I2609" t="s">
        <v>20</v>
      </c>
      <c r="J2609" t="s">
        <v>64</v>
      </c>
      <c r="K2609" s="6">
        <v>0.03</v>
      </c>
      <c r="L2609" s="7">
        <f t="shared" si="81"/>
        <v>2E-3</v>
      </c>
      <c r="M2609" s="7">
        <v>3.0000000000000001E-3</v>
      </c>
      <c r="N2609">
        <v>11</v>
      </c>
      <c r="O2609" s="8">
        <v>21.329668724084634</v>
      </c>
      <c r="P2609" s="9">
        <v>21.329668724084634</v>
      </c>
      <c r="Q2609" s="9">
        <v>21.329668724084634</v>
      </c>
      <c r="R2609" s="9">
        <v>23.535187126233286</v>
      </c>
      <c r="S2609" s="9">
        <v>25.969348495460661</v>
      </c>
      <c r="T2609" s="9">
        <v>28.018652515052967</v>
      </c>
      <c r="U2609" s="9">
        <v>34.474261331240129</v>
      </c>
      <c r="V2609" s="9">
        <v>34.474261331240129</v>
      </c>
      <c r="W2609" s="9">
        <v>34.474261331240129</v>
      </c>
      <c r="X2609" s="9">
        <v>41.6797573977124</v>
      </c>
      <c r="Y2609" s="9">
        <v>41.6797573977124</v>
      </c>
      <c r="Z2609" s="9">
        <v>48.964357977567339</v>
      </c>
      <c r="AA2609" s="9">
        <v>48.964357977567339</v>
      </c>
      <c r="AB2609" s="9">
        <v>56.335973522143213</v>
      </c>
      <c r="AC2609" s="9">
        <v>56.335973522143213</v>
      </c>
      <c r="AD2609" s="9">
        <v>65.349051350310745</v>
      </c>
      <c r="AE2609" s="9">
        <v>72.305128962695434</v>
      </c>
      <c r="AF2609" s="9">
        <v>79.365490610542253</v>
      </c>
      <c r="AG2609" s="9">
        <v>79.365490610542253</v>
      </c>
      <c r="AH2609" s="9">
        <v>87.219003417886043</v>
      </c>
      <c r="AI2609" s="9">
        <v>95.054924275940976</v>
      </c>
      <c r="AJ2609" s="9">
        <v>3.0428788910505911</v>
      </c>
    </row>
    <row r="2610" spans="1:36" x14ac:dyDescent="0.25">
      <c r="A2610" t="s">
        <v>5411</v>
      </c>
      <c r="B2610" t="s">
        <v>16</v>
      </c>
      <c r="C2610" t="s">
        <v>17</v>
      </c>
      <c r="D2610">
        <v>56580000</v>
      </c>
      <c r="E2610">
        <v>56599999</v>
      </c>
      <c r="F2610" t="s">
        <v>2350</v>
      </c>
      <c r="G2610" t="str">
        <f t="shared" si="80"/>
        <v>PEI II</v>
      </c>
      <c r="H2610" t="s">
        <v>2194</v>
      </c>
      <c r="I2610" t="s">
        <v>20</v>
      </c>
      <c r="J2610" t="s">
        <v>64</v>
      </c>
      <c r="K2610" s="6">
        <v>0.03</v>
      </c>
      <c r="L2610" s="7">
        <f t="shared" si="81"/>
        <v>2E-3</v>
      </c>
      <c r="M2610" s="7">
        <v>3.0000000000000001E-3</v>
      </c>
      <c r="N2610">
        <v>11</v>
      </c>
      <c r="O2610" s="8">
        <v>21.329668724084634</v>
      </c>
      <c r="P2610" s="9">
        <v>21.329668724084634</v>
      </c>
      <c r="Q2610" s="9">
        <v>21.329668724084634</v>
      </c>
      <c r="R2610" s="9">
        <v>23.535187126233286</v>
      </c>
      <c r="S2610" s="9">
        <v>25.969348495460661</v>
      </c>
      <c r="T2610" s="9">
        <v>28.018652515052967</v>
      </c>
      <c r="U2610" s="9">
        <v>34.474261331240129</v>
      </c>
      <c r="V2610" s="9">
        <v>34.474261331240129</v>
      </c>
      <c r="W2610" s="9">
        <v>34.474261331240129</v>
      </c>
      <c r="X2610" s="9">
        <v>41.6797573977124</v>
      </c>
      <c r="Y2610" s="9">
        <v>41.6797573977124</v>
      </c>
      <c r="Z2610" s="9">
        <v>48.964357977567339</v>
      </c>
      <c r="AA2610" s="9">
        <v>48.964357977567339</v>
      </c>
      <c r="AB2610" s="9">
        <v>56.335973522143213</v>
      </c>
      <c r="AC2610" s="9">
        <v>56.335973522143213</v>
      </c>
      <c r="AD2610" s="9">
        <v>65.349051350310745</v>
      </c>
      <c r="AE2610" s="9">
        <v>72.305128962695434</v>
      </c>
      <c r="AF2610" s="9">
        <v>79.365490610542253</v>
      </c>
      <c r="AG2610" s="9">
        <v>79.365490610542253</v>
      </c>
      <c r="AH2610" s="9">
        <v>87.219003417886043</v>
      </c>
      <c r="AI2610" s="9">
        <v>95.054924275940976</v>
      </c>
      <c r="AJ2610" s="9">
        <v>3.0428788910505911</v>
      </c>
    </row>
    <row r="2611" spans="1:36" x14ac:dyDescent="0.25">
      <c r="A2611" t="s">
        <v>5411</v>
      </c>
      <c r="B2611" t="s">
        <v>16</v>
      </c>
      <c r="C2611" t="s">
        <v>17</v>
      </c>
      <c r="D2611">
        <v>56600000</v>
      </c>
      <c r="E2611">
        <v>56639999</v>
      </c>
      <c r="F2611" t="s">
        <v>2351</v>
      </c>
      <c r="G2611" t="str">
        <f t="shared" si="80"/>
        <v>PEI</v>
      </c>
      <c r="H2611" t="s">
        <v>2194</v>
      </c>
      <c r="I2611" t="s">
        <v>20</v>
      </c>
      <c r="J2611" t="s">
        <v>62</v>
      </c>
      <c r="K2611" s="6">
        <v>0.03</v>
      </c>
      <c r="L2611" s="7">
        <f t="shared" si="81"/>
        <v>2E-3</v>
      </c>
      <c r="M2611" s="7">
        <v>3.0000000000000001E-3</v>
      </c>
      <c r="N2611">
        <v>11</v>
      </c>
      <c r="O2611" s="8">
        <v>17.362919062478753</v>
      </c>
      <c r="P2611" s="9">
        <v>17.362919062478753</v>
      </c>
      <c r="Q2611" s="9">
        <v>17.362919062478753</v>
      </c>
      <c r="R2611" s="9">
        <v>18.763077462609331</v>
      </c>
      <c r="S2611" s="9">
        <v>20.822367518100933</v>
      </c>
      <c r="T2611" s="9">
        <v>22.932657006868226</v>
      </c>
      <c r="U2611" s="9">
        <v>28.394641309673208</v>
      </c>
      <c r="V2611" s="9">
        <v>28.394641309673208</v>
      </c>
      <c r="W2611" s="9">
        <v>28.394641309673208</v>
      </c>
      <c r="X2611" s="9">
        <v>34.481353453939484</v>
      </c>
      <c r="Y2611" s="9">
        <v>34.481353453939484</v>
      </c>
      <c r="Z2611" s="9">
        <v>40.733986919834194</v>
      </c>
      <c r="AA2611" s="9">
        <v>40.733986919834194</v>
      </c>
      <c r="AB2611" s="9">
        <v>47.204537282413121</v>
      </c>
      <c r="AC2611" s="9">
        <v>47.204537282413121</v>
      </c>
      <c r="AD2611" s="9">
        <v>53.805016474910374</v>
      </c>
      <c r="AE2611" s="9">
        <v>60.552137154404392</v>
      </c>
      <c r="AF2611" s="9">
        <v>67.464818475061875</v>
      </c>
      <c r="AG2611" s="9">
        <v>67.464818475061875</v>
      </c>
      <c r="AH2611" s="9">
        <v>74.129442022189522</v>
      </c>
      <c r="AI2611" s="9">
        <v>81.304669029817305</v>
      </c>
      <c r="AJ2611" s="9">
        <v>3.0428788910505911</v>
      </c>
    </row>
    <row r="2612" spans="1:36" x14ac:dyDescent="0.25">
      <c r="A2612" t="s">
        <v>5411</v>
      </c>
      <c r="B2612" t="s">
        <v>16</v>
      </c>
      <c r="C2612" t="s">
        <v>17</v>
      </c>
      <c r="D2612">
        <v>56640000</v>
      </c>
      <c r="E2612">
        <v>56669999</v>
      </c>
      <c r="F2612" t="s">
        <v>2352</v>
      </c>
      <c r="G2612" t="str">
        <f t="shared" si="80"/>
        <v>PEI</v>
      </c>
      <c r="H2612" t="s">
        <v>2194</v>
      </c>
      <c r="I2612" t="s">
        <v>20</v>
      </c>
      <c r="J2612" t="s">
        <v>62</v>
      </c>
      <c r="K2612" s="6">
        <v>0.03</v>
      </c>
      <c r="L2612" s="7">
        <f t="shared" si="81"/>
        <v>2E-3</v>
      </c>
      <c r="M2612" s="7">
        <v>3.0000000000000001E-3</v>
      </c>
      <c r="N2612">
        <v>11</v>
      </c>
      <c r="O2612" s="8">
        <v>17.362919062478753</v>
      </c>
      <c r="P2612" s="9">
        <v>17.362919062478753</v>
      </c>
      <c r="Q2612" s="9">
        <v>17.362919062478753</v>
      </c>
      <c r="R2612" s="9">
        <v>18.763077462609331</v>
      </c>
      <c r="S2612" s="9">
        <v>20.822367518100933</v>
      </c>
      <c r="T2612" s="9">
        <v>22.932657006868226</v>
      </c>
      <c r="U2612" s="9">
        <v>28.394641309673208</v>
      </c>
      <c r="V2612" s="9">
        <v>28.394641309673208</v>
      </c>
      <c r="W2612" s="9">
        <v>28.394641309673208</v>
      </c>
      <c r="X2612" s="9">
        <v>34.481353453939484</v>
      </c>
      <c r="Y2612" s="9">
        <v>34.481353453939484</v>
      </c>
      <c r="Z2612" s="9">
        <v>40.733986919834194</v>
      </c>
      <c r="AA2612" s="9">
        <v>40.733986919834194</v>
      </c>
      <c r="AB2612" s="9">
        <v>47.204537282413121</v>
      </c>
      <c r="AC2612" s="9">
        <v>47.204537282413121</v>
      </c>
      <c r="AD2612" s="9">
        <v>53.805016474910374</v>
      </c>
      <c r="AE2612" s="9">
        <v>60.552137154404392</v>
      </c>
      <c r="AF2612" s="9">
        <v>67.464818475061875</v>
      </c>
      <c r="AG2612" s="9">
        <v>67.464818475061875</v>
      </c>
      <c r="AH2612" s="9">
        <v>74.129442022189522</v>
      </c>
      <c r="AI2612" s="9">
        <v>81.304669029817305</v>
      </c>
      <c r="AJ2612" s="9">
        <v>3.0428788910505911</v>
      </c>
    </row>
    <row r="2613" spans="1:36" x14ac:dyDescent="0.25">
      <c r="A2613" t="s">
        <v>5411</v>
      </c>
      <c r="B2613" t="s">
        <v>16</v>
      </c>
      <c r="C2613" t="s">
        <v>17</v>
      </c>
      <c r="D2613">
        <v>56670000</v>
      </c>
      <c r="E2613">
        <v>56699999</v>
      </c>
      <c r="F2613" t="s">
        <v>2353</v>
      </c>
      <c r="G2613" t="str">
        <f t="shared" si="80"/>
        <v>PEI II</v>
      </c>
      <c r="H2613" t="s">
        <v>2194</v>
      </c>
      <c r="I2613" t="s">
        <v>20</v>
      </c>
      <c r="J2613" t="s">
        <v>64</v>
      </c>
      <c r="K2613" s="6">
        <v>0.03</v>
      </c>
      <c r="L2613" s="7">
        <f t="shared" si="81"/>
        <v>2E-3</v>
      </c>
      <c r="M2613" s="7">
        <v>3.0000000000000001E-3</v>
      </c>
      <c r="N2613">
        <v>15</v>
      </c>
      <c r="O2613" s="8">
        <v>21.329668724084634</v>
      </c>
      <c r="P2613" s="9">
        <v>21.329668724084634</v>
      </c>
      <c r="Q2613" s="9">
        <v>21.329668724084634</v>
      </c>
      <c r="R2613" s="9">
        <v>23.535187126233286</v>
      </c>
      <c r="S2613" s="9">
        <v>25.969348495460661</v>
      </c>
      <c r="T2613" s="9">
        <v>28.018652515052967</v>
      </c>
      <c r="U2613" s="9">
        <v>34.474261331240129</v>
      </c>
      <c r="V2613" s="9">
        <v>34.474261331240129</v>
      </c>
      <c r="W2613" s="9">
        <v>34.474261331240129</v>
      </c>
      <c r="X2613" s="9">
        <v>41.6797573977124</v>
      </c>
      <c r="Y2613" s="9">
        <v>41.6797573977124</v>
      </c>
      <c r="Z2613" s="9">
        <v>48.964357977567339</v>
      </c>
      <c r="AA2613" s="9">
        <v>48.964357977567339</v>
      </c>
      <c r="AB2613" s="9">
        <v>56.335973522143213</v>
      </c>
      <c r="AC2613" s="9">
        <v>56.335973522143213</v>
      </c>
      <c r="AD2613" s="9">
        <v>65.349051350310745</v>
      </c>
      <c r="AE2613" s="9">
        <v>72.305128962695434</v>
      </c>
      <c r="AF2613" s="9">
        <v>79.365490610542253</v>
      </c>
      <c r="AG2613" s="9">
        <v>79.365490610542253</v>
      </c>
      <c r="AH2613" s="9">
        <v>87.219003417886043</v>
      </c>
      <c r="AI2613" s="9">
        <v>95.054924275940976</v>
      </c>
      <c r="AJ2613" s="9">
        <v>3.0428788910505911</v>
      </c>
    </row>
    <row r="2614" spans="1:36" x14ac:dyDescent="0.25">
      <c r="A2614" t="s">
        <v>5411</v>
      </c>
      <c r="B2614" t="s">
        <v>16</v>
      </c>
      <c r="C2614" t="s">
        <v>17</v>
      </c>
      <c r="D2614">
        <v>56700000</v>
      </c>
      <c r="E2614">
        <v>56719999</v>
      </c>
      <c r="F2614" t="s">
        <v>2354</v>
      </c>
      <c r="G2614" t="str">
        <f t="shared" si="80"/>
        <v>PEI</v>
      </c>
      <c r="H2614" t="s">
        <v>2194</v>
      </c>
      <c r="I2614" t="s">
        <v>20</v>
      </c>
      <c r="J2614" t="s">
        <v>62</v>
      </c>
      <c r="K2614" s="6">
        <v>0.03</v>
      </c>
      <c r="L2614" s="7">
        <f t="shared" si="81"/>
        <v>2E-3</v>
      </c>
      <c r="M2614" s="7">
        <v>3.0000000000000001E-3</v>
      </c>
      <c r="N2614">
        <v>11</v>
      </c>
      <c r="O2614" s="8">
        <v>17.362919062478753</v>
      </c>
      <c r="P2614" s="9">
        <v>17.362919062478753</v>
      </c>
      <c r="Q2614" s="9">
        <v>17.362919062478753</v>
      </c>
      <c r="R2614" s="9">
        <v>18.763077462609331</v>
      </c>
      <c r="S2614" s="9">
        <v>20.822367518100933</v>
      </c>
      <c r="T2614" s="9">
        <v>22.932657006868226</v>
      </c>
      <c r="U2614" s="9">
        <v>28.394641309673208</v>
      </c>
      <c r="V2614" s="9">
        <v>28.394641309673208</v>
      </c>
      <c r="W2614" s="9">
        <v>28.394641309673208</v>
      </c>
      <c r="X2614" s="9">
        <v>34.481353453939484</v>
      </c>
      <c r="Y2614" s="9">
        <v>34.481353453939484</v>
      </c>
      <c r="Z2614" s="9">
        <v>40.733986919834194</v>
      </c>
      <c r="AA2614" s="9">
        <v>40.733986919834194</v>
      </c>
      <c r="AB2614" s="9">
        <v>47.204537282413121</v>
      </c>
      <c r="AC2614" s="9">
        <v>47.204537282413121</v>
      </c>
      <c r="AD2614" s="9">
        <v>53.805016474910374</v>
      </c>
      <c r="AE2614" s="9">
        <v>60.552137154404392</v>
      </c>
      <c r="AF2614" s="9">
        <v>67.464818475061875</v>
      </c>
      <c r="AG2614" s="9">
        <v>67.464818475061875</v>
      </c>
      <c r="AH2614" s="9">
        <v>74.129442022189522</v>
      </c>
      <c r="AI2614" s="9">
        <v>81.304669029817305</v>
      </c>
      <c r="AJ2614" s="9">
        <v>3.0428788910505911</v>
      </c>
    </row>
    <row r="2615" spans="1:36" x14ac:dyDescent="0.25">
      <c r="A2615" t="s">
        <v>5411</v>
      </c>
      <c r="B2615" t="s">
        <v>16</v>
      </c>
      <c r="C2615" t="s">
        <v>17</v>
      </c>
      <c r="D2615">
        <v>56720000</v>
      </c>
      <c r="E2615">
        <v>56739999</v>
      </c>
      <c r="F2615" t="s">
        <v>2355</v>
      </c>
      <c r="G2615" t="str">
        <f t="shared" si="80"/>
        <v>PEI II</v>
      </c>
      <c r="H2615" t="s">
        <v>2194</v>
      </c>
      <c r="I2615" t="s">
        <v>20</v>
      </c>
      <c r="J2615" t="s">
        <v>64</v>
      </c>
      <c r="K2615" s="6">
        <v>0.03</v>
      </c>
      <c r="L2615" s="7">
        <f t="shared" si="81"/>
        <v>2E-3</v>
      </c>
      <c r="M2615" s="7">
        <v>3.0000000000000001E-3</v>
      </c>
      <c r="N2615">
        <v>15</v>
      </c>
      <c r="O2615" s="8">
        <v>21.329668724084634</v>
      </c>
      <c r="P2615" s="9">
        <v>21.329668724084634</v>
      </c>
      <c r="Q2615" s="9">
        <v>21.329668724084634</v>
      </c>
      <c r="R2615" s="9">
        <v>23.535187126233286</v>
      </c>
      <c r="S2615" s="9">
        <v>25.969348495460661</v>
      </c>
      <c r="T2615" s="9">
        <v>28.018652515052967</v>
      </c>
      <c r="U2615" s="9">
        <v>34.474261331240129</v>
      </c>
      <c r="V2615" s="9">
        <v>34.474261331240129</v>
      </c>
      <c r="W2615" s="9">
        <v>34.474261331240129</v>
      </c>
      <c r="X2615" s="9">
        <v>41.6797573977124</v>
      </c>
      <c r="Y2615" s="9">
        <v>41.6797573977124</v>
      </c>
      <c r="Z2615" s="9">
        <v>48.964357977567339</v>
      </c>
      <c r="AA2615" s="9">
        <v>48.964357977567339</v>
      </c>
      <c r="AB2615" s="9">
        <v>56.335973522143213</v>
      </c>
      <c r="AC2615" s="9">
        <v>56.335973522143213</v>
      </c>
      <c r="AD2615" s="9">
        <v>65.349051350310745</v>
      </c>
      <c r="AE2615" s="9">
        <v>72.305128962695434</v>
      </c>
      <c r="AF2615" s="9">
        <v>79.365490610542253</v>
      </c>
      <c r="AG2615" s="9">
        <v>79.365490610542253</v>
      </c>
      <c r="AH2615" s="9">
        <v>87.219003417886043</v>
      </c>
      <c r="AI2615" s="9">
        <v>95.054924275940976</v>
      </c>
      <c r="AJ2615" s="9">
        <v>3.0428788910505911</v>
      </c>
    </row>
    <row r="2616" spans="1:36" x14ac:dyDescent="0.25">
      <c r="A2616" t="s">
        <v>5411</v>
      </c>
      <c r="B2616" t="s">
        <v>16</v>
      </c>
      <c r="C2616" t="s">
        <v>17</v>
      </c>
      <c r="D2616">
        <v>56740000</v>
      </c>
      <c r="E2616">
        <v>56749999</v>
      </c>
      <c r="F2616" t="s">
        <v>2356</v>
      </c>
      <c r="G2616" t="str">
        <f t="shared" si="80"/>
        <v>PEI II</v>
      </c>
      <c r="H2616" t="s">
        <v>2194</v>
      </c>
      <c r="I2616" t="s">
        <v>20</v>
      </c>
      <c r="J2616" t="s">
        <v>64</v>
      </c>
      <c r="K2616" s="6">
        <v>0.03</v>
      </c>
      <c r="L2616" s="7">
        <f t="shared" si="81"/>
        <v>2E-3</v>
      </c>
      <c r="M2616" s="7">
        <v>3.0000000000000001E-3</v>
      </c>
      <c r="N2616">
        <v>15</v>
      </c>
      <c r="O2616" s="8">
        <v>21.329668724084634</v>
      </c>
      <c r="P2616" s="9">
        <v>21.329668724084634</v>
      </c>
      <c r="Q2616" s="9">
        <v>21.329668724084634</v>
      </c>
      <c r="R2616" s="9">
        <v>23.535187126233286</v>
      </c>
      <c r="S2616" s="9">
        <v>25.969348495460661</v>
      </c>
      <c r="T2616" s="9">
        <v>28.018652515052967</v>
      </c>
      <c r="U2616" s="9">
        <v>34.474261331240129</v>
      </c>
      <c r="V2616" s="9">
        <v>34.474261331240129</v>
      </c>
      <c r="W2616" s="9">
        <v>34.474261331240129</v>
      </c>
      <c r="X2616" s="9">
        <v>41.6797573977124</v>
      </c>
      <c r="Y2616" s="9">
        <v>41.6797573977124</v>
      </c>
      <c r="Z2616" s="9">
        <v>48.964357977567339</v>
      </c>
      <c r="AA2616" s="9">
        <v>48.964357977567339</v>
      </c>
      <c r="AB2616" s="9">
        <v>56.335973522143213</v>
      </c>
      <c r="AC2616" s="9">
        <v>56.335973522143213</v>
      </c>
      <c r="AD2616" s="9">
        <v>65.349051350310745</v>
      </c>
      <c r="AE2616" s="9">
        <v>72.305128962695434</v>
      </c>
      <c r="AF2616" s="9">
        <v>79.365490610542253</v>
      </c>
      <c r="AG2616" s="9">
        <v>79.365490610542253</v>
      </c>
      <c r="AH2616" s="9">
        <v>87.219003417886043</v>
      </c>
      <c r="AI2616" s="9">
        <v>95.054924275940976</v>
      </c>
      <c r="AJ2616" s="9">
        <v>3.0428788910505911</v>
      </c>
    </row>
    <row r="2617" spans="1:36" x14ac:dyDescent="0.25">
      <c r="A2617" t="s">
        <v>5411</v>
      </c>
      <c r="B2617" t="s">
        <v>16</v>
      </c>
      <c r="C2617" t="s">
        <v>17</v>
      </c>
      <c r="D2617">
        <v>56750000</v>
      </c>
      <c r="E2617">
        <v>56759999</v>
      </c>
      <c r="F2617" t="s">
        <v>1746</v>
      </c>
      <c r="G2617" t="str">
        <f t="shared" si="80"/>
        <v>PEI II</v>
      </c>
      <c r="H2617" t="s">
        <v>2194</v>
      </c>
      <c r="I2617" t="s">
        <v>20</v>
      </c>
      <c r="J2617" t="s">
        <v>64</v>
      </c>
      <c r="K2617" s="6">
        <v>0.03</v>
      </c>
      <c r="L2617" s="7">
        <f t="shared" si="81"/>
        <v>2E-3</v>
      </c>
      <c r="M2617" s="7">
        <v>3.0000000000000001E-3</v>
      </c>
      <c r="N2617">
        <v>15</v>
      </c>
      <c r="O2617" s="8">
        <v>21.329668724084634</v>
      </c>
      <c r="P2617" s="9">
        <v>21.329668724084634</v>
      </c>
      <c r="Q2617" s="9">
        <v>21.329668724084634</v>
      </c>
      <c r="R2617" s="9">
        <v>23.535187126233286</v>
      </c>
      <c r="S2617" s="9">
        <v>25.969348495460661</v>
      </c>
      <c r="T2617" s="9">
        <v>28.018652515052967</v>
      </c>
      <c r="U2617" s="9">
        <v>34.474261331240129</v>
      </c>
      <c r="V2617" s="9">
        <v>34.474261331240129</v>
      </c>
      <c r="W2617" s="9">
        <v>34.474261331240129</v>
      </c>
      <c r="X2617" s="9">
        <v>41.6797573977124</v>
      </c>
      <c r="Y2617" s="9">
        <v>41.6797573977124</v>
      </c>
      <c r="Z2617" s="9">
        <v>48.964357977567339</v>
      </c>
      <c r="AA2617" s="9">
        <v>48.964357977567339</v>
      </c>
      <c r="AB2617" s="9">
        <v>56.335973522143213</v>
      </c>
      <c r="AC2617" s="9">
        <v>56.335973522143213</v>
      </c>
      <c r="AD2617" s="9">
        <v>65.349051350310745</v>
      </c>
      <c r="AE2617" s="9">
        <v>72.305128962695434</v>
      </c>
      <c r="AF2617" s="9">
        <v>79.365490610542253</v>
      </c>
      <c r="AG2617" s="9">
        <v>79.365490610542253</v>
      </c>
      <c r="AH2617" s="9">
        <v>87.219003417886043</v>
      </c>
      <c r="AI2617" s="9">
        <v>95.054924275940976</v>
      </c>
      <c r="AJ2617" s="9">
        <v>3.0428788910505911</v>
      </c>
    </row>
    <row r="2618" spans="1:36" x14ac:dyDescent="0.25">
      <c r="A2618" t="s">
        <v>5411</v>
      </c>
      <c r="B2618" t="s">
        <v>16</v>
      </c>
      <c r="C2618" t="s">
        <v>17</v>
      </c>
      <c r="D2618">
        <v>56760000</v>
      </c>
      <c r="E2618">
        <v>56779999</v>
      </c>
      <c r="F2618" t="s">
        <v>2357</v>
      </c>
      <c r="G2618" t="str">
        <f t="shared" si="80"/>
        <v>PEI II</v>
      </c>
      <c r="H2618" t="s">
        <v>2194</v>
      </c>
      <c r="I2618" t="s">
        <v>20</v>
      </c>
      <c r="J2618" t="s">
        <v>64</v>
      </c>
      <c r="K2618" s="6">
        <v>0.03</v>
      </c>
      <c r="L2618" s="7">
        <f t="shared" si="81"/>
        <v>2E-3</v>
      </c>
      <c r="M2618" s="7">
        <v>3.0000000000000001E-3</v>
      </c>
      <c r="N2618">
        <v>15</v>
      </c>
      <c r="O2618" s="8">
        <v>21.329668724084634</v>
      </c>
      <c r="P2618" s="9">
        <v>21.329668724084634</v>
      </c>
      <c r="Q2618" s="9">
        <v>21.329668724084634</v>
      </c>
      <c r="R2618" s="9">
        <v>23.535187126233286</v>
      </c>
      <c r="S2618" s="9">
        <v>25.969348495460661</v>
      </c>
      <c r="T2618" s="9">
        <v>28.018652515052967</v>
      </c>
      <c r="U2618" s="9">
        <v>34.474261331240129</v>
      </c>
      <c r="V2618" s="9">
        <v>34.474261331240129</v>
      </c>
      <c r="W2618" s="9">
        <v>34.474261331240129</v>
      </c>
      <c r="X2618" s="9">
        <v>41.6797573977124</v>
      </c>
      <c r="Y2618" s="9">
        <v>41.6797573977124</v>
      </c>
      <c r="Z2618" s="9">
        <v>48.964357977567339</v>
      </c>
      <c r="AA2618" s="9">
        <v>48.964357977567339</v>
      </c>
      <c r="AB2618" s="9">
        <v>56.335973522143213</v>
      </c>
      <c r="AC2618" s="9">
        <v>56.335973522143213</v>
      </c>
      <c r="AD2618" s="9">
        <v>65.349051350310745</v>
      </c>
      <c r="AE2618" s="9">
        <v>72.305128962695434</v>
      </c>
      <c r="AF2618" s="9">
        <v>79.365490610542253</v>
      </c>
      <c r="AG2618" s="9">
        <v>79.365490610542253</v>
      </c>
      <c r="AH2618" s="9">
        <v>87.219003417886043</v>
      </c>
      <c r="AI2618" s="9">
        <v>95.054924275940976</v>
      </c>
      <c r="AJ2618" s="9">
        <v>3.0428788910505911</v>
      </c>
    </row>
    <row r="2619" spans="1:36" x14ac:dyDescent="0.25">
      <c r="A2619" t="s">
        <v>5411</v>
      </c>
      <c r="B2619" t="s">
        <v>16</v>
      </c>
      <c r="C2619" t="s">
        <v>17</v>
      </c>
      <c r="D2619">
        <v>56780000</v>
      </c>
      <c r="E2619">
        <v>56794999</v>
      </c>
      <c r="F2619" t="s">
        <v>2358</v>
      </c>
      <c r="G2619" t="str">
        <f t="shared" si="80"/>
        <v>PEI</v>
      </c>
      <c r="H2619" t="s">
        <v>2194</v>
      </c>
      <c r="I2619" t="s">
        <v>20</v>
      </c>
      <c r="J2619" t="s">
        <v>62</v>
      </c>
      <c r="K2619" s="6">
        <v>0.03</v>
      </c>
      <c r="L2619" s="7">
        <f t="shared" si="81"/>
        <v>2E-3</v>
      </c>
      <c r="M2619" s="7">
        <v>3.0000000000000001E-3</v>
      </c>
      <c r="N2619">
        <v>11</v>
      </c>
      <c r="O2619" s="8">
        <v>17.362919062478753</v>
      </c>
      <c r="P2619" s="9">
        <v>17.362919062478753</v>
      </c>
      <c r="Q2619" s="9">
        <v>17.362919062478753</v>
      </c>
      <c r="R2619" s="9">
        <v>18.763077462609331</v>
      </c>
      <c r="S2619" s="9">
        <v>20.822367518100933</v>
      </c>
      <c r="T2619" s="9">
        <v>22.932657006868226</v>
      </c>
      <c r="U2619" s="9">
        <v>28.394641309673208</v>
      </c>
      <c r="V2619" s="9">
        <v>28.394641309673208</v>
      </c>
      <c r="W2619" s="9">
        <v>28.394641309673208</v>
      </c>
      <c r="X2619" s="9">
        <v>34.481353453939484</v>
      </c>
      <c r="Y2619" s="9">
        <v>34.481353453939484</v>
      </c>
      <c r="Z2619" s="9">
        <v>40.733986919834194</v>
      </c>
      <c r="AA2619" s="9">
        <v>40.733986919834194</v>
      </c>
      <c r="AB2619" s="9">
        <v>47.204537282413121</v>
      </c>
      <c r="AC2619" s="9">
        <v>47.204537282413121</v>
      </c>
      <c r="AD2619" s="9">
        <v>53.805016474910374</v>
      </c>
      <c r="AE2619" s="9">
        <v>60.552137154404392</v>
      </c>
      <c r="AF2619" s="9">
        <v>67.464818475061875</v>
      </c>
      <c r="AG2619" s="9">
        <v>67.464818475061875</v>
      </c>
      <c r="AH2619" s="9">
        <v>74.129442022189522</v>
      </c>
      <c r="AI2619" s="9">
        <v>81.304669029817305</v>
      </c>
      <c r="AJ2619" s="9">
        <v>3.0428788910505911</v>
      </c>
    </row>
    <row r="2620" spans="1:36" x14ac:dyDescent="0.25">
      <c r="A2620" t="s">
        <v>5411</v>
      </c>
      <c r="B2620" t="s">
        <v>16</v>
      </c>
      <c r="C2620" t="s">
        <v>17</v>
      </c>
      <c r="D2620">
        <v>56795000</v>
      </c>
      <c r="E2620">
        <v>56799999</v>
      </c>
      <c r="F2620" t="s">
        <v>2359</v>
      </c>
      <c r="G2620" t="str">
        <f t="shared" si="80"/>
        <v>PEI II</v>
      </c>
      <c r="H2620" t="s">
        <v>2194</v>
      </c>
      <c r="I2620" t="s">
        <v>20</v>
      </c>
      <c r="J2620" t="s">
        <v>64</v>
      </c>
      <c r="K2620" s="6">
        <v>0.03</v>
      </c>
      <c r="L2620" s="7">
        <f t="shared" si="81"/>
        <v>2E-3</v>
      </c>
      <c r="M2620" s="7">
        <v>3.0000000000000001E-3</v>
      </c>
      <c r="N2620">
        <v>15</v>
      </c>
      <c r="O2620" s="8">
        <v>21.329668724084634</v>
      </c>
      <c r="P2620" s="9">
        <v>21.329668724084634</v>
      </c>
      <c r="Q2620" s="9">
        <v>21.329668724084634</v>
      </c>
      <c r="R2620" s="9">
        <v>23.535187126233286</v>
      </c>
      <c r="S2620" s="9">
        <v>25.969348495460661</v>
      </c>
      <c r="T2620" s="9">
        <v>28.018652515052967</v>
      </c>
      <c r="U2620" s="9">
        <v>34.474261331240129</v>
      </c>
      <c r="V2620" s="9">
        <v>34.474261331240129</v>
      </c>
      <c r="W2620" s="9">
        <v>34.474261331240129</v>
      </c>
      <c r="X2620" s="9">
        <v>41.6797573977124</v>
      </c>
      <c r="Y2620" s="9">
        <v>41.6797573977124</v>
      </c>
      <c r="Z2620" s="9">
        <v>48.964357977567339</v>
      </c>
      <c r="AA2620" s="9">
        <v>48.964357977567339</v>
      </c>
      <c r="AB2620" s="9">
        <v>56.335973522143213</v>
      </c>
      <c r="AC2620" s="9">
        <v>56.335973522143213</v>
      </c>
      <c r="AD2620" s="9">
        <v>65.349051350310745</v>
      </c>
      <c r="AE2620" s="9">
        <v>72.305128962695434</v>
      </c>
      <c r="AF2620" s="9">
        <v>79.365490610542253</v>
      </c>
      <c r="AG2620" s="9">
        <v>79.365490610542253</v>
      </c>
      <c r="AH2620" s="9">
        <v>87.219003417886043</v>
      </c>
      <c r="AI2620" s="9">
        <v>95.054924275940976</v>
      </c>
      <c r="AJ2620" s="9">
        <v>3.0428788910505911</v>
      </c>
    </row>
    <row r="2621" spans="1:36" x14ac:dyDescent="0.25">
      <c r="A2621" t="s">
        <v>5411</v>
      </c>
      <c r="B2621" t="s">
        <v>16</v>
      </c>
      <c r="C2621" t="s">
        <v>17</v>
      </c>
      <c r="D2621">
        <v>56800000</v>
      </c>
      <c r="E2621">
        <v>56819999</v>
      </c>
      <c r="F2621" t="s">
        <v>2360</v>
      </c>
      <c r="G2621" t="str">
        <f t="shared" si="80"/>
        <v>PEI</v>
      </c>
      <c r="H2621" t="s">
        <v>2194</v>
      </c>
      <c r="I2621" t="s">
        <v>20</v>
      </c>
      <c r="J2621" t="s">
        <v>62</v>
      </c>
      <c r="K2621" s="6">
        <v>0.03</v>
      </c>
      <c r="L2621" s="7">
        <f t="shared" si="81"/>
        <v>2E-3</v>
      </c>
      <c r="M2621" s="7">
        <v>3.0000000000000001E-3</v>
      </c>
      <c r="N2621">
        <v>11</v>
      </c>
      <c r="O2621" s="8">
        <v>17.362919062478753</v>
      </c>
      <c r="P2621" s="9">
        <v>17.362919062478753</v>
      </c>
      <c r="Q2621" s="9">
        <v>17.362919062478753</v>
      </c>
      <c r="R2621" s="9">
        <v>18.763077462609331</v>
      </c>
      <c r="S2621" s="9">
        <v>20.822367518100933</v>
      </c>
      <c r="T2621" s="9">
        <v>22.932657006868226</v>
      </c>
      <c r="U2621" s="9">
        <v>28.394641309673208</v>
      </c>
      <c r="V2621" s="9">
        <v>28.394641309673208</v>
      </c>
      <c r="W2621" s="9">
        <v>28.394641309673208</v>
      </c>
      <c r="X2621" s="9">
        <v>34.481353453939484</v>
      </c>
      <c r="Y2621" s="9">
        <v>34.481353453939484</v>
      </c>
      <c r="Z2621" s="9">
        <v>40.733986919834194</v>
      </c>
      <c r="AA2621" s="9">
        <v>40.733986919834194</v>
      </c>
      <c r="AB2621" s="9">
        <v>47.204537282413121</v>
      </c>
      <c r="AC2621" s="9">
        <v>47.204537282413121</v>
      </c>
      <c r="AD2621" s="9">
        <v>53.805016474910374</v>
      </c>
      <c r="AE2621" s="9">
        <v>60.552137154404392</v>
      </c>
      <c r="AF2621" s="9">
        <v>67.464818475061875</v>
      </c>
      <c r="AG2621" s="9">
        <v>67.464818475061875</v>
      </c>
      <c r="AH2621" s="9">
        <v>74.129442022189522</v>
      </c>
      <c r="AI2621" s="9">
        <v>81.304669029817305</v>
      </c>
      <c r="AJ2621" s="9">
        <v>3.0428788910505911</v>
      </c>
    </row>
    <row r="2622" spans="1:36" x14ac:dyDescent="0.25">
      <c r="A2622" t="s">
        <v>5411</v>
      </c>
      <c r="B2622" t="s">
        <v>16</v>
      </c>
      <c r="C2622" t="s">
        <v>17</v>
      </c>
      <c r="D2622">
        <v>56820000</v>
      </c>
      <c r="E2622">
        <v>56827999</v>
      </c>
      <c r="F2622" t="s">
        <v>2361</v>
      </c>
      <c r="G2622" t="str">
        <f t="shared" si="80"/>
        <v>PEI</v>
      </c>
      <c r="H2622" t="s">
        <v>2194</v>
      </c>
      <c r="I2622" t="s">
        <v>20</v>
      </c>
      <c r="J2622" t="s">
        <v>62</v>
      </c>
      <c r="K2622" s="6">
        <v>0.03</v>
      </c>
      <c r="L2622" s="7">
        <f t="shared" si="81"/>
        <v>2E-3</v>
      </c>
      <c r="M2622" s="7">
        <v>3.0000000000000001E-3</v>
      </c>
      <c r="N2622">
        <v>14</v>
      </c>
      <c r="O2622" s="8">
        <v>17.362919062478753</v>
      </c>
      <c r="P2622" s="9">
        <v>17.362919062478753</v>
      </c>
      <c r="Q2622" s="9">
        <v>17.362919062478753</v>
      </c>
      <c r="R2622" s="9">
        <v>18.763077462609331</v>
      </c>
      <c r="S2622" s="9">
        <v>20.822367518100933</v>
      </c>
      <c r="T2622" s="9">
        <v>22.932657006868226</v>
      </c>
      <c r="U2622" s="9">
        <v>28.394641309673208</v>
      </c>
      <c r="V2622" s="9">
        <v>28.394641309673208</v>
      </c>
      <c r="W2622" s="9">
        <v>28.394641309673208</v>
      </c>
      <c r="X2622" s="9">
        <v>34.481353453939484</v>
      </c>
      <c r="Y2622" s="9">
        <v>34.481353453939484</v>
      </c>
      <c r="Z2622" s="9">
        <v>40.733986919834194</v>
      </c>
      <c r="AA2622" s="9">
        <v>40.733986919834194</v>
      </c>
      <c r="AB2622" s="9">
        <v>47.204537282413121</v>
      </c>
      <c r="AC2622" s="9">
        <v>47.204537282413121</v>
      </c>
      <c r="AD2622" s="9">
        <v>53.805016474910374</v>
      </c>
      <c r="AE2622" s="9">
        <v>60.552137154404392</v>
      </c>
      <c r="AF2622" s="9">
        <v>67.464818475061875</v>
      </c>
      <c r="AG2622" s="9">
        <v>67.464818475061875</v>
      </c>
      <c r="AH2622" s="9">
        <v>74.129442022189522</v>
      </c>
      <c r="AI2622" s="9">
        <v>81.304669029817305</v>
      </c>
      <c r="AJ2622" s="9">
        <v>3.0428788910505911</v>
      </c>
    </row>
    <row r="2623" spans="1:36" x14ac:dyDescent="0.25">
      <c r="A2623" t="s">
        <v>5411</v>
      </c>
      <c r="B2623" t="s">
        <v>16</v>
      </c>
      <c r="C2623" t="s">
        <v>17</v>
      </c>
      <c r="D2623">
        <v>56828000</v>
      </c>
      <c r="E2623">
        <v>56829999</v>
      </c>
      <c r="F2623" t="s">
        <v>2362</v>
      </c>
      <c r="G2623" t="str">
        <f t="shared" si="80"/>
        <v>PEI II</v>
      </c>
      <c r="H2623" t="s">
        <v>2194</v>
      </c>
      <c r="I2623" t="s">
        <v>20</v>
      </c>
      <c r="J2623" t="s">
        <v>64</v>
      </c>
      <c r="K2623" s="6">
        <v>0.03</v>
      </c>
      <c r="L2623" s="7">
        <f t="shared" si="81"/>
        <v>2E-3</v>
      </c>
      <c r="M2623" s="7">
        <v>3.0000000000000001E-3</v>
      </c>
      <c r="N2623">
        <v>15</v>
      </c>
      <c r="O2623" s="8">
        <v>21.329668724084634</v>
      </c>
      <c r="P2623" s="9">
        <v>21.329668724084634</v>
      </c>
      <c r="Q2623" s="9">
        <v>21.329668724084634</v>
      </c>
      <c r="R2623" s="9">
        <v>23.535187126233286</v>
      </c>
      <c r="S2623" s="9">
        <v>25.969348495460661</v>
      </c>
      <c r="T2623" s="9">
        <v>28.018652515052967</v>
      </c>
      <c r="U2623" s="9">
        <v>34.474261331240129</v>
      </c>
      <c r="V2623" s="9">
        <v>34.474261331240129</v>
      </c>
      <c r="W2623" s="9">
        <v>34.474261331240129</v>
      </c>
      <c r="X2623" s="9">
        <v>41.6797573977124</v>
      </c>
      <c r="Y2623" s="9">
        <v>41.6797573977124</v>
      </c>
      <c r="Z2623" s="9">
        <v>48.964357977567339</v>
      </c>
      <c r="AA2623" s="9">
        <v>48.964357977567339</v>
      </c>
      <c r="AB2623" s="9">
        <v>56.335973522143213</v>
      </c>
      <c r="AC2623" s="9">
        <v>56.335973522143213</v>
      </c>
      <c r="AD2623" s="9">
        <v>65.349051350310745</v>
      </c>
      <c r="AE2623" s="9">
        <v>72.305128962695434</v>
      </c>
      <c r="AF2623" s="9">
        <v>79.365490610542253</v>
      </c>
      <c r="AG2623" s="9">
        <v>79.365490610542253</v>
      </c>
      <c r="AH2623" s="9">
        <v>87.219003417886043</v>
      </c>
      <c r="AI2623" s="9">
        <v>95.054924275940976</v>
      </c>
      <c r="AJ2623" s="9">
        <v>3.0428788910505911</v>
      </c>
    </row>
    <row r="2624" spans="1:36" x14ac:dyDescent="0.25">
      <c r="A2624" t="s">
        <v>5411</v>
      </c>
      <c r="B2624" t="s">
        <v>16</v>
      </c>
      <c r="C2624" t="s">
        <v>17</v>
      </c>
      <c r="D2624">
        <v>56830000</v>
      </c>
      <c r="E2624">
        <v>56839999</v>
      </c>
      <c r="F2624" t="s">
        <v>2363</v>
      </c>
      <c r="G2624" t="str">
        <f t="shared" si="80"/>
        <v>PEI</v>
      </c>
      <c r="H2624" t="s">
        <v>2194</v>
      </c>
      <c r="I2624" t="s">
        <v>20</v>
      </c>
      <c r="J2624" t="s">
        <v>62</v>
      </c>
      <c r="K2624" s="6">
        <v>0.03</v>
      </c>
      <c r="L2624" s="7">
        <f t="shared" si="81"/>
        <v>2E-3</v>
      </c>
      <c r="M2624" s="7">
        <v>3.0000000000000001E-3</v>
      </c>
      <c r="N2624">
        <v>14</v>
      </c>
      <c r="O2624" s="8">
        <v>17.362919062478753</v>
      </c>
      <c r="P2624" s="9">
        <v>17.362919062478753</v>
      </c>
      <c r="Q2624" s="9">
        <v>17.362919062478753</v>
      </c>
      <c r="R2624" s="9">
        <v>18.763077462609331</v>
      </c>
      <c r="S2624" s="9">
        <v>20.822367518100933</v>
      </c>
      <c r="T2624" s="9">
        <v>22.932657006868226</v>
      </c>
      <c r="U2624" s="9">
        <v>28.394641309673208</v>
      </c>
      <c r="V2624" s="9">
        <v>28.394641309673208</v>
      </c>
      <c r="W2624" s="9">
        <v>28.394641309673208</v>
      </c>
      <c r="X2624" s="9">
        <v>34.481353453939484</v>
      </c>
      <c r="Y2624" s="9">
        <v>34.481353453939484</v>
      </c>
      <c r="Z2624" s="9">
        <v>40.733986919834194</v>
      </c>
      <c r="AA2624" s="9">
        <v>40.733986919834194</v>
      </c>
      <c r="AB2624" s="9">
        <v>47.204537282413121</v>
      </c>
      <c r="AC2624" s="9">
        <v>47.204537282413121</v>
      </c>
      <c r="AD2624" s="9">
        <v>53.805016474910374</v>
      </c>
      <c r="AE2624" s="9">
        <v>60.552137154404392</v>
      </c>
      <c r="AF2624" s="9">
        <v>67.464818475061875</v>
      </c>
      <c r="AG2624" s="9">
        <v>67.464818475061875</v>
      </c>
      <c r="AH2624" s="9">
        <v>74.129442022189522</v>
      </c>
      <c r="AI2624" s="9">
        <v>81.304669029817305</v>
      </c>
      <c r="AJ2624" s="9">
        <v>3.0428788910505911</v>
      </c>
    </row>
    <row r="2625" spans="1:36" x14ac:dyDescent="0.25">
      <c r="A2625" t="s">
        <v>5411</v>
      </c>
      <c r="B2625" t="s">
        <v>16</v>
      </c>
      <c r="C2625" t="s">
        <v>17</v>
      </c>
      <c r="D2625">
        <v>56840000</v>
      </c>
      <c r="E2625">
        <v>56849999</v>
      </c>
      <c r="F2625" t="s">
        <v>2364</v>
      </c>
      <c r="G2625" t="str">
        <f t="shared" si="80"/>
        <v>PEI</v>
      </c>
      <c r="H2625" t="s">
        <v>2194</v>
      </c>
      <c r="I2625" t="s">
        <v>20</v>
      </c>
      <c r="J2625" t="s">
        <v>62</v>
      </c>
      <c r="K2625" s="6">
        <v>0.03</v>
      </c>
      <c r="L2625" s="7">
        <f t="shared" si="81"/>
        <v>2E-3</v>
      </c>
      <c r="M2625" s="7">
        <v>3.0000000000000001E-3</v>
      </c>
      <c r="N2625">
        <v>14</v>
      </c>
      <c r="O2625" s="8">
        <v>17.362919062478753</v>
      </c>
      <c r="P2625" s="9">
        <v>17.362919062478753</v>
      </c>
      <c r="Q2625" s="9">
        <v>17.362919062478753</v>
      </c>
      <c r="R2625" s="9">
        <v>18.763077462609331</v>
      </c>
      <c r="S2625" s="9">
        <v>20.822367518100933</v>
      </c>
      <c r="T2625" s="9">
        <v>22.932657006868226</v>
      </c>
      <c r="U2625" s="9">
        <v>28.394641309673208</v>
      </c>
      <c r="V2625" s="9">
        <v>28.394641309673208</v>
      </c>
      <c r="W2625" s="9">
        <v>28.394641309673208</v>
      </c>
      <c r="X2625" s="9">
        <v>34.481353453939484</v>
      </c>
      <c r="Y2625" s="9">
        <v>34.481353453939484</v>
      </c>
      <c r="Z2625" s="9">
        <v>40.733986919834194</v>
      </c>
      <c r="AA2625" s="9">
        <v>40.733986919834194</v>
      </c>
      <c r="AB2625" s="9">
        <v>47.204537282413121</v>
      </c>
      <c r="AC2625" s="9">
        <v>47.204537282413121</v>
      </c>
      <c r="AD2625" s="9">
        <v>53.805016474910374</v>
      </c>
      <c r="AE2625" s="9">
        <v>60.552137154404392</v>
      </c>
      <c r="AF2625" s="9">
        <v>67.464818475061875</v>
      </c>
      <c r="AG2625" s="9">
        <v>67.464818475061875</v>
      </c>
      <c r="AH2625" s="9">
        <v>74.129442022189522</v>
      </c>
      <c r="AI2625" s="9">
        <v>81.304669029817305</v>
      </c>
      <c r="AJ2625" s="9">
        <v>3.0428788910505911</v>
      </c>
    </row>
    <row r="2626" spans="1:36" x14ac:dyDescent="0.25">
      <c r="A2626" t="s">
        <v>5411</v>
      </c>
      <c r="B2626" t="s">
        <v>16</v>
      </c>
      <c r="C2626" t="s">
        <v>17</v>
      </c>
      <c r="D2626">
        <v>56850000</v>
      </c>
      <c r="E2626">
        <v>56869999</v>
      </c>
      <c r="F2626" t="s">
        <v>2365</v>
      </c>
      <c r="G2626" t="str">
        <f t="shared" si="80"/>
        <v>PEI II</v>
      </c>
      <c r="H2626" t="s">
        <v>2194</v>
      </c>
      <c r="I2626" t="s">
        <v>20</v>
      </c>
      <c r="J2626" t="s">
        <v>64</v>
      </c>
      <c r="K2626" s="6">
        <v>0.03</v>
      </c>
      <c r="L2626" s="7">
        <f t="shared" si="81"/>
        <v>2E-3</v>
      </c>
      <c r="M2626" s="7">
        <v>3.0000000000000001E-3</v>
      </c>
      <c r="N2626">
        <v>15</v>
      </c>
      <c r="O2626" s="8">
        <v>21.329668724084634</v>
      </c>
      <c r="P2626" s="9">
        <v>21.329668724084634</v>
      </c>
      <c r="Q2626" s="9">
        <v>21.329668724084634</v>
      </c>
      <c r="R2626" s="9">
        <v>23.535187126233286</v>
      </c>
      <c r="S2626" s="9">
        <v>25.969348495460661</v>
      </c>
      <c r="T2626" s="9">
        <v>28.018652515052967</v>
      </c>
      <c r="U2626" s="9">
        <v>34.474261331240129</v>
      </c>
      <c r="V2626" s="9">
        <v>34.474261331240129</v>
      </c>
      <c r="W2626" s="9">
        <v>34.474261331240129</v>
      </c>
      <c r="X2626" s="9">
        <v>41.6797573977124</v>
      </c>
      <c r="Y2626" s="9">
        <v>41.6797573977124</v>
      </c>
      <c r="Z2626" s="9">
        <v>48.964357977567339</v>
      </c>
      <c r="AA2626" s="9">
        <v>48.964357977567339</v>
      </c>
      <c r="AB2626" s="9">
        <v>56.335973522143213</v>
      </c>
      <c r="AC2626" s="9">
        <v>56.335973522143213</v>
      </c>
      <c r="AD2626" s="9">
        <v>65.349051350310745</v>
      </c>
      <c r="AE2626" s="9">
        <v>72.305128962695434</v>
      </c>
      <c r="AF2626" s="9">
        <v>79.365490610542253</v>
      </c>
      <c r="AG2626" s="9">
        <v>79.365490610542253</v>
      </c>
      <c r="AH2626" s="9">
        <v>87.219003417886043</v>
      </c>
      <c r="AI2626" s="9">
        <v>95.054924275940976</v>
      </c>
      <c r="AJ2626" s="9">
        <v>3.0428788910505911</v>
      </c>
    </row>
    <row r="2627" spans="1:36" x14ac:dyDescent="0.25">
      <c r="A2627" t="s">
        <v>5411</v>
      </c>
      <c r="B2627" t="s">
        <v>16</v>
      </c>
      <c r="C2627" t="s">
        <v>17</v>
      </c>
      <c r="D2627">
        <v>56870000</v>
      </c>
      <c r="E2627">
        <v>56894999</v>
      </c>
      <c r="F2627" t="s">
        <v>2366</v>
      </c>
      <c r="G2627" t="str">
        <f t="shared" si="80"/>
        <v>PEI II</v>
      </c>
      <c r="H2627" t="s">
        <v>2194</v>
      </c>
      <c r="I2627" t="s">
        <v>20</v>
      </c>
      <c r="J2627" t="s">
        <v>64</v>
      </c>
      <c r="K2627" s="6">
        <v>0.03</v>
      </c>
      <c r="L2627" s="7">
        <f t="shared" si="81"/>
        <v>2E-3</v>
      </c>
      <c r="M2627" s="7">
        <v>3.0000000000000001E-3</v>
      </c>
      <c r="N2627">
        <v>14</v>
      </c>
      <c r="O2627" s="8">
        <v>21.329668724084634</v>
      </c>
      <c r="P2627" s="9">
        <v>21.329668724084634</v>
      </c>
      <c r="Q2627" s="9">
        <v>21.329668724084634</v>
      </c>
      <c r="R2627" s="9">
        <v>23.535187126233286</v>
      </c>
      <c r="S2627" s="9">
        <v>25.969348495460661</v>
      </c>
      <c r="T2627" s="9">
        <v>28.018652515052967</v>
      </c>
      <c r="U2627" s="9">
        <v>34.474261331240129</v>
      </c>
      <c r="V2627" s="9">
        <v>34.474261331240129</v>
      </c>
      <c r="W2627" s="9">
        <v>34.474261331240129</v>
      </c>
      <c r="X2627" s="9">
        <v>41.6797573977124</v>
      </c>
      <c r="Y2627" s="9">
        <v>41.6797573977124</v>
      </c>
      <c r="Z2627" s="9">
        <v>48.964357977567339</v>
      </c>
      <c r="AA2627" s="9">
        <v>48.964357977567339</v>
      </c>
      <c r="AB2627" s="9">
        <v>56.335973522143213</v>
      </c>
      <c r="AC2627" s="9">
        <v>56.335973522143213</v>
      </c>
      <c r="AD2627" s="9">
        <v>65.349051350310745</v>
      </c>
      <c r="AE2627" s="9">
        <v>72.305128962695434</v>
      </c>
      <c r="AF2627" s="9">
        <v>79.365490610542253</v>
      </c>
      <c r="AG2627" s="9">
        <v>79.365490610542253</v>
      </c>
      <c r="AH2627" s="9">
        <v>87.219003417886043</v>
      </c>
      <c r="AI2627" s="9">
        <v>95.054924275940976</v>
      </c>
      <c r="AJ2627" s="9">
        <v>3.0428788910505911</v>
      </c>
    </row>
    <row r="2628" spans="1:36" x14ac:dyDescent="0.25">
      <c r="A2628" t="s">
        <v>5411</v>
      </c>
      <c r="B2628" t="s">
        <v>16</v>
      </c>
      <c r="C2628" t="s">
        <v>17</v>
      </c>
      <c r="D2628">
        <v>56895000</v>
      </c>
      <c r="E2628">
        <v>56899999</v>
      </c>
      <c r="F2628" t="s">
        <v>2367</v>
      </c>
      <c r="G2628" t="str">
        <f t="shared" ref="G2628:G2691" si="82">H2628&amp;IF(J2628="CAPITAL","C",IF(J2628="INTERIOR","I",IF(J2628="INTERIOR II","I II","R")))</f>
        <v>PEI II</v>
      </c>
      <c r="H2628" t="s">
        <v>2194</v>
      </c>
      <c r="I2628" t="s">
        <v>20</v>
      </c>
      <c r="J2628" t="s">
        <v>64</v>
      </c>
      <c r="K2628" s="6">
        <v>0.03</v>
      </c>
      <c r="L2628" s="7">
        <f t="shared" ref="L2628:L2691" si="83">IF(I2628="(0) Não",0.2%,3%)</f>
        <v>2E-3</v>
      </c>
      <c r="M2628" s="7">
        <v>3.0000000000000001E-3</v>
      </c>
      <c r="N2628">
        <v>14</v>
      </c>
      <c r="O2628" s="8">
        <v>21.329668724084634</v>
      </c>
      <c r="P2628" s="9">
        <v>21.329668724084634</v>
      </c>
      <c r="Q2628" s="9">
        <v>21.329668724084634</v>
      </c>
      <c r="R2628" s="9">
        <v>23.535187126233286</v>
      </c>
      <c r="S2628" s="9">
        <v>25.969348495460661</v>
      </c>
      <c r="T2628" s="9">
        <v>28.018652515052967</v>
      </c>
      <c r="U2628" s="9">
        <v>34.474261331240129</v>
      </c>
      <c r="V2628" s="9">
        <v>34.474261331240129</v>
      </c>
      <c r="W2628" s="9">
        <v>34.474261331240129</v>
      </c>
      <c r="X2628" s="9">
        <v>41.6797573977124</v>
      </c>
      <c r="Y2628" s="9">
        <v>41.6797573977124</v>
      </c>
      <c r="Z2628" s="9">
        <v>48.964357977567339</v>
      </c>
      <c r="AA2628" s="9">
        <v>48.964357977567339</v>
      </c>
      <c r="AB2628" s="9">
        <v>56.335973522143213</v>
      </c>
      <c r="AC2628" s="9">
        <v>56.335973522143213</v>
      </c>
      <c r="AD2628" s="9">
        <v>65.349051350310745</v>
      </c>
      <c r="AE2628" s="9">
        <v>72.305128962695434</v>
      </c>
      <c r="AF2628" s="9">
        <v>79.365490610542253</v>
      </c>
      <c r="AG2628" s="9">
        <v>79.365490610542253</v>
      </c>
      <c r="AH2628" s="9">
        <v>87.219003417886043</v>
      </c>
      <c r="AI2628" s="9">
        <v>95.054924275940976</v>
      </c>
      <c r="AJ2628" s="9">
        <v>3.0428788910505911</v>
      </c>
    </row>
    <row r="2629" spans="1:36" x14ac:dyDescent="0.25">
      <c r="A2629" t="s">
        <v>5411</v>
      </c>
      <c r="B2629" t="s">
        <v>16</v>
      </c>
      <c r="C2629" t="s">
        <v>17</v>
      </c>
      <c r="D2629">
        <v>56900000</v>
      </c>
      <c r="E2629">
        <v>56929999</v>
      </c>
      <c r="F2629" t="s">
        <v>2368</v>
      </c>
      <c r="G2629" t="str">
        <f t="shared" si="82"/>
        <v>PEI</v>
      </c>
      <c r="H2629" t="s">
        <v>2194</v>
      </c>
      <c r="I2629" t="s">
        <v>20</v>
      </c>
      <c r="J2629" t="s">
        <v>62</v>
      </c>
      <c r="K2629" s="6">
        <v>0.03</v>
      </c>
      <c r="L2629" s="7">
        <f t="shared" si="83"/>
        <v>2E-3</v>
      </c>
      <c r="M2629" s="7">
        <v>3.0000000000000001E-3</v>
      </c>
      <c r="N2629">
        <v>11</v>
      </c>
      <c r="O2629" s="8">
        <v>17.362919062478753</v>
      </c>
      <c r="P2629" s="9">
        <v>17.362919062478753</v>
      </c>
      <c r="Q2629" s="9">
        <v>17.362919062478753</v>
      </c>
      <c r="R2629" s="9">
        <v>18.763077462609331</v>
      </c>
      <c r="S2629" s="9">
        <v>20.822367518100933</v>
      </c>
      <c r="T2629" s="9">
        <v>22.932657006868226</v>
      </c>
      <c r="U2629" s="9">
        <v>28.394641309673208</v>
      </c>
      <c r="V2629" s="9">
        <v>28.394641309673208</v>
      </c>
      <c r="W2629" s="9">
        <v>28.394641309673208</v>
      </c>
      <c r="X2629" s="9">
        <v>34.481353453939484</v>
      </c>
      <c r="Y2629" s="9">
        <v>34.481353453939484</v>
      </c>
      <c r="Z2629" s="9">
        <v>40.733986919834194</v>
      </c>
      <c r="AA2629" s="9">
        <v>40.733986919834194</v>
      </c>
      <c r="AB2629" s="9">
        <v>47.204537282413121</v>
      </c>
      <c r="AC2629" s="9">
        <v>47.204537282413121</v>
      </c>
      <c r="AD2629" s="9">
        <v>53.805016474910374</v>
      </c>
      <c r="AE2629" s="9">
        <v>60.552137154404392</v>
      </c>
      <c r="AF2629" s="9">
        <v>67.464818475061875</v>
      </c>
      <c r="AG2629" s="9">
        <v>67.464818475061875</v>
      </c>
      <c r="AH2629" s="9">
        <v>74.129442022189522</v>
      </c>
      <c r="AI2629" s="9">
        <v>81.304669029817305</v>
      </c>
      <c r="AJ2629" s="9">
        <v>3.0428788910505911</v>
      </c>
    </row>
    <row r="2630" spans="1:36" x14ac:dyDescent="0.25">
      <c r="A2630" t="s">
        <v>5411</v>
      </c>
      <c r="B2630" t="s">
        <v>16</v>
      </c>
      <c r="C2630" t="s">
        <v>17</v>
      </c>
      <c r="D2630">
        <v>56930000</v>
      </c>
      <c r="E2630">
        <v>56949999</v>
      </c>
      <c r="F2630" t="s">
        <v>2369</v>
      </c>
      <c r="G2630" t="str">
        <f t="shared" si="82"/>
        <v>PEI II</v>
      </c>
      <c r="H2630" t="s">
        <v>2194</v>
      </c>
      <c r="I2630" t="s">
        <v>20</v>
      </c>
      <c r="J2630" t="s">
        <v>64</v>
      </c>
      <c r="K2630" s="6">
        <v>0.03</v>
      </c>
      <c r="L2630" s="7">
        <f t="shared" si="83"/>
        <v>2E-3</v>
      </c>
      <c r="M2630" s="7">
        <v>3.0000000000000001E-3</v>
      </c>
      <c r="N2630">
        <v>14</v>
      </c>
      <c r="O2630" s="8">
        <v>21.329668724084634</v>
      </c>
      <c r="P2630" s="9">
        <v>21.329668724084634</v>
      </c>
      <c r="Q2630" s="9">
        <v>21.329668724084634</v>
      </c>
      <c r="R2630" s="9">
        <v>23.535187126233286</v>
      </c>
      <c r="S2630" s="9">
        <v>25.969348495460661</v>
      </c>
      <c r="T2630" s="9">
        <v>28.018652515052967</v>
      </c>
      <c r="U2630" s="9">
        <v>34.474261331240129</v>
      </c>
      <c r="V2630" s="9">
        <v>34.474261331240129</v>
      </c>
      <c r="W2630" s="9">
        <v>34.474261331240129</v>
      </c>
      <c r="X2630" s="9">
        <v>41.6797573977124</v>
      </c>
      <c r="Y2630" s="9">
        <v>41.6797573977124</v>
      </c>
      <c r="Z2630" s="9">
        <v>48.964357977567339</v>
      </c>
      <c r="AA2630" s="9">
        <v>48.964357977567339</v>
      </c>
      <c r="AB2630" s="9">
        <v>56.335973522143213</v>
      </c>
      <c r="AC2630" s="9">
        <v>56.335973522143213</v>
      </c>
      <c r="AD2630" s="9">
        <v>65.349051350310745</v>
      </c>
      <c r="AE2630" s="9">
        <v>72.305128962695434</v>
      </c>
      <c r="AF2630" s="9">
        <v>79.365490610542253</v>
      </c>
      <c r="AG2630" s="9">
        <v>79.365490610542253</v>
      </c>
      <c r="AH2630" s="9">
        <v>87.219003417886043</v>
      </c>
      <c r="AI2630" s="9">
        <v>95.054924275940976</v>
      </c>
      <c r="AJ2630" s="9">
        <v>3.0428788910505911</v>
      </c>
    </row>
    <row r="2631" spans="1:36" x14ac:dyDescent="0.25">
      <c r="A2631" t="s">
        <v>5411</v>
      </c>
      <c r="B2631" t="s">
        <v>16</v>
      </c>
      <c r="C2631" t="s">
        <v>17</v>
      </c>
      <c r="D2631">
        <v>56950000</v>
      </c>
      <c r="E2631">
        <v>56979999</v>
      </c>
      <c r="F2631" t="s">
        <v>2370</v>
      </c>
      <c r="G2631" t="str">
        <f t="shared" si="82"/>
        <v>PEI II</v>
      </c>
      <c r="H2631" t="s">
        <v>2194</v>
      </c>
      <c r="I2631" t="s">
        <v>20</v>
      </c>
      <c r="J2631" t="s">
        <v>64</v>
      </c>
      <c r="K2631" s="6">
        <v>0.03</v>
      </c>
      <c r="L2631" s="7">
        <f t="shared" si="83"/>
        <v>2E-3</v>
      </c>
      <c r="M2631" s="7">
        <v>3.0000000000000001E-3</v>
      </c>
      <c r="N2631">
        <v>14</v>
      </c>
      <c r="O2631" s="8">
        <v>21.329668724084634</v>
      </c>
      <c r="P2631" s="9">
        <v>21.329668724084634</v>
      </c>
      <c r="Q2631" s="9">
        <v>21.329668724084634</v>
      </c>
      <c r="R2631" s="9">
        <v>23.535187126233286</v>
      </c>
      <c r="S2631" s="9">
        <v>25.969348495460661</v>
      </c>
      <c r="T2631" s="9">
        <v>28.018652515052967</v>
      </c>
      <c r="U2631" s="9">
        <v>34.474261331240129</v>
      </c>
      <c r="V2631" s="9">
        <v>34.474261331240129</v>
      </c>
      <c r="W2631" s="9">
        <v>34.474261331240129</v>
      </c>
      <c r="X2631" s="9">
        <v>41.6797573977124</v>
      </c>
      <c r="Y2631" s="9">
        <v>41.6797573977124</v>
      </c>
      <c r="Z2631" s="9">
        <v>48.964357977567339</v>
      </c>
      <c r="AA2631" s="9">
        <v>48.964357977567339</v>
      </c>
      <c r="AB2631" s="9">
        <v>56.335973522143213</v>
      </c>
      <c r="AC2631" s="9">
        <v>56.335973522143213</v>
      </c>
      <c r="AD2631" s="9">
        <v>65.349051350310745</v>
      </c>
      <c r="AE2631" s="9">
        <v>72.305128962695434</v>
      </c>
      <c r="AF2631" s="9">
        <v>79.365490610542253</v>
      </c>
      <c r="AG2631" s="9">
        <v>79.365490610542253</v>
      </c>
      <c r="AH2631" s="9">
        <v>87.219003417886043</v>
      </c>
      <c r="AI2631" s="9">
        <v>95.054924275940976</v>
      </c>
      <c r="AJ2631" s="9">
        <v>3.0428788910505911</v>
      </c>
    </row>
    <row r="2632" spans="1:36" x14ac:dyDescent="0.25">
      <c r="A2632" t="s">
        <v>5411</v>
      </c>
      <c r="B2632" t="s">
        <v>16</v>
      </c>
      <c r="C2632" t="s">
        <v>17</v>
      </c>
      <c r="D2632">
        <v>56980000</v>
      </c>
      <c r="E2632">
        <v>56999999</v>
      </c>
      <c r="F2632" t="s">
        <v>2371</v>
      </c>
      <c r="G2632" t="str">
        <f t="shared" si="82"/>
        <v>PEI</v>
      </c>
      <c r="H2632" t="s">
        <v>2194</v>
      </c>
      <c r="I2632" t="s">
        <v>20</v>
      </c>
      <c r="J2632" t="s">
        <v>62</v>
      </c>
      <c r="K2632" s="6">
        <v>0.03</v>
      </c>
      <c r="L2632" s="7">
        <f t="shared" si="83"/>
        <v>2E-3</v>
      </c>
      <c r="M2632" s="7">
        <v>3.0000000000000001E-3</v>
      </c>
      <c r="N2632">
        <v>14</v>
      </c>
      <c r="O2632" s="8">
        <v>17.362919062478753</v>
      </c>
      <c r="P2632" s="9">
        <v>17.362919062478753</v>
      </c>
      <c r="Q2632" s="9">
        <v>17.362919062478753</v>
      </c>
      <c r="R2632" s="9">
        <v>18.763077462609331</v>
      </c>
      <c r="S2632" s="9">
        <v>20.822367518100933</v>
      </c>
      <c r="T2632" s="9">
        <v>22.932657006868226</v>
      </c>
      <c r="U2632" s="9">
        <v>28.394641309673208</v>
      </c>
      <c r="V2632" s="9">
        <v>28.394641309673208</v>
      </c>
      <c r="W2632" s="9">
        <v>28.394641309673208</v>
      </c>
      <c r="X2632" s="9">
        <v>34.481353453939484</v>
      </c>
      <c r="Y2632" s="9">
        <v>34.481353453939484</v>
      </c>
      <c r="Z2632" s="9">
        <v>40.733986919834194</v>
      </c>
      <c r="AA2632" s="9">
        <v>40.733986919834194</v>
      </c>
      <c r="AB2632" s="9">
        <v>47.204537282413121</v>
      </c>
      <c r="AC2632" s="9">
        <v>47.204537282413121</v>
      </c>
      <c r="AD2632" s="9">
        <v>53.805016474910374</v>
      </c>
      <c r="AE2632" s="9">
        <v>60.552137154404392</v>
      </c>
      <c r="AF2632" s="9">
        <v>67.464818475061875</v>
      </c>
      <c r="AG2632" s="9">
        <v>67.464818475061875</v>
      </c>
      <c r="AH2632" s="9">
        <v>74.129442022189522</v>
      </c>
      <c r="AI2632" s="9">
        <v>81.304669029817305</v>
      </c>
      <c r="AJ2632" s="9">
        <v>3.0428788910505911</v>
      </c>
    </row>
    <row r="2633" spans="1:36" x14ac:dyDescent="0.25">
      <c r="A2633" t="s">
        <v>5411</v>
      </c>
      <c r="B2633" t="s">
        <v>16</v>
      </c>
      <c r="C2633" t="s">
        <v>17</v>
      </c>
      <c r="D2633">
        <v>57000000</v>
      </c>
      <c r="E2633">
        <v>57009999</v>
      </c>
      <c r="F2633" t="s">
        <v>2372</v>
      </c>
      <c r="G2633" t="str">
        <f t="shared" si="82"/>
        <v>ALC</v>
      </c>
      <c r="H2633" t="s">
        <v>2373</v>
      </c>
      <c r="I2633" t="s">
        <v>20</v>
      </c>
      <c r="J2633" t="s">
        <v>21</v>
      </c>
      <c r="K2633" s="6">
        <v>0.03</v>
      </c>
      <c r="L2633" s="7">
        <f t="shared" si="83"/>
        <v>2E-3</v>
      </c>
      <c r="M2633" s="7">
        <v>3.0000000000000001E-3</v>
      </c>
      <c r="N2633">
        <v>6</v>
      </c>
      <c r="O2633" s="8">
        <v>14.658012588407608</v>
      </c>
      <c r="P2633" s="9">
        <v>14.658012588407608</v>
      </c>
      <c r="Q2633" s="9">
        <v>14.658012588407608</v>
      </c>
      <c r="R2633" s="9">
        <v>15.91500936805066</v>
      </c>
      <c r="S2633" s="9">
        <v>17.092695699984894</v>
      </c>
      <c r="T2633" s="9">
        <v>18.570537224280656</v>
      </c>
      <c r="U2633" s="9">
        <v>22.36879778049677</v>
      </c>
      <c r="V2633" s="9">
        <v>22.36879778049677</v>
      </c>
      <c r="W2633" s="9">
        <v>22.36879778049677</v>
      </c>
      <c r="X2633" s="9">
        <v>28.799590589997514</v>
      </c>
      <c r="Y2633" s="9">
        <v>28.799590589997514</v>
      </c>
      <c r="Z2633" s="9">
        <v>35.408891882661088</v>
      </c>
      <c r="AA2633" s="9">
        <v>35.408891882661088</v>
      </c>
      <c r="AB2633" s="9">
        <v>42.2853557536964</v>
      </c>
      <c r="AC2633" s="9">
        <v>42.2853557536964</v>
      </c>
      <c r="AD2633" s="9">
        <v>52.924840681994915</v>
      </c>
      <c r="AE2633" s="9">
        <v>59.611272623130141</v>
      </c>
      <c r="AF2633" s="9">
        <v>66.399765537769724</v>
      </c>
      <c r="AG2633" s="9">
        <v>66.399765537769724</v>
      </c>
      <c r="AH2633" s="9">
        <v>73.300525523264056</v>
      </c>
      <c r="AI2633" s="9">
        <v>79.684375838237017</v>
      </c>
      <c r="AJ2633" s="9">
        <v>3.0428788910505911</v>
      </c>
    </row>
    <row r="2634" spans="1:36" x14ac:dyDescent="0.25">
      <c r="A2634" t="s">
        <v>5411</v>
      </c>
      <c r="B2634" t="s">
        <v>16</v>
      </c>
      <c r="C2634" t="s">
        <v>17</v>
      </c>
      <c r="D2634">
        <v>57010000</v>
      </c>
      <c r="E2634">
        <v>57099999</v>
      </c>
      <c r="F2634" t="s">
        <v>2372</v>
      </c>
      <c r="G2634" t="str">
        <f t="shared" si="82"/>
        <v>ALC</v>
      </c>
      <c r="H2634" t="s">
        <v>2373</v>
      </c>
      <c r="I2634" t="s">
        <v>20</v>
      </c>
      <c r="J2634" t="s">
        <v>21</v>
      </c>
      <c r="K2634" s="6">
        <v>0.03</v>
      </c>
      <c r="L2634" s="7">
        <f t="shared" si="83"/>
        <v>2E-3</v>
      </c>
      <c r="M2634" s="7">
        <v>3.0000000000000001E-3</v>
      </c>
      <c r="N2634">
        <v>6</v>
      </c>
      <c r="O2634" s="8">
        <v>14.658012588407608</v>
      </c>
      <c r="P2634" s="9">
        <v>14.658012588407608</v>
      </c>
      <c r="Q2634" s="9">
        <v>14.658012588407608</v>
      </c>
      <c r="R2634" s="9">
        <v>15.91500936805066</v>
      </c>
      <c r="S2634" s="9">
        <v>17.092695699984894</v>
      </c>
      <c r="T2634" s="9">
        <v>18.570537224280656</v>
      </c>
      <c r="U2634" s="9">
        <v>22.36879778049677</v>
      </c>
      <c r="V2634" s="9">
        <v>22.36879778049677</v>
      </c>
      <c r="W2634" s="9">
        <v>22.36879778049677</v>
      </c>
      <c r="X2634" s="9">
        <v>28.799590589997514</v>
      </c>
      <c r="Y2634" s="9">
        <v>28.799590589997514</v>
      </c>
      <c r="Z2634" s="9">
        <v>35.408891882661088</v>
      </c>
      <c r="AA2634" s="9">
        <v>35.408891882661088</v>
      </c>
      <c r="AB2634" s="9">
        <v>42.2853557536964</v>
      </c>
      <c r="AC2634" s="9">
        <v>42.2853557536964</v>
      </c>
      <c r="AD2634" s="9">
        <v>52.924840681994915</v>
      </c>
      <c r="AE2634" s="9">
        <v>59.611272623130141</v>
      </c>
      <c r="AF2634" s="9">
        <v>66.399765537769724</v>
      </c>
      <c r="AG2634" s="9">
        <v>66.399765537769724</v>
      </c>
      <c r="AH2634" s="9">
        <v>73.300525523264056</v>
      </c>
      <c r="AI2634" s="9">
        <v>79.684375838237017</v>
      </c>
      <c r="AJ2634" s="9">
        <v>3.0428788910505911</v>
      </c>
    </row>
    <row r="2635" spans="1:36" x14ac:dyDescent="0.25">
      <c r="A2635" t="s">
        <v>5411</v>
      </c>
      <c r="B2635" t="s">
        <v>16</v>
      </c>
      <c r="C2635" t="s">
        <v>17</v>
      </c>
      <c r="D2635">
        <v>57100000</v>
      </c>
      <c r="E2635">
        <v>57119999</v>
      </c>
      <c r="F2635" t="s">
        <v>2374</v>
      </c>
      <c r="G2635" t="str">
        <f t="shared" si="82"/>
        <v>ALI</v>
      </c>
      <c r="H2635" t="s">
        <v>2373</v>
      </c>
      <c r="I2635" t="s">
        <v>20</v>
      </c>
      <c r="J2635" t="s">
        <v>62</v>
      </c>
      <c r="K2635" s="6">
        <v>0.03</v>
      </c>
      <c r="L2635" s="7">
        <f t="shared" si="83"/>
        <v>2E-3</v>
      </c>
      <c r="M2635" s="7">
        <v>3.0000000000000001E-3</v>
      </c>
      <c r="N2635">
        <v>7</v>
      </c>
      <c r="O2635" s="8">
        <v>20.285501069318975</v>
      </c>
      <c r="P2635" s="9">
        <v>20.285501069318975</v>
      </c>
      <c r="Q2635" s="9">
        <v>20.285501069318975</v>
      </c>
      <c r="R2635" s="9">
        <v>21.871661313902724</v>
      </c>
      <c r="S2635" s="9">
        <v>24.190921361155159</v>
      </c>
      <c r="T2635" s="9">
        <v>26.625441692091403</v>
      </c>
      <c r="U2635" s="9">
        <v>32.728097461461971</v>
      </c>
      <c r="V2635" s="9">
        <v>32.728097461461971</v>
      </c>
      <c r="W2635" s="9">
        <v>32.728097461461971</v>
      </c>
      <c r="X2635" s="9">
        <v>39.592402220979928</v>
      </c>
      <c r="Y2635" s="9">
        <v>39.592402220979928</v>
      </c>
      <c r="Z2635" s="9">
        <v>46.667225126282183</v>
      </c>
      <c r="AA2635" s="9">
        <v>46.667225126282183</v>
      </c>
      <c r="AB2635" s="9">
        <v>54.01853727705808</v>
      </c>
      <c r="AC2635" s="9">
        <v>54.01853727705808</v>
      </c>
      <c r="AD2635" s="9">
        <v>61.534700913404833</v>
      </c>
      <c r="AE2635" s="9">
        <v>69.23692076986022</v>
      </c>
      <c r="AF2635" s="9">
        <v>77.149201146871576</v>
      </c>
      <c r="AG2635" s="9">
        <v>77.149201146871576</v>
      </c>
      <c r="AH2635" s="9">
        <v>84.746750047431433</v>
      </c>
      <c r="AI2635" s="9">
        <v>92.897557115592605</v>
      </c>
      <c r="AJ2635" s="9">
        <v>3.0428788910505911</v>
      </c>
    </row>
    <row r="2636" spans="1:36" x14ac:dyDescent="0.25">
      <c r="A2636" t="s">
        <v>5411</v>
      </c>
      <c r="B2636" t="s">
        <v>16</v>
      </c>
      <c r="C2636" t="s">
        <v>17</v>
      </c>
      <c r="D2636">
        <v>57120000</v>
      </c>
      <c r="E2636">
        <v>57129999</v>
      </c>
      <c r="F2636" t="s">
        <v>2375</v>
      </c>
      <c r="G2636" t="str">
        <f t="shared" si="82"/>
        <v>ALI</v>
      </c>
      <c r="H2636" t="s">
        <v>2373</v>
      </c>
      <c r="I2636" t="s">
        <v>20</v>
      </c>
      <c r="J2636" t="s">
        <v>62</v>
      </c>
      <c r="K2636" s="6">
        <v>0.03</v>
      </c>
      <c r="L2636" s="7">
        <f t="shared" si="83"/>
        <v>2E-3</v>
      </c>
      <c r="M2636" s="7">
        <v>3.0000000000000001E-3</v>
      </c>
      <c r="N2636">
        <v>7</v>
      </c>
      <c r="O2636" s="8">
        <v>20.285501069318975</v>
      </c>
      <c r="P2636" s="9">
        <v>20.285501069318975</v>
      </c>
      <c r="Q2636" s="9">
        <v>20.285501069318975</v>
      </c>
      <c r="R2636" s="9">
        <v>21.871661313902724</v>
      </c>
      <c r="S2636" s="9">
        <v>24.190921361155159</v>
      </c>
      <c r="T2636" s="9">
        <v>26.625441692091403</v>
      </c>
      <c r="U2636" s="9">
        <v>32.728097461461971</v>
      </c>
      <c r="V2636" s="9">
        <v>32.728097461461971</v>
      </c>
      <c r="W2636" s="9">
        <v>32.728097461461971</v>
      </c>
      <c r="X2636" s="9">
        <v>39.592402220979928</v>
      </c>
      <c r="Y2636" s="9">
        <v>39.592402220979928</v>
      </c>
      <c r="Z2636" s="9">
        <v>46.667225126282183</v>
      </c>
      <c r="AA2636" s="9">
        <v>46.667225126282183</v>
      </c>
      <c r="AB2636" s="9">
        <v>54.01853727705808</v>
      </c>
      <c r="AC2636" s="9">
        <v>54.01853727705808</v>
      </c>
      <c r="AD2636" s="9">
        <v>61.534700913404833</v>
      </c>
      <c r="AE2636" s="9">
        <v>69.23692076986022</v>
      </c>
      <c r="AF2636" s="9">
        <v>77.149201146871576</v>
      </c>
      <c r="AG2636" s="9">
        <v>77.149201146871576</v>
      </c>
      <c r="AH2636" s="9">
        <v>84.746750047431433</v>
      </c>
      <c r="AI2636" s="9">
        <v>92.897557115592605</v>
      </c>
      <c r="AJ2636" s="9">
        <v>3.0428788910505911</v>
      </c>
    </row>
    <row r="2637" spans="1:36" x14ac:dyDescent="0.25">
      <c r="A2637" t="s">
        <v>5411</v>
      </c>
      <c r="B2637" t="s">
        <v>16</v>
      </c>
      <c r="C2637" t="s">
        <v>17</v>
      </c>
      <c r="D2637">
        <v>57130000</v>
      </c>
      <c r="E2637">
        <v>57139999</v>
      </c>
      <c r="F2637" t="s">
        <v>2376</v>
      </c>
      <c r="G2637" t="str">
        <f t="shared" si="82"/>
        <v>ALI</v>
      </c>
      <c r="H2637" t="s">
        <v>2373</v>
      </c>
      <c r="I2637" t="s">
        <v>20</v>
      </c>
      <c r="J2637" t="s">
        <v>62</v>
      </c>
      <c r="K2637" s="6">
        <v>0.03</v>
      </c>
      <c r="L2637" s="7">
        <f t="shared" si="83"/>
        <v>2E-3</v>
      </c>
      <c r="M2637" s="7">
        <v>3.0000000000000001E-3</v>
      </c>
      <c r="N2637">
        <v>7</v>
      </c>
      <c r="O2637" s="8">
        <v>20.285501069318975</v>
      </c>
      <c r="P2637" s="9">
        <v>20.285501069318975</v>
      </c>
      <c r="Q2637" s="9">
        <v>20.285501069318975</v>
      </c>
      <c r="R2637" s="9">
        <v>21.871661313902724</v>
      </c>
      <c r="S2637" s="9">
        <v>24.190921361155159</v>
      </c>
      <c r="T2637" s="9">
        <v>26.625441692091403</v>
      </c>
      <c r="U2637" s="9">
        <v>32.728097461461971</v>
      </c>
      <c r="V2637" s="9">
        <v>32.728097461461971</v>
      </c>
      <c r="W2637" s="9">
        <v>32.728097461461971</v>
      </c>
      <c r="X2637" s="9">
        <v>39.592402220979928</v>
      </c>
      <c r="Y2637" s="9">
        <v>39.592402220979928</v>
      </c>
      <c r="Z2637" s="9">
        <v>46.667225126282183</v>
      </c>
      <c r="AA2637" s="9">
        <v>46.667225126282183</v>
      </c>
      <c r="AB2637" s="9">
        <v>54.01853727705808</v>
      </c>
      <c r="AC2637" s="9">
        <v>54.01853727705808</v>
      </c>
      <c r="AD2637" s="9">
        <v>61.534700913404833</v>
      </c>
      <c r="AE2637" s="9">
        <v>69.23692076986022</v>
      </c>
      <c r="AF2637" s="9">
        <v>77.149201146871576</v>
      </c>
      <c r="AG2637" s="9">
        <v>77.149201146871576</v>
      </c>
      <c r="AH2637" s="9">
        <v>84.746750047431433</v>
      </c>
      <c r="AI2637" s="9">
        <v>92.897557115592605</v>
      </c>
      <c r="AJ2637" s="9">
        <v>3.0428788910505911</v>
      </c>
    </row>
    <row r="2638" spans="1:36" x14ac:dyDescent="0.25">
      <c r="A2638" t="s">
        <v>5411</v>
      </c>
      <c r="B2638" t="s">
        <v>16</v>
      </c>
      <c r="C2638" t="s">
        <v>17</v>
      </c>
      <c r="D2638">
        <v>57140000</v>
      </c>
      <c r="E2638">
        <v>57149999</v>
      </c>
      <c r="F2638" t="s">
        <v>2377</v>
      </c>
      <c r="G2638" t="str">
        <f t="shared" si="82"/>
        <v>ALR</v>
      </c>
      <c r="H2638" t="s">
        <v>2373</v>
      </c>
      <c r="I2638" t="s">
        <v>20</v>
      </c>
      <c r="J2638" t="s">
        <v>77</v>
      </c>
      <c r="K2638" s="6">
        <v>0.03</v>
      </c>
      <c r="L2638" s="7">
        <f t="shared" si="83"/>
        <v>2E-3</v>
      </c>
      <c r="M2638" s="7">
        <v>3.0000000000000001E-3</v>
      </c>
      <c r="N2638">
        <v>17</v>
      </c>
      <c r="O2638" s="8">
        <v>31.559907159117596</v>
      </c>
      <c r="P2638" s="9">
        <v>31.559907159117596</v>
      </c>
      <c r="Q2638" s="9">
        <v>31.559907159117596</v>
      </c>
      <c r="R2638" s="9">
        <v>34.782556244112428</v>
      </c>
      <c r="S2638" s="9">
        <v>38.331578707788331</v>
      </c>
      <c r="T2638" s="9">
        <v>40.776923733312373</v>
      </c>
      <c r="U2638" s="9">
        <v>49.120207061213286</v>
      </c>
      <c r="V2638" s="9">
        <v>49.120207061213286</v>
      </c>
      <c r="W2638" s="9">
        <v>49.120207061213286</v>
      </c>
      <c r="X2638" s="9">
        <v>62.947967465281963</v>
      </c>
      <c r="Y2638" s="9">
        <v>62.947967465281963</v>
      </c>
      <c r="Z2638" s="9">
        <v>73.089269472589308</v>
      </c>
      <c r="AA2638" s="9">
        <v>73.089269472589308</v>
      </c>
      <c r="AB2638" s="9">
        <v>83.453036962432847</v>
      </c>
      <c r="AC2638" s="9">
        <v>83.453036962432847</v>
      </c>
      <c r="AD2638" s="9">
        <v>94.061516483066114</v>
      </c>
      <c r="AE2638" s="9">
        <v>104.93917923756814</v>
      </c>
      <c r="AF2638" s="9">
        <v>116.11294354932578</v>
      </c>
      <c r="AG2638" s="9">
        <v>116.11294354932578</v>
      </c>
      <c r="AH2638" s="9">
        <v>127.61241957406463</v>
      </c>
      <c r="AI2638" s="9">
        <v>140.35672613559947</v>
      </c>
      <c r="AJ2638" s="9">
        <v>3.0428788910505911</v>
      </c>
    </row>
    <row r="2639" spans="1:36" x14ac:dyDescent="0.25">
      <c r="A2639" t="s">
        <v>5411</v>
      </c>
      <c r="B2639" t="s">
        <v>16</v>
      </c>
      <c r="C2639" t="s">
        <v>17</v>
      </c>
      <c r="D2639">
        <v>57150000</v>
      </c>
      <c r="E2639">
        <v>57159999</v>
      </c>
      <c r="F2639" t="s">
        <v>2378</v>
      </c>
      <c r="G2639" t="str">
        <f t="shared" si="82"/>
        <v>ALI</v>
      </c>
      <c r="H2639" t="s">
        <v>2373</v>
      </c>
      <c r="I2639" t="s">
        <v>20</v>
      </c>
      <c r="J2639" t="s">
        <v>62</v>
      </c>
      <c r="K2639" s="6">
        <v>0.03</v>
      </c>
      <c r="L2639" s="7">
        <f t="shared" si="83"/>
        <v>2E-3</v>
      </c>
      <c r="M2639" s="7">
        <v>3.0000000000000001E-3</v>
      </c>
      <c r="N2639">
        <v>7</v>
      </c>
      <c r="O2639" s="8">
        <v>20.285501069318975</v>
      </c>
      <c r="P2639" s="9">
        <v>20.285501069318975</v>
      </c>
      <c r="Q2639" s="9">
        <v>20.285501069318975</v>
      </c>
      <c r="R2639" s="9">
        <v>21.871661313902724</v>
      </c>
      <c r="S2639" s="9">
        <v>24.190921361155159</v>
      </c>
      <c r="T2639" s="9">
        <v>26.625441692091403</v>
      </c>
      <c r="U2639" s="9">
        <v>32.728097461461971</v>
      </c>
      <c r="V2639" s="9">
        <v>32.728097461461971</v>
      </c>
      <c r="W2639" s="9">
        <v>32.728097461461971</v>
      </c>
      <c r="X2639" s="9">
        <v>39.592402220979928</v>
      </c>
      <c r="Y2639" s="9">
        <v>39.592402220979928</v>
      </c>
      <c r="Z2639" s="9">
        <v>46.667225126282183</v>
      </c>
      <c r="AA2639" s="9">
        <v>46.667225126282183</v>
      </c>
      <c r="AB2639" s="9">
        <v>54.01853727705808</v>
      </c>
      <c r="AC2639" s="9">
        <v>54.01853727705808</v>
      </c>
      <c r="AD2639" s="9">
        <v>61.534700913404833</v>
      </c>
      <c r="AE2639" s="9">
        <v>69.23692076986022</v>
      </c>
      <c r="AF2639" s="9">
        <v>77.149201146871576</v>
      </c>
      <c r="AG2639" s="9">
        <v>77.149201146871576</v>
      </c>
      <c r="AH2639" s="9">
        <v>84.746750047431433</v>
      </c>
      <c r="AI2639" s="9">
        <v>92.897557115592605</v>
      </c>
      <c r="AJ2639" s="9">
        <v>3.0428788910505911</v>
      </c>
    </row>
    <row r="2640" spans="1:36" x14ac:dyDescent="0.25">
      <c r="A2640" t="s">
        <v>5411</v>
      </c>
      <c r="B2640" t="s">
        <v>16</v>
      </c>
      <c r="C2640" t="s">
        <v>17</v>
      </c>
      <c r="D2640">
        <v>57160000</v>
      </c>
      <c r="E2640">
        <v>57179999</v>
      </c>
      <c r="F2640" t="s">
        <v>2379</v>
      </c>
      <c r="G2640" t="str">
        <f t="shared" si="82"/>
        <v>ALI</v>
      </c>
      <c r="H2640" t="s">
        <v>2373</v>
      </c>
      <c r="I2640" t="s">
        <v>20</v>
      </c>
      <c r="J2640" t="s">
        <v>62</v>
      </c>
      <c r="K2640" s="6">
        <v>0.03</v>
      </c>
      <c r="L2640" s="7">
        <f t="shared" si="83"/>
        <v>2E-3</v>
      </c>
      <c r="M2640" s="7">
        <v>3.0000000000000001E-3</v>
      </c>
      <c r="N2640">
        <v>7</v>
      </c>
      <c r="O2640" s="8">
        <v>20.285501069318975</v>
      </c>
      <c r="P2640" s="9">
        <v>20.285501069318975</v>
      </c>
      <c r="Q2640" s="9">
        <v>20.285501069318975</v>
      </c>
      <c r="R2640" s="9">
        <v>21.871661313902724</v>
      </c>
      <c r="S2640" s="9">
        <v>24.190921361155159</v>
      </c>
      <c r="T2640" s="9">
        <v>26.625441692091403</v>
      </c>
      <c r="U2640" s="9">
        <v>32.728097461461971</v>
      </c>
      <c r="V2640" s="9">
        <v>32.728097461461971</v>
      </c>
      <c r="W2640" s="9">
        <v>32.728097461461971</v>
      </c>
      <c r="X2640" s="9">
        <v>39.592402220979928</v>
      </c>
      <c r="Y2640" s="9">
        <v>39.592402220979928</v>
      </c>
      <c r="Z2640" s="9">
        <v>46.667225126282183</v>
      </c>
      <c r="AA2640" s="9">
        <v>46.667225126282183</v>
      </c>
      <c r="AB2640" s="9">
        <v>54.01853727705808</v>
      </c>
      <c r="AC2640" s="9">
        <v>54.01853727705808</v>
      </c>
      <c r="AD2640" s="9">
        <v>61.534700913404833</v>
      </c>
      <c r="AE2640" s="9">
        <v>69.23692076986022</v>
      </c>
      <c r="AF2640" s="9">
        <v>77.149201146871576</v>
      </c>
      <c r="AG2640" s="9">
        <v>77.149201146871576</v>
      </c>
      <c r="AH2640" s="9">
        <v>84.746750047431433</v>
      </c>
      <c r="AI2640" s="9">
        <v>92.897557115592605</v>
      </c>
      <c r="AJ2640" s="9">
        <v>3.0428788910505911</v>
      </c>
    </row>
    <row r="2641" spans="1:36" x14ac:dyDescent="0.25">
      <c r="A2641" t="s">
        <v>5411</v>
      </c>
      <c r="B2641" t="s">
        <v>16</v>
      </c>
      <c r="C2641" t="s">
        <v>17</v>
      </c>
      <c r="D2641">
        <v>57180000</v>
      </c>
      <c r="E2641">
        <v>57199999</v>
      </c>
      <c r="F2641" t="s">
        <v>2380</v>
      </c>
      <c r="G2641" t="str">
        <f t="shared" si="82"/>
        <v>ALI</v>
      </c>
      <c r="H2641" t="s">
        <v>2373</v>
      </c>
      <c r="I2641" t="s">
        <v>20</v>
      </c>
      <c r="J2641" t="s">
        <v>62</v>
      </c>
      <c r="K2641" s="6">
        <v>0.03</v>
      </c>
      <c r="L2641" s="7">
        <f t="shared" si="83"/>
        <v>2E-3</v>
      </c>
      <c r="M2641" s="7">
        <v>3.0000000000000001E-3</v>
      </c>
      <c r="N2641">
        <v>7</v>
      </c>
      <c r="O2641" s="8">
        <v>20.285501069318975</v>
      </c>
      <c r="P2641" s="9">
        <v>20.285501069318975</v>
      </c>
      <c r="Q2641" s="9">
        <v>20.285501069318975</v>
      </c>
      <c r="R2641" s="9">
        <v>21.871661313902724</v>
      </c>
      <c r="S2641" s="9">
        <v>24.190921361155159</v>
      </c>
      <c r="T2641" s="9">
        <v>26.625441692091403</v>
      </c>
      <c r="U2641" s="9">
        <v>32.728097461461971</v>
      </c>
      <c r="V2641" s="9">
        <v>32.728097461461971</v>
      </c>
      <c r="W2641" s="9">
        <v>32.728097461461971</v>
      </c>
      <c r="X2641" s="9">
        <v>39.592402220979928</v>
      </c>
      <c r="Y2641" s="9">
        <v>39.592402220979928</v>
      </c>
      <c r="Z2641" s="9">
        <v>46.667225126282183</v>
      </c>
      <c r="AA2641" s="9">
        <v>46.667225126282183</v>
      </c>
      <c r="AB2641" s="9">
        <v>54.01853727705808</v>
      </c>
      <c r="AC2641" s="9">
        <v>54.01853727705808</v>
      </c>
      <c r="AD2641" s="9">
        <v>61.534700913404833</v>
      </c>
      <c r="AE2641" s="9">
        <v>69.23692076986022</v>
      </c>
      <c r="AF2641" s="9">
        <v>77.149201146871576</v>
      </c>
      <c r="AG2641" s="9">
        <v>77.149201146871576</v>
      </c>
      <c r="AH2641" s="9">
        <v>84.746750047431433</v>
      </c>
      <c r="AI2641" s="9">
        <v>92.897557115592605</v>
      </c>
      <c r="AJ2641" s="9">
        <v>3.0428788910505911</v>
      </c>
    </row>
    <row r="2642" spans="1:36" x14ac:dyDescent="0.25">
      <c r="A2642" t="s">
        <v>5411</v>
      </c>
      <c r="B2642" t="s">
        <v>16</v>
      </c>
      <c r="C2642" t="s">
        <v>17</v>
      </c>
      <c r="D2642">
        <v>57200000</v>
      </c>
      <c r="E2642">
        <v>57209999</v>
      </c>
      <c r="F2642" t="s">
        <v>2381</v>
      </c>
      <c r="G2642" t="str">
        <f t="shared" si="82"/>
        <v>ALR</v>
      </c>
      <c r="H2642" t="s">
        <v>2373</v>
      </c>
      <c r="I2642" t="s">
        <v>20</v>
      </c>
      <c r="J2642" t="s">
        <v>77</v>
      </c>
      <c r="K2642" s="6">
        <v>0.03</v>
      </c>
      <c r="L2642" s="7">
        <f t="shared" si="83"/>
        <v>2E-3</v>
      </c>
      <c r="M2642" s="7">
        <v>3.0000000000000001E-3</v>
      </c>
      <c r="N2642">
        <v>17</v>
      </c>
      <c r="O2642" s="8">
        <v>31.559907159117596</v>
      </c>
      <c r="P2642" s="9">
        <v>31.559907159117596</v>
      </c>
      <c r="Q2642" s="9">
        <v>31.559907159117596</v>
      </c>
      <c r="R2642" s="9">
        <v>34.782556244112428</v>
      </c>
      <c r="S2642" s="9">
        <v>38.331578707788331</v>
      </c>
      <c r="T2642" s="9">
        <v>40.776923733312373</v>
      </c>
      <c r="U2642" s="9">
        <v>49.120207061213286</v>
      </c>
      <c r="V2642" s="9">
        <v>49.120207061213286</v>
      </c>
      <c r="W2642" s="9">
        <v>49.120207061213286</v>
      </c>
      <c r="X2642" s="9">
        <v>62.947967465281963</v>
      </c>
      <c r="Y2642" s="9">
        <v>62.947967465281963</v>
      </c>
      <c r="Z2642" s="9">
        <v>73.089269472589308</v>
      </c>
      <c r="AA2642" s="9">
        <v>73.089269472589308</v>
      </c>
      <c r="AB2642" s="9">
        <v>83.453036962432847</v>
      </c>
      <c r="AC2642" s="9">
        <v>83.453036962432847</v>
      </c>
      <c r="AD2642" s="9">
        <v>94.061516483066114</v>
      </c>
      <c r="AE2642" s="9">
        <v>104.93917923756814</v>
      </c>
      <c r="AF2642" s="9">
        <v>116.11294354932578</v>
      </c>
      <c r="AG2642" s="9">
        <v>116.11294354932578</v>
      </c>
      <c r="AH2642" s="9">
        <v>127.61241957406463</v>
      </c>
      <c r="AI2642" s="9">
        <v>140.35672613559947</v>
      </c>
      <c r="AJ2642" s="9">
        <v>3.0428788910505911</v>
      </c>
    </row>
    <row r="2643" spans="1:36" x14ac:dyDescent="0.25">
      <c r="A2643" t="s">
        <v>5411</v>
      </c>
      <c r="B2643" t="s">
        <v>16</v>
      </c>
      <c r="C2643" t="s">
        <v>17</v>
      </c>
      <c r="D2643">
        <v>57210000</v>
      </c>
      <c r="E2643">
        <v>57219999</v>
      </c>
      <c r="F2643" t="s">
        <v>2382</v>
      </c>
      <c r="G2643" t="str">
        <f t="shared" si="82"/>
        <v>ALR</v>
      </c>
      <c r="H2643" t="s">
        <v>2373</v>
      </c>
      <c r="I2643" t="s">
        <v>20</v>
      </c>
      <c r="J2643" t="s">
        <v>77</v>
      </c>
      <c r="K2643" s="6">
        <v>0.03</v>
      </c>
      <c r="L2643" s="7">
        <f t="shared" si="83"/>
        <v>2E-3</v>
      </c>
      <c r="M2643" s="7">
        <v>3.0000000000000001E-3</v>
      </c>
      <c r="N2643">
        <v>17</v>
      </c>
      <c r="O2643" s="8">
        <v>31.559907159117596</v>
      </c>
      <c r="P2643" s="9">
        <v>31.559907159117596</v>
      </c>
      <c r="Q2643" s="9">
        <v>31.559907159117596</v>
      </c>
      <c r="R2643" s="9">
        <v>34.782556244112428</v>
      </c>
      <c r="S2643" s="9">
        <v>38.331578707788331</v>
      </c>
      <c r="T2643" s="9">
        <v>40.776923733312373</v>
      </c>
      <c r="U2643" s="9">
        <v>49.120207061213286</v>
      </c>
      <c r="V2643" s="9">
        <v>49.120207061213286</v>
      </c>
      <c r="W2643" s="9">
        <v>49.120207061213286</v>
      </c>
      <c r="X2643" s="9">
        <v>62.947967465281963</v>
      </c>
      <c r="Y2643" s="9">
        <v>62.947967465281963</v>
      </c>
      <c r="Z2643" s="9">
        <v>73.089269472589308</v>
      </c>
      <c r="AA2643" s="9">
        <v>73.089269472589308</v>
      </c>
      <c r="AB2643" s="9">
        <v>83.453036962432847</v>
      </c>
      <c r="AC2643" s="9">
        <v>83.453036962432847</v>
      </c>
      <c r="AD2643" s="9">
        <v>94.061516483066114</v>
      </c>
      <c r="AE2643" s="9">
        <v>104.93917923756814</v>
      </c>
      <c r="AF2643" s="9">
        <v>116.11294354932578</v>
      </c>
      <c r="AG2643" s="9">
        <v>116.11294354932578</v>
      </c>
      <c r="AH2643" s="9">
        <v>127.61241957406463</v>
      </c>
      <c r="AI2643" s="9">
        <v>140.35672613559947</v>
      </c>
      <c r="AJ2643" s="9">
        <v>3.0428788910505911</v>
      </c>
    </row>
    <row r="2644" spans="1:36" x14ac:dyDescent="0.25">
      <c r="A2644" t="s">
        <v>5411</v>
      </c>
      <c r="B2644" t="s">
        <v>16</v>
      </c>
      <c r="C2644" t="s">
        <v>17</v>
      </c>
      <c r="D2644">
        <v>57220000</v>
      </c>
      <c r="E2644">
        <v>57229999</v>
      </c>
      <c r="F2644" t="s">
        <v>2383</v>
      </c>
      <c r="G2644" t="str">
        <f t="shared" si="82"/>
        <v>ALR</v>
      </c>
      <c r="H2644" t="s">
        <v>2373</v>
      </c>
      <c r="I2644" t="s">
        <v>20</v>
      </c>
      <c r="J2644" t="s">
        <v>77</v>
      </c>
      <c r="K2644" s="6">
        <v>0.03</v>
      </c>
      <c r="L2644" s="7">
        <f t="shared" si="83"/>
        <v>2E-3</v>
      </c>
      <c r="M2644" s="7">
        <v>3.0000000000000001E-3</v>
      </c>
      <c r="N2644">
        <v>17</v>
      </c>
      <c r="O2644" s="8">
        <v>31.559907159117596</v>
      </c>
      <c r="P2644" s="9">
        <v>31.559907159117596</v>
      </c>
      <c r="Q2644" s="9">
        <v>31.559907159117596</v>
      </c>
      <c r="R2644" s="9">
        <v>34.782556244112428</v>
      </c>
      <c r="S2644" s="9">
        <v>38.331578707788331</v>
      </c>
      <c r="T2644" s="9">
        <v>40.776923733312373</v>
      </c>
      <c r="U2644" s="9">
        <v>49.120207061213286</v>
      </c>
      <c r="V2644" s="9">
        <v>49.120207061213286</v>
      </c>
      <c r="W2644" s="9">
        <v>49.120207061213286</v>
      </c>
      <c r="X2644" s="9">
        <v>62.947967465281963</v>
      </c>
      <c r="Y2644" s="9">
        <v>62.947967465281963</v>
      </c>
      <c r="Z2644" s="9">
        <v>73.089269472589308</v>
      </c>
      <c r="AA2644" s="9">
        <v>73.089269472589308</v>
      </c>
      <c r="AB2644" s="9">
        <v>83.453036962432847</v>
      </c>
      <c r="AC2644" s="9">
        <v>83.453036962432847</v>
      </c>
      <c r="AD2644" s="9">
        <v>94.061516483066114</v>
      </c>
      <c r="AE2644" s="9">
        <v>104.93917923756814</v>
      </c>
      <c r="AF2644" s="9">
        <v>116.11294354932578</v>
      </c>
      <c r="AG2644" s="9">
        <v>116.11294354932578</v>
      </c>
      <c r="AH2644" s="9">
        <v>127.61241957406463</v>
      </c>
      <c r="AI2644" s="9">
        <v>140.35672613559947</v>
      </c>
      <c r="AJ2644" s="9">
        <v>3.0428788910505911</v>
      </c>
    </row>
    <row r="2645" spans="1:36" x14ac:dyDescent="0.25">
      <c r="A2645" t="s">
        <v>5411</v>
      </c>
      <c r="B2645" t="s">
        <v>16</v>
      </c>
      <c r="C2645" t="s">
        <v>17</v>
      </c>
      <c r="D2645">
        <v>57230000</v>
      </c>
      <c r="E2645">
        <v>57239999</v>
      </c>
      <c r="F2645" t="s">
        <v>2384</v>
      </c>
      <c r="G2645" t="str">
        <f t="shared" si="82"/>
        <v>ALR</v>
      </c>
      <c r="H2645" t="s">
        <v>2373</v>
      </c>
      <c r="I2645" t="s">
        <v>20</v>
      </c>
      <c r="J2645" t="s">
        <v>77</v>
      </c>
      <c r="K2645" s="6">
        <v>0.03</v>
      </c>
      <c r="L2645" s="7">
        <f t="shared" si="83"/>
        <v>2E-3</v>
      </c>
      <c r="M2645" s="7">
        <v>3.0000000000000001E-3</v>
      </c>
      <c r="N2645">
        <v>17</v>
      </c>
      <c r="O2645" s="8">
        <v>31.559907159117596</v>
      </c>
      <c r="P2645" s="9">
        <v>31.559907159117596</v>
      </c>
      <c r="Q2645" s="9">
        <v>31.559907159117596</v>
      </c>
      <c r="R2645" s="9">
        <v>34.782556244112428</v>
      </c>
      <c r="S2645" s="9">
        <v>38.331578707788331</v>
      </c>
      <c r="T2645" s="9">
        <v>40.776923733312373</v>
      </c>
      <c r="U2645" s="9">
        <v>49.120207061213286</v>
      </c>
      <c r="V2645" s="9">
        <v>49.120207061213286</v>
      </c>
      <c r="W2645" s="9">
        <v>49.120207061213286</v>
      </c>
      <c r="X2645" s="9">
        <v>62.947967465281963</v>
      </c>
      <c r="Y2645" s="9">
        <v>62.947967465281963</v>
      </c>
      <c r="Z2645" s="9">
        <v>73.089269472589308</v>
      </c>
      <c r="AA2645" s="9">
        <v>73.089269472589308</v>
      </c>
      <c r="AB2645" s="9">
        <v>83.453036962432847</v>
      </c>
      <c r="AC2645" s="9">
        <v>83.453036962432847</v>
      </c>
      <c r="AD2645" s="9">
        <v>94.061516483066114</v>
      </c>
      <c r="AE2645" s="9">
        <v>104.93917923756814</v>
      </c>
      <c r="AF2645" s="9">
        <v>116.11294354932578</v>
      </c>
      <c r="AG2645" s="9">
        <v>116.11294354932578</v>
      </c>
      <c r="AH2645" s="9">
        <v>127.61241957406463</v>
      </c>
      <c r="AI2645" s="9">
        <v>140.35672613559947</v>
      </c>
      <c r="AJ2645" s="9">
        <v>3.0428788910505911</v>
      </c>
    </row>
    <row r="2646" spans="1:36" x14ac:dyDescent="0.25">
      <c r="A2646" t="s">
        <v>5411</v>
      </c>
      <c r="B2646" t="s">
        <v>16</v>
      </c>
      <c r="C2646" t="s">
        <v>17</v>
      </c>
      <c r="D2646">
        <v>57240000</v>
      </c>
      <c r="E2646">
        <v>57249999</v>
      </c>
      <c r="F2646" t="s">
        <v>2385</v>
      </c>
      <c r="G2646" t="str">
        <f t="shared" si="82"/>
        <v>ALI</v>
      </c>
      <c r="H2646" t="s">
        <v>2373</v>
      </c>
      <c r="I2646" t="s">
        <v>20</v>
      </c>
      <c r="J2646" t="s">
        <v>62</v>
      </c>
      <c r="K2646" s="6">
        <v>0.03</v>
      </c>
      <c r="L2646" s="7">
        <f t="shared" si="83"/>
        <v>2E-3</v>
      </c>
      <c r="M2646" s="7">
        <v>3.0000000000000001E-3</v>
      </c>
      <c r="N2646">
        <v>7</v>
      </c>
      <c r="O2646" s="8">
        <v>20.285501069318975</v>
      </c>
      <c r="P2646" s="9">
        <v>20.285501069318975</v>
      </c>
      <c r="Q2646" s="9">
        <v>20.285501069318975</v>
      </c>
      <c r="R2646" s="9">
        <v>21.871661313902724</v>
      </c>
      <c r="S2646" s="9">
        <v>24.190921361155159</v>
      </c>
      <c r="T2646" s="9">
        <v>26.625441692091403</v>
      </c>
      <c r="U2646" s="9">
        <v>32.728097461461971</v>
      </c>
      <c r="V2646" s="9">
        <v>32.728097461461971</v>
      </c>
      <c r="W2646" s="9">
        <v>32.728097461461971</v>
      </c>
      <c r="X2646" s="9">
        <v>39.592402220979928</v>
      </c>
      <c r="Y2646" s="9">
        <v>39.592402220979928</v>
      </c>
      <c r="Z2646" s="9">
        <v>46.667225126282183</v>
      </c>
      <c r="AA2646" s="9">
        <v>46.667225126282183</v>
      </c>
      <c r="AB2646" s="9">
        <v>54.01853727705808</v>
      </c>
      <c r="AC2646" s="9">
        <v>54.01853727705808</v>
      </c>
      <c r="AD2646" s="9">
        <v>61.534700913404833</v>
      </c>
      <c r="AE2646" s="9">
        <v>69.23692076986022</v>
      </c>
      <c r="AF2646" s="9">
        <v>77.149201146871576</v>
      </c>
      <c r="AG2646" s="9">
        <v>77.149201146871576</v>
      </c>
      <c r="AH2646" s="9">
        <v>84.746750047431433</v>
      </c>
      <c r="AI2646" s="9">
        <v>92.897557115592605</v>
      </c>
      <c r="AJ2646" s="9">
        <v>3.0428788910505911</v>
      </c>
    </row>
    <row r="2647" spans="1:36" x14ac:dyDescent="0.25">
      <c r="A2647" t="s">
        <v>5411</v>
      </c>
      <c r="B2647" t="s">
        <v>16</v>
      </c>
      <c r="C2647" t="s">
        <v>17</v>
      </c>
      <c r="D2647">
        <v>57250000</v>
      </c>
      <c r="E2647">
        <v>57254999</v>
      </c>
      <c r="F2647" t="s">
        <v>2386</v>
      </c>
      <c r="G2647" t="str">
        <f t="shared" si="82"/>
        <v>ALR</v>
      </c>
      <c r="H2647" t="s">
        <v>2373</v>
      </c>
      <c r="I2647" t="s">
        <v>20</v>
      </c>
      <c r="J2647" t="s">
        <v>77</v>
      </c>
      <c r="K2647" s="6">
        <v>0.03</v>
      </c>
      <c r="L2647" s="7">
        <f t="shared" si="83"/>
        <v>2E-3</v>
      </c>
      <c r="M2647" s="7">
        <v>3.0000000000000001E-3</v>
      </c>
      <c r="N2647">
        <v>17</v>
      </c>
      <c r="O2647" s="8">
        <v>31.559907159117596</v>
      </c>
      <c r="P2647" s="9">
        <v>31.559907159117596</v>
      </c>
      <c r="Q2647" s="9">
        <v>31.559907159117596</v>
      </c>
      <c r="R2647" s="9">
        <v>34.782556244112428</v>
      </c>
      <c r="S2647" s="9">
        <v>38.331578707788331</v>
      </c>
      <c r="T2647" s="9">
        <v>40.776923733312373</v>
      </c>
      <c r="U2647" s="9">
        <v>49.120207061213286</v>
      </c>
      <c r="V2647" s="9">
        <v>49.120207061213286</v>
      </c>
      <c r="W2647" s="9">
        <v>49.120207061213286</v>
      </c>
      <c r="X2647" s="9">
        <v>62.947967465281963</v>
      </c>
      <c r="Y2647" s="9">
        <v>62.947967465281963</v>
      </c>
      <c r="Z2647" s="9">
        <v>73.089269472589308</v>
      </c>
      <c r="AA2647" s="9">
        <v>73.089269472589308</v>
      </c>
      <c r="AB2647" s="9">
        <v>83.453036962432847</v>
      </c>
      <c r="AC2647" s="9">
        <v>83.453036962432847</v>
      </c>
      <c r="AD2647" s="9">
        <v>94.061516483066114</v>
      </c>
      <c r="AE2647" s="9">
        <v>104.93917923756814</v>
      </c>
      <c r="AF2647" s="9">
        <v>116.11294354932578</v>
      </c>
      <c r="AG2647" s="9">
        <v>116.11294354932578</v>
      </c>
      <c r="AH2647" s="9">
        <v>127.61241957406463</v>
      </c>
      <c r="AI2647" s="9">
        <v>140.35672613559947</v>
      </c>
      <c r="AJ2647" s="9">
        <v>3.0428788910505911</v>
      </c>
    </row>
    <row r="2648" spans="1:36" x14ac:dyDescent="0.25">
      <c r="A2648" t="s">
        <v>5411</v>
      </c>
      <c r="B2648" t="s">
        <v>16</v>
      </c>
      <c r="C2648" t="s">
        <v>17</v>
      </c>
      <c r="D2648">
        <v>57255000</v>
      </c>
      <c r="E2648">
        <v>57256999</v>
      </c>
      <c r="F2648" t="s">
        <v>2387</v>
      </c>
      <c r="G2648" t="str">
        <f t="shared" si="82"/>
        <v>ALR</v>
      </c>
      <c r="H2648" t="s">
        <v>2373</v>
      </c>
      <c r="I2648" t="s">
        <v>20</v>
      </c>
      <c r="J2648" t="s">
        <v>77</v>
      </c>
      <c r="K2648" s="6">
        <v>0.03</v>
      </c>
      <c r="L2648" s="7">
        <f t="shared" si="83"/>
        <v>2E-3</v>
      </c>
      <c r="M2648" s="7">
        <v>3.0000000000000001E-3</v>
      </c>
      <c r="N2648">
        <v>17</v>
      </c>
      <c r="O2648" s="8">
        <v>31.559907159117596</v>
      </c>
      <c r="P2648" s="9">
        <v>31.559907159117596</v>
      </c>
      <c r="Q2648" s="9">
        <v>31.559907159117596</v>
      </c>
      <c r="R2648" s="9">
        <v>34.782556244112428</v>
      </c>
      <c r="S2648" s="9">
        <v>38.331578707788331</v>
      </c>
      <c r="T2648" s="9">
        <v>40.776923733312373</v>
      </c>
      <c r="U2648" s="9">
        <v>49.120207061213286</v>
      </c>
      <c r="V2648" s="9">
        <v>49.120207061213286</v>
      </c>
      <c r="W2648" s="9">
        <v>49.120207061213286</v>
      </c>
      <c r="X2648" s="9">
        <v>62.947967465281963</v>
      </c>
      <c r="Y2648" s="9">
        <v>62.947967465281963</v>
      </c>
      <c r="Z2648" s="9">
        <v>73.089269472589308</v>
      </c>
      <c r="AA2648" s="9">
        <v>73.089269472589308</v>
      </c>
      <c r="AB2648" s="9">
        <v>83.453036962432847</v>
      </c>
      <c r="AC2648" s="9">
        <v>83.453036962432847</v>
      </c>
      <c r="AD2648" s="9">
        <v>94.061516483066114</v>
      </c>
      <c r="AE2648" s="9">
        <v>104.93917923756814</v>
      </c>
      <c r="AF2648" s="9">
        <v>116.11294354932578</v>
      </c>
      <c r="AG2648" s="9">
        <v>116.11294354932578</v>
      </c>
      <c r="AH2648" s="9">
        <v>127.61241957406463</v>
      </c>
      <c r="AI2648" s="9">
        <v>140.35672613559947</v>
      </c>
      <c r="AJ2648" s="9">
        <v>3.0428788910505911</v>
      </c>
    </row>
    <row r="2649" spans="1:36" x14ac:dyDescent="0.25">
      <c r="A2649" t="s">
        <v>5411</v>
      </c>
      <c r="B2649" t="s">
        <v>16</v>
      </c>
      <c r="C2649" t="s">
        <v>17</v>
      </c>
      <c r="D2649">
        <v>57257000</v>
      </c>
      <c r="E2649">
        <v>57259999</v>
      </c>
      <c r="F2649" t="s">
        <v>2388</v>
      </c>
      <c r="G2649" t="str">
        <f t="shared" si="82"/>
        <v>ALR</v>
      </c>
      <c r="H2649" t="s">
        <v>2373</v>
      </c>
      <c r="I2649" t="s">
        <v>20</v>
      </c>
      <c r="J2649" t="s">
        <v>77</v>
      </c>
      <c r="K2649" s="6">
        <v>0.03</v>
      </c>
      <c r="L2649" s="7">
        <f t="shared" si="83"/>
        <v>2E-3</v>
      </c>
      <c r="M2649" s="7">
        <v>3.0000000000000001E-3</v>
      </c>
      <c r="N2649">
        <v>17</v>
      </c>
      <c r="O2649" s="8">
        <v>31.559907159117596</v>
      </c>
      <c r="P2649" s="9">
        <v>31.559907159117596</v>
      </c>
      <c r="Q2649" s="9">
        <v>31.559907159117596</v>
      </c>
      <c r="R2649" s="9">
        <v>34.782556244112428</v>
      </c>
      <c r="S2649" s="9">
        <v>38.331578707788331</v>
      </c>
      <c r="T2649" s="9">
        <v>40.776923733312373</v>
      </c>
      <c r="U2649" s="9">
        <v>49.120207061213286</v>
      </c>
      <c r="V2649" s="9">
        <v>49.120207061213286</v>
      </c>
      <c r="W2649" s="9">
        <v>49.120207061213286</v>
      </c>
      <c r="X2649" s="9">
        <v>62.947967465281963</v>
      </c>
      <c r="Y2649" s="9">
        <v>62.947967465281963</v>
      </c>
      <c r="Z2649" s="9">
        <v>73.089269472589308</v>
      </c>
      <c r="AA2649" s="9">
        <v>73.089269472589308</v>
      </c>
      <c r="AB2649" s="9">
        <v>83.453036962432847</v>
      </c>
      <c r="AC2649" s="9">
        <v>83.453036962432847</v>
      </c>
      <c r="AD2649" s="9">
        <v>94.061516483066114</v>
      </c>
      <c r="AE2649" s="9">
        <v>104.93917923756814</v>
      </c>
      <c r="AF2649" s="9">
        <v>116.11294354932578</v>
      </c>
      <c r="AG2649" s="9">
        <v>116.11294354932578</v>
      </c>
      <c r="AH2649" s="9">
        <v>127.61241957406463</v>
      </c>
      <c r="AI2649" s="9">
        <v>140.35672613559947</v>
      </c>
      <c r="AJ2649" s="9">
        <v>3.0428788910505911</v>
      </c>
    </row>
    <row r="2650" spans="1:36" x14ac:dyDescent="0.25">
      <c r="A2650" t="s">
        <v>5411</v>
      </c>
      <c r="B2650" t="s">
        <v>16</v>
      </c>
      <c r="C2650" t="s">
        <v>17</v>
      </c>
      <c r="D2650">
        <v>57260000</v>
      </c>
      <c r="E2650">
        <v>57264999</v>
      </c>
      <c r="F2650" t="s">
        <v>2389</v>
      </c>
      <c r="G2650" t="str">
        <f t="shared" si="82"/>
        <v>ALR</v>
      </c>
      <c r="H2650" t="s">
        <v>2373</v>
      </c>
      <c r="I2650" t="s">
        <v>20</v>
      </c>
      <c r="J2650" t="s">
        <v>77</v>
      </c>
      <c r="K2650" s="6">
        <v>0.03</v>
      </c>
      <c r="L2650" s="7">
        <f t="shared" si="83"/>
        <v>2E-3</v>
      </c>
      <c r="M2650" s="7">
        <v>3.0000000000000001E-3</v>
      </c>
      <c r="N2650">
        <v>17</v>
      </c>
      <c r="O2650" s="8">
        <v>31.559907159117596</v>
      </c>
      <c r="P2650" s="9">
        <v>31.559907159117596</v>
      </c>
      <c r="Q2650" s="9">
        <v>31.559907159117596</v>
      </c>
      <c r="R2650" s="9">
        <v>34.782556244112428</v>
      </c>
      <c r="S2650" s="9">
        <v>38.331578707788331</v>
      </c>
      <c r="T2650" s="9">
        <v>40.776923733312373</v>
      </c>
      <c r="U2650" s="9">
        <v>49.120207061213286</v>
      </c>
      <c r="V2650" s="9">
        <v>49.120207061213286</v>
      </c>
      <c r="W2650" s="9">
        <v>49.120207061213286</v>
      </c>
      <c r="X2650" s="9">
        <v>62.947967465281963</v>
      </c>
      <c r="Y2650" s="9">
        <v>62.947967465281963</v>
      </c>
      <c r="Z2650" s="9">
        <v>73.089269472589308</v>
      </c>
      <c r="AA2650" s="9">
        <v>73.089269472589308</v>
      </c>
      <c r="AB2650" s="9">
        <v>83.453036962432847</v>
      </c>
      <c r="AC2650" s="9">
        <v>83.453036962432847</v>
      </c>
      <c r="AD2650" s="9">
        <v>94.061516483066114</v>
      </c>
      <c r="AE2650" s="9">
        <v>104.93917923756814</v>
      </c>
      <c r="AF2650" s="9">
        <v>116.11294354932578</v>
      </c>
      <c r="AG2650" s="9">
        <v>116.11294354932578</v>
      </c>
      <c r="AH2650" s="9">
        <v>127.61241957406463</v>
      </c>
      <c r="AI2650" s="9">
        <v>140.35672613559947</v>
      </c>
      <c r="AJ2650" s="9">
        <v>3.0428788910505911</v>
      </c>
    </row>
    <row r="2651" spans="1:36" x14ac:dyDescent="0.25">
      <c r="A2651" t="s">
        <v>5411</v>
      </c>
      <c r="B2651" t="s">
        <v>16</v>
      </c>
      <c r="C2651" t="s">
        <v>17</v>
      </c>
      <c r="D2651">
        <v>57265000</v>
      </c>
      <c r="E2651">
        <v>57269999</v>
      </c>
      <c r="F2651" t="s">
        <v>2390</v>
      </c>
      <c r="G2651" t="str">
        <f t="shared" si="82"/>
        <v>ALR</v>
      </c>
      <c r="H2651" t="s">
        <v>2373</v>
      </c>
      <c r="I2651" t="s">
        <v>20</v>
      </c>
      <c r="J2651" t="s">
        <v>77</v>
      </c>
      <c r="K2651" s="6">
        <v>0.03</v>
      </c>
      <c r="L2651" s="7">
        <f t="shared" si="83"/>
        <v>2E-3</v>
      </c>
      <c r="M2651" s="7">
        <v>3.0000000000000001E-3</v>
      </c>
      <c r="N2651">
        <v>17</v>
      </c>
      <c r="O2651" s="8">
        <v>31.559907159117596</v>
      </c>
      <c r="P2651" s="9">
        <v>31.559907159117596</v>
      </c>
      <c r="Q2651" s="9">
        <v>31.559907159117596</v>
      </c>
      <c r="R2651" s="9">
        <v>34.782556244112428</v>
      </c>
      <c r="S2651" s="9">
        <v>38.331578707788331</v>
      </c>
      <c r="T2651" s="9">
        <v>40.776923733312373</v>
      </c>
      <c r="U2651" s="9">
        <v>49.120207061213286</v>
      </c>
      <c r="V2651" s="9">
        <v>49.120207061213286</v>
      </c>
      <c r="W2651" s="9">
        <v>49.120207061213286</v>
      </c>
      <c r="X2651" s="9">
        <v>62.947967465281963</v>
      </c>
      <c r="Y2651" s="9">
        <v>62.947967465281963</v>
      </c>
      <c r="Z2651" s="9">
        <v>73.089269472589308</v>
      </c>
      <c r="AA2651" s="9">
        <v>73.089269472589308</v>
      </c>
      <c r="AB2651" s="9">
        <v>83.453036962432847</v>
      </c>
      <c r="AC2651" s="9">
        <v>83.453036962432847</v>
      </c>
      <c r="AD2651" s="9">
        <v>94.061516483066114</v>
      </c>
      <c r="AE2651" s="9">
        <v>104.93917923756814</v>
      </c>
      <c r="AF2651" s="9">
        <v>116.11294354932578</v>
      </c>
      <c r="AG2651" s="9">
        <v>116.11294354932578</v>
      </c>
      <c r="AH2651" s="9">
        <v>127.61241957406463</v>
      </c>
      <c r="AI2651" s="9">
        <v>140.35672613559947</v>
      </c>
      <c r="AJ2651" s="9">
        <v>3.0428788910505911</v>
      </c>
    </row>
    <row r="2652" spans="1:36" x14ac:dyDescent="0.25">
      <c r="A2652" t="s">
        <v>5411</v>
      </c>
      <c r="B2652" t="s">
        <v>16</v>
      </c>
      <c r="C2652" t="s">
        <v>17</v>
      </c>
      <c r="D2652">
        <v>57270000</v>
      </c>
      <c r="E2652">
        <v>57274999</v>
      </c>
      <c r="F2652" t="s">
        <v>2391</v>
      </c>
      <c r="G2652" t="str">
        <f t="shared" si="82"/>
        <v>ALR</v>
      </c>
      <c r="H2652" t="s">
        <v>2373</v>
      </c>
      <c r="I2652" t="s">
        <v>20</v>
      </c>
      <c r="J2652" t="s">
        <v>77</v>
      </c>
      <c r="K2652" s="6">
        <v>0.03</v>
      </c>
      <c r="L2652" s="7">
        <f t="shared" si="83"/>
        <v>2E-3</v>
      </c>
      <c r="M2652" s="7">
        <v>3.0000000000000001E-3</v>
      </c>
      <c r="N2652">
        <v>17</v>
      </c>
      <c r="O2652" s="8">
        <v>31.559907159117596</v>
      </c>
      <c r="P2652" s="9">
        <v>31.559907159117596</v>
      </c>
      <c r="Q2652" s="9">
        <v>31.559907159117596</v>
      </c>
      <c r="R2652" s="9">
        <v>34.782556244112428</v>
      </c>
      <c r="S2652" s="9">
        <v>38.331578707788331</v>
      </c>
      <c r="T2652" s="9">
        <v>40.776923733312373</v>
      </c>
      <c r="U2652" s="9">
        <v>49.120207061213286</v>
      </c>
      <c r="V2652" s="9">
        <v>49.120207061213286</v>
      </c>
      <c r="W2652" s="9">
        <v>49.120207061213286</v>
      </c>
      <c r="X2652" s="9">
        <v>62.947967465281963</v>
      </c>
      <c r="Y2652" s="9">
        <v>62.947967465281963</v>
      </c>
      <c r="Z2652" s="9">
        <v>73.089269472589308</v>
      </c>
      <c r="AA2652" s="9">
        <v>73.089269472589308</v>
      </c>
      <c r="AB2652" s="9">
        <v>83.453036962432847</v>
      </c>
      <c r="AC2652" s="9">
        <v>83.453036962432847</v>
      </c>
      <c r="AD2652" s="9">
        <v>94.061516483066114</v>
      </c>
      <c r="AE2652" s="9">
        <v>104.93917923756814</v>
      </c>
      <c r="AF2652" s="9">
        <v>116.11294354932578</v>
      </c>
      <c r="AG2652" s="9">
        <v>116.11294354932578</v>
      </c>
      <c r="AH2652" s="9">
        <v>127.61241957406463</v>
      </c>
      <c r="AI2652" s="9">
        <v>140.35672613559947</v>
      </c>
      <c r="AJ2652" s="9">
        <v>3.0428788910505911</v>
      </c>
    </row>
    <row r="2653" spans="1:36" x14ac:dyDescent="0.25">
      <c r="A2653" t="s">
        <v>5411</v>
      </c>
      <c r="B2653" t="s">
        <v>16</v>
      </c>
      <c r="C2653" t="s">
        <v>17</v>
      </c>
      <c r="D2653">
        <v>57275000</v>
      </c>
      <c r="E2653">
        <v>57279999</v>
      </c>
      <c r="F2653" t="s">
        <v>2392</v>
      </c>
      <c r="G2653" t="str">
        <f t="shared" si="82"/>
        <v>ALR</v>
      </c>
      <c r="H2653" t="s">
        <v>2373</v>
      </c>
      <c r="I2653" t="s">
        <v>20</v>
      </c>
      <c r="J2653" t="s">
        <v>77</v>
      </c>
      <c r="K2653" s="6">
        <v>0.03</v>
      </c>
      <c r="L2653" s="7">
        <f t="shared" si="83"/>
        <v>2E-3</v>
      </c>
      <c r="M2653" s="7">
        <v>3.0000000000000001E-3</v>
      </c>
      <c r="N2653">
        <v>17</v>
      </c>
      <c r="O2653" s="8">
        <v>31.559907159117596</v>
      </c>
      <c r="P2653" s="9">
        <v>31.559907159117596</v>
      </c>
      <c r="Q2653" s="9">
        <v>31.559907159117596</v>
      </c>
      <c r="R2653" s="9">
        <v>34.782556244112428</v>
      </c>
      <c r="S2653" s="9">
        <v>38.331578707788331</v>
      </c>
      <c r="T2653" s="9">
        <v>40.776923733312373</v>
      </c>
      <c r="U2653" s="9">
        <v>49.120207061213286</v>
      </c>
      <c r="V2653" s="9">
        <v>49.120207061213286</v>
      </c>
      <c r="W2653" s="9">
        <v>49.120207061213286</v>
      </c>
      <c r="X2653" s="9">
        <v>62.947967465281963</v>
      </c>
      <c r="Y2653" s="9">
        <v>62.947967465281963</v>
      </c>
      <c r="Z2653" s="9">
        <v>73.089269472589308</v>
      </c>
      <c r="AA2653" s="9">
        <v>73.089269472589308</v>
      </c>
      <c r="AB2653" s="9">
        <v>83.453036962432847</v>
      </c>
      <c r="AC2653" s="9">
        <v>83.453036962432847</v>
      </c>
      <c r="AD2653" s="9">
        <v>94.061516483066114</v>
      </c>
      <c r="AE2653" s="9">
        <v>104.93917923756814</v>
      </c>
      <c r="AF2653" s="9">
        <v>116.11294354932578</v>
      </c>
      <c r="AG2653" s="9">
        <v>116.11294354932578</v>
      </c>
      <c r="AH2653" s="9">
        <v>127.61241957406463</v>
      </c>
      <c r="AI2653" s="9">
        <v>140.35672613559947</v>
      </c>
      <c r="AJ2653" s="9">
        <v>3.0428788910505911</v>
      </c>
    </row>
    <row r="2654" spans="1:36" x14ac:dyDescent="0.25">
      <c r="A2654" t="s">
        <v>5411</v>
      </c>
      <c r="B2654" t="s">
        <v>16</v>
      </c>
      <c r="C2654" t="s">
        <v>17</v>
      </c>
      <c r="D2654">
        <v>57280000</v>
      </c>
      <c r="E2654">
        <v>57289999</v>
      </c>
      <c r="F2654" t="s">
        <v>2393</v>
      </c>
      <c r="G2654" t="str">
        <f t="shared" si="82"/>
        <v>ALR</v>
      </c>
      <c r="H2654" t="s">
        <v>2373</v>
      </c>
      <c r="I2654" t="s">
        <v>20</v>
      </c>
      <c r="J2654" t="s">
        <v>77</v>
      </c>
      <c r="K2654" s="6">
        <v>0.03</v>
      </c>
      <c r="L2654" s="7">
        <f t="shared" si="83"/>
        <v>2E-3</v>
      </c>
      <c r="M2654" s="7">
        <v>3.0000000000000001E-3</v>
      </c>
      <c r="N2654">
        <v>17</v>
      </c>
      <c r="O2654" s="8">
        <v>31.559907159117596</v>
      </c>
      <c r="P2654" s="9">
        <v>31.559907159117596</v>
      </c>
      <c r="Q2654" s="9">
        <v>31.559907159117596</v>
      </c>
      <c r="R2654" s="9">
        <v>34.782556244112428</v>
      </c>
      <c r="S2654" s="9">
        <v>38.331578707788331</v>
      </c>
      <c r="T2654" s="9">
        <v>40.776923733312373</v>
      </c>
      <c r="U2654" s="9">
        <v>49.120207061213286</v>
      </c>
      <c r="V2654" s="9">
        <v>49.120207061213286</v>
      </c>
      <c r="W2654" s="9">
        <v>49.120207061213286</v>
      </c>
      <c r="X2654" s="9">
        <v>62.947967465281963</v>
      </c>
      <c r="Y2654" s="9">
        <v>62.947967465281963</v>
      </c>
      <c r="Z2654" s="9">
        <v>73.089269472589308</v>
      </c>
      <c r="AA2654" s="9">
        <v>73.089269472589308</v>
      </c>
      <c r="AB2654" s="9">
        <v>83.453036962432847</v>
      </c>
      <c r="AC2654" s="9">
        <v>83.453036962432847</v>
      </c>
      <c r="AD2654" s="9">
        <v>94.061516483066114</v>
      </c>
      <c r="AE2654" s="9">
        <v>104.93917923756814</v>
      </c>
      <c r="AF2654" s="9">
        <v>116.11294354932578</v>
      </c>
      <c r="AG2654" s="9">
        <v>116.11294354932578</v>
      </c>
      <c r="AH2654" s="9">
        <v>127.61241957406463</v>
      </c>
      <c r="AI2654" s="9">
        <v>140.35672613559947</v>
      </c>
      <c r="AJ2654" s="9">
        <v>3.0428788910505911</v>
      </c>
    </row>
    <row r="2655" spans="1:36" x14ac:dyDescent="0.25">
      <c r="A2655" t="s">
        <v>5411</v>
      </c>
      <c r="B2655" t="s">
        <v>16</v>
      </c>
      <c r="C2655" t="s">
        <v>17</v>
      </c>
      <c r="D2655">
        <v>57290000</v>
      </c>
      <c r="E2655">
        <v>57299999</v>
      </c>
      <c r="F2655" t="s">
        <v>2394</v>
      </c>
      <c r="G2655" t="str">
        <f t="shared" si="82"/>
        <v>ALR</v>
      </c>
      <c r="H2655" t="s">
        <v>2373</v>
      </c>
      <c r="I2655" t="s">
        <v>20</v>
      </c>
      <c r="J2655" t="s">
        <v>77</v>
      </c>
      <c r="K2655" s="6">
        <v>0.03</v>
      </c>
      <c r="L2655" s="7">
        <f t="shared" si="83"/>
        <v>2E-3</v>
      </c>
      <c r="M2655" s="7">
        <v>3.0000000000000001E-3</v>
      </c>
      <c r="N2655">
        <v>17</v>
      </c>
      <c r="O2655" s="8">
        <v>31.559907159117596</v>
      </c>
      <c r="P2655" s="9">
        <v>31.559907159117596</v>
      </c>
      <c r="Q2655" s="9">
        <v>31.559907159117596</v>
      </c>
      <c r="R2655" s="9">
        <v>34.782556244112428</v>
      </c>
      <c r="S2655" s="9">
        <v>38.331578707788331</v>
      </c>
      <c r="T2655" s="9">
        <v>40.776923733312373</v>
      </c>
      <c r="U2655" s="9">
        <v>49.120207061213286</v>
      </c>
      <c r="V2655" s="9">
        <v>49.120207061213286</v>
      </c>
      <c r="W2655" s="9">
        <v>49.120207061213286</v>
      </c>
      <c r="X2655" s="9">
        <v>62.947967465281963</v>
      </c>
      <c r="Y2655" s="9">
        <v>62.947967465281963</v>
      </c>
      <c r="Z2655" s="9">
        <v>73.089269472589308</v>
      </c>
      <c r="AA2655" s="9">
        <v>73.089269472589308</v>
      </c>
      <c r="AB2655" s="9">
        <v>83.453036962432847</v>
      </c>
      <c r="AC2655" s="9">
        <v>83.453036962432847</v>
      </c>
      <c r="AD2655" s="9">
        <v>94.061516483066114</v>
      </c>
      <c r="AE2655" s="9">
        <v>104.93917923756814</v>
      </c>
      <c r="AF2655" s="9">
        <v>116.11294354932578</v>
      </c>
      <c r="AG2655" s="9">
        <v>116.11294354932578</v>
      </c>
      <c r="AH2655" s="9">
        <v>127.61241957406463</v>
      </c>
      <c r="AI2655" s="9">
        <v>140.35672613559947</v>
      </c>
      <c r="AJ2655" s="9">
        <v>3.0428788910505911</v>
      </c>
    </row>
    <row r="2656" spans="1:36" x14ac:dyDescent="0.25">
      <c r="A2656" t="s">
        <v>5411</v>
      </c>
      <c r="B2656" t="s">
        <v>16</v>
      </c>
      <c r="C2656" t="s">
        <v>17</v>
      </c>
      <c r="D2656">
        <v>57300000</v>
      </c>
      <c r="E2656">
        <v>57319999</v>
      </c>
      <c r="F2656" t="s">
        <v>2395</v>
      </c>
      <c r="G2656" t="str">
        <f t="shared" si="82"/>
        <v>ALI</v>
      </c>
      <c r="H2656" t="s">
        <v>2373</v>
      </c>
      <c r="I2656" t="s">
        <v>20</v>
      </c>
      <c r="J2656" t="s">
        <v>62</v>
      </c>
      <c r="K2656" s="6">
        <v>0.03</v>
      </c>
      <c r="L2656" s="7">
        <f t="shared" si="83"/>
        <v>2E-3</v>
      </c>
      <c r="M2656" s="7">
        <v>3.0000000000000001E-3</v>
      </c>
      <c r="N2656">
        <v>11</v>
      </c>
      <c r="O2656" s="8">
        <v>20.285501069318975</v>
      </c>
      <c r="P2656" s="9">
        <v>20.285501069318975</v>
      </c>
      <c r="Q2656" s="9">
        <v>20.285501069318975</v>
      </c>
      <c r="R2656" s="9">
        <v>21.871661313902724</v>
      </c>
      <c r="S2656" s="9">
        <v>24.190921361155159</v>
      </c>
      <c r="T2656" s="9">
        <v>26.625441692091403</v>
      </c>
      <c r="U2656" s="9">
        <v>32.728097461461971</v>
      </c>
      <c r="V2656" s="9">
        <v>32.728097461461971</v>
      </c>
      <c r="W2656" s="9">
        <v>32.728097461461971</v>
      </c>
      <c r="X2656" s="9">
        <v>39.592402220979928</v>
      </c>
      <c r="Y2656" s="9">
        <v>39.592402220979928</v>
      </c>
      <c r="Z2656" s="9">
        <v>46.667225126282183</v>
      </c>
      <c r="AA2656" s="9">
        <v>46.667225126282183</v>
      </c>
      <c r="AB2656" s="9">
        <v>54.01853727705808</v>
      </c>
      <c r="AC2656" s="9">
        <v>54.01853727705808</v>
      </c>
      <c r="AD2656" s="9">
        <v>61.534700913404833</v>
      </c>
      <c r="AE2656" s="9">
        <v>69.23692076986022</v>
      </c>
      <c r="AF2656" s="9">
        <v>77.149201146871576</v>
      </c>
      <c r="AG2656" s="9">
        <v>77.149201146871576</v>
      </c>
      <c r="AH2656" s="9">
        <v>84.746750047431433</v>
      </c>
      <c r="AI2656" s="9">
        <v>92.897557115592605</v>
      </c>
      <c r="AJ2656" s="9">
        <v>3.0428788910505911</v>
      </c>
    </row>
    <row r="2657" spans="1:36" x14ac:dyDescent="0.25">
      <c r="A2657" t="s">
        <v>5411</v>
      </c>
      <c r="B2657" t="s">
        <v>16</v>
      </c>
      <c r="C2657" t="s">
        <v>17</v>
      </c>
      <c r="D2657">
        <v>57320000</v>
      </c>
      <c r="E2657">
        <v>57324999</v>
      </c>
      <c r="F2657" t="s">
        <v>2396</v>
      </c>
      <c r="G2657" t="str">
        <f t="shared" si="82"/>
        <v>ALI</v>
      </c>
      <c r="H2657" t="s">
        <v>2373</v>
      </c>
      <c r="I2657" t="s">
        <v>20</v>
      </c>
      <c r="J2657" t="s">
        <v>62</v>
      </c>
      <c r="K2657" s="6">
        <v>0.03</v>
      </c>
      <c r="L2657" s="7">
        <f t="shared" si="83"/>
        <v>2E-3</v>
      </c>
      <c r="M2657" s="7">
        <v>3.0000000000000001E-3</v>
      </c>
      <c r="N2657">
        <v>10</v>
      </c>
      <c r="O2657" s="8">
        <v>20.285501069318975</v>
      </c>
      <c r="P2657" s="9">
        <v>20.285501069318975</v>
      </c>
      <c r="Q2657" s="9">
        <v>20.285501069318975</v>
      </c>
      <c r="R2657" s="9">
        <v>21.871661313902724</v>
      </c>
      <c r="S2657" s="9">
        <v>24.190921361155159</v>
      </c>
      <c r="T2657" s="9">
        <v>26.625441692091403</v>
      </c>
      <c r="U2657" s="9">
        <v>32.728097461461971</v>
      </c>
      <c r="V2657" s="9">
        <v>32.728097461461971</v>
      </c>
      <c r="W2657" s="9">
        <v>32.728097461461971</v>
      </c>
      <c r="X2657" s="9">
        <v>39.592402220979928</v>
      </c>
      <c r="Y2657" s="9">
        <v>39.592402220979928</v>
      </c>
      <c r="Z2657" s="9">
        <v>46.667225126282183</v>
      </c>
      <c r="AA2657" s="9">
        <v>46.667225126282183</v>
      </c>
      <c r="AB2657" s="9">
        <v>54.01853727705808</v>
      </c>
      <c r="AC2657" s="9">
        <v>54.01853727705808</v>
      </c>
      <c r="AD2657" s="9">
        <v>61.534700913404833</v>
      </c>
      <c r="AE2657" s="9">
        <v>69.23692076986022</v>
      </c>
      <c r="AF2657" s="9">
        <v>77.149201146871576</v>
      </c>
      <c r="AG2657" s="9">
        <v>77.149201146871576</v>
      </c>
      <c r="AH2657" s="9">
        <v>84.746750047431433</v>
      </c>
      <c r="AI2657" s="9">
        <v>92.897557115592605</v>
      </c>
      <c r="AJ2657" s="9">
        <v>3.0428788910505911</v>
      </c>
    </row>
    <row r="2658" spans="1:36" x14ac:dyDescent="0.25">
      <c r="A2658" t="s">
        <v>5411</v>
      </c>
      <c r="B2658" t="s">
        <v>16</v>
      </c>
      <c r="C2658" t="s">
        <v>17</v>
      </c>
      <c r="D2658">
        <v>57325000</v>
      </c>
      <c r="E2658">
        <v>57329999</v>
      </c>
      <c r="F2658" t="s">
        <v>2397</v>
      </c>
      <c r="G2658" t="str">
        <f t="shared" si="82"/>
        <v>ALR</v>
      </c>
      <c r="H2658" t="s">
        <v>2373</v>
      </c>
      <c r="I2658" t="s">
        <v>20</v>
      </c>
      <c r="J2658" t="s">
        <v>77</v>
      </c>
      <c r="K2658" s="6">
        <v>0.03</v>
      </c>
      <c r="L2658" s="7">
        <f t="shared" si="83"/>
        <v>2E-3</v>
      </c>
      <c r="M2658" s="7">
        <v>3.0000000000000001E-3</v>
      </c>
      <c r="N2658">
        <v>17</v>
      </c>
      <c r="O2658" s="8">
        <v>31.559907159117596</v>
      </c>
      <c r="P2658" s="9">
        <v>31.559907159117596</v>
      </c>
      <c r="Q2658" s="9">
        <v>31.559907159117596</v>
      </c>
      <c r="R2658" s="9">
        <v>34.782556244112428</v>
      </c>
      <c r="S2658" s="9">
        <v>38.331578707788331</v>
      </c>
      <c r="T2658" s="9">
        <v>40.776923733312373</v>
      </c>
      <c r="U2658" s="9">
        <v>49.120207061213286</v>
      </c>
      <c r="V2658" s="9">
        <v>49.120207061213286</v>
      </c>
      <c r="W2658" s="9">
        <v>49.120207061213286</v>
      </c>
      <c r="X2658" s="9">
        <v>62.947967465281963</v>
      </c>
      <c r="Y2658" s="9">
        <v>62.947967465281963</v>
      </c>
      <c r="Z2658" s="9">
        <v>73.089269472589308</v>
      </c>
      <c r="AA2658" s="9">
        <v>73.089269472589308</v>
      </c>
      <c r="AB2658" s="9">
        <v>83.453036962432847</v>
      </c>
      <c r="AC2658" s="9">
        <v>83.453036962432847</v>
      </c>
      <c r="AD2658" s="9">
        <v>94.061516483066114</v>
      </c>
      <c r="AE2658" s="9">
        <v>104.93917923756814</v>
      </c>
      <c r="AF2658" s="9">
        <v>116.11294354932578</v>
      </c>
      <c r="AG2658" s="9">
        <v>116.11294354932578</v>
      </c>
      <c r="AH2658" s="9">
        <v>127.61241957406463</v>
      </c>
      <c r="AI2658" s="9">
        <v>140.35672613559947</v>
      </c>
      <c r="AJ2658" s="9">
        <v>3.0428788910505911</v>
      </c>
    </row>
    <row r="2659" spans="1:36" x14ac:dyDescent="0.25">
      <c r="A2659" t="s">
        <v>5411</v>
      </c>
      <c r="B2659" t="s">
        <v>16</v>
      </c>
      <c r="C2659" t="s">
        <v>17</v>
      </c>
      <c r="D2659">
        <v>57330000</v>
      </c>
      <c r="E2659">
        <v>57339999</v>
      </c>
      <c r="F2659" t="s">
        <v>2398</v>
      </c>
      <c r="G2659" t="str">
        <f t="shared" si="82"/>
        <v>ALR</v>
      </c>
      <c r="H2659" t="s">
        <v>2373</v>
      </c>
      <c r="I2659" t="s">
        <v>20</v>
      </c>
      <c r="J2659" t="s">
        <v>77</v>
      </c>
      <c r="K2659" s="6">
        <v>0.03</v>
      </c>
      <c r="L2659" s="7">
        <f t="shared" si="83"/>
        <v>2E-3</v>
      </c>
      <c r="M2659" s="7">
        <v>3.0000000000000001E-3</v>
      </c>
      <c r="N2659">
        <v>17</v>
      </c>
      <c r="O2659" s="8">
        <v>31.559907159117596</v>
      </c>
      <c r="P2659" s="9">
        <v>31.559907159117596</v>
      </c>
      <c r="Q2659" s="9">
        <v>31.559907159117596</v>
      </c>
      <c r="R2659" s="9">
        <v>34.782556244112428</v>
      </c>
      <c r="S2659" s="9">
        <v>38.331578707788331</v>
      </c>
      <c r="T2659" s="9">
        <v>40.776923733312373</v>
      </c>
      <c r="U2659" s="9">
        <v>49.120207061213286</v>
      </c>
      <c r="V2659" s="9">
        <v>49.120207061213286</v>
      </c>
      <c r="W2659" s="9">
        <v>49.120207061213286</v>
      </c>
      <c r="X2659" s="9">
        <v>62.947967465281963</v>
      </c>
      <c r="Y2659" s="9">
        <v>62.947967465281963</v>
      </c>
      <c r="Z2659" s="9">
        <v>73.089269472589308</v>
      </c>
      <c r="AA2659" s="9">
        <v>73.089269472589308</v>
      </c>
      <c r="AB2659" s="9">
        <v>83.453036962432847</v>
      </c>
      <c r="AC2659" s="9">
        <v>83.453036962432847</v>
      </c>
      <c r="AD2659" s="9">
        <v>94.061516483066114</v>
      </c>
      <c r="AE2659" s="9">
        <v>104.93917923756814</v>
      </c>
      <c r="AF2659" s="9">
        <v>116.11294354932578</v>
      </c>
      <c r="AG2659" s="9">
        <v>116.11294354932578</v>
      </c>
      <c r="AH2659" s="9">
        <v>127.61241957406463</v>
      </c>
      <c r="AI2659" s="9">
        <v>140.35672613559947</v>
      </c>
      <c r="AJ2659" s="9">
        <v>3.0428788910505911</v>
      </c>
    </row>
    <row r="2660" spans="1:36" x14ac:dyDescent="0.25">
      <c r="A2660" t="s">
        <v>5411</v>
      </c>
      <c r="B2660" t="s">
        <v>16</v>
      </c>
      <c r="C2660" t="s">
        <v>17</v>
      </c>
      <c r="D2660">
        <v>57340000</v>
      </c>
      <c r="E2660">
        <v>57349999</v>
      </c>
      <c r="F2660" t="s">
        <v>2399</v>
      </c>
      <c r="G2660" t="str">
        <f t="shared" si="82"/>
        <v>ALI</v>
      </c>
      <c r="H2660" t="s">
        <v>2373</v>
      </c>
      <c r="I2660" t="s">
        <v>20</v>
      </c>
      <c r="J2660" t="s">
        <v>62</v>
      </c>
      <c r="K2660" s="6">
        <v>0.03</v>
      </c>
      <c r="L2660" s="7">
        <f t="shared" si="83"/>
        <v>2E-3</v>
      </c>
      <c r="M2660" s="7">
        <v>3.0000000000000001E-3</v>
      </c>
      <c r="N2660">
        <v>10</v>
      </c>
      <c r="O2660" s="8">
        <v>20.285501069318975</v>
      </c>
      <c r="P2660" s="9">
        <v>20.285501069318975</v>
      </c>
      <c r="Q2660" s="9">
        <v>20.285501069318975</v>
      </c>
      <c r="R2660" s="9">
        <v>21.871661313902724</v>
      </c>
      <c r="S2660" s="9">
        <v>24.190921361155159</v>
      </c>
      <c r="T2660" s="9">
        <v>26.625441692091403</v>
      </c>
      <c r="U2660" s="9">
        <v>32.728097461461971</v>
      </c>
      <c r="V2660" s="9">
        <v>32.728097461461971</v>
      </c>
      <c r="W2660" s="9">
        <v>32.728097461461971</v>
      </c>
      <c r="X2660" s="9">
        <v>39.592402220979928</v>
      </c>
      <c r="Y2660" s="9">
        <v>39.592402220979928</v>
      </c>
      <c r="Z2660" s="9">
        <v>46.667225126282183</v>
      </c>
      <c r="AA2660" s="9">
        <v>46.667225126282183</v>
      </c>
      <c r="AB2660" s="9">
        <v>54.01853727705808</v>
      </c>
      <c r="AC2660" s="9">
        <v>54.01853727705808</v>
      </c>
      <c r="AD2660" s="9">
        <v>61.534700913404833</v>
      </c>
      <c r="AE2660" s="9">
        <v>69.23692076986022</v>
      </c>
      <c r="AF2660" s="9">
        <v>77.149201146871576</v>
      </c>
      <c r="AG2660" s="9">
        <v>77.149201146871576</v>
      </c>
      <c r="AH2660" s="9">
        <v>84.746750047431433</v>
      </c>
      <c r="AI2660" s="9">
        <v>92.897557115592605</v>
      </c>
      <c r="AJ2660" s="9">
        <v>3.0428788910505911</v>
      </c>
    </row>
    <row r="2661" spans="1:36" x14ac:dyDescent="0.25">
      <c r="A2661" t="s">
        <v>5411</v>
      </c>
      <c r="B2661" t="s">
        <v>16</v>
      </c>
      <c r="C2661" t="s">
        <v>17</v>
      </c>
      <c r="D2661">
        <v>57350000</v>
      </c>
      <c r="E2661">
        <v>57359999</v>
      </c>
      <c r="F2661" t="s">
        <v>2400</v>
      </c>
      <c r="G2661" t="str">
        <f t="shared" si="82"/>
        <v>ALR</v>
      </c>
      <c r="H2661" t="s">
        <v>2373</v>
      </c>
      <c r="I2661" t="s">
        <v>20</v>
      </c>
      <c r="J2661" t="s">
        <v>77</v>
      </c>
      <c r="K2661" s="6">
        <v>0.03</v>
      </c>
      <c r="L2661" s="7">
        <f t="shared" si="83"/>
        <v>2E-3</v>
      </c>
      <c r="M2661" s="7">
        <v>3.0000000000000001E-3</v>
      </c>
      <c r="N2661">
        <v>17</v>
      </c>
      <c r="O2661" s="8">
        <v>31.559907159117596</v>
      </c>
      <c r="P2661" s="9">
        <v>31.559907159117596</v>
      </c>
      <c r="Q2661" s="9">
        <v>31.559907159117596</v>
      </c>
      <c r="R2661" s="9">
        <v>34.782556244112428</v>
      </c>
      <c r="S2661" s="9">
        <v>38.331578707788331</v>
      </c>
      <c r="T2661" s="9">
        <v>40.776923733312373</v>
      </c>
      <c r="U2661" s="9">
        <v>49.120207061213286</v>
      </c>
      <c r="V2661" s="9">
        <v>49.120207061213286</v>
      </c>
      <c r="W2661" s="9">
        <v>49.120207061213286</v>
      </c>
      <c r="X2661" s="9">
        <v>62.947967465281963</v>
      </c>
      <c r="Y2661" s="9">
        <v>62.947967465281963</v>
      </c>
      <c r="Z2661" s="9">
        <v>73.089269472589308</v>
      </c>
      <c r="AA2661" s="9">
        <v>73.089269472589308</v>
      </c>
      <c r="AB2661" s="9">
        <v>83.453036962432847</v>
      </c>
      <c r="AC2661" s="9">
        <v>83.453036962432847</v>
      </c>
      <c r="AD2661" s="9">
        <v>94.061516483066114</v>
      </c>
      <c r="AE2661" s="9">
        <v>104.93917923756814</v>
      </c>
      <c r="AF2661" s="9">
        <v>116.11294354932578</v>
      </c>
      <c r="AG2661" s="9">
        <v>116.11294354932578</v>
      </c>
      <c r="AH2661" s="9">
        <v>127.61241957406463</v>
      </c>
      <c r="AI2661" s="9">
        <v>140.35672613559947</v>
      </c>
      <c r="AJ2661" s="9">
        <v>3.0428788910505911</v>
      </c>
    </row>
    <row r="2662" spans="1:36" x14ac:dyDescent="0.25">
      <c r="A2662" t="s">
        <v>5411</v>
      </c>
      <c r="B2662" t="s">
        <v>16</v>
      </c>
      <c r="C2662" t="s">
        <v>17</v>
      </c>
      <c r="D2662">
        <v>57360000</v>
      </c>
      <c r="E2662">
        <v>57369999</v>
      </c>
      <c r="F2662" t="s">
        <v>2401</v>
      </c>
      <c r="G2662" t="str">
        <f t="shared" si="82"/>
        <v>ALR</v>
      </c>
      <c r="H2662" t="s">
        <v>2373</v>
      </c>
      <c r="I2662" t="s">
        <v>20</v>
      </c>
      <c r="J2662" t="s">
        <v>77</v>
      </c>
      <c r="K2662" s="6">
        <v>0.03</v>
      </c>
      <c r="L2662" s="7">
        <f t="shared" si="83"/>
        <v>2E-3</v>
      </c>
      <c r="M2662" s="7">
        <v>3.0000000000000001E-3</v>
      </c>
      <c r="N2662">
        <v>17</v>
      </c>
      <c r="O2662" s="8">
        <v>31.559907159117596</v>
      </c>
      <c r="P2662" s="9">
        <v>31.559907159117596</v>
      </c>
      <c r="Q2662" s="9">
        <v>31.559907159117596</v>
      </c>
      <c r="R2662" s="9">
        <v>34.782556244112428</v>
      </c>
      <c r="S2662" s="9">
        <v>38.331578707788331</v>
      </c>
      <c r="T2662" s="9">
        <v>40.776923733312373</v>
      </c>
      <c r="U2662" s="9">
        <v>49.120207061213286</v>
      </c>
      <c r="V2662" s="9">
        <v>49.120207061213286</v>
      </c>
      <c r="W2662" s="9">
        <v>49.120207061213286</v>
      </c>
      <c r="X2662" s="9">
        <v>62.947967465281963</v>
      </c>
      <c r="Y2662" s="9">
        <v>62.947967465281963</v>
      </c>
      <c r="Z2662" s="9">
        <v>73.089269472589308</v>
      </c>
      <c r="AA2662" s="9">
        <v>73.089269472589308</v>
      </c>
      <c r="AB2662" s="9">
        <v>83.453036962432847</v>
      </c>
      <c r="AC2662" s="9">
        <v>83.453036962432847</v>
      </c>
      <c r="AD2662" s="9">
        <v>94.061516483066114</v>
      </c>
      <c r="AE2662" s="9">
        <v>104.93917923756814</v>
      </c>
      <c r="AF2662" s="9">
        <v>116.11294354932578</v>
      </c>
      <c r="AG2662" s="9">
        <v>116.11294354932578</v>
      </c>
      <c r="AH2662" s="9">
        <v>127.61241957406463</v>
      </c>
      <c r="AI2662" s="9">
        <v>140.35672613559947</v>
      </c>
      <c r="AJ2662" s="9">
        <v>3.0428788910505911</v>
      </c>
    </row>
    <row r="2663" spans="1:36" x14ac:dyDescent="0.25">
      <c r="A2663" t="s">
        <v>5411</v>
      </c>
      <c r="B2663" t="s">
        <v>16</v>
      </c>
      <c r="C2663" t="s">
        <v>17</v>
      </c>
      <c r="D2663">
        <v>57370000</v>
      </c>
      <c r="E2663">
        <v>57379999</v>
      </c>
      <c r="F2663" t="s">
        <v>2402</v>
      </c>
      <c r="G2663" t="str">
        <f t="shared" si="82"/>
        <v>ALR</v>
      </c>
      <c r="H2663" t="s">
        <v>2373</v>
      </c>
      <c r="I2663" t="s">
        <v>20</v>
      </c>
      <c r="J2663" t="s">
        <v>77</v>
      </c>
      <c r="K2663" s="6">
        <v>0.03</v>
      </c>
      <c r="L2663" s="7">
        <f t="shared" si="83"/>
        <v>2E-3</v>
      </c>
      <c r="M2663" s="7">
        <v>3.0000000000000001E-3</v>
      </c>
      <c r="N2663">
        <v>17</v>
      </c>
      <c r="O2663" s="8">
        <v>31.559907159117596</v>
      </c>
      <c r="P2663" s="9">
        <v>31.559907159117596</v>
      </c>
      <c r="Q2663" s="9">
        <v>31.559907159117596</v>
      </c>
      <c r="R2663" s="9">
        <v>34.782556244112428</v>
      </c>
      <c r="S2663" s="9">
        <v>38.331578707788331</v>
      </c>
      <c r="T2663" s="9">
        <v>40.776923733312373</v>
      </c>
      <c r="U2663" s="9">
        <v>49.120207061213286</v>
      </c>
      <c r="V2663" s="9">
        <v>49.120207061213286</v>
      </c>
      <c r="W2663" s="9">
        <v>49.120207061213286</v>
      </c>
      <c r="X2663" s="9">
        <v>62.947967465281963</v>
      </c>
      <c r="Y2663" s="9">
        <v>62.947967465281963</v>
      </c>
      <c r="Z2663" s="9">
        <v>73.089269472589308</v>
      </c>
      <c r="AA2663" s="9">
        <v>73.089269472589308</v>
      </c>
      <c r="AB2663" s="9">
        <v>83.453036962432847</v>
      </c>
      <c r="AC2663" s="9">
        <v>83.453036962432847</v>
      </c>
      <c r="AD2663" s="9">
        <v>94.061516483066114</v>
      </c>
      <c r="AE2663" s="9">
        <v>104.93917923756814</v>
      </c>
      <c r="AF2663" s="9">
        <v>116.11294354932578</v>
      </c>
      <c r="AG2663" s="9">
        <v>116.11294354932578</v>
      </c>
      <c r="AH2663" s="9">
        <v>127.61241957406463</v>
      </c>
      <c r="AI2663" s="9">
        <v>140.35672613559947</v>
      </c>
      <c r="AJ2663" s="9">
        <v>3.0428788910505911</v>
      </c>
    </row>
    <row r="2664" spans="1:36" x14ac:dyDescent="0.25">
      <c r="A2664" t="s">
        <v>5411</v>
      </c>
      <c r="B2664" t="s">
        <v>16</v>
      </c>
      <c r="C2664" t="s">
        <v>17</v>
      </c>
      <c r="D2664">
        <v>57380000</v>
      </c>
      <c r="E2664">
        <v>57389999</v>
      </c>
      <c r="F2664" t="s">
        <v>2403</v>
      </c>
      <c r="G2664" t="str">
        <f t="shared" si="82"/>
        <v>ALR</v>
      </c>
      <c r="H2664" t="s">
        <v>2373</v>
      </c>
      <c r="I2664" t="s">
        <v>20</v>
      </c>
      <c r="J2664" t="s">
        <v>77</v>
      </c>
      <c r="K2664" s="6">
        <v>0.03</v>
      </c>
      <c r="L2664" s="7">
        <f t="shared" si="83"/>
        <v>2E-3</v>
      </c>
      <c r="M2664" s="7">
        <v>3.0000000000000001E-3</v>
      </c>
      <c r="N2664">
        <v>17</v>
      </c>
      <c r="O2664" s="8">
        <v>31.559907159117596</v>
      </c>
      <c r="P2664" s="9">
        <v>31.559907159117596</v>
      </c>
      <c r="Q2664" s="9">
        <v>31.559907159117596</v>
      </c>
      <c r="R2664" s="9">
        <v>34.782556244112428</v>
      </c>
      <c r="S2664" s="9">
        <v>38.331578707788331</v>
      </c>
      <c r="T2664" s="9">
        <v>40.776923733312373</v>
      </c>
      <c r="U2664" s="9">
        <v>49.120207061213286</v>
      </c>
      <c r="V2664" s="9">
        <v>49.120207061213286</v>
      </c>
      <c r="W2664" s="9">
        <v>49.120207061213286</v>
      </c>
      <c r="X2664" s="9">
        <v>62.947967465281963</v>
      </c>
      <c r="Y2664" s="9">
        <v>62.947967465281963</v>
      </c>
      <c r="Z2664" s="9">
        <v>73.089269472589308</v>
      </c>
      <c r="AA2664" s="9">
        <v>73.089269472589308</v>
      </c>
      <c r="AB2664" s="9">
        <v>83.453036962432847</v>
      </c>
      <c r="AC2664" s="9">
        <v>83.453036962432847</v>
      </c>
      <c r="AD2664" s="9">
        <v>94.061516483066114</v>
      </c>
      <c r="AE2664" s="9">
        <v>104.93917923756814</v>
      </c>
      <c r="AF2664" s="9">
        <v>116.11294354932578</v>
      </c>
      <c r="AG2664" s="9">
        <v>116.11294354932578</v>
      </c>
      <c r="AH2664" s="9">
        <v>127.61241957406463</v>
      </c>
      <c r="AI2664" s="9">
        <v>140.35672613559947</v>
      </c>
      <c r="AJ2664" s="9">
        <v>3.0428788910505911</v>
      </c>
    </row>
    <row r="2665" spans="1:36" x14ac:dyDescent="0.25">
      <c r="A2665" t="s">
        <v>5411</v>
      </c>
      <c r="B2665" t="s">
        <v>16</v>
      </c>
      <c r="C2665" t="s">
        <v>17</v>
      </c>
      <c r="D2665">
        <v>57390000</v>
      </c>
      <c r="E2665">
        <v>57399999</v>
      </c>
      <c r="F2665" t="s">
        <v>2404</v>
      </c>
      <c r="G2665" t="str">
        <f t="shared" si="82"/>
        <v>ALR</v>
      </c>
      <c r="H2665" t="s">
        <v>2373</v>
      </c>
      <c r="I2665" t="s">
        <v>20</v>
      </c>
      <c r="J2665" t="s">
        <v>77</v>
      </c>
      <c r="K2665" s="6">
        <v>0.03</v>
      </c>
      <c r="L2665" s="7">
        <f t="shared" si="83"/>
        <v>2E-3</v>
      </c>
      <c r="M2665" s="7">
        <v>3.0000000000000001E-3</v>
      </c>
      <c r="N2665">
        <v>17</v>
      </c>
      <c r="O2665" s="8">
        <v>31.559907159117596</v>
      </c>
      <c r="P2665" s="9">
        <v>31.559907159117596</v>
      </c>
      <c r="Q2665" s="9">
        <v>31.559907159117596</v>
      </c>
      <c r="R2665" s="9">
        <v>34.782556244112428</v>
      </c>
      <c r="S2665" s="9">
        <v>38.331578707788331</v>
      </c>
      <c r="T2665" s="9">
        <v>40.776923733312373</v>
      </c>
      <c r="U2665" s="9">
        <v>49.120207061213286</v>
      </c>
      <c r="V2665" s="9">
        <v>49.120207061213286</v>
      </c>
      <c r="W2665" s="9">
        <v>49.120207061213286</v>
      </c>
      <c r="X2665" s="9">
        <v>62.947967465281963</v>
      </c>
      <c r="Y2665" s="9">
        <v>62.947967465281963</v>
      </c>
      <c r="Z2665" s="9">
        <v>73.089269472589308</v>
      </c>
      <c r="AA2665" s="9">
        <v>73.089269472589308</v>
      </c>
      <c r="AB2665" s="9">
        <v>83.453036962432847</v>
      </c>
      <c r="AC2665" s="9">
        <v>83.453036962432847</v>
      </c>
      <c r="AD2665" s="9">
        <v>94.061516483066114</v>
      </c>
      <c r="AE2665" s="9">
        <v>104.93917923756814</v>
      </c>
      <c r="AF2665" s="9">
        <v>116.11294354932578</v>
      </c>
      <c r="AG2665" s="9">
        <v>116.11294354932578</v>
      </c>
      <c r="AH2665" s="9">
        <v>127.61241957406463</v>
      </c>
      <c r="AI2665" s="9">
        <v>140.35672613559947</v>
      </c>
      <c r="AJ2665" s="9">
        <v>3.0428788910505911</v>
      </c>
    </row>
    <row r="2666" spans="1:36" x14ac:dyDescent="0.25">
      <c r="A2666" t="s">
        <v>5411</v>
      </c>
      <c r="B2666" t="s">
        <v>16</v>
      </c>
      <c r="C2666" t="s">
        <v>17</v>
      </c>
      <c r="D2666">
        <v>57400000</v>
      </c>
      <c r="E2666">
        <v>57409999</v>
      </c>
      <c r="F2666" t="s">
        <v>2405</v>
      </c>
      <c r="G2666" t="str">
        <f t="shared" si="82"/>
        <v>ALR</v>
      </c>
      <c r="H2666" t="s">
        <v>2373</v>
      </c>
      <c r="I2666" t="s">
        <v>20</v>
      </c>
      <c r="J2666" t="s">
        <v>77</v>
      </c>
      <c r="K2666" s="6">
        <v>0.03</v>
      </c>
      <c r="L2666" s="7">
        <f t="shared" si="83"/>
        <v>2E-3</v>
      </c>
      <c r="M2666" s="7">
        <v>3.0000000000000001E-3</v>
      </c>
      <c r="N2666">
        <v>17</v>
      </c>
      <c r="O2666" s="8">
        <v>31.559907159117596</v>
      </c>
      <c r="P2666" s="9">
        <v>31.559907159117596</v>
      </c>
      <c r="Q2666" s="9">
        <v>31.559907159117596</v>
      </c>
      <c r="R2666" s="9">
        <v>34.782556244112428</v>
      </c>
      <c r="S2666" s="9">
        <v>38.331578707788331</v>
      </c>
      <c r="T2666" s="9">
        <v>40.776923733312373</v>
      </c>
      <c r="U2666" s="9">
        <v>49.120207061213286</v>
      </c>
      <c r="V2666" s="9">
        <v>49.120207061213286</v>
      </c>
      <c r="W2666" s="9">
        <v>49.120207061213286</v>
      </c>
      <c r="X2666" s="9">
        <v>62.947967465281963</v>
      </c>
      <c r="Y2666" s="9">
        <v>62.947967465281963</v>
      </c>
      <c r="Z2666" s="9">
        <v>73.089269472589308</v>
      </c>
      <c r="AA2666" s="9">
        <v>73.089269472589308</v>
      </c>
      <c r="AB2666" s="9">
        <v>83.453036962432847</v>
      </c>
      <c r="AC2666" s="9">
        <v>83.453036962432847</v>
      </c>
      <c r="AD2666" s="9">
        <v>94.061516483066114</v>
      </c>
      <c r="AE2666" s="9">
        <v>104.93917923756814</v>
      </c>
      <c r="AF2666" s="9">
        <v>116.11294354932578</v>
      </c>
      <c r="AG2666" s="9">
        <v>116.11294354932578</v>
      </c>
      <c r="AH2666" s="9">
        <v>127.61241957406463</v>
      </c>
      <c r="AI2666" s="9">
        <v>140.35672613559947</v>
      </c>
      <c r="AJ2666" s="9">
        <v>3.0428788910505911</v>
      </c>
    </row>
    <row r="2667" spans="1:36" x14ac:dyDescent="0.25">
      <c r="A2667" t="s">
        <v>5411</v>
      </c>
      <c r="B2667" t="s">
        <v>16</v>
      </c>
      <c r="C2667" t="s">
        <v>17</v>
      </c>
      <c r="D2667">
        <v>57410000</v>
      </c>
      <c r="E2667">
        <v>57419999</v>
      </c>
      <c r="F2667" t="s">
        <v>346</v>
      </c>
      <c r="G2667" t="str">
        <f t="shared" si="82"/>
        <v>ALR</v>
      </c>
      <c r="H2667" t="s">
        <v>2373</v>
      </c>
      <c r="I2667" t="s">
        <v>20</v>
      </c>
      <c r="J2667" t="s">
        <v>77</v>
      </c>
      <c r="K2667" s="6">
        <v>0.03</v>
      </c>
      <c r="L2667" s="7">
        <f t="shared" si="83"/>
        <v>2E-3</v>
      </c>
      <c r="M2667" s="7">
        <v>3.0000000000000001E-3</v>
      </c>
      <c r="N2667">
        <v>17</v>
      </c>
      <c r="O2667" s="8">
        <v>31.559907159117596</v>
      </c>
      <c r="P2667" s="9">
        <v>31.559907159117596</v>
      </c>
      <c r="Q2667" s="9">
        <v>31.559907159117596</v>
      </c>
      <c r="R2667" s="9">
        <v>34.782556244112428</v>
      </c>
      <c r="S2667" s="9">
        <v>38.331578707788331</v>
      </c>
      <c r="T2667" s="9">
        <v>40.776923733312373</v>
      </c>
      <c r="U2667" s="9">
        <v>49.120207061213286</v>
      </c>
      <c r="V2667" s="9">
        <v>49.120207061213286</v>
      </c>
      <c r="W2667" s="9">
        <v>49.120207061213286</v>
      </c>
      <c r="X2667" s="9">
        <v>62.947967465281963</v>
      </c>
      <c r="Y2667" s="9">
        <v>62.947967465281963</v>
      </c>
      <c r="Z2667" s="9">
        <v>73.089269472589308</v>
      </c>
      <c r="AA2667" s="9">
        <v>73.089269472589308</v>
      </c>
      <c r="AB2667" s="9">
        <v>83.453036962432847</v>
      </c>
      <c r="AC2667" s="9">
        <v>83.453036962432847</v>
      </c>
      <c r="AD2667" s="9">
        <v>94.061516483066114</v>
      </c>
      <c r="AE2667" s="9">
        <v>104.93917923756814</v>
      </c>
      <c r="AF2667" s="9">
        <v>116.11294354932578</v>
      </c>
      <c r="AG2667" s="9">
        <v>116.11294354932578</v>
      </c>
      <c r="AH2667" s="9">
        <v>127.61241957406463</v>
      </c>
      <c r="AI2667" s="9">
        <v>140.35672613559947</v>
      </c>
      <c r="AJ2667" s="9">
        <v>3.0428788910505911</v>
      </c>
    </row>
    <row r="2668" spans="1:36" x14ac:dyDescent="0.25">
      <c r="A2668" t="s">
        <v>5411</v>
      </c>
      <c r="B2668" t="s">
        <v>16</v>
      </c>
      <c r="C2668" t="s">
        <v>17</v>
      </c>
      <c r="D2668">
        <v>57420000</v>
      </c>
      <c r="E2668">
        <v>57424999</v>
      </c>
      <c r="F2668" t="s">
        <v>2406</v>
      </c>
      <c r="G2668" t="str">
        <f t="shared" si="82"/>
        <v>ALR</v>
      </c>
      <c r="H2668" t="s">
        <v>2373</v>
      </c>
      <c r="I2668" t="s">
        <v>20</v>
      </c>
      <c r="J2668" t="s">
        <v>77</v>
      </c>
      <c r="K2668" s="6">
        <v>0.03</v>
      </c>
      <c r="L2668" s="7">
        <f t="shared" si="83"/>
        <v>2E-3</v>
      </c>
      <c r="M2668" s="7">
        <v>3.0000000000000001E-3</v>
      </c>
      <c r="N2668">
        <v>17</v>
      </c>
      <c r="O2668" s="8">
        <v>31.559907159117596</v>
      </c>
      <c r="P2668" s="9">
        <v>31.559907159117596</v>
      </c>
      <c r="Q2668" s="9">
        <v>31.559907159117596</v>
      </c>
      <c r="R2668" s="9">
        <v>34.782556244112428</v>
      </c>
      <c r="S2668" s="9">
        <v>38.331578707788331</v>
      </c>
      <c r="T2668" s="9">
        <v>40.776923733312373</v>
      </c>
      <c r="U2668" s="9">
        <v>49.120207061213286</v>
      </c>
      <c r="V2668" s="9">
        <v>49.120207061213286</v>
      </c>
      <c r="W2668" s="9">
        <v>49.120207061213286</v>
      </c>
      <c r="X2668" s="9">
        <v>62.947967465281963</v>
      </c>
      <c r="Y2668" s="9">
        <v>62.947967465281963</v>
      </c>
      <c r="Z2668" s="9">
        <v>73.089269472589308</v>
      </c>
      <c r="AA2668" s="9">
        <v>73.089269472589308</v>
      </c>
      <c r="AB2668" s="9">
        <v>83.453036962432847</v>
      </c>
      <c r="AC2668" s="9">
        <v>83.453036962432847</v>
      </c>
      <c r="AD2668" s="9">
        <v>94.061516483066114</v>
      </c>
      <c r="AE2668" s="9">
        <v>104.93917923756814</v>
      </c>
      <c r="AF2668" s="9">
        <v>116.11294354932578</v>
      </c>
      <c r="AG2668" s="9">
        <v>116.11294354932578</v>
      </c>
      <c r="AH2668" s="9">
        <v>127.61241957406463</v>
      </c>
      <c r="AI2668" s="9">
        <v>140.35672613559947</v>
      </c>
      <c r="AJ2668" s="9">
        <v>3.0428788910505911</v>
      </c>
    </row>
    <row r="2669" spans="1:36" x14ac:dyDescent="0.25">
      <c r="A2669" t="s">
        <v>5411</v>
      </c>
      <c r="B2669" t="s">
        <v>16</v>
      </c>
      <c r="C2669" t="s">
        <v>17</v>
      </c>
      <c r="D2669">
        <v>57425000</v>
      </c>
      <c r="E2669">
        <v>57429999</v>
      </c>
      <c r="F2669" t="s">
        <v>2407</v>
      </c>
      <c r="G2669" t="str">
        <f t="shared" si="82"/>
        <v>ALR</v>
      </c>
      <c r="H2669" t="s">
        <v>2373</v>
      </c>
      <c r="I2669" t="s">
        <v>20</v>
      </c>
      <c r="J2669" t="s">
        <v>77</v>
      </c>
      <c r="K2669" s="6">
        <v>0.03</v>
      </c>
      <c r="L2669" s="7">
        <f t="shared" si="83"/>
        <v>2E-3</v>
      </c>
      <c r="M2669" s="7">
        <v>3.0000000000000001E-3</v>
      </c>
      <c r="N2669">
        <v>17</v>
      </c>
      <c r="O2669" s="8">
        <v>31.559907159117596</v>
      </c>
      <c r="P2669" s="9">
        <v>31.559907159117596</v>
      </c>
      <c r="Q2669" s="9">
        <v>31.559907159117596</v>
      </c>
      <c r="R2669" s="9">
        <v>34.782556244112428</v>
      </c>
      <c r="S2669" s="9">
        <v>38.331578707788331</v>
      </c>
      <c r="T2669" s="9">
        <v>40.776923733312373</v>
      </c>
      <c r="U2669" s="9">
        <v>49.120207061213286</v>
      </c>
      <c r="V2669" s="9">
        <v>49.120207061213286</v>
      </c>
      <c r="W2669" s="9">
        <v>49.120207061213286</v>
      </c>
      <c r="X2669" s="9">
        <v>62.947967465281963</v>
      </c>
      <c r="Y2669" s="9">
        <v>62.947967465281963</v>
      </c>
      <c r="Z2669" s="9">
        <v>73.089269472589308</v>
      </c>
      <c r="AA2669" s="9">
        <v>73.089269472589308</v>
      </c>
      <c r="AB2669" s="9">
        <v>83.453036962432847</v>
      </c>
      <c r="AC2669" s="9">
        <v>83.453036962432847</v>
      </c>
      <c r="AD2669" s="9">
        <v>94.061516483066114</v>
      </c>
      <c r="AE2669" s="9">
        <v>104.93917923756814</v>
      </c>
      <c r="AF2669" s="9">
        <v>116.11294354932578</v>
      </c>
      <c r="AG2669" s="9">
        <v>116.11294354932578</v>
      </c>
      <c r="AH2669" s="9">
        <v>127.61241957406463</v>
      </c>
      <c r="AI2669" s="9">
        <v>140.35672613559947</v>
      </c>
      <c r="AJ2669" s="9">
        <v>3.0428788910505911</v>
      </c>
    </row>
    <row r="2670" spans="1:36" x14ac:dyDescent="0.25">
      <c r="A2670" t="s">
        <v>5411</v>
      </c>
      <c r="B2670" t="s">
        <v>16</v>
      </c>
      <c r="C2670" t="s">
        <v>17</v>
      </c>
      <c r="D2670">
        <v>57430000</v>
      </c>
      <c r="E2670">
        <v>57434999</v>
      </c>
      <c r="F2670" t="s">
        <v>2408</v>
      </c>
      <c r="G2670" t="str">
        <f t="shared" si="82"/>
        <v>ALR</v>
      </c>
      <c r="H2670" t="s">
        <v>2373</v>
      </c>
      <c r="I2670" t="s">
        <v>20</v>
      </c>
      <c r="J2670" t="s">
        <v>77</v>
      </c>
      <c r="K2670" s="6">
        <v>0.03</v>
      </c>
      <c r="L2670" s="7">
        <f t="shared" si="83"/>
        <v>2E-3</v>
      </c>
      <c r="M2670" s="7">
        <v>3.0000000000000001E-3</v>
      </c>
      <c r="N2670">
        <v>17</v>
      </c>
      <c r="O2670" s="8">
        <v>31.559907159117596</v>
      </c>
      <c r="P2670" s="9">
        <v>31.559907159117596</v>
      </c>
      <c r="Q2670" s="9">
        <v>31.559907159117596</v>
      </c>
      <c r="R2670" s="9">
        <v>34.782556244112428</v>
      </c>
      <c r="S2670" s="9">
        <v>38.331578707788331</v>
      </c>
      <c r="T2670" s="9">
        <v>40.776923733312373</v>
      </c>
      <c r="U2670" s="9">
        <v>49.120207061213286</v>
      </c>
      <c r="V2670" s="9">
        <v>49.120207061213286</v>
      </c>
      <c r="W2670" s="9">
        <v>49.120207061213286</v>
      </c>
      <c r="X2670" s="9">
        <v>62.947967465281963</v>
      </c>
      <c r="Y2670" s="9">
        <v>62.947967465281963</v>
      </c>
      <c r="Z2670" s="9">
        <v>73.089269472589308</v>
      </c>
      <c r="AA2670" s="9">
        <v>73.089269472589308</v>
      </c>
      <c r="AB2670" s="9">
        <v>83.453036962432847</v>
      </c>
      <c r="AC2670" s="9">
        <v>83.453036962432847</v>
      </c>
      <c r="AD2670" s="9">
        <v>94.061516483066114</v>
      </c>
      <c r="AE2670" s="9">
        <v>104.93917923756814</v>
      </c>
      <c r="AF2670" s="9">
        <v>116.11294354932578</v>
      </c>
      <c r="AG2670" s="9">
        <v>116.11294354932578</v>
      </c>
      <c r="AH2670" s="9">
        <v>127.61241957406463</v>
      </c>
      <c r="AI2670" s="9">
        <v>140.35672613559947</v>
      </c>
      <c r="AJ2670" s="9">
        <v>3.0428788910505911</v>
      </c>
    </row>
    <row r="2671" spans="1:36" x14ac:dyDescent="0.25">
      <c r="A2671" t="s">
        <v>5411</v>
      </c>
      <c r="B2671" t="s">
        <v>16</v>
      </c>
      <c r="C2671" t="s">
        <v>17</v>
      </c>
      <c r="D2671">
        <v>57435000</v>
      </c>
      <c r="E2671">
        <v>57439999</v>
      </c>
      <c r="F2671" t="s">
        <v>2409</v>
      </c>
      <c r="G2671" t="str">
        <f t="shared" si="82"/>
        <v>ALR</v>
      </c>
      <c r="H2671" t="s">
        <v>2373</v>
      </c>
      <c r="I2671" t="s">
        <v>20</v>
      </c>
      <c r="J2671" t="s">
        <v>77</v>
      </c>
      <c r="K2671" s="6">
        <v>0.03</v>
      </c>
      <c r="L2671" s="7">
        <f t="shared" si="83"/>
        <v>2E-3</v>
      </c>
      <c r="M2671" s="7">
        <v>3.0000000000000001E-3</v>
      </c>
      <c r="N2671">
        <v>17</v>
      </c>
      <c r="O2671" s="8">
        <v>31.559907159117596</v>
      </c>
      <c r="P2671" s="9">
        <v>31.559907159117596</v>
      </c>
      <c r="Q2671" s="9">
        <v>31.559907159117596</v>
      </c>
      <c r="R2671" s="9">
        <v>34.782556244112428</v>
      </c>
      <c r="S2671" s="9">
        <v>38.331578707788331</v>
      </c>
      <c r="T2671" s="9">
        <v>40.776923733312373</v>
      </c>
      <c r="U2671" s="9">
        <v>49.120207061213286</v>
      </c>
      <c r="V2671" s="9">
        <v>49.120207061213286</v>
      </c>
      <c r="W2671" s="9">
        <v>49.120207061213286</v>
      </c>
      <c r="X2671" s="9">
        <v>62.947967465281963</v>
      </c>
      <c r="Y2671" s="9">
        <v>62.947967465281963</v>
      </c>
      <c r="Z2671" s="9">
        <v>73.089269472589308</v>
      </c>
      <c r="AA2671" s="9">
        <v>73.089269472589308</v>
      </c>
      <c r="AB2671" s="9">
        <v>83.453036962432847</v>
      </c>
      <c r="AC2671" s="9">
        <v>83.453036962432847</v>
      </c>
      <c r="AD2671" s="9">
        <v>94.061516483066114</v>
      </c>
      <c r="AE2671" s="9">
        <v>104.93917923756814</v>
      </c>
      <c r="AF2671" s="9">
        <v>116.11294354932578</v>
      </c>
      <c r="AG2671" s="9">
        <v>116.11294354932578</v>
      </c>
      <c r="AH2671" s="9">
        <v>127.61241957406463</v>
      </c>
      <c r="AI2671" s="9">
        <v>140.35672613559947</v>
      </c>
      <c r="AJ2671" s="9">
        <v>3.0428788910505911</v>
      </c>
    </row>
    <row r="2672" spans="1:36" x14ac:dyDescent="0.25">
      <c r="A2672" t="s">
        <v>5411</v>
      </c>
      <c r="B2672" t="s">
        <v>16</v>
      </c>
      <c r="C2672" t="s">
        <v>17</v>
      </c>
      <c r="D2672">
        <v>57440000</v>
      </c>
      <c r="E2672">
        <v>57441999</v>
      </c>
      <c r="F2672" t="s">
        <v>2410</v>
      </c>
      <c r="G2672" t="str">
        <f t="shared" si="82"/>
        <v>ALR</v>
      </c>
      <c r="H2672" t="s">
        <v>2373</v>
      </c>
      <c r="I2672" t="s">
        <v>20</v>
      </c>
      <c r="J2672" t="s">
        <v>77</v>
      </c>
      <c r="K2672" s="6">
        <v>0.03</v>
      </c>
      <c r="L2672" s="7">
        <f t="shared" si="83"/>
        <v>2E-3</v>
      </c>
      <c r="M2672" s="7">
        <v>3.0000000000000001E-3</v>
      </c>
      <c r="N2672">
        <v>17</v>
      </c>
      <c r="O2672" s="8">
        <v>31.559907159117596</v>
      </c>
      <c r="P2672" s="9">
        <v>31.559907159117596</v>
      </c>
      <c r="Q2672" s="9">
        <v>31.559907159117596</v>
      </c>
      <c r="R2672" s="9">
        <v>34.782556244112428</v>
      </c>
      <c r="S2672" s="9">
        <v>38.331578707788331</v>
      </c>
      <c r="T2672" s="9">
        <v>40.776923733312373</v>
      </c>
      <c r="U2672" s="9">
        <v>49.120207061213286</v>
      </c>
      <c r="V2672" s="9">
        <v>49.120207061213286</v>
      </c>
      <c r="W2672" s="9">
        <v>49.120207061213286</v>
      </c>
      <c r="X2672" s="9">
        <v>62.947967465281963</v>
      </c>
      <c r="Y2672" s="9">
        <v>62.947967465281963</v>
      </c>
      <c r="Z2672" s="9">
        <v>73.089269472589308</v>
      </c>
      <c r="AA2672" s="9">
        <v>73.089269472589308</v>
      </c>
      <c r="AB2672" s="9">
        <v>83.453036962432847</v>
      </c>
      <c r="AC2672" s="9">
        <v>83.453036962432847</v>
      </c>
      <c r="AD2672" s="9">
        <v>94.061516483066114</v>
      </c>
      <c r="AE2672" s="9">
        <v>104.93917923756814</v>
      </c>
      <c r="AF2672" s="9">
        <v>116.11294354932578</v>
      </c>
      <c r="AG2672" s="9">
        <v>116.11294354932578</v>
      </c>
      <c r="AH2672" s="9">
        <v>127.61241957406463</v>
      </c>
      <c r="AI2672" s="9">
        <v>140.35672613559947</v>
      </c>
      <c r="AJ2672" s="9">
        <v>3.0428788910505911</v>
      </c>
    </row>
    <row r="2673" spans="1:36" x14ac:dyDescent="0.25">
      <c r="A2673" t="s">
        <v>5411</v>
      </c>
      <c r="B2673" t="s">
        <v>16</v>
      </c>
      <c r="C2673" t="s">
        <v>17</v>
      </c>
      <c r="D2673">
        <v>57442000</v>
      </c>
      <c r="E2673">
        <v>57444999</v>
      </c>
      <c r="F2673" t="s">
        <v>2411</v>
      </c>
      <c r="G2673" t="str">
        <f t="shared" si="82"/>
        <v>ALR</v>
      </c>
      <c r="H2673" t="s">
        <v>2373</v>
      </c>
      <c r="I2673" t="s">
        <v>20</v>
      </c>
      <c r="J2673" t="s">
        <v>77</v>
      </c>
      <c r="K2673" s="6">
        <v>0.03</v>
      </c>
      <c r="L2673" s="7">
        <f t="shared" si="83"/>
        <v>2E-3</v>
      </c>
      <c r="M2673" s="7">
        <v>3.0000000000000001E-3</v>
      </c>
      <c r="N2673">
        <v>17</v>
      </c>
      <c r="O2673" s="8">
        <v>31.559907159117596</v>
      </c>
      <c r="P2673" s="9">
        <v>31.559907159117596</v>
      </c>
      <c r="Q2673" s="9">
        <v>31.559907159117596</v>
      </c>
      <c r="R2673" s="9">
        <v>34.782556244112428</v>
      </c>
      <c r="S2673" s="9">
        <v>38.331578707788331</v>
      </c>
      <c r="T2673" s="9">
        <v>40.776923733312373</v>
      </c>
      <c r="U2673" s="9">
        <v>49.120207061213286</v>
      </c>
      <c r="V2673" s="9">
        <v>49.120207061213286</v>
      </c>
      <c r="W2673" s="9">
        <v>49.120207061213286</v>
      </c>
      <c r="X2673" s="9">
        <v>62.947967465281963</v>
      </c>
      <c r="Y2673" s="9">
        <v>62.947967465281963</v>
      </c>
      <c r="Z2673" s="9">
        <v>73.089269472589308</v>
      </c>
      <c r="AA2673" s="9">
        <v>73.089269472589308</v>
      </c>
      <c r="AB2673" s="9">
        <v>83.453036962432847</v>
      </c>
      <c r="AC2673" s="9">
        <v>83.453036962432847</v>
      </c>
      <c r="AD2673" s="9">
        <v>94.061516483066114</v>
      </c>
      <c r="AE2673" s="9">
        <v>104.93917923756814</v>
      </c>
      <c r="AF2673" s="9">
        <v>116.11294354932578</v>
      </c>
      <c r="AG2673" s="9">
        <v>116.11294354932578</v>
      </c>
      <c r="AH2673" s="9">
        <v>127.61241957406463</v>
      </c>
      <c r="AI2673" s="9">
        <v>140.35672613559947</v>
      </c>
      <c r="AJ2673" s="9">
        <v>3.0428788910505911</v>
      </c>
    </row>
    <row r="2674" spans="1:36" x14ac:dyDescent="0.25">
      <c r="A2674" t="s">
        <v>5411</v>
      </c>
      <c r="B2674" t="s">
        <v>16</v>
      </c>
      <c r="C2674" t="s">
        <v>17</v>
      </c>
      <c r="D2674">
        <v>57445000</v>
      </c>
      <c r="E2674">
        <v>57459999</v>
      </c>
      <c r="F2674" t="s">
        <v>2412</v>
      </c>
      <c r="G2674" t="str">
        <f t="shared" si="82"/>
        <v>ALR</v>
      </c>
      <c r="H2674" t="s">
        <v>2373</v>
      </c>
      <c r="I2674" t="s">
        <v>20</v>
      </c>
      <c r="J2674" t="s">
        <v>77</v>
      </c>
      <c r="K2674" s="6">
        <v>0.03</v>
      </c>
      <c r="L2674" s="7">
        <f t="shared" si="83"/>
        <v>2E-3</v>
      </c>
      <c r="M2674" s="7">
        <v>3.0000000000000001E-3</v>
      </c>
      <c r="N2674">
        <v>17</v>
      </c>
      <c r="O2674" s="8">
        <v>31.559907159117596</v>
      </c>
      <c r="P2674" s="9">
        <v>31.559907159117596</v>
      </c>
      <c r="Q2674" s="9">
        <v>31.559907159117596</v>
      </c>
      <c r="R2674" s="9">
        <v>34.782556244112428</v>
      </c>
      <c r="S2674" s="9">
        <v>38.331578707788331</v>
      </c>
      <c r="T2674" s="9">
        <v>40.776923733312373</v>
      </c>
      <c r="U2674" s="9">
        <v>49.120207061213286</v>
      </c>
      <c r="V2674" s="9">
        <v>49.120207061213286</v>
      </c>
      <c r="W2674" s="9">
        <v>49.120207061213286</v>
      </c>
      <c r="X2674" s="9">
        <v>62.947967465281963</v>
      </c>
      <c r="Y2674" s="9">
        <v>62.947967465281963</v>
      </c>
      <c r="Z2674" s="9">
        <v>73.089269472589308</v>
      </c>
      <c r="AA2674" s="9">
        <v>73.089269472589308</v>
      </c>
      <c r="AB2674" s="9">
        <v>83.453036962432847</v>
      </c>
      <c r="AC2674" s="9">
        <v>83.453036962432847</v>
      </c>
      <c r="AD2674" s="9">
        <v>94.061516483066114</v>
      </c>
      <c r="AE2674" s="9">
        <v>104.93917923756814</v>
      </c>
      <c r="AF2674" s="9">
        <v>116.11294354932578</v>
      </c>
      <c r="AG2674" s="9">
        <v>116.11294354932578</v>
      </c>
      <c r="AH2674" s="9">
        <v>127.61241957406463</v>
      </c>
      <c r="AI2674" s="9">
        <v>140.35672613559947</v>
      </c>
      <c r="AJ2674" s="9">
        <v>3.0428788910505911</v>
      </c>
    </row>
    <row r="2675" spans="1:36" x14ac:dyDescent="0.25">
      <c r="A2675" t="s">
        <v>5411</v>
      </c>
      <c r="B2675" t="s">
        <v>16</v>
      </c>
      <c r="C2675" t="s">
        <v>17</v>
      </c>
      <c r="D2675">
        <v>57460000</v>
      </c>
      <c r="E2675">
        <v>57469999</v>
      </c>
      <c r="F2675" t="s">
        <v>2413</v>
      </c>
      <c r="G2675" t="str">
        <f t="shared" si="82"/>
        <v>ALR</v>
      </c>
      <c r="H2675" t="s">
        <v>2373</v>
      </c>
      <c r="I2675" t="s">
        <v>20</v>
      </c>
      <c r="J2675" t="s">
        <v>77</v>
      </c>
      <c r="K2675" s="6">
        <v>0.03</v>
      </c>
      <c r="L2675" s="7">
        <f t="shared" si="83"/>
        <v>2E-3</v>
      </c>
      <c r="M2675" s="7">
        <v>3.0000000000000001E-3</v>
      </c>
      <c r="N2675">
        <v>17</v>
      </c>
      <c r="O2675" s="8">
        <v>31.559907159117596</v>
      </c>
      <c r="P2675" s="9">
        <v>31.559907159117596</v>
      </c>
      <c r="Q2675" s="9">
        <v>31.559907159117596</v>
      </c>
      <c r="R2675" s="9">
        <v>34.782556244112428</v>
      </c>
      <c r="S2675" s="9">
        <v>38.331578707788331</v>
      </c>
      <c r="T2675" s="9">
        <v>40.776923733312373</v>
      </c>
      <c r="U2675" s="9">
        <v>49.120207061213286</v>
      </c>
      <c r="V2675" s="9">
        <v>49.120207061213286</v>
      </c>
      <c r="W2675" s="9">
        <v>49.120207061213286</v>
      </c>
      <c r="X2675" s="9">
        <v>62.947967465281963</v>
      </c>
      <c r="Y2675" s="9">
        <v>62.947967465281963</v>
      </c>
      <c r="Z2675" s="9">
        <v>73.089269472589308</v>
      </c>
      <c r="AA2675" s="9">
        <v>73.089269472589308</v>
      </c>
      <c r="AB2675" s="9">
        <v>83.453036962432847</v>
      </c>
      <c r="AC2675" s="9">
        <v>83.453036962432847</v>
      </c>
      <c r="AD2675" s="9">
        <v>94.061516483066114</v>
      </c>
      <c r="AE2675" s="9">
        <v>104.93917923756814</v>
      </c>
      <c r="AF2675" s="9">
        <v>116.11294354932578</v>
      </c>
      <c r="AG2675" s="9">
        <v>116.11294354932578</v>
      </c>
      <c r="AH2675" s="9">
        <v>127.61241957406463</v>
      </c>
      <c r="AI2675" s="9">
        <v>140.35672613559947</v>
      </c>
      <c r="AJ2675" s="9">
        <v>3.0428788910505911</v>
      </c>
    </row>
    <row r="2676" spans="1:36" x14ac:dyDescent="0.25">
      <c r="A2676" t="s">
        <v>5411</v>
      </c>
      <c r="B2676" t="s">
        <v>16</v>
      </c>
      <c r="C2676" t="s">
        <v>17</v>
      </c>
      <c r="D2676">
        <v>57470000</v>
      </c>
      <c r="E2676">
        <v>57474999</v>
      </c>
      <c r="F2676" t="s">
        <v>2414</v>
      </c>
      <c r="G2676" t="str">
        <f t="shared" si="82"/>
        <v>ALR</v>
      </c>
      <c r="H2676" t="s">
        <v>2373</v>
      </c>
      <c r="I2676" t="s">
        <v>20</v>
      </c>
      <c r="J2676" t="s">
        <v>77</v>
      </c>
      <c r="K2676" s="6">
        <v>0.03</v>
      </c>
      <c r="L2676" s="7">
        <f t="shared" si="83"/>
        <v>2E-3</v>
      </c>
      <c r="M2676" s="7">
        <v>3.0000000000000001E-3</v>
      </c>
      <c r="N2676">
        <v>17</v>
      </c>
      <c r="O2676" s="8">
        <v>31.559907159117596</v>
      </c>
      <c r="P2676" s="9">
        <v>31.559907159117596</v>
      </c>
      <c r="Q2676" s="9">
        <v>31.559907159117596</v>
      </c>
      <c r="R2676" s="9">
        <v>34.782556244112428</v>
      </c>
      <c r="S2676" s="9">
        <v>38.331578707788331</v>
      </c>
      <c r="T2676" s="9">
        <v>40.776923733312373</v>
      </c>
      <c r="U2676" s="9">
        <v>49.120207061213286</v>
      </c>
      <c r="V2676" s="9">
        <v>49.120207061213286</v>
      </c>
      <c r="W2676" s="9">
        <v>49.120207061213286</v>
      </c>
      <c r="X2676" s="9">
        <v>62.947967465281963</v>
      </c>
      <c r="Y2676" s="9">
        <v>62.947967465281963</v>
      </c>
      <c r="Z2676" s="9">
        <v>73.089269472589308</v>
      </c>
      <c r="AA2676" s="9">
        <v>73.089269472589308</v>
      </c>
      <c r="AB2676" s="9">
        <v>83.453036962432847</v>
      </c>
      <c r="AC2676" s="9">
        <v>83.453036962432847</v>
      </c>
      <c r="AD2676" s="9">
        <v>94.061516483066114</v>
      </c>
      <c r="AE2676" s="9">
        <v>104.93917923756814</v>
      </c>
      <c r="AF2676" s="9">
        <v>116.11294354932578</v>
      </c>
      <c r="AG2676" s="9">
        <v>116.11294354932578</v>
      </c>
      <c r="AH2676" s="9">
        <v>127.61241957406463</v>
      </c>
      <c r="AI2676" s="9">
        <v>140.35672613559947</v>
      </c>
      <c r="AJ2676" s="9">
        <v>3.0428788910505911</v>
      </c>
    </row>
    <row r="2677" spans="1:36" x14ac:dyDescent="0.25">
      <c r="A2677" t="s">
        <v>5411</v>
      </c>
      <c r="B2677" t="s">
        <v>16</v>
      </c>
      <c r="C2677" t="s">
        <v>17</v>
      </c>
      <c r="D2677">
        <v>57475000</v>
      </c>
      <c r="E2677">
        <v>57479999</v>
      </c>
      <c r="F2677" t="s">
        <v>2415</v>
      </c>
      <c r="G2677" t="str">
        <f t="shared" si="82"/>
        <v>ALR</v>
      </c>
      <c r="H2677" t="s">
        <v>2373</v>
      </c>
      <c r="I2677" t="s">
        <v>20</v>
      </c>
      <c r="J2677" t="s">
        <v>77</v>
      </c>
      <c r="K2677" s="6">
        <v>0.03</v>
      </c>
      <c r="L2677" s="7">
        <f t="shared" si="83"/>
        <v>2E-3</v>
      </c>
      <c r="M2677" s="7">
        <v>3.0000000000000001E-3</v>
      </c>
      <c r="N2677">
        <v>17</v>
      </c>
      <c r="O2677" s="8">
        <v>31.559907159117596</v>
      </c>
      <c r="P2677" s="9">
        <v>31.559907159117596</v>
      </c>
      <c r="Q2677" s="9">
        <v>31.559907159117596</v>
      </c>
      <c r="R2677" s="9">
        <v>34.782556244112428</v>
      </c>
      <c r="S2677" s="9">
        <v>38.331578707788331</v>
      </c>
      <c r="T2677" s="9">
        <v>40.776923733312373</v>
      </c>
      <c r="U2677" s="9">
        <v>49.120207061213286</v>
      </c>
      <c r="V2677" s="9">
        <v>49.120207061213286</v>
      </c>
      <c r="W2677" s="9">
        <v>49.120207061213286</v>
      </c>
      <c r="X2677" s="9">
        <v>62.947967465281963</v>
      </c>
      <c r="Y2677" s="9">
        <v>62.947967465281963</v>
      </c>
      <c r="Z2677" s="9">
        <v>73.089269472589308</v>
      </c>
      <c r="AA2677" s="9">
        <v>73.089269472589308</v>
      </c>
      <c r="AB2677" s="9">
        <v>83.453036962432847</v>
      </c>
      <c r="AC2677" s="9">
        <v>83.453036962432847</v>
      </c>
      <c r="AD2677" s="9">
        <v>94.061516483066114</v>
      </c>
      <c r="AE2677" s="9">
        <v>104.93917923756814</v>
      </c>
      <c r="AF2677" s="9">
        <v>116.11294354932578</v>
      </c>
      <c r="AG2677" s="9">
        <v>116.11294354932578</v>
      </c>
      <c r="AH2677" s="9">
        <v>127.61241957406463</v>
      </c>
      <c r="AI2677" s="9">
        <v>140.35672613559947</v>
      </c>
      <c r="AJ2677" s="9">
        <v>3.0428788910505911</v>
      </c>
    </row>
    <row r="2678" spans="1:36" x14ac:dyDescent="0.25">
      <c r="A2678" t="s">
        <v>5411</v>
      </c>
      <c r="B2678" t="s">
        <v>16</v>
      </c>
      <c r="C2678" t="s">
        <v>17</v>
      </c>
      <c r="D2678">
        <v>57480000</v>
      </c>
      <c r="E2678">
        <v>57489999</v>
      </c>
      <c r="F2678" t="s">
        <v>2416</v>
      </c>
      <c r="G2678" t="str">
        <f t="shared" si="82"/>
        <v>ALI II</v>
      </c>
      <c r="H2678" t="s">
        <v>2373</v>
      </c>
      <c r="I2678" t="s">
        <v>20</v>
      </c>
      <c r="J2678" t="s">
        <v>64</v>
      </c>
      <c r="K2678" s="6">
        <v>0.03</v>
      </c>
      <c r="L2678" s="7">
        <f t="shared" si="83"/>
        <v>2E-3</v>
      </c>
      <c r="M2678" s="7">
        <v>3.0000000000000001E-3</v>
      </c>
      <c r="N2678">
        <v>11</v>
      </c>
      <c r="O2678" s="8">
        <v>24.798937533142826</v>
      </c>
      <c r="P2678" s="9">
        <v>24.798937533142826</v>
      </c>
      <c r="Q2678" s="9">
        <v>24.798937533142826</v>
      </c>
      <c r="R2678" s="9">
        <v>27.282986050939623</v>
      </c>
      <c r="S2678" s="9">
        <v>30.022062887616894</v>
      </c>
      <c r="T2678" s="9">
        <v>32.334742764653299</v>
      </c>
      <c r="U2678" s="9">
        <v>39.542940700256686</v>
      </c>
      <c r="V2678" s="9">
        <v>39.542940700256686</v>
      </c>
      <c r="W2678" s="9">
        <v>39.542940700256686</v>
      </c>
      <c r="X2678" s="9">
        <v>47.671587751358722</v>
      </c>
      <c r="Y2678" s="9">
        <v>47.671587751358722</v>
      </c>
      <c r="Z2678" s="9">
        <v>55.900601261195845</v>
      </c>
      <c r="AA2678" s="9">
        <v>55.900601261195845</v>
      </c>
      <c r="AB2678" s="9">
        <v>64.24001787564157</v>
      </c>
      <c r="AC2678" s="9">
        <v>64.24001787564157</v>
      </c>
      <c r="AD2678" s="9">
        <v>74.662093866984236</v>
      </c>
      <c r="AE2678" s="9">
        <v>82.474283033327609</v>
      </c>
      <c r="AF2678" s="9">
        <v>90.418786006991922</v>
      </c>
      <c r="AG2678" s="9">
        <v>90.418786006991922</v>
      </c>
      <c r="AH2678" s="9">
        <v>99.369625657493344</v>
      </c>
      <c r="AI2678" s="9">
        <v>108.18464077886053</v>
      </c>
      <c r="AJ2678" s="9">
        <v>3.0428788910505911</v>
      </c>
    </row>
    <row r="2679" spans="1:36" x14ac:dyDescent="0.25">
      <c r="A2679" t="s">
        <v>5411</v>
      </c>
      <c r="B2679" t="s">
        <v>16</v>
      </c>
      <c r="C2679" t="s">
        <v>17</v>
      </c>
      <c r="D2679">
        <v>57490000</v>
      </c>
      <c r="E2679">
        <v>57499999</v>
      </c>
      <c r="F2679" t="s">
        <v>2417</v>
      </c>
      <c r="G2679" t="str">
        <f t="shared" si="82"/>
        <v>ALR</v>
      </c>
      <c r="H2679" t="s">
        <v>2373</v>
      </c>
      <c r="I2679" t="s">
        <v>20</v>
      </c>
      <c r="J2679" t="s">
        <v>77</v>
      </c>
      <c r="K2679" s="6">
        <v>0.03</v>
      </c>
      <c r="L2679" s="7">
        <f t="shared" si="83"/>
        <v>2E-3</v>
      </c>
      <c r="M2679" s="7">
        <v>3.0000000000000001E-3</v>
      </c>
      <c r="N2679">
        <v>17</v>
      </c>
      <c r="O2679" s="8">
        <v>31.559907159117596</v>
      </c>
      <c r="P2679" s="9">
        <v>31.559907159117596</v>
      </c>
      <c r="Q2679" s="9">
        <v>31.559907159117596</v>
      </c>
      <c r="R2679" s="9">
        <v>34.782556244112428</v>
      </c>
      <c r="S2679" s="9">
        <v>38.331578707788331</v>
      </c>
      <c r="T2679" s="9">
        <v>40.776923733312373</v>
      </c>
      <c r="U2679" s="9">
        <v>49.120207061213286</v>
      </c>
      <c r="V2679" s="9">
        <v>49.120207061213286</v>
      </c>
      <c r="W2679" s="9">
        <v>49.120207061213286</v>
      </c>
      <c r="X2679" s="9">
        <v>62.947967465281963</v>
      </c>
      <c r="Y2679" s="9">
        <v>62.947967465281963</v>
      </c>
      <c r="Z2679" s="9">
        <v>73.089269472589308</v>
      </c>
      <c r="AA2679" s="9">
        <v>73.089269472589308</v>
      </c>
      <c r="AB2679" s="9">
        <v>83.453036962432847</v>
      </c>
      <c r="AC2679" s="9">
        <v>83.453036962432847</v>
      </c>
      <c r="AD2679" s="9">
        <v>94.061516483066114</v>
      </c>
      <c r="AE2679" s="9">
        <v>104.93917923756814</v>
      </c>
      <c r="AF2679" s="9">
        <v>116.11294354932578</v>
      </c>
      <c r="AG2679" s="9">
        <v>116.11294354932578</v>
      </c>
      <c r="AH2679" s="9">
        <v>127.61241957406463</v>
      </c>
      <c r="AI2679" s="9">
        <v>140.35672613559947</v>
      </c>
      <c r="AJ2679" s="9">
        <v>3.0428788910505911</v>
      </c>
    </row>
    <row r="2680" spans="1:36" x14ac:dyDescent="0.25">
      <c r="A2680" t="s">
        <v>5411</v>
      </c>
      <c r="B2680" t="s">
        <v>16</v>
      </c>
      <c r="C2680" t="s">
        <v>17</v>
      </c>
      <c r="D2680">
        <v>57500000</v>
      </c>
      <c r="E2680">
        <v>57509999</v>
      </c>
      <c r="F2680" t="s">
        <v>2418</v>
      </c>
      <c r="G2680" t="str">
        <f t="shared" si="82"/>
        <v>ALR</v>
      </c>
      <c r="H2680" t="s">
        <v>2373</v>
      </c>
      <c r="I2680" t="s">
        <v>20</v>
      </c>
      <c r="J2680" t="s">
        <v>77</v>
      </c>
      <c r="K2680" s="6">
        <v>0.03</v>
      </c>
      <c r="L2680" s="7">
        <f t="shared" si="83"/>
        <v>2E-3</v>
      </c>
      <c r="M2680" s="7">
        <v>3.0000000000000001E-3</v>
      </c>
      <c r="N2680">
        <v>17</v>
      </c>
      <c r="O2680" s="8">
        <v>31.559907159117596</v>
      </c>
      <c r="P2680" s="9">
        <v>31.559907159117596</v>
      </c>
      <c r="Q2680" s="9">
        <v>31.559907159117596</v>
      </c>
      <c r="R2680" s="9">
        <v>34.782556244112428</v>
      </c>
      <c r="S2680" s="9">
        <v>38.331578707788331</v>
      </c>
      <c r="T2680" s="9">
        <v>40.776923733312373</v>
      </c>
      <c r="U2680" s="9">
        <v>49.120207061213286</v>
      </c>
      <c r="V2680" s="9">
        <v>49.120207061213286</v>
      </c>
      <c r="W2680" s="9">
        <v>49.120207061213286</v>
      </c>
      <c r="X2680" s="9">
        <v>62.947967465281963</v>
      </c>
      <c r="Y2680" s="9">
        <v>62.947967465281963</v>
      </c>
      <c r="Z2680" s="9">
        <v>73.089269472589308</v>
      </c>
      <c r="AA2680" s="9">
        <v>73.089269472589308</v>
      </c>
      <c r="AB2680" s="9">
        <v>83.453036962432847</v>
      </c>
      <c r="AC2680" s="9">
        <v>83.453036962432847</v>
      </c>
      <c r="AD2680" s="9">
        <v>94.061516483066114</v>
      </c>
      <c r="AE2680" s="9">
        <v>104.93917923756814</v>
      </c>
      <c r="AF2680" s="9">
        <v>116.11294354932578</v>
      </c>
      <c r="AG2680" s="9">
        <v>116.11294354932578</v>
      </c>
      <c r="AH2680" s="9">
        <v>127.61241957406463</v>
      </c>
      <c r="AI2680" s="9">
        <v>140.35672613559947</v>
      </c>
      <c r="AJ2680" s="9">
        <v>3.0428788910505911</v>
      </c>
    </row>
    <row r="2681" spans="1:36" x14ac:dyDescent="0.25">
      <c r="A2681" t="s">
        <v>5411</v>
      </c>
      <c r="B2681" t="s">
        <v>16</v>
      </c>
      <c r="C2681" t="s">
        <v>17</v>
      </c>
      <c r="D2681">
        <v>57510000</v>
      </c>
      <c r="E2681">
        <v>57514999</v>
      </c>
      <c r="F2681" t="s">
        <v>2419</v>
      </c>
      <c r="G2681" t="str">
        <f t="shared" si="82"/>
        <v>ALR</v>
      </c>
      <c r="H2681" t="s">
        <v>2373</v>
      </c>
      <c r="I2681" t="s">
        <v>20</v>
      </c>
      <c r="J2681" t="s">
        <v>77</v>
      </c>
      <c r="K2681" s="6">
        <v>0.03</v>
      </c>
      <c r="L2681" s="7">
        <f t="shared" si="83"/>
        <v>2E-3</v>
      </c>
      <c r="M2681" s="7">
        <v>3.0000000000000001E-3</v>
      </c>
      <c r="N2681">
        <v>17</v>
      </c>
      <c r="O2681" s="8">
        <v>31.559907159117596</v>
      </c>
      <c r="P2681" s="9">
        <v>31.559907159117596</v>
      </c>
      <c r="Q2681" s="9">
        <v>31.559907159117596</v>
      </c>
      <c r="R2681" s="9">
        <v>34.782556244112428</v>
      </c>
      <c r="S2681" s="9">
        <v>38.331578707788331</v>
      </c>
      <c r="T2681" s="9">
        <v>40.776923733312373</v>
      </c>
      <c r="U2681" s="9">
        <v>49.120207061213286</v>
      </c>
      <c r="V2681" s="9">
        <v>49.120207061213286</v>
      </c>
      <c r="W2681" s="9">
        <v>49.120207061213286</v>
      </c>
      <c r="X2681" s="9">
        <v>62.947967465281963</v>
      </c>
      <c r="Y2681" s="9">
        <v>62.947967465281963</v>
      </c>
      <c r="Z2681" s="9">
        <v>73.089269472589308</v>
      </c>
      <c r="AA2681" s="9">
        <v>73.089269472589308</v>
      </c>
      <c r="AB2681" s="9">
        <v>83.453036962432847</v>
      </c>
      <c r="AC2681" s="9">
        <v>83.453036962432847</v>
      </c>
      <c r="AD2681" s="9">
        <v>94.061516483066114</v>
      </c>
      <c r="AE2681" s="9">
        <v>104.93917923756814</v>
      </c>
      <c r="AF2681" s="9">
        <v>116.11294354932578</v>
      </c>
      <c r="AG2681" s="9">
        <v>116.11294354932578</v>
      </c>
      <c r="AH2681" s="9">
        <v>127.61241957406463</v>
      </c>
      <c r="AI2681" s="9">
        <v>140.35672613559947</v>
      </c>
      <c r="AJ2681" s="9">
        <v>3.0428788910505911</v>
      </c>
    </row>
    <row r="2682" spans="1:36" x14ac:dyDescent="0.25">
      <c r="A2682" t="s">
        <v>5411</v>
      </c>
      <c r="B2682" t="s">
        <v>16</v>
      </c>
      <c r="C2682" t="s">
        <v>17</v>
      </c>
      <c r="D2682">
        <v>57515000</v>
      </c>
      <c r="E2682">
        <v>57519999</v>
      </c>
      <c r="F2682" t="s">
        <v>2420</v>
      </c>
      <c r="G2682" t="str">
        <f t="shared" si="82"/>
        <v>ALR</v>
      </c>
      <c r="H2682" t="s">
        <v>2373</v>
      </c>
      <c r="I2682" t="s">
        <v>20</v>
      </c>
      <c r="J2682" t="s">
        <v>77</v>
      </c>
      <c r="K2682" s="6">
        <v>0.03</v>
      </c>
      <c r="L2682" s="7">
        <f t="shared" si="83"/>
        <v>2E-3</v>
      </c>
      <c r="M2682" s="7">
        <v>3.0000000000000001E-3</v>
      </c>
      <c r="N2682">
        <v>17</v>
      </c>
      <c r="O2682" s="8">
        <v>31.559907159117596</v>
      </c>
      <c r="P2682" s="9">
        <v>31.559907159117596</v>
      </c>
      <c r="Q2682" s="9">
        <v>31.559907159117596</v>
      </c>
      <c r="R2682" s="9">
        <v>34.782556244112428</v>
      </c>
      <c r="S2682" s="9">
        <v>38.331578707788331</v>
      </c>
      <c r="T2682" s="9">
        <v>40.776923733312373</v>
      </c>
      <c r="U2682" s="9">
        <v>49.120207061213286</v>
      </c>
      <c r="V2682" s="9">
        <v>49.120207061213286</v>
      </c>
      <c r="W2682" s="9">
        <v>49.120207061213286</v>
      </c>
      <c r="X2682" s="9">
        <v>62.947967465281963</v>
      </c>
      <c r="Y2682" s="9">
        <v>62.947967465281963</v>
      </c>
      <c r="Z2682" s="9">
        <v>73.089269472589308</v>
      </c>
      <c r="AA2682" s="9">
        <v>73.089269472589308</v>
      </c>
      <c r="AB2682" s="9">
        <v>83.453036962432847</v>
      </c>
      <c r="AC2682" s="9">
        <v>83.453036962432847</v>
      </c>
      <c r="AD2682" s="9">
        <v>94.061516483066114</v>
      </c>
      <c r="AE2682" s="9">
        <v>104.93917923756814</v>
      </c>
      <c r="AF2682" s="9">
        <v>116.11294354932578</v>
      </c>
      <c r="AG2682" s="9">
        <v>116.11294354932578</v>
      </c>
      <c r="AH2682" s="9">
        <v>127.61241957406463</v>
      </c>
      <c r="AI2682" s="9">
        <v>140.35672613559947</v>
      </c>
      <c r="AJ2682" s="9">
        <v>3.0428788910505911</v>
      </c>
    </row>
    <row r="2683" spans="1:36" x14ac:dyDescent="0.25">
      <c r="A2683" t="s">
        <v>5411</v>
      </c>
      <c r="B2683" t="s">
        <v>16</v>
      </c>
      <c r="C2683" t="s">
        <v>17</v>
      </c>
      <c r="D2683">
        <v>57520000</v>
      </c>
      <c r="E2683">
        <v>57524999</v>
      </c>
      <c r="F2683" t="s">
        <v>2421</v>
      </c>
      <c r="G2683" t="str">
        <f t="shared" si="82"/>
        <v>ALR</v>
      </c>
      <c r="H2683" t="s">
        <v>2373</v>
      </c>
      <c r="I2683" t="s">
        <v>20</v>
      </c>
      <c r="J2683" t="s">
        <v>77</v>
      </c>
      <c r="K2683" s="6">
        <v>0.03</v>
      </c>
      <c r="L2683" s="7">
        <f t="shared" si="83"/>
        <v>2E-3</v>
      </c>
      <c r="M2683" s="7">
        <v>3.0000000000000001E-3</v>
      </c>
      <c r="N2683">
        <v>17</v>
      </c>
      <c r="O2683" s="8">
        <v>31.559907159117596</v>
      </c>
      <c r="P2683" s="9">
        <v>31.559907159117596</v>
      </c>
      <c r="Q2683" s="9">
        <v>31.559907159117596</v>
      </c>
      <c r="R2683" s="9">
        <v>34.782556244112428</v>
      </c>
      <c r="S2683" s="9">
        <v>38.331578707788331</v>
      </c>
      <c r="T2683" s="9">
        <v>40.776923733312373</v>
      </c>
      <c r="U2683" s="9">
        <v>49.120207061213286</v>
      </c>
      <c r="V2683" s="9">
        <v>49.120207061213286</v>
      </c>
      <c r="W2683" s="9">
        <v>49.120207061213286</v>
      </c>
      <c r="X2683" s="9">
        <v>62.947967465281963</v>
      </c>
      <c r="Y2683" s="9">
        <v>62.947967465281963</v>
      </c>
      <c r="Z2683" s="9">
        <v>73.089269472589308</v>
      </c>
      <c r="AA2683" s="9">
        <v>73.089269472589308</v>
      </c>
      <c r="AB2683" s="9">
        <v>83.453036962432847</v>
      </c>
      <c r="AC2683" s="9">
        <v>83.453036962432847</v>
      </c>
      <c r="AD2683" s="9">
        <v>94.061516483066114</v>
      </c>
      <c r="AE2683" s="9">
        <v>104.93917923756814</v>
      </c>
      <c r="AF2683" s="9">
        <v>116.11294354932578</v>
      </c>
      <c r="AG2683" s="9">
        <v>116.11294354932578</v>
      </c>
      <c r="AH2683" s="9">
        <v>127.61241957406463</v>
      </c>
      <c r="AI2683" s="9">
        <v>140.35672613559947</v>
      </c>
      <c r="AJ2683" s="9">
        <v>3.0428788910505911</v>
      </c>
    </row>
    <row r="2684" spans="1:36" x14ac:dyDescent="0.25">
      <c r="A2684" t="s">
        <v>5411</v>
      </c>
      <c r="B2684" t="s">
        <v>16</v>
      </c>
      <c r="C2684" t="s">
        <v>17</v>
      </c>
      <c r="D2684">
        <v>57525000</v>
      </c>
      <c r="E2684">
        <v>57529999</v>
      </c>
      <c r="F2684" t="s">
        <v>1132</v>
      </c>
      <c r="G2684" t="str">
        <f t="shared" si="82"/>
        <v>ALR</v>
      </c>
      <c r="H2684" t="s">
        <v>2373</v>
      </c>
      <c r="I2684" t="s">
        <v>20</v>
      </c>
      <c r="J2684" t="s">
        <v>77</v>
      </c>
      <c r="K2684" s="6">
        <v>0.03</v>
      </c>
      <c r="L2684" s="7">
        <f t="shared" si="83"/>
        <v>2E-3</v>
      </c>
      <c r="M2684" s="7">
        <v>3.0000000000000001E-3</v>
      </c>
      <c r="N2684">
        <v>17</v>
      </c>
      <c r="O2684" s="8">
        <v>31.559907159117596</v>
      </c>
      <c r="P2684" s="9">
        <v>31.559907159117596</v>
      </c>
      <c r="Q2684" s="9">
        <v>31.559907159117596</v>
      </c>
      <c r="R2684" s="9">
        <v>34.782556244112428</v>
      </c>
      <c r="S2684" s="9">
        <v>38.331578707788331</v>
      </c>
      <c r="T2684" s="9">
        <v>40.776923733312373</v>
      </c>
      <c r="U2684" s="9">
        <v>49.120207061213286</v>
      </c>
      <c r="V2684" s="9">
        <v>49.120207061213286</v>
      </c>
      <c r="W2684" s="9">
        <v>49.120207061213286</v>
      </c>
      <c r="X2684" s="9">
        <v>62.947967465281963</v>
      </c>
      <c r="Y2684" s="9">
        <v>62.947967465281963</v>
      </c>
      <c r="Z2684" s="9">
        <v>73.089269472589308</v>
      </c>
      <c r="AA2684" s="9">
        <v>73.089269472589308</v>
      </c>
      <c r="AB2684" s="9">
        <v>83.453036962432847</v>
      </c>
      <c r="AC2684" s="9">
        <v>83.453036962432847</v>
      </c>
      <c r="AD2684" s="9">
        <v>94.061516483066114</v>
      </c>
      <c r="AE2684" s="9">
        <v>104.93917923756814</v>
      </c>
      <c r="AF2684" s="9">
        <v>116.11294354932578</v>
      </c>
      <c r="AG2684" s="9">
        <v>116.11294354932578</v>
      </c>
      <c r="AH2684" s="9">
        <v>127.61241957406463</v>
      </c>
      <c r="AI2684" s="9">
        <v>140.35672613559947</v>
      </c>
      <c r="AJ2684" s="9">
        <v>3.0428788910505911</v>
      </c>
    </row>
    <row r="2685" spans="1:36" x14ac:dyDescent="0.25">
      <c r="A2685" t="s">
        <v>5411</v>
      </c>
      <c r="B2685" t="s">
        <v>16</v>
      </c>
      <c r="C2685" t="s">
        <v>17</v>
      </c>
      <c r="D2685">
        <v>57530000</v>
      </c>
      <c r="E2685">
        <v>57534999</v>
      </c>
      <c r="F2685" t="s">
        <v>2422</v>
      </c>
      <c r="G2685" t="str">
        <f t="shared" si="82"/>
        <v>ALR</v>
      </c>
      <c r="H2685" t="s">
        <v>2373</v>
      </c>
      <c r="I2685" t="s">
        <v>20</v>
      </c>
      <c r="J2685" t="s">
        <v>77</v>
      </c>
      <c r="K2685" s="6">
        <v>0.03</v>
      </c>
      <c r="L2685" s="7">
        <f t="shared" si="83"/>
        <v>2E-3</v>
      </c>
      <c r="M2685" s="7">
        <v>3.0000000000000001E-3</v>
      </c>
      <c r="N2685">
        <v>17</v>
      </c>
      <c r="O2685" s="8">
        <v>31.559907159117596</v>
      </c>
      <c r="P2685" s="9">
        <v>31.559907159117596</v>
      </c>
      <c r="Q2685" s="9">
        <v>31.559907159117596</v>
      </c>
      <c r="R2685" s="9">
        <v>34.782556244112428</v>
      </c>
      <c r="S2685" s="9">
        <v>38.331578707788331</v>
      </c>
      <c r="T2685" s="9">
        <v>40.776923733312373</v>
      </c>
      <c r="U2685" s="9">
        <v>49.120207061213286</v>
      </c>
      <c r="V2685" s="9">
        <v>49.120207061213286</v>
      </c>
      <c r="W2685" s="9">
        <v>49.120207061213286</v>
      </c>
      <c r="X2685" s="9">
        <v>62.947967465281963</v>
      </c>
      <c r="Y2685" s="9">
        <v>62.947967465281963</v>
      </c>
      <c r="Z2685" s="9">
        <v>73.089269472589308</v>
      </c>
      <c r="AA2685" s="9">
        <v>73.089269472589308</v>
      </c>
      <c r="AB2685" s="9">
        <v>83.453036962432847</v>
      </c>
      <c r="AC2685" s="9">
        <v>83.453036962432847</v>
      </c>
      <c r="AD2685" s="9">
        <v>94.061516483066114</v>
      </c>
      <c r="AE2685" s="9">
        <v>104.93917923756814</v>
      </c>
      <c r="AF2685" s="9">
        <v>116.11294354932578</v>
      </c>
      <c r="AG2685" s="9">
        <v>116.11294354932578</v>
      </c>
      <c r="AH2685" s="9">
        <v>127.61241957406463</v>
      </c>
      <c r="AI2685" s="9">
        <v>140.35672613559947</v>
      </c>
      <c r="AJ2685" s="9">
        <v>3.0428788910505911</v>
      </c>
    </row>
    <row r="2686" spans="1:36" x14ac:dyDescent="0.25">
      <c r="A2686" t="s">
        <v>5411</v>
      </c>
      <c r="B2686" t="s">
        <v>16</v>
      </c>
      <c r="C2686" t="s">
        <v>17</v>
      </c>
      <c r="D2686">
        <v>57535000</v>
      </c>
      <c r="E2686">
        <v>57539999</v>
      </c>
      <c r="F2686" t="s">
        <v>2423</v>
      </c>
      <c r="G2686" t="str">
        <f t="shared" si="82"/>
        <v>ALR</v>
      </c>
      <c r="H2686" t="s">
        <v>2373</v>
      </c>
      <c r="I2686" t="s">
        <v>20</v>
      </c>
      <c r="J2686" t="s">
        <v>77</v>
      </c>
      <c r="K2686" s="6">
        <v>0.03</v>
      </c>
      <c r="L2686" s="7">
        <f t="shared" si="83"/>
        <v>2E-3</v>
      </c>
      <c r="M2686" s="7">
        <v>3.0000000000000001E-3</v>
      </c>
      <c r="N2686">
        <v>17</v>
      </c>
      <c r="O2686" s="8">
        <v>31.559907159117596</v>
      </c>
      <c r="P2686" s="9">
        <v>31.559907159117596</v>
      </c>
      <c r="Q2686" s="9">
        <v>31.559907159117596</v>
      </c>
      <c r="R2686" s="9">
        <v>34.782556244112428</v>
      </c>
      <c r="S2686" s="9">
        <v>38.331578707788331</v>
      </c>
      <c r="T2686" s="9">
        <v>40.776923733312373</v>
      </c>
      <c r="U2686" s="9">
        <v>49.120207061213286</v>
      </c>
      <c r="V2686" s="9">
        <v>49.120207061213286</v>
      </c>
      <c r="W2686" s="9">
        <v>49.120207061213286</v>
      </c>
      <c r="X2686" s="9">
        <v>62.947967465281963</v>
      </c>
      <c r="Y2686" s="9">
        <v>62.947967465281963</v>
      </c>
      <c r="Z2686" s="9">
        <v>73.089269472589308</v>
      </c>
      <c r="AA2686" s="9">
        <v>73.089269472589308</v>
      </c>
      <c r="AB2686" s="9">
        <v>83.453036962432847</v>
      </c>
      <c r="AC2686" s="9">
        <v>83.453036962432847</v>
      </c>
      <c r="AD2686" s="9">
        <v>94.061516483066114</v>
      </c>
      <c r="AE2686" s="9">
        <v>104.93917923756814</v>
      </c>
      <c r="AF2686" s="9">
        <v>116.11294354932578</v>
      </c>
      <c r="AG2686" s="9">
        <v>116.11294354932578</v>
      </c>
      <c r="AH2686" s="9">
        <v>127.61241957406463</v>
      </c>
      <c r="AI2686" s="9">
        <v>140.35672613559947</v>
      </c>
      <c r="AJ2686" s="9">
        <v>3.0428788910505911</v>
      </c>
    </row>
    <row r="2687" spans="1:36" x14ac:dyDescent="0.25">
      <c r="A2687" t="s">
        <v>5411</v>
      </c>
      <c r="B2687" t="s">
        <v>16</v>
      </c>
      <c r="C2687" t="s">
        <v>17</v>
      </c>
      <c r="D2687">
        <v>57540000</v>
      </c>
      <c r="E2687">
        <v>57544999</v>
      </c>
      <c r="F2687" t="s">
        <v>2424</v>
      </c>
      <c r="G2687" t="str">
        <f t="shared" si="82"/>
        <v>ALR</v>
      </c>
      <c r="H2687" t="s">
        <v>2373</v>
      </c>
      <c r="I2687" t="s">
        <v>20</v>
      </c>
      <c r="J2687" t="s">
        <v>77</v>
      </c>
      <c r="K2687" s="6">
        <v>0.03</v>
      </c>
      <c r="L2687" s="7">
        <f t="shared" si="83"/>
        <v>2E-3</v>
      </c>
      <c r="M2687" s="7">
        <v>3.0000000000000001E-3</v>
      </c>
      <c r="N2687">
        <v>17</v>
      </c>
      <c r="O2687" s="8">
        <v>31.559907159117596</v>
      </c>
      <c r="P2687" s="9">
        <v>31.559907159117596</v>
      </c>
      <c r="Q2687" s="9">
        <v>31.559907159117596</v>
      </c>
      <c r="R2687" s="9">
        <v>34.782556244112428</v>
      </c>
      <c r="S2687" s="9">
        <v>38.331578707788331</v>
      </c>
      <c r="T2687" s="9">
        <v>40.776923733312373</v>
      </c>
      <c r="U2687" s="9">
        <v>49.120207061213286</v>
      </c>
      <c r="V2687" s="9">
        <v>49.120207061213286</v>
      </c>
      <c r="W2687" s="9">
        <v>49.120207061213286</v>
      </c>
      <c r="X2687" s="9">
        <v>62.947967465281963</v>
      </c>
      <c r="Y2687" s="9">
        <v>62.947967465281963</v>
      </c>
      <c r="Z2687" s="9">
        <v>73.089269472589308</v>
      </c>
      <c r="AA2687" s="9">
        <v>73.089269472589308</v>
      </c>
      <c r="AB2687" s="9">
        <v>83.453036962432847</v>
      </c>
      <c r="AC2687" s="9">
        <v>83.453036962432847</v>
      </c>
      <c r="AD2687" s="9">
        <v>94.061516483066114</v>
      </c>
      <c r="AE2687" s="9">
        <v>104.93917923756814</v>
      </c>
      <c r="AF2687" s="9">
        <v>116.11294354932578</v>
      </c>
      <c r="AG2687" s="9">
        <v>116.11294354932578</v>
      </c>
      <c r="AH2687" s="9">
        <v>127.61241957406463</v>
      </c>
      <c r="AI2687" s="9">
        <v>140.35672613559947</v>
      </c>
      <c r="AJ2687" s="9">
        <v>3.0428788910505911</v>
      </c>
    </row>
    <row r="2688" spans="1:36" x14ac:dyDescent="0.25">
      <c r="A2688" t="s">
        <v>5411</v>
      </c>
      <c r="B2688" t="s">
        <v>16</v>
      </c>
      <c r="C2688" t="s">
        <v>17</v>
      </c>
      <c r="D2688">
        <v>57545000</v>
      </c>
      <c r="E2688">
        <v>57549999</v>
      </c>
      <c r="F2688" t="s">
        <v>2425</v>
      </c>
      <c r="G2688" t="str">
        <f t="shared" si="82"/>
        <v>ALR</v>
      </c>
      <c r="H2688" t="s">
        <v>2373</v>
      </c>
      <c r="I2688" t="s">
        <v>20</v>
      </c>
      <c r="J2688" t="s">
        <v>77</v>
      </c>
      <c r="K2688" s="6">
        <v>0.03</v>
      </c>
      <c r="L2688" s="7">
        <f t="shared" si="83"/>
        <v>2E-3</v>
      </c>
      <c r="M2688" s="7">
        <v>3.0000000000000001E-3</v>
      </c>
      <c r="N2688">
        <v>17</v>
      </c>
      <c r="O2688" s="8">
        <v>31.559907159117596</v>
      </c>
      <c r="P2688" s="9">
        <v>31.559907159117596</v>
      </c>
      <c r="Q2688" s="9">
        <v>31.559907159117596</v>
      </c>
      <c r="R2688" s="9">
        <v>34.782556244112428</v>
      </c>
      <c r="S2688" s="9">
        <v>38.331578707788331</v>
      </c>
      <c r="T2688" s="9">
        <v>40.776923733312373</v>
      </c>
      <c r="U2688" s="9">
        <v>49.120207061213286</v>
      </c>
      <c r="V2688" s="9">
        <v>49.120207061213286</v>
      </c>
      <c r="W2688" s="9">
        <v>49.120207061213286</v>
      </c>
      <c r="X2688" s="9">
        <v>62.947967465281963</v>
      </c>
      <c r="Y2688" s="9">
        <v>62.947967465281963</v>
      </c>
      <c r="Z2688" s="9">
        <v>73.089269472589308</v>
      </c>
      <c r="AA2688" s="9">
        <v>73.089269472589308</v>
      </c>
      <c r="AB2688" s="9">
        <v>83.453036962432847</v>
      </c>
      <c r="AC2688" s="9">
        <v>83.453036962432847</v>
      </c>
      <c r="AD2688" s="9">
        <v>94.061516483066114</v>
      </c>
      <c r="AE2688" s="9">
        <v>104.93917923756814</v>
      </c>
      <c r="AF2688" s="9">
        <v>116.11294354932578</v>
      </c>
      <c r="AG2688" s="9">
        <v>116.11294354932578</v>
      </c>
      <c r="AH2688" s="9">
        <v>127.61241957406463</v>
      </c>
      <c r="AI2688" s="9">
        <v>140.35672613559947</v>
      </c>
      <c r="AJ2688" s="9">
        <v>3.0428788910505911</v>
      </c>
    </row>
    <row r="2689" spans="1:36" x14ac:dyDescent="0.25">
      <c r="A2689" t="s">
        <v>5411</v>
      </c>
      <c r="B2689" t="s">
        <v>16</v>
      </c>
      <c r="C2689" t="s">
        <v>17</v>
      </c>
      <c r="D2689">
        <v>57550000</v>
      </c>
      <c r="E2689">
        <v>57559999</v>
      </c>
      <c r="F2689" t="s">
        <v>2426</v>
      </c>
      <c r="G2689" t="str">
        <f t="shared" si="82"/>
        <v>ALR</v>
      </c>
      <c r="H2689" t="s">
        <v>2373</v>
      </c>
      <c r="I2689" t="s">
        <v>20</v>
      </c>
      <c r="J2689" t="s">
        <v>77</v>
      </c>
      <c r="K2689" s="6">
        <v>0.03</v>
      </c>
      <c r="L2689" s="7">
        <f t="shared" si="83"/>
        <v>2E-3</v>
      </c>
      <c r="M2689" s="7">
        <v>3.0000000000000001E-3</v>
      </c>
      <c r="N2689">
        <v>17</v>
      </c>
      <c r="O2689" s="8">
        <v>31.559907159117596</v>
      </c>
      <c r="P2689" s="9">
        <v>31.559907159117596</v>
      </c>
      <c r="Q2689" s="9">
        <v>31.559907159117596</v>
      </c>
      <c r="R2689" s="9">
        <v>34.782556244112428</v>
      </c>
      <c r="S2689" s="9">
        <v>38.331578707788331</v>
      </c>
      <c r="T2689" s="9">
        <v>40.776923733312373</v>
      </c>
      <c r="U2689" s="9">
        <v>49.120207061213286</v>
      </c>
      <c r="V2689" s="9">
        <v>49.120207061213286</v>
      </c>
      <c r="W2689" s="9">
        <v>49.120207061213286</v>
      </c>
      <c r="X2689" s="9">
        <v>62.947967465281963</v>
      </c>
      <c r="Y2689" s="9">
        <v>62.947967465281963</v>
      </c>
      <c r="Z2689" s="9">
        <v>73.089269472589308</v>
      </c>
      <c r="AA2689" s="9">
        <v>73.089269472589308</v>
      </c>
      <c r="AB2689" s="9">
        <v>83.453036962432847</v>
      </c>
      <c r="AC2689" s="9">
        <v>83.453036962432847</v>
      </c>
      <c r="AD2689" s="9">
        <v>94.061516483066114</v>
      </c>
      <c r="AE2689" s="9">
        <v>104.93917923756814</v>
      </c>
      <c r="AF2689" s="9">
        <v>116.11294354932578</v>
      </c>
      <c r="AG2689" s="9">
        <v>116.11294354932578</v>
      </c>
      <c r="AH2689" s="9">
        <v>127.61241957406463</v>
      </c>
      <c r="AI2689" s="9">
        <v>140.35672613559947</v>
      </c>
      <c r="AJ2689" s="9">
        <v>3.0428788910505911</v>
      </c>
    </row>
    <row r="2690" spans="1:36" x14ac:dyDescent="0.25">
      <c r="A2690" t="s">
        <v>5411</v>
      </c>
      <c r="B2690" t="s">
        <v>16</v>
      </c>
      <c r="C2690" t="s">
        <v>17</v>
      </c>
      <c r="D2690">
        <v>57560000</v>
      </c>
      <c r="E2690">
        <v>57569999</v>
      </c>
      <c r="F2690" t="s">
        <v>2427</v>
      </c>
      <c r="G2690" t="str">
        <f t="shared" si="82"/>
        <v>ALR</v>
      </c>
      <c r="H2690" t="s">
        <v>2373</v>
      </c>
      <c r="I2690" t="s">
        <v>20</v>
      </c>
      <c r="J2690" t="s">
        <v>77</v>
      </c>
      <c r="K2690" s="6">
        <v>0.03</v>
      </c>
      <c r="L2690" s="7">
        <f t="shared" si="83"/>
        <v>2E-3</v>
      </c>
      <c r="M2690" s="7">
        <v>3.0000000000000001E-3</v>
      </c>
      <c r="N2690">
        <v>17</v>
      </c>
      <c r="O2690" s="8">
        <v>31.559907159117596</v>
      </c>
      <c r="P2690" s="9">
        <v>31.559907159117596</v>
      </c>
      <c r="Q2690" s="9">
        <v>31.559907159117596</v>
      </c>
      <c r="R2690" s="9">
        <v>34.782556244112428</v>
      </c>
      <c r="S2690" s="9">
        <v>38.331578707788331</v>
      </c>
      <c r="T2690" s="9">
        <v>40.776923733312373</v>
      </c>
      <c r="U2690" s="9">
        <v>49.120207061213286</v>
      </c>
      <c r="V2690" s="9">
        <v>49.120207061213286</v>
      </c>
      <c r="W2690" s="9">
        <v>49.120207061213286</v>
      </c>
      <c r="X2690" s="9">
        <v>62.947967465281963</v>
      </c>
      <c r="Y2690" s="9">
        <v>62.947967465281963</v>
      </c>
      <c r="Z2690" s="9">
        <v>73.089269472589308</v>
      </c>
      <c r="AA2690" s="9">
        <v>73.089269472589308</v>
      </c>
      <c r="AB2690" s="9">
        <v>83.453036962432847</v>
      </c>
      <c r="AC2690" s="9">
        <v>83.453036962432847</v>
      </c>
      <c r="AD2690" s="9">
        <v>94.061516483066114</v>
      </c>
      <c r="AE2690" s="9">
        <v>104.93917923756814</v>
      </c>
      <c r="AF2690" s="9">
        <v>116.11294354932578</v>
      </c>
      <c r="AG2690" s="9">
        <v>116.11294354932578</v>
      </c>
      <c r="AH2690" s="9">
        <v>127.61241957406463</v>
      </c>
      <c r="AI2690" s="9">
        <v>140.35672613559947</v>
      </c>
      <c r="AJ2690" s="9">
        <v>3.0428788910505911</v>
      </c>
    </row>
    <row r="2691" spans="1:36" x14ac:dyDescent="0.25">
      <c r="A2691" t="s">
        <v>5411</v>
      </c>
      <c r="B2691" t="s">
        <v>16</v>
      </c>
      <c r="C2691" t="s">
        <v>17</v>
      </c>
      <c r="D2691">
        <v>57570000</v>
      </c>
      <c r="E2691">
        <v>57579999</v>
      </c>
      <c r="F2691" t="s">
        <v>2428</v>
      </c>
      <c r="G2691" t="str">
        <f t="shared" si="82"/>
        <v>ALR</v>
      </c>
      <c r="H2691" t="s">
        <v>2373</v>
      </c>
      <c r="I2691" t="s">
        <v>20</v>
      </c>
      <c r="J2691" t="s">
        <v>77</v>
      </c>
      <c r="K2691" s="6">
        <v>0.03</v>
      </c>
      <c r="L2691" s="7">
        <f t="shared" si="83"/>
        <v>2E-3</v>
      </c>
      <c r="M2691" s="7">
        <v>3.0000000000000001E-3</v>
      </c>
      <c r="N2691">
        <v>17</v>
      </c>
      <c r="O2691" s="8">
        <v>31.559907159117596</v>
      </c>
      <c r="P2691" s="9">
        <v>31.559907159117596</v>
      </c>
      <c r="Q2691" s="9">
        <v>31.559907159117596</v>
      </c>
      <c r="R2691" s="9">
        <v>34.782556244112428</v>
      </c>
      <c r="S2691" s="9">
        <v>38.331578707788331</v>
      </c>
      <c r="T2691" s="9">
        <v>40.776923733312373</v>
      </c>
      <c r="U2691" s="9">
        <v>49.120207061213286</v>
      </c>
      <c r="V2691" s="9">
        <v>49.120207061213286</v>
      </c>
      <c r="W2691" s="9">
        <v>49.120207061213286</v>
      </c>
      <c r="X2691" s="9">
        <v>62.947967465281963</v>
      </c>
      <c r="Y2691" s="9">
        <v>62.947967465281963</v>
      </c>
      <c r="Z2691" s="9">
        <v>73.089269472589308</v>
      </c>
      <c r="AA2691" s="9">
        <v>73.089269472589308</v>
      </c>
      <c r="AB2691" s="9">
        <v>83.453036962432847</v>
      </c>
      <c r="AC2691" s="9">
        <v>83.453036962432847</v>
      </c>
      <c r="AD2691" s="9">
        <v>94.061516483066114</v>
      </c>
      <c r="AE2691" s="9">
        <v>104.93917923756814</v>
      </c>
      <c r="AF2691" s="9">
        <v>116.11294354932578</v>
      </c>
      <c r="AG2691" s="9">
        <v>116.11294354932578</v>
      </c>
      <c r="AH2691" s="9">
        <v>127.61241957406463</v>
      </c>
      <c r="AI2691" s="9">
        <v>140.35672613559947</v>
      </c>
      <c r="AJ2691" s="9">
        <v>3.0428788910505911</v>
      </c>
    </row>
    <row r="2692" spans="1:36" x14ac:dyDescent="0.25">
      <c r="A2692" t="s">
        <v>5411</v>
      </c>
      <c r="B2692" t="s">
        <v>16</v>
      </c>
      <c r="C2692" t="s">
        <v>17</v>
      </c>
      <c r="D2692">
        <v>57580000</v>
      </c>
      <c r="E2692">
        <v>57599999</v>
      </c>
      <c r="F2692" t="s">
        <v>2429</v>
      </c>
      <c r="G2692" t="str">
        <f t="shared" ref="G2692:G2755" si="84">H2692&amp;IF(J2692="CAPITAL","C",IF(J2692="INTERIOR","I",IF(J2692="INTERIOR II","I II","R")))</f>
        <v>ALR</v>
      </c>
      <c r="H2692" t="s">
        <v>2373</v>
      </c>
      <c r="I2692" t="s">
        <v>20</v>
      </c>
      <c r="J2692" t="s">
        <v>77</v>
      </c>
      <c r="K2692" s="6">
        <v>0.03</v>
      </c>
      <c r="L2692" s="7">
        <f t="shared" ref="L2692:L2755" si="85">IF(I2692="(0) Não",0.2%,3%)</f>
        <v>2E-3</v>
      </c>
      <c r="M2692" s="7">
        <v>3.0000000000000001E-3</v>
      </c>
      <c r="N2692">
        <v>17</v>
      </c>
      <c r="O2692" s="8">
        <v>31.559907159117596</v>
      </c>
      <c r="P2692" s="9">
        <v>31.559907159117596</v>
      </c>
      <c r="Q2692" s="9">
        <v>31.559907159117596</v>
      </c>
      <c r="R2692" s="9">
        <v>34.782556244112428</v>
      </c>
      <c r="S2692" s="9">
        <v>38.331578707788331</v>
      </c>
      <c r="T2692" s="9">
        <v>40.776923733312373</v>
      </c>
      <c r="U2692" s="9">
        <v>49.120207061213286</v>
      </c>
      <c r="V2692" s="9">
        <v>49.120207061213286</v>
      </c>
      <c r="W2692" s="9">
        <v>49.120207061213286</v>
      </c>
      <c r="X2692" s="9">
        <v>62.947967465281963</v>
      </c>
      <c r="Y2692" s="9">
        <v>62.947967465281963</v>
      </c>
      <c r="Z2692" s="9">
        <v>73.089269472589308</v>
      </c>
      <c r="AA2692" s="9">
        <v>73.089269472589308</v>
      </c>
      <c r="AB2692" s="9">
        <v>83.453036962432847</v>
      </c>
      <c r="AC2692" s="9">
        <v>83.453036962432847</v>
      </c>
      <c r="AD2692" s="9">
        <v>94.061516483066114</v>
      </c>
      <c r="AE2692" s="9">
        <v>104.93917923756814</v>
      </c>
      <c r="AF2692" s="9">
        <v>116.11294354932578</v>
      </c>
      <c r="AG2692" s="9">
        <v>116.11294354932578</v>
      </c>
      <c r="AH2692" s="9">
        <v>127.61241957406463</v>
      </c>
      <c r="AI2692" s="9">
        <v>140.35672613559947</v>
      </c>
      <c r="AJ2692" s="9">
        <v>3.0428788910505911</v>
      </c>
    </row>
    <row r="2693" spans="1:36" x14ac:dyDescent="0.25">
      <c r="A2693" t="s">
        <v>5411</v>
      </c>
      <c r="B2693" t="s">
        <v>16</v>
      </c>
      <c r="C2693" t="s">
        <v>17</v>
      </c>
      <c r="D2693">
        <v>57600000</v>
      </c>
      <c r="E2693">
        <v>57614999</v>
      </c>
      <c r="F2693" t="s">
        <v>2430</v>
      </c>
      <c r="G2693" t="str">
        <f t="shared" si="84"/>
        <v>ALR</v>
      </c>
      <c r="H2693" t="s">
        <v>2373</v>
      </c>
      <c r="I2693" t="s">
        <v>20</v>
      </c>
      <c r="J2693" t="s">
        <v>77</v>
      </c>
      <c r="K2693" s="6">
        <v>0.03</v>
      </c>
      <c r="L2693" s="7">
        <f t="shared" si="85"/>
        <v>2E-3</v>
      </c>
      <c r="M2693" s="7">
        <v>3.0000000000000001E-3</v>
      </c>
      <c r="N2693">
        <v>17</v>
      </c>
      <c r="O2693" s="8">
        <v>31.559907159117596</v>
      </c>
      <c r="P2693" s="9">
        <v>31.559907159117596</v>
      </c>
      <c r="Q2693" s="9">
        <v>31.559907159117596</v>
      </c>
      <c r="R2693" s="9">
        <v>34.782556244112428</v>
      </c>
      <c r="S2693" s="9">
        <v>38.331578707788331</v>
      </c>
      <c r="T2693" s="9">
        <v>40.776923733312373</v>
      </c>
      <c r="U2693" s="9">
        <v>49.120207061213286</v>
      </c>
      <c r="V2693" s="9">
        <v>49.120207061213286</v>
      </c>
      <c r="W2693" s="9">
        <v>49.120207061213286</v>
      </c>
      <c r="X2693" s="9">
        <v>62.947967465281963</v>
      </c>
      <c r="Y2693" s="9">
        <v>62.947967465281963</v>
      </c>
      <c r="Z2693" s="9">
        <v>73.089269472589308</v>
      </c>
      <c r="AA2693" s="9">
        <v>73.089269472589308</v>
      </c>
      <c r="AB2693" s="9">
        <v>83.453036962432847</v>
      </c>
      <c r="AC2693" s="9">
        <v>83.453036962432847</v>
      </c>
      <c r="AD2693" s="9">
        <v>94.061516483066114</v>
      </c>
      <c r="AE2693" s="9">
        <v>104.93917923756814</v>
      </c>
      <c r="AF2693" s="9">
        <v>116.11294354932578</v>
      </c>
      <c r="AG2693" s="9">
        <v>116.11294354932578</v>
      </c>
      <c r="AH2693" s="9">
        <v>127.61241957406463</v>
      </c>
      <c r="AI2693" s="9">
        <v>140.35672613559947</v>
      </c>
      <c r="AJ2693" s="9">
        <v>3.0428788910505911</v>
      </c>
    </row>
    <row r="2694" spans="1:36" x14ac:dyDescent="0.25">
      <c r="A2694" t="s">
        <v>5411</v>
      </c>
      <c r="B2694" t="s">
        <v>16</v>
      </c>
      <c r="C2694" t="s">
        <v>17</v>
      </c>
      <c r="D2694">
        <v>57615000</v>
      </c>
      <c r="E2694">
        <v>57619999</v>
      </c>
      <c r="F2694" t="s">
        <v>2431</v>
      </c>
      <c r="G2694" t="str">
        <f t="shared" si="84"/>
        <v>ALR</v>
      </c>
      <c r="H2694" t="s">
        <v>2373</v>
      </c>
      <c r="I2694" t="s">
        <v>20</v>
      </c>
      <c r="J2694" t="s">
        <v>77</v>
      </c>
      <c r="K2694" s="6">
        <v>0.03</v>
      </c>
      <c r="L2694" s="7">
        <f t="shared" si="85"/>
        <v>2E-3</v>
      </c>
      <c r="M2694" s="7">
        <v>3.0000000000000001E-3</v>
      </c>
      <c r="N2694">
        <v>17</v>
      </c>
      <c r="O2694" s="8">
        <v>31.559907159117596</v>
      </c>
      <c r="P2694" s="9">
        <v>31.559907159117596</v>
      </c>
      <c r="Q2694" s="9">
        <v>31.559907159117596</v>
      </c>
      <c r="R2694" s="9">
        <v>34.782556244112428</v>
      </c>
      <c r="S2694" s="9">
        <v>38.331578707788331</v>
      </c>
      <c r="T2694" s="9">
        <v>40.776923733312373</v>
      </c>
      <c r="U2694" s="9">
        <v>49.120207061213286</v>
      </c>
      <c r="V2694" s="9">
        <v>49.120207061213286</v>
      </c>
      <c r="W2694" s="9">
        <v>49.120207061213286</v>
      </c>
      <c r="X2694" s="9">
        <v>62.947967465281963</v>
      </c>
      <c r="Y2694" s="9">
        <v>62.947967465281963</v>
      </c>
      <c r="Z2694" s="9">
        <v>73.089269472589308</v>
      </c>
      <c r="AA2694" s="9">
        <v>73.089269472589308</v>
      </c>
      <c r="AB2694" s="9">
        <v>83.453036962432847</v>
      </c>
      <c r="AC2694" s="9">
        <v>83.453036962432847</v>
      </c>
      <c r="AD2694" s="9">
        <v>94.061516483066114</v>
      </c>
      <c r="AE2694" s="9">
        <v>104.93917923756814</v>
      </c>
      <c r="AF2694" s="9">
        <v>116.11294354932578</v>
      </c>
      <c r="AG2694" s="9">
        <v>116.11294354932578</v>
      </c>
      <c r="AH2694" s="9">
        <v>127.61241957406463</v>
      </c>
      <c r="AI2694" s="9">
        <v>140.35672613559947</v>
      </c>
      <c r="AJ2694" s="9">
        <v>3.0428788910505911</v>
      </c>
    </row>
    <row r="2695" spans="1:36" x14ac:dyDescent="0.25">
      <c r="A2695" t="s">
        <v>5411</v>
      </c>
      <c r="B2695" t="s">
        <v>16</v>
      </c>
      <c r="C2695" t="s">
        <v>17</v>
      </c>
      <c r="D2695">
        <v>57620000</v>
      </c>
      <c r="E2695">
        <v>57624999</v>
      </c>
      <c r="F2695" t="s">
        <v>2432</v>
      </c>
      <c r="G2695" t="str">
        <f t="shared" si="84"/>
        <v>ALR</v>
      </c>
      <c r="H2695" t="s">
        <v>2373</v>
      </c>
      <c r="I2695" t="s">
        <v>20</v>
      </c>
      <c r="J2695" t="s">
        <v>77</v>
      </c>
      <c r="K2695" s="6">
        <v>0.03</v>
      </c>
      <c r="L2695" s="7">
        <f t="shared" si="85"/>
        <v>2E-3</v>
      </c>
      <c r="M2695" s="7">
        <v>3.0000000000000001E-3</v>
      </c>
      <c r="N2695">
        <v>17</v>
      </c>
      <c r="O2695" s="8">
        <v>31.559907159117596</v>
      </c>
      <c r="P2695" s="9">
        <v>31.559907159117596</v>
      </c>
      <c r="Q2695" s="9">
        <v>31.559907159117596</v>
      </c>
      <c r="R2695" s="9">
        <v>34.782556244112428</v>
      </c>
      <c r="S2695" s="9">
        <v>38.331578707788331</v>
      </c>
      <c r="T2695" s="9">
        <v>40.776923733312373</v>
      </c>
      <c r="U2695" s="9">
        <v>49.120207061213286</v>
      </c>
      <c r="V2695" s="9">
        <v>49.120207061213286</v>
      </c>
      <c r="W2695" s="9">
        <v>49.120207061213286</v>
      </c>
      <c r="X2695" s="9">
        <v>62.947967465281963</v>
      </c>
      <c r="Y2695" s="9">
        <v>62.947967465281963</v>
      </c>
      <c r="Z2695" s="9">
        <v>73.089269472589308</v>
      </c>
      <c r="AA2695" s="9">
        <v>73.089269472589308</v>
      </c>
      <c r="AB2695" s="9">
        <v>83.453036962432847</v>
      </c>
      <c r="AC2695" s="9">
        <v>83.453036962432847</v>
      </c>
      <c r="AD2695" s="9">
        <v>94.061516483066114</v>
      </c>
      <c r="AE2695" s="9">
        <v>104.93917923756814</v>
      </c>
      <c r="AF2695" s="9">
        <v>116.11294354932578</v>
      </c>
      <c r="AG2695" s="9">
        <v>116.11294354932578</v>
      </c>
      <c r="AH2695" s="9">
        <v>127.61241957406463</v>
      </c>
      <c r="AI2695" s="9">
        <v>140.35672613559947</v>
      </c>
      <c r="AJ2695" s="9">
        <v>3.0428788910505911</v>
      </c>
    </row>
    <row r="2696" spans="1:36" x14ac:dyDescent="0.25">
      <c r="A2696" t="s">
        <v>5411</v>
      </c>
      <c r="B2696" t="s">
        <v>16</v>
      </c>
      <c r="C2696" t="s">
        <v>17</v>
      </c>
      <c r="D2696">
        <v>57625000</v>
      </c>
      <c r="E2696">
        <v>57629999</v>
      </c>
      <c r="F2696" t="s">
        <v>2433</v>
      </c>
      <c r="G2696" t="str">
        <f t="shared" si="84"/>
        <v>ALR</v>
      </c>
      <c r="H2696" t="s">
        <v>2373</v>
      </c>
      <c r="I2696" t="s">
        <v>20</v>
      </c>
      <c r="J2696" t="s">
        <v>77</v>
      </c>
      <c r="K2696" s="6">
        <v>0.03</v>
      </c>
      <c r="L2696" s="7">
        <f t="shared" si="85"/>
        <v>2E-3</v>
      </c>
      <c r="M2696" s="7">
        <v>3.0000000000000001E-3</v>
      </c>
      <c r="N2696">
        <v>17</v>
      </c>
      <c r="O2696" s="8">
        <v>31.559907159117596</v>
      </c>
      <c r="P2696" s="9">
        <v>31.559907159117596</v>
      </c>
      <c r="Q2696" s="9">
        <v>31.559907159117596</v>
      </c>
      <c r="R2696" s="9">
        <v>34.782556244112428</v>
      </c>
      <c r="S2696" s="9">
        <v>38.331578707788331</v>
      </c>
      <c r="T2696" s="9">
        <v>40.776923733312373</v>
      </c>
      <c r="U2696" s="9">
        <v>49.120207061213286</v>
      </c>
      <c r="V2696" s="9">
        <v>49.120207061213286</v>
      </c>
      <c r="W2696" s="9">
        <v>49.120207061213286</v>
      </c>
      <c r="X2696" s="9">
        <v>62.947967465281963</v>
      </c>
      <c r="Y2696" s="9">
        <v>62.947967465281963</v>
      </c>
      <c r="Z2696" s="9">
        <v>73.089269472589308</v>
      </c>
      <c r="AA2696" s="9">
        <v>73.089269472589308</v>
      </c>
      <c r="AB2696" s="9">
        <v>83.453036962432847</v>
      </c>
      <c r="AC2696" s="9">
        <v>83.453036962432847</v>
      </c>
      <c r="AD2696" s="9">
        <v>94.061516483066114</v>
      </c>
      <c r="AE2696" s="9">
        <v>104.93917923756814</v>
      </c>
      <c r="AF2696" s="9">
        <v>116.11294354932578</v>
      </c>
      <c r="AG2696" s="9">
        <v>116.11294354932578</v>
      </c>
      <c r="AH2696" s="9">
        <v>127.61241957406463</v>
      </c>
      <c r="AI2696" s="9">
        <v>140.35672613559947</v>
      </c>
      <c r="AJ2696" s="9">
        <v>3.0428788910505911</v>
      </c>
    </row>
    <row r="2697" spans="1:36" x14ac:dyDescent="0.25">
      <c r="A2697" t="s">
        <v>5411</v>
      </c>
      <c r="B2697" t="s">
        <v>16</v>
      </c>
      <c r="C2697" t="s">
        <v>17</v>
      </c>
      <c r="D2697">
        <v>57630000</v>
      </c>
      <c r="E2697">
        <v>57634999</v>
      </c>
      <c r="F2697" t="s">
        <v>2434</v>
      </c>
      <c r="G2697" t="str">
        <f t="shared" si="84"/>
        <v>ALR</v>
      </c>
      <c r="H2697" t="s">
        <v>2373</v>
      </c>
      <c r="I2697" t="s">
        <v>20</v>
      </c>
      <c r="J2697" t="s">
        <v>77</v>
      </c>
      <c r="K2697" s="6">
        <v>0.03</v>
      </c>
      <c r="L2697" s="7">
        <f t="shared" si="85"/>
        <v>2E-3</v>
      </c>
      <c r="M2697" s="7">
        <v>3.0000000000000001E-3</v>
      </c>
      <c r="N2697">
        <v>17</v>
      </c>
      <c r="O2697" s="8">
        <v>31.559907159117596</v>
      </c>
      <c r="P2697" s="9">
        <v>31.559907159117596</v>
      </c>
      <c r="Q2697" s="9">
        <v>31.559907159117596</v>
      </c>
      <c r="R2697" s="9">
        <v>34.782556244112428</v>
      </c>
      <c r="S2697" s="9">
        <v>38.331578707788331</v>
      </c>
      <c r="T2697" s="9">
        <v>40.776923733312373</v>
      </c>
      <c r="U2697" s="9">
        <v>49.120207061213286</v>
      </c>
      <c r="V2697" s="9">
        <v>49.120207061213286</v>
      </c>
      <c r="W2697" s="9">
        <v>49.120207061213286</v>
      </c>
      <c r="X2697" s="9">
        <v>62.947967465281963</v>
      </c>
      <c r="Y2697" s="9">
        <v>62.947967465281963</v>
      </c>
      <c r="Z2697" s="9">
        <v>73.089269472589308</v>
      </c>
      <c r="AA2697" s="9">
        <v>73.089269472589308</v>
      </c>
      <c r="AB2697" s="9">
        <v>83.453036962432847</v>
      </c>
      <c r="AC2697" s="9">
        <v>83.453036962432847</v>
      </c>
      <c r="AD2697" s="9">
        <v>94.061516483066114</v>
      </c>
      <c r="AE2697" s="9">
        <v>104.93917923756814</v>
      </c>
      <c r="AF2697" s="9">
        <v>116.11294354932578</v>
      </c>
      <c r="AG2697" s="9">
        <v>116.11294354932578</v>
      </c>
      <c r="AH2697" s="9">
        <v>127.61241957406463</v>
      </c>
      <c r="AI2697" s="9">
        <v>140.35672613559947</v>
      </c>
      <c r="AJ2697" s="9">
        <v>3.0428788910505911</v>
      </c>
    </row>
    <row r="2698" spans="1:36" x14ac:dyDescent="0.25">
      <c r="A2698" t="s">
        <v>5411</v>
      </c>
      <c r="B2698" t="s">
        <v>16</v>
      </c>
      <c r="C2698" t="s">
        <v>17</v>
      </c>
      <c r="D2698">
        <v>57635000</v>
      </c>
      <c r="E2698">
        <v>57639999</v>
      </c>
      <c r="F2698" t="s">
        <v>2435</v>
      </c>
      <c r="G2698" t="str">
        <f t="shared" si="84"/>
        <v>ALR</v>
      </c>
      <c r="H2698" t="s">
        <v>2373</v>
      </c>
      <c r="I2698" t="s">
        <v>20</v>
      </c>
      <c r="J2698" t="s">
        <v>77</v>
      </c>
      <c r="K2698" s="6">
        <v>0.03</v>
      </c>
      <c r="L2698" s="7">
        <f t="shared" si="85"/>
        <v>2E-3</v>
      </c>
      <c r="M2698" s="7">
        <v>3.0000000000000001E-3</v>
      </c>
      <c r="N2698">
        <v>17</v>
      </c>
      <c r="O2698" s="8">
        <v>31.559907159117596</v>
      </c>
      <c r="P2698" s="9">
        <v>31.559907159117596</v>
      </c>
      <c r="Q2698" s="9">
        <v>31.559907159117596</v>
      </c>
      <c r="R2698" s="9">
        <v>34.782556244112428</v>
      </c>
      <c r="S2698" s="9">
        <v>38.331578707788331</v>
      </c>
      <c r="T2698" s="9">
        <v>40.776923733312373</v>
      </c>
      <c r="U2698" s="9">
        <v>49.120207061213286</v>
      </c>
      <c r="V2698" s="9">
        <v>49.120207061213286</v>
      </c>
      <c r="W2698" s="9">
        <v>49.120207061213286</v>
      </c>
      <c r="X2698" s="9">
        <v>62.947967465281963</v>
      </c>
      <c r="Y2698" s="9">
        <v>62.947967465281963</v>
      </c>
      <c r="Z2698" s="9">
        <v>73.089269472589308</v>
      </c>
      <c r="AA2698" s="9">
        <v>73.089269472589308</v>
      </c>
      <c r="AB2698" s="9">
        <v>83.453036962432847</v>
      </c>
      <c r="AC2698" s="9">
        <v>83.453036962432847</v>
      </c>
      <c r="AD2698" s="9">
        <v>94.061516483066114</v>
      </c>
      <c r="AE2698" s="9">
        <v>104.93917923756814</v>
      </c>
      <c r="AF2698" s="9">
        <v>116.11294354932578</v>
      </c>
      <c r="AG2698" s="9">
        <v>116.11294354932578</v>
      </c>
      <c r="AH2698" s="9">
        <v>127.61241957406463</v>
      </c>
      <c r="AI2698" s="9">
        <v>140.35672613559947</v>
      </c>
      <c r="AJ2698" s="9">
        <v>3.0428788910505911</v>
      </c>
    </row>
    <row r="2699" spans="1:36" x14ac:dyDescent="0.25">
      <c r="A2699" t="s">
        <v>5411</v>
      </c>
      <c r="B2699" t="s">
        <v>16</v>
      </c>
      <c r="C2699" t="s">
        <v>17</v>
      </c>
      <c r="D2699">
        <v>57640000</v>
      </c>
      <c r="E2699">
        <v>57659999</v>
      </c>
      <c r="F2699" t="s">
        <v>2436</v>
      </c>
      <c r="G2699" t="str">
        <f t="shared" si="84"/>
        <v>ALR</v>
      </c>
      <c r="H2699" t="s">
        <v>2373</v>
      </c>
      <c r="I2699" t="s">
        <v>20</v>
      </c>
      <c r="J2699" t="s">
        <v>77</v>
      </c>
      <c r="K2699" s="6">
        <v>0.03</v>
      </c>
      <c r="L2699" s="7">
        <f t="shared" si="85"/>
        <v>2E-3</v>
      </c>
      <c r="M2699" s="7">
        <v>3.0000000000000001E-3</v>
      </c>
      <c r="N2699">
        <v>17</v>
      </c>
      <c r="O2699" s="8">
        <v>31.559907159117596</v>
      </c>
      <c r="P2699" s="9">
        <v>31.559907159117596</v>
      </c>
      <c r="Q2699" s="9">
        <v>31.559907159117596</v>
      </c>
      <c r="R2699" s="9">
        <v>34.782556244112428</v>
      </c>
      <c r="S2699" s="9">
        <v>38.331578707788331</v>
      </c>
      <c r="T2699" s="9">
        <v>40.776923733312373</v>
      </c>
      <c r="U2699" s="9">
        <v>49.120207061213286</v>
      </c>
      <c r="V2699" s="9">
        <v>49.120207061213286</v>
      </c>
      <c r="W2699" s="9">
        <v>49.120207061213286</v>
      </c>
      <c r="X2699" s="9">
        <v>62.947967465281963</v>
      </c>
      <c r="Y2699" s="9">
        <v>62.947967465281963</v>
      </c>
      <c r="Z2699" s="9">
        <v>73.089269472589308</v>
      </c>
      <c r="AA2699" s="9">
        <v>73.089269472589308</v>
      </c>
      <c r="AB2699" s="9">
        <v>83.453036962432847</v>
      </c>
      <c r="AC2699" s="9">
        <v>83.453036962432847</v>
      </c>
      <c r="AD2699" s="9">
        <v>94.061516483066114</v>
      </c>
      <c r="AE2699" s="9">
        <v>104.93917923756814</v>
      </c>
      <c r="AF2699" s="9">
        <v>116.11294354932578</v>
      </c>
      <c r="AG2699" s="9">
        <v>116.11294354932578</v>
      </c>
      <c r="AH2699" s="9">
        <v>127.61241957406463</v>
      </c>
      <c r="AI2699" s="9">
        <v>140.35672613559947</v>
      </c>
      <c r="AJ2699" s="9">
        <v>3.0428788910505911</v>
      </c>
    </row>
    <row r="2700" spans="1:36" x14ac:dyDescent="0.25">
      <c r="A2700" t="s">
        <v>5411</v>
      </c>
      <c r="B2700" t="s">
        <v>16</v>
      </c>
      <c r="C2700" t="s">
        <v>17</v>
      </c>
      <c r="D2700">
        <v>57660000</v>
      </c>
      <c r="E2700">
        <v>57669999</v>
      </c>
      <c r="F2700" t="s">
        <v>2437</v>
      </c>
      <c r="G2700" t="str">
        <f t="shared" si="84"/>
        <v>ALR</v>
      </c>
      <c r="H2700" t="s">
        <v>2373</v>
      </c>
      <c r="I2700" t="s">
        <v>20</v>
      </c>
      <c r="J2700" t="s">
        <v>77</v>
      </c>
      <c r="K2700" s="6">
        <v>0.03</v>
      </c>
      <c r="L2700" s="7">
        <f t="shared" si="85"/>
        <v>2E-3</v>
      </c>
      <c r="M2700" s="7">
        <v>3.0000000000000001E-3</v>
      </c>
      <c r="N2700">
        <v>17</v>
      </c>
      <c r="O2700" s="8">
        <v>31.559907159117596</v>
      </c>
      <c r="P2700" s="9">
        <v>31.559907159117596</v>
      </c>
      <c r="Q2700" s="9">
        <v>31.559907159117596</v>
      </c>
      <c r="R2700" s="9">
        <v>34.782556244112428</v>
      </c>
      <c r="S2700" s="9">
        <v>38.331578707788331</v>
      </c>
      <c r="T2700" s="9">
        <v>40.776923733312373</v>
      </c>
      <c r="U2700" s="9">
        <v>49.120207061213286</v>
      </c>
      <c r="V2700" s="9">
        <v>49.120207061213286</v>
      </c>
      <c r="W2700" s="9">
        <v>49.120207061213286</v>
      </c>
      <c r="X2700" s="9">
        <v>62.947967465281963</v>
      </c>
      <c r="Y2700" s="9">
        <v>62.947967465281963</v>
      </c>
      <c r="Z2700" s="9">
        <v>73.089269472589308</v>
      </c>
      <c r="AA2700" s="9">
        <v>73.089269472589308</v>
      </c>
      <c r="AB2700" s="9">
        <v>83.453036962432847</v>
      </c>
      <c r="AC2700" s="9">
        <v>83.453036962432847</v>
      </c>
      <c r="AD2700" s="9">
        <v>94.061516483066114</v>
      </c>
      <c r="AE2700" s="9">
        <v>104.93917923756814</v>
      </c>
      <c r="AF2700" s="9">
        <v>116.11294354932578</v>
      </c>
      <c r="AG2700" s="9">
        <v>116.11294354932578</v>
      </c>
      <c r="AH2700" s="9">
        <v>127.61241957406463</v>
      </c>
      <c r="AI2700" s="9">
        <v>140.35672613559947</v>
      </c>
      <c r="AJ2700" s="9">
        <v>3.0428788910505911</v>
      </c>
    </row>
    <row r="2701" spans="1:36" x14ac:dyDescent="0.25">
      <c r="A2701" t="s">
        <v>5411</v>
      </c>
      <c r="B2701" t="s">
        <v>16</v>
      </c>
      <c r="C2701" t="s">
        <v>17</v>
      </c>
      <c r="D2701">
        <v>57670000</v>
      </c>
      <c r="E2701">
        <v>57679999</v>
      </c>
      <c r="F2701" t="s">
        <v>2438</v>
      </c>
      <c r="G2701" t="str">
        <f t="shared" si="84"/>
        <v>ALR</v>
      </c>
      <c r="H2701" t="s">
        <v>2373</v>
      </c>
      <c r="I2701" t="s">
        <v>20</v>
      </c>
      <c r="J2701" t="s">
        <v>77</v>
      </c>
      <c r="K2701" s="6">
        <v>0.03</v>
      </c>
      <c r="L2701" s="7">
        <f t="shared" si="85"/>
        <v>2E-3</v>
      </c>
      <c r="M2701" s="7">
        <v>3.0000000000000001E-3</v>
      </c>
      <c r="N2701">
        <v>17</v>
      </c>
      <c r="O2701" s="8">
        <v>31.559907159117596</v>
      </c>
      <c r="P2701" s="9">
        <v>31.559907159117596</v>
      </c>
      <c r="Q2701" s="9">
        <v>31.559907159117596</v>
      </c>
      <c r="R2701" s="9">
        <v>34.782556244112428</v>
      </c>
      <c r="S2701" s="9">
        <v>38.331578707788331</v>
      </c>
      <c r="T2701" s="9">
        <v>40.776923733312373</v>
      </c>
      <c r="U2701" s="9">
        <v>49.120207061213286</v>
      </c>
      <c r="V2701" s="9">
        <v>49.120207061213286</v>
      </c>
      <c r="W2701" s="9">
        <v>49.120207061213286</v>
      </c>
      <c r="X2701" s="9">
        <v>62.947967465281963</v>
      </c>
      <c r="Y2701" s="9">
        <v>62.947967465281963</v>
      </c>
      <c r="Z2701" s="9">
        <v>73.089269472589308</v>
      </c>
      <c r="AA2701" s="9">
        <v>73.089269472589308</v>
      </c>
      <c r="AB2701" s="9">
        <v>83.453036962432847</v>
      </c>
      <c r="AC2701" s="9">
        <v>83.453036962432847</v>
      </c>
      <c r="AD2701" s="9">
        <v>94.061516483066114</v>
      </c>
      <c r="AE2701" s="9">
        <v>104.93917923756814</v>
      </c>
      <c r="AF2701" s="9">
        <v>116.11294354932578</v>
      </c>
      <c r="AG2701" s="9">
        <v>116.11294354932578</v>
      </c>
      <c r="AH2701" s="9">
        <v>127.61241957406463</v>
      </c>
      <c r="AI2701" s="9">
        <v>140.35672613559947</v>
      </c>
      <c r="AJ2701" s="9">
        <v>3.0428788910505911</v>
      </c>
    </row>
    <row r="2702" spans="1:36" x14ac:dyDescent="0.25">
      <c r="A2702" t="s">
        <v>5411</v>
      </c>
      <c r="B2702" t="s">
        <v>16</v>
      </c>
      <c r="C2702" t="s">
        <v>17</v>
      </c>
      <c r="D2702">
        <v>57680000</v>
      </c>
      <c r="E2702">
        <v>57689999</v>
      </c>
      <c r="F2702" t="s">
        <v>2439</v>
      </c>
      <c r="G2702" t="str">
        <f t="shared" si="84"/>
        <v>ALR</v>
      </c>
      <c r="H2702" t="s">
        <v>2373</v>
      </c>
      <c r="I2702" t="s">
        <v>20</v>
      </c>
      <c r="J2702" t="s">
        <v>77</v>
      </c>
      <c r="K2702" s="6">
        <v>0.03</v>
      </c>
      <c r="L2702" s="7">
        <f t="shared" si="85"/>
        <v>2E-3</v>
      </c>
      <c r="M2702" s="7">
        <v>3.0000000000000001E-3</v>
      </c>
      <c r="N2702">
        <v>17</v>
      </c>
      <c r="O2702" s="8">
        <v>31.559907159117596</v>
      </c>
      <c r="P2702" s="9">
        <v>31.559907159117596</v>
      </c>
      <c r="Q2702" s="9">
        <v>31.559907159117596</v>
      </c>
      <c r="R2702" s="9">
        <v>34.782556244112428</v>
      </c>
      <c r="S2702" s="9">
        <v>38.331578707788331</v>
      </c>
      <c r="T2702" s="9">
        <v>40.776923733312373</v>
      </c>
      <c r="U2702" s="9">
        <v>49.120207061213286</v>
      </c>
      <c r="V2702" s="9">
        <v>49.120207061213286</v>
      </c>
      <c r="W2702" s="9">
        <v>49.120207061213286</v>
      </c>
      <c r="X2702" s="9">
        <v>62.947967465281963</v>
      </c>
      <c r="Y2702" s="9">
        <v>62.947967465281963</v>
      </c>
      <c r="Z2702" s="9">
        <v>73.089269472589308</v>
      </c>
      <c r="AA2702" s="9">
        <v>73.089269472589308</v>
      </c>
      <c r="AB2702" s="9">
        <v>83.453036962432847</v>
      </c>
      <c r="AC2702" s="9">
        <v>83.453036962432847</v>
      </c>
      <c r="AD2702" s="9">
        <v>94.061516483066114</v>
      </c>
      <c r="AE2702" s="9">
        <v>104.93917923756814</v>
      </c>
      <c r="AF2702" s="9">
        <v>116.11294354932578</v>
      </c>
      <c r="AG2702" s="9">
        <v>116.11294354932578</v>
      </c>
      <c r="AH2702" s="9">
        <v>127.61241957406463</v>
      </c>
      <c r="AI2702" s="9">
        <v>140.35672613559947</v>
      </c>
      <c r="AJ2702" s="9">
        <v>3.0428788910505911</v>
      </c>
    </row>
    <row r="2703" spans="1:36" x14ac:dyDescent="0.25">
      <c r="A2703" t="s">
        <v>5411</v>
      </c>
      <c r="B2703" t="s">
        <v>16</v>
      </c>
      <c r="C2703" t="s">
        <v>17</v>
      </c>
      <c r="D2703">
        <v>57690000</v>
      </c>
      <c r="E2703">
        <v>57699999</v>
      </c>
      <c r="F2703" t="s">
        <v>2440</v>
      </c>
      <c r="G2703" t="str">
        <f t="shared" si="84"/>
        <v>ALI</v>
      </c>
      <c r="H2703" t="s">
        <v>2373</v>
      </c>
      <c r="I2703" t="s">
        <v>20</v>
      </c>
      <c r="J2703" t="s">
        <v>62</v>
      </c>
      <c r="K2703" s="6">
        <v>0.03</v>
      </c>
      <c r="L2703" s="7">
        <f t="shared" si="85"/>
        <v>2E-3</v>
      </c>
      <c r="M2703" s="7">
        <v>3.0000000000000001E-3</v>
      </c>
      <c r="N2703">
        <v>9</v>
      </c>
      <c r="O2703" s="8">
        <v>20.285501069318975</v>
      </c>
      <c r="P2703" s="9">
        <v>20.285501069318975</v>
      </c>
      <c r="Q2703" s="9">
        <v>20.285501069318975</v>
      </c>
      <c r="R2703" s="9">
        <v>21.871661313902724</v>
      </c>
      <c r="S2703" s="9">
        <v>24.190921361155159</v>
      </c>
      <c r="T2703" s="9">
        <v>26.625441692091403</v>
      </c>
      <c r="U2703" s="9">
        <v>32.728097461461971</v>
      </c>
      <c r="V2703" s="9">
        <v>32.728097461461971</v>
      </c>
      <c r="W2703" s="9">
        <v>32.728097461461971</v>
      </c>
      <c r="X2703" s="9">
        <v>39.592402220979928</v>
      </c>
      <c r="Y2703" s="9">
        <v>39.592402220979928</v>
      </c>
      <c r="Z2703" s="9">
        <v>46.667225126282183</v>
      </c>
      <c r="AA2703" s="9">
        <v>46.667225126282183</v>
      </c>
      <c r="AB2703" s="9">
        <v>54.01853727705808</v>
      </c>
      <c r="AC2703" s="9">
        <v>54.01853727705808</v>
      </c>
      <c r="AD2703" s="9">
        <v>61.534700913404833</v>
      </c>
      <c r="AE2703" s="9">
        <v>69.23692076986022</v>
      </c>
      <c r="AF2703" s="9">
        <v>77.149201146871576</v>
      </c>
      <c r="AG2703" s="9">
        <v>77.149201146871576</v>
      </c>
      <c r="AH2703" s="9">
        <v>84.746750047431433</v>
      </c>
      <c r="AI2703" s="9">
        <v>92.897557115592605</v>
      </c>
      <c r="AJ2703" s="9">
        <v>3.0428788910505911</v>
      </c>
    </row>
    <row r="2704" spans="1:36" x14ac:dyDescent="0.25">
      <c r="A2704" t="s">
        <v>5411</v>
      </c>
      <c r="B2704" t="s">
        <v>16</v>
      </c>
      <c r="C2704" t="s">
        <v>17</v>
      </c>
      <c r="D2704">
        <v>57700000</v>
      </c>
      <c r="E2704">
        <v>57719999</v>
      </c>
      <c r="F2704" t="s">
        <v>1160</v>
      </c>
      <c r="G2704" t="str">
        <f t="shared" si="84"/>
        <v>ALR</v>
      </c>
      <c r="H2704" t="s">
        <v>2373</v>
      </c>
      <c r="I2704" t="s">
        <v>20</v>
      </c>
      <c r="J2704" t="s">
        <v>77</v>
      </c>
      <c r="K2704" s="6">
        <v>0.03</v>
      </c>
      <c r="L2704" s="7">
        <f t="shared" si="85"/>
        <v>2E-3</v>
      </c>
      <c r="M2704" s="7">
        <v>3.0000000000000001E-3</v>
      </c>
      <c r="N2704">
        <v>17</v>
      </c>
      <c r="O2704" s="8">
        <v>31.559907159117596</v>
      </c>
      <c r="P2704" s="9">
        <v>31.559907159117596</v>
      </c>
      <c r="Q2704" s="9">
        <v>31.559907159117596</v>
      </c>
      <c r="R2704" s="9">
        <v>34.782556244112428</v>
      </c>
      <c r="S2704" s="9">
        <v>38.331578707788331</v>
      </c>
      <c r="T2704" s="9">
        <v>40.776923733312373</v>
      </c>
      <c r="U2704" s="9">
        <v>49.120207061213286</v>
      </c>
      <c r="V2704" s="9">
        <v>49.120207061213286</v>
      </c>
      <c r="W2704" s="9">
        <v>49.120207061213286</v>
      </c>
      <c r="X2704" s="9">
        <v>62.947967465281963</v>
      </c>
      <c r="Y2704" s="9">
        <v>62.947967465281963</v>
      </c>
      <c r="Z2704" s="9">
        <v>73.089269472589308</v>
      </c>
      <c r="AA2704" s="9">
        <v>73.089269472589308</v>
      </c>
      <c r="AB2704" s="9">
        <v>83.453036962432847</v>
      </c>
      <c r="AC2704" s="9">
        <v>83.453036962432847</v>
      </c>
      <c r="AD2704" s="9">
        <v>94.061516483066114</v>
      </c>
      <c r="AE2704" s="9">
        <v>104.93917923756814</v>
      </c>
      <c r="AF2704" s="9">
        <v>116.11294354932578</v>
      </c>
      <c r="AG2704" s="9">
        <v>116.11294354932578</v>
      </c>
      <c r="AH2704" s="9">
        <v>127.61241957406463</v>
      </c>
      <c r="AI2704" s="9">
        <v>140.35672613559947</v>
      </c>
      <c r="AJ2704" s="9">
        <v>3.0428788910505911</v>
      </c>
    </row>
    <row r="2705" spans="1:36" x14ac:dyDescent="0.25">
      <c r="A2705" t="s">
        <v>5411</v>
      </c>
      <c r="B2705" t="s">
        <v>16</v>
      </c>
      <c r="C2705" t="s">
        <v>17</v>
      </c>
      <c r="D2705">
        <v>57720000</v>
      </c>
      <c r="E2705">
        <v>57729999</v>
      </c>
      <c r="F2705" t="s">
        <v>2441</v>
      </c>
      <c r="G2705" t="str">
        <f t="shared" si="84"/>
        <v>ALR</v>
      </c>
      <c r="H2705" t="s">
        <v>2373</v>
      </c>
      <c r="I2705" t="s">
        <v>20</v>
      </c>
      <c r="J2705" t="s">
        <v>77</v>
      </c>
      <c r="K2705" s="6">
        <v>0.03</v>
      </c>
      <c r="L2705" s="7">
        <f t="shared" si="85"/>
        <v>2E-3</v>
      </c>
      <c r="M2705" s="7">
        <v>3.0000000000000001E-3</v>
      </c>
      <c r="N2705">
        <v>17</v>
      </c>
      <c r="O2705" s="8">
        <v>31.559907159117596</v>
      </c>
      <c r="P2705" s="9">
        <v>31.559907159117596</v>
      </c>
      <c r="Q2705" s="9">
        <v>31.559907159117596</v>
      </c>
      <c r="R2705" s="9">
        <v>34.782556244112428</v>
      </c>
      <c r="S2705" s="9">
        <v>38.331578707788331</v>
      </c>
      <c r="T2705" s="9">
        <v>40.776923733312373</v>
      </c>
      <c r="U2705" s="9">
        <v>49.120207061213286</v>
      </c>
      <c r="V2705" s="9">
        <v>49.120207061213286</v>
      </c>
      <c r="W2705" s="9">
        <v>49.120207061213286</v>
      </c>
      <c r="X2705" s="9">
        <v>62.947967465281963</v>
      </c>
      <c r="Y2705" s="9">
        <v>62.947967465281963</v>
      </c>
      <c r="Z2705" s="9">
        <v>73.089269472589308</v>
      </c>
      <c r="AA2705" s="9">
        <v>73.089269472589308</v>
      </c>
      <c r="AB2705" s="9">
        <v>83.453036962432847</v>
      </c>
      <c r="AC2705" s="9">
        <v>83.453036962432847</v>
      </c>
      <c r="AD2705" s="9">
        <v>94.061516483066114</v>
      </c>
      <c r="AE2705" s="9">
        <v>104.93917923756814</v>
      </c>
      <c r="AF2705" s="9">
        <v>116.11294354932578</v>
      </c>
      <c r="AG2705" s="9">
        <v>116.11294354932578</v>
      </c>
      <c r="AH2705" s="9">
        <v>127.61241957406463</v>
      </c>
      <c r="AI2705" s="9">
        <v>140.35672613559947</v>
      </c>
      <c r="AJ2705" s="9">
        <v>3.0428788910505911</v>
      </c>
    </row>
    <row r="2706" spans="1:36" x14ac:dyDescent="0.25">
      <c r="A2706" t="s">
        <v>5411</v>
      </c>
      <c r="B2706" t="s">
        <v>16</v>
      </c>
      <c r="C2706" t="s">
        <v>17</v>
      </c>
      <c r="D2706">
        <v>57730000</v>
      </c>
      <c r="E2706">
        <v>57739999</v>
      </c>
      <c r="F2706" t="s">
        <v>2442</v>
      </c>
      <c r="G2706" t="str">
        <f t="shared" si="84"/>
        <v>ALR</v>
      </c>
      <c r="H2706" t="s">
        <v>2373</v>
      </c>
      <c r="I2706" t="s">
        <v>20</v>
      </c>
      <c r="J2706" t="s">
        <v>77</v>
      </c>
      <c r="K2706" s="6">
        <v>0.03</v>
      </c>
      <c r="L2706" s="7">
        <f t="shared" si="85"/>
        <v>2E-3</v>
      </c>
      <c r="M2706" s="7">
        <v>3.0000000000000001E-3</v>
      </c>
      <c r="N2706">
        <v>17</v>
      </c>
      <c r="O2706" s="8">
        <v>31.559907159117596</v>
      </c>
      <c r="P2706" s="9">
        <v>31.559907159117596</v>
      </c>
      <c r="Q2706" s="9">
        <v>31.559907159117596</v>
      </c>
      <c r="R2706" s="9">
        <v>34.782556244112428</v>
      </c>
      <c r="S2706" s="9">
        <v>38.331578707788331</v>
      </c>
      <c r="T2706" s="9">
        <v>40.776923733312373</v>
      </c>
      <c r="U2706" s="9">
        <v>49.120207061213286</v>
      </c>
      <c r="V2706" s="9">
        <v>49.120207061213286</v>
      </c>
      <c r="W2706" s="9">
        <v>49.120207061213286</v>
      </c>
      <c r="X2706" s="9">
        <v>62.947967465281963</v>
      </c>
      <c r="Y2706" s="9">
        <v>62.947967465281963</v>
      </c>
      <c r="Z2706" s="9">
        <v>73.089269472589308</v>
      </c>
      <c r="AA2706" s="9">
        <v>73.089269472589308</v>
      </c>
      <c r="AB2706" s="9">
        <v>83.453036962432847</v>
      </c>
      <c r="AC2706" s="9">
        <v>83.453036962432847</v>
      </c>
      <c r="AD2706" s="9">
        <v>94.061516483066114</v>
      </c>
      <c r="AE2706" s="9">
        <v>104.93917923756814</v>
      </c>
      <c r="AF2706" s="9">
        <v>116.11294354932578</v>
      </c>
      <c r="AG2706" s="9">
        <v>116.11294354932578</v>
      </c>
      <c r="AH2706" s="9">
        <v>127.61241957406463</v>
      </c>
      <c r="AI2706" s="9">
        <v>140.35672613559947</v>
      </c>
      <c r="AJ2706" s="9">
        <v>3.0428788910505911</v>
      </c>
    </row>
    <row r="2707" spans="1:36" x14ac:dyDescent="0.25">
      <c r="A2707" t="s">
        <v>5411</v>
      </c>
      <c r="B2707" t="s">
        <v>16</v>
      </c>
      <c r="C2707" t="s">
        <v>17</v>
      </c>
      <c r="D2707">
        <v>57740000</v>
      </c>
      <c r="E2707">
        <v>57749999</v>
      </c>
      <c r="F2707" t="s">
        <v>2443</v>
      </c>
      <c r="G2707" t="str">
        <f t="shared" si="84"/>
        <v>ALR</v>
      </c>
      <c r="H2707" t="s">
        <v>2373</v>
      </c>
      <c r="I2707" t="s">
        <v>20</v>
      </c>
      <c r="J2707" t="s">
        <v>77</v>
      </c>
      <c r="K2707" s="6">
        <v>0.03</v>
      </c>
      <c r="L2707" s="7">
        <f t="shared" si="85"/>
        <v>2E-3</v>
      </c>
      <c r="M2707" s="7">
        <v>3.0000000000000001E-3</v>
      </c>
      <c r="N2707">
        <v>17</v>
      </c>
      <c r="O2707" s="8">
        <v>31.559907159117596</v>
      </c>
      <c r="P2707" s="9">
        <v>31.559907159117596</v>
      </c>
      <c r="Q2707" s="9">
        <v>31.559907159117596</v>
      </c>
      <c r="R2707" s="9">
        <v>34.782556244112428</v>
      </c>
      <c r="S2707" s="9">
        <v>38.331578707788331</v>
      </c>
      <c r="T2707" s="9">
        <v>40.776923733312373</v>
      </c>
      <c r="U2707" s="9">
        <v>49.120207061213286</v>
      </c>
      <c r="V2707" s="9">
        <v>49.120207061213286</v>
      </c>
      <c r="W2707" s="9">
        <v>49.120207061213286</v>
      </c>
      <c r="X2707" s="9">
        <v>62.947967465281963</v>
      </c>
      <c r="Y2707" s="9">
        <v>62.947967465281963</v>
      </c>
      <c r="Z2707" s="9">
        <v>73.089269472589308</v>
      </c>
      <c r="AA2707" s="9">
        <v>73.089269472589308</v>
      </c>
      <c r="AB2707" s="9">
        <v>83.453036962432847</v>
      </c>
      <c r="AC2707" s="9">
        <v>83.453036962432847</v>
      </c>
      <c r="AD2707" s="9">
        <v>94.061516483066114</v>
      </c>
      <c r="AE2707" s="9">
        <v>104.93917923756814</v>
      </c>
      <c r="AF2707" s="9">
        <v>116.11294354932578</v>
      </c>
      <c r="AG2707" s="9">
        <v>116.11294354932578</v>
      </c>
      <c r="AH2707" s="9">
        <v>127.61241957406463</v>
      </c>
      <c r="AI2707" s="9">
        <v>140.35672613559947</v>
      </c>
      <c r="AJ2707" s="9">
        <v>3.0428788910505911</v>
      </c>
    </row>
    <row r="2708" spans="1:36" x14ac:dyDescent="0.25">
      <c r="A2708" t="s">
        <v>5411</v>
      </c>
      <c r="B2708" t="s">
        <v>16</v>
      </c>
      <c r="C2708" t="s">
        <v>17</v>
      </c>
      <c r="D2708">
        <v>57750000</v>
      </c>
      <c r="E2708">
        <v>57759999</v>
      </c>
      <c r="F2708" t="s">
        <v>2444</v>
      </c>
      <c r="G2708" t="str">
        <f t="shared" si="84"/>
        <v>ALR</v>
      </c>
      <c r="H2708" t="s">
        <v>2373</v>
      </c>
      <c r="I2708" t="s">
        <v>20</v>
      </c>
      <c r="J2708" t="s">
        <v>77</v>
      </c>
      <c r="K2708" s="6">
        <v>0.03</v>
      </c>
      <c r="L2708" s="7">
        <f t="shared" si="85"/>
        <v>2E-3</v>
      </c>
      <c r="M2708" s="7">
        <v>3.0000000000000001E-3</v>
      </c>
      <c r="N2708">
        <v>17</v>
      </c>
      <c r="O2708" s="8">
        <v>31.559907159117596</v>
      </c>
      <c r="P2708" s="9">
        <v>31.559907159117596</v>
      </c>
      <c r="Q2708" s="9">
        <v>31.559907159117596</v>
      </c>
      <c r="R2708" s="9">
        <v>34.782556244112428</v>
      </c>
      <c r="S2708" s="9">
        <v>38.331578707788331</v>
      </c>
      <c r="T2708" s="9">
        <v>40.776923733312373</v>
      </c>
      <c r="U2708" s="9">
        <v>49.120207061213286</v>
      </c>
      <c r="V2708" s="9">
        <v>49.120207061213286</v>
      </c>
      <c r="W2708" s="9">
        <v>49.120207061213286</v>
      </c>
      <c r="X2708" s="9">
        <v>62.947967465281963</v>
      </c>
      <c r="Y2708" s="9">
        <v>62.947967465281963</v>
      </c>
      <c r="Z2708" s="9">
        <v>73.089269472589308</v>
      </c>
      <c r="AA2708" s="9">
        <v>73.089269472589308</v>
      </c>
      <c r="AB2708" s="9">
        <v>83.453036962432847</v>
      </c>
      <c r="AC2708" s="9">
        <v>83.453036962432847</v>
      </c>
      <c r="AD2708" s="9">
        <v>94.061516483066114</v>
      </c>
      <c r="AE2708" s="9">
        <v>104.93917923756814</v>
      </c>
      <c r="AF2708" s="9">
        <v>116.11294354932578</v>
      </c>
      <c r="AG2708" s="9">
        <v>116.11294354932578</v>
      </c>
      <c r="AH2708" s="9">
        <v>127.61241957406463</v>
      </c>
      <c r="AI2708" s="9">
        <v>140.35672613559947</v>
      </c>
      <c r="AJ2708" s="9">
        <v>3.0428788910505911</v>
      </c>
    </row>
    <row r="2709" spans="1:36" x14ac:dyDescent="0.25">
      <c r="A2709" t="s">
        <v>5411</v>
      </c>
      <c r="B2709" t="s">
        <v>16</v>
      </c>
      <c r="C2709" t="s">
        <v>17</v>
      </c>
      <c r="D2709">
        <v>57760000</v>
      </c>
      <c r="E2709">
        <v>57769999</v>
      </c>
      <c r="F2709" t="s">
        <v>2445</v>
      </c>
      <c r="G2709" t="str">
        <f t="shared" si="84"/>
        <v>ALR</v>
      </c>
      <c r="H2709" t="s">
        <v>2373</v>
      </c>
      <c r="I2709" t="s">
        <v>20</v>
      </c>
      <c r="J2709" t="s">
        <v>77</v>
      </c>
      <c r="K2709" s="6">
        <v>0.03</v>
      </c>
      <c r="L2709" s="7">
        <f t="shared" si="85"/>
        <v>2E-3</v>
      </c>
      <c r="M2709" s="7">
        <v>3.0000000000000001E-3</v>
      </c>
      <c r="N2709">
        <v>17</v>
      </c>
      <c r="O2709" s="8">
        <v>31.559907159117596</v>
      </c>
      <c r="P2709" s="9">
        <v>31.559907159117596</v>
      </c>
      <c r="Q2709" s="9">
        <v>31.559907159117596</v>
      </c>
      <c r="R2709" s="9">
        <v>34.782556244112428</v>
      </c>
      <c r="S2709" s="9">
        <v>38.331578707788331</v>
      </c>
      <c r="T2709" s="9">
        <v>40.776923733312373</v>
      </c>
      <c r="U2709" s="9">
        <v>49.120207061213286</v>
      </c>
      <c r="V2709" s="9">
        <v>49.120207061213286</v>
      </c>
      <c r="W2709" s="9">
        <v>49.120207061213286</v>
      </c>
      <c r="X2709" s="9">
        <v>62.947967465281963</v>
      </c>
      <c r="Y2709" s="9">
        <v>62.947967465281963</v>
      </c>
      <c r="Z2709" s="9">
        <v>73.089269472589308</v>
      </c>
      <c r="AA2709" s="9">
        <v>73.089269472589308</v>
      </c>
      <c r="AB2709" s="9">
        <v>83.453036962432847</v>
      </c>
      <c r="AC2709" s="9">
        <v>83.453036962432847</v>
      </c>
      <c r="AD2709" s="9">
        <v>94.061516483066114</v>
      </c>
      <c r="AE2709" s="9">
        <v>104.93917923756814</v>
      </c>
      <c r="AF2709" s="9">
        <v>116.11294354932578</v>
      </c>
      <c r="AG2709" s="9">
        <v>116.11294354932578</v>
      </c>
      <c r="AH2709" s="9">
        <v>127.61241957406463</v>
      </c>
      <c r="AI2709" s="9">
        <v>140.35672613559947</v>
      </c>
      <c r="AJ2709" s="9">
        <v>3.0428788910505911</v>
      </c>
    </row>
    <row r="2710" spans="1:36" x14ac:dyDescent="0.25">
      <c r="A2710" t="s">
        <v>5411</v>
      </c>
      <c r="B2710" t="s">
        <v>16</v>
      </c>
      <c r="C2710" t="s">
        <v>17</v>
      </c>
      <c r="D2710">
        <v>57770000</v>
      </c>
      <c r="E2710">
        <v>57779999</v>
      </c>
      <c r="F2710" t="s">
        <v>2446</v>
      </c>
      <c r="G2710" t="str">
        <f t="shared" si="84"/>
        <v>ALR</v>
      </c>
      <c r="H2710" t="s">
        <v>2373</v>
      </c>
      <c r="I2710" t="s">
        <v>20</v>
      </c>
      <c r="J2710" t="s">
        <v>77</v>
      </c>
      <c r="K2710" s="6">
        <v>0.03</v>
      </c>
      <c r="L2710" s="7">
        <f t="shared" si="85"/>
        <v>2E-3</v>
      </c>
      <c r="M2710" s="7">
        <v>3.0000000000000001E-3</v>
      </c>
      <c r="N2710">
        <v>17</v>
      </c>
      <c r="O2710" s="8">
        <v>31.559907159117596</v>
      </c>
      <c r="P2710" s="9">
        <v>31.559907159117596</v>
      </c>
      <c r="Q2710" s="9">
        <v>31.559907159117596</v>
      </c>
      <c r="R2710" s="9">
        <v>34.782556244112428</v>
      </c>
      <c r="S2710" s="9">
        <v>38.331578707788331</v>
      </c>
      <c r="T2710" s="9">
        <v>40.776923733312373</v>
      </c>
      <c r="U2710" s="9">
        <v>49.120207061213286</v>
      </c>
      <c r="V2710" s="9">
        <v>49.120207061213286</v>
      </c>
      <c r="W2710" s="9">
        <v>49.120207061213286</v>
      </c>
      <c r="X2710" s="9">
        <v>62.947967465281963</v>
      </c>
      <c r="Y2710" s="9">
        <v>62.947967465281963</v>
      </c>
      <c r="Z2710" s="9">
        <v>73.089269472589308</v>
      </c>
      <c r="AA2710" s="9">
        <v>73.089269472589308</v>
      </c>
      <c r="AB2710" s="9">
        <v>83.453036962432847</v>
      </c>
      <c r="AC2710" s="9">
        <v>83.453036962432847</v>
      </c>
      <c r="AD2710" s="9">
        <v>94.061516483066114</v>
      </c>
      <c r="AE2710" s="9">
        <v>104.93917923756814</v>
      </c>
      <c r="AF2710" s="9">
        <v>116.11294354932578</v>
      </c>
      <c r="AG2710" s="9">
        <v>116.11294354932578</v>
      </c>
      <c r="AH2710" s="9">
        <v>127.61241957406463</v>
      </c>
      <c r="AI2710" s="9">
        <v>140.35672613559947</v>
      </c>
      <c r="AJ2710" s="9">
        <v>3.0428788910505911</v>
      </c>
    </row>
    <row r="2711" spans="1:36" x14ac:dyDescent="0.25">
      <c r="A2711" t="s">
        <v>5411</v>
      </c>
      <c r="B2711" t="s">
        <v>16</v>
      </c>
      <c r="C2711" t="s">
        <v>17</v>
      </c>
      <c r="D2711">
        <v>57780000</v>
      </c>
      <c r="E2711">
        <v>57799999</v>
      </c>
      <c r="F2711" t="s">
        <v>2166</v>
      </c>
      <c r="G2711" t="str">
        <f t="shared" si="84"/>
        <v>ALR</v>
      </c>
      <c r="H2711" t="s">
        <v>2373</v>
      </c>
      <c r="I2711" t="s">
        <v>20</v>
      </c>
      <c r="J2711" t="s">
        <v>77</v>
      </c>
      <c r="K2711" s="6">
        <v>0.03</v>
      </c>
      <c r="L2711" s="7">
        <f t="shared" si="85"/>
        <v>2E-3</v>
      </c>
      <c r="M2711" s="7">
        <v>3.0000000000000001E-3</v>
      </c>
      <c r="N2711">
        <v>17</v>
      </c>
      <c r="O2711" s="8">
        <v>31.559907159117596</v>
      </c>
      <c r="P2711" s="9">
        <v>31.559907159117596</v>
      </c>
      <c r="Q2711" s="9">
        <v>31.559907159117596</v>
      </c>
      <c r="R2711" s="9">
        <v>34.782556244112428</v>
      </c>
      <c r="S2711" s="9">
        <v>38.331578707788331</v>
      </c>
      <c r="T2711" s="9">
        <v>40.776923733312373</v>
      </c>
      <c r="U2711" s="9">
        <v>49.120207061213286</v>
      </c>
      <c r="V2711" s="9">
        <v>49.120207061213286</v>
      </c>
      <c r="W2711" s="9">
        <v>49.120207061213286</v>
      </c>
      <c r="X2711" s="9">
        <v>62.947967465281963</v>
      </c>
      <c r="Y2711" s="9">
        <v>62.947967465281963</v>
      </c>
      <c r="Z2711" s="9">
        <v>73.089269472589308</v>
      </c>
      <c r="AA2711" s="9">
        <v>73.089269472589308</v>
      </c>
      <c r="AB2711" s="9">
        <v>83.453036962432847</v>
      </c>
      <c r="AC2711" s="9">
        <v>83.453036962432847</v>
      </c>
      <c r="AD2711" s="9">
        <v>94.061516483066114</v>
      </c>
      <c r="AE2711" s="9">
        <v>104.93917923756814</v>
      </c>
      <c r="AF2711" s="9">
        <v>116.11294354932578</v>
      </c>
      <c r="AG2711" s="9">
        <v>116.11294354932578</v>
      </c>
      <c r="AH2711" s="9">
        <v>127.61241957406463</v>
      </c>
      <c r="AI2711" s="9">
        <v>140.35672613559947</v>
      </c>
      <c r="AJ2711" s="9">
        <v>3.0428788910505911</v>
      </c>
    </row>
    <row r="2712" spans="1:36" x14ac:dyDescent="0.25">
      <c r="A2712" t="s">
        <v>5411</v>
      </c>
      <c r="B2712" t="s">
        <v>16</v>
      </c>
      <c r="C2712" t="s">
        <v>17</v>
      </c>
      <c r="D2712">
        <v>57800000</v>
      </c>
      <c r="E2712">
        <v>57819999</v>
      </c>
      <c r="F2712" t="s">
        <v>2447</v>
      </c>
      <c r="G2712" t="str">
        <f t="shared" si="84"/>
        <v>ALR</v>
      </c>
      <c r="H2712" t="s">
        <v>2373</v>
      </c>
      <c r="I2712" t="s">
        <v>20</v>
      </c>
      <c r="J2712" t="s">
        <v>77</v>
      </c>
      <c r="K2712" s="6">
        <v>0.03</v>
      </c>
      <c r="L2712" s="7">
        <f t="shared" si="85"/>
        <v>2E-3</v>
      </c>
      <c r="M2712" s="7">
        <v>3.0000000000000001E-3</v>
      </c>
      <c r="N2712">
        <v>17</v>
      </c>
      <c r="O2712" s="8">
        <v>31.559907159117596</v>
      </c>
      <c r="P2712" s="9">
        <v>31.559907159117596</v>
      </c>
      <c r="Q2712" s="9">
        <v>31.559907159117596</v>
      </c>
      <c r="R2712" s="9">
        <v>34.782556244112428</v>
      </c>
      <c r="S2712" s="9">
        <v>38.331578707788331</v>
      </c>
      <c r="T2712" s="9">
        <v>40.776923733312373</v>
      </c>
      <c r="U2712" s="9">
        <v>49.120207061213286</v>
      </c>
      <c r="V2712" s="9">
        <v>49.120207061213286</v>
      </c>
      <c r="W2712" s="9">
        <v>49.120207061213286</v>
      </c>
      <c r="X2712" s="9">
        <v>62.947967465281963</v>
      </c>
      <c r="Y2712" s="9">
        <v>62.947967465281963</v>
      </c>
      <c r="Z2712" s="9">
        <v>73.089269472589308</v>
      </c>
      <c r="AA2712" s="9">
        <v>73.089269472589308</v>
      </c>
      <c r="AB2712" s="9">
        <v>83.453036962432847</v>
      </c>
      <c r="AC2712" s="9">
        <v>83.453036962432847</v>
      </c>
      <c r="AD2712" s="9">
        <v>94.061516483066114</v>
      </c>
      <c r="AE2712" s="9">
        <v>104.93917923756814</v>
      </c>
      <c r="AF2712" s="9">
        <v>116.11294354932578</v>
      </c>
      <c r="AG2712" s="9">
        <v>116.11294354932578</v>
      </c>
      <c r="AH2712" s="9">
        <v>127.61241957406463</v>
      </c>
      <c r="AI2712" s="9">
        <v>140.35672613559947</v>
      </c>
      <c r="AJ2712" s="9">
        <v>3.0428788910505911</v>
      </c>
    </row>
    <row r="2713" spans="1:36" x14ac:dyDescent="0.25">
      <c r="A2713" t="s">
        <v>5411</v>
      </c>
      <c r="B2713" t="s">
        <v>16</v>
      </c>
      <c r="C2713" t="s">
        <v>17</v>
      </c>
      <c r="D2713">
        <v>57820000</v>
      </c>
      <c r="E2713">
        <v>57829999</v>
      </c>
      <c r="F2713" t="s">
        <v>2448</v>
      </c>
      <c r="G2713" t="str">
        <f t="shared" si="84"/>
        <v>ALI</v>
      </c>
      <c r="H2713" t="s">
        <v>2373</v>
      </c>
      <c r="I2713" t="s">
        <v>20</v>
      </c>
      <c r="J2713" t="s">
        <v>62</v>
      </c>
      <c r="K2713" s="6">
        <v>0.03</v>
      </c>
      <c r="L2713" s="7">
        <f t="shared" si="85"/>
        <v>2E-3</v>
      </c>
      <c r="M2713" s="7">
        <v>3.0000000000000001E-3</v>
      </c>
      <c r="N2713">
        <v>9</v>
      </c>
      <c r="O2713" s="8">
        <v>20.285501069318975</v>
      </c>
      <c r="P2713" s="9">
        <v>20.285501069318975</v>
      </c>
      <c r="Q2713" s="9">
        <v>20.285501069318975</v>
      </c>
      <c r="R2713" s="9">
        <v>21.871661313902724</v>
      </c>
      <c r="S2713" s="9">
        <v>24.190921361155159</v>
      </c>
      <c r="T2713" s="9">
        <v>26.625441692091403</v>
      </c>
      <c r="U2713" s="9">
        <v>32.728097461461971</v>
      </c>
      <c r="V2713" s="9">
        <v>32.728097461461971</v>
      </c>
      <c r="W2713" s="9">
        <v>32.728097461461971</v>
      </c>
      <c r="X2713" s="9">
        <v>39.592402220979928</v>
      </c>
      <c r="Y2713" s="9">
        <v>39.592402220979928</v>
      </c>
      <c r="Z2713" s="9">
        <v>46.667225126282183</v>
      </c>
      <c r="AA2713" s="9">
        <v>46.667225126282183</v>
      </c>
      <c r="AB2713" s="9">
        <v>54.01853727705808</v>
      </c>
      <c r="AC2713" s="9">
        <v>54.01853727705808</v>
      </c>
      <c r="AD2713" s="9">
        <v>61.534700913404833</v>
      </c>
      <c r="AE2713" s="9">
        <v>69.23692076986022</v>
      </c>
      <c r="AF2713" s="9">
        <v>77.149201146871576</v>
      </c>
      <c r="AG2713" s="9">
        <v>77.149201146871576</v>
      </c>
      <c r="AH2713" s="9">
        <v>84.746750047431433</v>
      </c>
      <c r="AI2713" s="9">
        <v>92.897557115592605</v>
      </c>
      <c r="AJ2713" s="9">
        <v>3.0428788910505911</v>
      </c>
    </row>
    <row r="2714" spans="1:36" x14ac:dyDescent="0.25">
      <c r="A2714" t="s">
        <v>5411</v>
      </c>
      <c r="B2714" t="s">
        <v>16</v>
      </c>
      <c r="C2714" t="s">
        <v>17</v>
      </c>
      <c r="D2714">
        <v>57830000</v>
      </c>
      <c r="E2714">
        <v>57839999</v>
      </c>
      <c r="F2714" t="s">
        <v>2449</v>
      </c>
      <c r="G2714" t="str">
        <f t="shared" si="84"/>
        <v>ALR</v>
      </c>
      <c r="H2714" t="s">
        <v>2373</v>
      </c>
      <c r="I2714" t="s">
        <v>20</v>
      </c>
      <c r="J2714" t="s">
        <v>77</v>
      </c>
      <c r="K2714" s="6">
        <v>0.03</v>
      </c>
      <c r="L2714" s="7">
        <f t="shared" si="85"/>
        <v>2E-3</v>
      </c>
      <c r="M2714" s="7">
        <v>3.0000000000000001E-3</v>
      </c>
      <c r="N2714">
        <v>17</v>
      </c>
      <c r="O2714" s="8">
        <v>31.559907159117596</v>
      </c>
      <c r="P2714" s="9">
        <v>31.559907159117596</v>
      </c>
      <c r="Q2714" s="9">
        <v>31.559907159117596</v>
      </c>
      <c r="R2714" s="9">
        <v>34.782556244112428</v>
      </c>
      <c r="S2714" s="9">
        <v>38.331578707788331</v>
      </c>
      <c r="T2714" s="9">
        <v>40.776923733312373</v>
      </c>
      <c r="U2714" s="9">
        <v>49.120207061213286</v>
      </c>
      <c r="V2714" s="9">
        <v>49.120207061213286</v>
      </c>
      <c r="W2714" s="9">
        <v>49.120207061213286</v>
      </c>
      <c r="X2714" s="9">
        <v>62.947967465281963</v>
      </c>
      <c r="Y2714" s="9">
        <v>62.947967465281963</v>
      </c>
      <c r="Z2714" s="9">
        <v>73.089269472589308</v>
      </c>
      <c r="AA2714" s="9">
        <v>73.089269472589308</v>
      </c>
      <c r="AB2714" s="9">
        <v>83.453036962432847</v>
      </c>
      <c r="AC2714" s="9">
        <v>83.453036962432847</v>
      </c>
      <c r="AD2714" s="9">
        <v>94.061516483066114</v>
      </c>
      <c r="AE2714" s="9">
        <v>104.93917923756814</v>
      </c>
      <c r="AF2714" s="9">
        <v>116.11294354932578</v>
      </c>
      <c r="AG2714" s="9">
        <v>116.11294354932578</v>
      </c>
      <c r="AH2714" s="9">
        <v>127.61241957406463</v>
      </c>
      <c r="AI2714" s="9">
        <v>140.35672613559947</v>
      </c>
      <c r="AJ2714" s="9">
        <v>3.0428788910505911</v>
      </c>
    </row>
    <row r="2715" spans="1:36" x14ac:dyDescent="0.25">
      <c r="A2715" t="s">
        <v>5411</v>
      </c>
      <c r="B2715" t="s">
        <v>16</v>
      </c>
      <c r="C2715" t="s">
        <v>17</v>
      </c>
      <c r="D2715">
        <v>57840000</v>
      </c>
      <c r="E2715">
        <v>57859999</v>
      </c>
      <c r="F2715" t="s">
        <v>2450</v>
      </c>
      <c r="G2715" t="str">
        <f t="shared" si="84"/>
        <v>ALR</v>
      </c>
      <c r="H2715" t="s">
        <v>2373</v>
      </c>
      <c r="I2715" t="s">
        <v>20</v>
      </c>
      <c r="J2715" t="s">
        <v>77</v>
      </c>
      <c r="K2715" s="6">
        <v>0.03</v>
      </c>
      <c r="L2715" s="7">
        <f t="shared" si="85"/>
        <v>2E-3</v>
      </c>
      <c r="M2715" s="7">
        <v>3.0000000000000001E-3</v>
      </c>
      <c r="N2715">
        <v>17</v>
      </c>
      <c r="O2715" s="8">
        <v>31.559907159117596</v>
      </c>
      <c r="P2715" s="9">
        <v>31.559907159117596</v>
      </c>
      <c r="Q2715" s="9">
        <v>31.559907159117596</v>
      </c>
      <c r="R2715" s="9">
        <v>34.782556244112428</v>
      </c>
      <c r="S2715" s="9">
        <v>38.331578707788331</v>
      </c>
      <c r="T2715" s="9">
        <v>40.776923733312373</v>
      </c>
      <c r="U2715" s="9">
        <v>49.120207061213286</v>
      </c>
      <c r="V2715" s="9">
        <v>49.120207061213286</v>
      </c>
      <c r="W2715" s="9">
        <v>49.120207061213286</v>
      </c>
      <c r="X2715" s="9">
        <v>62.947967465281963</v>
      </c>
      <c r="Y2715" s="9">
        <v>62.947967465281963</v>
      </c>
      <c r="Z2715" s="9">
        <v>73.089269472589308</v>
      </c>
      <c r="AA2715" s="9">
        <v>73.089269472589308</v>
      </c>
      <c r="AB2715" s="9">
        <v>83.453036962432847</v>
      </c>
      <c r="AC2715" s="9">
        <v>83.453036962432847</v>
      </c>
      <c r="AD2715" s="9">
        <v>94.061516483066114</v>
      </c>
      <c r="AE2715" s="9">
        <v>104.93917923756814</v>
      </c>
      <c r="AF2715" s="9">
        <v>116.11294354932578</v>
      </c>
      <c r="AG2715" s="9">
        <v>116.11294354932578</v>
      </c>
      <c r="AH2715" s="9">
        <v>127.61241957406463</v>
      </c>
      <c r="AI2715" s="9">
        <v>140.35672613559947</v>
      </c>
      <c r="AJ2715" s="9">
        <v>3.0428788910505911</v>
      </c>
    </row>
    <row r="2716" spans="1:36" x14ac:dyDescent="0.25">
      <c r="A2716" t="s">
        <v>5411</v>
      </c>
      <c r="B2716" t="s">
        <v>16</v>
      </c>
      <c r="C2716" t="s">
        <v>17</v>
      </c>
      <c r="D2716">
        <v>57860000</v>
      </c>
      <c r="E2716">
        <v>57889999</v>
      </c>
      <c r="F2716" t="s">
        <v>2451</v>
      </c>
      <c r="G2716" t="str">
        <f t="shared" si="84"/>
        <v>ALR</v>
      </c>
      <c r="H2716" t="s">
        <v>2373</v>
      </c>
      <c r="I2716" t="s">
        <v>20</v>
      </c>
      <c r="J2716" t="s">
        <v>77</v>
      </c>
      <c r="K2716" s="6">
        <v>0.03</v>
      </c>
      <c r="L2716" s="7">
        <f t="shared" si="85"/>
        <v>2E-3</v>
      </c>
      <c r="M2716" s="7">
        <v>3.0000000000000001E-3</v>
      </c>
      <c r="N2716">
        <v>17</v>
      </c>
      <c r="O2716" s="8">
        <v>31.559907159117596</v>
      </c>
      <c r="P2716" s="9">
        <v>31.559907159117596</v>
      </c>
      <c r="Q2716" s="9">
        <v>31.559907159117596</v>
      </c>
      <c r="R2716" s="9">
        <v>34.782556244112428</v>
      </c>
      <c r="S2716" s="9">
        <v>38.331578707788331</v>
      </c>
      <c r="T2716" s="9">
        <v>40.776923733312373</v>
      </c>
      <c r="U2716" s="9">
        <v>49.120207061213286</v>
      </c>
      <c r="V2716" s="9">
        <v>49.120207061213286</v>
      </c>
      <c r="W2716" s="9">
        <v>49.120207061213286</v>
      </c>
      <c r="X2716" s="9">
        <v>62.947967465281963</v>
      </c>
      <c r="Y2716" s="9">
        <v>62.947967465281963</v>
      </c>
      <c r="Z2716" s="9">
        <v>73.089269472589308</v>
      </c>
      <c r="AA2716" s="9">
        <v>73.089269472589308</v>
      </c>
      <c r="AB2716" s="9">
        <v>83.453036962432847</v>
      </c>
      <c r="AC2716" s="9">
        <v>83.453036962432847</v>
      </c>
      <c r="AD2716" s="9">
        <v>94.061516483066114</v>
      </c>
      <c r="AE2716" s="9">
        <v>104.93917923756814</v>
      </c>
      <c r="AF2716" s="9">
        <v>116.11294354932578</v>
      </c>
      <c r="AG2716" s="9">
        <v>116.11294354932578</v>
      </c>
      <c r="AH2716" s="9">
        <v>127.61241957406463</v>
      </c>
      <c r="AI2716" s="9">
        <v>140.35672613559947</v>
      </c>
      <c r="AJ2716" s="9">
        <v>3.0428788910505911</v>
      </c>
    </row>
    <row r="2717" spans="1:36" x14ac:dyDescent="0.25">
      <c r="A2717" t="s">
        <v>5411</v>
      </c>
      <c r="B2717" t="s">
        <v>16</v>
      </c>
      <c r="C2717" t="s">
        <v>17</v>
      </c>
      <c r="D2717">
        <v>57890000</v>
      </c>
      <c r="E2717">
        <v>57899999</v>
      </c>
      <c r="F2717" t="s">
        <v>2452</v>
      </c>
      <c r="G2717" t="str">
        <f t="shared" si="84"/>
        <v>ALR</v>
      </c>
      <c r="H2717" t="s">
        <v>2373</v>
      </c>
      <c r="I2717" t="s">
        <v>20</v>
      </c>
      <c r="J2717" t="s">
        <v>77</v>
      </c>
      <c r="K2717" s="6">
        <v>0.03</v>
      </c>
      <c r="L2717" s="7">
        <f t="shared" si="85"/>
        <v>2E-3</v>
      </c>
      <c r="M2717" s="7">
        <v>3.0000000000000001E-3</v>
      </c>
      <c r="N2717">
        <v>17</v>
      </c>
      <c r="O2717" s="8">
        <v>31.559907159117596</v>
      </c>
      <c r="P2717" s="9">
        <v>31.559907159117596</v>
      </c>
      <c r="Q2717" s="9">
        <v>31.559907159117596</v>
      </c>
      <c r="R2717" s="9">
        <v>34.782556244112428</v>
      </c>
      <c r="S2717" s="9">
        <v>38.331578707788331</v>
      </c>
      <c r="T2717" s="9">
        <v>40.776923733312373</v>
      </c>
      <c r="U2717" s="9">
        <v>49.120207061213286</v>
      </c>
      <c r="V2717" s="9">
        <v>49.120207061213286</v>
      </c>
      <c r="W2717" s="9">
        <v>49.120207061213286</v>
      </c>
      <c r="X2717" s="9">
        <v>62.947967465281963</v>
      </c>
      <c r="Y2717" s="9">
        <v>62.947967465281963</v>
      </c>
      <c r="Z2717" s="9">
        <v>73.089269472589308</v>
      </c>
      <c r="AA2717" s="9">
        <v>73.089269472589308</v>
      </c>
      <c r="AB2717" s="9">
        <v>83.453036962432847</v>
      </c>
      <c r="AC2717" s="9">
        <v>83.453036962432847</v>
      </c>
      <c r="AD2717" s="9">
        <v>94.061516483066114</v>
      </c>
      <c r="AE2717" s="9">
        <v>104.93917923756814</v>
      </c>
      <c r="AF2717" s="9">
        <v>116.11294354932578</v>
      </c>
      <c r="AG2717" s="9">
        <v>116.11294354932578</v>
      </c>
      <c r="AH2717" s="9">
        <v>127.61241957406463</v>
      </c>
      <c r="AI2717" s="9">
        <v>140.35672613559947</v>
      </c>
      <c r="AJ2717" s="9">
        <v>3.0428788910505911</v>
      </c>
    </row>
    <row r="2718" spans="1:36" x14ac:dyDescent="0.25">
      <c r="A2718" t="s">
        <v>5411</v>
      </c>
      <c r="B2718" t="s">
        <v>16</v>
      </c>
      <c r="C2718" t="s">
        <v>17</v>
      </c>
      <c r="D2718">
        <v>57900000</v>
      </c>
      <c r="E2718">
        <v>57909999</v>
      </c>
      <c r="F2718" t="s">
        <v>2453</v>
      </c>
      <c r="G2718" t="str">
        <f t="shared" si="84"/>
        <v>ALR</v>
      </c>
      <c r="H2718" t="s">
        <v>2373</v>
      </c>
      <c r="I2718" t="s">
        <v>20</v>
      </c>
      <c r="J2718" t="s">
        <v>77</v>
      </c>
      <c r="K2718" s="6">
        <v>0.03</v>
      </c>
      <c r="L2718" s="7">
        <f t="shared" si="85"/>
        <v>2E-3</v>
      </c>
      <c r="M2718" s="7">
        <v>3.0000000000000001E-3</v>
      </c>
      <c r="N2718">
        <v>17</v>
      </c>
      <c r="O2718" s="8">
        <v>31.559907159117596</v>
      </c>
      <c r="P2718" s="9">
        <v>31.559907159117596</v>
      </c>
      <c r="Q2718" s="9">
        <v>31.559907159117596</v>
      </c>
      <c r="R2718" s="9">
        <v>34.782556244112428</v>
      </c>
      <c r="S2718" s="9">
        <v>38.331578707788331</v>
      </c>
      <c r="T2718" s="9">
        <v>40.776923733312373</v>
      </c>
      <c r="U2718" s="9">
        <v>49.120207061213286</v>
      </c>
      <c r="V2718" s="9">
        <v>49.120207061213286</v>
      </c>
      <c r="W2718" s="9">
        <v>49.120207061213286</v>
      </c>
      <c r="X2718" s="9">
        <v>62.947967465281963</v>
      </c>
      <c r="Y2718" s="9">
        <v>62.947967465281963</v>
      </c>
      <c r="Z2718" s="9">
        <v>73.089269472589308</v>
      </c>
      <c r="AA2718" s="9">
        <v>73.089269472589308</v>
      </c>
      <c r="AB2718" s="9">
        <v>83.453036962432847</v>
      </c>
      <c r="AC2718" s="9">
        <v>83.453036962432847</v>
      </c>
      <c r="AD2718" s="9">
        <v>94.061516483066114</v>
      </c>
      <c r="AE2718" s="9">
        <v>104.93917923756814</v>
      </c>
      <c r="AF2718" s="9">
        <v>116.11294354932578</v>
      </c>
      <c r="AG2718" s="9">
        <v>116.11294354932578</v>
      </c>
      <c r="AH2718" s="9">
        <v>127.61241957406463</v>
      </c>
      <c r="AI2718" s="9">
        <v>140.35672613559947</v>
      </c>
      <c r="AJ2718" s="9">
        <v>3.0428788910505911</v>
      </c>
    </row>
    <row r="2719" spans="1:36" x14ac:dyDescent="0.25">
      <c r="A2719" t="s">
        <v>5411</v>
      </c>
      <c r="B2719" t="s">
        <v>16</v>
      </c>
      <c r="C2719" t="s">
        <v>17</v>
      </c>
      <c r="D2719">
        <v>57910000</v>
      </c>
      <c r="E2719">
        <v>57919999</v>
      </c>
      <c r="F2719" t="s">
        <v>2454</v>
      </c>
      <c r="G2719" t="str">
        <f t="shared" si="84"/>
        <v>ALR</v>
      </c>
      <c r="H2719" t="s">
        <v>2373</v>
      </c>
      <c r="I2719" t="s">
        <v>20</v>
      </c>
      <c r="J2719" t="s">
        <v>77</v>
      </c>
      <c r="K2719" s="6">
        <v>0.03</v>
      </c>
      <c r="L2719" s="7">
        <f t="shared" si="85"/>
        <v>2E-3</v>
      </c>
      <c r="M2719" s="7">
        <v>3.0000000000000001E-3</v>
      </c>
      <c r="N2719">
        <v>17</v>
      </c>
      <c r="O2719" s="8">
        <v>31.559907159117596</v>
      </c>
      <c r="P2719" s="9">
        <v>31.559907159117596</v>
      </c>
      <c r="Q2719" s="9">
        <v>31.559907159117596</v>
      </c>
      <c r="R2719" s="9">
        <v>34.782556244112428</v>
      </c>
      <c r="S2719" s="9">
        <v>38.331578707788331</v>
      </c>
      <c r="T2719" s="9">
        <v>40.776923733312373</v>
      </c>
      <c r="U2719" s="9">
        <v>49.120207061213286</v>
      </c>
      <c r="V2719" s="9">
        <v>49.120207061213286</v>
      </c>
      <c r="W2719" s="9">
        <v>49.120207061213286</v>
      </c>
      <c r="X2719" s="9">
        <v>62.947967465281963</v>
      </c>
      <c r="Y2719" s="9">
        <v>62.947967465281963</v>
      </c>
      <c r="Z2719" s="9">
        <v>73.089269472589308</v>
      </c>
      <c r="AA2719" s="9">
        <v>73.089269472589308</v>
      </c>
      <c r="AB2719" s="9">
        <v>83.453036962432847</v>
      </c>
      <c r="AC2719" s="9">
        <v>83.453036962432847</v>
      </c>
      <c r="AD2719" s="9">
        <v>94.061516483066114</v>
      </c>
      <c r="AE2719" s="9">
        <v>104.93917923756814</v>
      </c>
      <c r="AF2719" s="9">
        <v>116.11294354932578</v>
      </c>
      <c r="AG2719" s="9">
        <v>116.11294354932578</v>
      </c>
      <c r="AH2719" s="9">
        <v>127.61241957406463</v>
      </c>
      <c r="AI2719" s="9">
        <v>140.35672613559947</v>
      </c>
      <c r="AJ2719" s="9">
        <v>3.0428788910505911</v>
      </c>
    </row>
    <row r="2720" spans="1:36" x14ac:dyDescent="0.25">
      <c r="A2720" t="s">
        <v>5411</v>
      </c>
      <c r="B2720" t="s">
        <v>16</v>
      </c>
      <c r="C2720" t="s">
        <v>17</v>
      </c>
      <c r="D2720">
        <v>57920000</v>
      </c>
      <c r="E2720">
        <v>57924999</v>
      </c>
      <c r="F2720" t="s">
        <v>2455</v>
      </c>
      <c r="G2720" t="str">
        <f t="shared" si="84"/>
        <v>ALR</v>
      </c>
      <c r="H2720" t="s">
        <v>2373</v>
      </c>
      <c r="I2720" t="s">
        <v>20</v>
      </c>
      <c r="J2720" t="s">
        <v>77</v>
      </c>
      <c r="K2720" s="6">
        <v>0.03</v>
      </c>
      <c r="L2720" s="7">
        <f t="shared" si="85"/>
        <v>2E-3</v>
      </c>
      <c r="M2720" s="7">
        <v>3.0000000000000001E-3</v>
      </c>
      <c r="N2720">
        <v>17</v>
      </c>
      <c r="O2720" s="8">
        <v>31.559907159117596</v>
      </c>
      <c r="P2720" s="9">
        <v>31.559907159117596</v>
      </c>
      <c r="Q2720" s="9">
        <v>31.559907159117596</v>
      </c>
      <c r="R2720" s="9">
        <v>34.782556244112428</v>
      </c>
      <c r="S2720" s="9">
        <v>38.331578707788331</v>
      </c>
      <c r="T2720" s="9">
        <v>40.776923733312373</v>
      </c>
      <c r="U2720" s="9">
        <v>49.120207061213286</v>
      </c>
      <c r="V2720" s="9">
        <v>49.120207061213286</v>
      </c>
      <c r="W2720" s="9">
        <v>49.120207061213286</v>
      </c>
      <c r="X2720" s="9">
        <v>62.947967465281963</v>
      </c>
      <c r="Y2720" s="9">
        <v>62.947967465281963</v>
      </c>
      <c r="Z2720" s="9">
        <v>73.089269472589308</v>
      </c>
      <c r="AA2720" s="9">
        <v>73.089269472589308</v>
      </c>
      <c r="AB2720" s="9">
        <v>83.453036962432847</v>
      </c>
      <c r="AC2720" s="9">
        <v>83.453036962432847</v>
      </c>
      <c r="AD2720" s="9">
        <v>94.061516483066114</v>
      </c>
      <c r="AE2720" s="9">
        <v>104.93917923756814</v>
      </c>
      <c r="AF2720" s="9">
        <v>116.11294354932578</v>
      </c>
      <c r="AG2720" s="9">
        <v>116.11294354932578</v>
      </c>
      <c r="AH2720" s="9">
        <v>127.61241957406463</v>
      </c>
      <c r="AI2720" s="9">
        <v>140.35672613559947</v>
      </c>
      <c r="AJ2720" s="9">
        <v>3.0428788910505911</v>
      </c>
    </row>
    <row r="2721" spans="1:36" x14ac:dyDescent="0.25">
      <c r="A2721" t="s">
        <v>5411</v>
      </c>
      <c r="B2721" t="s">
        <v>16</v>
      </c>
      <c r="C2721" t="s">
        <v>17</v>
      </c>
      <c r="D2721">
        <v>57925000</v>
      </c>
      <c r="E2721">
        <v>57929999</v>
      </c>
      <c r="F2721" t="s">
        <v>2456</v>
      </c>
      <c r="G2721" t="str">
        <f t="shared" si="84"/>
        <v>ALI</v>
      </c>
      <c r="H2721" t="s">
        <v>2373</v>
      </c>
      <c r="I2721" t="s">
        <v>20</v>
      </c>
      <c r="J2721" t="s">
        <v>62</v>
      </c>
      <c r="K2721" s="6">
        <v>0.03</v>
      </c>
      <c r="L2721" s="7">
        <f t="shared" si="85"/>
        <v>2E-3</v>
      </c>
      <c r="M2721" s="7">
        <v>3.0000000000000001E-3</v>
      </c>
      <c r="N2721">
        <v>9</v>
      </c>
      <c r="O2721" s="8">
        <v>20.285501069318975</v>
      </c>
      <c r="P2721" s="9">
        <v>20.285501069318975</v>
      </c>
      <c r="Q2721" s="9">
        <v>20.285501069318975</v>
      </c>
      <c r="R2721" s="9">
        <v>21.871661313902724</v>
      </c>
      <c r="S2721" s="9">
        <v>24.190921361155159</v>
      </c>
      <c r="T2721" s="9">
        <v>26.625441692091403</v>
      </c>
      <c r="U2721" s="9">
        <v>32.728097461461971</v>
      </c>
      <c r="V2721" s="9">
        <v>32.728097461461971</v>
      </c>
      <c r="W2721" s="9">
        <v>32.728097461461971</v>
      </c>
      <c r="X2721" s="9">
        <v>39.592402220979928</v>
      </c>
      <c r="Y2721" s="9">
        <v>39.592402220979928</v>
      </c>
      <c r="Z2721" s="9">
        <v>46.667225126282183</v>
      </c>
      <c r="AA2721" s="9">
        <v>46.667225126282183</v>
      </c>
      <c r="AB2721" s="9">
        <v>54.01853727705808</v>
      </c>
      <c r="AC2721" s="9">
        <v>54.01853727705808</v>
      </c>
      <c r="AD2721" s="9">
        <v>61.534700913404833</v>
      </c>
      <c r="AE2721" s="9">
        <v>69.23692076986022</v>
      </c>
      <c r="AF2721" s="9">
        <v>77.149201146871576</v>
      </c>
      <c r="AG2721" s="9">
        <v>77.149201146871576</v>
      </c>
      <c r="AH2721" s="9">
        <v>84.746750047431433</v>
      </c>
      <c r="AI2721" s="9">
        <v>92.897557115592605</v>
      </c>
      <c r="AJ2721" s="9">
        <v>3.0428788910505911</v>
      </c>
    </row>
    <row r="2722" spans="1:36" x14ac:dyDescent="0.25">
      <c r="A2722" t="s">
        <v>5411</v>
      </c>
      <c r="B2722" t="s">
        <v>16</v>
      </c>
      <c r="C2722" t="s">
        <v>17</v>
      </c>
      <c r="D2722">
        <v>57930000</v>
      </c>
      <c r="E2722">
        <v>57934999</v>
      </c>
      <c r="F2722" t="s">
        <v>2457</v>
      </c>
      <c r="G2722" t="str">
        <f t="shared" si="84"/>
        <v>ALR</v>
      </c>
      <c r="H2722" t="s">
        <v>2373</v>
      </c>
      <c r="I2722" t="s">
        <v>20</v>
      </c>
      <c r="J2722" t="s">
        <v>77</v>
      </c>
      <c r="K2722" s="6">
        <v>0.03</v>
      </c>
      <c r="L2722" s="7">
        <f t="shared" si="85"/>
        <v>2E-3</v>
      </c>
      <c r="M2722" s="7">
        <v>3.0000000000000001E-3</v>
      </c>
      <c r="N2722">
        <v>17</v>
      </c>
      <c r="O2722" s="8">
        <v>31.559907159117596</v>
      </c>
      <c r="P2722" s="9">
        <v>31.559907159117596</v>
      </c>
      <c r="Q2722" s="9">
        <v>31.559907159117596</v>
      </c>
      <c r="R2722" s="9">
        <v>34.782556244112428</v>
      </c>
      <c r="S2722" s="9">
        <v>38.331578707788331</v>
      </c>
      <c r="T2722" s="9">
        <v>40.776923733312373</v>
      </c>
      <c r="U2722" s="9">
        <v>49.120207061213286</v>
      </c>
      <c r="V2722" s="9">
        <v>49.120207061213286</v>
      </c>
      <c r="W2722" s="9">
        <v>49.120207061213286</v>
      </c>
      <c r="X2722" s="9">
        <v>62.947967465281963</v>
      </c>
      <c r="Y2722" s="9">
        <v>62.947967465281963</v>
      </c>
      <c r="Z2722" s="9">
        <v>73.089269472589308</v>
      </c>
      <c r="AA2722" s="9">
        <v>73.089269472589308</v>
      </c>
      <c r="AB2722" s="9">
        <v>83.453036962432847</v>
      </c>
      <c r="AC2722" s="9">
        <v>83.453036962432847</v>
      </c>
      <c r="AD2722" s="9">
        <v>94.061516483066114</v>
      </c>
      <c r="AE2722" s="9">
        <v>104.93917923756814</v>
      </c>
      <c r="AF2722" s="9">
        <v>116.11294354932578</v>
      </c>
      <c r="AG2722" s="9">
        <v>116.11294354932578</v>
      </c>
      <c r="AH2722" s="9">
        <v>127.61241957406463</v>
      </c>
      <c r="AI2722" s="9">
        <v>140.35672613559947</v>
      </c>
      <c r="AJ2722" s="9">
        <v>3.0428788910505911</v>
      </c>
    </row>
    <row r="2723" spans="1:36" x14ac:dyDescent="0.25">
      <c r="A2723" t="s">
        <v>5411</v>
      </c>
      <c r="B2723" t="s">
        <v>16</v>
      </c>
      <c r="C2723" t="s">
        <v>17</v>
      </c>
      <c r="D2723">
        <v>57935000</v>
      </c>
      <c r="E2723">
        <v>57939999</v>
      </c>
      <c r="F2723" t="s">
        <v>2458</v>
      </c>
      <c r="G2723" t="str">
        <f t="shared" si="84"/>
        <v>ALI</v>
      </c>
      <c r="H2723" t="s">
        <v>2373</v>
      </c>
      <c r="I2723" t="s">
        <v>20</v>
      </c>
      <c r="J2723" t="s">
        <v>62</v>
      </c>
      <c r="K2723" s="6">
        <v>0.03</v>
      </c>
      <c r="L2723" s="7">
        <f t="shared" si="85"/>
        <v>2E-3</v>
      </c>
      <c r="M2723" s="7">
        <v>3.0000000000000001E-3</v>
      </c>
      <c r="N2723">
        <v>7</v>
      </c>
      <c r="O2723" s="8">
        <v>20.285501069318975</v>
      </c>
      <c r="P2723" s="9">
        <v>20.285501069318975</v>
      </c>
      <c r="Q2723" s="9">
        <v>20.285501069318975</v>
      </c>
      <c r="R2723" s="9">
        <v>21.871661313902724</v>
      </c>
      <c r="S2723" s="9">
        <v>24.190921361155159</v>
      </c>
      <c r="T2723" s="9">
        <v>26.625441692091403</v>
      </c>
      <c r="U2723" s="9">
        <v>32.728097461461971</v>
      </c>
      <c r="V2723" s="9">
        <v>32.728097461461971</v>
      </c>
      <c r="W2723" s="9">
        <v>32.728097461461971</v>
      </c>
      <c r="X2723" s="9">
        <v>39.592402220979928</v>
      </c>
      <c r="Y2723" s="9">
        <v>39.592402220979928</v>
      </c>
      <c r="Z2723" s="9">
        <v>46.667225126282183</v>
      </c>
      <c r="AA2723" s="9">
        <v>46.667225126282183</v>
      </c>
      <c r="AB2723" s="9">
        <v>54.01853727705808</v>
      </c>
      <c r="AC2723" s="9">
        <v>54.01853727705808</v>
      </c>
      <c r="AD2723" s="9">
        <v>61.534700913404833</v>
      </c>
      <c r="AE2723" s="9">
        <v>69.23692076986022</v>
      </c>
      <c r="AF2723" s="9">
        <v>77.149201146871576</v>
      </c>
      <c r="AG2723" s="9">
        <v>77.149201146871576</v>
      </c>
      <c r="AH2723" s="9">
        <v>84.746750047431433</v>
      </c>
      <c r="AI2723" s="9">
        <v>92.897557115592605</v>
      </c>
      <c r="AJ2723" s="9">
        <v>3.0428788910505911</v>
      </c>
    </row>
    <row r="2724" spans="1:36" x14ac:dyDescent="0.25">
      <c r="A2724" t="s">
        <v>5411</v>
      </c>
      <c r="B2724" t="s">
        <v>16</v>
      </c>
      <c r="C2724" t="s">
        <v>17</v>
      </c>
      <c r="D2724">
        <v>57940000</v>
      </c>
      <c r="E2724">
        <v>57944999</v>
      </c>
      <c r="F2724" t="s">
        <v>2459</v>
      </c>
      <c r="G2724" t="str">
        <f t="shared" si="84"/>
        <v>ALR</v>
      </c>
      <c r="H2724" t="s">
        <v>2373</v>
      </c>
      <c r="I2724" t="s">
        <v>20</v>
      </c>
      <c r="J2724" t="s">
        <v>77</v>
      </c>
      <c r="K2724" s="6">
        <v>0.03</v>
      </c>
      <c r="L2724" s="7">
        <f t="shared" si="85"/>
        <v>2E-3</v>
      </c>
      <c r="M2724" s="7">
        <v>3.0000000000000001E-3</v>
      </c>
      <c r="N2724">
        <v>17</v>
      </c>
      <c r="O2724" s="8">
        <v>31.559907159117596</v>
      </c>
      <c r="P2724" s="9">
        <v>31.559907159117596</v>
      </c>
      <c r="Q2724" s="9">
        <v>31.559907159117596</v>
      </c>
      <c r="R2724" s="9">
        <v>34.782556244112428</v>
      </c>
      <c r="S2724" s="9">
        <v>38.331578707788331</v>
      </c>
      <c r="T2724" s="9">
        <v>40.776923733312373</v>
      </c>
      <c r="U2724" s="9">
        <v>49.120207061213286</v>
      </c>
      <c r="V2724" s="9">
        <v>49.120207061213286</v>
      </c>
      <c r="W2724" s="9">
        <v>49.120207061213286</v>
      </c>
      <c r="X2724" s="9">
        <v>62.947967465281963</v>
      </c>
      <c r="Y2724" s="9">
        <v>62.947967465281963</v>
      </c>
      <c r="Z2724" s="9">
        <v>73.089269472589308</v>
      </c>
      <c r="AA2724" s="9">
        <v>73.089269472589308</v>
      </c>
      <c r="AB2724" s="9">
        <v>83.453036962432847</v>
      </c>
      <c r="AC2724" s="9">
        <v>83.453036962432847</v>
      </c>
      <c r="AD2724" s="9">
        <v>94.061516483066114</v>
      </c>
      <c r="AE2724" s="9">
        <v>104.93917923756814</v>
      </c>
      <c r="AF2724" s="9">
        <v>116.11294354932578</v>
      </c>
      <c r="AG2724" s="9">
        <v>116.11294354932578</v>
      </c>
      <c r="AH2724" s="9">
        <v>127.61241957406463</v>
      </c>
      <c r="AI2724" s="9">
        <v>140.35672613559947</v>
      </c>
      <c r="AJ2724" s="9">
        <v>3.0428788910505911</v>
      </c>
    </row>
    <row r="2725" spans="1:36" x14ac:dyDescent="0.25">
      <c r="A2725" t="s">
        <v>5411</v>
      </c>
      <c r="B2725" t="s">
        <v>16</v>
      </c>
      <c r="C2725" t="s">
        <v>17</v>
      </c>
      <c r="D2725">
        <v>57945000</v>
      </c>
      <c r="E2725">
        <v>57949999</v>
      </c>
      <c r="F2725" t="s">
        <v>2460</v>
      </c>
      <c r="G2725" t="str">
        <f t="shared" si="84"/>
        <v>ALR</v>
      </c>
      <c r="H2725" t="s">
        <v>2373</v>
      </c>
      <c r="I2725" t="s">
        <v>20</v>
      </c>
      <c r="J2725" t="s">
        <v>77</v>
      </c>
      <c r="K2725" s="6">
        <v>0.03</v>
      </c>
      <c r="L2725" s="7">
        <f t="shared" si="85"/>
        <v>2E-3</v>
      </c>
      <c r="M2725" s="7">
        <v>3.0000000000000001E-3</v>
      </c>
      <c r="N2725">
        <v>17</v>
      </c>
      <c r="O2725" s="8">
        <v>31.559907159117596</v>
      </c>
      <c r="P2725" s="9">
        <v>31.559907159117596</v>
      </c>
      <c r="Q2725" s="9">
        <v>31.559907159117596</v>
      </c>
      <c r="R2725" s="9">
        <v>34.782556244112428</v>
      </c>
      <c r="S2725" s="9">
        <v>38.331578707788331</v>
      </c>
      <c r="T2725" s="9">
        <v>40.776923733312373</v>
      </c>
      <c r="U2725" s="9">
        <v>49.120207061213286</v>
      </c>
      <c r="V2725" s="9">
        <v>49.120207061213286</v>
      </c>
      <c r="W2725" s="9">
        <v>49.120207061213286</v>
      </c>
      <c r="X2725" s="9">
        <v>62.947967465281963</v>
      </c>
      <c r="Y2725" s="9">
        <v>62.947967465281963</v>
      </c>
      <c r="Z2725" s="9">
        <v>73.089269472589308</v>
      </c>
      <c r="AA2725" s="9">
        <v>73.089269472589308</v>
      </c>
      <c r="AB2725" s="9">
        <v>83.453036962432847</v>
      </c>
      <c r="AC2725" s="9">
        <v>83.453036962432847</v>
      </c>
      <c r="AD2725" s="9">
        <v>94.061516483066114</v>
      </c>
      <c r="AE2725" s="9">
        <v>104.93917923756814</v>
      </c>
      <c r="AF2725" s="9">
        <v>116.11294354932578</v>
      </c>
      <c r="AG2725" s="9">
        <v>116.11294354932578</v>
      </c>
      <c r="AH2725" s="9">
        <v>127.61241957406463</v>
      </c>
      <c r="AI2725" s="9">
        <v>140.35672613559947</v>
      </c>
      <c r="AJ2725" s="9">
        <v>3.0428788910505911</v>
      </c>
    </row>
    <row r="2726" spans="1:36" x14ac:dyDescent="0.25">
      <c r="A2726" t="s">
        <v>5411</v>
      </c>
      <c r="B2726" t="s">
        <v>16</v>
      </c>
      <c r="C2726" t="s">
        <v>17</v>
      </c>
      <c r="D2726">
        <v>57950000</v>
      </c>
      <c r="E2726">
        <v>57954999</v>
      </c>
      <c r="F2726" t="s">
        <v>2461</v>
      </c>
      <c r="G2726" t="str">
        <f t="shared" si="84"/>
        <v>ALR</v>
      </c>
      <c r="H2726" t="s">
        <v>2373</v>
      </c>
      <c r="I2726" t="s">
        <v>20</v>
      </c>
      <c r="J2726" t="s">
        <v>77</v>
      </c>
      <c r="K2726" s="6">
        <v>0.03</v>
      </c>
      <c r="L2726" s="7">
        <f t="shared" si="85"/>
        <v>2E-3</v>
      </c>
      <c r="M2726" s="7">
        <v>3.0000000000000001E-3</v>
      </c>
      <c r="N2726">
        <v>17</v>
      </c>
      <c r="O2726" s="8">
        <v>31.559907159117596</v>
      </c>
      <c r="P2726" s="9">
        <v>31.559907159117596</v>
      </c>
      <c r="Q2726" s="9">
        <v>31.559907159117596</v>
      </c>
      <c r="R2726" s="9">
        <v>34.782556244112428</v>
      </c>
      <c r="S2726" s="9">
        <v>38.331578707788331</v>
      </c>
      <c r="T2726" s="9">
        <v>40.776923733312373</v>
      </c>
      <c r="U2726" s="9">
        <v>49.120207061213286</v>
      </c>
      <c r="V2726" s="9">
        <v>49.120207061213286</v>
      </c>
      <c r="W2726" s="9">
        <v>49.120207061213286</v>
      </c>
      <c r="X2726" s="9">
        <v>62.947967465281963</v>
      </c>
      <c r="Y2726" s="9">
        <v>62.947967465281963</v>
      </c>
      <c r="Z2726" s="9">
        <v>73.089269472589308</v>
      </c>
      <c r="AA2726" s="9">
        <v>73.089269472589308</v>
      </c>
      <c r="AB2726" s="9">
        <v>83.453036962432847</v>
      </c>
      <c r="AC2726" s="9">
        <v>83.453036962432847</v>
      </c>
      <c r="AD2726" s="9">
        <v>94.061516483066114</v>
      </c>
      <c r="AE2726" s="9">
        <v>104.93917923756814</v>
      </c>
      <c r="AF2726" s="9">
        <v>116.11294354932578</v>
      </c>
      <c r="AG2726" s="9">
        <v>116.11294354932578</v>
      </c>
      <c r="AH2726" s="9">
        <v>127.61241957406463</v>
      </c>
      <c r="AI2726" s="9">
        <v>140.35672613559947</v>
      </c>
      <c r="AJ2726" s="9">
        <v>3.0428788910505911</v>
      </c>
    </row>
    <row r="2727" spans="1:36" x14ac:dyDescent="0.25">
      <c r="A2727" t="s">
        <v>5411</v>
      </c>
      <c r="B2727" t="s">
        <v>16</v>
      </c>
      <c r="C2727" t="s">
        <v>17</v>
      </c>
      <c r="D2727">
        <v>57955000</v>
      </c>
      <c r="E2727">
        <v>57959999</v>
      </c>
      <c r="F2727" t="s">
        <v>2462</v>
      </c>
      <c r="G2727" t="str">
        <f t="shared" si="84"/>
        <v>ALR</v>
      </c>
      <c r="H2727" t="s">
        <v>2373</v>
      </c>
      <c r="I2727" t="s">
        <v>20</v>
      </c>
      <c r="J2727" t="s">
        <v>77</v>
      </c>
      <c r="K2727" s="6">
        <v>0.03</v>
      </c>
      <c r="L2727" s="7">
        <f t="shared" si="85"/>
        <v>2E-3</v>
      </c>
      <c r="M2727" s="7">
        <v>3.0000000000000001E-3</v>
      </c>
      <c r="N2727">
        <v>17</v>
      </c>
      <c r="O2727" s="8">
        <v>31.559907159117596</v>
      </c>
      <c r="P2727" s="9">
        <v>31.559907159117596</v>
      </c>
      <c r="Q2727" s="9">
        <v>31.559907159117596</v>
      </c>
      <c r="R2727" s="9">
        <v>34.782556244112428</v>
      </c>
      <c r="S2727" s="9">
        <v>38.331578707788331</v>
      </c>
      <c r="T2727" s="9">
        <v>40.776923733312373</v>
      </c>
      <c r="U2727" s="9">
        <v>49.120207061213286</v>
      </c>
      <c r="V2727" s="9">
        <v>49.120207061213286</v>
      </c>
      <c r="W2727" s="9">
        <v>49.120207061213286</v>
      </c>
      <c r="X2727" s="9">
        <v>62.947967465281963</v>
      </c>
      <c r="Y2727" s="9">
        <v>62.947967465281963</v>
      </c>
      <c r="Z2727" s="9">
        <v>73.089269472589308</v>
      </c>
      <c r="AA2727" s="9">
        <v>73.089269472589308</v>
      </c>
      <c r="AB2727" s="9">
        <v>83.453036962432847</v>
      </c>
      <c r="AC2727" s="9">
        <v>83.453036962432847</v>
      </c>
      <c r="AD2727" s="9">
        <v>94.061516483066114</v>
      </c>
      <c r="AE2727" s="9">
        <v>104.93917923756814</v>
      </c>
      <c r="AF2727" s="9">
        <v>116.11294354932578</v>
      </c>
      <c r="AG2727" s="9">
        <v>116.11294354932578</v>
      </c>
      <c r="AH2727" s="9">
        <v>127.61241957406463</v>
      </c>
      <c r="AI2727" s="9">
        <v>140.35672613559947</v>
      </c>
      <c r="AJ2727" s="9">
        <v>3.0428788910505911</v>
      </c>
    </row>
    <row r="2728" spans="1:36" x14ac:dyDescent="0.25">
      <c r="A2728" t="s">
        <v>5411</v>
      </c>
      <c r="B2728" t="s">
        <v>16</v>
      </c>
      <c r="C2728" t="s">
        <v>17</v>
      </c>
      <c r="D2728">
        <v>57960000</v>
      </c>
      <c r="E2728">
        <v>57964999</v>
      </c>
      <c r="F2728" t="s">
        <v>2463</v>
      </c>
      <c r="G2728" t="str">
        <f t="shared" si="84"/>
        <v>ALR</v>
      </c>
      <c r="H2728" t="s">
        <v>2373</v>
      </c>
      <c r="I2728" t="s">
        <v>20</v>
      </c>
      <c r="J2728" t="s">
        <v>77</v>
      </c>
      <c r="K2728" s="6">
        <v>0.03</v>
      </c>
      <c r="L2728" s="7">
        <f t="shared" si="85"/>
        <v>2E-3</v>
      </c>
      <c r="M2728" s="7">
        <v>3.0000000000000001E-3</v>
      </c>
      <c r="N2728">
        <v>17</v>
      </c>
      <c r="O2728" s="8">
        <v>31.559907159117596</v>
      </c>
      <c r="P2728" s="9">
        <v>31.559907159117596</v>
      </c>
      <c r="Q2728" s="9">
        <v>31.559907159117596</v>
      </c>
      <c r="R2728" s="9">
        <v>34.782556244112428</v>
      </c>
      <c r="S2728" s="9">
        <v>38.331578707788331</v>
      </c>
      <c r="T2728" s="9">
        <v>40.776923733312373</v>
      </c>
      <c r="U2728" s="9">
        <v>49.120207061213286</v>
      </c>
      <c r="V2728" s="9">
        <v>49.120207061213286</v>
      </c>
      <c r="W2728" s="9">
        <v>49.120207061213286</v>
      </c>
      <c r="X2728" s="9">
        <v>62.947967465281963</v>
      </c>
      <c r="Y2728" s="9">
        <v>62.947967465281963</v>
      </c>
      <c r="Z2728" s="9">
        <v>73.089269472589308</v>
      </c>
      <c r="AA2728" s="9">
        <v>73.089269472589308</v>
      </c>
      <c r="AB2728" s="9">
        <v>83.453036962432847</v>
      </c>
      <c r="AC2728" s="9">
        <v>83.453036962432847</v>
      </c>
      <c r="AD2728" s="9">
        <v>94.061516483066114</v>
      </c>
      <c r="AE2728" s="9">
        <v>104.93917923756814</v>
      </c>
      <c r="AF2728" s="9">
        <v>116.11294354932578</v>
      </c>
      <c r="AG2728" s="9">
        <v>116.11294354932578</v>
      </c>
      <c r="AH2728" s="9">
        <v>127.61241957406463</v>
      </c>
      <c r="AI2728" s="9">
        <v>140.35672613559947</v>
      </c>
      <c r="AJ2728" s="9">
        <v>3.0428788910505911</v>
      </c>
    </row>
    <row r="2729" spans="1:36" x14ac:dyDescent="0.25">
      <c r="A2729" t="s">
        <v>5411</v>
      </c>
      <c r="B2729" t="s">
        <v>16</v>
      </c>
      <c r="C2729" t="s">
        <v>17</v>
      </c>
      <c r="D2729">
        <v>57965000</v>
      </c>
      <c r="E2729">
        <v>57967999</v>
      </c>
      <c r="F2729" t="s">
        <v>2464</v>
      </c>
      <c r="G2729" t="str">
        <f t="shared" si="84"/>
        <v>ALR</v>
      </c>
      <c r="H2729" t="s">
        <v>2373</v>
      </c>
      <c r="I2729" t="s">
        <v>20</v>
      </c>
      <c r="J2729" t="s">
        <v>77</v>
      </c>
      <c r="K2729" s="6">
        <v>0.03</v>
      </c>
      <c r="L2729" s="7">
        <f t="shared" si="85"/>
        <v>2E-3</v>
      </c>
      <c r="M2729" s="7">
        <v>3.0000000000000001E-3</v>
      </c>
      <c r="N2729">
        <v>17</v>
      </c>
      <c r="O2729" s="8">
        <v>31.559907159117596</v>
      </c>
      <c r="P2729" s="9">
        <v>31.559907159117596</v>
      </c>
      <c r="Q2729" s="9">
        <v>31.559907159117596</v>
      </c>
      <c r="R2729" s="9">
        <v>34.782556244112428</v>
      </c>
      <c r="S2729" s="9">
        <v>38.331578707788331</v>
      </c>
      <c r="T2729" s="9">
        <v>40.776923733312373</v>
      </c>
      <c r="U2729" s="9">
        <v>49.120207061213286</v>
      </c>
      <c r="V2729" s="9">
        <v>49.120207061213286</v>
      </c>
      <c r="W2729" s="9">
        <v>49.120207061213286</v>
      </c>
      <c r="X2729" s="9">
        <v>62.947967465281963</v>
      </c>
      <c r="Y2729" s="9">
        <v>62.947967465281963</v>
      </c>
      <c r="Z2729" s="9">
        <v>73.089269472589308</v>
      </c>
      <c r="AA2729" s="9">
        <v>73.089269472589308</v>
      </c>
      <c r="AB2729" s="9">
        <v>83.453036962432847</v>
      </c>
      <c r="AC2729" s="9">
        <v>83.453036962432847</v>
      </c>
      <c r="AD2729" s="9">
        <v>94.061516483066114</v>
      </c>
      <c r="AE2729" s="9">
        <v>104.93917923756814</v>
      </c>
      <c r="AF2729" s="9">
        <v>116.11294354932578</v>
      </c>
      <c r="AG2729" s="9">
        <v>116.11294354932578</v>
      </c>
      <c r="AH2729" s="9">
        <v>127.61241957406463</v>
      </c>
      <c r="AI2729" s="9">
        <v>140.35672613559947</v>
      </c>
      <c r="AJ2729" s="9">
        <v>3.0428788910505911</v>
      </c>
    </row>
    <row r="2730" spans="1:36" x14ac:dyDescent="0.25">
      <c r="A2730" t="s">
        <v>5411</v>
      </c>
      <c r="B2730" t="s">
        <v>16</v>
      </c>
      <c r="C2730" t="s">
        <v>17</v>
      </c>
      <c r="D2730">
        <v>57968000</v>
      </c>
      <c r="E2730">
        <v>57969999</v>
      </c>
      <c r="F2730" t="s">
        <v>1362</v>
      </c>
      <c r="G2730" t="str">
        <f t="shared" si="84"/>
        <v>ALR</v>
      </c>
      <c r="H2730" t="s">
        <v>2373</v>
      </c>
      <c r="I2730" t="s">
        <v>20</v>
      </c>
      <c r="J2730" t="s">
        <v>77</v>
      </c>
      <c r="K2730" s="6">
        <v>0.03</v>
      </c>
      <c r="L2730" s="7">
        <f t="shared" si="85"/>
        <v>2E-3</v>
      </c>
      <c r="M2730" s="7">
        <v>3.0000000000000001E-3</v>
      </c>
      <c r="N2730">
        <v>17</v>
      </c>
      <c r="O2730" s="8">
        <v>31.559907159117596</v>
      </c>
      <c r="P2730" s="9">
        <v>31.559907159117596</v>
      </c>
      <c r="Q2730" s="9">
        <v>31.559907159117596</v>
      </c>
      <c r="R2730" s="9">
        <v>34.782556244112428</v>
      </c>
      <c r="S2730" s="9">
        <v>38.331578707788331</v>
      </c>
      <c r="T2730" s="9">
        <v>40.776923733312373</v>
      </c>
      <c r="U2730" s="9">
        <v>49.120207061213286</v>
      </c>
      <c r="V2730" s="9">
        <v>49.120207061213286</v>
      </c>
      <c r="W2730" s="9">
        <v>49.120207061213286</v>
      </c>
      <c r="X2730" s="9">
        <v>62.947967465281963</v>
      </c>
      <c r="Y2730" s="9">
        <v>62.947967465281963</v>
      </c>
      <c r="Z2730" s="9">
        <v>73.089269472589308</v>
      </c>
      <c r="AA2730" s="9">
        <v>73.089269472589308</v>
      </c>
      <c r="AB2730" s="9">
        <v>83.453036962432847</v>
      </c>
      <c r="AC2730" s="9">
        <v>83.453036962432847</v>
      </c>
      <c r="AD2730" s="9">
        <v>94.061516483066114</v>
      </c>
      <c r="AE2730" s="9">
        <v>104.93917923756814</v>
      </c>
      <c r="AF2730" s="9">
        <v>116.11294354932578</v>
      </c>
      <c r="AG2730" s="9">
        <v>116.11294354932578</v>
      </c>
      <c r="AH2730" s="9">
        <v>127.61241957406463</v>
      </c>
      <c r="AI2730" s="9">
        <v>140.35672613559947</v>
      </c>
      <c r="AJ2730" s="9">
        <v>3.0428788910505911</v>
      </c>
    </row>
    <row r="2731" spans="1:36" x14ac:dyDescent="0.25">
      <c r="A2731" t="s">
        <v>5411</v>
      </c>
      <c r="B2731" t="s">
        <v>16</v>
      </c>
      <c r="C2731" t="s">
        <v>17</v>
      </c>
      <c r="D2731">
        <v>57970000</v>
      </c>
      <c r="E2731">
        <v>57974999</v>
      </c>
      <c r="F2731" t="s">
        <v>2465</v>
      </c>
      <c r="G2731" t="str">
        <f t="shared" si="84"/>
        <v>ALR</v>
      </c>
      <c r="H2731" t="s">
        <v>2373</v>
      </c>
      <c r="I2731" t="s">
        <v>20</v>
      </c>
      <c r="J2731" t="s">
        <v>77</v>
      </c>
      <c r="K2731" s="6">
        <v>0.03</v>
      </c>
      <c r="L2731" s="7">
        <f t="shared" si="85"/>
        <v>2E-3</v>
      </c>
      <c r="M2731" s="7">
        <v>3.0000000000000001E-3</v>
      </c>
      <c r="N2731">
        <v>17</v>
      </c>
      <c r="O2731" s="8">
        <v>31.559907159117596</v>
      </c>
      <c r="P2731" s="9">
        <v>31.559907159117596</v>
      </c>
      <c r="Q2731" s="9">
        <v>31.559907159117596</v>
      </c>
      <c r="R2731" s="9">
        <v>34.782556244112428</v>
      </c>
      <c r="S2731" s="9">
        <v>38.331578707788331</v>
      </c>
      <c r="T2731" s="9">
        <v>40.776923733312373</v>
      </c>
      <c r="U2731" s="9">
        <v>49.120207061213286</v>
      </c>
      <c r="V2731" s="9">
        <v>49.120207061213286</v>
      </c>
      <c r="W2731" s="9">
        <v>49.120207061213286</v>
      </c>
      <c r="X2731" s="9">
        <v>62.947967465281963</v>
      </c>
      <c r="Y2731" s="9">
        <v>62.947967465281963</v>
      </c>
      <c r="Z2731" s="9">
        <v>73.089269472589308</v>
      </c>
      <c r="AA2731" s="9">
        <v>73.089269472589308</v>
      </c>
      <c r="AB2731" s="9">
        <v>83.453036962432847</v>
      </c>
      <c r="AC2731" s="9">
        <v>83.453036962432847</v>
      </c>
      <c r="AD2731" s="9">
        <v>94.061516483066114</v>
      </c>
      <c r="AE2731" s="9">
        <v>104.93917923756814</v>
      </c>
      <c r="AF2731" s="9">
        <v>116.11294354932578</v>
      </c>
      <c r="AG2731" s="9">
        <v>116.11294354932578</v>
      </c>
      <c r="AH2731" s="9">
        <v>127.61241957406463</v>
      </c>
      <c r="AI2731" s="9">
        <v>140.35672613559947</v>
      </c>
      <c r="AJ2731" s="9">
        <v>3.0428788910505911</v>
      </c>
    </row>
    <row r="2732" spans="1:36" x14ac:dyDescent="0.25">
      <c r="A2732" t="s">
        <v>5411</v>
      </c>
      <c r="B2732" t="s">
        <v>16</v>
      </c>
      <c r="C2732" t="s">
        <v>17</v>
      </c>
      <c r="D2732">
        <v>57975000</v>
      </c>
      <c r="E2732">
        <v>57979999</v>
      </c>
      <c r="F2732" t="s">
        <v>2466</v>
      </c>
      <c r="G2732" t="str">
        <f t="shared" si="84"/>
        <v>ALR</v>
      </c>
      <c r="H2732" t="s">
        <v>2373</v>
      </c>
      <c r="I2732" t="s">
        <v>20</v>
      </c>
      <c r="J2732" t="s">
        <v>77</v>
      </c>
      <c r="K2732" s="6">
        <v>0.03</v>
      </c>
      <c r="L2732" s="7">
        <f t="shared" si="85"/>
        <v>2E-3</v>
      </c>
      <c r="M2732" s="7">
        <v>3.0000000000000001E-3</v>
      </c>
      <c r="N2732">
        <v>17</v>
      </c>
      <c r="O2732" s="8">
        <v>31.559907159117596</v>
      </c>
      <c r="P2732" s="9">
        <v>31.559907159117596</v>
      </c>
      <c r="Q2732" s="9">
        <v>31.559907159117596</v>
      </c>
      <c r="R2732" s="9">
        <v>34.782556244112428</v>
      </c>
      <c r="S2732" s="9">
        <v>38.331578707788331</v>
      </c>
      <c r="T2732" s="9">
        <v>40.776923733312373</v>
      </c>
      <c r="U2732" s="9">
        <v>49.120207061213286</v>
      </c>
      <c r="V2732" s="9">
        <v>49.120207061213286</v>
      </c>
      <c r="W2732" s="9">
        <v>49.120207061213286</v>
      </c>
      <c r="X2732" s="9">
        <v>62.947967465281963</v>
      </c>
      <c r="Y2732" s="9">
        <v>62.947967465281963</v>
      </c>
      <c r="Z2732" s="9">
        <v>73.089269472589308</v>
      </c>
      <c r="AA2732" s="9">
        <v>73.089269472589308</v>
      </c>
      <c r="AB2732" s="9">
        <v>83.453036962432847</v>
      </c>
      <c r="AC2732" s="9">
        <v>83.453036962432847</v>
      </c>
      <c r="AD2732" s="9">
        <v>94.061516483066114</v>
      </c>
      <c r="AE2732" s="9">
        <v>104.93917923756814</v>
      </c>
      <c r="AF2732" s="9">
        <v>116.11294354932578</v>
      </c>
      <c r="AG2732" s="9">
        <v>116.11294354932578</v>
      </c>
      <c r="AH2732" s="9">
        <v>127.61241957406463</v>
      </c>
      <c r="AI2732" s="9">
        <v>140.35672613559947</v>
      </c>
      <c r="AJ2732" s="9">
        <v>3.0428788910505911</v>
      </c>
    </row>
    <row r="2733" spans="1:36" x14ac:dyDescent="0.25">
      <c r="A2733" t="s">
        <v>5411</v>
      </c>
      <c r="B2733" t="s">
        <v>16</v>
      </c>
      <c r="C2733" t="s">
        <v>17</v>
      </c>
      <c r="D2733">
        <v>57980000</v>
      </c>
      <c r="E2733">
        <v>57989999</v>
      </c>
      <c r="F2733" t="s">
        <v>2467</v>
      </c>
      <c r="G2733" t="str">
        <f t="shared" si="84"/>
        <v>ALR</v>
      </c>
      <c r="H2733" t="s">
        <v>2373</v>
      </c>
      <c r="I2733" t="s">
        <v>20</v>
      </c>
      <c r="J2733" t="s">
        <v>77</v>
      </c>
      <c r="K2733" s="6">
        <v>0.03</v>
      </c>
      <c r="L2733" s="7">
        <f t="shared" si="85"/>
        <v>2E-3</v>
      </c>
      <c r="M2733" s="7">
        <v>3.0000000000000001E-3</v>
      </c>
      <c r="N2733">
        <v>17</v>
      </c>
      <c r="O2733" s="8">
        <v>31.559907159117596</v>
      </c>
      <c r="P2733" s="9">
        <v>31.559907159117596</v>
      </c>
      <c r="Q2733" s="9">
        <v>31.559907159117596</v>
      </c>
      <c r="R2733" s="9">
        <v>34.782556244112428</v>
      </c>
      <c r="S2733" s="9">
        <v>38.331578707788331</v>
      </c>
      <c r="T2733" s="9">
        <v>40.776923733312373</v>
      </c>
      <c r="U2733" s="9">
        <v>49.120207061213286</v>
      </c>
      <c r="V2733" s="9">
        <v>49.120207061213286</v>
      </c>
      <c r="W2733" s="9">
        <v>49.120207061213286</v>
      </c>
      <c r="X2733" s="9">
        <v>62.947967465281963</v>
      </c>
      <c r="Y2733" s="9">
        <v>62.947967465281963</v>
      </c>
      <c r="Z2733" s="9">
        <v>73.089269472589308</v>
      </c>
      <c r="AA2733" s="9">
        <v>73.089269472589308</v>
      </c>
      <c r="AB2733" s="9">
        <v>83.453036962432847</v>
      </c>
      <c r="AC2733" s="9">
        <v>83.453036962432847</v>
      </c>
      <c r="AD2733" s="9">
        <v>94.061516483066114</v>
      </c>
      <c r="AE2733" s="9">
        <v>104.93917923756814</v>
      </c>
      <c r="AF2733" s="9">
        <v>116.11294354932578</v>
      </c>
      <c r="AG2733" s="9">
        <v>116.11294354932578</v>
      </c>
      <c r="AH2733" s="9">
        <v>127.61241957406463</v>
      </c>
      <c r="AI2733" s="9">
        <v>140.35672613559947</v>
      </c>
      <c r="AJ2733" s="9">
        <v>3.0428788910505911</v>
      </c>
    </row>
    <row r="2734" spans="1:36" x14ac:dyDescent="0.25">
      <c r="A2734" t="s">
        <v>5411</v>
      </c>
      <c r="B2734" t="s">
        <v>16</v>
      </c>
      <c r="C2734" t="s">
        <v>17</v>
      </c>
      <c r="D2734">
        <v>57990000</v>
      </c>
      <c r="E2734">
        <v>57994999</v>
      </c>
      <c r="F2734" t="s">
        <v>2468</v>
      </c>
      <c r="G2734" t="str">
        <f t="shared" si="84"/>
        <v>ALI</v>
      </c>
      <c r="H2734" t="s">
        <v>2373</v>
      </c>
      <c r="I2734" t="s">
        <v>20</v>
      </c>
      <c r="J2734" t="s">
        <v>62</v>
      </c>
      <c r="K2734" s="6">
        <v>0.03</v>
      </c>
      <c r="L2734" s="7">
        <f t="shared" si="85"/>
        <v>2E-3</v>
      </c>
      <c r="M2734" s="7">
        <v>3.0000000000000001E-3</v>
      </c>
      <c r="N2734">
        <v>9</v>
      </c>
      <c r="O2734" s="8">
        <v>20.285501069318975</v>
      </c>
      <c r="P2734" s="9">
        <v>20.285501069318975</v>
      </c>
      <c r="Q2734" s="9">
        <v>20.285501069318975</v>
      </c>
      <c r="R2734" s="9">
        <v>21.871661313902724</v>
      </c>
      <c r="S2734" s="9">
        <v>24.190921361155159</v>
      </c>
      <c r="T2734" s="9">
        <v>26.625441692091403</v>
      </c>
      <c r="U2734" s="9">
        <v>32.728097461461971</v>
      </c>
      <c r="V2734" s="9">
        <v>32.728097461461971</v>
      </c>
      <c r="W2734" s="9">
        <v>32.728097461461971</v>
      </c>
      <c r="X2734" s="9">
        <v>39.592402220979928</v>
      </c>
      <c r="Y2734" s="9">
        <v>39.592402220979928</v>
      </c>
      <c r="Z2734" s="9">
        <v>46.667225126282183</v>
      </c>
      <c r="AA2734" s="9">
        <v>46.667225126282183</v>
      </c>
      <c r="AB2734" s="9">
        <v>54.01853727705808</v>
      </c>
      <c r="AC2734" s="9">
        <v>54.01853727705808</v>
      </c>
      <c r="AD2734" s="9">
        <v>61.534700913404833</v>
      </c>
      <c r="AE2734" s="9">
        <v>69.23692076986022</v>
      </c>
      <c r="AF2734" s="9">
        <v>77.149201146871576</v>
      </c>
      <c r="AG2734" s="9">
        <v>77.149201146871576</v>
      </c>
      <c r="AH2734" s="9">
        <v>84.746750047431433</v>
      </c>
      <c r="AI2734" s="9">
        <v>92.897557115592605</v>
      </c>
      <c r="AJ2734" s="9">
        <v>3.0428788910505911</v>
      </c>
    </row>
    <row r="2735" spans="1:36" x14ac:dyDescent="0.25">
      <c r="A2735" t="s">
        <v>5411</v>
      </c>
      <c r="B2735" t="s">
        <v>16</v>
      </c>
      <c r="C2735" t="s">
        <v>17</v>
      </c>
      <c r="D2735">
        <v>57995000</v>
      </c>
      <c r="E2735">
        <v>57999999</v>
      </c>
      <c r="F2735" t="s">
        <v>2469</v>
      </c>
      <c r="G2735" t="str">
        <f t="shared" si="84"/>
        <v>ALR</v>
      </c>
      <c r="H2735" t="s">
        <v>2373</v>
      </c>
      <c r="I2735" t="s">
        <v>20</v>
      </c>
      <c r="J2735" t="s">
        <v>77</v>
      </c>
      <c r="K2735" s="6">
        <v>0.03</v>
      </c>
      <c r="L2735" s="7">
        <f t="shared" si="85"/>
        <v>2E-3</v>
      </c>
      <c r="M2735" s="7">
        <v>3.0000000000000001E-3</v>
      </c>
      <c r="N2735">
        <v>17</v>
      </c>
      <c r="O2735" s="8">
        <v>31.559907159117596</v>
      </c>
      <c r="P2735" s="9">
        <v>31.559907159117596</v>
      </c>
      <c r="Q2735" s="9">
        <v>31.559907159117596</v>
      </c>
      <c r="R2735" s="9">
        <v>34.782556244112428</v>
      </c>
      <c r="S2735" s="9">
        <v>38.331578707788331</v>
      </c>
      <c r="T2735" s="9">
        <v>40.776923733312373</v>
      </c>
      <c r="U2735" s="9">
        <v>49.120207061213286</v>
      </c>
      <c r="V2735" s="9">
        <v>49.120207061213286</v>
      </c>
      <c r="W2735" s="9">
        <v>49.120207061213286</v>
      </c>
      <c r="X2735" s="9">
        <v>62.947967465281963</v>
      </c>
      <c r="Y2735" s="9">
        <v>62.947967465281963</v>
      </c>
      <c r="Z2735" s="9">
        <v>73.089269472589308</v>
      </c>
      <c r="AA2735" s="9">
        <v>73.089269472589308</v>
      </c>
      <c r="AB2735" s="9">
        <v>83.453036962432847</v>
      </c>
      <c r="AC2735" s="9">
        <v>83.453036962432847</v>
      </c>
      <c r="AD2735" s="9">
        <v>94.061516483066114</v>
      </c>
      <c r="AE2735" s="9">
        <v>104.93917923756814</v>
      </c>
      <c r="AF2735" s="9">
        <v>116.11294354932578</v>
      </c>
      <c r="AG2735" s="9">
        <v>116.11294354932578</v>
      </c>
      <c r="AH2735" s="9">
        <v>127.61241957406463</v>
      </c>
      <c r="AI2735" s="9">
        <v>140.35672613559947</v>
      </c>
      <c r="AJ2735" s="9">
        <v>3.0428788910505911</v>
      </c>
    </row>
    <row r="2736" spans="1:36" x14ac:dyDescent="0.25">
      <c r="A2736" t="s">
        <v>5411</v>
      </c>
      <c r="B2736" t="s">
        <v>16</v>
      </c>
      <c r="C2736" t="s">
        <v>17</v>
      </c>
      <c r="D2736">
        <v>58000000</v>
      </c>
      <c r="E2736">
        <v>58099999</v>
      </c>
      <c r="F2736" t="s">
        <v>2470</v>
      </c>
      <c r="G2736" t="str">
        <f t="shared" si="84"/>
        <v>PBC</v>
      </c>
      <c r="H2736" t="s">
        <v>2471</v>
      </c>
      <c r="I2736" t="s">
        <v>20</v>
      </c>
      <c r="J2736" t="s">
        <v>21</v>
      </c>
      <c r="K2736" s="6">
        <v>0.03</v>
      </c>
      <c r="L2736" s="7">
        <f t="shared" si="85"/>
        <v>2E-3</v>
      </c>
      <c r="M2736" s="7">
        <v>3.0000000000000001E-3</v>
      </c>
      <c r="N2736">
        <v>9</v>
      </c>
      <c r="O2736" s="8">
        <v>15.275659926953011</v>
      </c>
      <c r="P2736" s="9">
        <v>15.275659926953011</v>
      </c>
      <c r="Q2736" s="9">
        <v>15.275659926953011</v>
      </c>
      <c r="R2736" s="9">
        <v>16.497520534621739</v>
      </c>
      <c r="S2736" s="9">
        <v>17.643949762187926</v>
      </c>
      <c r="T2736" s="9">
        <v>19.080850521938075</v>
      </c>
      <c r="U2736" s="9">
        <v>22.795114374938205</v>
      </c>
      <c r="V2736" s="9">
        <v>22.795114374938205</v>
      </c>
      <c r="W2736" s="9">
        <v>22.795114374938205</v>
      </c>
      <c r="X2736" s="9">
        <v>29.095299022787408</v>
      </c>
      <c r="Y2736" s="9">
        <v>29.095299022787408</v>
      </c>
      <c r="Z2736" s="9">
        <v>35.585386312299185</v>
      </c>
      <c r="AA2736" s="9">
        <v>35.585386312299185</v>
      </c>
      <c r="AB2736" s="9">
        <v>43.091575611154447</v>
      </c>
      <c r="AC2736" s="9">
        <v>43.091575611154447</v>
      </c>
      <c r="AD2736" s="9">
        <v>53.853245662014785</v>
      </c>
      <c r="AE2736" s="9">
        <v>60.641555272242869</v>
      </c>
      <c r="AF2736" s="9">
        <v>67.538440386198985</v>
      </c>
      <c r="AG2736" s="9">
        <v>67.538440386198985</v>
      </c>
      <c r="AH2736" s="9">
        <v>74.554758554255912</v>
      </c>
      <c r="AI2736" s="9">
        <v>81.021172817502887</v>
      </c>
      <c r="AJ2736" s="9">
        <v>3.0428788910505911</v>
      </c>
    </row>
    <row r="2737" spans="1:36" x14ac:dyDescent="0.25">
      <c r="A2737" t="s">
        <v>5411</v>
      </c>
      <c r="B2737" t="s">
        <v>16</v>
      </c>
      <c r="C2737" t="s">
        <v>17</v>
      </c>
      <c r="D2737">
        <v>58100000</v>
      </c>
      <c r="E2737">
        <v>58114999</v>
      </c>
      <c r="F2737" t="s">
        <v>2472</v>
      </c>
      <c r="G2737" t="str">
        <f t="shared" si="84"/>
        <v>PBI</v>
      </c>
      <c r="H2737" t="s">
        <v>2471</v>
      </c>
      <c r="I2737" t="s">
        <v>20</v>
      </c>
      <c r="J2737" t="s">
        <v>62</v>
      </c>
      <c r="K2737" s="6">
        <v>0.03</v>
      </c>
      <c r="L2737" s="7">
        <f t="shared" si="85"/>
        <v>2E-3</v>
      </c>
      <c r="M2737" s="7">
        <v>3.0000000000000001E-3</v>
      </c>
      <c r="N2737">
        <v>10</v>
      </c>
      <c r="O2737" s="8">
        <v>20.87728230344733</v>
      </c>
      <c r="P2737" s="9">
        <v>20.87728230344733</v>
      </c>
      <c r="Q2737" s="9">
        <v>20.87728230344733</v>
      </c>
      <c r="R2737" s="9">
        <v>22.487970664940882</v>
      </c>
      <c r="S2737" s="9">
        <v>24.836959128882373</v>
      </c>
      <c r="T2737" s="9">
        <v>27.328940564094832</v>
      </c>
      <c r="U2737" s="9">
        <v>33.487633384176874</v>
      </c>
      <c r="V2737" s="9">
        <v>33.487633384176874</v>
      </c>
      <c r="W2737" s="9">
        <v>33.487633384176874</v>
      </c>
      <c r="X2737" s="9">
        <v>40.444098389650613</v>
      </c>
      <c r="Y2737" s="9">
        <v>40.444098389650613</v>
      </c>
      <c r="Z2737" s="9">
        <v>47.624518869362937</v>
      </c>
      <c r="AA2737" s="9">
        <v>47.624518869362937</v>
      </c>
      <c r="AB2737" s="9">
        <v>55.099076844260026</v>
      </c>
      <c r="AC2737" s="9">
        <v>55.099076844260026</v>
      </c>
      <c r="AD2737" s="9">
        <v>62.749008739977157</v>
      </c>
      <c r="AE2737" s="9">
        <v>70.59687278474604</v>
      </c>
      <c r="AF2737" s="9">
        <v>78.668205468404196</v>
      </c>
      <c r="AG2737" s="9">
        <v>78.668205468404196</v>
      </c>
      <c r="AH2737" s="9">
        <v>86.404717432433188</v>
      </c>
      <c r="AI2737" s="9">
        <v>94.691678268933799</v>
      </c>
      <c r="AJ2737" s="9">
        <v>3.0428788910505911</v>
      </c>
    </row>
    <row r="2738" spans="1:36" x14ac:dyDescent="0.25">
      <c r="A2738" t="s">
        <v>5411</v>
      </c>
      <c r="B2738" t="s">
        <v>16</v>
      </c>
      <c r="C2738" t="s">
        <v>17</v>
      </c>
      <c r="D2738">
        <v>58115000</v>
      </c>
      <c r="E2738">
        <v>58116999</v>
      </c>
      <c r="F2738" t="s">
        <v>2473</v>
      </c>
      <c r="G2738" t="str">
        <f t="shared" si="84"/>
        <v>PBI II</v>
      </c>
      <c r="H2738" t="s">
        <v>2471</v>
      </c>
      <c r="I2738" t="s">
        <v>20</v>
      </c>
      <c r="J2738" t="s">
        <v>64</v>
      </c>
      <c r="K2738" s="6">
        <v>0.03</v>
      </c>
      <c r="L2738" s="7">
        <f t="shared" si="85"/>
        <v>2E-3</v>
      </c>
      <c r="M2738" s="7">
        <v>3.0000000000000001E-3</v>
      </c>
      <c r="N2738">
        <v>11</v>
      </c>
      <c r="O2738" s="8">
        <v>25.469420399191385</v>
      </c>
      <c r="P2738" s="9">
        <v>25.469420399191385</v>
      </c>
      <c r="Q2738" s="9">
        <v>25.469420399191385</v>
      </c>
      <c r="R2738" s="9">
        <v>27.985354957700171</v>
      </c>
      <c r="S2738" s="9">
        <v>30.758461120802014</v>
      </c>
      <c r="T2738" s="9">
        <v>33.102903982805351</v>
      </c>
      <c r="U2738" s="9">
        <v>40.375170889228379</v>
      </c>
      <c r="V2738" s="9">
        <v>40.375170889228379</v>
      </c>
      <c r="W2738" s="9">
        <v>40.375170889228379</v>
      </c>
      <c r="X2738" s="9">
        <v>48.614146284608282</v>
      </c>
      <c r="Y2738" s="9">
        <v>48.614146284608282</v>
      </c>
      <c r="Z2738" s="9">
        <v>56.959894508429748</v>
      </c>
      <c r="AA2738" s="9">
        <v>56.959894508429748</v>
      </c>
      <c r="AB2738" s="9">
        <v>65.423092843536963</v>
      </c>
      <c r="AC2738" s="9">
        <v>65.423092843536963</v>
      </c>
      <c r="AD2738" s="9">
        <v>76.101886260449433</v>
      </c>
      <c r="AE2738" s="9">
        <v>84.004204331617984</v>
      </c>
      <c r="AF2738" s="9">
        <v>92.047281772276918</v>
      </c>
      <c r="AG2738" s="9">
        <v>92.047281772276918</v>
      </c>
      <c r="AH2738" s="9">
        <v>101.16093014574129</v>
      </c>
      <c r="AI2738" s="9">
        <v>110.08433596377185</v>
      </c>
      <c r="AJ2738" s="9">
        <v>3.0428788910505911</v>
      </c>
    </row>
    <row r="2739" spans="1:36" x14ac:dyDescent="0.25">
      <c r="A2739" t="s">
        <v>5411</v>
      </c>
      <c r="B2739" t="s">
        <v>16</v>
      </c>
      <c r="C2739" t="s">
        <v>17</v>
      </c>
      <c r="D2739">
        <v>58117000</v>
      </c>
      <c r="E2739">
        <v>58118999</v>
      </c>
      <c r="F2739" t="s">
        <v>2474</v>
      </c>
      <c r="G2739" t="str">
        <f t="shared" si="84"/>
        <v>PBI II</v>
      </c>
      <c r="H2739" t="s">
        <v>2471</v>
      </c>
      <c r="I2739" t="s">
        <v>20</v>
      </c>
      <c r="J2739" t="s">
        <v>64</v>
      </c>
      <c r="K2739" s="6">
        <v>0.03</v>
      </c>
      <c r="L2739" s="7">
        <f t="shared" si="85"/>
        <v>2E-3</v>
      </c>
      <c r="M2739" s="7">
        <v>3.0000000000000001E-3</v>
      </c>
      <c r="N2739">
        <v>11</v>
      </c>
      <c r="O2739" s="8">
        <v>25.469420399191385</v>
      </c>
      <c r="P2739" s="9">
        <v>25.469420399191385</v>
      </c>
      <c r="Q2739" s="9">
        <v>25.469420399191385</v>
      </c>
      <c r="R2739" s="9">
        <v>27.985354957700171</v>
      </c>
      <c r="S2739" s="9">
        <v>30.758461120802014</v>
      </c>
      <c r="T2739" s="9">
        <v>33.102903982805351</v>
      </c>
      <c r="U2739" s="9">
        <v>40.375170889228379</v>
      </c>
      <c r="V2739" s="9">
        <v>40.375170889228379</v>
      </c>
      <c r="W2739" s="9">
        <v>40.375170889228379</v>
      </c>
      <c r="X2739" s="9">
        <v>48.614146284608282</v>
      </c>
      <c r="Y2739" s="9">
        <v>48.614146284608282</v>
      </c>
      <c r="Z2739" s="9">
        <v>56.959894508429748</v>
      </c>
      <c r="AA2739" s="9">
        <v>56.959894508429748</v>
      </c>
      <c r="AB2739" s="9">
        <v>65.423092843536963</v>
      </c>
      <c r="AC2739" s="9">
        <v>65.423092843536963</v>
      </c>
      <c r="AD2739" s="9">
        <v>76.101886260449433</v>
      </c>
      <c r="AE2739" s="9">
        <v>84.004204331617984</v>
      </c>
      <c r="AF2739" s="9">
        <v>92.047281772276918</v>
      </c>
      <c r="AG2739" s="9">
        <v>92.047281772276918</v>
      </c>
      <c r="AH2739" s="9">
        <v>101.16093014574129</v>
      </c>
      <c r="AI2739" s="9">
        <v>110.08433596377185</v>
      </c>
      <c r="AJ2739" s="9">
        <v>3.0428788910505911</v>
      </c>
    </row>
    <row r="2740" spans="1:36" x14ac:dyDescent="0.25">
      <c r="A2740" t="s">
        <v>5411</v>
      </c>
      <c r="B2740" t="s">
        <v>16</v>
      </c>
      <c r="C2740" t="s">
        <v>17</v>
      </c>
      <c r="D2740">
        <v>58119000</v>
      </c>
      <c r="E2740">
        <v>58119999</v>
      </c>
      <c r="F2740" t="s">
        <v>2475</v>
      </c>
      <c r="G2740" t="str">
        <f t="shared" si="84"/>
        <v>PBI II</v>
      </c>
      <c r="H2740" t="s">
        <v>2471</v>
      </c>
      <c r="I2740" t="s">
        <v>20</v>
      </c>
      <c r="J2740" t="s">
        <v>64</v>
      </c>
      <c r="K2740" s="6">
        <v>0.03</v>
      </c>
      <c r="L2740" s="7">
        <f t="shared" si="85"/>
        <v>2E-3</v>
      </c>
      <c r="M2740" s="7">
        <v>3.0000000000000001E-3</v>
      </c>
      <c r="N2740">
        <v>11</v>
      </c>
      <c r="O2740" s="8">
        <v>25.469420399191385</v>
      </c>
      <c r="P2740" s="9">
        <v>25.469420399191385</v>
      </c>
      <c r="Q2740" s="9">
        <v>25.469420399191385</v>
      </c>
      <c r="R2740" s="9">
        <v>27.985354957700171</v>
      </c>
      <c r="S2740" s="9">
        <v>30.758461120802014</v>
      </c>
      <c r="T2740" s="9">
        <v>33.102903982805351</v>
      </c>
      <c r="U2740" s="9">
        <v>40.375170889228379</v>
      </c>
      <c r="V2740" s="9">
        <v>40.375170889228379</v>
      </c>
      <c r="W2740" s="9">
        <v>40.375170889228379</v>
      </c>
      <c r="X2740" s="9">
        <v>48.614146284608282</v>
      </c>
      <c r="Y2740" s="9">
        <v>48.614146284608282</v>
      </c>
      <c r="Z2740" s="9">
        <v>56.959894508429748</v>
      </c>
      <c r="AA2740" s="9">
        <v>56.959894508429748</v>
      </c>
      <c r="AB2740" s="9">
        <v>65.423092843536963</v>
      </c>
      <c r="AC2740" s="9">
        <v>65.423092843536963</v>
      </c>
      <c r="AD2740" s="9">
        <v>76.101886260449433</v>
      </c>
      <c r="AE2740" s="9">
        <v>84.004204331617984</v>
      </c>
      <c r="AF2740" s="9">
        <v>92.047281772276918</v>
      </c>
      <c r="AG2740" s="9">
        <v>92.047281772276918</v>
      </c>
      <c r="AH2740" s="9">
        <v>101.16093014574129</v>
      </c>
      <c r="AI2740" s="9">
        <v>110.08433596377185</v>
      </c>
      <c r="AJ2740" s="9">
        <v>3.0428788910505911</v>
      </c>
    </row>
    <row r="2741" spans="1:36" x14ac:dyDescent="0.25">
      <c r="A2741" t="s">
        <v>5411</v>
      </c>
      <c r="B2741" t="s">
        <v>16</v>
      </c>
      <c r="C2741" t="s">
        <v>17</v>
      </c>
      <c r="D2741">
        <v>58120000</v>
      </c>
      <c r="E2741">
        <v>58122999</v>
      </c>
      <c r="F2741" t="s">
        <v>2476</v>
      </c>
      <c r="G2741" t="str">
        <f t="shared" si="84"/>
        <v>PBI II</v>
      </c>
      <c r="H2741" t="s">
        <v>2471</v>
      </c>
      <c r="I2741" t="s">
        <v>20</v>
      </c>
      <c r="J2741" t="s">
        <v>64</v>
      </c>
      <c r="K2741" s="6">
        <v>0.03</v>
      </c>
      <c r="L2741" s="7">
        <f t="shared" si="85"/>
        <v>2E-3</v>
      </c>
      <c r="M2741" s="7">
        <v>3.0000000000000001E-3</v>
      </c>
      <c r="N2741">
        <v>11</v>
      </c>
      <c r="O2741" s="8">
        <v>25.469420399191385</v>
      </c>
      <c r="P2741" s="9">
        <v>25.469420399191385</v>
      </c>
      <c r="Q2741" s="9">
        <v>25.469420399191385</v>
      </c>
      <c r="R2741" s="9">
        <v>27.985354957700171</v>
      </c>
      <c r="S2741" s="9">
        <v>30.758461120802014</v>
      </c>
      <c r="T2741" s="9">
        <v>33.102903982805351</v>
      </c>
      <c r="U2741" s="9">
        <v>40.375170889228379</v>
      </c>
      <c r="V2741" s="9">
        <v>40.375170889228379</v>
      </c>
      <c r="W2741" s="9">
        <v>40.375170889228379</v>
      </c>
      <c r="X2741" s="9">
        <v>48.614146284608282</v>
      </c>
      <c r="Y2741" s="9">
        <v>48.614146284608282</v>
      </c>
      <c r="Z2741" s="9">
        <v>56.959894508429748</v>
      </c>
      <c r="AA2741" s="9">
        <v>56.959894508429748</v>
      </c>
      <c r="AB2741" s="9">
        <v>65.423092843536963</v>
      </c>
      <c r="AC2741" s="9">
        <v>65.423092843536963</v>
      </c>
      <c r="AD2741" s="9">
        <v>76.101886260449433</v>
      </c>
      <c r="AE2741" s="9">
        <v>84.004204331617984</v>
      </c>
      <c r="AF2741" s="9">
        <v>92.047281772276918</v>
      </c>
      <c r="AG2741" s="9">
        <v>92.047281772276918</v>
      </c>
      <c r="AH2741" s="9">
        <v>101.16093014574129</v>
      </c>
      <c r="AI2741" s="9">
        <v>110.08433596377185</v>
      </c>
      <c r="AJ2741" s="9">
        <v>3.0428788910505911</v>
      </c>
    </row>
    <row r="2742" spans="1:36" x14ac:dyDescent="0.25">
      <c r="A2742" t="s">
        <v>5411</v>
      </c>
      <c r="B2742" t="s">
        <v>16</v>
      </c>
      <c r="C2742" t="s">
        <v>17</v>
      </c>
      <c r="D2742">
        <v>58123000</v>
      </c>
      <c r="E2742">
        <v>58124999</v>
      </c>
      <c r="F2742" t="s">
        <v>2477</v>
      </c>
      <c r="G2742" t="str">
        <f t="shared" si="84"/>
        <v>PBR</v>
      </c>
      <c r="H2742" t="s">
        <v>2471</v>
      </c>
      <c r="I2742" t="s">
        <v>20</v>
      </c>
      <c r="J2742" t="s">
        <v>77</v>
      </c>
      <c r="K2742" s="6">
        <v>0.03</v>
      </c>
      <c r="L2742" s="7">
        <f t="shared" si="85"/>
        <v>2E-3</v>
      </c>
      <c r="M2742" s="7">
        <v>3.0000000000000001E-3</v>
      </c>
      <c r="N2742">
        <v>17</v>
      </c>
      <c r="O2742" s="8">
        <v>31.674720005909176</v>
      </c>
      <c r="P2742" s="9">
        <v>31.674720005909176</v>
      </c>
      <c r="Q2742" s="9">
        <v>31.674720005909176</v>
      </c>
      <c r="R2742" s="9">
        <v>34.913308289497976</v>
      </c>
      <c r="S2742" s="9">
        <v>38.480048605011753</v>
      </c>
      <c r="T2742" s="9">
        <v>40.939971907336925</v>
      </c>
      <c r="U2742" s="9">
        <v>49.333088414904694</v>
      </c>
      <c r="V2742" s="9">
        <v>49.333088414904694</v>
      </c>
      <c r="W2742" s="9">
        <v>49.333088414904694</v>
      </c>
      <c r="X2742" s="9">
        <v>63.21225398254326</v>
      </c>
      <c r="Y2742" s="9">
        <v>63.21225398254326</v>
      </c>
      <c r="Z2742" s="9">
        <v>73.404961153420544</v>
      </c>
      <c r="AA2742" s="9">
        <v>73.404961153420544</v>
      </c>
      <c r="AB2742" s="9">
        <v>83.820133806833923</v>
      </c>
      <c r="AC2742" s="9">
        <v>83.820133806833923</v>
      </c>
      <c r="AD2742" s="9">
        <v>94.480018491037072</v>
      </c>
      <c r="AE2742" s="9">
        <v>105.40908640910902</v>
      </c>
      <c r="AF2742" s="9">
        <v>116.6342558844366</v>
      </c>
      <c r="AG2742" s="9">
        <v>116.6342558844366</v>
      </c>
      <c r="AH2742" s="9">
        <v>128.18513707274536</v>
      </c>
      <c r="AI2742" s="9">
        <v>140.98660541754566</v>
      </c>
      <c r="AJ2742" s="9">
        <v>3.0428788910505911</v>
      </c>
    </row>
    <row r="2743" spans="1:36" x14ac:dyDescent="0.25">
      <c r="A2743" t="s">
        <v>5411</v>
      </c>
      <c r="B2743" t="s">
        <v>16</v>
      </c>
      <c r="C2743" t="s">
        <v>17</v>
      </c>
      <c r="D2743">
        <v>58125000</v>
      </c>
      <c r="E2743">
        <v>58127999</v>
      </c>
      <c r="F2743" t="s">
        <v>2478</v>
      </c>
      <c r="G2743" t="str">
        <f t="shared" si="84"/>
        <v>PBI II</v>
      </c>
      <c r="H2743" t="s">
        <v>2471</v>
      </c>
      <c r="I2743" t="s">
        <v>20</v>
      </c>
      <c r="J2743" t="s">
        <v>64</v>
      </c>
      <c r="K2743" s="6">
        <v>0.03</v>
      </c>
      <c r="L2743" s="7">
        <f t="shared" si="85"/>
        <v>2E-3</v>
      </c>
      <c r="M2743" s="7">
        <v>3.0000000000000001E-3</v>
      </c>
      <c r="N2743">
        <v>11</v>
      </c>
      <c r="O2743" s="8">
        <v>25.469420399191385</v>
      </c>
      <c r="P2743" s="9">
        <v>25.469420399191385</v>
      </c>
      <c r="Q2743" s="9">
        <v>25.469420399191385</v>
      </c>
      <c r="R2743" s="9">
        <v>27.985354957700171</v>
      </c>
      <c r="S2743" s="9">
        <v>30.758461120802014</v>
      </c>
      <c r="T2743" s="9">
        <v>33.102903982805351</v>
      </c>
      <c r="U2743" s="9">
        <v>40.375170889228379</v>
      </c>
      <c r="V2743" s="9">
        <v>40.375170889228379</v>
      </c>
      <c r="W2743" s="9">
        <v>40.375170889228379</v>
      </c>
      <c r="X2743" s="9">
        <v>48.614146284608282</v>
      </c>
      <c r="Y2743" s="9">
        <v>48.614146284608282</v>
      </c>
      <c r="Z2743" s="9">
        <v>56.959894508429748</v>
      </c>
      <c r="AA2743" s="9">
        <v>56.959894508429748</v>
      </c>
      <c r="AB2743" s="9">
        <v>65.423092843536963</v>
      </c>
      <c r="AC2743" s="9">
        <v>65.423092843536963</v>
      </c>
      <c r="AD2743" s="9">
        <v>76.101886260449433</v>
      </c>
      <c r="AE2743" s="9">
        <v>84.004204331617984</v>
      </c>
      <c r="AF2743" s="9">
        <v>92.047281772276918</v>
      </c>
      <c r="AG2743" s="9">
        <v>92.047281772276918</v>
      </c>
      <c r="AH2743" s="9">
        <v>101.16093014574129</v>
      </c>
      <c r="AI2743" s="9">
        <v>110.08433596377185</v>
      </c>
      <c r="AJ2743" s="9">
        <v>3.0428788910505911</v>
      </c>
    </row>
    <row r="2744" spans="1:36" x14ac:dyDescent="0.25">
      <c r="A2744" t="s">
        <v>5411</v>
      </c>
      <c r="B2744" t="s">
        <v>16</v>
      </c>
      <c r="C2744" t="s">
        <v>17</v>
      </c>
      <c r="D2744">
        <v>58128000</v>
      </c>
      <c r="E2744">
        <v>58134999</v>
      </c>
      <c r="F2744" t="s">
        <v>2479</v>
      </c>
      <c r="G2744" t="str">
        <f t="shared" si="84"/>
        <v>PBI II</v>
      </c>
      <c r="H2744" t="s">
        <v>2471</v>
      </c>
      <c r="I2744" t="s">
        <v>20</v>
      </c>
      <c r="J2744" t="s">
        <v>64</v>
      </c>
      <c r="K2744" s="6">
        <v>0.03</v>
      </c>
      <c r="L2744" s="7">
        <f t="shared" si="85"/>
        <v>2E-3</v>
      </c>
      <c r="M2744" s="7">
        <v>3.0000000000000001E-3</v>
      </c>
      <c r="N2744">
        <v>11</v>
      </c>
      <c r="O2744" s="8">
        <v>25.469420399191385</v>
      </c>
      <c r="P2744" s="9">
        <v>25.469420399191385</v>
      </c>
      <c r="Q2744" s="9">
        <v>25.469420399191385</v>
      </c>
      <c r="R2744" s="9">
        <v>27.985354957700171</v>
      </c>
      <c r="S2744" s="9">
        <v>30.758461120802014</v>
      </c>
      <c r="T2744" s="9">
        <v>33.102903982805351</v>
      </c>
      <c r="U2744" s="9">
        <v>40.375170889228379</v>
      </c>
      <c r="V2744" s="9">
        <v>40.375170889228379</v>
      </c>
      <c r="W2744" s="9">
        <v>40.375170889228379</v>
      </c>
      <c r="X2744" s="9">
        <v>48.614146284608282</v>
      </c>
      <c r="Y2744" s="9">
        <v>48.614146284608282</v>
      </c>
      <c r="Z2744" s="9">
        <v>56.959894508429748</v>
      </c>
      <c r="AA2744" s="9">
        <v>56.959894508429748</v>
      </c>
      <c r="AB2744" s="9">
        <v>65.423092843536963</v>
      </c>
      <c r="AC2744" s="9">
        <v>65.423092843536963</v>
      </c>
      <c r="AD2744" s="9">
        <v>76.101886260449433</v>
      </c>
      <c r="AE2744" s="9">
        <v>84.004204331617984</v>
      </c>
      <c r="AF2744" s="9">
        <v>92.047281772276918</v>
      </c>
      <c r="AG2744" s="9">
        <v>92.047281772276918</v>
      </c>
      <c r="AH2744" s="9">
        <v>101.16093014574129</v>
      </c>
      <c r="AI2744" s="9">
        <v>110.08433596377185</v>
      </c>
      <c r="AJ2744" s="9">
        <v>3.0428788910505911</v>
      </c>
    </row>
    <row r="2745" spans="1:36" x14ac:dyDescent="0.25">
      <c r="A2745" t="s">
        <v>5411</v>
      </c>
      <c r="B2745" t="s">
        <v>16</v>
      </c>
      <c r="C2745" t="s">
        <v>17</v>
      </c>
      <c r="D2745">
        <v>58135000</v>
      </c>
      <c r="E2745">
        <v>58139999</v>
      </c>
      <c r="F2745" t="s">
        <v>2480</v>
      </c>
      <c r="G2745" t="str">
        <f t="shared" si="84"/>
        <v>PBI II</v>
      </c>
      <c r="H2745" t="s">
        <v>2471</v>
      </c>
      <c r="I2745" t="s">
        <v>20</v>
      </c>
      <c r="J2745" t="s">
        <v>64</v>
      </c>
      <c r="K2745" s="6">
        <v>0.03</v>
      </c>
      <c r="L2745" s="7">
        <f t="shared" si="85"/>
        <v>2E-3</v>
      </c>
      <c r="M2745" s="7">
        <v>3.0000000000000001E-3</v>
      </c>
      <c r="N2745">
        <v>11</v>
      </c>
      <c r="O2745" s="8">
        <v>25.469420399191385</v>
      </c>
      <c r="P2745" s="9">
        <v>25.469420399191385</v>
      </c>
      <c r="Q2745" s="9">
        <v>25.469420399191385</v>
      </c>
      <c r="R2745" s="9">
        <v>27.985354957700171</v>
      </c>
      <c r="S2745" s="9">
        <v>30.758461120802014</v>
      </c>
      <c r="T2745" s="9">
        <v>33.102903982805351</v>
      </c>
      <c r="U2745" s="9">
        <v>40.375170889228379</v>
      </c>
      <c r="V2745" s="9">
        <v>40.375170889228379</v>
      </c>
      <c r="W2745" s="9">
        <v>40.375170889228379</v>
      </c>
      <c r="X2745" s="9">
        <v>48.614146284608282</v>
      </c>
      <c r="Y2745" s="9">
        <v>48.614146284608282</v>
      </c>
      <c r="Z2745" s="9">
        <v>56.959894508429748</v>
      </c>
      <c r="AA2745" s="9">
        <v>56.959894508429748</v>
      </c>
      <c r="AB2745" s="9">
        <v>65.423092843536963</v>
      </c>
      <c r="AC2745" s="9">
        <v>65.423092843536963</v>
      </c>
      <c r="AD2745" s="9">
        <v>76.101886260449433</v>
      </c>
      <c r="AE2745" s="9">
        <v>84.004204331617984</v>
      </c>
      <c r="AF2745" s="9">
        <v>92.047281772276918</v>
      </c>
      <c r="AG2745" s="9">
        <v>92.047281772276918</v>
      </c>
      <c r="AH2745" s="9">
        <v>101.16093014574129</v>
      </c>
      <c r="AI2745" s="9">
        <v>110.08433596377185</v>
      </c>
      <c r="AJ2745" s="9">
        <v>3.0428788910505911</v>
      </c>
    </row>
    <row r="2746" spans="1:36" x14ac:dyDescent="0.25">
      <c r="A2746" t="s">
        <v>5411</v>
      </c>
      <c r="B2746" t="s">
        <v>16</v>
      </c>
      <c r="C2746" t="s">
        <v>17</v>
      </c>
      <c r="D2746">
        <v>58140000</v>
      </c>
      <c r="E2746">
        <v>58144999</v>
      </c>
      <c r="F2746" t="s">
        <v>2481</v>
      </c>
      <c r="G2746" t="str">
        <f t="shared" si="84"/>
        <v>PBI II</v>
      </c>
      <c r="H2746" t="s">
        <v>2471</v>
      </c>
      <c r="I2746" t="s">
        <v>20</v>
      </c>
      <c r="J2746" t="s">
        <v>64</v>
      </c>
      <c r="K2746" s="6">
        <v>0.03</v>
      </c>
      <c r="L2746" s="7">
        <f t="shared" si="85"/>
        <v>2E-3</v>
      </c>
      <c r="M2746" s="7">
        <v>3.0000000000000001E-3</v>
      </c>
      <c r="N2746">
        <v>11</v>
      </c>
      <c r="O2746" s="8">
        <v>25.469420399191385</v>
      </c>
      <c r="P2746" s="9">
        <v>25.469420399191385</v>
      </c>
      <c r="Q2746" s="9">
        <v>25.469420399191385</v>
      </c>
      <c r="R2746" s="9">
        <v>27.985354957700171</v>
      </c>
      <c r="S2746" s="9">
        <v>30.758461120802014</v>
      </c>
      <c r="T2746" s="9">
        <v>33.102903982805351</v>
      </c>
      <c r="U2746" s="9">
        <v>40.375170889228379</v>
      </c>
      <c r="V2746" s="9">
        <v>40.375170889228379</v>
      </c>
      <c r="W2746" s="9">
        <v>40.375170889228379</v>
      </c>
      <c r="X2746" s="9">
        <v>48.614146284608282</v>
      </c>
      <c r="Y2746" s="9">
        <v>48.614146284608282</v>
      </c>
      <c r="Z2746" s="9">
        <v>56.959894508429748</v>
      </c>
      <c r="AA2746" s="9">
        <v>56.959894508429748</v>
      </c>
      <c r="AB2746" s="9">
        <v>65.423092843536963</v>
      </c>
      <c r="AC2746" s="9">
        <v>65.423092843536963</v>
      </c>
      <c r="AD2746" s="9">
        <v>76.101886260449433</v>
      </c>
      <c r="AE2746" s="9">
        <v>84.004204331617984</v>
      </c>
      <c r="AF2746" s="9">
        <v>92.047281772276918</v>
      </c>
      <c r="AG2746" s="9">
        <v>92.047281772276918</v>
      </c>
      <c r="AH2746" s="9">
        <v>101.16093014574129</v>
      </c>
      <c r="AI2746" s="9">
        <v>110.08433596377185</v>
      </c>
      <c r="AJ2746" s="9">
        <v>3.0428788910505911</v>
      </c>
    </row>
    <row r="2747" spans="1:36" x14ac:dyDescent="0.25">
      <c r="A2747" t="s">
        <v>5411</v>
      </c>
      <c r="B2747" t="s">
        <v>16</v>
      </c>
      <c r="C2747" t="s">
        <v>17</v>
      </c>
      <c r="D2747">
        <v>58145000</v>
      </c>
      <c r="E2747">
        <v>58149999</v>
      </c>
      <c r="F2747" t="s">
        <v>2482</v>
      </c>
      <c r="G2747" t="str">
        <f t="shared" si="84"/>
        <v>PBI II</v>
      </c>
      <c r="H2747" t="s">
        <v>2471</v>
      </c>
      <c r="I2747" t="s">
        <v>20</v>
      </c>
      <c r="J2747" t="s">
        <v>64</v>
      </c>
      <c r="K2747" s="6">
        <v>0.03</v>
      </c>
      <c r="L2747" s="7">
        <f t="shared" si="85"/>
        <v>2E-3</v>
      </c>
      <c r="M2747" s="7">
        <v>3.0000000000000001E-3</v>
      </c>
      <c r="N2747">
        <v>11</v>
      </c>
      <c r="O2747" s="8">
        <v>25.469420399191385</v>
      </c>
      <c r="P2747" s="9">
        <v>25.469420399191385</v>
      </c>
      <c r="Q2747" s="9">
        <v>25.469420399191385</v>
      </c>
      <c r="R2747" s="9">
        <v>27.985354957700171</v>
      </c>
      <c r="S2747" s="9">
        <v>30.758461120802014</v>
      </c>
      <c r="T2747" s="9">
        <v>33.102903982805351</v>
      </c>
      <c r="U2747" s="9">
        <v>40.375170889228379</v>
      </c>
      <c r="V2747" s="9">
        <v>40.375170889228379</v>
      </c>
      <c r="W2747" s="9">
        <v>40.375170889228379</v>
      </c>
      <c r="X2747" s="9">
        <v>48.614146284608282</v>
      </c>
      <c r="Y2747" s="9">
        <v>48.614146284608282</v>
      </c>
      <c r="Z2747" s="9">
        <v>56.959894508429748</v>
      </c>
      <c r="AA2747" s="9">
        <v>56.959894508429748</v>
      </c>
      <c r="AB2747" s="9">
        <v>65.423092843536963</v>
      </c>
      <c r="AC2747" s="9">
        <v>65.423092843536963</v>
      </c>
      <c r="AD2747" s="9">
        <v>76.101886260449433</v>
      </c>
      <c r="AE2747" s="9">
        <v>84.004204331617984</v>
      </c>
      <c r="AF2747" s="9">
        <v>92.047281772276918</v>
      </c>
      <c r="AG2747" s="9">
        <v>92.047281772276918</v>
      </c>
      <c r="AH2747" s="9">
        <v>101.16093014574129</v>
      </c>
      <c r="AI2747" s="9">
        <v>110.08433596377185</v>
      </c>
      <c r="AJ2747" s="9">
        <v>3.0428788910505911</v>
      </c>
    </row>
    <row r="2748" spans="1:36" x14ac:dyDescent="0.25">
      <c r="A2748" t="s">
        <v>5411</v>
      </c>
      <c r="B2748" t="s">
        <v>16</v>
      </c>
      <c r="C2748" t="s">
        <v>17</v>
      </c>
      <c r="D2748">
        <v>58150000</v>
      </c>
      <c r="E2748">
        <v>58154999</v>
      </c>
      <c r="F2748" t="s">
        <v>2483</v>
      </c>
      <c r="G2748" t="str">
        <f t="shared" si="84"/>
        <v>PBI II</v>
      </c>
      <c r="H2748" t="s">
        <v>2471</v>
      </c>
      <c r="I2748" t="s">
        <v>20</v>
      </c>
      <c r="J2748" t="s">
        <v>64</v>
      </c>
      <c r="K2748" s="6">
        <v>0.03</v>
      </c>
      <c r="L2748" s="7">
        <f t="shared" si="85"/>
        <v>2E-3</v>
      </c>
      <c r="M2748" s="7">
        <v>3.0000000000000001E-3</v>
      </c>
      <c r="N2748">
        <v>11</v>
      </c>
      <c r="O2748" s="8">
        <v>25.469420399191385</v>
      </c>
      <c r="P2748" s="9">
        <v>25.469420399191385</v>
      </c>
      <c r="Q2748" s="9">
        <v>25.469420399191385</v>
      </c>
      <c r="R2748" s="9">
        <v>27.985354957700171</v>
      </c>
      <c r="S2748" s="9">
        <v>30.758461120802014</v>
      </c>
      <c r="T2748" s="9">
        <v>33.102903982805351</v>
      </c>
      <c r="U2748" s="9">
        <v>40.375170889228379</v>
      </c>
      <c r="V2748" s="9">
        <v>40.375170889228379</v>
      </c>
      <c r="W2748" s="9">
        <v>40.375170889228379</v>
      </c>
      <c r="X2748" s="9">
        <v>48.614146284608282</v>
      </c>
      <c r="Y2748" s="9">
        <v>48.614146284608282</v>
      </c>
      <c r="Z2748" s="9">
        <v>56.959894508429748</v>
      </c>
      <c r="AA2748" s="9">
        <v>56.959894508429748</v>
      </c>
      <c r="AB2748" s="9">
        <v>65.423092843536963</v>
      </c>
      <c r="AC2748" s="9">
        <v>65.423092843536963</v>
      </c>
      <c r="AD2748" s="9">
        <v>76.101886260449433</v>
      </c>
      <c r="AE2748" s="9">
        <v>84.004204331617984</v>
      </c>
      <c r="AF2748" s="9">
        <v>92.047281772276918</v>
      </c>
      <c r="AG2748" s="9">
        <v>92.047281772276918</v>
      </c>
      <c r="AH2748" s="9">
        <v>101.16093014574129</v>
      </c>
      <c r="AI2748" s="9">
        <v>110.08433596377185</v>
      </c>
      <c r="AJ2748" s="9">
        <v>3.0428788910505911</v>
      </c>
    </row>
    <row r="2749" spans="1:36" x14ac:dyDescent="0.25">
      <c r="A2749" t="s">
        <v>5411</v>
      </c>
      <c r="B2749" t="s">
        <v>16</v>
      </c>
      <c r="C2749" t="s">
        <v>17</v>
      </c>
      <c r="D2749">
        <v>58155000</v>
      </c>
      <c r="E2749">
        <v>58157999</v>
      </c>
      <c r="F2749" t="s">
        <v>2484</v>
      </c>
      <c r="G2749" t="str">
        <f t="shared" si="84"/>
        <v>PBI II</v>
      </c>
      <c r="H2749" t="s">
        <v>2471</v>
      </c>
      <c r="I2749" t="s">
        <v>20</v>
      </c>
      <c r="J2749" t="s">
        <v>64</v>
      </c>
      <c r="K2749" s="6">
        <v>0.03</v>
      </c>
      <c r="L2749" s="7">
        <f t="shared" si="85"/>
        <v>2E-3</v>
      </c>
      <c r="M2749" s="7">
        <v>3.0000000000000001E-3</v>
      </c>
      <c r="N2749">
        <v>11</v>
      </c>
      <c r="O2749" s="8">
        <v>25.469420399191385</v>
      </c>
      <c r="P2749" s="9">
        <v>25.469420399191385</v>
      </c>
      <c r="Q2749" s="9">
        <v>25.469420399191385</v>
      </c>
      <c r="R2749" s="9">
        <v>27.985354957700171</v>
      </c>
      <c r="S2749" s="9">
        <v>30.758461120802014</v>
      </c>
      <c r="T2749" s="9">
        <v>33.102903982805351</v>
      </c>
      <c r="U2749" s="9">
        <v>40.375170889228379</v>
      </c>
      <c r="V2749" s="9">
        <v>40.375170889228379</v>
      </c>
      <c r="W2749" s="9">
        <v>40.375170889228379</v>
      </c>
      <c r="X2749" s="9">
        <v>48.614146284608282</v>
      </c>
      <c r="Y2749" s="9">
        <v>48.614146284608282</v>
      </c>
      <c r="Z2749" s="9">
        <v>56.959894508429748</v>
      </c>
      <c r="AA2749" s="9">
        <v>56.959894508429748</v>
      </c>
      <c r="AB2749" s="9">
        <v>65.423092843536963</v>
      </c>
      <c r="AC2749" s="9">
        <v>65.423092843536963</v>
      </c>
      <c r="AD2749" s="9">
        <v>76.101886260449433</v>
      </c>
      <c r="AE2749" s="9">
        <v>84.004204331617984</v>
      </c>
      <c r="AF2749" s="9">
        <v>92.047281772276918</v>
      </c>
      <c r="AG2749" s="9">
        <v>92.047281772276918</v>
      </c>
      <c r="AH2749" s="9">
        <v>101.16093014574129</v>
      </c>
      <c r="AI2749" s="9">
        <v>110.08433596377185</v>
      </c>
      <c r="AJ2749" s="9">
        <v>3.0428788910505911</v>
      </c>
    </row>
    <row r="2750" spans="1:36" x14ac:dyDescent="0.25">
      <c r="A2750" t="s">
        <v>5411</v>
      </c>
      <c r="B2750" t="s">
        <v>16</v>
      </c>
      <c r="C2750" t="s">
        <v>17</v>
      </c>
      <c r="D2750">
        <v>58158000</v>
      </c>
      <c r="E2750">
        <v>58159999</v>
      </c>
      <c r="F2750" t="s">
        <v>2485</v>
      </c>
      <c r="G2750" t="str">
        <f t="shared" si="84"/>
        <v>PBR</v>
      </c>
      <c r="H2750" t="s">
        <v>2471</v>
      </c>
      <c r="I2750" t="s">
        <v>20</v>
      </c>
      <c r="J2750" t="s">
        <v>77</v>
      </c>
      <c r="K2750" s="6">
        <v>0.03</v>
      </c>
      <c r="L2750" s="7">
        <f t="shared" si="85"/>
        <v>2E-3</v>
      </c>
      <c r="M2750" s="7">
        <v>3.0000000000000001E-3</v>
      </c>
      <c r="N2750">
        <v>17</v>
      </c>
      <c r="O2750" s="8">
        <v>31.674720005909176</v>
      </c>
      <c r="P2750" s="9">
        <v>31.674720005909176</v>
      </c>
      <c r="Q2750" s="9">
        <v>31.674720005909176</v>
      </c>
      <c r="R2750" s="9">
        <v>34.913308289497976</v>
      </c>
      <c r="S2750" s="9">
        <v>38.480048605011753</v>
      </c>
      <c r="T2750" s="9">
        <v>40.939971907336925</v>
      </c>
      <c r="U2750" s="9">
        <v>49.333088414904694</v>
      </c>
      <c r="V2750" s="9">
        <v>49.333088414904694</v>
      </c>
      <c r="W2750" s="9">
        <v>49.333088414904694</v>
      </c>
      <c r="X2750" s="9">
        <v>63.21225398254326</v>
      </c>
      <c r="Y2750" s="9">
        <v>63.21225398254326</v>
      </c>
      <c r="Z2750" s="9">
        <v>73.404961153420544</v>
      </c>
      <c r="AA2750" s="9">
        <v>73.404961153420544</v>
      </c>
      <c r="AB2750" s="9">
        <v>83.820133806833923</v>
      </c>
      <c r="AC2750" s="9">
        <v>83.820133806833923</v>
      </c>
      <c r="AD2750" s="9">
        <v>94.480018491037072</v>
      </c>
      <c r="AE2750" s="9">
        <v>105.40908640910902</v>
      </c>
      <c r="AF2750" s="9">
        <v>116.6342558844366</v>
      </c>
      <c r="AG2750" s="9">
        <v>116.6342558844366</v>
      </c>
      <c r="AH2750" s="9">
        <v>128.18513707274536</v>
      </c>
      <c r="AI2750" s="9">
        <v>140.98660541754566</v>
      </c>
      <c r="AJ2750" s="9">
        <v>3.0428788910505911</v>
      </c>
    </row>
    <row r="2751" spans="1:36" x14ac:dyDescent="0.25">
      <c r="A2751" t="s">
        <v>5411</v>
      </c>
      <c r="B2751" t="s">
        <v>16</v>
      </c>
      <c r="C2751" t="s">
        <v>17</v>
      </c>
      <c r="D2751">
        <v>58160000</v>
      </c>
      <c r="E2751">
        <v>58166999</v>
      </c>
      <c r="F2751" t="s">
        <v>2486</v>
      </c>
      <c r="G2751" t="str">
        <f t="shared" si="84"/>
        <v>PBR</v>
      </c>
      <c r="H2751" t="s">
        <v>2471</v>
      </c>
      <c r="I2751" t="s">
        <v>20</v>
      </c>
      <c r="J2751" t="s">
        <v>77</v>
      </c>
      <c r="K2751" s="6">
        <v>0.03</v>
      </c>
      <c r="L2751" s="7">
        <f t="shared" si="85"/>
        <v>2E-3</v>
      </c>
      <c r="M2751" s="7">
        <v>3.0000000000000001E-3</v>
      </c>
      <c r="N2751">
        <v>17</v>
      </c>
      <c r="O2751" s="8">
        <v>31.674720005909176</v>
      </c>
      <c r="P2751" s="9">
        <v>31.674720005909176</v>
      </c>
      <c r="Q2751" s="9">
        <v>31.674720005909176</v>
      </c>
      <c r="R2751" s="9">
        <v>34.913308289497976</v>
      </c>
      <c r="S2751" s="9">
        <v>38.480048605011753</v>
      </c>
      <c r="T2751" s="9">
        <v>40.939971907336925</v>
      </c>
      <c r="U2751" s="9">
        <v>49.333088414904694</v>
      </c>
      <c r="V2751" s="9">
        <v>49.333088414904694</v>
      </c>
      <c r="W2751" s="9">
        <v>49.333088414904694</v>
      </c>
      <c r="X2751" s="9">
        <v>63.21225398254326</v>
      </c>
      <c r="Y2751" s="9">
        <v>63.21225398254326</v>
      </c>
      <c r="Z2751" s="9">
        <v>73.404961153420544</v>
      </c>
      <c r="AA2751" s="9">
        <v>73.404961153420544</v>
      </c>
      <c r="AB2751" s="9">
        <v>83.820133806833923</v>
      </c>
      <c r="AC2751" s="9">
        <v>83.820133806833923</v>
      </c>
      <c r="AD2751" s="9">
        <v>94.480018491037072</v>
      </c>
      <c r="AE2751" s="9">
        <v>105.40908640910902</v>
      </c>
      <c r="AF2751" s="9">
        <v>116.6342558844366</v>
      </c>
      <c r="AG2751" s="9">
        <v>116.6342558844366</v>
      </c>
      <c r="AH2751" s="9">
        <v>128.18513707274536</v>
      </c>
      <c r="AI2751" s="9">
        <v>140.98660541754566</v>
      </c>
      <c r="AJ2751" s="9">
        <v>3.0428788910505911</v>
      </c>
    </row>
    <row r="2752" spans="1:36" x14ac:dyDescent="0.25">
      <c r="A2752" t="s">
        <v>5411</v>
      </c>
      <c r="B2752" t="s">
        <v>16</v>
      </c>
      <c r="C2752" t="s">
        <v>17</v>
      </c>
      <c r="D2752">
        <v>58167000</v>
      </c>
      <c r="E2752">
        <v>58169999</v>
      </c>
      <c r="F2752" t="s">
        <v>2487</v>
      </c>
      <c r="G2752" t="str">
        <f t="shared" si="84"/>
        <v>PBR</v>
      </c>
      <c r="H2752" t="s">
        <v>2471</v>
      </c>
      <c r="I2752" t="s">
        <v>20</v>
      </c>
      <c r="J2752" t="s">
        <v>77</v>
      </c>
      <c r="K2752" s="6">
        <v>0.03</v>
      </c>
      <c r="L2752" s="7">
        <f t="shared" si="85"/>
        <v>2E-3</v>
      </c>
      <c r="M2752" s="7">
        <v>3.0000000000000001E-3</v>
      </c>
      <c r="N2752">
        <v>17</v>
      </c>
      <c r="O2752" s="8">
        <v>31.674720005909176</v>
      </c>
      <c r="P2752" s="9">
        <v>31.674720005909176</v>
      </c>
      <c r="Q2752" s="9">
        <v>31.674720005909176</v>
      </c>
      <c r="R2752" s="9">
        <v>34.913308289497976</v>
      </c>
      <c r="S2752" s="9">
        <v>38.480048605011753</v>
      </c>
      <c r="T2752" s="9">
        <v>40.939971907336925</v>
      </c>
      <c r="U2752" s="9">
        <v>49.333088414904694</v>
      </c>
      <c r="V2752" s="9">
        <v>49.333088414904694</v>
      </c>
      <c r="W2752" s="9">
        <v>49.333088414904694</v>
      </c>
      <c r="X2752" s="9">
        <v>63.21225398254326</v>
      </c>
      <c r="Y2752" s="9">
        <v>63.21225398254326</v>
      </c>
      <c r="Z2752" s="9">
        <v>73.404961153420544</v>
      </c>
      <c r="AA2752" s="9">
        <v>73.404961153420544</v>
      </c>
      <c r="AB2752" s="9">
        <v>83.820133806833923</v>
      </c>
      <c r="AC2752" s="9">
        <v>83.820133806833923</v>
      </c>
      <c r="AD2752" s="9">
        <v>94.480018491037072</v>
      </c>
      <c r="AE2752" s="9">
        <v>105.40908640910902</v>
      </c>
      <c r="AF2752" s="9">
        <v>116.6342558844366</v>
      </c>
      <c r="AG2752" s="9">
        <v>116.6342558844366</v>
      </c>
      <c r="AH2752" s="9">
        <v>128.18513707274536</v>
      </c>
      <c r="AI2752" s="9">
        <v>140.98660541754566</v>
      </c>
      <c r="AJ2752" s="9">
        <v>3.0428788910505911</v>
      </c>
    </row>
    <row r="2753" spans="1:36" x14ac:dyDescent="0.25">
      <c r="A2753" t="s">
        <v>5411</v>
      </c>
      <c r="B2753" t="s">
        <v>16</v>
      </c>
      <c r="C2753" t="s">
        <v>17</v>
      </c>
      <c r="D2753">
        <v>58170000</v>
      </c>
      <c r="E2753">
        <v>58172999</v>
      </c>
      <c r="F2753" t="s">
        <v>2488</v>
      </c>
      <c r="G2753" t="str">
        <f t="shared" si="84"/>
        <v>PBR</v>
      </c>
      <c r="H2753" t="s">
        <v>2471</v>
      </c>
      <c r="I2753" t="s">
        <v>20</v>
      </c>
      <c r="J2753" t="s">
        <v>77</v>
      </c>
      <c r="K2753" s="6">
        <v>0.03</v>
      </c>
      <c r="L2753" s="7">
        <f t="shared" si="85"/>
        <v>2E-3</v>
      </c>
      <c r="M2753" s="7">
        <v>3.0000000000000001E-3</v>
      </c>
      <c r="N2753">
        <v>17</v>
      </c>
      <c r="O2753" s="8">
        <v>31.674720005909176</v>
      </c>
      <c r="P2753" s="9">
        <v>31.674720005909176</v>
      </c>
      <c r="Q2753" s="9">
        <v>31.674720005909176</v>
      </c>
      <c r="R2753" s="9">
        <v>34.913308289497976</v>
      </c>
      <c r="S2753" s="9">
        <v>38.480048605011753</v>
      </c>
      <c r="T2753" s="9">
        <v>40.939971907336925</v>
      </c>
      <c r="U2753" s="9">
        <v>49.333088414904694</v>
      </c>
      <c r="V2753" s="9">
        <v>49.333088414904694</v>
      </c>
      <c r="W2753" s="9">
        <v>49.333088414904694</v>
      </c>
      <c r="X2753" s="9">
        <v>63.21225398254326</v>
      </c>
      <c r="Y2753" s="9">
        <v>63.21225398254326</v>
      </c>
      <c r="Z2753" s="9">
        <v>73.404961153420544</v>
      </c>
      <c r="AA2753" s="9">
        <v>73.404961153420544</v>
      </c>
      <c r="AB2753" s="9">
        <v>83.820133806833923</v>
      </c>
      <c r="AC2753" s="9">
        <v>83.820133806833923</v>
      </c>
      <c r="AD2753" s="9">
        <v>94.480018491037072</v>
      </c>
      <c r="AE2753" s="9">
        <v>105.40908640910902</v>
      </c>
      <c r="AF2753" s="9">
        <v>116.6342558844366</v>
      </c>
      <c r="AG2753" s="9">
        <v>116.6342558844366</v>
      </c>
      <c r="AH2753" s="9">
        <v>128.18513707274536</v>
      </c>
      <c r="AI2753" s="9">
        <v>140.98660541754566</v>
      </c>
      <c r="AJ2753" s="9">
        <v>3.0428788910505911</v>
      </c>
    </row>
    <row r="2754" spans="1:36" x14ac:dyDescent="0.25">
      <c r="A2754" t="s">
        <v>5411</v>
      </c>
      <c r="B2754" t="s">
        <v>16</v>
      </c>
      <c r="C2754" t="s">
        <v>17</v>
      </c>
      <c r="D2754">
        <v>58173000</v>
      </c>
      <c r="E2754">
        <v>58174999</v>
      </c>
      <c r="F2754" t="s">
        <v>2489</v>
      </c>
      <c r="G2754" t="str">
        <f t="shared" si="84"/>
        <v>PBR</v>
      </c>
      <c r="H2754" t="s">
        <v>2471</v>
      </c>
      <c r="I2754" t="s">
        <v>20</v>
      </c>
      <c r="J2754" t="s">
        <v>77</v>
      </c>
      <c r="K2754" s="6">
        <v>0.03</v>
      </c>
      <c r="L2754" s="7">
        <f t="shared" si="85"/>
        <v>2E-3</v>
      </c>
      <c r="M2754" s="7">
        <v>3.0000000000000001E-3</v>
      </c>
      <c r="N2754">
        <v>17</v>
      </c>
      <c r="O2754" s="8">
        <v>31.674720005909176</v>
      </c>
      <c r="P2754" s="9">
        <v>31.674720005909176</v>
      </c>
      <c r="Q2754" s="9">
        <v>31.674720005909176</v>
      </c>
      <c r="R2754" s="9">
        <v>34.913308289497976</v>
      </c>
      <c r="S2754" s="9">
        <v>38.480048605011753</v>
      </c>
      <c r="T2754" s="9">
        <v>40.939971907336925</v>
      </c>
      <c r="U2754" s="9">
        <v>49.333088414904694</v>
      </c>
      <c r="V2754" s="9">
        <v>49.333088414904694</v>
      </c>
      <c r="W2754" s="9">
        <v>49.333088414904694</v>
      </c>
      <c r="X2754" s="9">
        <v>63.21225398254326</v>
      </c>
      <c r="Y2754" s="9">
        <v>63.21225398254326</v>
      </c>
      <c r="Z2754" s="9">
        <v>73.404961153420544</v>
      </c>
      <c r="AA2754" s="9">
        <v>73.404961153420544</v>
      </c>
      <c r="AB2754" s="9">
        <v>83.820133806833923</v>
      </c>
      <c r="AC2754" s="9">
        <v>83.820133806833923</v>
      </c>
      <c r="AD2754" s="9">
        <v>94.480018491037072</v>
      </c>
      <c r="AE2754" s="9">
        <v>105.40908640910902</v>
      </c>
      <c r="AF2754" s="9">
        <v>116.6342558844366</v>
      </c>
      <c r="AG2754" s="9">
        <v>116.6342558844366</v>
      </c>
      <c r="AH2754" s="9">
        <v>128.18513707274536</v>
      </c>
      <c r="AI2754" s="9">
        <v>140.98660541754566</v>
      </c>
      <c r="AJ2754" s="9">
        <v>3.0428788910505911</v>
      </c>
    </row>
    <row r="2755" spans="1:36" x14ac:dyDescent="0.25">
      <c r="A2755" t="s">
        <v>5411</v>
      </c>
      <c r="B2755" t="s">
        <v>16</v>
      </c>
      <c r="C2755" t="s">
        <v>17</v>
      </c>
      <c r="D2755">
        <v>58175000</v>
      </c>
      <c r="E2755">
        <v>58176999</v>
      </c>
      <c r="F2755" t="s">
        <v>2490</v>
      </c>
      <c r="G2755" t="str">
        <f t="shared" si="84"/>
        <v>PBR</v>
      </c>
      <c r="H2755" t="s">
        <v>2471</v>
      </c>
      <c r="I2755" t="s">
        <v>20</v>
      </c>
      <c r="J2755" t="s">
        <v>77</v>
      </c>
      <c r="K2755" s="6">
        <v>0.03</v>
      </c>
      <c r="L2755" s="7">
        <f t="shared" si="85"/>
        <v>2E-3</v>
      </c>
      <c r="M2755" s="7">
        <v>3.0000000000000001E-3</v>
      </c>
      <c r="N2755">
        <v>17</v>
      </c>
      <c r="O2755" s="8">
        <v>31.674720005909176</v>
      </c>
      <c r="P2755" s="9">
        <v>31.674720005909176</v>
      </c>
      <c r="Q2755" s="9">
        <v>31.674720005909176</v>
      </c>
      <c r="R2755" s="9">
        <v>34.913308289497976</v>
      </c>
      <c r="S2755" s="9">
        <v>38.480048605011753</v>
      </c>
      <c r="T2755" s="9">
        <v>40.939971907336925</v>
      </c>
      <c r="U2755" s="9">
        <v>49.333088414904694</v>
      </c>
      <c r="V2755" s="9">
        <v>49.333088414904694</v>
      </c>
      <c r="W2755" s="9">
        <v>49.333088414904694</v>
      </c>
      <c r="X2755" s="9">
        <v>63.21225398254326</v>
      </c>
      <c r="Y2755" s="9">
        <v>63.21225398254326</v>
      </c>
      <c r="Z2755" s="9">
        <v>73.404961153420544</v>
      </c>
      <c r="AA2755" s="9">
        <v>73.404961153420544</v>
      </c>
      <c r="AB2755" s="9">
        <v>83.820133806833923</v>
      </c>
      <c r="AC2755" s="9">
        <v>83.820133806833923</v>
      </c>
      <c r="AD2755" s="9">
        <v>94.480018491037072</v>
      </c>
      <c r="AE2755" s="9">
        <v>105.40908640910902</v>
      </c>
      <c r="AF2755" s="9">
        <v>116.6342558844366</v>
      </c>
      <c r="AG2755" s="9">
        <v>116.6342558844366</v>
      </c>
      <c r="AH2755" s="9">
        <v>128.18513707274536</v>
      </c>
      <c r="AI2755" s="9">
        <v>140.98660541754566</v>
      </c>
      <c r="AJ2755" s="9">
        <v>3.0428788910505911</v>
      </c>
    </row>
    <row r="2756" spans="1:36" x14ac:dyDescent="0.25">
      <c r="A2756" t="s">
        <v>5411</v>
      </c>
      <c r="B2756" t="s">
        <v>16</v>
      </c>
      <c r="C2756" t="s">
        <v>17</v>
      </c>
      <c r="D2756">
        <v>58177000</v>
      </c>
      <c r="E2756">
        <v>58177999</v>
      </c>
      <c r="F2756" t="s">
        <v>2491</v>
      </c>
      <c r="G2756" t="str">
        <f t="shared" ref="G2756:G2819" si="86">H2756&amp;IF(J2756="CAPITAL","C",IF(J2756="INTERIOR","I",IF(J2756="INTERIOR II","I II","R")))</f>
        <v>PBR</v>
      </c>
      <c r="H2756" t="s">
        <v>2471</v>
      </c>
      <c r="I2756" t="s">
        <v>20</v>
      </c>
      <c r="J2756" t="s">
        <v>77</v>
      </c>
      <c r="K2756" s="6">
        <v>0.03</v>
      </c>
      <c r="L2756" s="7">
        <f t="shared" ref="L2756:L2819" si="87">IF(I2756="(0) Não",0.2%,3%)</f>
        <v>2E-3</v>
      </c>
      <c r="M2756" s="7">
        <v>3.0000000000000001E-3</v>
      </c>
      <c r="N2756">
        <v>17</v>
      </c>
      <c r="O2756" s="8">
        <v>31.674720005909176</v>
      </c>
      <c r="P2756" s="9">
        <v>31.674720005909176</v>
      </c>
      <c r="Q2756" s="9">
        <v>31.674720005909176</v>
      </c>
      <c r="R2756" s="9">
        <v>34.913308289497976</v>
      </c>
      <c r="S2756" s="9">
        <v>38.480048605011753</v>
      </c>
      <c r="T2756" s="9">
        <v>40.939971907336925</v>
      </c>
      <c r="U2756" s="9">
        <v>49.333088414904694</v>
      </c>
      <c r="V2756" s="9">
        <v>49.333088414904694</v>
      </c>
      <c r="W2756" s="9">
        <v>49.333088414904694</v>
      </c>
      <c r="X2756" s="9">
        <v>63.21225398254326</v>
      </c>
      <c r="Y2756" s="9">
        <v>63.21225398254326</v>
      </c>
      <c r="Z2756" s="9">
        <v>73.404961153420544</v>
      </c>
      <c r="AA2756" s="9">
        <v>73.404961153420544</v>
      </c>
      <c r="AB2756" s="9">
        <v>83.820133806833923</v>
      </c>
      <c r="AC2756" s="9">
        <v>83.820133806833923</v>
      </c>
      <c r="AD2756" s="9">
        <v>94.480018491037072</v>
      </c>
      <c r="AE2756" s="9">
        <v>105.40908640910902</v>
      </c>
      <c r="AF2756" s="9">
        <v>116.6342558844366</v>
      </c>
      <c r="AG2756" s="9">
        <v>116.6342558844366</v>
      </c>
      <c r="AH2756" s="9">
        <v>128.18513707274536</v>
      </c>
      <c r="AI2756" s="9">
        <v>140.98660541754566</v>
      </c>
      <c r="AJ2756" s="9">
        <v>3.0428788910505911</v>
      </c>
    </row>
    <row r="2757" spans="1:36" x14ac:dyDescent="0.25">
      <c r="A2757" t="s">
        <v>5411</v>
      </c>
      <c r="B2757" t="s">
        <v>16</v>
      </c>
      <c r="C2757" t="s">
        <v>17</v>
      </c>
      <c r="D2757">
        <v>58178000</v>
      </c>
      <c r="E2757">
        <v>58179999</v>
      </c>
      <c r="F2757" t="s">
        <v>2492</v>
      </c>
      <c r="G2757" t="str">
        <f t="shared" si="86"/>
        <v>PBR</v>
      </c>
      <c r="H2757" t="s">
        <v>2471</v>
      </c>
      <c r="I2757" t="s">
        <v>20</v>
      </c>
      <c r="J2757" t="s">
        <v>77</v>
      </c>
      <c r="K2757" s="6">
        <v>0.03</v>
      </c>
      <c r="L2757" s="7">
        <f t="shared" si="87"/>
        <v>2E-3</v>
      </c>
      <c r="M2757" s="7">
        <v>3.0000000000000001E-3</v>
      </c>
      <c r="N2757">
        <v>17</v>
      </c>
      <c r="O2757" s="8">
        <v>31.674720005909176</v>
      </c>
      <c r="P2757" s="9">
        <v>31.674720005909176</v>
      </c>
      <c r="Q2757" s="9">
        <v>31.674720005909176</v>
      </c>
      <c r="R2757" s="9">
        <v>34.913308289497976</v>
      </c>
      <c r="S2757" s="9">
        <v>38.480048605011753</v>
      </c>
      <c r="T2757" s="9">
        <v>40.939971907336925</v>
      </c>
      <c r="U2757" s="9">
        <v>49.333088414904694</v>
      </c>
      <c r="V2757" s="9">
        <v>49.333088414904694</v>
      </c>
      <c r="W2757" s="9">
        <v>49.333088414904694</v>
      </c>
      <c r="X2757" s="9">
        <v>63.21225398254326</v>
      </c>
      <c r="Y2757" s="9">
        <v>63.21225398254326</v>
      </c>
      <c r="Z2757" s="9">
        <v>73.404961153420544</v>
      </c>
      <c r="AA2757" s="9">
        <v>73.404961153420544</v>
      </c>
      <c r="AB2757" s="9">
        <v>83.820133806833923</v>
      </c>
      <c r="AC2757" s="9">
        <v>83.820133806833923</v>
      </c>
      <c r="AD2757" s="9">
        <v>94.480018491037072</v>
      </c>
      <c r="AE2757" s="9">
        <v>105.40908640910902</v>
      </c>
      <c r="AF2757" s="9">
        <v>116.6342558844366</v>
      </c>
      <c r="AG2757" s="9">
        <v>116.6342558844366</v>
      </c>
      <c r="AH2757" s="9">
        <v>128.18513707274536</v>
      </c>
      <c r="AI2757" s="9">
        <v>140.98660541754566</v>
      </c>
      <c r="AJ2757" s="9">
        <v>3.0428788910505911</v>
      </c>
    </row>
    <row r="2758" spans="1:36" x14ac:dyDescent="0.25">
      <c r="A2758" t="s">
        <v>5411</v>
      </c>
      <c r="B2758" t="s">
        <v>16</v>
      </c>
      <c r="C2758" t="s">
        <v>17</v>
      </c>
      <c r="D2758">
        <v>58180000</v>
      </c>
      <c r="E2758">
        <v>58183999</v>
      </c>
      <c r="F2758" t="s">
        <v>2493</v>
      </c>
      <c r="G2758" t="str">
        <f t="shared" si="86"/>
        <v>PBR</v>
      </c>
      <c r="H2758" t="s">
        <v>2471</v>
      </c>
      <c r="I2758" t="s">
        <v>20</v>
      </c>
      <c r="J2758" t="s">
        <v>77</v>
      </c>
      <c r="K2758" s="6">
        <v>0.03</v>
      </c>
      <c r="L2758" s="7">
        <f t="shared" si="87"/>
        <v>2E-3</v>
      </c>
      <c r="M2758" s="7">
        <v>3.0000000000000001E-3</v>
      </c>
      <c r="N2758">
        <v>17</v>
      </c>
      <c r="O2758" s="8">
        <v>31.674720005909176</v>
      </c>
      <c r="P2758" s="9">
        <v>31.674720005909176</v>
      </c>
      <c r="Q2758" s="9">
        <v>31.674720005909176</v>
      </c>
      <c r="R2758" s="9">
        <v>34.913308289497976</v>
      </c>
      <c r="S2758" s="9">
        <v>38.480048605011753</v>
      </c>
      <c r="T2758" s="9">
        <v>40.939971907336925</v>
      </c>
      <c r="U2758" s="9">
        <v>49.333088414904694</v>
      </c>
      <c r="V2758" s="9">
        <v>49.333088414904694</v>
      </c>
      <c r="W2758" s="9">
        <v>49.333088414904694</v>
      </c>
      <c r="X2758" s="9">
        <v>63.21225398254326</v>
      </c>
      <c r="Y2758" s="9">
        <v>63.21225398254326</v>
      </c>
      <c r="Z2758" s="9">
        <v>73.404961153420544</v>
      </c>
      <c r="AA2758" s="9">
        <v>73.404961153420544</v>
      </c>
      <c r="AB2758" s="9">
        <v>83.820133806833923</v>
      </c>
      <c r="AC2758" s="9">
        <v>83.820133806833923</v>
      </c>
      <c r="AD2758" s="9">
        <v>94.480018491037072</v>
      </c>
      <c r="AE2758" s="9">
        <v>105.40908640910902</v>
      </c>
      <c r="AF2758" s="9">
        <v>116.6342558844366</v>
      </c>
      <c r="AG2758" s="9">
        <v>116.6342558844366</v>
      </c>
      <c r="AH2758" s="9">
        <v>128.18513707274536</v>
      </c>
      <c r="AI2758" s="9">
        <v>140.98660541754566</v>
      </c>
      <c r="AJ2758" s="9">
        <v>3.0428788910505911</v>
      </c>
    </row>
    <row r="2759" spans="1:36" x14ac:dyDescent="0.25">
      <c r="A2759" t="s">
        <v>5411</v>
      </c>
      <c r="B2759" t="s">
        <v>16</v>
      </c>
      <c r="C2759" t="s">
        <v>17</v>
      </c>
      <c r="D2759">
        <v>58184000</v>
      </c>
      <c r="E2759">
        <v>58186999</v>
      </c>
      <c r="F2759" t="s">
        <v>2494</v>
      </c>
      <c r="G2759" t="str">
        <f t="shared" si="86"/>
        <v>PBR</v>
      </c>
      <c r="H2759" t="s">
        <v>2471</v>
      </c>
      <c r="I2759" t="s">
        <v>20</v>
      </c>
      <c r="J2759" t="s">
        <v>77</v>
      </c>
      <c r="K2759" s="6">
        <v>0.03</v>
      </c>
      <c r="L2759" s="7">
        <f t="shared" si="87"/>
        <v>2E-3</v>
      </c>
      <c r="M2759" s="7">
        <v>3.0000000000000001E-3</v>
      </c>
      <c r="N2759">
        <v>17</v>
      </c>
      <c r="O2759" s="8">
        <v>31.674720005909176</v>
      </c>
      <c r="P2759" s="9">
        <v>31.674720005909176</v>
      </c>
      <c r="Q2759" s="9">
        <v>31.674720005909176</v>
      </c>
      <c r="R2759" s="9">
        <v>34.913308289497976</v>
      </c>
      <c r="S2759" s="9">
        <v>38.480048605011753</v>
      </c>
      <c r="T2759" s="9">
        <v>40.939971907336925</v>
      </c>
      <c r="U2759" s="9">
        <v>49.333088414904694</v>
      </c>
      <c r="V2759" s="9">
        <v>49.333088414904694</v>
      </c>
      <c r="W2759" s="9">
        <v>49.333088414904694</v>
      </c>
      <c r="X2759" s="9">
        <v>63.21225398254326</v>
      </c>
      <c r="Y2759" s="9">
        <v>63.21225398254326</v>
      </c>
      <c r="Z2759" s="9">
        <v>73.404961153420544</v>
      </c>
      <c r="AA2759" s="9">
        <v>73.404961153420544</v>
      </c>
      <c r="AB2759" s="9">
        <v>83.820133806833923</v>
      </c>
      <c r="AC2759" s="9">
        <v>83.820133806833923</v>
      </c>
      <c r="AD2759" s="9">
        <v>94.480018491037072</v>
      </c>
      <c r="AE2759" s="9">
        <v>105.40908640910902</v>
      </c>
      <c r="AF2759" s="9">
        <v>116.6342558844366</v>
      </c>
      <c r="AG2759" s="9">
        <v>116.6342558844366</v>
      </c>
      <c r="AH2759" s="9">
        <v>128.18513707274536</v>
      </c>
      <c r="AI2759" s="9">
        <v>140.98660541754566</v>
      </c>
      <c r="AJ2759" s="9">
        <v>3.0428788910505911</v>
      </c>
    </row>
    <row r="2760" spans="1:36" x14ac:dyDescent="0.25">
      <c r="A2760" t="s">
        <v>5411</v>
      </c>
      <c r="B2760" t="s">
        <v>16</v>
      </c>
      <c r="C2760" t="s">
        <v>17</v>
      </c>
      <c r="D2760">
        <v>58187000</v>
      </c>
      <c r="E2760">
        <v>58187999</v>
      </c>
      <c r="F2760" t="s">
        <v>2495</v>
      </c>
      <c r="G2760" t="str">
        <f t="shared" si="86"/>
        <v>PBR</v>
      </c>
      <c r="H2760" t="s">
        <v>2471</v>
      </c>
      <c r="I2760" t="s">
        <v>20</v>
      </c>
      <c r="J2760" t="s">
        <v>77</v>
      </c>
      <c r="K2760" s="6">
        <v>0.03</v>
      </c>
      <c r="L2760" s="7">
        <f t="shared" si="87"/>
        <v>2E-3</v>
      </c>
      <c r="M2760" s="7">
        <v>3.0000000000000001E-3</v>
      </c>
      <c r="N2760">
        <v>17</v>
      </c>
      <c r="O2760" s="8">
        <v>31.674720005909176</v>
      </c>
      <c r="P2760" s="9">
        <v>31.674720005909176</v>
      </c>
      <c r="Q2760" s="9">
        <v>31.674720005909176</v>
      </c>
      <c r="R2760" s="9">
        <v>34.913308289497976</v>
      </c>
      <c r="S2760" s="9">
        <v>38.480048605011753</v>
      </c>
      <c r="T2760" s="9">
        <v>40.939971907336925</v>
      </c>
      <c r="U2760" s="9">
        <v>49.333088414904694</v>
      </c>
      <c r="V2760" s="9">
        <v>49.333088414904694</v>
      </c>
      <c r="W2760" s="9">
        <v>49.333088414904694</v>
      </c>
      <c r="X2760" s="9">
        <v>63.21225398254326</v>
      </c>
      <c r="Y2760" s="9">
        <v>63.21225398254326</v>
      </c>
      <c r="Z2760" s="9">
        <v>73.404961153420544</v>
      </c>
      <c r="AA2760" s="9">
        <v>73.404961153420544</v>
      </c>
      <c r="AB2760" s="9">
        <v>83.820133806833923</v>
      </c>
      <c r="AC2760" s="9">
        <v>83.820133806833923</v>
      </c>
      <c r="AD2760" s="9">
        <v>94.480018491037072</v>
      </c>
      <c r="AE2760" s="9">
        <v>105.40908640910902</v>
      </c>
      <c r="AF2760" s="9">
        <v>116.6342558844366</v>
      </c>
      <c r="AG2760" s="9">
        <v>116.6342558844366</v>
      </c>
      <c r="AH2760" s="9">
        <v>128.18513707274536</v>
      </c>
      <c r="AI2760" s="9">
        <v>140.98660541754566</v>
      </c>
      <c r="AJ2760" s="9">
        <v>3.0428788910505911</v>
      </c>
    </row>
    <row r="2761" spans="1:36" x14ac:dyDescent="0.25">
      <c r="A2761" t="s">
        <v>5411</v>
      </c>
      <c r="B2761" t="s">
        <v>16</v>
      </c>
      <c r="C2761" t="s">
        <v>17</v>
      </c>
      <c r="D2761">
        <v>58188000</v>
      </c>
      <c r="E2761">
        <v>58194999</v>
      </c>
      <c r="F2761" t="s">
        <v>2496</v>
      </c>
      <c r="G2761" t="str">
        <f t="shared" si="86"/>
        <v>PBR</v>
      </c>
      <c r="H2761" t="s">
        <v>2471</v>
      </c>
      <c r="I2761" t="s">
        <v>20</v>
      </c>
      <c r="J2761" t="s">
        <v>77</v>
      </c>
      <c r="K2761" s="6">
        <v>0.03</v>
      </c>
      <c r="L2761" s="7">
        <f t="shared" si="87"/>
        <v>2E-3</v>
      </c>
      <c r="M2761" s="7">
        <v>3.0000000000000001E-3</v>
      </c>
      <c r="N2761">
        <v>17</v>
      </c>
      <c r="O2761" s="8">
        <v>31.674720005909176</v>
      </c>
      <c r="P2761" s="9">
        <v>31.674720005909176</v>
      </c>
      <c r="Q2761" s="9">
        <v>31.674720005909176</v>
      </c>
      <c r="R2761" s="9">
        <v>34.913308289497976</v>
      </c>
      <c r="S2761" s="9">
        <v>38.480048605011753</v>
      </c>
      <c r="T2761" s="9">
        <v>40.939971907336925</v>
      </c>
      <c r="U2761" s="9">
        <v>49.333088414904694</v>
      </c>
      <c r="V2761" s="9">
        <v>49.333088414904694</v>
      </c>
      <c r="W2761" s="9">
        <v>49.333088414904694</v>
      </c>
      <c r="X2761" s="9">
        <v>63.21225398254326</v>
      </c>
      <c r="Y2761" s="9">
        <v>63.21225398254326</v>
      </c>
      <c r="Z2761" s="9">
        <v>73.404961153420544</v>
      </c>
      <c r="AA2761" s="9">
        <v>73.404961153420544</v>
      </c>
      <c r="AB2761" s="9">
        <v>83.820133806833923</v>
      </c>
      <c r="AC2761" s="9">
        <v>83.820133806833923</v>
      </c>
      <c r="AD2761" s="9">
        <v>94.480018491037072</v>
      </c>
      <c r="AE2761" s="9">
        <v>105.40908640910902</v>
      </c>
      <c r="AF2761" s="9">
        <v>116.6342558844366</v>
      </c>
      <c r="AG2761" s="9">
        <v>116.6342558844366</v>
      </c>
      <c r="AH2761" s="9">
        <v>128.18513707274536</v>
      </c>
      <c r="AI2761" s="9">
        <v>140.98660541754566</v>
      </c>
      <c r="AJ2761" s="9">
        <v>3.0428788910505911</v>
      </c>
    </row>
    <row r="2762" spans="1:36" x14ac:dyDescent="0.25">
      <c r="A2762" t="s">
        <v>5411</v>
      </c>
      <c r="B2762" t="s">
        <v>16</v>
      </c>
      <c r="C2762" t="s">
        <v>17</v>
      </c>
      <c r="D2762">
        <v>58195000</v>
      </c>
      <c r="E2762">
        <v>58199999</v>
      </c>
      <c r="F2762" t="s">
        <v>2497</v>
      </c>
      <c r="G2762" t="str">
        <f t="shared" si="86"/>
        <v>PBR</v>
      </c>
      <c r="H2762" t="s">
        <v>2471</v>
      </c>
      <c r="I2762" t="s">
        <v>20</v>
      </c>
      <c r="J2762" t="s">
        <v>77</v>
      </c>
      <c r="K2762" s="6">
        <v>0.03</v>
      </c>
      <c r="L2762" s="7">
        <f t="shared" si="87"/>
        <v>2E-3</v>
      </c>
      <c r="M2762" s="7">
        <v>3.0000000000000001E-3</v>
      </c>
      <c r="N2762">
        <v>17</v>
      </c>
      <c r="O2762" s="8">
        <v>31.674720005909176</v>
      </c>
      <c r="P2762" s="9">
        <v>31.674720005909176</v>
      </c>
      <c r="Q2762" s="9">
        <v>31.674720005909176</v>
      </c>
      <c r="R2762" s="9">
        <v>34.913308289497976</v>
      </c>
      <c r="S2762" s="9">
        <v>38.480048605011753</v>
      </c>
      <c r="T2762" s="9">
        <v>40.939971907336925</v>
      </c>
      <c r="U2762" s="9">
        <v>49.333088414904694</v>
      </c>
      <c r="V2762" s="9">
        <v>49.333088414904694</v>
      </c>
      <c r="W2762" s="9">
        <v>49.333088414904694</v>
      </c>
      <c r="X2762" s="9">
        <v>63.21225398254326</v>
      </c>
      <c r="Y2762" s="9">
        <v>63.21225398254326</v>
      </c>
      <c r="Z2762" s="9">
        <v>73.404961153420544</v>
      </c>
      <c r="AA2762" s="9">
        <v>73.404961153420544</v>
      </c>
      <c r="AB2762" s="9">
        <v>83.820133806833923</v>
      </c>
      <c r="AC2762" s="9">
        <v>83.820133806833923</v>
      </c>
      <c r="AD2762" s="9">
        <v>94.480018491037072</v>
      </c>
      <c r="AE2762" s="9">
        <v>105.40908640910902</v>
      </c>
      <c r="AF2762" s="9">
        <v>116.6342558844366</v>
      </c>
      <c r="AG2762" s="9">
        <v>116.6342558844366</v>
      </c>
      <c r="AH2762" s="9">
        <v>128.18513707274536</v>
      </c>
      <c r="AI2762" s="9">
        <v>140.98660541754566</v>
      </c>
      <c r="AJ2762" s="9">
        <v>3.0428788910505911</v>
      </c>
    </row>
    <row r="2763" spans="1:36" x14ac:dyDescent="0.25">
      <c r="A2763" t="s">
        <v>5411</v>
      </c>
      <c r="B2763" t="s">
        <v>16</v>
      </c>
      <c r="C2763" t="s">
        <v>17</v>
      </c>
      <c r="D2763">
        <v>58200000</v>
      </c>
      <c r="E2763">
        <v>58207999</v>
      </c>
      <c r="F2763" t="s">
        <v>2498</v>
      </c>
      <c r="G2763" t="str">
        <f t="shared" si="86"/>
        <v>PBI II</v>
      </c>
      <c r="H2763" t="s">
        <v>2471</v>
      </c>
      <c r="I2763" t="s">
        <v>20</v>
      </c>
      <c r="J2763" t="s">
        <v>64</v>
      </c>
      <c r="K2763" s="6">
        <v>0.03</v>
      </c>
      <c r="L2763" s="7">
        <f t="shared" si="87"/>
        <v>2E-3</v>
      </c>
      <c r="M2763" s="7">
        <v>3.0000000000000001E-3</v>
      </c>
      <c r="N2763">
        <v>11</v>
      </c>
      <c r="O2763" s="8">
        <v>25.469420399191385</v>
      </c>
      <c r="P2763" s="9">
        <v>25.469420399191385</v>
      </c>
      <c r="Q2763" s="9">
        <v>25.469420399191385</v>
      </c>
      <c r="R2763" s="9">
        <v>27.985354957700171</v>
      </c>
      <c r="S2763" s="9">
        <v>30.758461120802014</v>
      </c>
      <c r="T2763" s="9">
        <v>33.102903982805351</v>
      </c>
      <c r="U2763" s="9">
        <v>40.375170889228379</v>
      </c>
      <c r="V2763" s="9">
        <v>40.375170889228379</v>
      </c>
      <c r="W2763" s="9">
        <v>40.375170889228379</v>
      </c>
      <c r="X2763" s="9">
        <v>48.614146284608282</v>
      </c>
      <c r="Y2763" s="9">
        <v>48.614146284608282</v>
      </c>
      <c r="Z2763" s="9">
        <v>56.959894508429748</v>
      </c>
      <c r="AA2763" s="9">
        <v>56.959894508429748</v>
      </c>
      <c r="AB2763" s="9">
        <v>65.423092843536963</v>
      </c>
      <c r="AC2763" s="9">
        <v>65.423092843536963</v>
      </c>
      <c r="AD2763" s="9">
        <v>76.101886260449433</v>
      </c>
      <c r="AE2763" s="9">
        <v>84.004204331617984</v>
      </c>
      <c r="AF2763" s="9">
        <v>92.047281772276918</v>
      </c>
      <c r="AG2763" s="9">
        <v>92.047281772276918</v>
      </c>
      <c r="AH2763" s="9">
        <v>101.16093014574129</v>
      </c>
      <c r="AI2763" s="9">
        <v>110.08433596377185</v>
      </c>
      <c r="AJ2763" s="9">
        <v>3.0428788910505911</v>
      </c>
    </row>
    <row r="2764" spans="1:36" x14ac:dyDescent="0.25">
      <c r="A2764" t="s">
        <v>5411</v>
      </c>
      <c r="B2764" t="s">
        <v>16</v>
      </c>
      <c r="C2764" t="s">
        <v>17</v>
      </c>
      <c r="D2764">
        <v>58208000</v>
      </c>
      <c r="E2764">
        <v>58209999</v>
      </c>
      <c r="F2764" t="s">
        <v>2499</v>
      </c>
      <c r="G2764" t="str">
        <f t="shared" si="86"/>
        <v>PBI II</v>
      </c>
      <c r="H2764" t="s">
        <v>2471</v>
      </c>
      <c r="I2764" t="s">
        <v>20</v>
      </c>
      <c r="J2764" t="s">
        <v>64</v>
      </c>
      <c r="K2764" s="6">
        <v>0.03</v>
      </c>
      <c r="L2764" s="7">
        <f t="shared" si="87"/>
        <v>2E-3</v>
      </c>
      <c r="M2764" s="7">
        <v>3.0000000000000001E-3</v>
      </c>
      <c r="N2764">
        <v>11</v>
      </c>
      <c r="O2764" s="8">
        <v>25.469420399191385</v>
      </c>
      <c r="P2764" s="9">
        <v>25.469420399191385</v>
      </c>
      <c r="Q2764" s="9">
        <v>25.469420399191385</v>
      </c>
      <c r="R2764" s="9">
        <v>27.985354957700171</v>
      </c>
      <c r="S2764" s="9">
        <v>30.758461120802014</v>
      </c>
      <c r="T2764" s="9">
        <v>33.102903982805351</v>
      </c>
      <c r="U2764" s="9">
        <v>40.375170889228379</v>
      </c>
      <c r="V2764" s="9">
        <v>40.375170889228379</v>
      </c>
      <c r="W2764" s="9">
        <v>40.375170889228379</v>
      </c>
      <c r="X2764" s="9">
        <v>48.614146284608282</v>
      </c>
      <c r="Y2764" s="9">
        <v>48.614146284608282</v>
      </c>
      <c r="Z2764" s="9">
        <v>56.959894508429748</v>
      </c>
      <c r="AA2764" s="9">
        <v>56.959894508429748</v>
      </c>
      <c r="AB2764" s="9">
        <v>65.423092843536963</v>
      </c>
      <c r="AC2764" s="9">
        <v>65.423092843536963</v>
      </c>
      <c r="AD2764" s="9">
        <v>76.101886260449433</v>
      </c>
      <c r="AE2764" s="9">
        <v>84.004204331617984</v>
      </c>
      <c r="AF2764" s="9">
        <v>92.047281772276918</v>
      </c>
      <c r="AG2764" s="9">
        <v>92.047281772276918</v>
      </c>
      <c r="AH2764" s="9">
        <v>101.16093014574129</v>
      </c>
      <c r="AI2764" s="9">
        <v>110.08433596377185</v>
      </c>
      <c r="AJ2764" s="9">
        <v>3.0428788910505911</v>
      </c>
    </row>
    <row r="2765" spans="1:36" x14ac:dyDescent="0.25">
      <c r="A2765" t="s">
        <v>5411</v>
      </c>
      <c r="B2765" t="s">
        <v>16</v>
      </c>
      <c r="C2765" t="s">
        <v>17</v>
      </c>
      <c r="D2765">
        <v>58210000</v>
      </c>
      <c r="E2765">
        <v>58212999</v>
      </c>
      <c r="F2765" t="s">
        <v>2500</v>
      </c>
      <c r="G2765" t="str">
        <f t="shared" si="86"/>
        <v>PBR</v>
      </c>
      <c r="H2765" t="s">
        <v>2471</v>
      </c>
      <c r="I2765" t="s">
        <v>20</v>
      </c>
      <c r="J2765" t="s">
        <v>77</v>
      </c>
      <c r="K2765" s="6">
        <v>0.03</v>
      </c>
      <c r="L2765" s="7">
        <f t="shared" si="87"/>
        <v>2E-3</v>
      </c>
      <c r="M2765" s="7">
        <v>3.0000000000000001E-3</v>
      </c>
      <c r="N2765">
        <v>17</v>
      </c>
      <c r="O2765" s="8">
        <v>31.674720005909176</v>
      </c>
      <c r="P2765" s="9">
        <v>31.674720005909176</v>
      </c>
      <c r="Q2765" s="9">
        <v>31.674720005909176</v>
      </c>
      <c r="R2765" s="9">
        <v>34.913308289497976</v>
      </c>
      <c r="S2765" s="9">
        <v>38.480048605011753</v>
      </c>
      <c r="T2765" s="9">
        <v>40.939971907336925</v>
      </c>
      <c r="U2765" s="9">
        <v>49.333088414904694</v>
      </c>
      <c r="V2765" s="9">
        <v>49.333088414904694</v>
      </c>
      <c r="W2765" s="9">
        <v>49.333088414904694</v>
      </c>
      <c r="X2765" s="9">
        <v>63.21225398254326</v>
      </c>
      <c r="Y2765" s="9">
        <v>63.21225398254326</v>
      </c>
      <c r="Z2765" s="9">
        <v>73.404961153420544</v>
      </c>
      <c r="AA2765" s="9">
        <v>73.404961153420544</v>
      </c>
      <c r="AB2765" s="9">
        <v>83.820133806833923</v>
      </c>
      <c r="AC2765" s="9">
        <v>83.820133806833923</v>
      </c>
      <c r="AD2765" s="9">
        <v>94.480018491037072</v>
      </c>
      <c r="AE2765" s="9">
        <v>105.40908640910902</v>
      </c>
      <c r="AF2765" s="9">
        <v>116.6342558844366</v>
      </c>
      <c r="AG2765" s="9">
        <v>116.6342558844366</v>
      </c>
      <c r="AH2765" s="9">
        <v>128.18513707274536</v>
      </c>
      <c r="AI2765" s="9">
        <v>140.98660541754566</v>
      </c>
      <c r="AJ2765" s="9">
        <v>3.0428788910505911</v>
      </c>
    </row>
    <row r="2766" spans="1:36" x14ac:dyDescent="0.25">
      <c r="A2766" t="s">
        <v>5411</v>
      </c>
      <c r="B2766" t="s">
        <v>16</v>
      </c>
      <c r="C2766" t="s">
        <v>17</v>
      </c>
      <c r="D2766">
        <v>58213000</v>
      </c>
      <c r="E2766">
        <v>58219999</v>
      </c>
      <c r="F2766" t="s">
        <v>2501</v>
      </c>
      <c r="G2766" t="str">
        <f t="shared" si="86"/>
        <v>PBI II</v>
      </c>
      <c r="H2766" t="s">
        <v>2471</v>
      </c>
      <c r="I2766" t="s">
        <v>20</v>
      </c>
      <c r="J2766" t="s">
        <v>64</v>
      </c>
      <c r="K2766" s="6">
        <v>0.03</v>
      </c>
      <c r="L2766" s="7">
        <f t="shared" si="87"/>
        <v>2E-3</v>
      </c>
      <c r="M2766" s="7">
        <v>3.0000000000000001E-3</v>
      </c>
      <c r="N2766">
        <v>11</v>
      </c>
      <c r="O2766" s="8">
        <v>25.469420399191385</v>
      </c>
      <c r="P2766" s="9">
        <v>25.469420399191385</v>
      </c>
      <c r="Q2766" s="9">
        <v>25.469420399191385</v>
      </c>
      <c r="R2766" s="9">
        <v>27.985354957700171</v>
      </c>
      <c r="S2766" s="9">
        <v>30.758461120802014</v>
      </c>
      <c r="T2766" s="9">
        <v>33.102903982805351</v>
      </c>
      <c r="U2766" s="9">
        <v>40.375170889228379</v>
      </c>
      <c r="V2766" s="9">
        <v>40.375170889228379</v>
      </c>
      <c r="W2766" s="9">
        <v>40.375170889228379</v>
      </c>
      <c r="X2766" s="9">
        <v>48.614146284608282</v>
      </c>
      <c r="Y2766" s="9">
        <v>48.614146284608282</v>
      </c>
      <c r="Z2766" s="9">
        <v>56.959894508429748</v>
      </c>
      <c r="AA2766" s="9">
        <v>56.959894508429748</v>
      </c>
      <c r="AB2766" s="9">
        <v>65.423092843536963</v>
      </c>
      <c r="AC2766" s="9">
        <v>65.423092843536963</v>
      </c>
      <c r="AD2766" s="9">
        <v>76.101886260449433</v>
      </c>
      <c r="AE2766" s="9">
        <v>84.004204331617984</v>
      </c>
      <c r="AF2766" s="9">
        <v>92.047281772276918</v>
      </c>
      <c r="AG2766" s="9">
        <v>92.047281772276918</v>
      </c>
      <c r="AH2766" s="9">
        <v>101.16093014574129</v>
      </c>
      <c r="AI2766" s="9">
        <v>110.08433596377185</v>
      </c>
      <c r="AJ2766" s="9">
        <v>3.0428788910505911</v>
      </c>
    </row>
    <row r="2767" spans="1:36" x14ac:dyDescent="0.25">
      <c r="A2767" t="s">
        <v>5411</v>
      </c>
      <c r="B2767" t="s">
        <v>16</v>
      </c>
      <c r="C2767" t="s">
        <v>17</v>
      </c>
      <c r="D2767">
        <v>58220000</v>
      </c>
      <c r="E2767">
        <v>58224999</v>
      </c>
      <c r="F2767" t="s">
        <v>2502</v>
      </c>
      <c r="G2767" t="str">
        <f t="shared" si="86"/>
        <v>PBI II</v>
      </c>
      <c r="H2767" t="s">
        <v>2471</v>
      </c>
      <c r="I2767" t="s">
        <v>20</v>
      </c>
      <c r="J2767" t="s">
        <v>64</v>
      </c>
      <c r="K2767" s="6">
        <v>0.03</v>
      </c>
      <c r="L2767" s="7">
        <f t="shared" si="87"/>
        <v>2E-3</v>
      </c>
      <c r="M2767" s="7">
        <v>3.0000000000000001E-3</v>
      </c>
      <c r="N2767">
        <v>11</v>
      </c>
      <c r="O2767" s="8">
        <v>25.469420399191385</v>
      </c>
      <c r="P2767" s="9">
        <v>25.469420399191385</v>
      </c>
      <c r="Q2767" s="9">
        <v>25.469420399191385</v>
      </c>
      <c r="R2767" s="9">
        <v>27.985354957700171</v>
      </c>
      <c r="S2767" s="9">
        <v>30.758461120802014</v>
      </c>
      <c r="T2767" s="9">
        <v>33.102903982805351</v>
      </c>
      <c r="U2767" s="9">
        <v>40.375170889228379</v>
      </c>
      <c r="V2767" s="9">
        <v>40.375170889228379</v>
      </c>
      <c r="W2767" s="9">
        <v>40.375170889228379</v>
      </c>
      <c r="X2767" s="9">
        <v>48.614146284608282</v>
      </c>
      <c r="Y2767" s="9">
        <v>48.614146284608282</v>
      </c>
      <c r="Z2767" s="9">
        <v>56.959894508429748</v>
      </c>
      <c r="AA2767" s="9">
        <v>56.959894508429748</v>
      </c>
      <c r="AB2767" s="9">
        <v>65.423092843536963</v>
      </c>
      <c r="AC2767" s="9">
        <v>65.423092843536963</v>
      </c>
      <c r="AD2767" s="9">
        <v>76.101886260449433</v>
      </c>
      <c r="AE2767" s="9">
        <v>84.004204331617984</v>
      </c>
      <c r="AF2767" s="9">
        <v>92.047281772276918</v>
      </c>
      <c r="AG2767" s="9">
        <v>92.047281772276918</v>
      </c>
      <c r="AH2767" s="9">
        <v>101.16093014574129</v>
      </c>
      <c r="AI2767" s="9">
        <v>110.08433596377185</v>
      </c>
      <c r="AJ2767" s="9">
        <v>3.0428788910505911</v>
      </c>
    </row>
    <row r="2768" spans="1:36" x14ac:dyDescent="0.25">
      <c r="A2768" t="s">
        <v>5411</v>
      </c>
      <c r="B2768" t="s">
        <v>16</v>
      </c>
      <c r="C2768" t="s">
        <v>17</v>
      </c>
      <c r="D2768">
        <v>58225000</v>
      </c>
      <c r="E2768">
        <v>58227999</v>
      </c>
      <c r="F2768" t="s">
        <v>2503</v>
      </c>
      <c r="G2768" t="str">
        <f t="shared" si="86"/>
        <v>PBI II</v>
      </c>
      <c r="H2768" t="s">
        <v>2471</v>
      </c>
      <c r="I2768" t="s">
        <v>20</v>
      </c>
      <c r="J2768" t="s">
        <v>64</v>
      </c>
      <c r="K2768" s="6">
        <v>0.03</v>
      </c>
      <c r="L2768" s="7">
        <f t="shared" si="87"/>
        <v>2E-3</v>
      </c>
      <c r="M2768" s="7">
        <v>3.0000000000000001E-3</v>
      </c>
      <c r="N2768">
        <v>11</v>
      </c>
      <c r="O2768" s="8">
        <v>25.469420399191385</v>
      </c>
      <c r="P2768" s="9">
        <v>25.469420399191385</v>
      </c>
      <c r="Q2768" s="9">
        <v>25.469420399191385</v>
      </c>
      <c r="R2768" s="9">
        <v>27.985354957700171</v>
      </c>
      <c r="S2768" s="9">
        <v>30.758461120802014</v>
      </c>
      <c r="T2768" s="9">
        <v>33.102903982805351</v>
      </c>
      <c r="U2768" s="9">
        <v>40.375170889228379</v>
      </c>
      <c r="V2768" s="9">
        <v>40.375170889228379</v>
      </c>
      <c r="W2768" s="9">
        <v>40.375170889228379</v>
      </c>
      <c r="X2768" s="9">
        <v>48.614146284608282</v>
      </c>
      <c r="Y2768" s="9">
        <v>48.614146284608282</v>
      </c>
      <c r="Z2768" s="9">
        <v>56.959894508429748</v>
      </c>
      <c r="AA2768" s="9">
        <v>56.959894508429748</v>
      </c>
      <c r="AB2768" s="9">
        <v>65.423092843536963</v>
      </c>
      <c r="AC2768" s="9">
        <v>65.423092843536963</v>
      </c>
      <c r="AD2768" s="9">
        <v>76.101886260449433</v>
      </c>
      <c r="AE2768" s="9">
        <v>84.004204331617984</v>
      </c>
      <c r="AF2768" s="9">
        <v>92.047281772276918</v>
      </c>
      <c r="AG2768" s="9">
        <v>92.047281772276918</v>
      </c>
      <c r="AH2768" s="9">
        <v>101.16093014574129</v>
      </c>
      <c r="AI2768" s="9">
        <v>110.08433596377185</v>
      </c>
      <c r="AJ2768" s="9">
        <v>3.0428788910505911</v>
      </c>
    </row>
    <row r="2769" spans="1:36" x14ac:dyDescent="0.25">
      <c r="A2769" t="s">
        <v>5411</v>
      </c>
      <c r="B2769" t="s">
        <v>16</v>
      </c>
      <c r="C2769" t="s">
        <v>17</v>
      </c>
      <c r="D2769">
        <v>58228000</v>
      </c>
      <c r="E2769">
        <v>58229999</v>
      </c>
      <c r="F2769" t="s">
        <v>2504</v>
      </c>
      <c r="G2769" t="str">
        <f t="shared" si="86"/>
        <v>PBR</v>
      </c>
      <c r="H2769" t="s">
        <v>2471</v>
      </c>
      <c r="I2769" t="s">
        <v>20</v>
      </c>
      <c r="J2769" t="s">
        <v>77</v>
      </c>
      <c r="K2769" s="6">
        <v>0.03</v>
      </c>
      <c r="L2769" s="7">
        <f t="shared" si="87"/>
        <v>2E-3</v>
      </c>
      <c r="M2769" s="7">
        <v>3.0000000000000001E-3</v>
      </c>
      <c r="N2769">
        <v>17</v>
      </c>
      <c r="O2769" s="8">
        <v>31.674720005909176</v>
      </c>
      <c r="P2769" s="9">
        <v>31.674720005909176</v>
      </c>
      <c r="Q2769" s="9">
        <v>31.674720005909176</v>
      </c>
      <c r="R2769" s="9">
        <v>34.913308289497976</v>
      </c>
      <c r="S2769" s="9">
        <v>38.480048605011753</v>
      </c>
      <c r="T2769" s="9">
        <v>40.939971907336925</v>
      </c>
      <c r="U2769" s="9">
        <v>49.333088414904694</v>
      </c>
      <c r="V2769" s="9">
        <v>49.333088414904694</v>
      </c>
      <c r="W2769" s="9">
        <v>49.333088414904694</v>
      </c>
      <c r="X2769" s="9">
        <v>63.21225398254326</v>
      </c>
      <c r="Y2769" s="9">
        <v>63.21225398254326</v>
      </c>
      <c r="Z2769" s="9">
        <v>73.404961153420544</v>
      </c>
      <c r="AA2769" s="9">
        <v>73.404961153420544</v>
      </c>
      <c r="AB2769" s="9">
        <v>83.820133806833923</v>
      </c>
      <c r="AC2769" s="9">
        <v>83.820133806833923</v>
      </c>
      <c r="AD2769" s="9">
        <v>94.480018491037072</v>
      </c>
      <c r="AE2769" s="9">
        <v>105.40908640910902</v>
      </c>
      <c r="AF2769" s="9">
        <v>116.6342558844366</v>
      </c>
      <c r="AG2769" s="9">
        <v>116.6342558844366</v>
      </c>
      <c r="AH2769" s="9">
        <v>128.18513707274536</v>
      </c>
      <c r="AI2769" s="9">
        <v>140.98660541754566</v>
      </c>
      <c r="AJ2769" s="9">
        <v>3.0428788910505911</v>
      </c>
    </row>
    <row r="2770" spans="1:36" x14ac:dyDescent="0.25">
      <c r="A2770" t="s">
        <v>5411</v>
      </c>
      <c r="B2770" t="s">
        <v>16</v>
      </c>
      <c r="C2770" t="s">
        <v>17</v>
      </c>
      <c r="D2770">
        <v>58230000</v>
      </c>
      <c r="E2770">
        <v>58232999</v>
      </c>
      <c r="F2770" t="s">
        <v>2505</v>
      </c>
      <c r="G2770" t="str">
        <f t="shared" si="86"/>
        <v>PBR</v>
      </c>
      <c r="H2770" t="s">
        <v>2471</v>
      </c>
      <c r="I2770" t="s">
        <v>20</v>
      </c>
      <c r="J2770" t="s">
        <v>77</v>
      </c>
      <c r="K2770" s="6">
        <v>0.03</v>
      </c>
      <c r="L2770" s="7">
        <f t="shared" si="87"/>
        <v>2E-3</v>
      </c>
      <c r="M2770" s="7">
        <v>3.0000000000000001E-3</v>
      </c>
      <c r="N2770">
        <v>17</v>
      </c>
      <c r="O2770" s="8">
        <v>31.674720005909176</v>
      </c>
      <c r="P2770" s="9">
        <v>31.674720005909176</v>
      </c>
      <c r="Q2770" s="9">
        <v>31.674720005909176</v>
      </c>
      <c r="R2770" s="9">
        <v>34.913308289497976</v>
      </c>
      <c r="S2770" s="9">
        <v>38.480048605011753</v>
      </c>
      <c r="T2770" s="9">
        <v>40.939971907336925</v>
      </c>
      <c r="U2770" s="9">
        <v>49.333088414904694</v>
      </c>
      <c r="V2770" s="9">
        <v>49.333088414904694</v>
      </c>
      <c r="W2770" s="9">
        <v>49.333088414904694</v>
      </c>
      <c r="X2770" s="9">
        <v>63.21225398254326</v>
      </c>
      <c r="Y2770" s="9">
        <v>63.21225398254326</v>
      </c>
      <c r="Z2770" s="9">
        <v>73.404961153420544</v>
      </c>
      <c r="AA2770" s="9">
        <v>73.404961153420544</v>
      </c>
      <c r="AB2770" s="9">
        <v>83.820133806833923</v>
      </c>
      <c r="AC2770" s="9">
        <v>83.820133806833923</v>
      </c>
      <c r="AD2770" s="9">
        <v>94.480018491037072</v>
      </c>
      <c r="AE2770" s="9">
        <v>105.40908640910902</v>
      </c>
      <c r="AF2770" s="9">
        <v>116.6342558844366</v>
      </c>
      <c r="AG2770" s="9">
        <v>116.6342558844366</v>
      </c>
      <c r="AH2770" s="9">
        <v>128.18513707274536</v>
      </c>
      <c r="AI2770" s="9">
        <v>140.98660541754566</v>
      </c>
      <c r="AJ2770" s="9">
        <v>3.0428788910505911</v>
      </c>
    </row>
    <row r="2771" spans="1:36" x14ac:dyDescent="0.25">
      <c r="A2771" t="s">
        <v>5411</v>
      </c>
      <c r="B2771" t="s">
        <v>16</v>
      </c>
      <c r="C2771" t="s">
        <v>17</v>
      </c>
      <c r="D2771">
        <v>58233000</v>
      </c>
      <c r="E2771">
        <v>58234999</v>
      </c>
      <c r="F2771" t="s">
        <v>2506</v>
      </c>
      <c r="G2771" t="str">
        <f t="shared" si="86"/>
        <v>PBR</v>
      </c>
      <c r="H2771" t="s">
        <v>2471</v>
      </c>
      <c r="I2771" t="s">
        <v>20</v>
      </c>
      <c r="J2771" t="s">
        <v>77</v>
      </c>
      <c r="K2771" s="6">
        <v>0.03</v>
      </c>
      <c r="L2771" s="7">
        <f t="shared" si="87"/>
        <v>2E-3</v>
      </c>
      <c r="M2771" s="7">
        <v>3.0000000000000001E-3</v>
      </c>
      <c r="N2771">
        <v>17</v>
      </c>
      <c r="O2771" s="8">
        <v>31.674720005909176</v>
      </c>
      <c r="P2771" s="9">
        <v>31.674720005909176</v>
      </c>
      <c r="Q2771" s="9">
        <v>31.674720005909176</v>
      </c>
      <c r="R2771" s="9">
        <v>34.913308289497976</v>
      </c>
      <c r="S2771" s="9">
        <v>38.480048605011753</v>
      </c>
      <c r="T2771" s="9">
        <v>40.939971907336925</v>
      </c>
      <c r="U2771" s="9">
        <v>49.333088414904694</v>
      </c>
      <c r="V2771" s="9">
        <v>49.333088414904694</v>
      </c>
      <c r="W2771" s="9">
        <v>49.333088414904694</v>
      </c>
      <c r="X2771" s="9">
        <v>63.21225398254326</v>
      </c>
      <c r="Y2771" s="9">
        <v>63.21225398254326</v>
      </c>
      <c r="Z2771" s="9">
        <v>73.404961153420544</v>
      </c>
      <c r="AA2771" s="9">
        <v>73.404961153420544</v>
      </c>
      <c r="AB2771" s="9">
        <v>83.820133806833923</v>
      </c>
      <c r="AC2771" s="9">
        <v>83.820133806833923</v>
      </c>
      <c r="AD2771" s="9">
        <v>94.480018491037072</v>
      </c>
      <c r="AE2771" s="9">
        <v>105.40908640910902</v>
      </c>
      <c r="AF2771" s="9">
        <v>116.6342558844366</v>
      </c>
      <c r="AG2771" s="9">
        <v>116.6342558844366</v>
      </c>
      <c r="AH2771" s="9">
        <v>128.18513707274536</v>
      </c>
      <c r="AI2771" s="9">
        <v>140.98660541754566</v>
      </c>
      <c r="AJ2771" s="9">
        <v>3.0428788910505911</v>
      </c>
    </row>
    <row r="2772" spans="1:36" x14ac:dyDescent="0.25">
      <c r="A2772" t="s">
        <v>5411</v>
      </c>
      <c r="B2772" t="s">
        <v>16</v>
      </c>
      <c r="C2772" t="s">
        <v>17</v>
      </c>
      <c r="D2772">
        <v>58235000</v>
      </c>
      <c r="E2772">
        <v>58237999</v>
      </c>
      <c r="F2772" t="s">
        <v>2507</v>
      </c>
      <c r="G2772" t="str">
        <f t="shared" si="86"/>
        <v>PBR</v>
      </c>
      <c r="H2772" t="s">
        <v>2471</v>
      </c>
      <c r="I2772" t="s">
        <v>20</v>
      </c>
      <c r="J2772" t="s">
        <v>77</v>
      </c>
      <c r="K2772" s="6">
        <v>0.03</v>
      </c>
      <c r="L2772" s="7">
        <f t="shared" si="87"/>
        <v>2E-3</v>
      </c>
      <c r="M2772" s="7">
        <v>3.0000000000000001E-3</v>
      </c>
      <c r="N2772">
        <v>17</v>
      </c>
      <c r="O2772" s="8">
        <v>31.674720005909176</v>
      </c>
      <c r="P2772" s="9">
        <v>31.674720005909176</v>
      </c>
      <c r="Q2772" s="9">
        <v>31.674720005909176</v>
      </c>
      <c r="R2772" s="9">
        <v>34.913308289497976</v>
      </c>
      <c r="S2772" s="9">
        <v>38.480048605011753</v>
      </c>
      <c r="T2772" s="9">
        <v>40.939971907336925</v>
      </c>
      <c r="U2772" s="9">
        <v>49.333088414904694</v>
      </c>
      <c r="V2772" s="9">
        <v>49.333088414904694</v>
      </c>
      <c r="W2772" s="9">
        <v>49.333088414904694</v>
      </c>
      <c r="X2772" s="9">
        <v>63.21225398254326</v>
      </c>
      <c r="Y2772" s="9">
        <v>63.21225398254326</v>
      </c>
      <c r="Z2772" s="9">
        <v>73.404961153420544</v>
      </c>
      <c r="AA2772" s="9">
        <v>73.404961153420544</v>
      </c>
      <c r="AB2772" s="9">
        <v>83.820133806833923</v>
      </c>
      <c r="AC2772" s="9">
        <v>83.820133806833923</v>
      </c>
      <c r="AD2772" s="9">
        <v>94.480018491037072</v>
      </c>
      <c r="AE2772" s="9">
        <v>105.40908640910902</v>
      </c>
      <c r="AF2772" s="9">
        <v>116.6342558844366</v>
      </c>
      <c r="AG2772" s="9">
        <v>116.6342558844366</v>
      </c>
      <c r="AH2772" s="9">
        <v>128.18513707274536</v>
      </c>
      <c r="AI2772" s="9">
        <v>140.98660541754566</v>
      </c>
      <c r="AJ2772" s="9">
        <v>3.0428788910505911</v>
      </c>
    </row>
    <row r="2773" spans="1:36" x14ac:dyDescent="0.25">
      <c r="A2773" t="s">
        <v>5411</v>
      </c>
      <c r="B2773" t="s">
        <v>16</v>
      </c>
      <c r="C2773" t="s">
        <v>17</v>
      </c>
      <c r="D2773">
        <v>58238000</v>
      </c>
      <c r="E2773">
        <v>58239999</v>
      </c>
      <c r="F2773" t="s">
        <v>2508</v>
      </c>
      <c r="G2773" t="str">
        <f t="shared" si="86"/>
        <v>PBR</v>
      </c>
      <c r="H2773" t="s">
        <v>2471</v>
      </c>
      <c r="I2773" t="s">
        <v>20</v>
      </c>
      <c r="J2773" t="s">
        <v>77</v>
      </c>
      <c r="K2773" s="6">
        <v>0.03</v>
      </c>
      <c r="L2773" s="7">
        <f t="shared" si="87"/>
        <v>2E-3</v>
      </c>
      <c r="M2773" s="7">
        <v>3.0000000000000001E-3</v>
      </c>
      <c r="N2773">
        <v>17</v>
      </c>
      <c r="O2773" s="8">
        <v>31.674720005909176</v>
      </c>
      <c r="P2773" s="9">
        <v>31.674720005909176</v>
      </c>
      <c r="Q2773" s="9">
        <v>31.674720005909176</v>
      </c>
      <c r="R2773" s="9">
        <v>34.913308289497976</v>
      </c>
      <c r="S2773" s="9">
        <v>38.480048605011753</v>
      </c>
      <c r="T2773" s="9">
        <v>40.939971907336925</v>
      </c>
      <c r="U2773" s="9">
        <v>49.333088414904694</v>
      </c>
      <c r="V2773" s="9">
        <v>49.333088414904694</v>
      </c>
      <c r="W2773" s="9">
        <v>49.333088414904694</v>
      </c>
      <c r="X2773" s="9">
        <v>63.21225398254326</v>
      </c>
      <c r="Y2773" s="9">
        <v>63.21225398254326</v>
      </c>
      <c r="Z2773" s="9">
        <v>73.404961153420544</v>
      </c>
      <c r="AA2773" s="9">
        <v>73.404961153420544</v>
      </c>
      <c r="AB2773" s="9">
        <v>83.820133806833923</v>
      </c>
      <c r="AC2773" s="9">
        <v>83.820133806833923</v>
      </c>
      <c r="AD2773" s="9">
        <v>94.480018491037072</v>
      </c>
      <c r="AE2773" s="9">
        <v>105.40908640910902</v>
      </c>
      <c r="AF2773" s="9">
        <v>116.6342558844366</v>
      </c>
      <c r="AG2773" s="9">
        <v>116.6342558844366</v>
      </c>
      <c r="AH2773" s="9">
        <v>128.18513707274536</v>
      </c>
      <c r="AI2773" s="9">
        <v>140.98660541754566</v>
      </c>
      <c r="AJ2773" s="9">
        <v>3.0428788910505911</v>
      </c>
    </row>
    <row r="2774" spans="1:36" x14ac:dyDescent="0.25">
      <c r="A2774" t="s">
        <v>5411</v>
      </c>
      <c r="B2774" t="s">
        <v>16</v>
      </c>
      <c r="C2774" t="s">
        <v>17</v>
      </c>
      <c r="D2774">
        <v>58240000</v>
      </c>
      <c r="E2774">
        <v>58249999</v>
      </c>
      <c r="F2774" t="s">
        <v>2509</v>
      </c>
      <c r="G2774" t="str">
        <f t="shared" si="86"/>
        <v>PBR</v>
      </c>
      <c r="H2774" t="s">
        <v>2471</v>
      </c>
      <c r="I2774" t="s">
        <v>20</v>
      </c>
      <c r="J2774" t="s">
        <v>77</v>
      </c>
      <c r="K2774" s="6">
        <v>0.03</v>
      </c>
      <c r="L2774" s="7">
        <f t="shared" si="87"/>
        <v>2E-3</v>
      </c>
      <c r="M2774" s="7">
        <v>3.0000000000000001E-3</v>
      </c>
      <c r="N2774">
        <v>17</v>
      </c>
      <c r="O2774" s="8">
        <v>31.674720005909176</v>
      </c>
      <c r="P2774" s="9">
        <v>31.674720005909176</v>
      </c>
      <c r="Q2774" s="9">
        <v>31.674720005909176</v>
      </c>
      <c r="R2774" s="9">
        <v>34.913308289497976</v>
      </c>
      <c r="S2774" s="9">
        <v>38.480048605011753</v>
      </c>
      <c r="T2774" s="9">
        <v>40.939971907336925</v>
      </c>
      <c r="U2774" s="9">
        <v>49.333088414904694</v>
      </c>
      <c r="V2774" s="9">
        <v>49.333088414904694</v>
      </c>
      <c r="W2774" s="9">
        <v>49.333088414904694</v>
      </c>
      <c r="X2774" s="9">
        <v>63.21225398254326</v>
      </c>
      <c r="Y2774" s="9">
        <v>63.21225398254326</v>
      </c>
      <c r="Z2774" s="9">
        <v>73.404961153420544</v>
      </c>
      <c r="AA2774" s="9">
        <v>73.404961153420544</v>
      </c>
      <c r="AB2774" s="9">
        <v>83.820133806833923</v>
      </c>
      <c r="AC2774" s="9">
        <v>83.820133806833923</v>
      </c>
      <c r="AD2774" s="9">
        <v>94.480018491037072</v>
      </c>
      <c r="AE2774" s="9">
        <v>105.40908640910902</v>
      </c>
      <c r="AF2774" s="9">
        <v>116.6342558844366</v>
      </c>
      <c r="AG2774" s="9">
        <v>116.6342558844366</v>
      </c>
      <c r="AH2774" s="9">
        <v>128.18513707274536</v>
      </c>
      <c r="AI2774" s="9">
        <v>140.98660541754566</v>
      </c>
      <c r="AJ2774" s="9">
        <v>3.0428788910505911</v>
      </c>
    </row>
    <row r="2775" spans="1:36" x14ac:dyDescent="0.25">
      <c r="A2775" t="s">
        <v>5411</v>
      </c>
      <c r="B2775" t="s">
        <v>16</v>
      </c>
      <c r="C2775" t="s">
        <v>17</v>
      </c>
      <c r="D2775">
        <v>58250000</v>
      </c>
      <c r="E2775">
        <v>58252999</v>
      </c>
      <c r="F2775" t="s">
        <v>2510</v>
      </c>
      <c r="G2775" t="str">
        <f t="shared" si="86"/>
        <v>PBR</v>
      </c>
      <c r="H2775" t="s">
        <v>2471</v>
      </c>
      <c r="I2775" t="s">
        <v>20</v>
      </c>
      <c r="J2775" t="s">
        <v>77</v>
      </c>
      <c r="K2775" s="6">
        <v>0.03</v>
      </c>
      <c r="L2775" s="7">
        <f t="shared" si="87"/>
        <v>2E-3</v>
      </c>
      <c r="M2775" s="7">
        <v>3.0000000000000001E-3</v>
      </c>
      <c r="N2775">
        <v>17</v>
      </c>
      <c r="O2775" s="8">
        <v>31.674720005909176</v>
      </c>
      <c r="P2775" s="9">
        <v>31.674720005909176</v>
      </c>
      <c r="Q2775" s="9">
        <v>31.674720005909176</v>
      </c>
      <c r="R2775" s="9">
        <v>34.913308289497976</v>
      </c>
      <c r="S2775" s="9">
        <v>38.480048605011753</v>
      </c>
      <c r="T2775" s="9">
        <v>40.939971907336925</v>
      </c>
      <c r="U2775" s="9">
        <v>49.333088414904694</v>
      </c>
      <c r="V2775" s="9">
        <v>49.333088414904694</v>
      </c>
      <c r="W2775" s="9">
        <v>49.333088414904694</v>
      </c>
      <c r="X2775" s="9">
        <v>63.21225398254326</v>
      </c>
      <c r="Y2775" s="9">
        <v>63.21225398254326</v>
      </c>
      <c r="Z2775" s="9">
        <v>73.404961153420544</v>
      </c>
      <c r="AA2775" s="9">
        <v>73.404961153420544</v>
      </c>
      <c r="AB2775" s="9">
        <v>83.820133806833923</v>
      </c>
      <c r="AC2775" s="9">
        <v>83.820133806833923</v>
      </c>
      <c r="AD2775" s="9">
        <v>94.480018491037072</v>
      </c>
      <c r="AE2775" s="9">
        <v>105.40908640910902</v>
      </c>
      <c r="AF2775" s="9">
        <v>116.6342558844366</v>
      </c>
      <c r="AG2775" s="9">
        <v>116.6342558844366</v>
      </c>
      <c r="AH2775" s="9">
        <v>128.18513707274536</v>
      </c>
      <c r="AI2775" s="9">
        <v>140.98660541754566</v>
      </c>
      <c r="AJ2775" s="9">
        <v>3.0428788910505911</v>
      </c>
    </row>
    <row r="2776" spans="1:36" x14ac:dyDescent="0.25">
      <c r="A2776" t="s">
        <v>5411</v>
      </c>
      <c r="B2776" t="s">
        <v>16</v>
      </c>
      <c r="C2776" t="s">
        <v>17</v>
      </c>
      <c r="D2776">
        <v>58253000</v>
      </c>
      <c r="E2776">
        <v>58253999</v>
      </c>
      <c r="F2776" t="s">
        <v>2511</v>
      </c>
      <c r="G2776" t="str">
        <f t="shared" si="86"/>
        <v>PBR</v>
      </c>
      <c r="H2776" t="s">
        <v>2471</v>
      </c>
      <c r="I2776" t="s">
        <v>20</v>
      </c>
      <c r="J2776" t="s">
        <v>77</v>
      </c>
      <c r="K2776" s="6">
        <v>0.03</v>
      </c>
      <c r="L2776" s="7">
        <f t="shared" si="87"/>
        <v>2E-3</v>
      </c>
      <c r="M2776" s="7">
        <v>3.0000000000000001E-3</v>
      </c>
      <c r="N2776">
        <v>17</v>
      </c>
      <c r="O2776" s="8">
        <v>31.674720005909176</v>
      </c>
      <c r="P2776" s="9">
        <v>31.674720005909176</v>
      </c>
      <c r="Q2776" s="9">
        <v>31.674720005909176</v>
      </c>
      <c r="R2776" s="9">
        <v>34.913308289497976</v>
      </c>
      <c r="S2776" s="9">
        <v>38.480048605011753</v>
      </c>
      <c r="T2776" s="9">
        <v>40.939971907336925</v>
      </c>
      <c r="U2776" s="9">
        <v>49.333088414904694</v>
      </c>
      <c r="V2776" s="9">
        <v>49.333088414904694</v>
      </c>
      <c r="W2776" s="9">
        <v>49.333088414904694</v>
      </c>
      <c r="X2776" s="9">
        <v>63.21225398254326</v>
      </c>
      <c r="Y2776" s="9">
        <v>63.21225398254326</v>
      </c>
      <c r="Z2776" s="9">
        <v>73.404961153420544</v>
      </c>
      <c r="AA2776" s="9">
        <v>73.404961153420544</v>
      </c>
      <c r="AB2776" s="9">
        <v>83.820133806833923</v>
      </c>
      <c r="AC2776" s="9">
        <v>83.820133806833923</v>
      </c>
      <c r="AD2776" s="9">
        <v>94.480018491037072</v>
      </c>
      <c r="AE2776" s="9">
        <v>105.40908640910902</v>
      </c>
      <c r="AF2776" s="9">
        <v>116.6342558844366</v>
      </c>
      <c r="AG2776" s="9">
        <v>116.6342558844366</v>
      </c>
      <c r="AH2776" s="9">
        <v>128.18513707274536</v>
      </c>
      <c r="AI2776" s="9">
        <v>140.98660541754566</v>
      </c>
      <c r="AJ2776" s="9">
        <v>3.0428788910505911</v>
      </c>
    </row>
    <row r="2777" spans="1:36" x14ac:dyDescent="0.25">
      <c r="A2777" t="s">
        <v>5411</v>
      </c>
      <c r="B2777" t="s">
        <v>16</v>
      </c>
      <c r="C2777" t="s">
        <v>17</v>
      </c>
      <c r="D2777">
        <v>58254000</v>
      </c>
      <c r="E2777">
        <v>58254999</v>
      </c>
      <c r="F2777" t="s">
        <v>2512</v>
      </c>
      <c r="G2777" t="str">
        <f t="shared" si="86"/>
        <v>PBR</v>
      </c>
      <c r="H2777" t="s">
        <v>2471</v>
      </c>
      <c r="I2777" t="s">
        <v>20</v>
      </c>
      <c r="J2777" t="s">
        <v>77</v>
      </c>
      <c r="K2777" s="6">
        <v>0.03</v>
      </c>
      <c r="L2777" s="7">
        <f t="shared" si="87"/>
        <v>2E-3</v>
      </c>
      <c r="M2777" s="7">
        <v>3.0000000000000001E-3</v>
      </c>
      <c r="N2777">
        <v>17</v>
      </c>
      <c r="O2777" s="8">
        <v>31.674720005909176</v>
      </c>
      <c r="P2777" s="9">
        <v>31.674720005909176</v>
      </c>
      <c r="Q2777" s="9">
        <v>31.674720005909176</v>
      </c>
      <c r="R2777" s="9">
        <v>34.913308289497976</v>
      </c>
      <c r="S2777" s="9">
        <v>38.480048605011753</v>
      </c>
      <c r="T2777" s="9">
        <v>40.939971907336925</v>
      </c>
      <c r="U2777" s="9">
        <v>49.333088414904694</v>
      </c>
      <c r="V2777" s="9">
        <v>49.333088414904694</v>
      </c>
      <c r="W2777" s="9">
        <v>49.333088414904694</v>
      </c>
      <c r="X2777" s="9">
        <v>63.21225398254326</v>
      </c>
      <c r="Y2777" s="9">
        <v>63.21225398254326</v>
      </c>
      <c r="Z2777" s="9">
        <v>73.404961153420544</v>
      </c>
      <c r="AA2777" s="9">
        <v>73.404961153420544</v>
      </c>
      <c r="AB2777" s="9">
        <v>83.820133806833923</v>
      </c>
      <c r="AC2777" s="9">
        <v>83.820133806833923</v>
      </c>
      <c r="AD2777" s="9">
        <v>94.480018491037072</v>
      </c>
      <c r="AE2777" s="9">
        <v>105.40908640910902</v>
      </c>
      <c r="AF2777" s="9">
        <v>116.6342558844366</v>
      </c>
      <c r="AG2777" s="9">
        <v>116.6342558844366</v>
      </c>
      <c r="AH2777" s="9">
        <v>128.18513707274536</v>
      </c>
      <c r="AI2777" s="9">
        <v>140.98660541754566</v>
      </c>
      <c r="AJ2777" s="9">
        <v>3.0428788910505911</v>
      </c>
    </row>
    <row r="2778" spans="1:36" x14ac:dyDescent="0.25">
      <c r="A2778" t="s">
        <v>5411</v>
      </c>
      <c r="B2778" t="s">
        <v>16</v>
      </c>
      <c r="C2778" t="s">
        <v>17</v>
      </c>
      <c r="D2778">
        <v>58255000</v>
      </c>
      <c r="E2778">
        <v>58259999</v>
      </c>
      <c r="F2778" t="s">
        <v>2434</v>
      </c>
      <c r="G2778" t="str">
        <f t="shared" si="86"/>
        <v>PBI II</v>
      </c>
      <c r="H2778" t="s">
        <v>2471</v>
      </c>
      <c r="I2778" t="s">
        <v>20</v>
      </c>
      <c r="J2778" t="s">
        <v>64</v>
      </c>
      <c r="K2778" s="6">
        <v>0.03</v>
      </c>
      <c r="L2778" s="7">
        <f t="shared" si="87"/>
        <v>2E-3</v>
      </c>
      <c r="M2778" s="7">
        <v>3.0000000000000001E-3</v>
      </c>
      <c r="N2778">
        <v>11</v>
      </c>
      <c r="O2778" s="8">
        <v>25.469420399191385</v>
      </c>
      <c r="P2778" s="9">
        <v>25.469420399191385</v>
      </c>
      <c r="Q2778" s="9">
        <v>25.469420399191385</v>
      </c>
      <c r="R2778" s="9">
        <v>27.985354957700171</v>
      </c>
      <c r="S2778" s="9">
        <v>30.758461120802014</v>
      </c>
      <c r="T2778" s="9">
        <v>33.102903982805351</v>
      </c>
      <c r="U2778" s="9">
        <v>40.375170889228379</v>
      </c>
      <c r="V2778" s="9">
        <v>40.375170889228379</v>
      </c>
      <c r="W2778" s="9">
        <v>40.375170889228379</v>
      </c>
      <c r="X2778" s="9">
        <v>48.614146284608282</v>
      </c>
      <c r="Y2778" s="9">
        <v>48.614146284608282</v>
      </c>
      <c r="Z2778" s="9">
        <v>56.959894508429748</v>
      </c>
      <c r="AA2778" s="9">
        <v>56.959894508429748</v>
      </c>
      <c r="AB2778" s="9">
        <v>65.423092843536963</v>
      </c>
      <c r="AC2778" s="9">
        <v>65.423092843536963</v>
      </c>
      <c r="AD2778" s="9">
        <v>76.101886260449433</v>
      </c>
      <c r="AE2778" s="9">
        <v>84.004204331617984</v>
      </c>
      <c r="AF2778" s="9">
        <v>92.047281772276918</v>
      </c>
      <c r="AG2778" s="9">
        <v>92.047281772276918</v>
      </c>
      <c r="AH2778" s="9">
        <v>101.16093014574129</v>
      </c>
      <c r="AI2778" s="9">
        <v>110.08433596377185</v>
      </c>
      <c r="AJ2778" s="9">
        <v>3.0428788910505911</v>
      </c>
    </row>
    <row r="2779" spans="1:36" x14ac:dyDescent="0.25">
      <c r="A2779" t="s">
        <v>5411</v>
      </c>
      <c r="B2779" t="s">
        <v>16</v>
      </c>
      <c r="C2779" t="s">
        <v>17</v>
      </c>
      <c r="D2779">
        <v>58260000</v>
      </c>
      <c r="E2779">
        <v>58264999</v>
      </c>
      <c r="F2779" t="s">
        <v>2513</v>
      </c>
      <c r="G2779" t="str">
        <f t="shared" si="86"/>
        <v>PBR</v>
      </c>
      <c r="H2779" t="s">
        <v>2471</v>
      </c>
      <c r="I2779" t="s">
        <v>20</v>
      </c>
      <c r="J2779" t="s">
        <v>77</v>
      </c>
      <c r="K2779" s="6">
        <v>0.03</v>
      </c>
      <c r="L2779" s="7">
        <f t="shared" si="87"/>
        <v>2E-3</v>
      </c>
      <c r="M2779" s="7">
        <v>3.0000000000000001E-3</v>
      </c>
      <c r="N2779">
        <v>17</v>
      </c>
      <c r="O2779" s="8">
        <v>31.674720005909176</v>
      </c>
      <c r="P2779" s="9">
        <v>31.674720005909176</v>
      </c>
      <c r="Q2779" s="9">
        <v>31.674720005909176</v>
      </c>
      <c r="R2779" s="9">
        <v>34.913308289497976</v>
      </c>
      <c r="S2779" s="9">
        <v>38.480048605011753</v>
      </c>
      <c r="T2779" s="9">
        <v>40.939971907336925</v>
      </c>
      <c r="U2779" s="9">
        <v>49.333088414904694</v>
      </c>
      <c r="V2779" s="9">
        <v>49.333088414904694</v>
      </c>
      <c r="W2779" s="9">
        <v>49.333088414904694</v>
      </c>
      <c r="X2779" s="9">
        <v>63.21225398254326</v>
      </c>
      <c r="Y2779" s="9">
        <v>63.21225398254326</v>
      </c>
      <c r="Z2779" s="9">
        <v>73.404961153420544</v>
      </c>
      <c r="AA2779" s="9">
        <v>73.404961153420544</v>
      </c>
      <c r="AB2779" s="9">
        <v>83.820133806833923</v>
      </c>
      <c r="AC2779" s="9">
        <v>83.820133806833923</v>
      </c>
      <c r="AD2779" s="9">
        <v>94.480018491037072</v>
      </c>
      <c r="AE2779" s="9">
        <v>105.40908640910902</v>
      </c>
      <c r="AF2779" s="9">
        <v>116.6342558844366</v>
      </c>
      <c r="AG2779" s="9">
        <v>116.6342558844366</v>
      </c>
      <c r="AH2779" s="9">
        <v>128.18513707274536</v>
      </c>
      <c r="AI2779" s="9">
        <v>140.98660541754566</v>
      </c>
      <c r="AJ2779" s="9">
        <v>3.0428788910505911</v>
      </c>
    </row>
    <row r="2780" spans="1:36" x14ac:dyDescent="0.25">
      <c r="A2780" t="s">
        <v>5411</v>
      </c>
      <c r="B2780" t="s">
        <v>16</v>
      </c>
      <c r="C2780" t="s">
        <v>17</v>
      </c>
      <c r="D2780">
        <v>58265000</v>
      </c>
      <c r="E2780">
        <v>58267999</v>
      </c>
      <c r="F2780" t="s">
        <v>2514</v>
      </c>
      <c r="G2780" t="str">
        <f t="shared" si="86"/>
        <v>PBR</v>
      </c>
      <c r="H2780" t="s">
        <v>2471</v>
      </c>
      <c r="I2780" t="s">
        <v>20</v>
      </c>
      <c r="J2780" t="s">
        <v>77</v>
      </c>
      <c r="K2780" s="6">
        <v>0.03</v>
      </c>
      <c r="L2780" s="7">
        <f t="shared" si="87"/>
        <v>2E-3</v>
      </c>
      <c r="M2780" s="7">
        <v>3.0000000000000001E-3</v>
      </c>
      <c r="N2780">
        <v>17</v>
      </c>
      <c r="O2780" s="8">
        <v>31.674720005909176</v>
      </c>
      <c r="P2780" s="9">
        <v>31.674720005909176</v>
      </c>
      <c r="Q2780" s="9">
        <v>31.674720005909176</v>
      </c>
      <c r="R2780" s="9">
        <v>34.913308289497976</v>
      </c>
      <c r="S2780" s="9">
        <v>38.480048605011753</v>
      </c>
      <c r="T2780" s="9">
        <v>40.939971907336925</v>
      </c>
      <c r="U2780" s="9">
        <v>49.333088414904694</v>
      </c>
      <c r="V2780" s="9">
        <v>49.333088414904694</v>
      </c>
      <c r="W2780" s="9">
        <v>49.333088414904694</v>
      </c>
      <c r="X2780" s="9">
        <v>63.21225398254326</v>
      </c>
      <c r="Y2780" s="9">
        <v>63.21225398254326</v>
      </c>
      <c r="Z2780" s="9">
        <v>73.404961153420544</v>
      </c>
      <c r="AA2780" s="9">
        <v>73.404961153420544</v>
      </c>
      <c r="AB2780" s="9">
        <v>83.820133806833923</v>
      </c>
      <c r="AC2780" s="9">
        <v>83.820133806833923</v>
      </c>
      <c r="AD2780" s="9">
        <v>94.480018491037072</v>
      </c>
      <c r="AE2780" s="9">
        <v>105.40908640910902</v>
      </c>
      <c r="AF2780" s="9">
        <v>116.6342558844366</v>
      </c>
      <c r="AG2780" s="9">
        <v>116.6342558844366</v>
      </c>
      <c r="AH2780" s="9">
        <v>128.18513707274536</v>
      </c>
      <c r="AI2780" s="9">
        <v>140.98660541754566</v>
      </c>
      <c r="AJ2780" s="9">
        <v>3.0428788910505911</v>
      </c>
    </row>
    <row r="2781" spans="1:36" x14ac:dyDescent="0.25">
      <c r="A2781" t="s">
        <v>5411</v>
      </c>
      <c r="B2781" t="s">
        <v>16</v>
      </c>
      <c r="C2781" t="s">
        <v>17</v>
      </c>
      <c r="D2781">
        <v>58268000</v>
      </c>
      <c r="E2781">
        <v>58269999</v>
      </c>
      <c r="F2781" t="s">
        <v>224</v>
      </c>
      <c r="G2781" t="str">
        <f t="shared" si="86"/>
        <v>PBR</v>
      </c>
      <c r="H2781" t="s">
        <v>2471</v>
      </c>
      <c r="I2781" t="s">
        <v>20</v>
      </c>
      <c r="J2781" t="s">
        <v>77</v>
      </c>
      <c r="K2781" s="6">
        <v>0.03</v>
      </c>
      <c r="L2781" s="7">
        <f t="shared" si="87"/>
        <v>2E-3</v>
      </c>
      <c r="M2781" s="7">
        <v>3.0000000000000001E-3</v>
      </c>
      <c r="N2781">
        <v>17</v>
      </c>
      <c r="O2781" s="8">
        <v>31.674720005909176</v>
      </c>
      <c r="P2781" s="9">
        <v>31.674720005909176</v>
      </c>
      <c r="Q2781" s="9">
        <v>31.674720005909176</v>
      </c>
      <c r="R2781" s="9">
        <v>34.913308289497976</v>
      </c>
      <c r="S2781" s="9">
        <v>38.480048605011753</v>
      </c>
      <c r="T2781" s="9">
        <v>40.939971907336925</v>
      </c>
      <c r="U2781" s="9">
        <v>49.333088414904694</v>
      </c>
      <c r="V2781" s="9">
        <v>49.333088414904694</v>
      </c>
      <c r="W2781" s="9">
        <v>49.333088414904694</v>
      </c>
      <c r="X2781" s="9">
        <v>63.21225398254326</v>
      </c>
      <c r="Y2781" s="9">
        <v>63.21225398254326</v>
      </c>
      <c r="Z2781" s="9">
        <v>73.404961153420544</v>
      </c>
      <c r="AA2781" s="9">
        <v>73.404961153420544</v>
      </c>
      <c r="AB2781" s="9">
        <v>83.820133806833923</v>
      </c>
      <c r="AC2781" s="9">
        <v>83.820133806833923</v>
      </c>
      <c r="AD2781" s="9">
        <v>94.480018491037072</v>
      </c>
      <c r="AE2781" s="9">
        <v>105.40908640910902</v>
      </c>
      <c r="AF2781" s="9">
        <v>116.6342558844366</v>
      </c>
      <c r="AG2781" s="9">
        <v>116.6342558844366</v>
      </c>
      <c r="AH2781" s="9">
        <v>128.18513707274536</v>
      </c>
      <c r="AI2781" s="9">
        <v>140.98660541754566</v>
      </c>
      <c r="AJ2781" s="9">
        <v>3.0428788910505911</v>
      </c>
    </row>
    <row r="2782" spans="1:36" x14ac:dyDescent="0.25">
      <c r="A2782" t="s">
        <v>5411</v>
      </c>
      <c r="B2782" t="s">
        <v>16</v>
      </c>
      <c r="C2782" t="s">
        <v>17</v>
      </c>
      <c r="D2782">
        <v>58270000</v>
      </c>
      <c r="E2782">
        <v>58272999</v>
      </c>
      <c r="F2782" t="s">
        <v>2515</v>
      </c>
      <c r="G2782" t="str">
        <f t="shared" si="86"/>
        <v>PBI II</v>
      </c>
      <c r="H2782" t="s">
        <v>2471</v>
      </c>
      <c r="I2782" t="s">
        <v>20</v>
      </c>
      <c r="J2782" t="s">
        <v>64</v>
      </c>
      <c r="K2782" s="6">
        <v>0.03</v>
      </c>
      <c r="L2782" s="7">
        <f t="shared" si="87"/>
        <v>2E-3</v>
      </c>
      <c r="M2782" s="7">
        <v>3.0000000000000001E-3</v>
      </c>
      <c r="N2782">
        <v>12</v>
      </c>
      <c r="O2782" s="8">
        <v>25.469420399191385</v>
      </c>
      <c r="P2782" s="9">
        <v>25.469420399191385</v>
      </c>
      <c r="Q2782" s="9">
        <v>25.469420399191385</v>
      </c>
      <c r="R2782" s="9">
        <v>27.985354957700171</v>
      </c>
      <c r="S2782" s="9">
        <v>30.758461120802014</v>
      </c>
      <c r="T2782" s="9">
        <v>33.102903982805351</v>
      </c>
      <c r="U2782" s="9">
        <v>40.375170889228379</v>
      </c>
      <c r="V2782" s="9">
        <v>40.375170889228379</v>
      </c>
      <c r="W2782" s="9">
        <v>40.375170889228379</v>
      </c>
      <c r="X2782" s="9">
        <v>48.614146284608282</v>
      </c>
      <c r="Y2782" s="9">
        <v>48.614146284608282</v>
      </c>
      <c r="Z2782" s="9">
        <v>56.959894508429748</v>
      </c>
      <c r="AA2782" s="9">
        <v>56.959894508429748</v>
      </c>
      <c r="AB2782" s="9">
        <v>65.423092843536963</v>
      </c>
      <c r="AC2782" s="9">
        <v>65.423092843536963</v>
      </c>
      <c r="AD2782" s="9">
        <v>76.101886260449433</v>
      </c>
      <c r="AE2782" s="9">
        <v>84.004204331617984</v>
      </c>
      <c r="AF2782" s="9">
        <v>92.047281772276918</v>
      </c>
      <c r="AG2782" s="9">
        <v>92.047281772276918</v>
      </c>
      <c r="AH2782" s="9">
        <v>101.16093014574129</v>
      </c>
      <c r="AI2782" s="9">
        <v>110.08433596377185</v>
      </c>
      <c r="AJ2782" s="9">
        <v>3.0428788910505911</v>
      </c>
    </row>
    <row r="2783" spans="1:36" x14ac:dyDescent="0.25">
      <c r="A2783" t="s">
        <v>5411</v>
      </c>
      <c r="B2783" t="s">
        <v>16</v>
      </c>
      <c r="C2783" t="s">
        <v>17</v>
      </c>
      <c r="D2783">
        <v>58273000</v>
      </c>
      <c r="E2783">
        <v>58274999</v>
      </c>
      <c r="F2783" t="s">
        <v>2516</v>
      </c>
      <c r="G2783" t="str">
        <f t="shared" si="86"/>
        <v>PBR</v>
      </c>
      <c r="H2783" t="s">
        <v>2471</v>
      </c>
      <c r="I2783" t="s">
        <v>20</v>
      </c>
      <c r="J2783" t="s">
        <v>77</v>
      </c>
      <c r="K2783" s="6">
        <v>0.03</v>
      </c>
      <c r="L2783" s="7">
        <f t="shared" si="87"/>
        <v>2E-3</v>
      </c>
      <c r="M2783" s="7">
        <v>3.0000000000000001E-3</v>
      </c>
      <c r="N2783">
        <v>17</v>
      </c>
      <c r="O2783" s="8">
        <v>31.674720005909176</v>
      </c>
      <c r="P2783" s="9">
        <v>31.674720005909176</v>
      </c>
      <c r="Q2783" s="9">
        <v>31.674720005909176</v>
      </c>
      <c r="R2783" s="9">
        <v>34.913308289497976</v>
      </c>
      <c r="S2783" s="9">
        <v>38.480048605011753</v>
      </c>
      <c r="T2783" s="9">
        <v>40.939971907336925</v>
      </c>
      <c r="U2783" s="9">
        <v>49.333088414904694</v>
      </c>
      <c r="V2783" s="9">
        <v>49.333088414904694</v>
      </c>
      <c r="W2783" s="9">
        <v>49.333088414904694</v>
      </c>
      <c r="X2783" s="9">
        <v>63.21225398254326</v>
      </c>
      <c r="Y2783" s="9">
        <v>63.21225398254326</v>
      </c>
      <c r="Z2783" s="9">
        <v>73.404961153420544</v>
      </c>
      <c r="AA2783" s="9">
        <v>73.404961153420544</v>
      </c>
      <c r="AB2783" s="9">
        <v>83.820133806833923</v>
      </c>
      <c r="AC2783" s="9">
        <v>83.820133806833923</v>
      </c>
      <c r="AD2783" s="9">
        <v>94.480018491037072</v>
      </c>
      <c r="AE2783" s="9">
        <v>105.40908640910902</v>
      </c>
      <c r="AF2783" s="9">
        <v>116.6342558844366</v>
      </c>
      <c r="AG2783" s="9">
        <v>116.6342558844366</v>
      </c>
      <c r="AH2783" s="9">
        <v>128.18513707274536</v>
      </c>
      <c r="AI2783" s="9">
        <v>140.98660541754566</v>
      </c>
      <c r="AJ2783" s="9">
        <v>3.0428788910505911</v>
      </c>
    </row>
    <row r="2784" spans="1:36" x14ac:dyDescent="0.25">
      <c r="A2784" t="s">
        <v>5411</v>
      </c>
      <c r="B2784" t="s">
        <v>16</v>
      </c>
      <c r="C2784" t="s">
        <v>17</v>
      </c>
      <c r="D2784">
        <v>58275000</v>
      </c>
      <c r="E2784">
        <v>58277999</v>
      </c>
      <c r="F2784" t="s">
        <v>2517</v>
      </c>
      <c r="G2784" t="str">
        <f t="shared" si="86"/>
        <v>PBR</v>
      </c>
      <c r="H2784" t="s">
        <v>2471</v>
      </c>
      <c r="I2784" t="s">
        <v>20</v>
      </c>
      <c r="J2784" t="s">
        <v>77</v>
      </c>
      <c r="K2784" s="6">
        <v>0.03</v>
      </c>
      <c r="L2784" s="7">
        <f t="shared" si="87"/>
        <v>2E-3</v>
      </c>
      <c r="M2784" s="7">
        <v>3.0000000000000001E-3</v>
      </c>
      <c r="N2784">
        <v>17</v>
      </c>
      <c r="O2784" s="8">
        <v>31.674720005909176</v>
      </c>
      <c r="P2784" s="9">
        <v>31.674720005909176</v>
      </c>
      <c r="Q2784" s="9">
        <v>31.674720005909176</v>
      </c>
      <c r="R2784" s="9">
        <v>34.913308289497976</v>
      </c>
      <c r="S2784" s="9">
        <v>38.480048605011753</v>
      </c>
      <c r="T2784" s="9">
        <v>40.939971907336925</v>
      </c>
      <c r="U2784" s="9">
        <v>49.333088414904694</v>
      </c>
      <c r="V2784" s="9">
        <v>49.333088414904694</v>
      </c>
      <c r="W2784" s="9">
        <v>49.333088414904694</v>
      </c>
      <c r="X2784" s="9">
        <v>63.21225398254326</v>
      </c>
      <c r="Y2784" s="9">
        <v>63.21225398254326</v>
      </c>
      <c r="Z2784" s="9">
        <v>73.404961153420544</v>
      </c>
      <c r="AA2784" s="9">
        <v>73.404961153420544</v>
      </c>
      <c r="AB2784" s="9">
        <v>83.820133806833923</v>
      </c>
      <c r="AC2784" s="9">
        <v>83.820133806833923</v>
      </c>
      <c r="AD2784" s="9">
        <v>94.480018491037072</v>
      </c>
      <c r="AE2784" s="9">
        <v>105.40908640910902</v>
      </c>
      <c r="AF2784" s="9">
        <v>116.6342558844366</v>
      </c>
      <c r="AG2784" s="9">
        <v>116.6342558844366</v>
      </c>
      <c r="AH2784" s="9">
        <v>128.18513707274536</v>
      </c>
      <c r="AI2784" s="9">
        <v>140.98660541754566</v>
      </c>
      <c r="AJ2784" s="9">
        <v>3.0428788910505911</v>
      </c>
    </row>
    <row r="2785" spans="1:36" x14ac:dyDescent="0.25">
      <c r="A2785" t="s">
        <v>5411</v>
      </c>
      <c r="B2785" t="s">
        <v>16</v>
      </c>
      <c r="C2785" t="s">
        <v>17</v>
      </c>
      <c r="D2785">
        <v>58278000</v>
      </c>
      <c r="E2785">
        <v>58279999</v>
      </c>
      <c r="F2785" t="s">
        <v>2518</v>
      </c>
      <c r="G2785" t="str">
        <f t="shared" si="86"/>
        <v>PBR</v>
      </c>
      <c r="H2785" t="s">
        <v>2471</v>
      </c>
      <c r="I2785" t="s">
        <v>20</v>
      </c>
      <c r="J2785" t="s">
        <v>77</v>
      </c>
      <c r="K2785" s="6">
        <v>0.03</v>
      </c>
      <c r="L2785" s="7">
        <f t="shared" si="87"/>
        <v>2E-3</v>
      </c>
      <c r="M2785" s="7">
        <v>3.0000000000000001E-3</v>
      </c>
      <c r="N2785">
        <v>17</v>
      </c>
      <c r="O2785" s="8">
        <v>31.674720005909176</v>
      </c>
      <c r="P2785" s="9">
        <v>31.674720005909176</v>
      </c>
      <c r="Q2785" s="9">
        <v>31.674720005909176</v>
      </c>
      <c r="R2785" s="9">
        <v>34.913308289497976</v>
      </c>
      <c r="S2785" s="9">
        <v>38.480048605011753</v>
      </c>
      <c r="T2785" s="9">
        <v>40.939971907336925</v>
      </c>
      <c r="U2785" s="9">
        <v>49.333088414904694</v>
      </c>
      <c r="V2785" s="9">
        <v>49.333088414904694</v>
      </c>
      <c r="W2785" s="9">
        <v>49.333088414904694</v>
      </c>
      <c r="X2785" s="9">
        <v>63.21225398254326</v>
      </c>
      <c r="Y2785" s="9">
        <v>63.21225398254326</v>
      </c>
      <c r="Z2785" s="9">
        <v>73.404961153420544</v>
      </c>
      <c r="AA2785" s="9">
        <v>73.404961153420544</v>
      </c>
      <c r="AB2785" s="9">
        <v>83.820133806833923</v>
      </c>
      <c r="AC2785" s="9">
        <v>83.820133806833923</v>
      </c>
      <c r="AD2785" s="9">
        <v>94.480018491037072</v>
      </c>
      <c r="AE2785" s="9">
        <v>105.40908640910902</v>
      </c>
      <c r="AF2785" s="9">
        <v>116.6342558844366</v>
      </c>
      <c r="AG2785" s="9">
        <v>116.6342558844366</v>
      </c>
      <c r="AH2785" s="9">
        <v>128.18513707274536</v>
      </c>
      <c r="AI2785" s="9">
        <v>140.98660541754566</v>
      </c>
      <c r="AJ2785" s="9">
        <v>3.0428788910505911</v>
      </c>
    </row>
    <row r="2786" spans="1:36" x14ac:dyDescent="0.25">
      <c r="A2786" t="s">
        <v>5411</v>
      </c>
      <c r="B2786" t="s">
        <v>16</v>
      </c>
      <c r="C2786" t="s">
        <v>17</v>
      </c>
      <c r="D2786">
        <v>58280000</v>
      </c>
      <c r="E2786">
        <v>58286999</v>
      </c>
      <c r="F2786" t="s">
        <v>2519</v>
      </c>
      <c r="G2786" t="str">
        <f t="shared" si="86"/>
        <v>PBI II</v>
      </c>
      <c r="H2786" t="s">
        <v>2471</v>
      </c>
      <c r="I2786" t="s">
        <v>20</v>
      </c>
      <c r="J2786" t="s">
        <v>64</v>
      </c>
      <c r="K2786" s="6">
        <v>0.03</v>
      </c>
      <c r="L2786" s="7">
        <f t="shared" si="87"/>
        <v>2E-3</v>
      </c>
      <c r="M2786" s="7">
        <v>3.0000000000000001E-3</v>
      </c>
      <c r="N2786">
        <v>12</v>
      </c>
      <c r="O2786" s="8">
        <v>25.469420399191385</v>
      </c>
      <c r="P2786" s="9">
        <v>25.469420399191385</v>
      </c>
      <c r="Q2786" s="9">
        <v>25.469420399191385</v>
      </c>
      <c r="R2786" s="9">
        <v>27.985354957700171</v>
      </c>
      <c r="S2786" s="9">
        <v>30.758461120802014</v>
      </c>
      <c r="T2786" s="9">
        <v>33.102903982805351</v>
      </c>
      <c r="U2786" s="9">
        <v>40.375170889228379</v>
      </c>
      <c r="V2786" s="9">
        <v>40.375170889228379</v>
      </c>
      <c r="W2786" s="9">
        <v>40.375170889228379</v>
      </c>
      <c r="X2786" s="9">
        <v>48.614146284608282</v>
      </c>
      <c r="Y2786" s="9">
        <v>48.614146284608282</v>
      </c>
      <c r="Z2786" s="9">
        <v>56.959894508429748</v>
      </c>
      <c r="AA2786" s="9">
        <v>56.959894508429748</v>
      </c>
      <c r="AB2786" s="9">
        <v>65.423092843536963</v>
      </c>
      <c r="AC2786" s="9">
        <v>65.423092843536963</v>
      </c>
      <c r="AD2786" s="9">
        <v>76.101886260449433</v>
      </c>
      <c r="AE2786" s="9">
        <v>84.004204331617984</v>
      </c>
      <c r="AF2786" s="9">
        <v>92.047281772276918</v>
      </c>
      <c r="AG2786" s="9">
        <v>92.047281772276918</v>
      </c>
      <c r="AH2786" s="9">
        <v>101.16093014574129</v>
      </c>
      <c r="AI2786" s="9">
        <v>110.08433596377185</v>
      </c>
      <c r="AJ2786" s="9">
        <v>3.0428788910505911</v>
      </c>
    </row>
    <row r="2787" spans="1:36" x14ac:dyDescent="0.25">
      <c r="A2787" t="s">
        <v>5411</v>
      </c>
      <c r="B2787" t="s">
        <v>16</v>
      </c>
      <c r="C2787" t="s">
        <v>17</v>
      </c>
      <c r="D2787">
        <v>58287000</v>
      </c>
      <c r="E2787">
        <v>58288999</v>
      </c>
      <c r="F2787" t="s">
        <v>2520</v>
      </c>
      <c r="G2787" t="str">
        <f t="shared" si="86"/>
        <v>PBI II</v>
      </c>
      <c r="H2787" t="s">
        <v>2471</v>
      </c>
      <c r="I2787" t="s">
        <v>20</v>
      </c>
      <c r="J2787" t="s">
        <v>64</v>
      </c>
      <c r="K2787" s="6">
        <v>0.03</v>
      </c>
      <c r="L2787" s="7">
        <f t="shared" si="87"/>
        <v>2E-3</v>
      </c>
      <c r="M2787" s="7">
        <v>3.0000000000000001E-3</v>
      </c>
      <c r="N2787">
        <v>12</v>
      </c>
      <c r="O2787" s="8">
        <v>25.469420399191385</v>
      </c>
      <c r="P2787" s="9">
        <v>25.469420399191385</v>
      </c>
      <c r="Q2787" s="9">
        <v>25.469420399191385</v>
      </c>
      <c r="R2787" s="9">
        <v>27.985354957700171</v>
      </c>
      <c r="S2787" s="9">
        <v>30.758461120802014</v>
      </c>
      <c r="T2787" s="9">
        <v>33.102903982805351</v>
      </c>
      <c r="U2787" s="9">
        <v>40.375170889228379</v>
      </c>
      <c r="V2787" s="9">
        <v>40.375170889228379</v>
      </c>
      <c r="W2787" s="9">
        <v>40.375170889228379</v>
      </c>
      <c r="X2787" s="9">
        <v>48.614146284608282</v>
      </c>
      <c r="Y2787" s="9">
        <v>48.614146284608282</v>
      </c>
      <c r="Z2787" s="9">
        <v>56.959894508429748</v>
      </c>
      <c r="AA2787" s="9">
        <v>56.959894508429748</v>
      </c>
      <c r="AB2787" s="9">
        <v>65.423092843536963</v>
      </c>
      <c r="AC2787" s="9">
        <v>65.423092843536963</v>
      </c>
      <c r="AD2787" s="9">
        <v>76.101886260449433</v>
      </c>
      <c r="AE2787" s="9">
        <v>84.004204331617984</v>
      </c>
      <c r="AF2787" s="9">
        <v>92.047281772276918</v>
      </c>
      <c r="AG2787" s="9">
        <v>92.047281772276918</v>
      </c>
      <c r="AH2787" s="9">
        <v>101.16093014574129</v>
      </c>
      <c r="AI2787" s="9">
        <v>110.08433596377185</v>
      </c>
      <c r="AJ2787" s="9">
        <v>3.0428788910505911</v>
      </c>
    </row>
    <row r="2788" spans="1:36" x14ac:dyDescent="0.25">
      <c r="A2788" t="s">
        <v>5411</v>
      </c>
      <c r="B2788" t="s">
        <v>16</v>
      </c>
      <c r="C2788" t="s">
        <v>17</v>
      </c>
      <c r="D2788">
        <v>58289000</v>
      </c>
      <c r="E2788">
        <v>58290999</v>
      </c>
      <c r="F2788" t="s">
        <v>2521</v>
      </c>
      <c r="G2788" t="str">
        <f t="shared" si="86"/>
        <v>PBR</v>
      </c>
      <c r="H2788" t="s">
        <v>2471</v>
      </c>
      <c r="I2788" t="s">
        <v>20</v>
      </c>
      <c r="J2788" t="s">
        <v>77</v>
      </c>
      <c r="K2788" s="6">
        <v>0.03</v>
      </c>
      <c r="L2788" s="7">
        <f t="shared" si="87"/>
        <v>2E-3</v>
      </c>
      <c r="M2788" s="7">
        <v>3.0000000000000001E-3</v>
      </c>
      <c r="N2788">
        <v>17</v>
      </c>
      <c r="O2788" s="8">
        <v>31.674720005909176</v>
      </c>
      <c r="P2788" s="9">
        <v>31.674720005909176</v>
      </c>
      <c r="Q2788" s="9">
        <v>31.674720005909176</v>
      </c>
      <c r="R2788" s="9">
        <v>34.913308289497976</v>
      </c>
      <c r="S2788" s="9">
        <v>38.480048605011753</v>
      </c>
      <c r="T2788" s="9">
        <v>40.939971907336925</v>
      </c>
      <c r="U2788" s="9">
        <v>49.333088414904694</v>
      </c>
      <c r="V2788" s="9">
        <v>49.333088414904694</v>
      </c>
      <c r="W2788" s="9">
        <v>49.333088414904694</v>
      </c>
      <c r="X2788" s="9">
        <v>63.21225398254326</v>
      </c>
      <c r="Y2788" s="9">
        <v>63.21225398254326</v>
      </c>
      <c r="Z2788" s="9">
        <v>73.404961153420544</v>
      </c>
      <c r="AA2788" s="9">
        <v>73.404961153420544</v>
      </c>
      <c r="AB2788" s="9">
        <v>83.820133806833923</v>
      </c>
      <c r="AC2788" s="9">
        <v>83.820133806833923</v>
      </c>
      <c r="AD2788" s="9">
        <v>94.480018491037072</v>
      </c>
      <c r="AE2788" s="9">
        <v>105.40908640910902</v>
      </c>
      <c r="AF2788" s="9">
        <v>116.6342558844366</v>
      </c>
      <c r="AG2788" s="9">
        <v>116.6342558844366</v>
      </c>
      <c r="AH2788" s="9">
        <v>128.18513707274536</v>
      </c>
      <c r="AI2788" s="9">
        <v>140.98660541754566</v>
      </c>
      <c r="AJ2788" s="9">
        <v>3.0428788910505911</v>
      </c>
    </row>
    <row r="2789" spans="1:36" x14ac:dyDescent="0.25">
      <c r="A2789" t="s">
        <v>5411</v>
      </c>
      <c r="B2789" t="s">
        <v>16</v>
      </c>
      <c r="C2789" t="s">
        <v>17</v>
      </c>
      <c r="D2789">
        <v>58291000</v>
      </c>
      <c r="E2789">
        <v>58291999</v>
      </c>
      <c r="F2789" t="s">
        <v>2522</v>
      </c>
      <c r="G2789" t="str">
        <f t="shared" si="86"/>
        <v>PBR</v>
      </c>
      <c r="H2789" t="s">
        <v>2471</v>
      </c>
      <c r="I2789" t="s">
        <v>20</v>
      </c>
      <c r="J2789" t="s">
        <v>77</v>
      </c>
      <c r="K2789" s="6">
        <v>0.03</v>
      </c>
      <c r="L2789" s="7">
        <f t="shared" si="87"/>
        <v>2E-3</v>
      </c>
      <c r="M2789" s="7">
        <v>3.0000000000000001E-3</v>
      </c>
      <c r="N2789">
        <v>17</v>
      </c>
      <c r="O2789" s="8">
        <v>31.674720005909176</v>
      </c>
      <c r="P2789" s="9">
        <v>31.674720005909176</v>
      </c>
      <c r="Q2789" s="9">
        <v>31.674720005909176</v>
      </c>
      <c r="R2789" s="9">
        <v>34.913308289497976</v>
      </c>
      <c r="S2789" s="9">
        <v>38.480048605011753</v>
      </c>
      <c r="T2789" s="9">
        <v>40.939971907336925</v>
      </c>
      <c r="U2789" s="9">
        <v>49.333088414904694</v>
      </c>
      <c r="V2789" s="9">
        <v>49.333088414904694</v>
      </c>
      <c r="W2789" s="9">
        <v>49.333088414904694</v>
      </c>
      <c r="X2789" s="9">
        <v>63.21225398254326</v>
      </c>
      <c r="Y2789" s="9">
        <v>63.21225398254326</v>
      </c>
      <c r="Z2789" s="9">
        <v>73.404961153420544</v>
      </c>
      <c r="AA2789" s="9">
        <v>73.404961153420544</v>
      </c>
      <c r="AB2789" s="9">
        <v>83.820133806833923</v>
      </c>
      <c r="AC2789" s="9">
        <v>83.820133806833923</v>
      </c>
      <c r="AD2789" s="9">
        <v>94.480018491037072</v>
      </c>
      <c r="AE2789" s="9">
        <v>105.40908640910902</v>
      </c>
      <c r="AF2789" s="9">
        <v>116.6342558844366</v>
      </c>
      <c r="AG2789" s="9">
        <v>116.6342558844366</v>
      </c>
      <c r="AH2789" s="9">
        <v>128.18513707274536</v>
      </c>
      <c r="AI2789" s="9">
        <v>140.98660541754566</v>
      </c>
      <c r="AJ2789" s="9">
        <v>3.0428788910505911</v>
      </c>
    </row>
    <row r="2790" spans="1:36" x14ac:dyDescent="0.25">
      <c r="A2790" t="s">
        <v>5411</v>
      </c>
      <c r="B2790" t="s">
        <v>16</v>
      </c>
      <c r="C2790" t="s">
        <v>17</v>
      </c>
      <c r="D2790">
        <v>58292000</v>
      </c>
      <c r="E2790">
        <v>58293999</v>
      </c>
      <c r="F2790" t="s">
        <v>2523</v>
      </c>
      <c r="G2790" t="str">
        <f t="shared" si="86"/>
        <v>PBR</v>
      </c>
      <c r="H2790" t="s">
        <v>2471</v>
      </c>
      <c r="I2790" t="s">
        <v>20</v>
      </c>
      <c r="J2790" t="s">
        <v>77</v>
      </c>
      <c r="K2790" s="6">
        <v>0.03</v>
      </c>
      <c r="L2790" s="7">
        <f t="shared" si="87"/>
        <v>2E-3</v>
      </c>
      <c r="M2790" s="7">
        <v>3.0000000000000001E-3</v>
      </c>
      <c r="N2790">
        <v>17</v>
      </c>
      <c r="O2790" s="8">
        <v>31.674720005909176</v>
      </c>
      <c r="P2790" s="9">
        <v>31.674720005909176</v>
      </c>
      <c r="Q2790" s="9">
        <v>31.674720005909176</v>
      </c>
      <c r="R2790" s="9">
        <v>34.913308289497976</v>
      </c>
      <c r="S2790" s="9">
        <v>38.480048605011753</v>
      </c>
      <c r="T2790" s="9">
        <v>40.939971907336925</v>
      </c>
      <c r="U2790" s="9">
        <v>49.333088414904694</v>
      </c>
      <c r="V2790" s="9">
        <v>49.333088414904694</v>
      </c>
      <c r="W2790" s="9">
        <v>49.333088414904694</v>
      </c>
      <c r="X2790" s="9">
        <v>63.21225398254326</v>
      </c>
      <c r="Y2790" s="9">
        <v>63.21225398254326</v>
      </c>
      <c r="Z2790" s="9">
        <v>73.404961153420544</v>
      </c>
      <c r="AA2790" s="9">
        <v>73.404961153420544</v>
      </c>
      <c r="AB2790" s="9">
        <v>83.820133806833923</v>
      </c>
      <c r="AC2790" s="9">
        <v>83.820133806833923</v>
      </c>
      <c r="AD2790" s="9">
        <v>94.480018491037072</v>
      </c>
      <c r="AE2790" s="9">
        <v>105.40908640910902</v>
      </c>
      <c r="AF2790" s="9">
        <v>116.6342558844366</v>
      </c>
      <c r="AG2790" s="9">
        <v>116.6342558844366</v>
      </c>
      <c r="AH2790" s="9">
        <v>128.18513707274536</v>
      </c>
      <c r="AI2790" s="9">
        <v>140.98660541754566</v>
      </c>
      <c r="AJ2790" s="9">
        <v>3.0428788910505911</v>
      </c>
    </row>
    <row r="2791" spans="1:36" x14ac:dyDescent="0.25">
      <c r="A2791" t="s">
        <v>5411</v>
      </c>
      <c r="B2791" t="s">
        <v>16</v>
      </c>
      <c r="C2791" t="s">
        <v>17</v>
      </c>
      <c r="D2791">
        <v>58294000</v>
      </c>
      <c r="E2791">
        <v>58294999</v>
      </c>
      <c r="F2791" t="s">
        <v>2524</v>
      </c>
      <c r="G2791" t="str">
        <f t="shared" si="86"/>
        <v>PBR</v>
      </c>
      <c r="H2791" t="s">
        <v>2471</v>
      </c>
      <c r="I2791" t="s">
        <v>20</v>
      </c>
      <c r="J2791" t="s">
        <v>77</v>
      </c>
      <c r="K2791" s="6">
        <v>0.03</v>
      </c>
      <c r="L2791" s="7">
        <f t="shared" si="87"/>
        <v>2E-3</v>
      </c>
      <c r="M2791" s="7">
        <v>3.0000000000000001E-3</v>
      </c>
      <c r="N2791">
        <v>17</v>
      </c>
      <c r="O2791" s="8">
        <v>31.674720005909176</v>
      </c>
      <c r="P2791" s="9">
        <v>31.674720005909176</v>
      </c>
      <c r="Q2791" s="9">
        <v>31.674720005909176</v>
      </c>
      <c r="R2791" s="9">
        <v>34.913308289497976</v>
      </c>
      <c r="S2791" s="9">
        <v>38.480048605011753</v>
      </c>
      <c r="T2791" s="9">
        <v>40.939971907336925</v>
      </c>
      <c r="U2791" s="9">
        <v>49.333088414904694</v>
      </c>
      <c r="V2791" s="9">
        <v>49.333088414904694</v>
      </c>
      <c r="W2791" s="9">
        <v>49.333088414904694</v>
      </c>
      <c r="X2791" s="9">
        <v>63.21225398254326</v>
      </c>
      <c r="Y2791" s="9">
        <v>63.21225398254326</v>
      </c>
      <c r="Z2791" s="9">
        <v>73.404961153420544</v>
      </c>
      <c r="AA2791" s="9">
        <v>73.404961153420544</v>
      </c>
      <c r="AB2791" s="9">
        <v>83.820133806833923</v>
      </c>
      <c r="AC2791" s="9">
        <v>83.820133806833923</v>
      </c>
      <c r="AD2791" s="9">
        <v>94.480018491037072</v>
      </c>
      <c r="AE2791" s="9">
        <v>105.40908640910902</v>
      </c>
      <c r="AF2791" s="9">
        <v>116.6342558844366</v>
      </c>
      <c r="AG2791" s="9">
        <v>116.6342558844366</v>
      </c>
      <c r="AH2791" s="9">
        <v>128.18513707274536</v>
      </c>
      <c r="AI2791" s="9">
        <v>140.98660541754566</v>
      </c>
      <c r="AJ2791" s="9">
        <v>3.0428788910505911</v>
      </c>
    </row>
    <row r="2792" spans="1:36" x14ac:dyDescent="0.25">
      <c r="A2792" t="s">
        <v>5411</v>
      </c>
      <c r="B2792" t="s">
        <v>16</v>
      </c>
      <c r="C2792" t="s">
        <v>17</v>
      </c>
      <c r="D2792">
        <v>58295000</v>
      </c>
      <c r="E2792">
        <v>58296999</v>
      </c>
      <c r="F2792" t="s">
        <v>2525</v>
      </c>
      <c r="G2792" t="str">
        <f t="shared" si="86"/>
        <v>PBI II</v>
      </c>
      <c r="H2792" t="s">
        <v>2471</v>
      </c>
      <c r="I2792" t="s">
        <v>20</v>
      </c>
      <c r="J2792" t="s">
        <v>64</v>
      </c>
      <c r="K2792" s="6">
        <v>0.03</v>
      </c>
      <c r="L2792" s="7">
        <f t="shared" si="87"/>
        <v>2E-3</v>
      </c>
      <c r="M2792" s="7">
        <v>3.0000000000000001E-3</v>
      </c>
      <c r="N2792">
        <v>12</v>
      </c>
      <c r="O2792" s="8">
        <v>25.469420399191385</v>
      </c>
      <c r="P2792" s="9">
        <v>25.469420399191385</v>
      </c>
      <c r="Q2792" s="9">
        <v>25.469420399191385</v>
      </c>
      <c r="R2792" s="9">
        <v>27.985354957700171</v>
      </c>
      <c r="S2792" s="9">
        <v>30.758461120802014</v>
      </c>
      <c r="T2792" s="9">
        <v>33.102903982805351</v>
      </c>
      <c r="U2792" s="9">
        <v>40.375170889228379</v>
      </c>
      <c r="V2792" s="9">
        <v>40.375170889228379</v>
      </c>
      <c r="W2792" s="9">
        <v>40.375170889228379</v>
      </c>
      <c r="X2792" s="9">
        <v>48.614146284608282</v>
      </c>
      <c r="Y2792" s="9">
        <v>48.614146284608282</v>
      </c>
      <c r="Z2792" s="9">
        <v>56.959894508429748</v>
      </c>
      <c r="AA2792" s="9">
        <v>56.959894508429748</v>
      </c>
      <c r="AB2792" s="9">
        <v>65.423092843536963</v>
      </c>
      <c r="AC2792" s="9">
        <v>65.423092843536963</v>
      </c>
      <c r="AD2792" s="9">
        <v>76.101886260449433</v>
      </c>
      <c r="AE2792" s="9">
        <v>84.004204331617984</v>
      </c>
      <c r="AF2792" s="9">
        <v>92.047281772276918</v>
      </c>
      <c r="AG2792" s="9">
        <v>92.047281772276918</v>
      </c>
      <c r="AH2792" s="9">
        <v>101.16093014574129</v>
      </c>
      <c r="AI2792" s="9">
        <v>110.08433596377185</v>
      </c>
      <c r="AJ2792" s="9">
        <v>3.0428788910505911</v>
      </c>
    </row>
    <row r="2793" spans="1:36" x14ac:dyDescent="0.25">
      <c r="A2793" t="s">
        <v>5411</v>
      </c>
      <c r="B2793" t="s">
        <v>16</v>
      </c>
      <c r="C2793" t="s">
        <v>17</v>
      </c>
      <c r="D2793">
        <v>58297000</v>
      </c>
      <c r="E2793">
        <v>58299999</v>
      </c>
      <c r="F2793" t="s">
        <v>2526</v>
      </c>
      <c r="G2793" t="str">
        <f t="shared" si="86"/>
        <v>PBI II</v>
      </c>
      <c r="H2793" t="s">
        <v>2471</v>
      </c>
      <c r="I2793" t="s">
        <v>20</v>
      </c>
      <c r="J2793" t="s">
        <v>64</v>
      </c>
      <c r="K2793" s="6">
        <v>0.03</v>
      </c>
      <c r="L2793" s="7">
        <f t="shared" si="87"/>
        <v>2E-3</v>
      </c>
      <c r="M2793" s="7">
        <v>3.0000000000000001E-3</v>
      </c>
      <c r="N2793">
        <v>12</v>
      </c>
      <c r="O2793" s="8">
        <v>25.469420399191385</v>
      </c>
      <c r="P2793" s="9">
        <v>25.469420399191385</v>
      </c>
      <c r="Q2793" s="9">
        <v>25.469420399191385</v>
      </c>
      <c r="R2793" s="9">
        <v>27.985354957700171</v>
      </c>
      <c r="S2793" s="9">
        <v>30.758461120802014</v>
      </c>
      <c r="T2793" s="9">
        <v>33.102903982805351</v>
      </c>
      <c r="U2793" s="9">
        <v>40.375170889228379</v>
      </c>
      <c r="V2793" s="9">
        <v>40.375170889228379</v>
      </c>
      <c r="W2793" s="9">
        <v>40.375170889228379</v>
      </c>
      <c r="X2793" s="9">
        <v>48.614146284608282</v>
      </c>
      <c r="Y2793" s="9">
        <v>48.614146284608282</v>
      </c>
      <c r="Z2793" s="9">
        <v>56.959894508429748</v>
      </c>
      <c r="AA2793" s="9">
        <v>56.959894508429748</v>
      </c>
      <c r="AB2793" s="9">
        <v>65.423092843536963</v>
      </c>
      <c r="AC2793" s="9">
        <v>65.423092843536963</v>
      </c>
      <c r="AD2793" s="9">
        <v>76.101886260449433</v>
      </c>
      <c r="AE2793" s="9">
        <v>84.004204331617984</v>
      </c>
      <c r="AF2793" s="9">
        <v>92.047281772276918</v>
      </c>
      <c r="AG2793" s="9">
        <v>92.047281772276918</v>
      </c>
      <c r="AH2793" s="9">
        <v>101.16093014574129</v>
      </c>
      <c r="AI2793" s="9">
        <v>110.08433596377185</v>
      </c>
      <c r="AJ2793" s="9">
        <v>3.0428788910505911</v>
      </c>
    </row>
    <row r="2794" spans="1:36" x14ac:dyDescent="0.25">
      <c r="A2794" t="s">
        <v>5411</v>
      </c>
      <c r="B2794" t="s">
        <v>16</v>
      </c>
      <c r="C2794" t="s">
        <v>17</v>
      </c>
      <c r="D2794">
        <v>58300000</v>
      </c>
      <c r="E2794">
        <v>58304999</v>
      </c>
      <c r="F2794" t="s">
        <v>2527</v>
      </c>
      <c r="G2794" t="str">
        <f t="shared" si="86"/>
        <v>PBI</v>
      </c>
      <c r="H2794" t="s">
        <v>2471</v>
      </c>
      <c r="I2794" t="s">
        <v>20</v>
      </c>
      <c r="J2794" t="s">
        <v>62</v>
      </c>
      <c r="K2794" s="6">
        <v>0.03</v>
      </c>
      <c r="L2794" s="7">
        <f t="shared" si="87"/>
        <v>2E-3</v>
      </c>
      <c r="M2794" s="7">
        <v>3.0000000000000001E-3</v>
      </c>
      <c r="N2794">
        <v>10</v>
      </c>
      <c r="O2794" s="8">
        <v>20.87728230344733</v>
      </c>
      <c r="P2794" s="9">
        <v>20.87728230344733</v>
      </c>
      <c r="Q2794" s="9">
        <v>20.87728230344733</v>
      </c>
      <c r="R2794" s="9">
        <v>22.487970664940882</v>
      </c>
      <c r="S2794" s="9">
        <v>24.836959128882373</v>
      </c>
      <c r="T2794" s="9">
        <v>27.328940564094832</v>
      </c>
      <c r="U2794" s="9">
        <v>33.487633384176874</v>
      </c>
      <c r="V2794" s="9">
        <v>33.487633384176874</v>
      </c>
      <c r="W2794" s="9">
        <v>33.487633384176874</v>
      </c>
      <c r="X2794" s="9">
        <v>40.444098389650613</v>
      </c>
      <c r="Y2794" s="9">
        <v>40.444098389650613</v>
      </c>
      <c r="Z2794" s="9">
        <v>47.624518869362937</v>
      </c>
      <c r="AA2794" s="9">
        <v>47.624518869362937</v>
      </c>
      <c r="AB2794" s="9">
        <v>55.099076844260026</v>
      </c>
      <c r="AC2794" s="9">
        <v>55.099076844260026</v>
      </c>
      <c r="AD2794" s="9">
        <v>62.749008739977157</v>
      </c>
      <c r="AE2794" s="9">
        <v>70.59687278474604</v>
      </c>
      <c r="AF2794" s="9">
        <v>78.668205468404196</v>
      </c>
      <c r="AG2794" s="9">
        <v>78.668205468404196</v>
      </c>
      <c r="AH2794" s="9">
        <v>86.404717432433188</v>
      </c>
      <c r="AI2794" s="9">
        <v>94.691678268933799</v>
      </c>
      <c r="AJ2794" s="9">
        <v>3.0428788910505911</v>
      </c>
    </row>
    <row r="2795" spans="1:36" x14ac:dyDescent="0.25">
      <c r="A2795" t="s">
        <v>5411</v>
      </c>
      <c r="B2795" t="s">
        <v>16</v>
      </c>
      <c r="C2795" t="s">
        <v>17</v>
      </c>
      <c r="D2795">
        <v>58305000</v>
      </c>
      <c r="E2795">
        <v>58309999</v>
      </c>
      <c r="F2795" t="s">
        <v>2528</v>
      </c>
      <c r="G2795" t="str">
        <f t="shared" si="86"/>
        <v>PBI</v>
      </c>
      <c r="H2795" t="s">
        <v>2471</v>
      </c>
      <c r="I2795" t="s">
        <v>20</v>
      </c>
      <c r="J2795" t="s">
        <v>62</v>
      </c>
      <c r="K2795" s="6">
        <v>0.03</v>
      </c>
      <c r="L2795" s="7">
        <f t="shared" si="87"/>
        <v>2E-3</v>
      </c>
      <c r="M2795" s="7">
        <v>3.0000000000000001E-3</v>
      </c>
      <c r="N2795">
        <v>10</v>
      </c>
      <c r="O2795" s="8">
        <v>20.87728230344733</v>
      </c>
      <c r="P2795" s="9">
        <v>20.87728230344733</v>
      </c>
      <c r="Q2795" s="9">
        <v>20.87728230344733</v>
      </c>
      <c r="R2795" s="9">
        <v>22.487970664940882</v>
      </c>
      <c r="S2795" s="9">
        <v>24.836959128882373</v>
      </c>
      <c r="T2795" s="9">
        <v>27.328940564094832</v>
      </c>
      <c r="U2795" s="9">
        <v>33.487633384176874</v>
      </c>
      <c r="V2795" s="9">
        <v>33.487633384176874</v>
      </c>
      <c r="W2795" s="9">
        <v>33.487633384176874</v>
      </c>
      <c r="X2795" s="9">
        <v>40.444098389650613</v>
      </c>
      <c r="Y2795" s="9">
        <v>40.444098389650613</v>
      </c>
      <c r="Z2795" s="9">
        <v>47.624518869362937</v>
      </c>
      <c r="AA2795" s="9">
        <v>47.624518869362937</v>
      </c>
      <c r="AB2795" s="9">
        <v>55.099076844260026</v>
      </c>
      <c r="AC2795" s="9">
        <v>55.099076844260026</v>
      </c>
      <c r="AD2795" s="9">
        <v>62.749008739977157</v>
      </c>
      <c r="AE2795" s="9">
        <v>70.59687278474604</v>
      </c>
      <c r="AF2795" s="9">
        <v>78.668205468404196</v>
      </c>
      <c r="AG2795" s="9">
        <v>78.668205468404196</v>
      </c>
      <c r="AH2795" s="9">
        <v>86.404717432433188</v>
      </c>
      <c r="AI2795" s="9">
        <v>94.691678268933799</v>
      </c>
      <c r="AJ2795" s="9">
        <v>3.0428788910505911</v>
      </c>
    </row>
    <row r="2796" spans="1:36" x14ac:dyDescent="0.25">
      <c r="A2796" t="s">
        <v>5411</v>
      </c>
      <c r="B2796" t="s">
        <v>16</v>
      </c>
      <c r="C2796" t="s">
        <v>17</v>
      </c>
      <c r="D2796">
        <v>58310000</v>
      </c>
      <c r="E2796">
        <v>58314999</v>
      </c>
      <c r="F2796" t="s">
        <v>2527</v>
      </c>
      <c r="G2796" t="str">
        <f t="shared" si="86"/>
        <v>PBI</v>
      </c>
      <c r="H2796" t="s">
        <v>2471</v>
      </c>
      <c r="I2796" t="s">
        <v>20</v>
      </c>
      <c r="J2796" t="s">
        <v>62</v>
      </c>
      <c r="K2796" s="6">
        <v>0.03</v>
      </c>
      <c r="L2796" s="7">
        <f t="shared" si="87"/>
        <v>2E-3</v>
      </c>
      <c r="M2796" s="7">
        <v>3.0000000000000001E-3</v>
      </c>
      <c r="N2796">
        <v>10</v>
      </c>
      <c r="O2796" s="8">
        <v>20.87728230344733</v>
      </c>
      <c r="P2796" s="9">
        <v>20.87728230344733</v>
      </c>
      <c r="Q2796" s="9">
        <v>20.87728230344733</v>
      </c>
      <c r="R2796" s="9">
        <v>22.487970664940882</v>
      </c>
      <c r="S2796" s="9">
        <v>24.836959128882373</v>
      </c>
      <c r="T2796" s="9">
        <v>27.328940564094832</v>
      </c>
      <c r="U2796" s="9">
        <v>33.487633384176874</v>
      </c>
      <c r="V2796" s="9">
        <v>33.487633384176874</v>
      </c>
      <c r="W2796" s="9">
        <v>33.487633384176874</v>
      </c>
      <c r="X2796" s="9">
        <v>40.444098389650613</v>
      </c>
      <c r="Y2796" s="9">
        <v>40.444098389650613</v>
      </c>
      <c r="Z2796" s="9">
        <v>47.624518869362937</v>
      </c>
      <c r="AA2796" s="9">
        <v>47.624518869362937</v>
      </c>
      <c r="AB2796" s="9">
        <v>55.099076844260026</v>
      </c>
      <c r="AC2796" s="9">
        <v>55.099076844260026</v>
      </c>
      <c r="AD2796" s="9">
        <v>62.749008739977157</v>
      </c>
      <c r="AE2796" s="9">
        <v>70.59687278474604</v>
      </c>
      <c r="AF2796" s="9">
        <v>78.668205468404196</v>
      </c>
      <c r="AG2796" s="9">
        <v>78.668205468404196</v>
      </c>
      <c r="AH2796" s="9">
        <v>86.404717432433188</v>
      </c>
      <c r="AI2796" s="9">
        <v>94.691678268933799</v>
      </c>
      <c r="AJ2796" s="9">
        <v>3.0428788910505911</v>
      </c>
    </row>
    <row r="2797" spans="1:36" x14ac:dyDescent="0.25">
      <c r="A2797" t="s">
        <v>5411</v>
      </c>
      <c r="B2797" t="s">
        <v>16</v>
      </c>
      <c r="C2797" t="s">
        <v>17</v>
      </c>
      <c r="D2797">
        <v>58315000</v>
      </c>
      <c r="E2797">
        <v>58319999</v>
      </c>
      <c r="F2797" t="s">
        <v>2529</v>
      </c>
      <c r="G2797" t="str">
        <f t="shared" si="86"/>
        <v>PBI II</v>
      </c>
      <c r="H2797" t="s">
        <v>2471</v>
      </c>
      <c r="I2797" t="s">
        <v>20</v>
      </c>
      <c r="J2797" t="s">
        <v>64</v>
      </c>
      <c r="K2797" s="6">
        <v>0.03</v>
      </c>
      <c r="L2797" s="7">
        <f t="shared" si="87"/>
        <v>2E-3</v>
      </c>
      <c r="M2797" s="7">
        <v>3.0000000000000001E-3</v>
      </c>
      <c r="N2797">
        <v>12</v>
      </c>
      <c r="O2797" s="8">
        <v>25.469420399191385</v>
      </c>
      <c r="P2797" s="9">
        <v>25.469420399191385</v>
      </c>
      <c r="Q2797" s="9">
        <v>25.469420399191385</v>
      </c>
      <c r="R2797" s="9">
        <v>27.985354957700171</v>
      </c>
      <c r="S2797" s="9">
        <v>30.758461120802014</v>
      </c>
      <c r="T2797" s="9">
        <v>33.102903982805351</v>
      </c>
      <c r="U2797" s="9">
        <v>40.375170889228379</v>
      </c>
      <c r="V2797" s="9">
        <v>40.375170889228379</v>
      </c>
      <c r="W2797" s="9">
        <v>40.375170889228379</v>
      </c>
      <c r="X2797" s="9">
        <v>48.614146284608282</v>
      </c>
      <c r="Y2797" s="9">
        <v>48.614146284608282</v>
      </c>
      <c r="Z2797" s="9">
        <v>56.959894508429748</v>
      </c>
      <c r="AA2797" s="9">
        <v>56.959894508429748</v>
      </c>
      <c r="AB2797" s="9">
        <v>65.423092843536963</v>
      </c>
      <c r="AC2797" s="9">
        <v>65.423092843536963</v>
      </c>
      <c r="AD2797" s="9">
        <v>76.101886260449433</v>
      </c>
      <c r="AE2797" s="9">
        <v>84.004204331617984</v>
      </c>
      <c r="AF2797" s="9">
        <v>92.047281772276918</v>
      </c>
      <c r="AG2797" s="9">
        <v>92.047281772276918</v>
      </c>
      <c r="AH2797" s="9">
        <v>101.16093014574129</v>
      </c>
      <c r="AI2797" s="9">
        <v>110.08433596377185</v>
      </c>
      <c r="AJ2797" s="9">
        <v>3.0428788910505911</v>
      </c>
    </row>
    <row r="2798" spans="1:36" x14ac:dyDescent="0.25">
      <c r="A2798" t="s">
        <v>5411</v>
      </c>
      <c r="B2798" t="s">
        <v>16</v>
      </c>
      <c r="C2798" t="s">
        <v>17</v>
      </c>
      <c r="D2798">
        <v>58320000</v>
      </c>
      <c r="E2798">
        <v>58321999</v>
      </c>
      <c r="F2798" t="s">
        <v>2530</v>
      </c>
      <c r="G2798" t="str">
        <f t="shared" si="86"/>
        <v>PBI II</v>
      </c>
      <c r="H2798" t="s">
        <v>2471</v>
      </c>
      <c r="I2798" t="s">
        <v>20</v>
      </c>
      <c r="J2798" t="s">
        <v>64</v>
      </c>
      <c r="K2798" s="6">
        <v>0.03</v>
      </c>
      <c r="L2798" s="7">
        <f t="shared" si="87"/>
        <v>2E-3</v>
      </c>
      <c r="M2798" s="7">
        <v>3.0000000000000001E-3</v>
      </c>
      <c r="N2798">
        <v>12</v>
      </c>
      <c r="O2798" s="8">
        <v>25.469420399191385</v>
      </c>
      <c r="P2798" s="9">
        <v>25.469420399191385</v>
      </c>
      <c r="Q2798" s="9">
        <v>25.469420399191385</v>
      </c>
      <c r="R2798" s="9">
        <v>27.985354957700171</v>
      </c>
      <c r="S2798" s="9">
        <v>30.758461120802014</v>
      </c>
      <c r="T2798" s="9">
        <v>33.102903982805351</v>
      </c>
      <c r="U2798" s="9">
        <v>40.375170889228379</v>
      </c>
      <c r="V2798" s="9">
        <v>40.375170889228379</v>
      </c>
      <c r="W2798" s="9">
        <v>40.375170889228379</v>
      </c>
      <c r="X2798" s="9">
        <v>48.614146284608282</v>
      </c>
      <c r="Y2798" s="9">
        <v>48.614146284608282</v>
      </c>
      <c r="Z2798" s="9">
        <v>56.959894508429748</v>
      </c>
      <c r="AA2798" s="9">
        <v>56.959894508429748</v>
      </c>
      <c r="AB2798" s="9">
        <v>65.423092843536963</v>
      </c>
      <c r="AC2798" s="9">
        <v>65.423092843536963</v>
      </c>
      <c r="AD2798" s="9">
        <v>76.101886260449433</v>
      </c>
      <c r="AE2798" s="9">
        <v>84.004204331617984</v>
      </c>
      <c r="AF2798" s="9">
        <v>92.047281772276918</v>
      </c>
      <c r="AG2798" s="9">
        <v>92.047281772276918</v>
      </c>
      <c r="AH2798" s="9">
        <v>101.16093014574129</v>
      </c>
      <c r="AI2798" s="9">
        <v>110.08433596377185</v>
      </c>
      <c r="AJ2798" s="9">
        <v>3.0428788910505911</v>
      </c>
    </row>
    <row r="2799" spans="1:36" x14ac:dyDescent="0.25">
      <c r="A2799" t="s">
        <v>5411</v>
      </c>
      <c r="B2799" t="s">
        <v>16</v>
      </c>
      <c r="C2799" t="s">
        <v>17</v>
      </c>
      <c r="D2799">
        <v>58322000</v>
      </c>
      <c r="E2799">
        <v>58323999</v>
      </c>
      <c r="F2799" t="s">
        <v>2054</v>
      </c>
      <c r="G2799" t="str">
        <f t="shared" si="86"/>
        <v>PBI II</v>
      </c>
      <c r="H2799" t="s">
        <v>2471</v>
      </c>
      <c r="I2799" t="s">
        <v>20</v>
      </c>
      <c r="J2799" t="s">
        <v>64</v>
      </c>
      <c r="K2799" s="6">
        <v>0.03</v>
      </c>
      <c r="L2799" s="7">
        <f t="shared" si="87"/>
        <v>2E-3</v>
      </c>
      <c r="M2799" s="7">
        <v>3.0000000000000001E-3</v>
      </c>
      <c r="N2799">
        <v>12</v>
      </c>
      <c r="O2799" s="8">
        <v>25.469420399191385</v>
      </c>
      <c r="P2799" s="9">
        <v>25.469420399191385</v>
      </c>
      <c r="Q2799" s="9">
        <v>25.469420399191385</v>
      </c>
      <c r="R2799" s="9">
        <v>27.985354957700171</v>
      </c>
      <c r="S2799" s="9">
        <v>30.758461120802014</v>
      </c>
      <c r="T2799" s="9">
        <v>33.102903982805351</v>
      </c>
      <c r="U2799" s="9">
        <v>40.375170889228379</v>
      </c>
      <c r="V2799" s="9">
        <v>40.375170889228379</v>
      </c>
      <c r="W2799" s="9">
        <v>40.375170889228379</v>
      </c>
      <c r="X2799" s="9">
        <v>48.614146284608282</v>
      </c>
      <c r="Y2799" s="9">
        <v>48.614146284608282</v>
      </c>
      <c r="Z2799" s="9">
        <v>56.959894508429748</v>
      </c>
      <c r="AA2799" s="9">
        <v>56.959894508429748</v>
      </c>
      <c r="AB2799" s="9">
        <v>65.423092843536963</v>
      </c>
      <c r="AC2799" s="9">
        <v>65.423092843536963</v>
      </c>
      <c r="AD2799" s="9">
        <v>76.101886260449433</v>
      </c>
      <c r="AE2799" s="9">
        <v>84.004204331617984</v>
      </c>
      <c r="AF2799" s="9">
        <v>92.047281772276918</v>
      </c>
      <c r="AG2799" s="9">
        <v>92.047281772276918</v>
      </c>
      <c r="AH2799" s="9">
        <v>101.16093014574129</v>
      </c>
      <c r="AI2799" s="9">
        <v>110.08433596377185</v>
      </c>
      <c r="AJ2799" s="9">
        <v>3.0428788910505911</v>
      </c>
    </row>
    <row r="2800" spans="1:36" x14ac:dyDescent="0.25">
      <c r="A2800" t="s">
        <v>5411</v>
      </c>
      <c r="B2800" t="s">
        <v>16</v>
      </c>
      <c r="C2800" t="s">
        <v>17</v>
      </c>
      <c r="D2800">
        <v>58324000</v>
      </c>
      <c r="E2800">
        <v>58325999</v>
      </c>
      <c r="F2800" t="s">
        <v>2531</v>
      </c>
      <c r="G2800" t="str">
        <f t="shared" si="86"/>
        <v>PBI II</v>
      </c>
      <c r="H2800" t="s">
        <v>2471</v>
      </c>
      <c r="I2800" t="s">
        <v>20</v>
      </c>
      <c r="J2800" t="s">
        <v>64</v>
      </c>
      <c r="K2800" s="6">
        <v>0.03</v>
      </c>
      <c r="L2800" s="7">
        <f t="shared" si="87"/>
        <v>2E-3</v>
      </c>
      <c r="M2800" s="7">
        <v>3.0000000000000001E-3</v>
      </c>
      <c r="N2800">
        <v>12</v>
      </c>
      <c r="O2800" s="8">
        <v>25.469420399191385</v>
      </c>
      <c r="P2800" s="9">
        <v>25.469420399191385</v>
      </c>
      <c r="Q2800" s="9">
        <v>25.469420399191385</v>
      </c>
      <c r="R2800" s="9">
        <v>27.985354957700171</v>
      </c>
      <c r="S2800" s="9">
        <v>30.758461120802014</v>
      </c>
      <c r="T2800" s="9">
        <v>33.102903982805351</v>
      </c>
      <c r="U2800" s="9">
        <v>40.375170889228379</v>
      </c>
      <c r="V2800" s="9">
        <v>40.375170889228379</v>
      </c>
      <c r="W2800" s="9">
        <v>40.375170889228379</v>
      </c>
      <c r="X2800" s="9">
        <v>48.614146284608282</v>
      </c>
      <c r="Y2800" s="9">
        <v>48.614146284608282</v>
      </c>
      <c r="Z2800" s="9">
        <v>56.959894508429748</v>
      </c>
      <c r="AA2800" s="9">
        <v>56.959894508429748</v>
      </c>
      <c r="AB2800" s="9">
        <v>65.423092843536963</v>
      </c>
      <c r="AC2800" s="9">
        <v>65.423092843536963</v>
      </c>
      <c r="AD2800" s="9">
        <v>76.101886260449433</v>
      </c>
      <c r="AE2800" s="9">
        <v>84.004204331617984</v>
      </c>
      <c r="AF2800" s="9">
        <v>92.047281772276918</v>
      </c>
      <c r="AG2800" s="9">
        <v>92.047281772276918</v>
      </c>
      <c r="AH2800" s="9">
        <v>101.16093014574129</v>
      </c>
      <c r="AI2800" s="9">
        <v>110.08433596377185</v>
      </c>
      <c r="AJ2800" s="9">
        <v>3.0428788910505911</v>
      </c>
    </row>
    <row r="2801" spans="1:36" x14ac:dyDescent="0.25">
      <c r="A2801" t="s">
        <v>5411</v>
      </c>
      <c r="B2801" t="s">
        <v>16</v>
      </c>
      <c r="C2801" t="s">
        <v>17</v>
      </c>
      <c r="D2801">
        <v>58326000</v>
      </c>
      <c r="E2801">
        <v>58327999</v>
      </c>
      <c r="F2801" t="s">
        <v>2532</v>
      </c>
      <c r="G2801" t="str">
        <f t="shared" si="86"/>
        <v>PBI II</v>
      </c>
      <c r="H2801" t="s">
        <v>2471</v>
      </c>
      <c r="I2801" t="s">
        <v>20</v>
      </c>
      <c r="J2801" t="s">
        <v>64</v>
      </c>
      <c r="K2801" s="6">
        <v>0.03</v>
      </c>
      <c r="L2801" s="7">
        <f t="shared" si="87"/>
        <v>2E-3</v>
      </c>
      <c r="M2801" s="7">
        <v>3.0000000000000001E-3</v>
      </c>
      <c r="N2801">
        <v>13</v>
      </c>
      <c r="O2801" s="8">
        <v>25.469420399191385</v>
      </c>
      <c r="P2801" s="9">
        <v>25.469420399191385</v>
      </c>
      <c r="Q2801" s="9">
        <v>25.469420399191385</v>
      </c>
      <c r="R2801" s="9">
        <v>27.985354957700171</v>
      </c>
      <c r="S2801" s="9">
        <v>30.758461120802014</v>
      </c>
      <c r="T2801" s="9">
        <v>33.102903982805351</v>
      </c>
      <c r="U2801" s="9">
        <v>40.375170889228379</v>
      </c>
      <c r="V2801" s="9">
        <v>40.375170889228379</v>
      </c>
      <c r="W2801" s="9">
        <v>40.375170889228379</v>
      </c>
      <c r="X2801" s="9">
        <v>48.614146284608282</v>
      </c>
      <c r="Y2801" s="9">
        <v>48.614146284608282</v>
      </c>
      <c r="Z2801" s="9">
        <v>56.959894508429748</v>
      </c>
      <c r="AA2801" s="9">
        <v>56.959894508429748</v>
      </c>
      <c r="AB2801" s="9">
        <v>65.423092843536963</v>
      </c>
      <c r="AC2801" s="9">
        <v>65.423092843536963</v>
      </c>
      <c r="AD2801" s="9">
        <v>76.101886260449433</v>
      </c>
      <c r="AE2801" s="9">
        <v>84.004204331617984</v>
      </c>
      <c r="AF2801" s="9">
        <v>92.047281772276918</v>
      </c>
      <c r="AG2801" s="9">
        <v>92.047281772276918</v>
      </c>
      <c r="AH2801" s="9">
        <v>101.16093014574129</v>
      </c>
      <c r="AI2801" s="9">
        <v>110.08433596377185</v>
      </c>
      <c r="AJ2801" s="9">
        <v>3.0428788910505911</v>
      </c>
    </row>
    <row r="2802" spans="1:36" x14ac:dyDescent="0.25">
      <c r="A2802" t="s">
        <v>5411</v>
      </c>
      <c r="B2802" t="s">
        <v>16</v>
      </c>
      <c r="C2802" t="s">
        <v>17</v>
      </c>
      <c r="D2802">
        <v>58328000</v>
      </c>
      <c r="E2802">
        <v>58329999</v>
      </c>
      <c r="F2802" t="s">
        <v>2533</v>
      </c>
      <c r="G2802" t="str">
        <f t="shared" si="86"/>
        <v>PBI II</v>
      </c>
      <c r="H2802" t="s">
        <v>2471</v>
      </c>
      <c r="I2802" t="s">
        <v>20</v>
      </c>
      <c r="J2802" t="s">
        <v>64</v>
      </c>
      <c r="K2802" s="6">
        <v>0.03</v>
      </c>
      <c r="L2802" s="7">
        <f t="shared" si="87"/>
        <v>2E-3</v>
      </c>
      <c r="M2802" s="7">
        <v>3.0000000000000001E-3</v>
      </c>
      <c r="N2802">
        <v>11</v>
      </c>
      <c r="O2802" s="8">
        <v>25.469420399191385</v>
      </c>
      <c r="P2802" s="9">
        <v>25.469420399191385</v>
      </c>
      <c r="Q2802" s="9">
        <v>25.469420399191385</v>
      </c>
      <c r="R2802" s="9">
        <v>27.985354957700171</v>
      </c>
      <c r="S2802" s="9">
        <v>30.758461120802014</v>
      </c>
      <c r="T2802" s="9">
        <v>33.102903982805351</v>
      </c>
      <c r="U2802" s="9">
        <v>40.375170889228379</v>
      </c>
      <c r="V2802" s="9">
        <v>40.375170889228379</v>
      </c>
      <c r="W2802" s="9">
        <v>40.375170889228379</v>
      </c>
      <c r="X2802" s="9">
        <v>48.614146284608282</v>
      </c>
      <c r="Y2802" s="9">
        <v>48.614146284608282</v>
      </c>
      <c r="Z2802" s="9">
        <v>56.959894508429748</v>
      </c>
      <c r="AA2802" s="9">
        <v>56.959894508429748</v>
      </c>
      <c r="AB2802" s="9">
        <v>65.423092843536963</v>
      </c>
      <c r="AC2802" s="9">
        <v>65.423092843536963</v>
      </c>
      <c r="AD2802" s="9">
        <v>76.101886260449433</v>
      </c>
      <c r="AE2802" s="9">
        <v>84.004204331617984</v>
      </c>
      <c r="AF2802" s="9">
        <v>92.047281772276918</v>
      </c>
      <c r="AG2802" s="9">
        <v>92.047281772276918</v>
      </c>
      <c r="AH2802" s="9">
        <v>101.16093014574129</v>
      </c>
      <c r="AI2802" s="9">
        <v>110.08433596377185</v>
      </c>
      <c r="AJ2802" s="9">
        <v>3.0428788910505911</v>
      </c>
    </row>
    <row r="2803" spans="1:36" x14ac:dyDescent="0.25">
      <c r="A2803" t="s">
        <v>5411</v>
      </c>
      <c r="B2803" t="s">
        <v>16</v>
      </c>
      <c r="C2803" t="s">
        <v>17</v>
      </c>
      <c r="D2803">
        <v>58330000</v>
      </c>
      <c r="E2803">
        <v>58333999</v>
      </c>
      <c r="F2803" t="s">
        <v>2534</v>
      </c>
      <c r="G2803" t="str">
        <f t="shared" si="86"/>
        <v>PBI II</v>
      </c>
      <c r="H2803" t="s">
        <v>2471</v>
      </c>
      <c r="I2803" t="s">
        <v>20</v>
      </c>
      <c r="J2803" t="s">
        <v>64</v>
      </c>
      <c r="K2803" s="6">
        <v>0.03</v>
      </c>
      <c r="L2803" s="7">
        <f t="shared" si="87"/>
        <v>2E-3</v>
      </c>
      <c r="M2803" s="7">
        <v>3.0000000000000001E-3</v>
      </c>
      <c r="N2803">
        <v>11</v>
      </c>
      <c r="O2803" s="8">
        <v>25.469420399191385</v>
      </c>
      <c r="P2803" s="9">
        <v>25.469420399191385</v>
      </c>
      <c r="Q2803" s="9">
        <v>25.469420399191385</v>
      </c>
      <c r="R2803" s="9">
        <v>27.985354957700171</v>
      </c>
      <c r="S2803" s="9">
        <v>30.758461120802014</v>
      </c>
      <c r="T2803" s="9">
        <v>33.102903982805351</v>
      </c>
      <c r="U2803" s="9">
        <v>40.375170889228379</v>
      </c>
      <c r="V2803" s="9">
        <v>40.375170889228379</v>
      </c>
      <c r="W2803" s="9">
        <v>40.375170889228379</v>
      </c>
      <c r="X2803" s="9">
        <v>48.614146284608282</v>
      </c>
      <c r="Y2803" s="9">
        <v>48.614146284608282</v>
      </c>
      <c r="Z2803" s="9">
        <v>56.959894508429748</v>
      </c>
      <c r="AA2803" s="9">
        <v>56.959894508429748</v>
      </c>
      <c r="AB2803" s="9">
        <v>65.423092843536963</v>
      </c>
      <c r="AC2803" s="9">
        <v>65.423092843536963</v>
      </c>
      <c r="AD2803" s="9">
        <v>76.101886260449433</v>
      </c>
      <c r="AE2803" s="9">
        <v>84.004204331617984</v>
      </c>
      <c r="AF2803" s="9">
        <v>92.047281772276918</v>
      </c>
      <c r="AG2803" s="9">
        <v>92.047281772276918</v>
      </c>
      <c r="AH2803" s="9">
        <v>101.16093014574129</v>
      </c>
      <c r="AI2803" s="9">
        <v>110.08433596377185</v>
      </c>
      <c r="AJ2803" s="9">
        <v>3.0428788910505911</v>
      </c>
    </row>
    <row r="2804" spans="1:36" x14ac:dyDescent="0.25">
      <c r="A2804" t="s">
        <v>5411</v>
      </c>
      <c r="B2804" t="s">
        <v>16</v>
      </c>
      <c r="C2804" t="s">
        <v>17</v>
      </c>
      <c r="D2804">
        <v>58334000</v>
      </c>
      <c r="E2804">
        <v>58336999</v>
      </c>
      <c r="F2804" t="s">
        <v>2535</v>
      </c>
      <c r="G2804" t="str">
        <f t="shared" si="86"/>
        <v>PBR</v>
      </c>
      <c r="H2804" t="s">
        <v>2471</v>
      </c>
      <c r="I2804" t="s">
        <v>20</v>
      </c>
      <c r="J2804" t="s">
        <v>77</v>
      </c>
      <c r="K2804" s="6">
        <v>0.03</v>
      </c>
      <c r="L2804" s="7">
        <f t="shared" si="87"/>
        <v>2E-3</v>
      </c>
      <c r="M2804" s="7">
        <v>3.0000000000000001E-3</v>
      </c>
      <c r="N2804">
        <v>17</v>
      </c>
      <c r="O2804" s="8">
        <v>31.674720005909176</v>
      </c>
      <c r="P2804" s="9">
        <v>31.674720005909176</v>
      </c>
      <c r="Q2804" s="9">
        <v>31.674720005909176</v>
      </c>
      <c r="R2804" s="9">
        <v>34.913308289497976</v>
      </c>
      <c r="S2804" s="9">
        <v>38.480048605011753</v>
      </c>
      <c r="T2804" s="9">
        <v>40.939971907336925</v>
      </c>
      <c r="U2804" s="9">
        <v>49.333088414904694</v>
      </c>
      <c r="V2804" s="9">
        <v>49.333088414904694</v>
      </c>
      <c r="W2804" s="9">
        <v>49.333088414904694</v>
      </c>
      <c r="X2804" s="9">
        <v>63.21225398254326</v>
      </c>
      <c r="Y2804" s="9">
        <v>63.21225398254326</v>
      </c>
      <c r="Z2804" s="9">
        <v>73.404961153420544</v>
      </c>
      <c r="AA2804" s="9">
        <v>73.404961153420544</v>
      </c>
      <c r="AB2804" s="9">
        <v>83.820133806833923</v>
      </c>
      <c r="AC2804" s="9">
        <v>83.820133806833923</v>
      </c>
      <c r="AD2804" s="9">
        <v>94.480018491037072</v>
      </c>
      <c r="AE2804" s="9">
        <v>105.40908640910902</v>
      </c>
      <c r="AF2804" s="9">
        <v>116.6342558844366</v>
      </c>
      <c r="AG2804" s="9">
        <v>116.6342558844366</v>
      </c>
      <c r="AH2804" s="9">
        <v>128.18513707274536</v>
      </c>
      <c r="AI2804" s="9">
        <v>140.98660541754566</v>
      </c>
      <c r="AJ2804" s="9">
        <v>3.0428788910505911</v>
      </c>
    </row>
    <row r="2805" spans="1:36" x14ac:dyDescent="0.25">
      <c r="A2805" t="s">
        <v>5411</v>
      </c>
      <c r="B2805" t="s">
        <v>16</v>
      </c>
      <c r="C2805" t="s">
        <v>17</v>
      </c>
      <c r="D2805">
        <v>58337000</v>
      </c>
      <c r="E2805">
        <v>58337999</v>
      </c>
      <c r="F2805" t="s">
        <v>2536</v>
      </c>
      <c r="G2805" t="str">
        <f t="shared" si="86"/>
        <v>PBI II</v>
      </c>
      <c r="H2805" t="s">
        <v>2471</v>
      </c>
      <c r="I2805" t="s">
        <v>20</v>
      </c>
      <c r="J2805" t="s">
        <v>64</v>
      </c>
      <c r="K2805" s="6">
        <v>0.03</v>
      </c>
      <c r="L2805" s="7">
        <f t="shared" si="87"/>
        <v>2E-3</v>
      </c>
      <c r="M2805" s="7">
        <v>3.0000000000000001E-3</v>
      </c>
      <c r="N2805">
        <v>12</v>
      </c>
      <c r="O2805" s="8">
        <v>25.469420399191385</v>
      </c>
      <c r="P2805" s="9">
        <v>25.469420399191385</v>
      </c>
      <c r="Q2805" s="9">
        <v>25.469420399191385</v>
      </c>
      <c r="R2805" s="9">
        <v>27.985354957700171</v>
      </c>
      <c r="S2805" s="9">
        <v>30.758461120802014</v>
      </c>
      <c r="T2805" s="9">
        <v>33.102903982805351</v>
      </c>
      <c r="U2805" s="9">
        <v>40.375170889228379</v>
      </c>
      <c r="V2805" s="9">
        <v>40.375170889228379</v>
      </c>
      <c r="W2805" s="9">
        <v>40.375170889228379</v>
      </c>
      <c r="X2805" s="9">
        <v>48.614146284608282</v>
      </c>
      <c r="Y2805" s="9">
        <v>48.614146284608282</v>
      </c>
      <c r="Z2805" s="9">
        <v>56.959894508429748</v>
      </c>
      <c r="AA2805" s="9">
        <v>56.959894508429748</v>
      </c>
      <c r="AB2805" s="9">
        <v>65.423092843536963</v>
      </c>
      <c r="AC2805" s="9">
        <v>65.423092843536963</v>
      </c>
      <c r="AD2805" s="9">
        <v>76.101886260449433</v>
      </c>
      <c r="AE2805" s="9">
        <v>84.004204331617984</v>
      </c>
      <c r="AF2805" s="9">
        <v>92.047281772276918</v>
      </c>
      <c r="AG2805" s="9">
        <v>92.047281772276918</v>
      </c>
      <c r="AH2805" s="9">
        <v>101.16093014574129</v>
      </c>
      <c r="AI2805" s="9">
        <v>110.08433596377185</v>
      </c>
      <c r="AJ2805" s="9">
        <v>3.0428788910505911</v>
      </c>
    </row>
    <row r="2806" spans="1:36" x14ac:dyDescent="0.25">
      <c r="A2806" t="s">
        <v>5411</v>
      </c>
      <c r="B2806" t="s">
        <v>16</v>
      </c>
      <c r="C2806" t="s">
        <v>17</v>
      </c>
      <c r="D2806">
        <v>58338000</v>
      </c>
      <c r="E2806">
        <v>58338999</v>
      </c>
      <c r="F2806" t="s">
        <v>2378</v>
      </c>
      <c r="G2806" t="str">
        <f t="shared" si="86"/>
        <v>PBI II</v>
      </c>
      <c r="H2806" t="s">
        <v>2471</v>
      </c>
      <c r="I2806" t="s">
        <v>20</v>
      </c>
      <c r="J2806" t="s">
        <v>64</v>
      </c>
      <c r="K2806" s="6">
        <v>0.03</v>
      </c>
      <c r="L2806" s="7">
        <f t="shared" si="87"/>
        <v>2E-3</v>
      </c>
      <c r="M2806" s="7">
        <v>3.0000000000000001E-3</v>
      </c>
      <c r="N2806">
        <v>12</v>
      </c>
      <c r="O2806" s="8">
        <v>25.469420399191385</v>
      </c>
      <c r="P2806" s="9">
        <v>25.469420399191385</v>
      </c>
      <c r="Q2806" s="9">
        <v>25.469420399191385</v>
      </c>
      <c r="R2806" s="9">
        <v>27.985354957700171</v>
      </c>
      <c r="S2806" s="9">
        <v>30.758461120802014</v>
      </c>
      <c r="T2806" s="9">
        <v>33.102903982805351</v>
      </c>
      <c r="U2806" s="9">
        <v>40.375170889228379</v>
      </c>
      <c r="V2806" s="9">
        <v>40.375170889228379</v>
      </c>
      <c r="W2806" s="9">
        <v>40.375170889228379</v>
      </c>
      <c r="X2806" s="9">
        <v>48.614146284608282</v>
      </c>
      <c r="Y2806" s="9">
        <v>48.614146284608282</v>
      </c>
      <c r="Z2806" s="9">
        <v>56.959894508429748</v>
      </c>
      <c r="AA2806" s="9">
        <v>56.959894508429748</v>
      </c>
      <c r="AB2806" s="9">
        <v>65.423092843536963</v>
      </c>
      <c r="AC2806" s="9">
        <v>65.423092843536963</v>
      </c>
      <c r="AD2806" s="9">
        <v>76.101886260449433</v>
      </c>
      <c r="AE2806" s="9">
        <v>84.004204331617984</v>
      </c>
      <c r="AF2806" s="9">
        <v>92.047281772276918</v>
      </c>
      <c r="AG2806" s="9">
        <v>92.047281772276918</v>
      </c>
      <c r="AH2806" s="9">
        <v>101.16093014574129</v>
      </c>
      <c r="AI2806" s="9">
        <v>110.08433596377185</v>
      </c>
      <c r="AJ2806" s="9">
        <v>3.0428788910505911</v>
      </c>
    </row>
    <row r="2807" spans="1:36" x14ac:dyDescent="0.25">
      <c r="A2807" t="s">
        <v>5411</v>
      </c>
      <c r="B2807" t="s">
        <v>16</v>
      </c>
      <c r="C2807" t="s">
        <v>17</v>
      </c>
      <c r="D2807">
        <v>58339000</v>
      </c>
      <c r="E2807">
        <v>58339999</v>
      </c>
      <c r="F2807" t="s">
        <v>2537</v>
      </c>
      <c r="G2807" t="str">
        <f t="shared" si="86"/>
        <v>PBR</v>
      </c>
      <c r="H2807" t="s">
        <v>2471</v>
      </c>
      <c r="I2807" t="s">
        <v>20</v>
      </c>
      <c r="J2807" t="s">
        <v>77</v>
      </c>
      <c r="K2807" s="6">
        <v>0.03</v>
      </c>
      <c r="L2807" s="7">
        <f t="shared" si="87"/>
        <v>2E-3</v>
      </c>
      <c r="M2807" s="7">
        <v>3.0000000000000001E-3</v>
      </c>
      <c r="N2807">
        <v>17</v>
      </c>
      <c r="O2807" s="8">
        <v>31.674720005909176</v>
      </c>
      <c r="P2807" s="9">
        <v>31.674720005909176</v>
      </c>
      <c r="Q2807" s="9">
        <v>31.674720005909176</v>
      </c>
      <c r="R2807" s="9">
        <v>34.913308289497976</v>
      </c>
      <c r="S2807" s="9">
        <v>38.480048605011753</v>
      </c>
      <c r="T2807" s="9">
        <v>40.939971907336925</v>
      </c>
      <c r="U2807" s="9">
        <v>49.333088414904694</v>
      </c>
      <c r="V2807" s="9">
        <v>49.333088414904694</v>
      </c>
      <c r="W2807" s="9">
        <v>49.333088414904694</v>
      </c>
      <c r="X2807" s="9">
        <v>63.21225398254326</v>
      </c>
      <c r="Y2807" s="9">
        <v>63.21225398254326</v>
      </c>
      <c r="Z2807" s="9">
        <v>73.404961153420544</v>
      </c>
      <c r="AA2807" s="9">
        <v>73.404961153420544</v>
      </c>
      <c r="AB2807" s="9">
        <v>83.820133806833923</v>
      </c>
      <c r="AC2807" s="9">
        <v>83.820133806833923</v>
      </c>
      <c r="AD2807" s="9">
        <v>94.480018491037072</v>
      </c>
      <c r="AE2807" s="9">
        <v>105.40908640910902</v>
      </c>
      <c r="AF2807" s="9">
        <v>116.6342558844366</v>
      </c>
      <c r="AG2807" s="9">
        <v>116.6342558844366</v>
      </c>
      <c r="AH2807" s="9">
        <v>128.18513707274536</v>
      </c>
      <c r="AI2807" s="9">
        <v>140.98660541754566</v>
      </c>
      <c r="AJ2807" s="9">
        <v>3.0428788910505911</v>
      </c>
    </row>
    <row r="2808" spans="1:36" x14ac:dyDescent="0.25">
      <c r="A2808" t="s">
        <v>5411</v>
      </c>
      <c r="B2808" t="s">
        <v>16</v>
      </c>
      <c r="C2808" t="s">
        <v>17</v>
      </c>
      <c r="D2808">
        <v>58340000</v>
      </c>
      <c r="E2808">
        <v>58341999</v>
      </c>
      <c r="F2808" t="s">
        <v>2538</v>
      </c>
      <c r="G2808" t="str">
        <f t="shared" si="86"/>
        <v>PBI II</v>
      </c>
      <c r="H2808" t="s">
        <v>2471</v>
      </c>
      <c r="I2808" t="s">
        <v>20</v>
      </c>
      <c r="J2808" t="s">
        <v>64</v>
      </c>
      <c r="K2808" s="6">
        <v>0.03</v>
      </c>
      <c r="L2808" s="7">
        <f t="shared" si="87"/>
        <v>2E-3</v>
      </c>
      <c r="M2808" s="7">
        <v>3.0000000000000001E-3</v>
      </c>
      <c r="N2808">
        <v>12</v>
      </c>
      <c r="O2808" s="8">
        <v>25.469420399191385</v>
      </c>
      <c r="P2808" s="9">
        <v>25.469420399191385</v>
      </c>
      <c r="Q2808" s="9">
        <v>25.469420399191385</v>
      </c>
      <c r="R2808" s="9">
        <v>27.985354957700171</v>
      </c>
      <c r="S2808" s="9">
        <v>30.758461120802014</v>
      </c>
      <c r="T2808" s="9">
        <v>33.102903982805351</v>
      </c>
      <c r="U2808" s="9">
        <v>40.375170889228379</v>
      </c>
      <c r="V2808" s="9">
        <v>40.375170889228379</v>
      </c>
      <c r="W2808" s="9">
        <v>40.375170889228379</v>
      </c>
      <c r="X2808" s="9">
        <v>48.614146284608282</v>
      </c>
      <c r="Y2808" s="9">
        <v>48.614146284608282</v>
      </c>
      <c r="Z2808" s="9">
        <v>56.959894508429748</v>
      </c>
      <c r="AA2808" s="9">
        <v>56.959894508429748</v>
      </c>
      <c r="AB2808" s="9">
        <v>65.423092843536963</v>
      </c>
      <c r="AC2808" s="9">
        <v>65.423092843536963</v>
      </c>
      <c r="AD2808" s="9">
        <v>76.101886260449433</v>
      </c>
      <c r="AE2808" s="9">
        <v>84.004204331617984</v>
      </c>
      <c r="AF2808" s="9">
        <v>92.047281772276918</v>
      </c>
      <c r="AG2808" s="9">
        <v>92.047281772276918</v>
      </c>
      <c r="AH2808" s="9">
        <v>101.16093014574129</v>
      </c>
      <c r="AI2808" s="9">
        <v>110.08433596377185</v>
      </c>
      <c r="AJ2808" s="9">
        <v>3.0428788910505911</v>
      </c>
    </row>
    <row r="2809" spans="1:36" x14ac:dyDescent="0.25">
      <c r="A2809" t="s">
        <v>5411</v>
      </c>
      <c r="B2809" t="s">
        <v>16</v>
      </c>
      <c r="C2809" t="s">
        <v>17</v>
      </c>
      <c r="D2809">
        <v>58342000</v>
      </c>
      <c r="E2809">
        <v>58344999</v>
      </c>
      <c r="F2809" t="s">
        <v>2539</v>
      </c>
      <c r="G2809" t="str">
        <f t="shared" si="86"/>
        <v>PBI II</v>
      </c>
      <c r="H2809" t="s">
        <v>2471</v>
      </c>
      <c r="I2809" t="s">
        <v>20</v>
      </c>
      <c r="J2809" t="s">
        <v>64</v>
      </c>
      <c r="K2809" s="6">
        <v>0.03</v>
      </c>
      <c r="L2809" s="7">
        <f t="shared" si="87"/>
        <v>2E-3</v>
      </c>
      <c r="M2809" s="7">
        <v>3.0000000000000001E-3</v>
      </c>
      <c r="N2809">
        <v>12</v>
      </c>
      <c r="O2809" s="8">
        <v>25.469420399191385</v>
      </c>
      <c r="P2809" s="9">
        <v>25.469420399191385</v>
      </c>
      <c r="Q2809" s="9">
        <v>25.469420399191385</v>
      </c>
      <c r="R2809" s="9">
        <v>27.985354957700171</v>
      </c>
      <c r="S2809" s="9">
        <v>30.758461120802014</v>
      </c>
      <c r="T2809" s="9">
        <v>33.102903982805351</v>
      </c>
      <c r="U2809" s="9">
        <v>40.375170889228379</v>
      </c>
      <c r="V2809" s="9">
        <v>40.375170889228379</v>
      </c>
      <c r="W2809" s="9">
        <v>40.375170889228379</v>
      </c>
      <c r="X2809" s="9">
        <v>48.614146284608282</v>
      </c>
      <c r="Y2809" s="9">
        <v>48.614146284608282</v>
      </c>
      <c r="Z2809" s="9">
        <v>56.959894508429748</v>
      </c>
      <c r="AA2809" s="9">
        <v>56.959894508429748</v>
      </c>
      <c r="AB2809" s="9">
        <v>65.423092843536963</v>
      </c>
      <c r="AC2809" s="9">
        <v>65.423092843536963</v>
      </c>
      <c r="AD2809" s="9">
        <v>76.101886260449433</v>
      </c>
      <c r="AE2809" s="9">
        <v>84.004204331617984</v>
      </c>
      <c r="AF2809" s="9">
        <v>92.047281772276918</v>
      </c>
      <c r="AG2809" s="9">
        <v>92.047281772276918</v>
      </c>
      <c r="AH2809" s="9">
        <v>101.16093014574129</v>
      </c>
      <c r="AI2809" s="9">
        <v>110.08433596377185</v>
      </c>
      <c r="AJ2809" s="9">
        <v>3.0428788910505911</v>
      </c>
    </row>
    <row r="2810" spans="1:36" x14ac:dyDescent="0.25">
      <c r="A2810" t="s">
        <v>5411</v>
      </c>
      <c r="B2810" t="s">
        <v>16</v>
      </c>
      <c r="C2810" t="s">
        <v>17</v>
      </c>
      <c r="D2810">
        <v>58345000</v>
      </c>
      <c r="E2810">
        <v>58347999</v>
      </c>
      <c r="F2810" t="s">
        <v>2540</v>
      </c>
      <c r="G2810" t="str">
        <f t="shared" si="86"/>
        <v>PBI II</v>
      </c>
      <c r="H2810" t="s">
        <v>2471</v>
      </c>
      <c r="I2810" t="s">
        <v>20</v>
      </c>
      <c r="J2810" t="s">
        <v>64</v>
      </c>
      <c r="K2810" s="6">
        <v>0.03</v>
      </c>
      <c r="L2810" s="7">
        <f t="shared" si="87"/>
        <v>2E-3</v>
      </c>
      <c r="M2810" s="7">
        <v>3.0000000000000001E-3</v>
      </c>
      <c r="N2810">
        <v>12</v>
      </c>
      <c r="O2810" s="8">
        <v>25.469420399191385</v>
      </c>
      <c r="P2810" s="9">
        <v>25.469420399191385</v>
      </c>
      <c r="Q2810" s="9">
        <v>25.469420399191385</v>
      </c>
      <c r="R2810" s="9">
        <v>27.985354957700171</v>
      </c>
      <c r="S2810" s="9">
        <v>30.758461120802014</v>
      </c>
      <c r="T2810" s="9">
        <v>33.102903982805351</v>
      </c>
      <c r="U2810" s="9">
        <v>40.375170889228379</v>
      </c>
      <c r="V2810" s="9">
        <v>40.375170889228379</v>
      </c>
      <c r="W2810" s="9">
        <v>40.375170889228379</v>
      </c>
      <c r="X2810" s="9">
        <v>48.614146284608282</v>
      </c>
      <c r="Y2810" s="9">
        <v>48.614146284608282</v>
      </c>
      <c r="Z2810" s="9">
        <v>56.959894508429748</v>
      </c>
      <c r="AA2810" s="9">
        <v>56.959894508429748</v>
      </c>
      <c r="AB2810" s="9">
        <v>65.423092843536963</v>
      </c>
      <c r="AC2810" s="9">
        <v>65.423092843536963</v>
      </c>
      <c r="AD2810" s="9">
        <v>76.101886260449433</v>
      </c>
      <c r="AE2810" s="9">
        <v>84.004204331617984</v>
      </c>
      <c r="AF2810" s="9">
        <v>92.047281772276918</v>
      </c>
      <c r="AG2810" s="9">
        <v>92.047281772276918</v>
      </c>
      <c r="AH2810" s="9">
        <v>101.16093014574129</v>
      </c>
      <c r="AI2810" s="9">
        <v>110.08433596377185</v>
      </c>
      <c r="AJ2810" s="9">
        <v>3.0428788910505911</v>
      </c>
    </row>
    <row r="2811" spans="1:36" x14ac:dyDescent="0.25">
      <c r="A2811" t="s">
        <v>5411</v>
      </c>
      <c r="B2811" t="s">
        <v>16</v>
      </c>
      <c r="C2811" t="s">
        <v>17</v>
      </c>
      <c r="D2811">
        <v>58348000</v>
      </c>
      <c r="E2811">
        <v>58349999</v>
      </c>
      <c r="F2811" t="s">
        <v>2541</v>
      </c>
      <c r="G2811" t="str">
        <f t="shared" si="86"/>
        <v>PBR</v>
      </c>
      <c r="H2811" t="s">
        <v>2471</v>
      </c>
      <c r="I2811" t="s">
        <v>20</v>
      </c>
      <c r="J2811" t="s">
        <v>77</v>
      </c>
      <c r="K2811" s="6">
        <v>0.03</v>
      </c>
      <c r="L2811" s="7">
        <f t="shared" si="87"/>
        <v>2E-3</v>
      </c>
      <c r="M2811" s="7">
        <v>3.0000000000000001E-3</v>
      </c>
      <c r="N2811">
        <v>17</v>
      </c>
      <c r="O2811" s="8">
        <v>31.674720005909176</v>
      </c>
      <c r="P2811" s="9">
        <v>31.674720005909176</v>
      </c>
      <c r="Q2811" s="9">
        <v>31.674720005909176</v>
      </c>
      <c r="R2811" s="9">
        <v>34.913308289497976</v>
      </c>
      <c r="S2811" s="9">
        <v>38.480048605011753</v>
      </c>
      <c r="T2811" s="9">
        <v>40.939971907336925</v>
      </c>
      <c r="U2811" s="9">
        <v>49.333088414904694</v>
      </c>
      <c r="V2811" s="9">
        <v>49.333088414904694</v>
      </c>
      <c r="W2811" s="9">
        <v>49.333088414904694</v>
      </c>
      <c r="X2811" s="9">
        <v>63.21225398254326</v>
      </c>
      <c r="Y2811" s="9">
        <v>63.21225398254326</v>
      </c>
      <c r="Z2811" s="9">
        <v>73.404961153420544</v>
      </c>
      <c r="AA2811" s="9">
        <v>73.404961153420544</v>
      </c>
      <c r="AB2811" s="9">
        <v>83.820133806833923</v>
      </c>
      <c r="AC2811" s="9">
        <v>83.820133806833923</v>
      </c>
      <c r="AD2811" s="9">
        <v>94.480018491037072</v>
      </c>
      <c r="AE2811" s="9">
        <v>105.40908640910902</v>
      </c>
      <c r="AF2811" s="9">
        <v>116.6342558844366</v>
      </c>
      <c r="AG2811" s="9">
        <v>116.6342558844366</v>
      </c>
      <c r="AH2811" s="9">
        <v>128.18513707274536</v>
      </c>
      <c r="AI2811" s="9">
        <v>140.98660541754566</v>
      </c>
      <c r="AJ2811" s="9">
        <v>3.0428788910505911</v>
      </c>
    </row>
    <row r="2812" spans="1:36" x14ac:dyDescent="0.25">
      <c r="A2812" t="s">
        <v>5411</v>
      </c>
      <c r="B2812" t="s">
        <v>16</v>
      </c>
      <c r="C2812" t="s">
        <v>17</v>
      </c>
      <c r="D2812">
        <v>58350000</v>
      </c>
      <c r="E2812">
        <v>58353999</v>
      </c>
      <c r="F2812" t="s">
        <v>2542</v>
      </c>
      <c r="G2812" t="str">
        <f t="shared" si="86"/>
        <v>PBI II</v>
      </c>
      <c r="H2812" t="s">
        <v>2471</v>
      </c>
      <c r="I2812" t="s">
        <v>20</v>
      </c>
      <c r="J2812" t="s">
        <v>64</v>
      </c>
      <c r="K2812" s="6">
        <v>0.03</v>
      </c>
      <c r="L2812" s="7">
        <f t="shared" si="87"/>
        <v>2E-3</v>
      </c>
      <c r="M2812" s="7">
        <v>3.0000000000000001E-3</v>
      </c>
      <c r="N2812">
        <v>12</v>
      </c>
      <c r="O2812" s="8">
        <v>25.469420399191385</v>
      </c>
      <c r="P2812" s="9">
        <v>25.469420399191385</v>
      </c>
      <c r="Q2812" s="9">
        <v>25.469420399191385</v>
      </c>
      <c r="R2812" s="9">
        <v>27.985354957700171</v>
      </c>
      <c r="S2812" s="9">
        <v>30.758461120802014</v>
      </c>
      <c r="T2812" s="9">
        <v>33.102903982805351</v>
      </c>
      <c r="U2812" s="9">
        <v>40.375170889228379</v>
      </c>
      <c r="V2812" s="9">
        <v>40.375170889228379</v>
      </c>
      <c r="W2812" s="9">
        <v>40.375170889228379</v>
      </c>
      <c r="X2812" s="9">
        <v>48.614146284608282</v>
      </c>
      <c r="Y2812" s="9">
        <v>48.614146284608282</v>
      </c>
      <c r="Z2812" s="9">
        <v>56.959894508429748</v>
      </c>
      <c r="AA2812" s="9">
        <v>56.959894508429748</v>
      </c>
      <c r="AB2812" s="9">
        <v>65.423092843536963</v>
      </c>
      <c r="AC2812" s="9">
        <v>65.423092843536963</v>
      </c>
      <c r="AD2812" s="9">
        <v>76.101886260449433</v>
      </c>
      <c r="AE2812" s="9">
        <v>84.004204331617984</v>
      </c>
      <c r="AF2812" s="9">
        <v>92.047281772276918</v>
      </c>
      <c r="AG2812" s="9">
        <v>92.047281772276918</v>
      </c>
      <c r="AH2812" s="9">
        <v>101.16093014574129</v>
      </c>
      <c r="AI2812" s="9">
        <v>110.08433596377185</v>
      </c>
      <c r="AJ2812" s="9">
        <v>3.0428788910505911</v>
      </c>
    </row>
    <row r="2813" spans="1:36" x14ac:dyDescent="0.25">
      <c r="A2813" t="s">
        <v>5411</v>
      </c>
      <c r="B2813" t="s">
        <v>16</v>
      </c>
      <c r="C2813" t="s">
        <v>17</v>
      </c>
      <c r="D2813">
        <v>58354000</v>
      </c>
      <c r="E2813">
        <v>58355999</v>
      </c>
      <c r="F2813" t="s">
        <v>2543</v>
      </c>
      <c r="G2813" t="str">
        <f t="shared" si="86"/>
        <v>PBI II</v>
      </c>
      <c r="H2813" t="s">
        <v>2471</v>
      </c>
      <c r="I2813" t="s">
        <v>20</v>
      </c>
      <c r="J2813" t="s">
        <v>64</v>
      </c>
      <c r="K2813" s="6">
        <v>0.03</v>
      </c>
      <c r="L2813" s="7">
        <f t="shared" si="87"/>
        <v>2E-3</v>
      </c>
      <c r="M2813" s="7">
        <v>3.0000000000000001E-3</v>
      </c>
      <c r="N2813">
        <v>12</v>
      </c>
      <c r="O2813" s="8">
        <v>25.469420399191385</v>
      </c>
      <c r="P2813" s="9">
        <v>25.469420399191385</v>
      </c>
      <c r="Q2813" s="9">
        <v>25.469420399191385</v>
      </c>
      <c r="R2813" s="9">
        <v>27.985354957700171</v>
      </c>
      <c r="S2813" s="9">
        <v>30.758461120802014</v>
      </c>
      <c r="T2813" s="9">
        <v>33.102903982805351</v>
      </c>
      <c r="U2813" s="9">
        <v>40.375170889228379</v>
      </c>
      <c r="V2813" s="9">
        <v>40.375170889228379</v>
      </c>
      <c r="W2813" s="9">
        <v>40.375170889228379</v>
      </c>
      <c r="X2813" s="9">
        <v>48.614146284608282</v>
      </c>
      <c r="Y2813" s="9">
        <v>48.614146284608282</v>
      </c>
      <c r="Z2813" s="9">
        <v>56.959894508429748</v>
      </c>
      <c r="AA2813" s="9">
        <v>56.959894508429748</v>
      </c>
      <c r="AB2813" s="9">
        <v>65.423092843536963</v>
      </c>
      <c r="AC2813" s="9">
        <v>65.423092843536963</v>
      </c>
      <c r="AD2813" s="9">
        <v>76.101886260449433</v>
      </c>
      <c r="AE2813" s="9">
        <v>84.004204331617984</v>
      </c>
      <c r="AF2813" s="9">
        <v>92.047281772276918</v>
      </c>
      <c r="AG2813" s="9">
        <v>92.047281772276918</v>
      </c>
      <c r="AH2813" s="9">
        <v>101.16093014574129</v>
      </c>
      <c r="AI2813" s="9">
        <v>110.08433596377185</v>
      </c>
      <c r="AJ2813" s="9">
        <v>3.0428788910505911</v>
      </c>
    </row>
    <row r="2814" spans="1:36" x14ac:dyDescent="0.25">
      <c r="A2814" t="s">
        <v>5411</v>
      </c>
      <c r="B2814" t="s">
        <v>16</v>
      </c>
      <c r="C2814" t="s">
        <v>17</v>
      </c>
      <c r="D2814">
        <v>58356000</v>
      </c>
      <c r="E2814">
        <v>58359999</v>
      </c>
      <c r="F2814" t="s">
        <v>2544</v>
      </c>
      <c r="G2814" t="str">
        <f t="shared" si="86"/>
        <v>PBI II</v>
      </c>
      <c r="H2814" t="s">
        <v>2471</v>
      </c>
      <c r="I2814" t="s">
        <v>20</v>
      </c>
      <c r="J2814" t="s">
        <v>64</v>
      </c>
      <c r="K2814" s="6">
        <v>0.03</v>
      </c>
      <c r="L2814" s="7">
        <f t="shared" si="87"/>
        <v>2E-3</v>
      </c>
      <c r="M2814" s="7">
        <v>3.0000000000000001E-3</v>
      </c>
      <c r="N2814">
        <v>12</v>
      </c>
      <c r="O2814" s="8">
        <v>25.469420399191385</v>
      </c>
      <c r="P2814" s="9">
        <v>25.469420399191385</v>
      </c>
      <c r="Q2814" s="9">
        <v>25.469420399191385</v>
      </c>
      <c r="R2814" s="9">
        <v>27.985354957700171</v>
      </c>
      <c r="S2814" s="9">
        <v>30.758461120802014</v>
      </c>
      <c r="T2814" s="9">
        <v>33.102903982805351</v>
      </c>
      <c r="U2814" s="9">
        <v>40.375170889228379</v>
      </c>
      <c r="V2814" s="9">
        <v>40.375170889228379</v>
      </c>
      <c r="W2814" s="9">
        <v>40.375170889228379</v>
      </c>
      <c r="X2814" s="9">
        <v>48.614146284608282</v>
      </c>
      <c r="Y2814" s="9">
        <v>48.614146284608282</v>
      </c>
      <c r="Z2814" s="9">
        <v>56.959894508429748</v>
      </c>
      <c r="AA2814" s="9">
        <v>56.959894508429748</v>
      </c>
      <c r="AB2814" s="9">
        <v>65.423092843536963</v>
      </c>
      <c r="AC2814" s="9">
        <v>65.423092843536963</v>
      </c>
      <c r="AD2814" s="9">
        <v>76.101886260449433</v>
      </c>
      <c r="AE2814" s="9">
        <v>84.004204331617984</v>
      </c>
      <c r="AF2814" s="9">
        <v>92.047281772276918</v>
      </c>
      <c r="AG2814" s="9">
        <v>92.047281772276918</v>
      </c>
      <c r="AH2814" s="9">
        <v>101.16093014574129</v>
      </c>
      <c r="AI2814" s="9">
        <v>110.08433596377185</v>
      </c>
      <c r="AJ2814" s="9">
        <v>3.0428788910505911</v>
      </c>
    </row>
    <row r="2815" spans="1:36" x14ac:dyDescent="0.25">
      <c r="A2815" t="s">
        <v>5411</v>
      </c>
      <c r="B2815" t="s">
        <v>16</v>
      </c>
      <c r="C2815" t="s">
        <v>17</v>
      </c>
      <c r="D2815">
        <v>58360000</v>
      </c>
      <c r="E2815">
        <v>58369999</v>
      </c>
      <c r="F2815" t="s">
        <v>2145</v>
      </c>
      <c r="G2815" t="str">
        <f t="shared" si="86"/>
        <v>PBI II</v>
      </c>
      <c r="H2815" t="s">
        <v>2471</v>
      </c>
      <c r="I2815" t="s">
        <v>20</v>
      </c>
      <c r="J2815" t="s">
        <v>64</v>
      </c>
      <c r="K2815" s="6">
        <v>0.03</v>
      </c>
      <c r="L2815" s="7">
        <f t="shared" si="87"/>
        <v>2E-3</v>
      </c>
      <c r="M2815" s="7">
        <v>3.0000000000000001E-3</v>
      </c>
      <c r="N2815">
        <v>12</v>
      </c>
      <c r="O2815" s="8">
        <v>25.469420399191385</v>
      </c>
      <c r="P2815" s="9">
        <v>25.469420399191385</v>
      </c>
      <c r="Q2815" s="9">
        <v>25.469420399191385</v>
      </c>
      <c r="R2815" s="9">
        <v>27.985354957700171</v>
      </c>
      <c r="S2815" s="9">
        <v>30.758461120802014</v>
      </c>
      <c r="T2815" s="9">
        <v>33.102903982805351</v>
      </c>
      <c r="U2815" s="9">
        <v>40.375170889228379</v>
      </c>
      <c r="V2815" s="9">
        <v>40.375170889228379</v>
      </c>
      <c r="W2815" s="9">
        <v>40.375170889228379</v>
      </c>
      <c r="X2815" s="9">
        <v>48.614146284608282</v>
      </c>
      <c r="Y2815" s="9">
        <v>48.614146284608282</v>
      </c>
      <c r="Z2815" s="9">
        <v>56.959894508429748</v>
      </c>
      <c r="AA2815" s="9">
        <v>56.959894508429748</v>
      </c>
      <c r="AB2815" s="9">
        <v>65.423092843536963</v>
      </c>
      <c r="AC2815" s="9">
        <v>65.423092843536963</v>
      </c>
      <c r="AD2815" s="9">
        <v>76.101886260449433</v>
      </c>
      <c r="AE2815" s="9">
        <v>84.004204331617984</v>
      </c>
      <c r="AF2815" s="9">
        <v>92.047281772276918</v>
      </c>
      <c r="AG2815" s="9">
        <v>92.047281772276918</v>
      </c>
      <c r="AH2815" s="9">
        <v>101.16093014574129</v>
      </c>
      <c r="AI2815" s="9">
        <v>110.08433596377185</v>
      </c>
      <c r="AJ2815" s="9">
        <v>3.0428788910505911</v>
      </c>
    </row>
    <row r="2816" spans="1:36" x14ac:dyDescent="0.25">
      <c r="A2816" t="s">
        <v>5411</v>
      </c>
      <c r="B2816" t="s">
        <v>16</v>
      </c>
      <c r="C2816" t="s">
        <v>17</v>
      </c>
      <c r="D2816">
        <v>58370000</v>
      </c>
      <c r="E2816">
        <v>58374999</v>
      </c>
      <c r="F2816" t="s">
        <v>2545</v>
      </c>
      <c r="G2816" t="str">
        <f t="shared" si="86"/>
        <v>PBR</v>
      </c>
      <c r="H2816" t="s">
        <v>2471</v>
      </c>
      <c r="I2816" t="s">
        <v>20</v>
      </c>
      <c r="J2816" t="s">
        <v>77</v>
      </c>
      <c r="K2816" s="6">
        <v>0.03</v>
      </c>
      <c r="L2816" s="7">
        <f t="shared" si="87"/>
        <v>2E-3</v>
      </c>
      <c r="M2816" s="7">
        <v>3.0000000000000001E-3</v>
      </c>
      <c r="N2816">
        <v>17</v>
      </c>
      <c r="O2816" s="8">
        <v>31.674720005909176</v>
      </c>
      <c r="P2816" s="9">
        <v>31.674720005909176</v>
      </c>
      <c r="Q2816" s="9">
        <v>31.674720005909176</v>
      </c>
      <c r="R2816" s="9">
        <v>34.913308289497976</v>
      </c>
      <c r="S2816" s="9">
        <v>38.480048605011753</v>
      </c>
      <c r="T2816" s="9">
        <v>40.939971907336925</v>
      </c>
      <c r="U2816" s="9">
        <v>49.333088414904694</v>
      </c>
      <c r="V2816" s="9">
        <v>49.333088414904694</v>
      </c>
      <c r="W2816" s="9">
        <v>49.333088414904694</v>
      </c>
      <c r="X2816" s="9">
        <v>63.21225398254326</v>
      </c>
      <c r="Y2816" s="9">
        <v>63.21225398254326</v>
      </c>
      <c r="Z2816" s="9">
        <v>73.404961153420544</v>
      </c>
      <c r="AA2816" s="9">
        <v>73.404961153420544</v>
      </c>
      <c r="AB2816" s="9">
        <v>83.820133806833923</v>
      </c>
      <c r="AC2816" s="9">
        <v>83.820133806833923</v>
      </c>
      <c r="AD2816" s="9">
        <v>94.480018491037072</v>
      </c>
      <c r="AE2816" s="9">
        <v>105.40908640910902</v>
      </c>
      <c r="AF2816" s="9">
        <v>116.6342558844366</v>
      </c>
      <c r="AG2816" s="9">
        <v>116.6342558844366</v>
      </c>
      <c r="AH2816" s="9">
        <v>128.18513707274536</v>
      </c>
      <c r="AI2816" s="9">
        <v>140.98660541754566</v>
      </c>
      <c r="AJ2816" s="9">
        <v>3.0428788910505911</v>
      </c>
    </row>
    <row r="2817" spans="1:36" x14ac:dyDescent="0.25">
      <c r="A2817" t="s">
        <v>5411</v>
      </c>
      <c r="B2817" t="s">
        <v>16</v>
      </c>
      <c r="C2817" t="s">
        <v>17</v>
      </c>
      <c r="D2817">
        <v>58375000</v>
      </c>
      <c r="E2817">
        <v>58377999</v>
      </c>
      <c r="F2817" t="s">
        <v>2546</v>
      </c>
      <c r="G2817" t="str">
        <f t="shared" si="86"/>
        <v>PBI II</v>
      </c>
      <c r="H2817" t="s">
        <v>2471</v>
      </c>
      <c r="I2817" t="s">
        <v>20</v>
      </c>
      <c r="J2817" t="s">
        <v>64</v>
      </c>
      <c r="K2817" s="6">
        <v>0.03</v>
      </c>
      <c r="L2817" s="7">
        <f t="shared" si="87"/>
        <v>2E-3</v>
      </c>
      <c r="M2817" s="7">
        <v>3.0000000000000001E-3</v>
      </c>
      <c r="N2817">
        <v>12</v>
      </c>
      <c r="O2817" s="8">
        <v>25.469420399191385</v>
      </c>
      <c r="P2817" s="9">
        <v>25.469420399191385</v>
      </c>
      <c r="Q2817" s="9">
        <v>25.469420399191385</v>
      </c>
      <c r="R2817" s="9">
        <v>27.985354957700171</v>
      </c>
      <c r="S2817" s="9">
        <v>30.758461120802014</v>
      </c>
      <c r="T2817" s="9">
        <v>33.102903982805351</v>
      </c>
      <c r="U2817" s="9">
        <v>40.375170889228379</v>
      </c>
      <c r="V2817" s="9">
        <v>40.375170889228379</v>
      </c>
      <c r="W2817" s="9">
        <v>40.375170889228379</v>
      </c>
      <c r="X2817" s="9">
        <v>48.614146284608282</v>
      </c>
      <c r="Y2817" s="9">
        <v>48.614146284608282</v>
      </c>
      <c r="Z2817" s="9">
        <v>56.959894508429748</v>
      </c>
      <c r="AA2817" s="9">
        <v>56.959894508429748</v>
      </c>
      <c r="AB2817" s="9">
        <v>65.423092843536963</v>
      </c>
      <c r="AC2817" s="9">
        <v>65.423092843536963</v>
      </c>
      <c r="AD2817" s="9">
        <v>76.101886260449433</v>
      </c>
      <c r="AE2817" s="9">
        <v>84.004204331617984</v>
      </c>
      <c r="AF2817" s="9">
        <v>92.047281772276918</v>
      </c>
      <c r="AG2817" s="9">
        <v>92.047281772276918</v>
      </c>
      <c r="AH2817" s="9">
        <v>101.16093014574129</v>
      </c>
      <c r="AI2817" s="9">
        <v>110.08433596377185</v>
      </c>
      <c r="AJ2817" s="9">
        <v>3.0428788910505911</v>
      </c>
    </row>
    <row r="2818" spans="1:36" x14ac:dyDescent="0.25">
      <c r="A2818" t="s">
        <v>5411</v>
      </c>
      <c r="B2818" t="s">
        <v>16</v>
      </c>
      <c r="C2818" t="s">
        <v>17</v>
      </c>
      <c r="D2818">
        <v>58378000</v>
      </c>
      <c r="E2818">
        <v>58379999</v>
      </c>
      <c r="F2818" t="s">
        <v>2547</v>
      </c>
      <c r="G2818" t="str">
        <f t="shared" si="86"/>
        <v>PBR</v>
      </c>
      <c r="H2818" t="s">
        <v>2471</v>
      </c>
      <c r="I2818" t="s">
        <v>20</v>
      </c>
      <c r="J2818" t="s">
        <v>77</v>
      </c>
      <c r="K2818" s="6">
        <v>0.03</v>
      </c>
      <c r="L2818" s="7">
        <f t="shared" si="87"/>
        <v>2E-3</v>
      </c>
      <c r="M2818" s="7">
        <v>3.0000000000000001E-3</v>
      </c>
      <c r="N2818">
        <v>17</v>
      </c>
      <c r="O2818" s="8">
        <v>31.674720005909176</v>
      </c>
      <c r="P2818" s="9">
        <v>31.674720005909176</v>
      </c>
      <c r="Q2818" s="9">
        <v>31.674720005909176</v>
      </c>
      <c r="R2818" s="9">
        <v>34.913308289497976</v>
      </c>
      <c r="S2818" s="9">
        <v>38.480048605011753</v>
      </c>
      <c r="T2818" s="9">
        <v>40.939971907336925</v>
      </c>
      <c r="U2818" s="9">
        <v>49.333088414904694</v>
      </c>
      <c r="V2818" s="9">
        <v>49.333088414904694</v>
      </c>
      <c r="W2818" s="9">
        <v>49.333088414904694</v>
      </c>
      <c r="X2818" s="9">
        <v>63.21225398254326</v>
      </c>
      <c r="Y2818" s="9">
        <v>63.21225398254326</v>
      </c>
      <c r="Z2818" s="9">
        <v>73.404961153420544</v>
      </c>
      <c r="AA2818" s="9">
        <v>73.404961153420544</v>
      </c>
      <c r="AB2818" s="9">
        <v>83.820133806833923</v>
      </c>
      <c r="AC2818" s="9">
        <v>83.820133806833923</v>
      </c>
      <c r="AD2818" s="9">
        <v>94.480018491037072</v>
      </c>
      <c r="AE2818" s="9">
        <v>105.40908640910902</v>
      </c>
      <c r="AF2818" s="9">
        <v>116.6342558844366</v>
      </c>
      <c r="AG2818" s="9">
        <v>116.6342558844366</v>
      </c>
      <c r="AH2818" s="9">
        <v>128.18513707274536</v>
      </c>
      <c r="AI2818" s="9">
        <v>140.98660541754566</v>
      </c>
      <c r="AJ2818" s="9">
        <v>3.0428788910505911</v>
      </c>
    </row>
    <row r="2819" spans="1:36" x14ac:dyDescent="0.25">
      <c r="A2819" t="s">
        <v>5411</v>
      </c>
      <c r="B2819" t="s">
        <v>16</v>
      </c>
      <c r="C2819" t="s">
        <v>17</v>
      </c>
      <c r="D2819">
        <v>58380000</v>
      </c>
      <c r="E2819">
        <v>58381999</v>
      </c>
      <c r="F2819" t="s">
        <v>2548</v>
      </c>
      <c r="G2819" t="str">
        <f t="shared" si="86"/>
        <v>PBI II</v>
      </c>
      <c r="H2819" t="s">
        <v>2471</v>
      </c>
      <c r="I2819" t="s">
        <v>20</v>
      </c>
      <c r="J2819" t="s">
        <v>64</v>
      </c>
      <c r="K2819" s="6">
        <v>0.03</v>
      </c>
      <c r="L2819" s="7">
        <f t="shared" si="87"/>
        <v>2E-3</v>
      </c>
      <c r="M2819" s="7">
        <v>3.0000000000000001E-3</v>
      </c>
      <c r="N2819">
        <v>12</v>
      </c>
      <c r="O2819" s="8">
        <v>25.469420399191385</v>
      </c>
      <c r="P2819" s="9">
        <v>25.469420399191385</v>
      </c>
      <c r="Q2819" s="9">
        <v>25.469420399191385</v>
      </c>
      <c r="R2819" s="9">
        <v>27.985354957700171</v>
      </c>
      <c r="S2819" s="9">
        <v>30.758461120802014</v>
      </c>
      <c r="T2819" s="9">
        <v>33.102903982805351</v>
      </c>
      <c r="U2819" s="9">
        <v>40.375170889228379</v>
      </c>
      <c r="V2819" s="9">
        <v>40.375170889228379</v>
      </c>
      <c r="W2819" s="9">
        <v>40.375170889228379</v>
      </c>
      <c r="X2819" s="9">
        <v>48.614146284608282</v>
      </c>
      <c r="Y2819" s="9">
        <v>48.614146284608282</v>
      </c>
      <c r="Z2819" s="9">
        <v>56.959894508429748</v>
      </c>
      <c r="AA2819" s="9">
        <v>56.959894508429748</v>
      </c>
      <c r="AB2819" s="9">
        <v>65.423092843536963</v>
      </c>
      <c r="AC2819" s="9">
        <v>65.423092843536963</v>
      </c>
      <c r="AD2819" s="9">
        <v>76.101886260449433</v>
      </c>
      <c r="AE2819" s="9">
        <v>84.004204331617984</v>
      </c>
      <c r="AF2819" s="9">
        <v>92.047281772276918</v>
      </c>
      <c r="AG2819" s="9">
        <v>92.047281772276918</v>
      </c>
      <c r="AH2819" s="9">
        <v>101.16093014574129</v>
      </c>
      <c r="AI2819" s="9">
        <v>110.08433596377185</v>
      </c>
      <c r="AJ2819" s="9">
        <v>3.0428788910505911</v>
      </c>
    </row>
    <row r="2820" spans="1:36" x14ac:dyDescent="0.25">
      <c r="A2820" t="s">
        <v>5411</v>
      </c>
      <c r="B2820" t="s">
        <v>16</v>
      </c>
      <c r="C2820" t="s">
        <v>17</v>
      </c>
      <c r="D2820">
        <v>58382000</v>
      </c>
      <c r="E2820">
        <v>58384999</v>
      </c>
      <c r="F2820" t="s">
        <v>2549</v>
      </c>
      <c r="G2820" t="str">
        <f t="shared" ref="G2820:G2883" si="88">H2820&amp;IF(J2820="CAPITAL","C",IF(J2820="INTERIOR","I",IF(J2820="INTERIOR II","I II","R")))</f>
        <v>PBI II</v>
      </c>
      <c r="H2820" t="s">
        <v>2471</v>
      </c>
      <c r="I2820" t="s">
        <v>20</v>
      </c>
      <c r="J2820" t="s">
        <v>64</v>
      </c>
      <c r="K2820" s="6">
        <v>0.03</v>
      </c>
      <c r="L2820" s="7">
        <f t="shared" ref="L2820:L2883" si="89">IF(I2820="(0) Não",0.2%,3%)</f>
        <v>2E-3</v>
      </c>
      <c r="M2820" s="7">
        <v>3.0000000000000001E-3</v>
      </c>
      <c r="N2820">
        <v>12</v>
      </c>
      <c r="O2820" s="8">
        <v>25.469420399191385</v>
      </c>
      <c r="P2820" s="9">
        <v>25.469420399191385</v>
      </c>
      <c r="Q2820" s="9">
        <v>25.469420399191385</v>
      </c>
      <c r="R2820" s="9">
        <v>27.985354957700171</v>
      </c>
      <c r="S2820" s="9">
        <v>30.758461120802014</v>
      </c>
      <c r="T2820" s="9">
        <v>33.102903982805351</v>
      </c>
      <c r="U2820" s="9">
        <v>40.375170889228379</v>
      </c>
      <c r="V2820" s="9">
        <v>40.375170889228379</v>
      </c>
      <c r="W2820" s="9">
        <v>40.375170889228379</v>
      </c>
      <c r="X2820" s="9">
        <v>48.614146284608282</v>
      </c>
      <c r="Y2820" s="9">
        <v>48.614146284608282</v>
      </c>
      <c r="Z2820" s="9">
        <v>56.959894508429748</v>
      </c>
      <c r="AA2820" s="9">
        <v>56.959894508429748</v>
      </c>
      <c r="AB2820" s="9">
        <v>65.423092843536963</v>
      </c>
      <c r="AC2820" s="9">
        <v>65.423092843536963</v>
      </c>
      <c r="AD2820" s="9">
        <v>76.101886260449433</v>
      </c>
      <c r="AE2820" s="9">
        <v>84.004204331617984</v>
      </c>
      <c r="AF2820" s="9">
        <v>92.047281772276918</v>
      </c>
      <c r="AG2820" s="9">
        <v>92.047281772276918</v>
      </c>
      <c r="AH2820" s="9">
        <v>101.16093014574129</v>
      </c>
      <c r="AI2820" s="9">
        <v>110.08433596377185</v>
      </c>
      <c r="AJ2820" s="9">
        <v>3.0428788910505911</v>
      </c>
    </row>
    <row r="2821" spans="1:36" x14ac:dyDescent="0.25">
      <c r="A2821" t="s">
        <v>5411</v>
      </c>
      <c r="B2821" t="s">
        <v>16</v>
      </c>
      <c r="C2821" t="s">
        <v>17</v>
      </c>
      <c r="D2821">
        <v>58385000</v>
      </c>
      <c r="E2821">
        <v>58386999</v>
      </c>
      <c r="F2821" t="s">
        <v>2550</v>
      </c>
      <c r="G2821" t="str">
        <f t="shared" si="88"/>
        <v>PBI II</v>
      </c>
      <c r="H2821" t="s">
        <v>2471</v>
      </c>
      <c r="I2821" t="s">
        <v>20</v>
      </c>
      <c r="J2821" t="s">
        <v>64</v>
      </c>
      <c r="K2821" s="6">
        <v>0.03</v>
      </c>
      <c r="L2821" s="7">
        <f t="shared" si="89"/>
        <v>2E-3</v>
      </c>
      <c r="M2821" s="7">
        <v>3.0000000000000001E-3</v>
      </c>
      <c r="N2821">
        <v>12</v>
      </c>
      <c r="O2821" s="8">
        <v>25.469420399191385</v>
      </c>
      <c r="P2821" s="9">
        <v>25.469420399191385</v>
      </c>
      <c r="Q2821" s="9">
        <v>25.469420399191385</v>
      </c>
      <c r="R2821" s="9">
        <v>27.985354957700171</v>
      </c>
      <c r="S2821" s="9">
        <v>30.758461120802014</v>
      </c>
      <c r="T2821" s="9">
        <v>33.102903982805351</v>
      </c>
      <c r="U2821" s="9">
        <v>40.375170889228379</v>
      </c>
      <c r="V2821" s="9">
        <v>40.375170889228379</v>
      </c>
      <c r="W2821" s="9">
        <v>40.375170889228379</v>
      </c>
      <c r="X2821" s="9">
        <v>48.614146284608282</v>
      </c>
      <c r="Y2821" s="9">
        <v>48.614146284608282</v>
      </c>
      <c r="Z2821" s="9">
        <v>56.959894508429748</v>
      </c>
      <c r="AA2821" s="9">
        <v>56.959894508429748</v>
      </c>
      <c r="AB2821" s="9">
        <v>65.423092843536963</v>
      </c>
      <c r="AC2821" s="9">
        <v>65.423092843536963</v>
      </c>
      <c r="AD2821" s="9">
        <v>76.101886260449433</v>
      </c>
      <c r="AE2821" s="9">
        <v>84.004204331617984</v>
      </c>
      <c r="AF2821" s="9">
        <v>92.047281772276918</v>
      </c>
      <c r="AG2821" s="9">
        <v>92.047281772276918</v>
      </c>
      <c r="AH2821" s="9">
        <v>101.16093014574129</v>
      </c>
      <c r="AI2821" s="9">
        <v>110.08433596377185</v>
      </c>
      <c r="AJ2821" s="9">
        <v>3.0428788910505911</v>
      </c>
    </row>
    <row r="2822" spans="1:36" x14ac:dyDescent="0.25">
      <c r="A2822" t="s">
        <v>5411</v>
      </c>
      <c r="B2822" t="s">
        <v>16</v>
      </c>
      <c r="C2822" t="s">
        <v>17</v>
      </c>
      <c r="D2822">
        <v>58387000</v>
      </c>
      <c r="E2822">
        <v>58387999</v>
      </c>
      <c r="F2822" t="s">
        <v>2551</v>
      </c>
      <c r="G2822" t="str">
        <f t="shared" si="88"/>
        <v>PBI II</v>
      </c>
      <c r="H2822" t="s">
        <v>2471</v>
      </c>
      <c r="I2822" t="s">
        <v>20</v>
      </c>
      <c r="J2822" t="s">
        <v>64</v>
      </c>
      <c r="K2822" s="6">
        <v>0.03</v>
      </c>
      <c r="L2822" s="7">
        <f t="shared" si="89"/>
        <v>2E-3</v>
      </c>
      <c r="M2822" s="7">
        <v>3.0000000000000001E-3</v>
      </c>
      <c r="N2822">
        <v>12</v>
      </c>
      <c r="O2822" s="8">
        <v>25.469420399191385</v>
      </c>
      <c r="P2822" s="9">
        <v>25.469420399191385</v>
      </c>
      <c r="Q2822" s="9">
        <v>25.469420399191385</v>
      </c>
      <c r="R2822" s="9">
        <v>27.985354957700171</v>
      </c>
      <c r="S2822" s="9">
        <v>30.758461120802014</v>
      </c>
      <c r="T2822" s="9">
        <v>33.102903982805351</v>
      </c>
      <c r="U2822" s="9">
        <v>40.375170889228379</v>
      </c>
      <c r="V2822" s="9">
        <v>40.375170889228379</v>
      </c>
      <c r="W2822" s="9">
        <v>40.375170889228379</v>
      </c>
      <c r="X2822" s="9">
        <v>48.614146284608282</v>
      </c>
      <c r="Y2822" s="9">
        <v>48.614146284608282</v>
      </c>
      <c r="Z2822" s="9">
        <v>56.959894508429748</v>
      </c>
      <c r="AA2822" s="9">
        <v>56.959894508429748</v>
      </c>
      <c r="AB2822" s="9">
        <v>65.423092843536963</v>
      </c>
      <c r="AC2822" s="9">
        <v>65.423092843536963</v>
      </c>
      <c r="AD2822" s="9">
        <v>76.101886260449433</v>
      </c>
      <c r="AE2822" s="9">
        <v>84.004204331617984</v>
      </c>
      <c r="AF2822" s="9">
        <v>92.047281772276918</v>
      </c>
      <c r="AG2822" s="9">
        <v>92.047281772276918</v>
      </c>
      <c r="AH2822" s="9">
        <v>101.16093014574129</v>
      </c>
      <c r="AI2822" s="9">
        <v>110.08433596377185</v>
      </c>
      <c r="AJ2822" s="9">
        <v>3.0428788910505911</v>
      </c>
    </row>
    <row r="2823" spans="1:36" x14ac:dyDescent="0.25">
      <c r="A2823" t="s">
        <v>5411</v>
      </c>
      <c r="B2823" t="s">
        <v>16</v>
      </c>
      <c r="C2823" t="s">
        <v>17</v>
      </c>
      <c r="D2823">
        <v>58388000</v>
      </c>
      <c r="E2823">
        <v>58389999</v>
      </c>
      <c r="F2823" t="s">
        <v>2552</v>
      </c>
      <c r="G2823" t="str">
        <f t="shared" si="88"/>
        <v>PBI II</v>
      </c>
      <c r="H2823" t="s">
        <v>2471</v>
      </c>
      <c r="I2823" t="s">
        <v>20</v>
      </c>
      <c r="J2823" t="s">
        <v>64</v>
      </c>
      <c r="K2823" s="6">
        <v>0.03</v>
      </c>
      <c r="L2823" s="7">
        <f t="shared" si="89"/>
        <v>2E-3</v>
      </c>
      <c r="M2823" s="7">
        <v>3.0000000000000001E-3</v>
      </c>
      <c r="N2823">
        <v>12</v>
      </c>
      <c r="O2823" s="8">
        <v>25.469420399191385</v>
      </c>
      <c r="P2823" s="9">
        <v>25.469420399191385</v>
      </c>
      <c r="Q2823" s="9">
        <v>25.469420399191385</v>
      </c>
      <c r="R2823" s="9">
        <v>27.985354957700171</v>
      </c>
      <c r="S2823" s="9">
        <v>30.758461120802014</v>
      </c>
      <c r="T2823" s="9">
        <v>33.102903982805351</v>
      </c>
      <c r="U2823" s="9">
        <v>40.375170889228379</v>
      </c>
      <c r="V2823" s="9">
        <v>40.375170889228379</v>
      </c>
      <c r="W2823" s="9">
        <v>40.375170889228379</v>
      </c>
      <c r="X2823" s="9">
        <v>48.614146284608282</v>
      </c>
      <c r="Y2823" s="9">
        <v>48.614146284608282</v>
      </c>
      <c r="Z2823" s="9">
        <v>56.959894508429748</v>
      </c>
      <c r="AA2823" s="9">
        <v>56.959894508429748</v>
      </c>
      <c r="AB2823" s="9">
        <v>65.423092843536963</v>
      </c>
      <c r="AC2823" s="9">
        <v>65.423092843536963</v>
      </c>
      <c r="AD2823" s="9">
        <v>76.101886260449433</v>
      </c>
      <c r="AE2823" s="9">
        <v>84.004204331617984</v>
      </c>
      <c r="AF2823" s="9">
        <v>92.047281772276918</v>
      </c>
      <c r="AG2823" s="9">
        <v>92.047281772276918</v>
      </c>
      <c r="AH2823" s="9">
        <v>101.16093014574129</v>
      </c>
      <c r="AI2823" s="9">
        <v>110.08433596377185</v>
      </c>
      <c r="AJ2823" s="9">
        <v>3.0428788910505911</v>
      </c>
    </row>
    <row r="2824" spans="1:36" x14ac:dyDescent="0.25">
      <c r="A2824" t="s">
        <v>5411</v>
      </c>
      <c r="B2824" t="s">
        <v>16</v>
      </c>
      <c r="C2824" t="s">
        <v>17</v>
      </c>
      <c r="D2824">
        <v>58390000</v>
      </c>
      <c r="E2824">
        <v>58392999</v>
      </c>
      <c r="F2824" t="s">
        <v>2220</v>
      </c>
      <c r="G2824" t="str">
        <f t="shared" si="88"/>
        <v>PBI II</v>
      </c>
      <c r="H2824" t="s">
        <v>2471</v>
      </c>
      <c r="I2824" t="s">
        <v>20</v>
      </c>
      <c r="J2824" t="s">
        <v>64</v>
      </c>
      <c r="K2824" s="6">
        <v>0.03</v>
      </c>
      <c r="L2824" s="7">
        <f t="shared" si="89"/>
        <v>2E-3</v>
      </c>
      <c r="M2824" s="7">
        <v>3.0000000000000001E-3</v>
      </c>
      <c r="N2824">
        <v>12</v>
      </c>
      <c r="O2824" s="8">
        <v>25.469420399191385</v>
      </c>
      <c r="P2824" s="9">
        <v>25.469420399191385</v>
      </c>
      <c r="Q2824" s="9">
        <v>25.469420399191385</v>
      </c>
      <c r="R2824" s="9">
        <v>27.985354957700171</v>
      </c>
      <c r="S2824" s="9">
        <v>30.758461120802014</v>
      </c>
      <c r="T2824" s="9">
        <v>33.102903982805351</v>
      </c>
      <c r="U2824" s="9">
        <v>40.375170889228379</v>
      </c>
      <c r="V2824" s="9">
        <v>40.375170889228379</v>
      </c>
      <c r="W2824" s="9">
        <v>40.375170889228379</v>
      </c>
      <c r="X2824" s="9">
        <v>48.614146284608282</v>
      </c>
      <c r="Y2824" s="9">
        <v>48.614146284608282</v>
      </c>
      <c r="Z2824" s="9">
        <v>56.959894508429748</v>
      </c>
      <c r="AA2824" s="9">
        <v>56.959894508429748</v>
      </c>
      <c r="AB2824" s="9">
        <v>65.423092843536963</v>
      </c>
      <c r="AC2824" s="9">
        <v>65.423092843536963</v>
      </c>
      <c r="AD2824" s="9">
        <v>76.101886260449433</v>
      </c>
      <c r="AE2824" s="9">
        <v>84.004204331617984</v>
      </c>
      <c r="AF2824" s="9">
        <v>92.047281772276918</v>
      </c>
      <c r="AG2824" s="9">
        <v>92.047281772276918</v>
      </c>
      <c r="AH2824" s="9">
        <v>101.16093014574129</v>
      </c>
      <c r="AI2824" s="9">
        <v>110.08433596377185</v>
      </c>
      <c r="AJ2824" s="9">
        <v>3.0428788910505911</v>
      </c>
    </row>
    <row r="2825" spans="1:36" x14ac:dyDescent="0.25">
      <c r="A2825" t="s">
        <v>5411</v>
      </c>
      <c r="B2825" t="s">
        <v>16</v>
      </c>
      <c r="C2825" t="s">
        <v>17</v>
      </c>
      <c r="D2825">
        <v>58393000</v>
      </c>
      <c r="E2825">
        <v>58393999</v>
      </c>
      <c r="F2825" t="s">
        <v>2553</v>
      </c>
      <c r="G2825" t="str">
        <f t="shared" si="88"/>
        <v>PBR</v>
      </c>
      <c r="H2825" t="s">
        <v>2471</v>
      </c>
      <c r="I2825" t="s">
        <v>20</v>
      </c>
      <c r="J2825" t="s">
        <v>77</v>
      </c>
      <c r="K2825" s="6">
        <v>0.03</v>
      </c>
      <c r="L2825" s="7">
        <f t="shared" si="89"/>
        <v>2E-3</v>
      </c>
      <c r="M2825" s="7">
        <v>3.0000000000000001E-3</v>
      </c>
      <c r="N2825">
        <v>17</v>
      </c>
      <c r="O2825" s="8">
        <v>31.674720005909176</v>
      </c>
      <c r="P2825" s="9">
        <v>31.674720005909176</v>
      </c>
      <c r="Q2825" s="9">
        <v>31.674720005909176</v>
      </c>
      <c r="R2825" s="9">
        <v>34.913308289497976</v>
      </c>
      <c r="S2825" s="9">
        <v>38.480048605011753</v>
      </c>
      <c r="T2825" s="9">
        <v>40.939971907336925</v>
      </c>
      <c r="U2825" s="9">
        <v>49.333088414904694</v>
      </c>
      <c r="V2825" s="9">
        <v>49.333088414904694</v>
      </c>
      <c r="W2825" s="9">
        <v>49.333088414904694</v>
      </c>
      <c r="X2825" s="9">
        <v>63.21225398254326</v>
      </c>
      <c r="Y2825" s="9">
        <v>63.21225398254326</v>
      </c>
      <c r="Z2825" s="9">
        <v>73.404961153420544</v>
      </c>
      <c r="AA2825" s="9">
        <v>73.404961153420544</v>
      </c>
      <c r="AB2825" s="9">
        <v>83.820133806833923</v>
      </c>
      <c r="AC2825" s="9">
        <v>83.820133806833923</v>
      </c>
      <c r="AD2825" s="9">
        <v>94.480018491037072</v>
      </c>
      <c r="AE2825" s="9">
        <v>105.40908640910902</v>
      </c>
      <c r="AF2825" s="9">
        <v>116.6342558844366</v>
      </c>
      <c r="AG2825" s="9">
        <v>116.6342558844366</v>
      </c>
      <c r="AH2825" s="9">
        <v>128.18513707274536</v>
      </c>
      <c r="AI2825" s="9">
        <v>140.98660541754566</v>
      </c>
      <c r="AJ2825" s="9">
        <v>3.0428788910505911</v>
      </c>
    </row>
    <row r="2826" spans="1:36" x14ac:dyDescent="0.25">
      <c r="A2826" t="s">
        <v>5411</v>
      </c>
      <c r="B2826" t="s">
        <v>16</v>
      </c>
      <c r="C2826" t="s">
        <v>17</v>
      </c>
      <c r="D2826">
        <v>58394000</v>
      </c>
      <c r="E2826">
        <v>58394999</v>
      </c>
      <c r="F2826" t="s">
        <v>291</v>
      </c>
      <c r="G2826" t="str">
        <f t="shared" si="88"/>
        <v>PBR</v>
      </c>
      <c r="H2826" t="s">
        <v>2471</v>
      </c>
      <c r="I2826" t="s">
        <v>20</v>
      </c>
      <c r="J2826" t="s">
        <v>77</v>
      </c>
      <c r="K2826" s="6">
        <v>0.03</v>
      </c>
      <c r="L2826" s="7">
        <f t="shared" si="89"/>
        <v>2E-3</v>
      </c>
      <c r="M2826" s="7">
        <v>3.0000000000000001E-3</v>
      </c>
      <c r="N2826">
        <v>17</v>
      </c>
      <c r="O2826" s="8">
        <v>31.674720005909176</v>
      </c>
      <c r="P2826" s="9">
        <v>31.674720005909176</v>
      </c>
      <c r="Q2826" s="9">
        <v>31.674720005909176</v>
      </c>
      <c r="R2826" s="9">
        <v>34.913308289497976</v>
      </c>
      <c r="S2826" s="9">
        <v>38.480048605011753</v>
      </c>
      <c r="T2826" s="9">
        <v>40.939971907336925</v>
      </c>
      <c r="U2826" s="9">
        <v>49.333088414904694</v>
      </c>
      <c r="V2826" s="9">
        <v>49.333088414904694</v>
      </c>
      <c r="W2826" s="9">
        <v>49.333088414904694</v>
      </c>
      <c r="X2826" s="9">
        <v>63.21225398254326</v>
      </c>
      <c r="Y2826" s="9">
        <v>63.21225398254326</v>
      </c>
      <c r="Z2826" s="9">
        <v>73.404961153420544</v>
      </c>
      <c r="AA2826" s="9">
        <v>73.404961153420544</v>
      </c>
      <c r="AB2826" s="9">
        <v>83.820133806833923</v>
      </c>
      <c r="AC2826" s="9">
        <v>83.820133806833923</v>
      </c>
      <c r="AD2826" s="9">
        <v>94.480018491037072</v>
      </c>
      <c r="AE2826" s="9">
        <v>105.40908640910902</v>
      </c>
      <c r="AF2826" s="9">
        <v>116.6342558844366</v>
      </c>
      <c r="AG2826" s="9">
        <v>116.6342558844366</v>
      </c>
      <c r="AH2826" s="9">
        <v>128.18513707274536</v>
      </c>
      <c r="AI2826" s="9">
        <v>140.98660541754566</v>
      </c>
      <c r="AJ2826" s="9">
        <v>3.0428788910505911</v>
      </c>
    </row>
    <row r="2827" spans="1:36" x14ac:dyDescent="0.25">
      <c r="A2827" t="s">
        <v>5411</v>
      </c>
      <c r="B2827" t="s">
        <v>16</v>
      </c>
      <c r="C2827" t="s">
        <v>17</v>
      </c>
      <c r="D2827">
        <v>58395000</v>
      </c>
      <c r="E2827">
        <v>58395999</v>
      </c>
      <c r="F2827" t="s">
        <v>2554</v>
      </c>
      <c r="G2827" t="str">
        <f t="shared" si="88"/>
        <v>PBR</v>
      </c>
      <c r="H2827" t="s">
        <v>2471</v>
      </c>
      <c r="I2827" t="s">
        <v>20</v>
      </c>
      <c r="J2827" t="s">
        <v>77</v>
      </c>
      <c r="K2827" s="6">
        <v>0.03</v>
      </c>
      <c r="L2827" s="7">
        <f t="shared" si="89"/>
        <v>2E-3</v>
      </c>
      <c r="M2827" s="7">
        <v>3.0000000000000001E-3</v>
      </c>
      <c r="N2827">
        <v>17</v>
      </c>
      <c r="O2827" s="8">
        <v>31.674720005909176</v>
      </c>
      <c r="P2827" s="9">
        <v>31.674720005909176</v>
      </c>
      <c r="Q2827" s="9">
        <v>31.674720005909176</v>
      </c>
      <c r="R2827" s="9">
        <v>34.913308289497976</v>
      </c>
      <c r="S2827" s="9">
        <v>38.480048605011753</v>
      </c>
      <c r="T2827" s="9">
        <v>40.939971907336925</v>
      </c>
      <c r="U2827" s="9">
        <v>49.333088414904694</v>
      </c>
      <c r="V2827" s="9">
        <v>49.333088414904694</v>
      </c>
      <c r="W2827" s="9">
        <v>49.333088414904694</v>
      </c>
      <c r="X2827" s="9">
        <v>63.21225398254326</v>
      </c>
      <c r="Y2827" s="9">
        <v>63.21225398254326</v>
      </c>
      <c r="Z2827" s="9">
        <v>73.404961153420544</v>
      </c>
      <c r="AA2827" s="9">
        <v>73.404961153420544</v>
      </c>
      <c r="AB2827" s="9">
        <v>83.820133806833923</v>
      </c>
      <c r="AC2827" s="9">
        <v>83.820133806833923</v>
      </c>
      <c r="AD2827" s="9">
        <v>94.480018491037072</v>
      </c>
      <c r="AE2827" s="9">
        <v>105.40908640910902</v>
      </c>
      <c r="AF2827" s="9">
        <v>116.6342558844366</v>
      </c>
      <c r="AG2827" s="9">
        <v>116.6342558844366</v>
      </c>
      <c r="AH2827" s="9">
        <v>128.18513707274536</v>
      </c>
      <c r="AI2827" s="9">
        <v>140.98660541754566</v>
      </c>
      <c r="AJ2827" s="9">
        <v>3.0428788910505911</v>
      </c>
    </row>
    <row r="2828" spans="1:36" x14ac:dyDescent="0.25">
      <c r="A2828" t="s">
        <v>5411</v>
      </c>
      <c r="B2828" t="s">
        <v>16</v>
      </c>
      <c r="C2828" t="s">
        <v>17</v>
      </c>
      <c r="D2828">
        <v>58396000</v>
      </c>
      <c r="E2828">
        <v>58396999</v>
      </c>
      <c r="F2828" t="s">
        <v>2555</v>
      </c>
      <c r="G2828" t="str">
        <f t="shared" si="88"/>
        <v>PBI II</v>
      </c>
      <c r="H2828" t="s">
        <v>2471</v>
      </c>
      <c r="I2828" t="s">
        <v>20</v>
      </c>
      <c r="J2828" t="s">
        <v>64</v>
      </c>
      <c r="K2828" s="6">
        <v>0.03</v>
      </c>
      <c r="L2828" s="7">
        <f t="shared" si="89"/>
        <v>2E-3</v>
      </c>
      <c r="M2828" s="7">
        <v>3.0000000000000001E-3</v>
      </c>
      <c r="N2828">
        <v>12</v>
      </c>
      <c r="O2828" s="8">
        <v>25.469420399191385</v>
      </c>
      <c r="P2828" s="9">
        <v>25.469420399191385</v>
      </c>
      <c r="Q2828" s="9">
        <v>25.469420399191385</v>
      </c>
      <c r="R2828" s="9">
        <v>27.985354957700171</v>
      </c>
      <c r="S2828" s="9">
        <v>30.758461120802014</v>
      </c>
      <c r="T2828" s="9">
        <v>33.102903982805351</v>
      </c>
      <c r="U2828" s="9">
        <v>40.375170889228379</v>
      </c>
      <c r="V2828" s="9">
        <v>40.375170889228379</v>
      </c>
      <c r="W2828" s="9">
        <v>40.375170889228379</v>
      </c>
      <c r="X2828" s="9">
        <v>48.614146284608282</v>
      </c>
      <c r="Y2828" s="9">
        <v>48.614146284608282</v>
      </c>
      <c r="Z2828" s="9">
        <v>56.959894508429748</v>
      </c>
      <c r="AA2828" s="9">
        <v>56.959894508429748</v>
      </c>
      <c r="AB2828" s="9">
        <v>65.423092843536963</v>
      </c>
      <c r="AC2828" s="9">
        <v>65.423092843536963</v>
      </c>
      <c r="AD2828" s="9">
        <v>76.101886260449433</v>
      </c>
      <c r="AE2828" s="9">
        <v>84.004204331617984</v>
      </c>
      <c r="AF2828" s="9">
        <v>92.047281772276918</v>
      </c>
      <c r="AG2828" s="9">
        <v>92.047281772276918</v>
      </c>
      <c r="AH2828" s="9">
        <v>101.16093014574129</v>
      </c>
      <c r="AI2828" s="9">
        <v>110.08433596377185</v>
      </c>
      <c r="AJ2828" s="9">
        <v>3.0428788910505911</v>
      </c>
    </row>
    <row r="2829" spans="1:36" x14ac:dyDescent="0.25">
      <c r="A2829" t="s">
        <v>5411</v>
      </c>
      <c r="B2829" t="s">
        <v>16</v>
      </c>
      <c r="C2829" t="s">
        <v>17</v>
      </c>
      <c r="D2829">
        <v>58397000</v>
      </c>
      <c r="E2829">
        <v>58397999</v>
      </c>
      <c r="F2829" t="s">
        <v>2556</v>
      </c>
      <c r="G2829" t="str">
        <f t="shared" si="88"/>
        <v>PBI II</v>
      </c>
      <c r="H2829" t="s">
        <v>2471</v>
      </c>
      <c r="I2829" t="s">
        <v>20</v>
      </c>
      <c r="J2829" t="s">
        <v>64</v>
      </c>
      <c r="K2829" s="6">
        <v>0.03</v>
      </c>
      <c r="L2829" s="7">
        <f t="shared" si="89"/>
        <v>2E-3</v>
      </c>
      <c r="M2829" s="7">
        <v>3.0000000000000001E-3</v>
      </c>
      <c r="N2829">
        <v>12</v>
      </c>
      <c r="O2829" s="8">
        <v>25.469420399191385</v>
      </c>
      <c r="P2829" s="9">
        <v>25.469420399191385</v>
      </c>
      <c r="Q2829" s="9">
        <v>25.469420399191385</v>
      </c>
      <c r="R2829" s="9">
        <v>27.985354957700171</v>
      </c>
      <c r="S2829" s="9">
        <v>30.758461120802014</v>
      </c>
      <c r="T2829" s="9">
        <v>33.102903982805351</v>
      </c>
      <c r="U2829" s="9">
        <v>40.375170889228379</v>
      </c>
      <c r="V2829" s="9">
        <v>40.375170889228379</v>
      </c>
      <c r="W2829" s="9">
        <v>40.375170889228379</v>
      </c>
      <c r="X2829" s="9">
        <v>48.614146284608282</v>
      </c>
      <c r="Y2829" s="9">
        <v>48.614146284608282</v>
      </c>
      <c r="Z2829" s="9">
        <v>56.959894508429748</v>
      </c>
      <c r="AA2829" s="9">
        <v>56.959894508429748</v>
      </c>
      <c r="AB2829" s="9">
        <v>65.423092843536963</v>
      </c>
      <c r="AC2829" s="9">
        <v>65.423092843536963</v>
      </c>
      <c r="AD2829" s="9">
        <v>76.101886260449433</v>
      </c>
      <c r="AE2829" s="9">
        <v>84.004204331617984</v>
      </c>
      <c r="AF2829" s="9">
        <v>92.047281772276918</v>
      </c>
      <c r="AG2829" s="9">
        <v>92.047281772276918</v>
      </c>
      <c r="AH2829" s="9">
        <v>101.16093014574129</v>
      </c>
      <c r="AI2829" s="9">
        <v>110.08433596377185</v>
      </c>
      <c r="AJ2829" s="9">
        <v>3.0428788910505911</v>
      </c>
    </row>
    <row r="2830" spans="1:36" x14ac:dyDescent="0.25">
      <c r="A2830" t="s">
        <v>5411</v>
      </c>
      <c r="B2830" t="s">
        <v>16</v>
      </c>
      <c r="C2830" t="s">
        <v>17</v>
      </c>
      <c r="D2830">
        <v>58398000</v>
      </c>
      <c r="E2830">
        <v>58398999</v>
      </c>
      <c r="F2830" t="s">
        <v>2557</v>
      </c>
      <c r="G2830" t="str">
        <f t="shared" si="88"/>
        <v>PBI II</v>
      </c>
      <c r="H2830" t="s">
        <v>2471</v>
      </c>
      <c r="I2830" t="s">
        <v>20</v>
      </c>
      <c r="J2830" t="s">
        <v>64</v>
      </c>
      <c r="K2830" s="6">
        <v>0.03</v>
      </c>
      <c r="L2830" s="7">
        <f t="shared" si="89"/>
        <v>2E-3</v>
      </c>
      <c r="M2830" s="7">
        <v>3.0000000000000001E-3</v>
      </c>
      <c r="N2830">
        <v>12</v>
      </c>
      <c r="O2830" s="8">
        <v>25.469420399191385</v>
      </c>
      <c r="P2830" s="9">
        <v>25.469420399191385</v>
      </c>
      <c r="Q2830" s="9">
        <v>25.469420399191385</v>
      </c>
      <c r="R2830" s="9">
        <v>27.985354957700171</v>
      </c>
      <c r="S2830" s="9">
        <v>30.758461120802014</v>
      </c>
      <c r="T2830" s="9">
        <v>33.102903982805351</v>
      </c>
      <c r="U2830" s="9">
        <v>40.375170889228379</v>
      </c>
      <c r="V2830" s="9">
        <v>40.375170889228379</v>
      </c>
      <c r="W2830" s="9">
        <v>40.375170889228379</v>
      </c>
      <c r="X2830" s="9">
        <v>48.614146284608282</v>
      </c>
      <c r="Y2830" s="9">
        <v>48.614146284608282</v>
      </c>
      <c r="Z2830" s="9">
        <v>56.959894508429748</v>
      </c>
      <c r="AA2830" s="9">
        <v>56.959894508429748</v>
      </c>
      <c r="AB2830" s="9">
        <v>65.423092843536963</v>
      </c>
      <c r="AC2830" s="9">
        <v>65.423092843536963</v>
      </c>
      <c r="AD2830" s="9">
        <v>76.101886260449433</v>
      </c>
      <c r="AE2830" s="9">
        <v>84.004204331617984</v>
      </c>
      <c r="AF2830" s="9">
        <v>92.047281772276918</v>
      </c>
      <c r="AG2830" s="9">
        <v>92.047281772276918</v>
      </c>
      <c r="AH2830" s="9">
        <v>101.16093014574129</v>
      </c>
      <c r="AI2830" s="9">
        <v>110.08433596377185</v>
      </c>
      <c r="AJ2830" s="9">
        <v>3.0428788910505911</v>
      </c>
    </row>
    <row r="2831" spans="1:36" x14ac:dyDescent="0.25">
      <c r="A2831" t="s">
        <v>5411</v>
      </c>
      <c r="B2831" t="s">
        <v>16</v>
      </c>
      <c r="C2831" t="s">
        <v>17</v>
      </c>
      <c r="D2831">
        <v>58399000</v>
      </c>
      <c r="E2831">
        <v>58399999</v>
      </c>
      <c r="F2831" t="s">
        <v>2558</v>
      </c>
      <c r="G2831" t="str">
        <f t="shared" si="88"/>
        <v>PBR</v>
      </c>
      <c r="H2831" t="s">
        <v>2471</v>
      </c>
      <c r="I2831" t="s">
        <v>20</v>
      </c>
      <c r="J2831" t="s">
        <v>77</v>
      </c>
      <c r="K2831" s="6">
        <v>0.03</v>
      </c>
      <c r="L2831" s="7">
        <f t="shared" si="89"/>
        <v>2E-3</v>
      </c>
      <c r="M2831" s="7">
        <v>3.0000000000000001E-3</v>
      </c>
      <c r="N2831">
        <v>17</v>
      </c>
      <c r="O2831" s="8">
        <v>31.674720005909176</v>
      </c>
      <c r="P2831" s="9">
        <v>31.674720005909176</v>
      </c>
      <c r="Q2831" s="9">
        <v>31.674720005909176</v>
      </c>
      <c r="R2831" s="9">
        <v>34.913308289497976</v>
      </c>
      <c r="S2831" s="9">
        <v>38.480048605011753</v>
      </c>
      <c r="T2831" s="9">
        <v>40.939971907336925</v>
      </c>
      <c r="U2831" s="9">
        <v>49.333088414904694</v>
      </c>
      <c r="V2831" s="9">
        <v>49.333088414904694</v>
      </c>
      <c r="W2831" s="9">
        <v>49.333088414904694</v>
      </c>
      <c r="X2831" s="9">
        <v>63.21225398254326</v>
      </c>
      <c r="Y2831" s="9">
        <v>63.21225398254326</v>
      </c>
      <c r="Z2831" s="9">
        <v>73.404961153420544</v>
      </c>
      <c r="AA2831" s="9">
        <v>73.404961153420544</v>
      </c>
      <c r="AB2831" s="9">
        <v>83.820133806833923</v>
      </c>
      <c r="AC2831" s="9">
        <v>83.820133806833923</v>
      </c>
      <c r="AD2831" s="9">
        <v>94.480018491037072</v>
      </c>
      <c r="AE2831" s="9">
        <v>105.40908640910902</v>
      </c>
      <c r="AF2831" s="9">
        <v>116.6342558844366</v>
      </c>
      <c r="AG2831" s="9">
        <v>116.6342558844366</v>
      </c>
      <c r="AH2831" s="9">
        <v>128.18513707274536</v>
      </c>
      <c r="AI2831" s="9">
        <v>140.98660541754566</v>
      </c>
      <c r="AJ2831" s="9">
        <v>3.0428788910505911</v>
      </c>
    </row>
    <row r="2832" spans="1:36" x14ac:dyDescent="0.25">
      <c r="A2832" t="s">
        <v>5411</v>
      </c>
      <c r="B2832" t="s">
        <v>16</v>
      </c>
      <c r="C2832" t="s">
        <v>17</v>
      </c>
      <c r="D2832">
        <v>58400000</v>
      </c>
      <c r="E2832">
        <v>58449999</v>
      </c>
      <c r="F2832" t="s">
        <v>2559</v>
      </c>
      <c r="G2832" t="str">
        <f t="shared" si="88"/>
        <v>PBI</v>
      </c>
      <c r="H2832" t="s">
        <v>2471</v>
      </c>
      <c r="I2832" t="s">
        <v>20</v>
      </c>
      <c r="J2832" t="s">
        <v>62</v>
      </c>
      <c r="K2832" s="6">
        <v>0.03</v>
      </c>
      <c r="L2832" s="7">
        <f t="shared" si="89"/>
        <v>2E-3</v>
      </c>
      <c r="M2832" s="7">
        <v>3.0000000000000001E-3</v>
      </c>
      <c r="N2832">
        <v>11</v>
      </c>
      <c r="O2832" s="8">
        <v>20.87728230344733</v>
      </c>
      <c r="P2832" s="9">
        <v>20.87728230344733</v>
      </c>
      <c r="Q2832" s="9">
        <v>20.87728230344733</v>
      </c>
      <c r="R2832" s="9">
        <v>22.487970664940882</v>
      </c>
      <c r="S2832" s="9">
        <v>24.836959128882373</v>
      </c>
      <c r="T2832" s="9">
        <v>27.328940564094832</v>
      </c>
      <c r="U2832" s="9">
        <v>33.487633384176874</v>
      </c>
      <c r="V2832" s="9">
        <v>33.487633384176874</v>
      </c>
      <c r="W2832" s="9">
        <v>33.487633384176874</v>
      </c>
      <c r="X2832" s="9">
        <v>40.444098389650613</v>
      </c>
      <c r="Y2832" s="9">
        <v>40.444098389650613</v>
      </c>
      <c r="Z2832" s="9">
        <v>47.624518869362937</v>
      </c>
      <c r="AA2832" s="9">
        <v>47.624518869362937</v>
      </c>
      <c r="AB2832" s="9">
        <v>55.099076844260026</v>
      </c>
      <c r="AC2832" s="9">
        <v>55.099076844260026</v>
      </c>
      <c r="AD2832" s="9">
        <v>62.749008739977157</v>
      </c>
      <c r="AE2832" s="9">
        <v>70.59687278474604</v>
      </c>
      <c r="AF2832" s="9">
        <v>78.668205468404196</v>
      </c>
      <c r="AG2832" s="9">
        <v>78.668205468404196</v>
      </c>
      <c r="AH2832" s="9">
        <v>86.404717432433188</v>
      </c>
      <c r="AI2832" s="9">
        <v>94.691678268933799</v>
      </c>
      <c r="AJ2832" s="9">
        <v>3.0428788910505911</v>
      </c>
    </row>
    <row r="2833" spans="1:36" x14ac:dyDescent="0.25">
      <c r="A2833" t="s">
        <v>5411</v>
      </c>
      <c r="B2833" t="s">
        <v>16</v>
      </c>
      <c r="C2833" t="s">
        <v>17</v>
      </c>
      <c r="D2833">
        <v>58450000</v>
      </c>
      <c r="E2833">
        <v>58454999</v>
      </c>
      <c r="F2833" t="s">
        <v>2560</v>
      </c>
      <c r="G2833" t="str">
        <f t="shared" si="88"/>
        <v>PBR</v>
      </c>
      <c r="H2833" t="s">
        <v>2471</v>
      </c>
      <c r="I2833" t="s">
        <v>20</v>
      </c>
      <c r="J2833" t="s">
        <v>77</v>
      </c>
      <c r="K2833" s="6">
        <v>0.03</v>
      </c>
      <c r="L2833" s="7">
        <f t="shared" si="89"/>
        <v>2E-3</v>
      </c>
      <c r="M2833" s="7">
        <v>3.0000000000000001E-3</v>
      </c>
      <c r="N2833">
        <v>17</v>
      </c>
      <c r="O2833" s="8">
        <v>31.674720005909176</v>
      </c>
      <c r="P2833" s="9">
        <v>31.674720005909176</v>
      </c>
      <c r="Q2833" s="9">
        <v>31.674720005909176</v>
      </c>
      <c r="R2833" s="9">
        <v>34.913308289497976</v>
      </c>
      <c r="S2833" s="9">
        <v>38.480048605011753</v>
      </c>
      <c r="T2833" s="9">
        <v>40.939971907336925</v>
      </c>
      <c r="U2833" s="9">
        <v>49.333088414904694</v>
      </c>
      <c r="V2833" s="9">
        <v>49.333088414904694</v>
      </c>
      <c r="W2833" s="9">
        <v>49.333088414904694</v>
      </c>
      <c r="X2833" s="9">
        <v>63.21225398254326</v>
      </c>
      <c r="Y2833" s="9">
        <v>63.21225398254326</v>
      </c>
      <c r="Z2833" s="9">
        <v>73.404961153420544</v>
      </c>
      <c r="AA2833" s="9">
        <v>73.404961153420544</v>
      </c>
      <c r="AB2833" s="9">
        <v>83.820133806833923</v>
      </c>
      <c r="AC2833" s="9">
        <v>83.820133806833923</v>
      </c>
      <c r="AD2833" s="9">
        <v>94.480018491037072</v>
      </c>
      <c r="AE2833" s="9">
        <v>105.40908640910902</v>
      </c>
      <c r="AF2833" s="9">
        <v>116.6342558844366</v>
      </c>
      <c r="AG2833" s="9">
        <v>116.6342558844366</v>
      </c>
      <c r="AH2833" s="9">
        <v>128.18513707274536</v>
      </c>
      <c r="AI2833" s="9">
        <v>140.98660541754566</v>
      </c>
      <c r="AJ2833" s="9">
        <v>3.0428788910505911</v>
      </c>
    </row>
    <row r="2834" spans="1:36" x14ac:dyDescent="0.25">
      <c r="A2834" t="s">
        <v>5411</v>
      </c>
      <c r="B2834" t="s">
        <v>16</v>
      </c>
      <c r="C2834" t="s">
        <v>17</v>
      </c>
      <c r="D2834">
        <v>58455000</v>
      </c>
      <c r="E2834">
        <v>58457999</v>
      </c>
      <c r="F2834" t="s">
        <v>2561</v>
      </c>
      <c r="G2834" t="str">
        <f t="shared" si="88"/>
        <v>PBR</v>
      </c>
      <c r="H2834" t="s">
        <v>2471</v>
      </c>
      <c r="I2834" t="s">
        <v>20</v>
      </c>
      <c r="J2834" t="s">
        <v>77</v>
      </c>
      <c r="K2834" s="6">
        <v>0.03</v>
      </c>
      <c r="L2834" s="7">
        <f t="shared" si="89"/>
        <v>2E-3</v>
      </c>
      <c r="M2834" s="7">
        <v>3.0000000000000001E-3</v>
      </c>
      <c r="N2834">
        <v>17</v>
      </c>
      <c r="O2834" s="8">
        <v>31.674720005909176</v>
      </c>
      <c r="P2834" s="9">
        <v>31.674720005909176</v>
      </c>
      <c r="Q2834" s="9">
        <v>31.674720005909176</v>
      </c>
      <c r="R2834" s="9">
        <v>34.913308289497976</v>
      </c>
      <c r="S2834" s="9">
        <v>38.480048605011753</v>
      </c>
      <c r="T2834" s="9">
        <v>40.939971907336925</v>
      </c>
      <c r="U2834" s="9">
        <v>49.333088414904694</v>
      </c>
      <c r="V2834" s="9">
        <v>49.333088414904694</v>
      </c>
      <c r="W2834" s="9">
        <v>49.333088414904694</v>
      </c>
      <c r="X2834" s="9">
        <v>63.21225398254326</v>
      </c>
      <c r="Y2834" s="9">
        <v>63.21225398254326</v>
      </c>
      <c r="Z2834" s="9">
        <v>73.404961153420544</v>
      </c>
      <c r="AA2834" s="9">
        <v>73.404961153420544</v>
      </c>
      <c r="AB2834" s="9">
        <v>83.820133806833923</v>
      </c>
      <c r="AC2834" s="9">
        <v>83.820133806833923</v>
      </c>
      <c r="AD2834" s="9">
        <v>94.480018491037072</v>
      </c>
      <c r="AE2834" s="9">
        <v>105.40908640910902</v>
      </c>
      <c r="AF2834" s="9">
        <v>116.6342558844366</v>
      </c>
      <c r="AG2834" s="9">
        <v>116.6342558844366</v>
      </c>
      <c r="AH2834" s="9">
        <v>128.18513707274536</v>
      </c>
      <c r="AI2834" s="9">
        <v>140.98660541754566</v>
      </c>
      <c r="AJ2834" s="9">
        <v>3.0428788910505911</v>
      </c>
    </row>
    <row r="2835" spans="1:36" x14ac:dyDescent="0.25">
      <c r="A2835" t="s">
        <v>5411</v>
      </c>
      <c r="B2835" t="s">
        <v>16</v>
      </c>
      <c r="C2835" t="s">
        <v>17</v>
      </c>
      <c r="D2835">
        <v>58458000</v>
      </c>
      <c r="E2835">
        <v>58459999</v>
      </c>
      <c r="F2835" t="s">
        <v>2562</v>
      </c>
      <c r="G2835" t="str">
        <f t="shared" si="88"/>
        <v>PBR</v>
      </c>
      <c r="H2835" t="s">
        <v>2471</v>
      </c>
      <c r="I2835" t="s">
        <v>20</v>
      </c>
      <c r="J2835" t="s">
        <v>77</v>
      </c>
      <c r="K2835" s="6">
        <v>0.03</v>
      </c>
      <c r="L2835" s="7">
        <f t="shared" si="89"/>
        <v>2E-3</v>
      </c>
      <c r="M2835" s="7">
        <v>3.0000000000000001E-3</v>
      </c>
      <c r="N2835">
        <v>17</v>
      </c>
      <c r="O2835" s="8">
        <v>31.674720005909176</v>
      </c>
      <c r="P2835" s="9">
        <v>31.674720005909176</v>
      </c>
      <c r="Q2835" s="9">
        <v>31.674720005909176</v>
      </c>
      <c r="R2835" s="9">
        <v>34.913308289497976</v>
      </c>
      <c r="S2835" s="9">
        <v>38.480048605011753</v>
      </c>
      <c r="T2835" s="9">
        <v>40.939971907336925</v>
      </c>
      <c r="U2835" s="9">
        <v>49.333088414904694</v>
      </c>
      <c r="V2835" s="9">
        <v>49.333088414904694</v>
      </c>
      <c r="W2835" s="9">
        <v>49.333088414904694</v>
      </c>
      <c r="X2835" s="9">
        <v>63.21225398254326</v>
      </c>
      <c r="Y2835" s="9">
        <v>63.21225398254326</v>
      </c>
      <c r="Z2835" s="9">
        <v>73.404961153420544</v>
      </c>
      <c r="AA2835" s="9">
        <v>73.404961153420544</v>
      </c>
      <c r="AB2835" s="9">
        <v>83.820133806833923</v>
      </c>
      <c r="AC2835" s="9">
        <v>83.820133806833923</v>
      </c>
      <c r="AD2835" s="9">
        <v>94.480018491037072</v>
      </c>
      <c r="AE2835" s="9">
        <v>105.40908640910902</v>
      </c>
      <c r="AF2835" s="9">
        <v>116.6342558844366</v>
      </c>
      <c r="AG2835" s="9">
        <v>116.6342558844366</v>
      </c>
      <c r="AH2835" s="9">
        <v>128.18513707274536</v>
      </c>
      <c r="AI2835" s="9">
        <v>140.98660541754566</v>
      </c>
      <c r="AJ2835" s="9">
        <v>3.0428788910505911</v>
      </c>
    </row>
    <row r="2836" spans="1:36" x14ac:dyDescent="0.25">
      <c r="A2836" t="s">
        <v>5411</v>
      </c>
      <c r="B2836" t="s">
        <v>16</v>
      </c>
      <c r="C2836" t="s">
        <v>17</v>
      </c>
      <c r="D2836">
        <v>58460000</v>
      </c>
      <c r="E2836">
        <v>58462999</v>
      </c>
      <c r="F2836" t="s">
        <v>2563</v>
      </c>
      <c r="G2836" t="str">
        <f t="shared" si="88"/>
        <v>PBR</v>
      </c>
      <c r="H2836" t="s">
        <v>2471</v>
      </c>
      <c r="I2836" t="s">
        <v>20</v>
      </c>
      <c r="J2836" t="s">
        <v>77</v>
      </c>
      <c r="K2836" s="6">
        <v>0.03</v>
      </c>
      <c r="L2836" s="7">
        <f t="shared" si="89"/>
        <v>2E-3</v>
      </c>
      <c r="M2836" s="7">
        <v>3.0000000000000001E-3</v>
      </c>
      <c r="N2836">
        <v>17</v>
      </c>
      <c r="O2836" s="8">
        <v>31.674720005909176</v>
      </c>
      <c r="P2836" s="9">
        <v>31.674720005909176</v>
      </c>
      <c r="Q2836" s="9">
        <v>31.674720005909176</v>
      </c>
      <c r="R2836" s="9">
        <v>34.913308289497976</v>
      </c>
      <c r="S2836" s="9">
        <v>38.480048605011753</v>
      </c>
      <c r="T2836" s="9">
        <v>40.939971907336925</v>
      </c>
      <c r="U2836" s="9">
        <v>49.333088414904694</v>
      </c>
      <c r="V2836" s="9">
        <v>49.333088414904694</v>
      </c>
      <c r="W2836" s="9">
        <v>49.333088414904694</v>
      </c>
      <c r="X2836" s="9">
        <v>63.21225398254326</v>
      </c>
      <c r="Y2836" s="9">
        <v>63.21225398254326</v>
      </c>
      <c r="Z2836" s="9">
        <v>73.404961153420544</v>
      </c>
      <c r="AA2836" s="9">
        <v>73.404961153420544</v>
      </c>
      <c r="AB2836" s="9">
        <v>83.820133806833923</v>
      </c>
      <c r="AC2836" s="9">
        <v>83.820133806833923</v>
      </c>
      <c r="AD2836" s="9">
        <v>94.480018491037072</v>
      </c>
      <c r="AE2836" s="9">
        <v>105.40908640910902</v>
      </c>
      <c r="AF2836" s="9">
        <v>116.6342558844366</v>
      </c>
      <c r="AG2836" s="9">
        <v>116.6342558844366</v>
      </c>
      <c r="AH2836" s="9">
        <v>128.18513707274536</v>
      </c>
      <c r="AI2836" s="9">
        <v>140.98660541754566</v>
      </c>
      <c r="AJ2836" s="9">
        <v>3.0428788910505911</v>
      </c>
    </row>
    <row r="2837" spans="1:36" x14ac:dyDescent="0.25">
      <c r="A2837" t="s">
        <v>5411</v>
      </c>
      <c r="B2837" t="s">
        <v>16</v>
      </c>
      <c r="C2837" t="s">
        <v>17</v>
      </c>
      <c r="D2837">
        <v>58463000</v>
      </c>
      <c r="E2837">
        <v>58464999</v>
      </c>
      <c r="F2837" t="s">
        <v>2564</v>
      </c>
      <c r="G2837" t="str">
        <f t="shared" si="88"/>
        <v>PBI II</v>
      </c>
      <c r="H2837" t="s">
        <v>2471</v>
      </c>
      <c r="I2837" t="s">
        <v>20</v>
      </c>
      <c r="J2837" t="s">
        <v>64</v>
      </c>
      <c r="K2837" s="6">
        <v>0.03</v>
      </c>
      <c r="L2837" s="7">
        <f t="shared" si="89"/>
        <v>2E-3</v>
      </c>
      <c r="M2837" s="7">
        <v>3.0000000000000001E-3</v>
      </c>
      <c r="N2837">
        <v>12</v>
      </c>
      <c r="O2837" s="8">
        <v>25.469420399191385</v>
      </c>
      <c r="P2837" s="9">
        <v>25.469420399191385</v>
      </c>
      <c r="Q2837" s="9">
        <v>25.469420399191385</v>
      </c>
      <c r="R2837" s="9">
        <v>27.985354957700171</v>
      </c>
      <c r="S2837" s="9">
        <v>30.758461120802014</v>
      </c>
      <c r="T2837" s="9">
        <v>33.102903982805351</v>
      </c>
      <c r="U2837" s="9">
        <v>40.375170889228379</v>
      </c>
      <c r="V2837" s="9">
        <v>40.375170889228379</v>
      </c>
      <c r="W2837" s="9">
        <v>40.375170889228379</v>
      </c>
      <c r="X2837" s="9">
        <v>48.614146284608282</v>
      </c>
      <c r="Y2837" s="9">
        <v>48.614146284608282</v>
      </c>
      <c r="Z2837" s="9">
        <v>56.959894508429748</v>
      </c>
      <c r="AA2837" s="9">
        <v>56.959894508429748</v>
      </c>
      <c r="AB2837" s="9">
        <v>65.423092843536963</v>
      </c>
      <c r="AC2837" s="9">
        <v>65.423092843536963</v>
      </c>
      <c r="AD2837" s="9">
        <v>76.101886260449433</v>
      </c>
      <c r="AE2837" s="9">
        <v>84.004204331617984</v>
      </c>
      <c r="AF2837" s="9">
        <v>92.047281772276918</v>
      </c>
      <c r="AG2837" s="9">
        <v>92.047281772276918</v>
      </c>
      <c r="AH2837" s="9">
        <v>101.16093014574129</v>
      </c>
      <c r="AI2837" s="9">
        <v>110.08433596377185</v>
      </c>
      <c r="AJ2837" s="9">
        <v>3.0428788910505911</v>
      </c>
    </row>
    <row r="2838" spans="1:36" x14ac:dyDescent="0.25">
      <c r="A2838" t="s">
        <v>5411</v>
      </c>
      <c r="B2838" t="s">
        <v>16</v>
      </c>
      <c r="C2838" t="s">
        <v>17</v>
      </c>
      <c r="D2838">
        <v>58465000</v>
      </c>
      <c r="E2838">
        <v>58469999</v>
      </c>
      <c r="F2838" t="s">
        <v>2565</v>
      </c>
      <c r="G2838" t="str">
        <f t="shared" si="88"/>
        <v>PBR</v>
      </c>
      <c r="H2838" t="s">
        <v>2471</v>
      </c>
      <c r="I2838" t="s">
        <v>20</v>
      </c>
      <c r="J2838" t="s">
        <v>77</v>
      </c>
      <c r="K2838" s="6">
        <v>0.03</v>
      </c>
      <c r="L2838" s="7">
        <f t="shared" si="89"/>
        <v>2E-3</v>
      </c>
      <c r="M2838" s="7">
        <v>3.0000000000000001E-3</v>
      </c>
      <c r="N2838">
        <v>17</v>
      </c>
      <c r="O2838" s="8">
        <v>31.674720005909176</v>
      </c>
      <c r="P2838" s="9">
        <v>31.674720005909176</v>
      </c>
      <c r="Q2838" s="9">
        <v>31.674720005909176</v>
      </c>
      <c r="R2838" s="9">
        <v>34.913308289497976</v>
      </c>
      <c r="S2838" s="9">
        <v>38.480048605011753</v>
      </c>
      <c r="T2838" s="9">
        <v>40.939971907336925</v>
      </c>
      <c r="U2838" s="9">
        <v>49.333088414904694</v>
      </c>
      <c r="V2838" s="9">
        <v>49.333088414904694</v>
      </c>
      <c r="W2838" s="9">
        <v>49.333088414904694</v>
      </c>
      <c r="X2838" s="9">
        <v>63.21225398254326</v>
      </c>
      <c r="Y2838" s="9">
        <v>63.21225398254326</v>
      </c>
      <c r="Z2838" s="9">
        <v>73.404961153420544</v>
      </c>
      <c r="AA2838" s="9">
        <v>73.404961153420544</v>
      </c>
      <c r="AB2838" s="9">
        <v>83.820133806833923</v>
      </c>
      <c r="AC2838" s="9">
        <v>83.820133806833923</v>
      </c>
      <c r="AD2838" s="9">
        <v>94.480018491037072</v>
      </c>
      <c r="AE2838" s="9">
        <v>105.40908640910902</v>
      </c>
      <c r="AF2838" s="9">
        <v>116.6342558844366</v>
      </c>
      <c r="AG2838" s="9">
        <v>116.6342558844366</v>
      </c>
      <c r="AH2838" s="9">
        <v>128.18513707274536</v>
      </c>
      <c r="AI2838" s="9">
        <v>140.98660541754566</v>
      </c>
      <c r="AJ2838" s="9">
        <v>3.0428788910505911</v>
      </c>
    </row>
    <row r="2839" spans="1:36" x14ac:dyDescent="0.25">
      <c r="A2839" t="s">
        <v>5411</v>
      </c>
      <c r="B2839" t="s">
        <v>16</v>
      </c>
      <c r="C2839" t="s">
        <v>17</v>
      </c>
      <c r="D2839">
        <v>58470000</v>
      </c>
      <c r="E2839">
        <v>58479999</v>
      </c>
      <c r="F2839" t="s">
        <v>2106</v>
      </c>
      <c r="G2839" t="str">
        <f t="shared" si="88"/>
        <v>PBI II</v>
      </c>
      <c r="H2839" t="s">
        <v>2471</v>
      </c>
      <c r="I2839" t="s">
        <v>20</v>
      </c>
      <c r="J2839" t="s">
        <v>64</v>
      </c>
      <c r="K2839" s="6">
        <v>0.03</v>
      </c>
      <c r="L2839" s="7">
        <f t="shared" si="89"/>
        <v>2E-3</v>
      </c>
      <c r="M2839" s="7">
        <v>3.0000000000000001E-3</v>
      </c>
      <c r="N2839">
        <v>13</v>
      </c>
      <c r="O2839" s="8">
        <v>25.469420399191385</v>
      </c>
      <c r="P2839" s="9">
        <v>25.469420399191385</v>
      </c>
      <c r="Q2839" s="9">
        <v>25.469420399191385</v>
      </c>
      <c r="R2839" s="9">
        <v>27.985354957700171</v>
      </c>
      <c r="S2839" s="9">
        <v>30.758461120802014</v>
      </c>
      <c r="T2839" s="9">
        <v>33.102903982805351</v>
      </c>
      <c r="U2839" s="9">
        <v>40.375170889228379</v>
      </c>
      <c r="V2839" s="9">
        <v>40.375170889228379</v>
      </c>
      <c r="W2839" s="9">
        <v>40.375170889228379</v>
      </c>
      <c r="X2839" s="9">
        <v>48.614146284608282</v>
      </c>
      <c r="Y2839" s="9">
        <v>48.614146284608282</v>
      </c>
      <c r="Z2839" s="9">
        <v>56.959894508429748</v>
      </c>
      <c r="AA2839" s="9">
        <v>56.959894508429748</v>
      </c>
      <c r="AB2839" s="9">
        <v>65.423092843536963</v>
      </c>
      <c r="AC2839" s="9">
        <v>65.423092843536963</v>
      </c>
      <c r="AD2839" s="9">
        <v>76.101886260449433</v>
      </c>
      <c r="AE2839" s="9">
        <v>84.004204331617984</v>
      </c>
      <c r="AF2839" s="9">
        <v>92.047281772276918</v>
      </c>
      <c r="AG2839" s="9">
        <v>92.047281772276918</v>
      </c>
      <c r="AH2839" s="9">
        <v>101.16093014574129</v>
      </c>
      <c r="AI2839" s="9">
        <v>110.08433596377185</v>
      </c>
      <c r="AJ2839" s="9">
        <v>3.0428788910505911</v>
      </c>
    </row>
    <row r="2840" spans="1:36" x14ac:dyDescent="0.25">
      <c r="A2840" t="s">
        <v>5411</v>
      </c>
      <c r="B2840" t="s">
        <v>16</v>
      </c>
      <c r="C2840" t="s">
        <v>17</v>
      </c>
      <c r="D2840">
        <v>58480000</v>
      </c>
      <c r="E2840">
        <v>58482999</v>
      </c>
      <c r="F2840" t="s">
        <v>2566</v>
      </c>
      <c r="G2840" t="str">
        <f t="shared" si="88"/>
        <v>PBR</v>
      </c>
      <c r="H2840" t="s">
        <v>2471</v>
      </c>
      <c r="I2840" t="s">
        <v>20</v>
      </c>
      <c r="J2840" t="s">
        <v>77</v>
      </c>
      <c r="K2840" s="6">
        <v>0.03</v>
      </c>
      <c r="L2840" s="7">
        <f t="shared" si="89"/>
        <v>2E-3</v>
      </c>
      <c r="M2840" s="7">
        <v>3.0000000000000001E-3</v>
      </c>
      <c r="N2840">
        <v>17</v>
      </c>
      <c r="O2840" s="8">
        <v>31.674720005909176</v>
      </c>
      <c r="P2840" s="9">
        <v>31.674720005909176</v>
      </c>
      <c r="Q2840" s="9">
        <v>31.674720005909176</v>
      </c>
      <c r="R2840" s="9">
        <v>34.913308289497976</v>
      </c>
      <c r="S2840" s="9">
        <v>38.480048605011753</v>
      </c>
      <c r="T2840" s="9">
        <v>40.939971907336925</v>
      </c>
      <c r="U2840" s="9">
        <v>49.333088414904694</v>
      </c>
      <c r="V2840" s="9">
        <v>49.333088414904694</v>
      </c>
      <c r="W2840" s="9">
        <v>49.333088414904694</v>
      </c>
      <c r="X2840" s="9">
        <v>63.21225398254326</v>
      </c>
      <c r="Y2840" s="9">
        <v>63.21225398254326</v>
      </c>
      <c r="Z2840" s="9">
        <v>73.404961153420544</v>
      </c>
      <c r="AA2840" s="9">
        <v>73.404961153420544</v>
      </c>
      <c r="AB2840" s="9">
        <v>83.820133806833923</v>
      </c>
      <c r="AC2840" s="9">
        <v>83.820133806833923</v>
      </c>
      <c r="AD2840" s="9">
        <v>94.480018491037072</v>
      </c>
      <c r="AE2840" s="9">
        <v>105.40908640910902</v>
      </c>
      <c r="AF2840" s="9">
        <v>116.6342558844366</v>
      </c>
      <c r="AG2840" s="9">
        <v>116.6342558844366</v>
      </c>
      <c r="AH2840" s="9">
        <v>128.18513707274536</v>
      </c>
      <c r="AI2840" s="9">
        <v>140.98660541754566</v>
      </c>
      <c r="AJ2840" s="9">
        <v>3.0428788910505911</v>
      </c>
    </row>
    <row r="2841" spans="1:36" x14ac:dyDescent="0.25">
      <c r="A2841" t="s">
        <v>5411</v>
      </c>
      <c r="B2841" t="s">
        <v>16</v>
      </c>
      <c r="C2841" t="s">
        <v>17</v>
      </c>
      <c r="D2841">
        <v>58483000</v>
      </c>
      <c r="E2841">
        <v>58484999</v>
      </c>
      <c r="F2841" t="s">
        <v>2380</v>
      </c>
      <c r="G2841" t="str">
        <f t="shared" si="88"/>
        <v>PBR</v>
      </c>
      <c r="H2841" t="s">
        <v>2471</v>
      </c>
      <c r="I2841" t="s">
        <v>20</v>
      </c>
      <c r="J2841" t="s">
        <v>77</v>
      </c>
      <c r="K2841" s="6">
        <v>0.03</v>
      </c>
      <c r="L2841" s="7">
        <f t="shared" si="89"/>
        <v>2E-3</v>
      </c>
      <c r="M2841" s="7">
        <v>3.0000000000000001E-3</v>
      </c>
      <c r="N2841">
        <v>17</v>
      </c>
      <c r="O2841" s="8">
        <v>31.674720005909176</v>
      </c>
      <c r="P2841" s="9">
        <v>31.674720005909176</v>
      </c>
      <c r="Q2841" s="9">
        <v>31.674720005909176</v>
      </c>
      <c r="R2841" s="9">
        <v>34.913308289497976</v>
      </c>
      <c r="S2841" s="9">
        <v>38.480048605011753</v>
      </c>
      <c r="T2841" s="9">
        <v>40.939971907336925</v>
      </c>
      <c r="U2841" s="9">
        <v>49.333088414904694</v>
      </c>
      <c r="V2841" s="9">
        <v>49.333088414904694</v>
      </c>
      <c r="W2841" s="9">
        <v>49.333088414904694</v>
      </c>
      <c r="X2841" s="9">
        <v>63.21225398254326</v>
      </c>
      <c r="Y2841" s="9">
        <v>63.21225398254326</v>
      </c>
      <c r="Z2841" s="9">
        <v>73.404961153420544</v>
      </c>
      <c r="AA2841" s="9">
        <v>73.404961153420544</v>
      </c>
      <c r="AB2841" s="9">
        <v>83.820133806833923</v>
      </c>
      <c r="AC2841" s="9">
        <v>83.820133806833923</v>
      </c>
      <c r="AD2841" s="9">
        <v>94.480018491037072</v>
      </c>
      <c r="AE2841" s="9">
        <v>105.40908640910902</v>
      </c>
      <c r="AF2841" s="9">
        <v>116.6342558844366</v>
      </c>
      <c r="AG2841" s="9">
        <v>116.6342558844366</v>
      </c>
      <c r="AH2841" s="9">
        <v>128.18513707274536</v>
      </c>
      <c r="AI2841" s="9">
        <v>140.98660541754566</v>
      </c>
      <c r="AJ2841" s="9">
        <v>3.0428788910505911</v>
      </c>
    </row>
    <row r="2842" spans="1:36" x14ac:dyDescent="0.25">
      <c r="A2842" t="s">
        <v>5411</v>
      </c>
      <c r="B2842" t="s">
        <v>16</v>
      </c>
      <c r="C2842" t="s">
        <v>17</v>
      </c>
      <c r="D2842">
        <v>58485000</v>
      </c>
      <c r="E2842">
        <v>58486999</v>
      </c>
      <c r="F2842" t="s">
        <v>2567</v>
      </c>
      <c r="G2842" t="str">
        <f t="shared" si="88"/>
        <v>PBR</v>
      </c>
      <c r="H2842" t="s">
        <v>2471</v>
      </c>
      <c r="I2842" t="s">
        <v>20</v>
      </c>
      <c r="J2842" t="s">
        <v>77</v>
      </c>
      <c r="K2842" s="6">
        <v>0.03</v>
      </c>
      <c r="L2842" s="7">
        <f t="shared" si="89"/>
        <v>2E-3</v>
      </c>
      <c r="M2842" s="7">
        <v>3.0000000000000001E-3</v>
      </c>
      <c r="N2842">
        <v>17</v>
      </c>
      <c r="O2842" s="8">
        <v>31.674720005909176</v>
      </c>
      <c r="P2842" s="9">
        <v>31.674720005909176</v>
      </c>
      <c r="Q2842" s="9">
        <v>31.674720005909176</v>
      </c>
      <c r="R2842" s="9">
        <v>34.913308289497976</v>
      </c>
      <c r="S2842" s="9">
        <v>38.480048605011753</v>
      </c>
      <c r="T2842" s="9">
        <v>40.939971907336925</v>
      </c>
      <c r="U2842" s="9">
        <v>49.333088414904694</v>
      </c>
      <c r="V2842" s="9">
        <v>49.333088414904694</v>
      </c>
      <c r="W2842" s="9">
        <v>49.333088414904694</v>
      </c>
      <c r="X2842" s="9">
        <v>63.21225398254326</v>
      </c>
      <c r="Y2842" s="9">
        <v>63.21225398254326</v>
      </c>
      <c r="Z2842" s="9">
        <v>73.404961153420544</v>
      </c>
      <c r="AA2842" s="9">
        <v>73.404961153420544</v>
      </c>
      <c r="AB2842" s="9">
        <v>83.820133806833923</v>
      </c>
      <c r="AC2842" s="9">
        <v>83.820133806833923</v>
      </c>
      <c r="AD2842" s="9">
        <v>94.480018491037072</v>
      </c>
      <c r="AE2842" s="9">
        <v>105.40908640910902</v>
      </c>
      <c r="AF2842" s="9">
        <v>116.6342558844366</v>
      </c>
      <c r="AG2842" s="9">
        <v>116.6342558844366</v>
      </c>
      <c r="AH2842" s="9">
        <v>128.18513707274536</v>
      </c>
      <c r="AI2842" s="9">
        <v>140.98660541754566</v>
      </c>
      <c r="AJ2842" s="9">
        <v>3.0428788910505911</v>
      </c>
    </row>
    <row r="2843" spans="1:36" x14ac:dyDescent="0.25">
      <c r="A2843" t="s">
        <v>5411</v>
      </c>
      <c r="B2843" t="s">
        <v>16</v>
      </c>
      <c r="C2843" t="s">
        <v>17</v>
      </c>
      <c r="D2843">
        <v>58487000</v>
      </c>
      <c r="E2843">
        <v>58488999</v>
      </c>
      <c r="F2843" t="s">
        <v>2568</v>
      </c>
      <c r="G2843" t="str">
        <f t="shared" si="88"/>
        <v>PBI II</v>
      </c>
      <c r="H2843" t="s">
        <v>2471</v>
      </c>
      <c r="I2843" t="s">
        <v>20</v>
      </c>
      <c r="J2843" t="s">
        <v>64</v>
      </c>
      <c r="K2843" s="6">
        <v>0.03</v>
      </c>
      <c r="L2843" s="7">
        <f t="shared" si="89"/>
        <v>2E-3</v>
      </c>
      <c r="M2843" s="7">
        <v>3.0000000000000001E-3</v>
      </c>
      <c r="N2843">
        <v>12</v>
      </c>
      <c r="O2843" s="8">
        <v>25.469420399191385</v>
      </c>
      <c r="P2843" s="9">
        <v>25.469420399191385</v>
      </c>
      <c r="Q2843" s="9">
        <v>25.469420399191385</v>
      </c>
      <c r="R2843" s="9">
        <v>27.985354957700171</v>
      </c>
      <c r="S2843" s="9">
        <v>30.758461120802014</v>
      </c>
      <c r="T2843" s="9">
        <v>33.102903982805351</v>
      </c>
      <c r="U2843" s="9">
        <v>40.375170889228379</v>
      </c>
      <c r="V2843" s="9">
        <v>40.375170889228379</v>
      </c>
      <c r="W2843" s="9">
        <v>40.375170889228379</v>
      </c>
      <c r="X2843" s="9">
        <v>48.614146284608282</v>
      </c>
      <c r="Y2843" s="9">
        <v>48.614146284608282</v>
      </c>
      <c r="Z2843" s="9">
        <v>56.959894508429748</v>
      </c>
      <c r="AA2843" s="9">
        <v>56.959894508429748</v>
      </c>
      <c r="AB2843" s="9">
        <v>65.423092843536963</v>
      </c>
      <c r="AC2843" s="9">
        <v>65.423092843536963</v>
      </c>
      <c r="AD2843" s="9">
        <v>76.101886260449433</v>
      </c>
      <c r="AE2843" s="9">
        <v>84.004204331617984</v>
      </c>
      <c r="AF2843" s="9">
        <v>92.047281772276918</v>
      </c>
      <c r="AG2843" s="9">
        <v>92.047281772276918</v>
      </c>
      <c r="AH2843" s="9">
        <v>101.16093014574129</v>
      </c>
      <c r="AI2843" s="9">
        <v>110.08433596377185</v>
      </c>
      <c r="AJ2843" s="9">
        <v>3.0428788910505911</v>
      </c>
    </row>
    <row r="2844" spans="1:36" x14ac:dyDescent="0.25">
      <c r="A2844" t="s">
        <v>5411</v>
      </c>
      <c r="B2844" t="s">
        <v>16</v>
      </c>
      <c r="C2844" t="s">
        <v>17</v>
      </c>
      <c r="D2844">
        <v>58489000</v>
      </c>
      <c r="E2844">
        <v>58491999</v>
      </c>
      <c r="F2844" t="s">
        <v>2569</v>
      </c>
      <c r="G2844" t="str">
        <f t="shared" si="88"/>
        <v>PBR</v>
      </c>
      <c r="H2844" t="s">
        <v>2471</v>
      </c>
      <c r="I2844" t="s">
        <v>20</v>
      </c>
      <c r="J2844" t="s">
        <v>77</v>
      </c>
      <c r="K2844" s="6">
        <v>0.03</v>
      </c>
      <c r="L2844" s="7">
        <f t="shared" si="89"/>
        <v>2E-3</v>
      </c>
      <c r="M2844" s="7">
        <v>3.0000000000000001E-3</v>
      </c>
      <c r="N2844">
        <v>17</v>
      </c>
      <c r="O2844" s="8">
        <v>31.674720005909176</v>
      </c>
      <c r="P2844" s="9">
        <v>31.674720005909176</v>
      </c>
      <c r="Q2844" s="9">
        <v>31.674720005909176</v>
      </c>
      <c r="R2844" s="9">
        <v>34.913308289497976</v>
      </c>
      <c r="S2844" s="9">
        <v>38.480048605011753</v>
      </c>
      <c r="T2844" s="9">
        <v>40.939971907336925</v>
      </c>
      <c r="U2844" s="9">
        <v>49.333088414904694</v>
      </c>
      <c r="V2844" s="9">
        <v>49.333088414904694</v>
      </c>
      <c r="W2844" s="9">
        <v>49.333088414904694</v>
      </c>
      <c r="X2844" s="9">
        <v>63.21225398254326</v>
      </c>
      <c r="Y2844" s="9">
        <v>63.21225398254326</v>
      </c>
      <c r="Z2844" s="9">
        <v>73.404961153420544</v>
      </c>
      <c r="AA2844" s="9">
        <v>73.404961153420544</v>
      </c>
      <c r="AB2844" s="9">
        <v>83.820133806833923</v>
      </c>
      <c r="AC2844" s="9">
        <v>83.820133806833923</v>
      </c>
      <c r="AD2844" s="9">
        <v>94.480018491037072</v>
      </c>
      <c r="AE2844" s="9">
        <v>105.40908640910902</v>
      </c>
      <c r="AF2844" s="9">
        <v>116.6342558844366</v>
      </c>
      <c r="AG2844" s="9">
        <v>116.6342558844366</v>
      </c>
      <c r="AH2844" s="9">
        <v>128.18513707274536</v>
      </c>
      <c r="AI2844" s="9">
        <v>140.98660541754566</v>
      </c>
      <c r="AJ2844" s="9">
        <v>3.0428788910505911</v>
      </c>
    </row>
    <row r="2845" spans="1:36" x14ac:dyDescent="0.25">
      <c r="A2845" t="s">
        <v>5411</v>
      </c>
      <c r="B2845" t="s">
        <v>16</v>
      </c>
      <c r="C2845" t="s">
        <v>17</v>
      </c>
      <c r="D2845">
        <v>58492000</v>
      </c>
      <c r="E2845">
        <v>58493999</v>
      </c>
      <c r="F2845" t="s">
        <v>2570</v>
      </c>
      <c r="G2845" t="str">
        <f t="shared" si="88"/>
        <v>PBR</v>
      </c>
      <c r="H2845" t="s">
        <v>2471</v>
      </c>
      <c r="I2845" t="s">
        <v>20</v>
      </c>
      <c r="J2845" t="s">
        <v>77</v>
      </c>
      <c r="K2845" s="6">
        <v>0.03</v>
      </c>
      <c r="L2845" s="7">
        <f t="shared" si="89"/>
        <v>2E-3</v>
      </c>
      <c r="M2845" s="7">
        <v>3.0000000000000001E-3</v>
      </c>
      <c r="N2845">
        <v>17</v>
      </c>
      <c r="O2845" s="8">
        <v>31.674720005909176</v>
      </c>
      <c r="P2845" s="9">
        <v>31.674720005909176</v>
      </c>
      <c r="Q2845" s="9">
        <v>31.674720005909176</v>
      </c>
      <c r="R2845" s="9">
        <v>34.913308289497976</v>
      </c>
      <c r="S2845" s="9">
        <v>38.480048605011753</v>
      </c>
      <c r="T2845" s="9">
        <v>40.939971907336925</v>
      </c>
      <c r="U2845" s="9">
        <v>49.333088414904694</v>
      </c>
      <c r="V2845" s="9">
        <v>49.333088414904694</v>
      </c>
      <c r="W2845" s="9">
        <v>49.333088414904694</v>
      </c>
      <c r="X2845" s="9">
        <v>63.21225398254326</v>
      </c>
      <c r="Y2845" s="9">
        <v>63.21225398254326</v>
      </c>
      <c r="Z2845" s="9">
        <v>73.404961153420544</v>
      </c>
      <c r="AA2845" s="9">
        <v>73.404961153420544</v>
      </c>
      <c r="AB2845" s="9">
        <v>83.820133806833923</v>
      </c>
      <c r="AC2845" s="9">
        <v>83.820133806833923</v>
      </c>
      <c r="AD2845" s="9">
        <v>94.480018491037072</v>
      </c>
      <c r="AE2845" s="9">
        <v>105.40908640910902</v>
      </c>
      <c r="AF2845" s="9">
        <v>116.6342558844366</v>
      </c>
      <c r="AG2845" s="9">
        <v>116.6342558844366</v>
      </c>
      <c r="AH2845" s="9">
        <v>128.18513707274536</v>
      </c>
      <c r="AI2845" s="9">
        <v>140.98660541754566</v>
      </c>
      <c r="AJ2845" s="9">
        <v>3.0428788910505911</v>
      </c>
    </row>
    <row r="2846" spans="1:36" x14ac:dyDescent="0.25">
      <c r="A2846" t="s">
        <v>5411</v>
      </c>
      <c r="B2846" t="s">
        <v>16</v>
      </c>
      <c r="C2846" t="s">
        <v>17</v>
      </c>
      <c r="D2846">
        <v>58494000</v>
      </c>
      <c r="E2846">
        <v>58496999</v>
      </c>
      <c r="F2846" t="s">
        <v>2571</v>
      </c>
      <c r="G2846" t="str">
        <f t="shared" si="88"/>
        <v>PBR</v>
      </c>
      <c r="H2846" t="s">
        <v>2471</v>
      </c>
      <c r="I2846" t="s">
        <v>20</v>
      </c>
      <c r="J2846" t="s">
        <v>77</v>
      </c>
      <c r="K2846" s="6">
        <v>0.03</v>
      </c>
      <c r="L2846" s="7">
        <f t="shared" si="89"/>
        <v>2E-3</v>
      </c>
      <c r="M2846" s="7">
        <v>3.0000000000000001E-3</v>
      </c>
      <c r="N2846">
        <v>17</v>
      </c>
      <c r="O2846" s="8">
        <v>31.674720005909176</v>
      </c>
      <c r="P2846" s="9">
        <v>31.674720005909176</v>
      </c>
      <c r="Q2846" s="9">
        <v>31.674720005909176</v>
      </c>
      <c r="R2846" s="9">
        <v>34.913308289497976</v>
      </c>
      <c r="S2846" s="9">
        <v>38.480048605011753</v>
      </c>
      <c r="T2846" s="9">
        <v>40.939971907336925</v>
      </c>
      <c r="U2846" s="9">
        <v>49.333088414904694</v>
      </c>
      <c r="V2846" s="9">
        <v>49.333088414904694</v>
      </c>
      <c r="W2846" s="9">
        <v>49.333088414904694</v>
      </c>
      <c r="X2846" s="9">
        <v>63.21225398254326</v>
      </c>
      <c r="Y2846" s="9">
        <v>63.21225398254326</v>
      </c>
      <c r="Z2846" s="9">
        <v>73.404961153420544</v>
      </c>
      <c r="AA2846" s="9">
        <v>73.404961153420544</v>
      </c>
      <c r="AB2846" s="9">
        <v>83.820133806833923</v>
      </c>
      <c r="AC2846" s="9">
        <v>83.820133806833923</v>
      </c>
      <c r="AD2846" s="9">
        <v>94.480018491037072</v>
      </c>
      <c r="AE2846" s="9">
        <v>105.40908640910902</v>
      </c>
      <c r="AF2846" s="9">
        <v>116.6342558844366</v>
      </c>
      <c r="AG2846" s="9">
        <v>116.6342558844366</v>
      </c>
      <c r="AH2846" s="9">
        <v>128.18513707274536</v>
      </c>
      <c r="AI2846" s="9">
        <v>140.98660541754566</v>
      </c>
      <c r="AJ2846" s="9">
        <v>3.0428788910505911</v>
      </c>
    </row>
    <row r="2847" spans="1:36" x14ac:dyDescent="0.25">
      <c r="A2847" t="s">
        <v>5411</v>
      </c>
      <c r="B2847" t="s">
        <v>16</v>
      </c>
      <c r="C2847" t="s">
        <v>17</v>
      </c>
      <c r="D2847">
        <v>58497000</v>
      </c>
      <c r="E2847">
        <v>58499999</v>
      </c>
      <c r="F2847" t="s">
        <v>2572</v>
      </c>
      <c r="G2847" t="str">
        <f t="shared" si="88"/>
        <v>PBI II</v>
      </c>
      <c r="H2847" t="s">
        <v>2471</v>
      </c>
      <c r="I2847" t="s">
        <v>20</v>
      </c>
      <c r="J2847" t="s">
        <v>64</v>
      </c>
      <c r="K2847" s="6">
        <v>0.03</v>
      </c>
      <c r="L2847" s="7">
        <f t="shared" si="89"/>
        <v>2E-3</v>
      </c>
      <c r="M2847" s="7">
        <v>3.0000000000000001E-3</v>
      </c>
      <c r="N2847">
        <v>12</v>
      </c>
      <c r="O2847" s="8">
        <v>25.469420399191385</v>
      </c>
      <c r="P2847" s="9">
        <v>25.469420399191385</v>
      </c>
      <c r="Q2847" s="9">
        <v>25.469420399191385</v>
      </c>
      <c r="R2847" s="9">
        <v>27.985354957700171</v>
      </c>
      <c r="S2847" s="9">
        <v>30.758461120802014</v>
      </c>
      <c r="T2847" s="9">
        <v>33.102903982805351</v>
      </c>
      <c r="U2847" s="9">
        <v>40.375170889228379</v>
      </c>
      <c r="V2847" s="9">
        <v>40.375170889228379</v>
      </c>
      <c r="W2847" s="9">
        <v>40.375170889228379</v>
      </c>
      <c r="X2847" s="9">
        <v>48.614146284608282</v>
      </c>
      <c r="Y2847" s="9">
        <v>48.614146284608282</v>
      </c>
      <c r="Z2847" s="9">
        <v>56.959894508429748</v>
      </c>
      <c r="AA2847" s="9">
        <v>56.959894508429748</v>
      </c>
      <c r="AB2847" s="9">
        <v>65.423092843536963</v>
      </c>
      <c r="AC2847" s="9">
        <v>65.423092843536963</v>
      </c>
      <c r="AD2847" s="9">
        <v>76.101886260449433</v>
      </c>
      <c r="AE2847" s="9">
        <v>84.004204331617984</v>
      </c>
      <c r="AF2847" s="9">
        <v>92.047281772276918</v>
      </c>
      <c r="AG2847" s="9">
        <v>92.047281772276918</v>
      </c>
      <c r="AH2847" s="9">
        <v>101.16093014574129</v>
      </c>
      <c r="AI2847" s="9">
        <v>110.08433596377185</v>
      </c>
      <c r="AJ2847" s="9">
        <v>3.0428788910505911</v>
      </c>
    </row>
    <row r="2848" spans="1:36" x14ac:dyDescent="0.25">
      <c r="A2848" t="s">
        <v>5411</v>
      </c>
      <c r="B2848" t="s">
        <v>16</v>
      </c>
      <c r="C2848" t="s">
        <v>17</v>
      </c>
      <c r="D2848">
        <v>58500000</v>
      </c>
      <c r="E2848">
        <v>58509999</v>
      </c>
      <c r="F2848" t="s">
        <v>2573</v>
      </c>
      <c r="G2848" t="str">
        <f t="shared" si="88"/>
        <v>PBR</v>
      </c>
      <c r="H2848" t="s">
        <v>2471</v>
      </c>
      <c r="I2848" t="s">
        <v>20</v>
      </c>
      <c r="J2848" t="s">
        <v>77</v>
      </c>
      <c r="K2848" s="6">
        <v>0.03</v>
      </c>
      <c r="L2848" s="7">
        <f t="shared" si="89"/>
        <v>2E-3</v>
      </c>
      <c r="M2848" s="7">
        <v>3.0000000000000001E-3</v>
      </c>
      <c r="N2848">
        <v>17</v>
      </c>
      <c r="O2848" s="8">
        <v>31.674720005909176</v>
      </c>
      <c r="P2848" s="9">
        <v>31.674720005909176</v>
      </c>
      <c r="Q2848" s="9">
        <v>31.674720005909176</v>
      </c>
      <c r="R2848" s="9">
        <v>34.913308289497976</v>
      </c>
      <c r="S2848" s="9">
        <v>38.480048605011753</v>
      </c>
      <c r="T2848" s="9">
        <v>40.939971907336925</v>
      </c>
      <c r="U2848" s="9">
        <v>49.333088414904694</v>
      </c>
      <c r="V2848" s="9">
        <v>49.333088414904694</v>
      </c>
      <c r="W2848" s="9">
        <v>49.333088414904694</v>
      </c>
      <c r="X2848" s="9">
        <v>63.21225398254326</v>
      </c>
      <c r="Y2848" s="9">
        <v>63.21225398254326</v>
      </c>
      <c r="Z2848" s="9">
        <v>73.404961153420544</v>
      </c>
      <c r="AA2848" s="9">
        <v>73.404961153420544</v>
      </c>
      <c r="AB2848" s="9">
        <v>83.820133806833923</v>
      </c>
      <c r="AC2848" s="9">
        <v>83.820133806833923</v>
      </c>
      <c r="AD2848" s="9">
        <v>94.480018491037072</v>
      </c>
      <c r="AE2848" s="9">
        <v>105.40908640910902</v>
      </c>
      <c r="AF2848" s="9">
        <v>116.6342558844366</v>
      </c>
      <c r="AG2848" s="9">
        <v>116.6342558844366</v>
      </c>
      <c r="AH2848" s="9">
        <v>128.18513707274536</v>
      </c>
      <c r="AI2848" s="9">
        <v>140.98660541754566</v>
      </c>
      <c r="AJ2848" s="9">
        <v>3.0428788910505911</v>
      </c>
    </row>
    <row r="2849" spans="1:36" x14ac:dyDescent="0.25">
      <c r="A2849" t="s">
        <v>5411</v>
      </c>
      <c r="B2849" t="s">
        <v>16</v>
      </c>
      <c r="C2849" t="s">
        <v>17</v>
      </c>
      <c r="D2849">
        <v>58510000</v>
      </c>
      <c r="E2849">
        <v>58514999</v>
      </c>
      <c r="F2849" t="s">
        <v>2574</v>
      </c>
      <c r="G2849" t="str">
        <f t="shared" si="88"/>
        <v>PBR</v>
      </c>
      <c r="H2849" t="s">
        <v>2471</v>
      </c>
      <c r="I2849" t="s">
        <v>20</v>
      </c>
      <c r="J2849" t="s">
        <v>77</v>
      </c>
      <c r="K2849" s="6">
        <v>0.03</v>
      </c>
      <c r="L2849" s="7">
        <f t="shared" si="89"/>
        <v>2E-3</v>
      </c>
      <c r="M2849" s="7">
        <v>3.0000000000000001E-3</v>
      </c>
      <c r="N2849">
        <v>17</v>
      </c>
      <c r="O2849" s="8">
        <v>31.674720005909176</v>
      </c>
      <c r="P2849" s="9">
        <v>31.674720005909176</v>
      </c>
      <c r="Q2849" s="9">
        <v>31.674720005909176</v>
      </c>
      <c r="R2849" s="9">
        <v>34.913308289497976</v>
      </c>
      <c r="S2849" s="9">
        <v>38.480048605011753</v>
      </c>
      <c r="T2849" s="9">
        <v>40.939971907336925</v>
      </c>
      <c r="U2849" s="9">
        <v>49.333088414904694</v>
      </c>
      <c r="V2849" s="9">
        <v>49.333088414904694</v>
      </c>
      <c r="W2849" s="9">
        <v>49.333088414904694</v>
      </c>
      <c r="X2849" s="9">
        <v>63.21225398254326</v>
      </c>
      <c r="Y2849" s="9">
        <v>63.21225398254326</v>
      </c>
      <c r="Z2849" s="9">
        <v>73.404961153420544</v>
      </c>
      <c r="AA2849" s="9">
        <v>73.404961153420544</v>
      </c>
      <c r="AB2849" s="9">
        <v>83.820133806833923</v>
      </c>
      <c r="AC2849" s="9">
        <v>83.820133806833923</v>
      </c>
      <c r="AD2849" s="9">
        <v>94.480018491037072</v>
      </c>
      <c r="AE2849" s="9">
        <v>105.40908640910902</v>
      </c>
      <c r="AF2849" s="9">
        <v>116.6342558844366</v>
      </c>
      <c r="AG2849" s="9">
        <v>116.6342558844366</v>
      </c>
      <c r="AH2849" s="9">
        <v>128.18513707274536</v>
      </c>
      <c r="AI2849" s="9">
        <v>140.98660541754566</v>
      </c>
      <c r="AJ2849" s="9">
        <v>3.0428788910505911</v>
      </c>
    </row>
    <row r="2850" spans="1:36" x14ac:dyDescent="0.25">
      <c r="A2850" t="s">
        <v>5411</v>
      </c>
      <c r="B2850" t="s">
        <v>16</v>
      </c>
      <c r="C2850" t="s">
        <v>17</v>
      </c>
      <c r="D2850">
        <v>58515000</v>
      </c>
      <c r="E2850">
        <v>58519999</v>
      </c>
      <c r="F2850" t="s">
        <v>2575</v>
      </c>
      <c r="G2850" t="str">
        <f t="shared" si="88"/>
        <v>PBR</v>
      </c>
      <c r="H2850" t="s">
        <v>2471</v>
      </c>
      <c r="I2850" t="s">
        <v>20</v>
      </c>
      <c r="J2850" t="s">
        <v>77</v>
      </c>
      <c r="K2850" s="6">
        <v>0.03</v>
      </c>
      <c r="L2850" s="7">
        <f t="shared" si="89"/>
        <v>2E-3</v>
      </c>
      <c r="M2850" s="7">
        <v>3.0000000000000001E-3</v>
      </c>
      <c r="N2850">
        <v>17</v>
      </c>
      <c r="O2850" s="8">
        <v>31.674720005909176</v>
      </c>
      <c r="P2850" s="9">
        <v>31.674720005909176</v>
      </c>
      <c r="Q2850" s="9">
        <v>31.674720005909176</v>
      </c>
      <c r="R2850" s="9">
        <v>34.913308289497976</v>
      </c>
      <c r="S2850" s="9">
        <v>38.480048605011753</v>
      </c>
      <c r="T2850" s="9">
        <v>40.939971907336925</v>
      </c>
      <c r="U2850" s="9">
        <v>49.333088414904694</v>
      </c>
      <c r="V2850" s="9">
        <v>49.333088414904694</v>
      </c>
      <c r="W2850" s="9">
        <v>49.333088414904694</v>
      </c>
      <c r="X2850" s="9">
        <v>63.21225398254326</v>
      </c>
      <c r="Y2850" s="9">
        <v>63.21225398254326</v>
      </c>
      <c r="Z2850" s="9">
        <v>73.404961153420544</v>
      </c>
      <c r="AA2850" s="9">
        <v>73.404961153420544</v>
      </c>
      <c r="AB2850" s="9">
        <v>83.820133806833923</v>
      </c>
      <c r="AC2850" s="9">
        <v>83.820133806833923</v>
      </c>
      <c r="AD2850" s="9">
        <v>94.480018491037072</v>
      </c>
      <c r="AE2850" s="9">
        <v>105.40908640910902</v>
      </c>
      <c r="AF2850" s="9">
        <v>116.6342558844366</v>
      </c>
      <c r="AG2850" s="9">
        <v>116.6342558844366</v>
      </c>
      <c r="AH2850" s="9">
        <v>128.18513707274536</v>
      </c>
      <c r="AI2850" s="9">
        <v>140.98660541754566</v>
      </c>
      <c r="AJ2850" s="9">
        <v>3.0428788910505911</v>
      </c>
    </row>
    <row r="2851" spans="1:36" x14ac:dyDescent="0.25">
      <c r="A2851" t="s">
        <v>5411</v>
      </c>
      <c r="B2851" t="s">
        <v>16</v>
      </c>
      <c r="C2851" t="s">
        <v>17</v>
      </c>
      <c r="D2851">
        <v>58520000</v>
      </c>
      <c r="E2851">
        <v>58529999</v>
      </c>
      <c r="F2851" t="s">
        <v>2576</v>
      </c>
      <c r="G2851" t="str">
        <f t="shared" si="88"/>
        <v>PBR</v>
      </c>
      <c r="H2851" t="s">
        <v>2471</v>
      </c>
      <c r="I2851" t="s">
        <v>20</v>
      </c>
      <c r="J2851" t="s">
        <v>77</v>
      </c>
      <c r="K2851" s="6">
        <v>0.03</v>
      </c>
      <c r="L2851" s="7">
        <f t="shared" si="89"/>
        <v>2E-3</v>
      </c>
      <c r="M2851" s="7">
        <v>3.0000000000000001E-3</v>
      </c>
      <c r="N2851">
        <v>17</v>
      </c>
      <c r="O2851" s="8">
        <v>31.674720005909176</v>
      </c>
      <c r="P2851" s="9">
        <v>31.674720005909176</v>
      </c>
      <c r="Q2851" s="9">
        <v>31.674720005909176</v>
      </c>
      <c r="R2851" s="9">
        <v>34.913308289497976</v>
      </c>
      <c r="S2851" s="9">
        <v>38.480048605011753</v>
      </c>
      <c r="T2851" s="9">
        <v>40.939971907336925</v>
      </c>
      <c r="U2851" s="9">
        <v>49.333088414904694</v>
      </c>
      <c r="V2851" s="9">
        <v>49.333088414904694</v>
      </c>
      <c r="W2851" s="9">
        <v>49.333088414904694</v>
      </c>
      <c r="X2851" s="9">
        <v>63.21225398254326</v>
      </c>
      <c r="Y2851" s="9">
        <v>63.21225398254326</v>
      </c>
      <c r="Z2851" s="9">
        <v>73.404961153420544</v>
      </c>
      <c r="AA2851" s="9">
        <v>73.404961153420544</v>
      </c>
      <c r="AB2851" s="9">
        <v>83.820133806833923</v>
      </c>
      <c r="AC2851" s="9">
        <v>83.820133806833923</v>
      </c>
      <c r="AD2851" s="9">
        <v>94.480018491037072</v>
      </c>
      <c r="AE2851" s="9">
        <v>105.40908640910902</v>
      </c>
      <c r="AF2851" s="9">
        <v>116.6342558844366</v>
      </c>
      <c r="AG2851" s="9">
        <v>116.6342558844366</v>
      </c>
      <c r="AH2851" s="9">
        <v>128.18513707274536</v>
      </c>
      <c r="AI2851" s="9">
        <v>140.98660541754566</v>
      </c>
      <c r="AJ2851" s="9">
        <v>3.0428788910505911</v>
      </c>
    </row>
    <row r="2852" spans="1:36" x14ac:dyDescent="0.25">
      <c r="A2852" t="s">
        <v>5411</v>
      </c>
      <c r="B2852" t="s">
        <v>16</v>
      </c>
      <c r="C2852" t="s">
        <v>17</v>
      </c>
      <c r="D2852">
        <v>58530000</v>
      </c>
      <c r="E2852">
        <v>58534999</v>
      </c>
      <c r="F2852" t="s">
        <v>2577</v>
      </c>
      <c r="G2852" t="str">
        <f t="shared" si="88"/>
        <v>PBR</v>
      </c>
      <c r="H2852" t="s">
        <v>2471</v>
      </c>
      <c r="I2852" t="s">
        <v>20</v>
      </c>
      <c r="J2852" t="s">
        <v>77</v>
      </c>
      <c r="K2852" s="6">
        <v>0.03</v>
      </c>
      <c r="L2852" s="7">
        <f t="shared" si="89"/>
        <v>2E-3</v>
      </c>
      <c r="M2852" s="7">
        <v>3.0000000000000001E-3</v>
      </c>
      <c r="N2852">
        <v>17</v>
      </c>
      <c r="O2852" s="8">
        <v>31.674720005909176</v>
      </c>
      <c r="P2852" s="9">
        <v>31.674720005909176</v>
      </c>
      <c r="Q2852" s="9">
        <v>31.674720005909176</v>
      </c>
      <c r="R2852" s="9">
        <v>34.913308289497976</v>
      </c>
      <c r="S2852" s="9">
        <v>38.480048605011753</v>
      </c>
      <c r="T2852" s="9">
        <v>40.939971907336925</v>
      </c>
      <c r="U2852" s="9">
        <v>49.333088414904694</v>
      </c>
      <c r="V2852" s="9">
        <v>49.333088414904694</v>
      </c>
      <c r="W2852" s="9">
        <v>49.333088414904694</v>
      </c>
      <c r="X2852" s="9">
        <v>63.21225398254326</v>
      </c>
      <c r="Y2852" s="9">
        <v>63.21225398254326</v>
      </c>
      <c r="Z2852" s="9">
        <v>73.404961153420544</v>
      </c>
      <c r="AA2852" s="9">
        <v>73.404961153420544</v>
      </c>
      <c r="AB2852" s="9">
        <v>83.820133806833923</v>
      </c>
      <c r="AC2852" s="9">
        <v>83.820133806833923</v>
      </c>
      <c r="AD2852" s="9">
        <v>94.480018491037072</v>
      </c>
      <c r="AE2852" s="9">
        <v>105.40908640910902</v>
      </c>
      <c r="AF2852" s="9">
        <v>116.6342558844366</v>
      </c>
      <c r="AG2852" s="9">
        <v>116.6342558844366</v>
      </c>
      <c r="AH2852" s="9">
        <v>128.18513707274536</v>
      </c>
      <c r="AI2852" s="9">
        <v>140.98660541754566</v>
      </c>
      <c r="AJ2852" s="9">
        <v>3.0428788910505911</v>
      </c>
    </row>
    <row r="2853" spans="1:36" x14ac:dyDescent="0.25">
      <c r="A2853" t="s">
        <v>5411</v>
      </c>
      <c r="B2853" t="s">
        <v>16</v>
      </c>
      <c r="C2853" t="s">
        <v>17</v>
      </c>
      <c r="D2853">
        <v>58535000</v>
      </c>
      <c r="E2853">
        <v>58539999</v>
      </c>
      <c r="F2853" t="s">
        <v>2578</v>
      </c>
      <c r="G2853" t="str">
        <f t="shared" si="88"/>
        <v>PBR</v>
      </c>
      <c r="H2853" t="s">
        <v>2471</v>
      </c>
      <c r="I2853" t="s">
        <v>20</v>
      </c>
      <c r="J2853" t="s">
        <v>77</v>
      </c>
      <c r="K2853" s="6">
        <v>0.03</v>
      </c>
      <c r="L2853" s="7">
        <f t="shared" si="89"/>
        <v>2E-3</v>
      </c>
      <c r="M2853" s="7">
        <v>3.0000000000000001E-3</v>
      </c>
      <c r="N2853">
        <v>17</v>
      </c>
      <c r="O2853" s="8">
        <v>31.674720005909176</v>
      </c>
      <c r="P2853" s="9">
        <v>31.674720005909176</v>
      </c>
      <c r="Q2853" s="9">
        <v>31.674720005909176</v>
      </c>
      <c r="R2853" s="9">
        <v>34.913308289497976</v>
      </c>
      <c r="S2853" s="9">
        <v>38.480048605011753</v>
      </c>
      <c r="T2853" s="9">
        <v>40.939971907336925</v>
      </c>
      <c r="U2853" s="9">
        <v>49.333088414904694</v>
      </c>
      <c r="V2853" s="9">
        <v>49.333088414904694</v>
      </c>
      <c r="W2853" s="9">
        <v>49.333088414904694</v>
      </c>
      <c r="X2853" s="9">
        <v>63.21225398254326</v>
      </c>
      <c r="Y2853" s="9">
        <v>63.21225398254326</v>
      </c>
      <c r="Z2853" s="9">
        <v>73.404961153420544</v>
      </c>
      <c r="AA2853" s="9">
        <v>73.404961153420544</v>
      </c>
      <c r="AB2853" s="9">
        <v>83.820133806833923</v>
      </c>
      <c r="AC2853" s="9">
        <v>83.820133806833923</v>
      </c>
      <c r="AD2853" s="9">
        <v>94.480018491037072</v>
      </c>
      <c r="AE2853" s="9">
        <v>105.40908640910902</v>
      </c>
      <c r="AF2853" s="9">
        <v>116.6342558844366</v>
      </c>
      <c r="AG2853" s="9">
        <v>116.6342558844366</v>
      </c>
      <c r="AH2853" s="9">
        <v>128.18513707274536</v>
      </c>
      <c r="AI2853" s="9">
        <v>140.98660541754566</v>
      </c>
      <c r="AJ2853" s="9">
        <v>3.0428788910505911</v>
      </c>
    </row>
    <row r="2854" spans="1:36" x14ac:dyDescent="0.25">
      <c r="A2854" t="s">
        <v>5411</v>
      </c>
      <c r="B2854" t="s">
        <v>16</v>
      </c>
      <c r="C2854" t="s">
        <v>17</v>
      </c>
      <c r="D2854">
        <v>58540000</v>
      </c>
      <c r="E2854">
        <v>58547999</v>
      </c>
      <c r="F2854" t="s">
        <v>2579</v>
      </c>
      <c r="G2854" t="str">
        <f t="shared" si="88"/>
        <v>PBR</v>
      </c>
      <c r="H2854" t="s">
        <v>2471</v>
      </c>
      <c r="I2854" t="s">
        <v>20</v>
      </c>
      <c r="J2854" t="s">
        <v>77</v>
      </c>
      <c r="K2854" s="6">
        <v>0.03</v>
      </c>
      <c r="L2854" s="7">
        <f t="shared" si="89"/>
        <v>2E-3</v>
      </c>
      <c r="M2854" s="7">
        <v>3.0000000000000001E-3</v>
      </c>
      <c r="N2854">
        <v>17</v>
      </c>
      <c r="O2854" s="8">
        <v>31.674720005909176</v>
      </c>
      <c r="P2854" s="9">
        <v>31.674720005909176</v>
      </c>
      <c r="Q2854" s="9">
        <v>31.674720005909176</v>
      </c>
      <c r="R2854" s="9">
        <v>34.913308289497976</v>
      </c>
      <c r="S2854" s="9">
        <v>38.480048605011753</v>
      </c>
      <c r="T2854" s="9">
        <v>40.939971907336925</v>
      </c>
      <c r="U2854" s="9">
        <v>49.333088414904694</v>
      </c>
      <c r="V2854" s="9">
        <v>49.333088414904694</v>
      </c>
      <c r="W2854" s="9">
        <v>49.333088414904694</v>
      </c>
      <c r="X2854" s="9">
        <v>63.21225398254326</v>
      </c>
      <c r="Y2854" s="9">
        <v>63.21225398254326</v>
      </c>
      <c r="Z2854" s="9">
        <v>73.404961153420544</v>
      </c>
      <c r="AA2854" s="9">
        <v>73.404961153420544</v>
      </c>
      <c r="AB2854" s="9">
        <v>83.820133806833923</v>
      </c>
      <c r="AC2854" s="9">
        <v>83.820133806833923</v>
      </c>
      <c r="AD2854" s="9">
        <v>94.480018491037072</v>
      </c>
      <c r="AE2854" s="9">
        <v>105.40908640910902</v>
      </c>
      <c r="AF2854" s="9">
        <v>116.6342558844366</v>
      </c>
      <c r="AG2854" s="9">
        <v>116.6342558844366</v>
      </c>
      <c r="AH2854" s="9">
        <v>128.18513707274536</v>
      </c>
      <c r="AI2854" s="9">
        <v>140.98660541754566</v>
      </c>
      <c r="AJ2854" s="9">
        <v>3.0428788910505911</v>
      </c>
    </row>
    <row r="2855" spans="1:36" x14ac:dyDescent="0.25">
      <c r="A2855" t="s">
        <v>5411</v>
      </c>
      <c r="B2855" t="s">
        <v>16</v>
      </c>
      <c r="C2855" t="s">
        <v>17</v>
      </c>
      <c r="D2855">
        <v>58548000</v>
      </c>
      <c r="E2855">
        <v>58549999</v>
      </c>
      <c r="F2855" t="s">
        <v>210</v>
      </c>
      <c r="G2855" t="str">
        <f t="shared" si="88"/>
        <v>PBR</v>
      </c>
      <c r="H2855" t="s">
        <v>2471</v>
      </c>
      <c r="I2855" t="s">
        <v>20</v>
      </c>
      <c r="J2855" t="s">
        <v>77</v>
      </c>
      <c r="K2855" s="6">
        <v>0.03</v>
      </c>
      <c r="L2855" s="7">
        <f t="shared" si="89"/>
        <v>2E-3</v>
      </c>
      <c r="M2855" s="7">
        <v>3.0000000000000001E-3</v>
      </c>
      <c r="N2855">
        <v>17</v>
      </c>
      <c r="O2855" s="8">
        <v>31.674720005909176</v>
      </c>
      <c r="P2855" s="9">
        <v>31.674720005909176</v>
      </c>
      <c r="Q2855" s="9">
        <v>31.674720005909176</v>
      </c>
      <c r="R2855" s="9">
        <v>34.913308289497976</v>
      </c>
      <c r="S2855" s="9">
        <v>38.480048605011753</v>
      </c>
      <c r="T2855" s="9">
        <v>40.939971907336925</v>
      </c>
      <c r="U2855" s="9">
        <v>49.333088414904694</v>
      </c>
      <c r="V2855" s="9">
        <v>49.333088414904694</v>
      </c>
      <c r="W2855" s="9">
        <v>49.333088414904694</v>
      </c>
      <c r="X2855" s="9">
        <v>63.21225398254326</v>
      </c>
      <c r="Y2855" s="9">
        <v>63.21225398254326</v>
      </c>
      <c r="Z2855" s="9">
        <v>73.404961153420544</v>
      </c>
      <c r="AA2855" s="9">
        <v>73.404961153420544</v>
      </c>
      <c r="AB2855" s="9">
        <v>83.820133806833923</v>
      </c>
      <c r="AC2855" s="9">
        <v>83.820133806833923</v>
      </c>
      <c r="AD2855" s="9">
        <v>94.480018491037072</v>
      </c>
      <c r="AE2855" s="9">
        <v>105.40908640910902</v>
      </c>
      <c r="AF2855" s="9">
        <v>116.6342558844366</v>
      </c>
      <c r="AG2855" s="9">
        <v>116.6342558844366</v>
      </c>
      <c r="AH2855" s="9">
        <v>128.18513707274536</v>
      </c>
      <c r="AI2855" s="9">
        <v>140.98660541754566</v>
      </c>
      <c r="AJ2855" s="9">
        <v>3.0428788910505911</v>
      </c>
    </row>
    <row r="2856" spans="1:36" x14ac:dyDescent="0.25">
      <c r="A2856" t="s">
        <v>5411</v>
      </c>
      <c r="B2856" t="s">
        <v>16</v>
      </c>
      <c r="C2856" t="s">
        <v>17</v>
      </c>
      <c r="D2856">
        <v>58550000</v>
      </c>
      <c r="E2856">
        <v>58559999</v>
      </c>
      <c r="F2856" t="s">
        <v>1408</v>
      </c>
      <c r="G2856" t="str">
        <f t="shared" si="88"/>
        <v>PBR</v>
      </c>
      <c r="H2856" t="s">
        <v>2471</v>
      </c>
      <c r="I2856" t="s">
        <v>20</v>
      </c>
      <c r="J2856" t="s">
        <v>77</v>
      </c>
      <c r="K2856" s="6">
        <v>0.03</v>
      </c>
      <c r="L2856" s="7">
        <f t="shared" si="89"/>
        <v>2E-3</v>
      </c>
      <c r="M2856" s="7">
        <v>3.0000000000000001E-3</v>
      </c>
      <c r="N2856">
        <v>17</v>
      </c>
      <c r="O2856" s="8">
        <v>31.674720005909176</v>
      </c>
      <c r="P2856" s="9">
        <v>31.674720005909176</v>
      </c>
      <c r="Q2856" s="9">
        <v>31.674720005909176</v>
      </c>
      <c r="R2856" s="9">
        <v>34.913308289497976</v>
      </c>
      <c r="S2856" s="9">
        <v>38.480048605011753</v>
      </c>
      <c r="T2856" s="9">
        <v>40.939971907336925</v>
      </c>
      <c r="U2856" s="9">
        <v>49.333088414904694</v>
      </c>
      <c r="V2856" s="9">
        <v>49.333088414904694</v>
      </c>
      <c r="W2856" s="9">
        <v>49.333088414904694</v>
      </c>
      <c r="X2856" s="9">
        <v>63.21225398254326</v>
      </c>
      <c r="Y2856" s="9">
        <v>63.21225398254326</v>
      </c>
      <c r="Z2856" s="9">
        <v>73.404961153420544</v>
      </c>
      <c r="AA2856" s="9">
        <v>73.404961153420544</v>
      </c>
      <c r="AB2856" s="9">
        <v>83.820133806833923</v>
      </c>
      <c r="AC2856" s="9">
        <v>83.820133806833923</v>
      </c>
      <c r="AD2856" s="9">
        <v>94.480018491037072</v>
      </c>
      <c r="AE2856" s="9">
        <v>105.40908640910902</v>
      </c>
      <c r="AF2856" s="9">
        <v>116.6342558844366</v>
      </c>
      <c r="AG2856" s="9">
        <v>116.6342558844366</v>
      </c>
      <c r="AH2856" s="9">
        <v>128.18513707274536</v>
      </c>
      <c r="AI2856" s="9">
        <v>140.98660541754566</v>
      </c>
      <c r="AJ2856" s="9">
        <v>3.0428788910505911</v>
      </c>
    </row>
    <row r="2857" spans="1:36" x14ac:dyDescent="0.25">
      <c r="A2857" t="s">
        <v>5411</v>
      </c>
      <c r="B2857" t="s">
        <v>16</v>
      </c>
      <c r="C2857" t="s">
        <v>17</v>
      </c>
      <c r="D2857">
        <v>58560000</v>
      </c>
      <c r="E2857">
        <v>58569999</v>
      </c>
      <c r="F2857" t="s">
        <v>2580</v>
      </c>
      <c r="G2857" t="str">
        <f t="shared" si="88"/>
        <v>PBR</v>
      </c>
      <c r="H2857" t="s">
        <v>2471</v>
      </c>
      <c r="I2857" t="s">
        <v>20</v>
      </c>
      <c r="J2857" t="s">
        <v>77</v>
      </c>
      <c r="K2857" s="6">
        <v>0.03</v>
      </c>
      <c r="L2857" s="7">
        <f t="shared" si="89"/>
        <v>2E-3</v>
      </c>
      <c r="M2857" s="7">
        <v>3.0000000000000001E-3</v>
      </c>
      <c r="N2857">
        <v>17</v>
      </c>
      <c r="O2857" s="8">
        <v>31.674720005909176</v>
      </c>
      <c r="P2857" s="9">
        <v>31.674720005909176</v>
      </c>
      <c r="Q2857" s="9">
        <v>31.674720005909176</v>
      </c>
      <c r="R2857" s="9">
        <v>34.913308289497976</v>
      </c>
      <c r="S2857" s="9">
        <v>38.480048605011753</v>
      </c>
      <c r="T2857" s="9">
        <v>40.939971907336925</v>
      </c>
      <c r="U2857" s="9">
        <v>49.333088414904694</v>
      </c>
      <c r="V2857" s="9">
        <v>49.333088414904694</v>
      </c>
      <c r="W2857" s="9">
        <v>49.333088414904694</v>
      </c>
      <c r="X2857" s="9">
        <v>63.21225398254326</v>
      </c>
      <c r="Y2857" s="9">
        <v>63.21225398254326</v>
      </c>
      <c r="Z2857" s="9">
        <v>73.404961153420544</v>
      </c>
      <c r="AA2857" s="9">
        <v>73.404961153420544</v>
      </c>
      <c r="AB2857" s="9">
        <v>83.820133806833923</v>
      </c>
      <c r="AC2857" s="9">
        <v>83.820133806833923</v>
      </c>
      <c r="AD2857" s="9">
        <v>94.480018491037072</v>
      </c>
      <c r="AE2857" s="9">
        <v>105.40908640910902</v>
      </c>
      <c r="AF2857" s="9">
        <v>116.6342558844366</v>
      </c>
      <c r="AG2857" s="9">
        <v>116.6342558844366</v>
      </c>
      <c r="AH2857" s="9">
        <v>128.18513707274536</v>
      </c>
      <c r="AI2857" s="9">
        <v>140.98660541754566</v>
      </c>
      <c r="AJ2857" s="9">
        <v>3.0428788910505911</v>
      </c>
    </row>
    <row r="2858" spans="1:36" x14ac:dyDescent="0.25">
      <c r="A2858" t="s">
        <v>5411</v>
      </c>
      <c r="B2858" t="s">
        <v>16</v>
      </c>
      <c r="C2858" t="s">
        <v>17</v>
      </c>
      <c r="D2858">
        <v>58570000</v>
      </c>
      <c r="E2858">
        <v>58574999</v>
      </c>
      <c r="F2858" t="s">
        <v>2581</v>
      </c>
      <c r="G2858" t="str">
        <f t="shared" si="88"/>
        <v>PBR</v>
      </c>
      <c r="H2858" t="s">
        <v>2471</v>
      </c>
      <c r="I2858" t="s">
        <v>20</v>
      </c>
      <c r="J2858" t="s">
        <v>77</v>
      </c>
      <c r="K2858" s="6">
        <v>0.03</v>
      </c>
      <c r="L2858" s="7">
        <f t="shared" si="89"/>
        <v>2E-3</v>
      </c>
      <c r="M2858" s="7">
        <v>3.0000000000000001E-3</v>
      </c>
      <c r="N2858">
        <v>17</v>
      </c>
      <c r="O2858" s="8">
        <v>31.674720005909176</v>
      </c>
      <c r="P2858" s="9">
        <v>31.674720005909176</v>
      </c>
      <c r="Q2858" s="9">
        <v>31.674720005909176</v>
      </c>
      <c r="R2858" s="9">
        <v>34.913308289497976</v>
      </c>
      <c r="S2858" s="9">
        <v>38.480048605011753</v>
      </c>
      <c r="T2858" s="9">
        <v>40.939971907336925</v>
      </c>
      <c r="U2858" s="9">
        <v>49.333088414904694</v>
      </c>
      <c r="V2858" s="9">
        <v>49.333088414904694</v>
      </c>
      <c r="W2858" s="9">
        <v>49.333088414904694</v>
      </c>
      <c r="X2858" s="9">
        <v>63.21225398254326</v>
      </c>
      <c r="Y2858" s="9">
        <v>63.21225398254326</v>
      </c>
      <c r="Z2858" s="9">
        <v>73.404961153420544</v>
      </c>
      <c r="AA2858" s="9">
        <v>73.404961153420544</v>
      </c>
      <c r="AB2858" s="9">
        <v>83.820133806833923</v>
      </c>
      <c r="AC2858" s="9">
        <v>83.820133806833923</v>
      </c>
      <c r="AD2858" s="9">
        <v>94.480018491037072</v>
      </c>
      <c r="AE2858" s="9">
        <v>105.40908640910902</v>
      </c>
      <c r="AF2858" s="9">
        <v>116.6342558844366</v>
      </c>
      <c r="AG2858" s="9">
        <v>116.6342558844366</v>
      </c>
      <c r="AH2858" s="9">
        <v>128.18513707274536</v>
      </c>
      <c r="AI2858" s="9">
        <v>140.98660541754566</v>
      </c>
      <c r="AJ2858" s="9">
        <v>3.0428788910505911</v>
      </c>
    </row>
    <row r="2859" spans="1:36" x14ac:dyDescent="0.25">
      <c r="A2859" t="s">
        <v>5411</v>
      </c>
      <c r="B2859" t="s">
        <v>16</v>
      </c>
      <c r="C2859" t="s">
        <v>17</v>
      </c>
      <c r="D2859">
        <v>58575000</v>
      </c>
      <c r="E2859">
        <v>58579999</v>
      </c>
      <c r="F2859" t="s">
        <v>2582</v>
      </c>
      <c r="G2859" t="str">
        <f t="shared" si="88"/>
        <v>PBR</v>
      </c>
      <c r="H2859" t="s">
        <v>2471</v>
      </c>
      <c r="I2859" t="s">
        <v>20</v>
      </c>
      <c r="J2859" t="s">
        <v>77</v>
      </c>
      <c r="K2859" s="6">
        <v>0.03</v>
      </c>
      <c r="L2859" s="7">
        <f t="shared" si="89"/>
        <v>2E-3</v>
      </c>
      <c r="M2859" s="7">
        <v>3.0000000000000001E-3</v>
      </c>
      <c r="N2859">
        <v>17</v>
      </c>
      <c r="O2859" s="8">
        <v>31.674720005909176</v>
      </c>
      <c r="P2859" s="9">
        <v>31.674720005909176</v>
      </c>
      <c r="Q2859" s="9">
        <v>31.674720005909176</v>
      </c>
      <c r="R2859" s="9">
        <v>34.913308289497976</v>
      </c>
      <c r="S2859" s="9">
        <v>38.480048605011753</v>
      </c>
      <c r="T2859" s="9">
        <v>40.939971907336925</v>
      </c>
      <c r="U2859" s="9">
        <v>49.333088414904694</v>
      </c>
      <c r="V2859" s="9">
        <v>49.333088414904694</v>
      </c>
      <c r="W2859" s="9">
        <v>49.333088414904694</v>
      </c>
      <c r="X2859" s="9">
        <v>63.21225398254326</v>
      </c>
      <c r="Y2859" s="9">
        <v>63.21225398254326</v>
      </c>
      <c r="Z2859" s="9">
        <v>73.404961153420544</v>
      </c>
      <c r="AA2859" s="9">
        <v>73.404961153420544</v>
      </c>
      <c r="AB2859" s="9">
        <v>83.820133806833923</v>
      </c>
      <c r="AC2859" s="9">
        <v>83.820133806833923</v>
      </c>
      <c r="AD2859" s="9">
        <v>94.480018491037072</v>
      </c>
      <c r="AE2859" s="9">
        <v>105.40908640910902</v>
      </c>
      <c r="AF2859" s="9">
        <v>116.6342558844366</v>
      </c>
      <c r="AG2859" s="9">
        <v>116.6342558844366</v>
      </c>
      <c r="AH2859" s="9">
        <v>128.18513707274536</v>
      </c>
      <c r="AI2859" s="9">
        <v>140.98660541754566</v>
      </c>
      <c r="AJ2859" s="9">
        <v>3.0428788910505911</v>
      </c>
    </row>
    <row r="2860" spans="1:36" x14ac:dyDescent="0.25">
      <c r="A2860" t="s">
        <v>5411</v>
      </c>
      <c r="B2860" t="s">
        <v>16</v>
      </c>
      <c r="C2860" t="s">
        <v>17</v>
      </c>
      <c r="D2860">
        <v>58580000</v>
      </c>
      <c r="E2860">
        <v>58587999</v>
      </c>
      <c r="F2860" t="s">
        <v>2583</v>
      </c>
      <c r="G2860" t="str">
        <f t="shared" si="88"/>
        <v>PBR</v>
      </c>
      <c r="H2860" t="s">
        <v>2471</v>
      </c>
      <c r="I2860" t="s">
        <v>20</v>
      </c>
      <c r="J2860" t="s">
        <v>77</v>
      </c>
      <c r="K2860" s="6">
        <v>0.03</v>
      </c>
      <c r="L2860" s="7">
        <f t="shared" si="89"/>
        <v>2E-3</v>
      </c>
      <c r="M2860" s="7">
        <v>3.0000000000000001E-3</v>
      </c>
      <c r="N2860">
        <v>17</v>
      </c>
      <c r="O2860" s="8">
        <v>31.674720005909176</v>
      </c>
      <c r="P2860" s="9">
        <v>31.674720005909176</v>
      </c>
      <c r="Q2860" s="9">
        <v>31.674720005909176</v>
      </c>
      <c r="R2860" s="9">
        <v>34.913308289497976</v>
      </c>
      <c r="S2860" s="9">
        <v>38.480048605011753</v>
      </c>
      <c r="T2860" s="9">
        <v>40.939971907336925</v>
      </c>
      <c r="U2860" s="9">
        <v>49.333088414904694</v>
      </c>
      <c r="V2860" s="9">
        <v>49.333088414904694</v>
      </c>
      <c r="W2860" s="9">
        <v>49.333088414904694</v>
      </c>
      <c r="X2860" s="9">
        <v>63.21225398254326</v>
      </c>
      <c r="Y2860" s="9">
        <v>63.21225398254326</v>
      </c>
      <c r="Z2860" s="9">
        <v>73.404961153420544</v>
      </c>
      <c r="AA2860" s="9">
        <v>73.404961153420544</v>
      </c>
      <c r="AB2860" s="9">
        <v>83.820133806833923</v>
      </c>
      <c r="AC2860" s="9">
        <v>83.820133806833923</v>
      </c>
      <c r="AD2860" s="9">
        <v>94.480018491037072</v>
      </c>
      <c r="AE2860" s="9">
        <v>105.40908640910902</v>
      </c>
      <c r="AF2860" s="9">
        <v>116.6342558844366</v>
      </c>
      <c r="AG2860" s="9">
        <v>116.6342558844366</v>
      </c>
      <c r="AH2860" s="9">
        <v>128.18513707274536</v>
      </c>
      <c r="AI2860" s="9">
        <v>140.98660541754566</v>
      </c>
      <c r="AJ2860" s="9">
        <v>3.0428788910505911</v>
      </c>
    </row>
    <row r="2861" spans="1:36" x14ac:dyDescent="0.25">
      <c r="A2861" t="s">
        <v>5411</v>
      </c>
      <c r="B2861" t="s">
        <v>16</v>
      </c>
      <c r="C2861" t="s">
        <v>17</v>
      </c>
      <c r="D2861">
        <v>58588000</v>
      </c>
      <c r="E2861">
        <v>58589999</v>
      </c>
      <c r="F2861" t="s">
        <v>2584</v>
      </c>
      <c r="G2861" t="str">
        <f t="shared" si="88"/>
        <v>PBR</v>
      </c>
      <c r="H2861" t="s">
        <v>2471</v>
      </c>
      <c r="I2861" t="s">
        <v>20</v>
      </c>
      <c r="J2861" t="s">
        <v>77</v>
      </c>
      <c r="K2861" s="6">
        <v>0.03</v>
      </c>
      <c r="L2861" s="7">
        <f t="shared" si="89"/>
        <v>2E-3</v>
      </c>
      <c r="M2861" s="7">
        <v>3.0000000000000001E-3</v>
      </c>
      <c r="N2861">
        <v>17</v>
      </c>
      <c r="O2861" s="8">
        <v>31.674720005909176</v>
      </c>
      <c r="P2861" s="9">
        <v>31.674720005909176</v>
      </c>
      <c r="Q2861" s="9">
        <v>31.674720005909176</v>
      </c>
      <c r="R2861" s="9">
        <v>34.913308289497976</v>
      </c>
      <c r="S2861" s="9">
        <v>38.480048605011753</v>
      </c>
      <c r="T2861" s="9">
        <v>40.939971907336925</v>
      </c>
      <c r="U2861" s="9">
        <v>49.333088414904694</v>
      </c>
      <c r="V2861" s="9">
        <v>49.333088414904694</v>
      </c>
      <c r="W2861" s="9">
        <v>49.333088414904694</v>
      </c>
      <c r="X2861" s="9">
        <v>63.21225398254326</v>
      </c>
      <c r="Y2861" s="9">
        <v>63.21225398254326</v>
      </c>
      <c r="Z2861" s="9">
        <v>73.404961153420544</v>
      </c>
      <c r="AA2861" s="9">
        <v>73.404961153420544</v>
      </c>
      <c r="AB2861" s="9">
        <v>83.820133806833923</v>
      </c>
      <c r="AC2861" s="9">
        <v>83.820133806833923</v>
      </c>
      <c r="AD2861" s="9">
        <v>94.480018491037072</v>
      </c>
      <c r="AE2861" s="9">
        <v>105.40908640910902</v>
      </c>
      <c r="AF2861" s="9">
        <v>116.6342558844366</v>
      </c>
      <c r="AG2861" s="9">
        <v>116.6342558844366</v>
      </c>
      <c r="AH2861" s="9">
        <v>128.18513707274536</v>
      </c>
      <c r="AI2861" s="9">
        <v>140.98660541754566</v>
      </c>
      <c r="AJ2861" s="9">
        <v>3.0428788910505911</v>
      </c>
    </row>
    <row r="2862" spans="1:36" x14ac:dyDescent="0.25">
      <c r="A2862" t="s">
        <v>5411</v>
      </c>
      <c r="B2862" t="s">
        <v>16</v>
      </c>
      <c r="C2862" t="s">
        <v>17</v>
      </c>
      <c r="D2862">
        <v>58590000</v>
      </c>
      <c r="E2862">
        <v>58594999</v>
      </c>
      <c r="F2862" t="s">
        <v>2585</v>
      </c>
      <c r="G2862" t="str">
        <f t="shared" si="88"/>
        <v>PBR</v>
      </c>
      <c r="H2862" t="s">
        <v>2471</v>
      </c>
      <c r="I2862" t="s">
        <v>20</v>
      </c>
      <c r="J2862" t="s">
        <v>77</v>
      </c>
      <c r="K2862" s="6">
        <v>0.03</v>
      </c>
      <c r="L2862" s="7">
        <f t="shared" si="89"/>
        <v>2E-3</v>
      </c>
      <c r="M2862" s="7">
        <v>3.0000000000000001E-3</v>
      </c>
      <c r="N2862">
        <v>17</v>
      </c>
      <c r="O2862" s="8">
        <v>31.674720005909176</v>
      </c>
      <c r="P2862" s="9">
        <v>31.674720005909176</v>
      </c>
      <c r="Q2862" s="9">
        <v>31.674720005909176</v>
      </c>
      <c r="R2862" s="9">
        <v>34.913308289497976</v>
      </c>
      <c r="S2862" s="9">
        <v>38.480048605011753</v>
      </c>
      <c r="T2862" s="9">
        <v>40.939971907336925</v>
      </c>
      <c r="U2862" s="9">
        <v>49.333088414904694</v>
      </c>
      <c r="V2862" s="9">
        <v>49.333088414904694</v>
      </c>
      <c r="W2862" s="9">
        <v>49.333088414904694</v>
      </c>
      <c r="X2862" s="9">
        <v>63.21225398254326</v>
      </c>
      <c r="Y2862" s="9">
        <v>63.21225398254326</v>
      </c>
      <c r="Z2862" s="9">
        <v>73.404961153420544</v>
      </c>
      <c r="AA2862" s="9">
        <v>73.404961153420544</v>
      </c>
      <c r="AB2862" s="9">
        <v>83.820133806833923</v>
      </c>
      <c r="AC2862" s="9">
        <v>83.820133806833923</v>
      </c>
      <c r="AD2862" s="9">
        <v>94.480018491037072</v>
      </c>
      <c r="AE2862" s="9">
        <v>105.40908640910902</v>
      </c>
      <c r="AF2862" s="9">
        <v>116.6342558844366</v>
      </c>
      <c r="AG2862" s="9">
        <v>116.6342558844366</v>
      </c>
      <c r="AH2862" s="9">
        <v>128.18513707274536</v>
      </c>
      <c r="AI2862" s="9">
        <v>140.98660541754566</v>
      </c>
      <c r="AJ2862" s="9">
        <v>3.0428788910505911</v>
      </c>
    </row>
    <row r="2863" spans="1:36" x14ac:dyDescent="0.25">
      <c r="A2863" t="s">
        <v>5411</v>
      </c>
      <c r="B2863" t="s">
        <v>16</v>
      </c>
      <c r="C2863" t="s">
        <v>17</v>
      </c>
      <c r="D2863">
        <v>58595000</v>
      </c>
      <c r="E2863">
        <v>58599999</v>
      </c>
      <c r="F2863" t="s">
        <v>2586</v>
      </c>
      <c r="G2863" t="str">
        <f t="shared" si="88"/>
        <v>PBR</v>
      </c>
      <c r="H2863" t="s">
        <v>2471</v>
      </c>
      <c r="I2863" t="s">
        <v>20</v>
      </c>
      <c r="J2863" t="s">
        <v>77</v>
      </c>
      <c r="K2863" s="6">
        <v>0.03</v>
      </c>
      <c r="L2863" s="7">
        <f t="shared" si="89"/>
        <v>2E-3</v>
      </c>
      <c r="M2863" s="7">
        <v>3.0000000000000001E-3</v>
      </c>
      <c r="N2863">
        <v>17</v>
      </c>
      <c r="O2863" s="8">
        <v>31.674720005909176</v>
      </c>
      <c r="P2863" s="9">
        <v>31.674720005909176</v>
      </c>
      <c r="Q2863" s="9">
        <v>31.674720005909176</v>
      </c>
      <c r="R2863" s="9">
        <v>34.913308289497976</v>
      </c>
      <c r="S2863" s="9">
        <v>38.480048605011753</v>
      </c>
      <c r="T2863" s="9">
        <v>40.939971907336925</v>
      </c>
      <c r="U2863" s="9">
        <v>49.333088414904694</v>
      </c>
      <c r="V2863" s="9">
        <v>49.333088414904694</v>
      </c>
      <c r="W2863" s="9">
        <v>49.333088414904694</v>
      </c>
      <c r="X2863" s="9">
        <v>63.21225398254326</v>
      </c>
      <c r="Y2863" s="9">
        <v>63.21225398254326</v>
      </c>
      <c r="Z2863" s="9">
        <v>73.404961153420544</v>
      </c>
      <c r="AA2863" s="9">
        <v>73.404961153420544</v>
      </c>
      <c r="AB2863" s="9">
        <v>83.820133806833923</v>
      </c>
      <c r="AC2863" s="9">
        <v>83.820133806833923</v>
      </c>
      <c r="AD2863" s="9">
        <v>94.480018491037072</v>
      </c>
      <c r="AE2863" s="9">
        <v>105.40908640910902</v>
      </c>
      <c r="AF2863" s="9">
        <v>116.6342558844366</v>
      </c>
      <c r="AG2863" s="9">
        <v>116.6342558844366</v>
      </c>
      <c r="AH2863" s="9">
        <v>128.18513707274536</v>
      </c>
      <c r="AI2863" s="9">
        <v>140.98660541754566</v>
      </c>
      <c r="AJ2863" s="9">
        <v>3.0428788910505911</v>
      </c>
    </row>
    <row r="2864" spans="1:36" x14ac:dyDescent="0.25">
      <c r="A2864" t="s">
        <v>5411</v>
      </c>
      <c r="B2864" t="s">
        <v>16</v>
      </c>
      <c r="C2864" t="s">
        <v>17</v>
      </c>
      <c r="D2864">
        <v>58600000</v>
      </c>
      <c r="E2864">
        <v>58609999</v>
      </c>
      <c r="F2864" t="s">
        <v>1907</v>
      </c>
      <c r="G2864" t="str">
        <f t="shared" si="88"/>
        <v>PBI II</v>
      </c>
      <c r="H2864" t="s">
        <v>2471</v>
      </c>
      <c r="I2864" t="s">
        <v>20</v>
      </c>
      <c r="J2864" t="s">
        <v>64</v>
      </c>
      <c r="K2864" s="6">
        <v>0.03</v>
      </c>
      <c r="L2864" s="7">
        <f t="shared" si="89"/>
        <v>2E-3</v>
      </c>
      <c r="M2864" s="7">
        <v>3.0000000000000001E-3</v>
      </c>
      <c r="N2864">
        <v>12</v>
      </c>
      <c r="O2864" s="8">
        <v>25.469420399191385</v>
      </c>
      <c r="P2864" s="9">
        <v>25.469420399191385</v>
      </c>
      <c r="Q2864" s="9">
        <v>25.469420399191385</v>
      </c>
      <c r="R2864" s="9">
        <v>27.985354957700171</v>
      </c>
      <c r="S2864" s="9">
        <v>30.758461120802014</v>
      </c>
      <c r="T2864" s="9">
        <v>33.102903982805351</v>
      </c>
      <c r="U2864" s="9">
        <v>40.375170889228379</v>
      </c>
      <c r="V2864" s="9">
        <v>40.375170889228379</v>
      </c>
      <c r="W2864" s="9">
        <v>40.375170889228379</v>
      </c>
      <c r="X2864" s="9">
        <v>48.614146284608282</v>
      </c>
      <c r="Y2864" s="9">
        <v>48.614146284608282</v>
      </c>
      <c r="Z2864" s="9">
        <v>56.959894508429748</v>
      </c>
      <c r="AA2864" s="9">
        <v>56.959894508429748</v>
      </c>
      <c r="AB2864" s="9">
        <v>65.423092843536963</v>
      </c>
      <c r="AC2864" s="9">
        <v>65.423092843536963</v>
      </c>
      <c r="AD2864" s="9">
        <v>76.101886260449433</v>
      </c>
      <c r="AE2864" s="9">
        <v>84.004204331617984</v>
      </c>
      <c r="AF2864" s="9">
        <v>92.047281772276918</v>
      </c>
      <c r="AG2864" s="9">
        <v>92.047281772276918</v>
      </c>
      <c r="AH2864" s="9">
        <v>101.16093014574129</v>
      </c>
      <c r="AI2864" s="9">
        <v>110.08433596377185</v>
      </c>
      <c r="AJ2864" s="9">
        <v>3.0428788910505911</v>
      </c>
    </row>
    <row r="2865" spans="1:36" x14ac:dyDescent="0.25">
      <c r="A2865" t="s">
        <v>5411</v>
      </c>
      <c r="B2865" t="s">
        <v>16</v>
      </c>
      <c r="C2865" t="s">
        <v>17</v>
      </c>
      <c r="D2865">
        <v>58610000</v>
      </c>
      <c r="E2865">
        <v>58619999</v>
      </c>
      <c r="F2865" t="s">
        <v>2587</v>
      </c>
      <c r="G2865" t="str">
        <f t="shared" si="88"/>
        <v>PBR</v>
      </c>
      <c r="H2865" t="s">
        <v>2471</v>
      </c>
      <c r="I2865" t="s">
        <v>20</v>
      </c>
      <c r="J2865" t="s">
        <v>77</v>
      </c>
      <c r="K2865" s="6">
        <v>0.03</v>
      </c>
      <c r="L2865" s="7">
        <f t="shared" si="89"/>
        <v>2E-3</v>
      </c>
      <c r="M2865" s="7">
        <v>3.0000000000000001E-3</v>
      </c>
      <c r="N2865">
        <v>17</v>
      </c>
      <c r="O2865" s="8">
        <v>31.674720005909176</v>
      </c>
      <c r="P2865" s="9">
        <v>31.674720005909176</v>
      </c>
      <c r="Q2865" s="9">
        <v>31.674720005909176</v>
      </c>
      <c r="R2865" s="9">
        <v>34.913308289497976</v>
      </c>
      <c r="S2865" s="9">
        <v>38.480048605011753</v>
      </c>
      <c r="T2865" s="9">
        <v>40.939971907336925</v>
      </c>
      <c r="U2865" s="9">
        <v>49.333088414904694</v>
      </c>
      <c r="V2865" s="9">
        <v>49.333088414904694</v>
      </c>
      <c r="W2865" s="9">
        <v>49.333088414904694</v>
      </c>
      <c r="X2865" s="9">
        <v>63.21225398254326</v>
      </c>
      <c r="Y2865" s="9">
        <v>63.21225398254326</v>
      </c>
      <c r="Z2865" s="9">
        <v>73.404961153420544</v>
      </c>
      <c r="AA2865" s="9">
        <v>73.404961153420544</v>
      </c>
      <c r="AB2865" s="9">
        <v>83.820133806833923</v>
      </c>
      <c r="AC2865" s="9">
        <v>83.820133806833923</v>
      </c>
      <c r="AD2865" s="9">
        <v>94.480018491037072</v>
      </c>
      <c r="AE2865" s="9">
        <v>105.40908640910902</v>
      </c>
      <c r="AF2865" s="9">
        <v>116.6342558844366</v>
      </c>
      <c r="AG2865" s="9">
        <v>116.6342558844366</v>
      </c>
      <c r="AH2865" s="9">
        <v>128.18513707274536</v>
      </c>
      <c r="AI2865" s="9">
        <v>140.98660541754566</v>
      </c>
      <c r="AJ2865" s="9">
        <v>3.0428788910505911</v>
      </c>
    </row>
    <row r="2866" spans="1:36" x14ac:dyDescent="0.25">
      <c r="A2866" t="s">
        <v>5411</v>
      </c>
      <c r="B2866" t="s">
        <v>16</v>
      </c>
      <c r="C2866" t="s">
        <v>17</v>
      </c>
      <c r="D2866">
        <v>58620000</v>
      </c>
      <c r="E2866">
        <v>58624999</v>
      </c>
      <c r="F2866" t="s">
        <v>2588</v>
      </c>
      <c r="G2866" t="str">
        <f t="shared" si="88"/>
        <v>PBR</v>
      </c>
      <c r="H2866" t="s">
        <v>2471</v>
      </c>
      <c r="I2866" t="s">
        <v>20</v>
      </c>
      <c r="J2866" t="s">
        <v>77</v>
      </c>
      <c r="K2866" s="6">
        <v>0.03</v>
      </c>
      <c r="L2866" s="7">
        <f t="shared" si="89"/>
        <v>2E-3</v>
      </c>
      <c r="M2866" s="7">
        <v>3.0000000000000001E-3</v>
      </c>
      <c r="N2866">
        <v>17</v>
      </c>
      <c r="O2866" s="8">
        <v>31.674720005909176</v>
      </c>
      <c r="P2866" s="9">
        <v>31.674720005909176</v>
      </c>
      <c r="Q2866" s="9">
        <v>31.674720005909176</v>
      </c>
      <c r="R2866" s="9">
        <v>34.913308289497976</v>
      </c>
      <c r="S2866" s="9">
        <v>38.480048605011753</v>
      </c>
      <c r="T2866" s="9">
        <v>40.939971907336925</v>
      </c>
      <c r="U2866" s="9">
        <v>49.333088414904694</v>
      </c>
      <c r="V2866" s="9">
        <v>49.333088414904694</v>
      </c>
      <c r="W2866" s="9">
        <v>49.333088414904694</v>
      </c>
      <c r="X2866" s="9">
        <v>63.21225398254326</v>
      </c>
      <c r="Y2866" s="9">
        <v>63.21225398254326</v>
      </c>
      <c r="Z2866" s="9">
        <v>73.404961153420544</v>
      </c>
      <c r="AA2866" s="9">
        <v>73.404961153420544</v>
      </c>
      <c r="AB2866" s="9">
        <v>83.820133806833923</v>
      </c>
      <c r="AC2866" s="9">
        <v>83.820133806833923</v>
      </c>
      <c r="AD2866" s="9">
        <v>94.480018491037072</v>
      </c>
      <c r="AE2866" s="9">
        <v>105.40908640910902</v>
      </c>
      <c r="AF2866" s="9">
        <v>116.6342558844366</v>
      </c>
      <c r="AG2866" s="9">
        <v>116.6342558844366</v>
      </c>
      <c r="AH2866" s="9">
        <v>128.18513707274536</v>
      </c>
      <c r="AI2866" s="9">
        <v>140.98660541754566</v>
      </c>
      <c r="AJ2866" s="9">
        <v>3.0428788910505911</v>
      </c>
    </row>
    <row r="2867" spans="1:36" x14ac:dyDescent="0.25">
      <c r="A2867" t="s">
        <v>5411</v>
      </c>
      <c r="B2867" t="s">
        <v>16</v>
      </c>
      <c r="C2867" t="s">
        <v>17</v>
      </c>
      <c r="D2867">
        <v>58625000</v>
      </c>
      <c r="E2867">
        <v>58639999</v>
      </c>
      <c r="F2867" t="s">
        <v>2589</v>
      </c>
      <c r="G2867" t="str">
        <f t="shared" si="88"/>
        <v>PBI II</v>
      </c>
      <c r="H2867" t="s">
        <v>2471</v>
      </c>
      <c r="I2867" t="s">
        <v>20</v>
      </c>
      <c r="J2867" t="s">
        <v>64</v>
      </c>
      <c r="K2867" s="6">
        <v>0.03</v>
      </c>
      <c r="L2867" s="7">
        <f t="shared" si="89"/>
        <v>2E-3</v>
      </c>
      <c r="M2867" s="7">
        <v>3.0000000000000001E-3</v>
      </c>
      <c r="N2867">
        <v>12</v>
      </c>
      <c r="O2867" s="8">
        <v>25.469420399191385</v>
      </c>
      <c r="P2867" s="9">
        <v>25.469420399191385</v>
      </c>
      <c r="Q2867" s="9">
        <v>25.469420399191385</v>
      </c>
      <c r="R2867" s="9">
        <v>27.985354957700171</v>
      </c>
      <c r="S2867" s="9">
        <v>30.758461120802014</v>
      </c>
      <c r="T2867" s="9">
        <v>33.102903982805351</v>
      </c>
      <c r="U2867" s="9">
        <v>40.375170889228379</v>
      </c>
      <c r="V2867" s="9">
        <v>40.375170889228379</v>
      </c>
      <c r="W2867" s="9">
        <v>40.375170889228379</v>
      </c>
      <c r="X2867" s="9">
        <v>48.614146284608282</v>
      </c>
      <c r="Y2867" s="9">
        <v>48.614146284608282</v>
      </c>
      <c r="Z2867" s="9">
        <v>56.959894508429748</v>
      </c>
      <c r="AA2867" s="9">
        <v>56.959894508429748</v>
      </c>
      <c r="AB2867" s="9">
        <v>65.423092843536963</v>
      </c>
      <c r="AC2867" s="9">
        <v>65.423092843536963</v>
      </c>
      <c r="AD2867" s="9">
        <v>76.101886260449433</v>
      </c>
      <c r="AE2867" s="9">
        <v>84.004204331617984</v>
      </c>
      <c r="AF2867" s="9">
        <v>92.047281772276918</v>
      </c>
      <c r="AG2867" s="9">
        <v>92.047281772276918</v>
      </c>
      <c r="AH2867" s="9">
        <v>101.16093014574129</v>
      </c>
      <c r="AI2867" s="9">
        <v>110.08433596377185</v>
      </c>
      <c r="AJ2867" s="9">
        <v>3.0428788910505911</v>
      </c>
    </row>
    <row r="2868" spans="1:36" x14ac:dyDescent="0.25">
      <c r="A2868" t="s">
        <v>5411</v>
      </c>
      <c r="B2868" t="s">
        <v>16</v>
      </c>
      <c r="C2868" t="s">
        <v>17</v>
      </c>
      <c r="D2868">
        <v>58640000</v>
      </c>
      <c r="E2868">
        <v>58649999</v>
      </c>
      <c r="F2868" t="s">
        <v>2590</v>
      </c>
      <c r="G2868" t="str">
        <f t="shared" si="88"/>
        <v>PBI II</v>
      </c>
      <c r="H2868" t="s">
        <v>2471</v>
      </c>
      <c r="I2868" t="s">
        <v>20</v>
      </c>
      <c r="J2868" t="s">
        <v>64</v>
      </c>
      <c r="K2868" s="6">
        <v>0.03</v>
      </c>
      <c r="L2868" s="7">
        <f t="shared" si="89"/>
        <v>2E-3</v>
      </c>
      <c r="M2868" s="7">
        <v>3.0000000000000001E-3</v>
      </c>
      <c r="N2868">
        <v>12</v>
      </c>
      <c r="O2868" s="8">
        <v>25.469420399191385</v>
      </c>
      <c r="P2868" s="9">
        <v>25.469420399191385</v>
      </c>
      <c r="Q2868" s="9">
        <v>25.469420399191385</v>
      </c>
      <c r="R2868" s="9">
        <v>27.985354957700171</v>
      </c>
      <c r="S2868" s="9">
        <v>30.758461120802014</v>
      </c>
      <c r="T2868" s="9">
        <v>33.102903982805351</v>
      </c>
      <c r="U2868" s="9">
        <v>40.375170889228379</v>
      </c>
      <c r="V2868" s="9">
        <v>40.375170889228379</v>
      </c>
      <c r="W2868" s="9">
        <v>40.375170889228379</v>
      </c>
      <c r="X2868" s="9">
        <v>48.614146284608282</v>
      </c>
      <c r="Y2868" s="9">
        <v>48.614146284608282</v>
      </c>
      <c r="Z2868" s="9">
        <v>56.959894508429748</v>
      </c>
      <c r="AA2868" s="9">
        <v>56.959894508429748</v>
      </c>
      <c r="AB2868" s="9">
        <v>65.423092843536963</v>
      </c>
      <c r="AC2868" s="9">
        <v>65.423092843536963</v>
      </c>
      <c r="AD2868" s="9">
        <v>76.101886260449433</v>
      </c>
      <c r="AE2868" s="9">
        <v>84.004204331617984</v>
      </c>
      <c r="AF2868" s="9">
        <v>92.047281772276918</v>
      </c>
      <c r="AG2868" s="9">
        <v>92.047281772276918</v>
      </c>
      <c r="AH2868" s="9">
        <v>101.16093014574129</v>
      </c>
      <c r="AI2868" s="9">
        <v>110.08433596377185</v>
      </c>
      <c r="AJ2868" s="9">
        <v>3.0428788910505911</v>
      </c>
    </row>
    <row r="2869" spans="1:36" x14ac:dyDescent="0.25">
      <c r="A2869" t="s">
        <v>5411</v>
      </c>
      <c r="B2869" t="s">
        <v>16</v>
      </c>
      <c r="C2869" t="s">
        <v>17</v>
      </c>
      <c r="D2869">
        <v>58650000</v>
      </c>
      <c r="E2869">
        <v>58659999</v>
      </c>
      <c r="F2869" t="s">
        <v>2284</v>
      </c>
      <c r="G2869" t="str">
        <f t="shared" si="88"/>
        <v>PBR</v>
      </c>
      <c r="H2869" t="s">
        <v>2471</v>
      </c>
      <c r="I2869" t="s">
        <v>20</v>
      </c>
      <c r="J2869" t="s">
        <v>77</v>
      </c>
      <c r="K2869" s="6">
        <v>0.03</v>
      </c>
      <c r="L2869" s="7">
        <f t="shared" si="89"/>
        <v>2E-3</v>
      </c>
      <c r="M2869" s="7">
        <v>3.0000000000000001E-3</v>
      </c>
      <c r="N2869">
        <v>17</v>
      </c>
      <c r="O2869" s="8">
        <v>31.674720005909176</v>
      </c>
      <c r="P2869" s="9">
        <v>31.674720005909176</v>
      </c>
      <c r="Q2869" s="9">
        <v>31.674720005909176</v>
      </c>
      <c r="R2869" s="9">
        <v>34.913308289497976</v>
      </c>
      <c r="S2869" s="9">
        <v>38.480048605011753</v>
      </c>
      <c r="T2869" s="9">
        <v>40.939971907336925</v>
      </c>
      <c r="U2869" s="9">
        <v>49.333088414904694</v>
      </c>
      <c r="V2869" s="9">
        <v>49.333088414904694</v>
      </c>
      <c r="W2869" s="9">
        <v>49.333088414904694</v>
      </c>
      <c r="X2869" s="9">
        <v>63.21225398254326</v>
      </c>
      <c r="Y2869" s="9">
        <v>63.21225398254326</v>
      </c>
      <c r="Z2869" s="9">
        <v>73.404961153420544</v>
      </c>
      <c r="AA2869" s="9">
        <v>73.404961153420544</v>
      </c>
      <c r="AB2869" s="9">
        <v>83.820133806833923</v>
      </c>
      <c r="AC2869" s="9">
        <v>83.820133806833923</v>
      </c>
      <c r="AD2869" s="9">
        <v>94.480018491037072</v>
      </c>
      <c r="AE2869" s="9">
        <v>105.40908640910902</v>
      </c>
      <c r="AF2869" s="9">
        <v>116.6342558844366</v>
      </c>
      <c r="AG2869" s="9">
        <v>116.6342558844366</v>
      </c>
      <c r="AH2869" s="9">
        <v>128.18513707274536</v>
      </c>
      <c r="AI2869" s="9">
        <v>140.98660541754566</v>
      </c>
      <c r="AJ2869" s="9">
        <v>3.0428788910505911</v>
      </c>
    </row>
    <row r="2870" spans="1:36" x14ac:dyDescent="0.25">
      <c r="A2870" t="s">
        <v>5411</v>
      </c>
      <c r="B2870" t="s">
        <v>16</v>
      </c>
      <c r="C2870" t="s">
        <v>17</v>
      </c>
      <c r="D2870">
        <v>58660000</v>
      </c>
      <c r="E2870">
        <v>58664999</v>
      </c>
      <c r="F2870" t="s">
        <v>2591</v>
      </c>
      <c r="G2870" t="str">
        <f t="shared" si="88"/>
        <v>PBI II</v>
      </c>
      <c r="H2870" t="s">
        <v>2471</v>
      </c>
      <c r="I2870" t="s">
        <v>20</v>
      </c>
      <c r="J2870" t="s">
        <v>64</v>
      </c>
      <c r="K2870" s="6">
        <v>0.03</v>
      </c>
      <c r="L2870" s="7">
        <f t="shared" si="89"/>
        <v>2E-3</v>
      </c>
      <c r="M2870" s="7">
        <v>3.0000000000000001E-3</v>
      </c>
      <c r="N2870">
        <v>12</v>
      </c>
      <c r="O2870" s="8">
        <v>25.469420399191385</v>
      </c>
      <c r="P2870" s="9">
        <v>25.469420399191385</v>
      </c>
      <c r="Q2870" s="9">
        <v>25.469420399191385</v>
      </c>
      <c r="R2870" s="9">
        <v>27.985354957700171</v>
      </c>
      <c r="S2870" s="9">
        <v>30.758461120802014</v>
      </c>
      <c r="T2870" s="9">
        <v>33.102903982805351</v>
      </c>
      <c r="U2870" s="9">
        <v>40.375170889228379</v>
      </c>
      <c r="V2870" s="9">
        <v>40.375170889228379</v>
      </c>
      <c r="W2870" s="9">
        <v>40.375170889228379</v>
      </c>
      <c r="X2870" s="9">
        <v>48.614146284608282</v>
      </c>
      <c r="Y2870" s="9">
        <v>48.614146284608282</v>
      </c>
      <c r="Z2870" s="9">
        <v>56.959894508429748</v>
      </c>
      <c r="AA2870" s="9">
        <v>56.959894508429748</v>
      </c>
      <c r="AB2870" s="9">
        <v>65.423092843536963</v>
      </c>
      <c r="AC2870" s="9">
        <v>65.423092843536963</v>
      </c>
      <c r="AD2870" s="9">
        <v>76.101886260449433</v>
      </c>
      <c r="AE2870" s="9">
        <v>84.004204331617984</v>
      </c>
      <c r="AF2870" s="9">
        <v>92.047281772276918</v>
      </c>
      <c r="AG2870" s="9">
        <v>92.047281772276918</v>
      </c>
      <c r="AH2870" s="9">
        <v>101.16093014574129</v>
      </c>
      <c r="AI2870" s="9">
        <v>110.08433596377185</v>
      </c>
      <c r="AJ2870" s="9">
        <v>3.0428788910505911</v>
      </c>
    </row>
    <row r="2871" spans="1:36" x14ac:dyDescent="0.25">
      <c r="A2871" t="s">
        <v>5411</v>
      </c>
      <c r="B2871" t="s">
        <v>16</v>
      </c>
      <c r="C2871" t="s">
        <v>17</v>
      </c>
      <c r="D2871">
        <v>58665000</v>
      </c>
      <c r="E2871">
        <v>58669999</v>
      </c>
      <c r="F2871" t="s">
        <v>2592</v>
      </c>
      <c r="G2871" t="str">
        <f t="shared" si="88"/>
        <v>PBR</v>
      </c>
      <c r="H2871" t="s">
        <v>2471</v>
      </c>
      <c r="I2871" t="s">
        <v>20</v>
      </c>
      <c r="J2871" t="s">
        <v>77</v>
      </c>
      <c r="K2871" s="6">
        <v>0.03</v>
      </c>
      <c r="L2871" s="7">
        <f t="shared" si="89"/>
        <v>2E-3</v>
      </c>
      <c r="M2871" s="7">
        <v>3.0000000000000001E-3</v>
      </c>
      <c r="N2871">
        <v>17</v>
      </c>
      <c r="O2871" s="8">
        <v>31.674720005909176</v>
      </c>
      <c r="P2871" s="9">
        <v>31.674720005909176</v>
      </c>
      <c r="Q2871" s="9">
        <v>31.674720005909176</v>
      </c>
      <c r="R2871" s="9">
        <v>34.913308289497976</v>
      </c>
      <c r="S2871" s="9">
        <v>38.480048605011753</v>
      </c>
      <c r="T2871" s="9">
        <v>40.939971907336925</v>
      </c>
      <c r="U2871" s="9">
        <v>49.333088414904694</v>
      </c>
      <c r="V2871" s="9">
        <v>49.333088414904694</v>
      </c>
      <c r="W2871" s="9">
        <v>49.333088414904694</v>
      </c>
      <c r="X2871" s="9">
        <v>63.21225398254326</v>
      </c>
      <c r="Y2871" s="9">
        <v>63.21225398254326</v>
      </c>
      <c r="Z2871" s="9">
        <v>73.404961153420544</v>
      </c>
      <c r="AA2871" s="9">
        <v>73.404961153420544</v>
      </c>
      <c r="AB2871" s="9">
        <v>83.820133806833923</v>
      </c>
      <c r="AC2871" s="9">
        <v>83.820133806833923</v>
      </c>
      <c r="AD2871" s="9">
        <v>94.480018491037072</v>
      </c>
      <c r="AE2871" s="9">
        <v>105.40908640910902</v>
      </c>
      <c r="AF2871" s="9">
        <v>116.6342558844366</v>
      </c>
      <c r="AG2871" s="9">
        <v>116.6342558844366</v>
      </c>
      <c r="AH2871" s="9">
        <v>128.18513707274536</v>
      </c>
      <c r="AI2871" s="9">
        <v>140.98660541754566</v>
      </c>
      <c r="AJ2871" s="9">
        <v>3.0428788910505911</v>
      </c>
    </row>
    <row r="2872" spans="1:36" x14ac:dyDescent="0.25">
      <c r="A2872" t="s">
        <v>5411</v>
      </c>
      <c r="B2872" t="s">
        <v>16</v>
      </c>
      <c r="C2872" t="s">
        <v>17</v>
      </c>
      <c r="D2872">
        <v>58670000</v>
      </c>
      <c r="E2872">
        <v>58674999</v>
      </c>
      <c r="F2872" t="s">
        <v>2593</v>
      </c>
      <c r="G2872" t="str">
        <f t="shared" si="88"/>
        <v>PBR</v>
      </c>
      <c r="H2872" t="s">
        <v>2471</v>
      </c>
      <c r="I2872" t="s">
        <v>20</v>
      </c>
      <c r="J2872" t="s">
        <v>77</v>
      </c>
      <c r="K2872" s="6">
        <v>0.03</v>
      </c>
      <c r="L2872" s="7">
        <f t="shared" si="89"/>
        <v>2E-3</v>
      </c>
      <c r="M2872" s="7">
        <v>3.0000000000000001E-3</v>
      </c>
      <c r="N2872">
        <v>17</v>
      </c>
      <c r="O2872" s="8">
        <v>31.674720005909176</v>
      </c>
      <c r="P2872" s="9">
        <v>31.674720005909176</v>
      </c>
      <c r="Q2872" s="9">
        <v>31.674720005909176</v>
      </c>
      <c r="R2872" s="9">
        <v>34.913308289497976</v>
      </c>
      <c r="S2872" s="9">
        <v>38.480048605011753</v>
      </c>
      <c r="T2872" s="9">
        <v>40.939971907336925</v>
      </c>
      <c r="U2872" s="9">
        <v>49.333088414904694</v>
      </c>
      <c r="V2872" s="9">
        <v>49.333088414904694</v>
      </c>
      <c r="W2872" s="9">
        <v>49.333088414904694</v>
      </c>
      <c r="X2872" s="9">
        <v>63.21225398254326</v>
      </c>
      <c r="Y2872" s="9">
        <v>63.21225398254326</v>
      </c>
      <c r="Z2872" s="9">
        <v>73.404961153420544</v>
      </c>
      <c r="AA2872" s="9">
        <v>73.404961153420544</v>
      </c>
      <c r="AB2872" s="9">
        <v>83.820133806833923</v>
      </c>
      <c r="AC2872" s="9">
        <v>83.820133806833923</v>
      </c>
      <c r="AD2872" s="9">
        <v>94.480018491037072</v>
      </c>
      <c r="AE2872" s="9">
        <v>105.40908640910902</v>
      </c>
      <c r="AF2872" s="9">
        <v>116.6342558844366</v>
      </c>
      <c r="AG2872" s="9">
        <v>116.6342558844366</v>
      </c>
      <c r="AH2872" s="9">
        <v>128.18513707274536</v>
      </c>
      <c r="AI2872" s="9">
        <v>140.98660541754566</v>
      </c>
      <c r="AJ2872" s="9">
        <v>3.0428788910505911</v>
      </c>
    </row>
    <row r="2873" spans="1:36" x14ac:dyDescent="0.25">
      <c r="A2873" t="s">
        <v>5411</v>
      </c>
      <c r="B2873" t="s">
        <v>16</v>
      </c>
      <c r="C2873" t="s">
        <v>17</v>
      </c>
      <c r="D2873">
        <v>58675000</v>
      </c>
      <c r="E2873">
        <v>58679999</v>
      </c>
      <c r="F2873" t="s">
        <v>54</v>
      </c>
      <c r="G2873" t="str">
        <f t="shared" si="88"/>
        <v>PBR</v>
      </c>
      <c r="H2873" t="s">
        <v>2471</v>
      </c>
      <c r="I2873" t="s">
        <v>20</v>
      </c>
      <c r="J2873" t="s">
        <v>77</v>
      </c>
      <c r="K2873" s="6">
        <v>0.03</v>
      </c>
      <c r="L2873" s="7">
        <f t="shared" si="89"/>
        <v>2E-3</v>
      </c>
      <c r="M2873" s="7">
        <v>3.0000000000000001E-3</v>
      </c>
      <c r="N2873">
        <v>17</v>
      </c>
      <c r="O2873" s="8">
        <v>31.674720005909176</v>
      </c>
      <c r="P2873" s="9">
        <v>31.674720005909176</v>
      </c>
      <c r="Q2873" s="9">
        <v>31.674720005909176</v>
      </c>
      <c r="R2873" s="9">
        <v>34.913308289497976</v>
      </c>
      <c r="S2873" s="9">
        <v>38.480048605011753</v>
      </c>
      <c r="T2873" s="9">
        <v>40.939971907336925</v>
      </c>
      <c r="U2873" s="9">
        <v>49.333088414904694</v>
      </c>
      <c r="V2873" s="9">
        <v>49.333088414904694</v>
      </c>
      <c r="W2873" s="9">
        <v>49.333088414904694</v>
      </c>
      <c r="X2873" s="9">
        <v>63.21225398254326</v>
      </c>
      <c r="Y2873" s="9">
        <v>63.21225398254326</v>
      </c>
      <c r="Z2873" s="9">
        <v>73.404961153420544</v>
      </c>
      <c r="AA2873" s="9">
        <v>73.404961153420544</v>
      </c>
      <c r="AB2873" s="9">
        <v>83.820133806833923</v>
      </c>
      <c r="AC2873" s="9">
        <v>83.820133806833923</v>
      </c>
      <c r="AD2873" s="9">
        <v>94.480018491037072</v>
      </c>
      <c r="AE2873" s="9">
        <v>105.40908640910902</v>
      </c>
      <c r="AF2873" s="9">
        <v>116.6342558844366</v>
      </c>
      <c r="AG2873" s="9">
        <v>116.6342558844366</v>
      </c>
      <c r="AH2873" s="9">
        <v>128.18513707274536</v>
      </c>
      <c r="AI2873" s="9">
        <v>140.98660541754566</v>
      </c>
      <c r="AJ2873" s="9">
        <v>3.0428788910505911</v>
      </c>
    </row>
    <row r="2874" spans="1:36" x14ac:dyDescent="0.25">
      <c r="A2874" t="s">
        <v>5411</v>
      </c>
      <c r="B2874" t="s">
        <v>16</v>
      </c>
      <c r="C2874" t="s">
        <v>17</v>
      </c>
      <c r="D2874">
        <v>58680000</v>
      </c>
      <c r="E2874">
        <v>58684999</v>
      </c>
      <c r="F2874" t="s">
        <v>1842</v>
      </c>
      <c r="G2874" t="str">
        <f t="shared" si="88"/>
        <v>PBR</v>
      </c>
      <c r="H2874" t="s">
        <v>2471</v>
      </c>
      <c r="I2874" t="s">
        <v>20</v>
      </c>
      <c r="J2874" t="s">
        <v>77</v>
      </c>
      <c r="K2874" s="6">
        <v>0.03</v>
      </c>
      <c r="L2874" s="7">
        <f t="shared" si="89"/>
        <v>2E-3</v>
      </c>
      <c r="M2874" s="7">
        <v>3.0000000000000001E-3</v>
      </c>
      <c r="N2874">
        <v>17</v>
      </c>
      <c r="O2874" s="8">
        <v>31.674720005909176</v>
      </c>
      <c r="P2874" s="9">
        <v>31.674720005909176</v>
      </c>
      <c r="Q2874" s="9">
        <v>31.674720005909176</v>
      </c>
      <c r="R2874" s="9">
        <v>34.913308289497976</v>
      </c>
      <c r="S2874" s="9">
        <v>38.480048605011753</v>
      </c>
      <c r="T2874" s="9">
        <v>40.939971907336925</v>
      </c>
      <c r="U2874" s="9">
        <v>49.333088414904694</v>
      </c>
      <c r="V2874" s="9">
        <v>49.333088414904694</v>
      </c>
      <c r="W2874" s="9">
        <v>49.333088414904694</v>
      </c>
      <c r="X2874" s="9">
        <v>63.21225398254326</v>
      </c>
      <c r="Y2874" s="9">
        <v>63.21225398254326</v>
      </c>
      <c r="Z2874" s="9">
        <v>73.404961153420544</v>
      </c>
      <c r="AA2874" s="9">
        <v>73.404961153420544</v>
      </c>
      <c r="AB2874" s="9">
        <v>83.820133806833923</v>
      </c>
      <c r="AC2874" s="9">
        <v>83.820133806833923</v>
      </c>
      <c r="AD2874" s="9">
        <v>94.480018491037072</v>
      </c>
      <c r="AE2874" s="9">
        <v>105.40908640910902</v>
      </c>
      <c r="AF2874" s="9">
        <v>116.6342558844366</v>
      </c>
      <c r="AG2874" s="9">
        <v>116.6342558844366</v>
      </c>
      <c r="AH2874" s="9">
        <v>128.18513707274536</v>
      </c>
      <c r="AI2874" s="9">
        <v>140.98660541754566</v>
      </c>
      <c r="AJ2874" s="9">
        <v>3.0428788910505911</v>
      </c>
    </row>
    <row r="2875" spans="1:36" x14ac:dyDescent="0.25">
      <c r="A2875" t="s">
        <v>5411</v>
      </c>
      <c r="B2875" t="s">
        <v>16</v>
      </c>
      <c r="C2875" t="s">
        <v>17</v>
      </c>
      <c r="D2875">
        <v>58685000</v>
      </c>
      <c r="E2875">
        <v>58689999</v>
      </c>
      <c r="F2875" t="s">
        <v>2594</v>
      </c>
      <c r="G2875" t="str">
        <f t="shared" si="88"/>
        <v>PBI II</v>
      </c>
      <c r="H2875" t="s">
        <v>2471</v>
      </c>
      <c r="I2875" t="s">
        <v>20</v>
      </c>
      <c r="J2875" t="s">
        <v>64</v>
      </c>
      <c r="K2875" s="6">
        <v>0.03</v>
      </c>
      <c r="L2875" s="7">
        <f t="shared" si="89"/>
        <v>2E-3</v>
      </c>
      <c r="M2875" s="7">
        <v>3.0000000000000001E-3</v>
      </c>
      <c r="N2875">
        <v>17</v>
      </c>
      <c r="O2875" s="8">
        <v>25.469420399191385</v>
      </c>
      <c r="P2875" s="9">
        <v>25.469420399191385</v>
      </c>
      <c r="Q2875" s="9">
        <v>25.469420399191385</v>
      </c>
      <c r="R2875" s="9">
        <v>27.985354957700171</v>
      </c>
      <c r="S2875" s="9">
        <v>30.758461120802014</v>
      </c>
      <c r="T2875" s="9">
        <v>33.102903982805351</v>
      </c>
      <c r="U2875" s="9">
        <v>40.375170889228379</v>
      </c>
      <c r="V2875" s="9">
        <v>40.375170889228379</v>
      </c>
      <c r="W2875" s="9">
        <v>40.375170889228379</v>
      </c>
      <c r="X2875" s="9">
        <v>48.614146284608282</v>
      </c>
      <c r="Y2875" s="9">
        <v>48.614146284608282</v>
      </c>
      <c r="Z2875" s="9">
        <v>56.959894508429748</v>
      </c>
      <c r="AA2875" s="9">
        <v>56.959894508429748</v>
      </c>
      <c r="AB2875" s="9">
        <v>65.423092843536963</v>
      </c>
      <c r="AC2875" s="9">
        <v>65.423092843536963</v>
      </c>
      <c r="AD2875" s="9">
        <v>76.101886260449433</v>
      </c>
      <c r="AE2875" s="9">
        <v>84.004204331617984</v>
      </c>
      <c r="AF2875" s="9">
        <v>92.047281772276918</v>
      </c>
      <c r="AG2875" s="9">
        <v>92.047281772276918</v>
      </c>
      <c r="AH2875" s="9">
        <v>101.16093014574129</v>
      </c>
      <c r="AI2875" s="9">
        <v>110.08433596377185</v>
      </c>
      <c r="AJ2875" s="9">
        <v>3.0428788910505911</v>
      </c>
    </row>
    <row r="2876" spans="1:36" x14ac:dyDescent="0.25">
      <c r="A2876" t="s">
        <v>5411</v>
      </c>
      <c r="B2876" t="s">
        <v>16</v>
      </c>
      <c r="C2876" t="s">
        <v>17</v>
      </c>
      <c r="D2876">
        <v>58690000</v>
      </c>
      <c r="E2876">
        <v>58694999</v>
      </c>
      <c r="F2876" t="s">
        <v>2595</v>
      </c>
      <c r="G2876" t="str">
        <f t="shared" si="88"/>
        <v>PBR</v>
      </c>
      <c r="H2876" t="s">
        <v>2471</v>
      </c>
      <c r="I2876" t="s">
        <v>20</v>
      </c>
      <c r="J2876" t="s">
        <v>77</v>
      </c>
      <c r="K2876" s="6">
        <v>0.03</v>
      </c>
      <c r="L2876" s="7">
        <f t="shared" si="89"/>
        <v>2E-3</v>
      </c>
      <c r="M2876" s="7">
        <v>3.0000000000000001E-3</v>
      </c>
      <c r="N2876">
        <v>17</v>
      </c>
      <c r="O2876" s="8">
        <v>31.674720005909176</v>
      </c>
      <c r="P2876" s="9">
        <v>31.674720005909176</v>
      </c>
      <c r="Q2876" s="9">
        <v>31.674720005909176</v>
      </c>
      <c r="R2876" s="9">
        <v>34.913308289497976</v>
      </c>
      <c r="S2876" s="9">
        <v>38.480048605011753</v>
      </c>
      <c r="T2876" s="9">
        <v>40.939971907336925</v>
      </c>
      <c r="U2876" s="9">
        <v>49.333088414904694</v>
      </c>
      <c r="V2876" s="9">
        <v>49.333088414904694</v>
      </c>
      <c r="W2876" s="9">
        <v>49.333088414904694</v>
      </c>
      <c r="X2876" s="9">
        <v>63.21225398254326</v>
      </c>
      <c r="Y2876" s="9">
        <v>63.21225398254326</v>
      </c>
      <c r="Z2876" s="9">
        <v>73.404961153420544</v>
      </c>
      <c r="AA2876" s="9">
        <v>73.404961153420544</v>
      </c>
      <c r="AB2876" s="9">
        <v>83.820133806833923</v>
      </c>
      <c r="AC2876" s="9">
        <v>83.820133806833923</v>
      </c>
      <c r="AD2876" s="9">
        <v>94.480018491037072</v>
      </c>
      <c r="AE2876" s="9">
        <v>105.40908640910902</v>
      </c>
      <c r="AF2876" s="9">
        <v>116.6342558844366</v>
      </c>
      <c r="AG2876" s="9">
        <v>116.6342558844366</v>
      </c>
      <c r="AH2876" s="9">
        <v>128.18513707274536</v>
      </c>
      <c r="AI2876" s="9">
        <v>140.98660541754566</v>
      </c>
      <c r="AJ2876" s="9">
        <v>3.0428788910505911</v>
      </c>
    </row>
    <row r="2877" spans="1:36" x14ac:dyDescent="0.25">
      <c r="A2877" t="s">
        <v>5411</v>
      </c>
      <c r="B2877" t="s">
        <v>16</v>
      </c>
      <c r="C2877" t="s">
        <v>17</v>
      </c>
      <c r="D2877">
        <v>58695000</v>
      </c>
      <c r="E2877">
        <v>58697999</v>
      </c>
      <c r="F2877" t="s">
        <v>2596</v>
      </c>
      <c r="G2877" t="str">
        <f t="shared" si="88"/>
        <v>PBR</v>
      </c>
      <c r="H2877" t="s">
        <v>2471</v>
      </c>
      <c r="I2877" t="s">
        <v>20</v>
      </c>
      <c r="J2877" t="s">
        <v>77</v>
      </c>
      <c r="K2877" s="6">
        <v>0.03</v>
      </c>
      <c r="L2877" s="7">
        <f t="shared" si="89"/>
        <v>2E-3</v>
      </c>
      <c r="M2877" s="7">
        <v>3.0000000000000001E-3</v>
      </c>
      <c r="N2877">
        <v>17</v>
      </c>
      <c r="O2877" s="8">
        <v>31.674720005909176</v>
      </c>
      <c r="P2877" s="9">
        <v>31.674720005909176</v>
      </c>
      <c r="Q2877" s="9">
        <v>31.674720005909176</v>
      </c>
      <c r="R2877" s="9">
        <v>34.913308289497976</v>
      </c>
      <c r="S2877" s="9">
        <v>38.480048605011753</v>
      </c>
      <c r="T2877" s="9">
        <v>40.939971907336925</v>
      </c>
      <c r="U2877" s="9">
        <v>49.333088414904694</v>
      </c>
      <c r="V2877" s="9">
        <v>49.333088414904694</v>
      </c>
      <c r="W2877" s="9">
        <v>49.333088414904694</v>
      </c>
      <c r="X2877" s="9">
        <v>63.21225398254326</v>
      </c>
      <c r="Y2877" s="9">
        <v>63.21225398254326</v>
      </c>
      <c r="Z2877" s="9">
        <v>73.404961153420544</v>
      </c>
      <c r="AA2877" s="9">
        <v>73.404961153420544</v>
      </c>
      <c r="AB2877" s="9">
        <v>83.820133806833923</v>
      </c>
      <c r="AC2877" s="9">
        <v>83.820133806833923</v>
      </c>
      <c r="AD2877" s="9">
        <v>94.480018491037072</v>
      </c>
      <c r="AE2877" s="9">
        <v>105.40908640910902</v>
      </c>
      <c r="AF2877" s="9">
        <v>116.6342558844366</v>
      </c>
      <c r="AG2877" s="9">
        <v>116.6342558844366</v>
      </c>
      <c r="AH2877" s="9">
        <v>128.18513707274536</v>
      </c>
      <c r="AI2877" s="9">
        <v>140.98660541754566</v>
      </c>
      <c r="AJ2877" s="9">
        <v>3.0428788910505911</v>
      </c>
    </row>
    <row r="2878" spans="1:36" x14ac:dyDescent="0.25">
      <c r="A2878" t="s">
        <v>5411</v>
      </c>
      <c r="B2878" t="s">
        <v>16</v>
      </c>
      <c r="C2878" t="s">
        <v>17</v>
      </c>
      <c r="D2878">
        <v>58698000</v>
      </c>
      <c r="E2878">
        <v>58699999</v>
      </c>
      <c r="F2878" t="s">
        <v>2597</v>
      </c>
      <c r="G2878" t="str">
        <f t="shared" si="88"/>
        <v>PBR</v>
      </c>
      <c r="H2878" t="s">
        <v>2471</v>
      </c>
      <c r="I2878" t="s">
        <v>20</v>
      </c>
      <c r="J2878" t="s">
        <v>77</v>
      </c>
      <c r="K2878" s="6">
        <v>0.03</v>
      </c>
      <c r="L2878" s="7">
        <f t="shared" si="89"/>
        <v>2E-3</v>
      </c>
      <c r="M2878" s="7">
        <v>3.0000000000000001E-3</v>
      </c>
      <c r="N2878">
        <v>17</v>
      </c>
      <c r="O2878" s="8">
        <v>31.674720005909176</v>
      </c>
      <c r="P2878" s="9">
        <v>31.674720005909176</v>
      </c>
      <c r="Q2878" s="9">
        <v>31.674720005909176</v>
      </c>
      <c r="R2878" s="9">
        <v>34.913308289497976</v>
      </c>
      <c r="S2878" s="9">
        <v>38.480048605011753</v>
      </c>
      <c r="T2878" s="9">
        <v>40.939971907336925</v>
      </c>
      <c r="U2878" s="9">
        <v>49.333088414904694</v>
      </c>
      <c r="V2878" s="9">
        <v>49.333088414904694</v>
      </c>
      <c r="W2878" s="9">
        <v>49.333088414904694</v>
      </c>
      <c r="X2878" s="9">
        <v>63.21225398254326</v>
      </c>
      <c r="Y2878" s="9">
        <v>63.21225398254326</v>
      </c>
      <c r="Z2878" s="9">
        <v>73.404961153420544</v>
      </c>
      <c r="AA2878" s="9">
        <v>73.404961153420544</v>
      </c>
      <c r="AB2878" s="9">
        <v>83.820133806833923</v>
      </c>
      <c r="AC2878" s="9">
        <v>83.820133806833923</v>
      </c>
      <c r="AD2878" s="9">
        <v>94.480018491037072</v>
      </c>
      <c r="AE2878" s="9">
        <v>105.40908640910902</v>
      </c>
      <c r="AF2878" s="9">
        <v>116.6342558844366</v>
      </c>
      <c r="AG2878" s="9">
        <v>116.6342558844366</v>
      </c>
      <c r="AH2878" s="9">
        <v>128.18513707274536</v>
      </c>
      <c r="AI2878" s="9">
        <v>140.98660541754566</v>
      </c>
      <c r="AJ2878" s="9">
        <v>3.0428788910505911</v>
      </c>
    </row>
    <row r="2879" spans="1:36" x14ac:dyDescent="0.25">
      <c r="A2879" t="s">
        <v>5411</v>
      </c>
      <c r="B2879" t="s">
        <v>16</v>
      </c>
      <c r="C2879" t="s">
        <v>17</v>
      </c>
      <c r="D2879">
        <v>58700000</v>
      </c>
      <c r="E2879">
        <v>58709999</v>
      </c>
      <c r="F2879" t="s">
        <v>2598</v>
      </c>
      <c r="G2879" t="str">
        <f t="shared" si="88"/>
        <v>PBI</v>
      </c>
      <c r="H2879" t="s">
        <v>2471</v>
      </c>
      <c r="I2879" t="s">
        <v>20</v>
      </c>
      <c r="J2879" t="s">
        <v>62</v>
      </c>
      <c r="K2879" s="6">
        <v>0.03</v>
      </c>
      <c r="L2879" s="7">
        <f t="shared" si="89"/>
        <v>2E-3</v>
      </c>
      <c r="M2879" s="7">
        <v>3.0000000000000001E-3</v>
      </c>
      <c r="N2879">
        <v>12</v>
      </c>
      <c r="O2879" s="8">
        <v>20.87728230344733</v>
      </c>
      <c r="P2879" s="9">
        <v>20.87728230344733</v>
      </c>
      <c r="Q2879" s="9">
        <v>20.87728230344733</v>
      </c>
      <c r="R2879" s="9">
        <v>22.487970664940882</v>
      </c>
      <c r="S2879" s="9">
        <v>24.836959128882373</v>
      </c>
      <c r="T2879" s="9">
        <v>27.328940564094832</v>
      </c>
      <c r="U2879" s="9">
        <v>33.487633384176874</v>
      </c>
      <c r="V2879" s="9">
        <v>33.487633384176874</v>
      </c>
      <c r="W2879" s="9">
        <v>33.487633384176874</v>
      </c>
      <c r="X2879" s="9">
        <v>40.444098389650613</v>
      </c>
      <c r="Y2879" s="9">
        <v>40.444098389650613</v>
      </c>
      <c r="Z2879" s="9">
        <v>47.624518869362937</v>
      </c>
      <c r="AA2879" s="9">
        <v>47.624518869362937</v>
      </c>
      <c r="AB2879" s="9">
        <v>55.099076844260026</v>
      </c>
      <c r="AC2879" s="9">
        <v>55.099076844260026</v>
      </c>
      <c r="AD2879" s="9">
        <v>62.749008739977157</v>
      </c>
      <c r="AE2879" s="9">
        <v>70.59687278474604</v>
      </c>
      <c r="AF2879" s="9">
        <v>78.668205468404196</v>
      </c>
      <c r="AG2879" s="9">
        <v>78.668205468404196</v>
      </c>
      <c r="AH2879" s="9">
        <v>86.404717432433188</v>
      </c>
      <c r="AI2879" s="9">
        <v>94.691678268933799</v>
      </c>
      <c r="AJ2879" s="9">
        <v>3.0428788910505911</v>
      </c>
    </row>
    <row r="2880" spans="1:36" x14ac:dyDescent="0.25">
      <c r="A2880" t="s">
        <v>5411</v>
      </c>
      <c r="B2880" t="s">
        <v>16</v>
      </c>
      <c r="C2880" t="s">
        <v>17</v>
      </c>
      <c r="D2880">
        <v>58710000</v>
      </c>
      <c r="E2880">
        <v>58712999</v>
      </c>
      <c r="F2880" t="s">
        <v>2599</v>
      </c>
      <c r="G2880" t="str">
        <f t="shared" si="88"/>
        <v>PBR</v>
      </c>
      <c r="H2880" t="s">
        <v>2471</v>
      </c>
      <c r="I2880" t="s">
        <v>20</v>
      </c>
      <c r="J2880" t="s">
        <v>77</v>
      </c>
      <c r="K2880" s="6">
        <v>0.03</v>
      </c>
      <c r="L2880" s="7">
        <f t="shared" si="89"/>
        <v>2E-3</v>
      </c>
      <c r="M2880" s="7">
        <v>3.0000000000000001E-3</v>
      </c>
      <c r="N2880">
        <v>17</v>
      </c>
      <c r="O2880" s="8">
        <v>31.674720005909176</v>
      </c>
      <c r="P2880" s="9">
        <v>31.674720005909176</v>
      </c>
      <c r="Q2880" s="9">
        <v>31.674720005909176</v>
      </c>
      <c r="R2880" s="9">
        <v>34.913308289497976</v>
      </c>
      <c r="S2880" s="9">
        <v>38.480048605011753</v>
      </c>
      <c r="T2880" s="9">
        <v>40.939971907336925</v>
      </c>
      <c r="U2880" s="9">
        <v>49.333088414904694</v>
      </c>
      <c r="V2880" s="9">
        <v>49.333088414904694</v>
      </c>
      <c r="W2880" s="9">
        <v>49.333088414904694</v>
      </c>
      <c r="X2880" s="9">
        <v>63.21225398254326</v>
      </c>
      <c r="Y2880" s="9">
        <v>63.21225398254326</v>
      </c>
      <c r="Z2880" s="9">
        <v>73.404961153420544</v>
      </c>
      <c r="AA2880" s="9">
        <v>73.404961153420544</v>
      </c>
      <c r="AB2880" s="9">
        <v>83.820133806833923</v>
      </c>
      <c r="AC2880" s="9">
        <v>83.820133806833923</v>
      </c>
      <c r="AD2880" s="9">
        <v>94.480018491037072</v>
      </c>
      <c r="AE2880" s="9">
        <v>105.40908640910902</v>
      </c>
      <c r="AF2880" s="9">
        <v>116.6342558844366</v>
      </c>
      <c r="AG2880" s="9">
        <v>116.6342558844366</v>
      </c>
      <c r="AH2880" s="9">
        <v>128.18513707274536</v>
      </c>
      <c r="AI2880" s="9">
        <v>140.98660541754566</v>
      </c>
      <c r="AJ2880" s="9">
        <v>3.0428788910505911</v>
      </c>
    </row>
    <row r="2881" spans="1:36" x14ac:dyDescent="0.25">
      <c r="A2881" t="s">
        <v>5411</v>
      </c>
      <c r="B2881" t="s">
        <v>16</v>
      </c>
      <c r="C2881" t="s">
        <v>17</v>
      </c>
      <c r="D2881">
        <v>58713000</v>
      </c>
      <c r="E2881">
        <v>58713999</v>
      </c>
      <c r="F2881" t="s">
        <v>2600</v>
      </c>
      <c r="G2881" t="str">
        <f t="shared" si="88"/>
        <v>PBI II</v>
      </c>
      <c r="H2881" t="s">
        <v>2471</v>
      </c>
      <c r="I2881" t="s">
        <v>20</v>
      </c>
      <c r="J2881" t="s">
        <v>64</v>
      </c>
      <c r="K2881" s="6">
        <v>0.03</v>
      </c>
      <c r="L2881" s="7">
        <f t="shared" si="89"/>
        <v>2E-3</v>
      </c>
      <c r="M2881" s="7">
        <v>3.0000000000000001E-3</v>
      </c>
      <c r="N2881">
        <v>12</v>
      </c>
      <c r="O2881" s="8">
        <v>25.469420399191385</v>
      </c>
      <c r="P2881" s="9">
        <v>25.469420399191385</v>
      </c>
      <c r="Q2881" s="9">
        <v>25.469420399191385</v>
      </c>
      <c r="R2881" s="9">
        <v>27.985354957700171</v>
      </c>
      <c r="S2881" s="9">
        <v>30.758461120802014</v>
      </c>
      <c r="T2881" s="9">
        <v>33.102903982805351</v>
      </c>
      <c r="U2881" s="9">
        <v>40.375170889228379</v>
      </c>
      <c r="V2881" s="9">
        <v>40.375170889228379</v>
      </c>
      <c r="W2881" s="9">
        <v>40.375170889228379</v>
      </c>
      <c r="X2881" s="9">
        <v>48.614146284608282</v>
      </c>
      <c r="Y2881" s="9">
        <v>48.614146284608282</v>
      </c>
      <c r="Z2881" s="9">
        <v>56.959894508429748</v>
      </c>
      <c r="AA2881" s="9">
        <v>56.959894508429748</v>
      </c>
      <c r="AB2881" s="9">
        <v>65.423092843536963</v>
      </c>
      <c r="AC2881" s="9">
        <v>65.423092843536963</v>
      </c>
      <c r="AD2881" s="9">
        <v>76.101886260449433</v>
      </c>
      <c r="AE2881" s="9">
        <v>84.004204331617984</v>
      </c>
      <c r="AF2881" s="9">
        <v>92.047281772276918</v>
      </c>
      <c r="AG2881" s="9">
        <v>92.047281772276918</v>
      </c>
      <c r="AH2881" s="9">
        <v>101.16093014574129</v>
      </c>
      <c r="AI2881" s="9">
        <v>110.08433596377185</v>
      </c>
      <c r="AJ2881" s="9">
        <v>3.0428788910505911</v>
      </c>
    </row>
    <row r="2882" spans="1:36" x14ac:dyDescent="0.25">
      <c r="A2882" t="s">
        <v>5411</v>
      </c>
      <c r="B2882" t="s">
        <v>16</v>
      </c>
      <c r="C2882" t="s">
        <v>17</v>
      </c>
      <c r="D2882">
        <v>58714000</v>
      </c>
      <c r="E2882">
        <v>58714999</v>
      </c>
      <c r="F2882" t="s">
        <v>2313</v>
      </c>
      <c r="G2882" t="str">
        <f t="shared" si="88"/>
        <v>PBI II</v>
      </c>
      <c r="H2882" t="s">
        <v>2471</v>
      </c>
      <c r="I2882" t="s">
        <v>20</v>
      </c>
      <c r="J2882" t="s">
        <v>64</v>
      </c>
      <c r="K2882" s="6">
        <v>0.03</v>
      </c>
      <c r="L2882" s="7">
        <f t="shared" si="89"/>
        <v>2E-3</v>
      </c>
      <c r="M2882" s="7">
        <v>3.0000000000000001E-3</v>
      </c>
      <c r="N2882">
        <v>13</v>
      </c>
      <c r="O2882" s="8">
        <v>25.469420399191385</v>
      </c>
      <c r="P2882" s="9">
        <v>25.469420399191385</v>
      </c>
      <c r="Q2882" s="9">
        <v>25.469420399191385</v>
      </c>
      <c r="R2882" s="9">
        <v>27.985354957700171</v>
      </c>
      <c r="S2882" s="9">
        <v>30.758461120802014</v>
      </c>
      <c r="T2882" s="9">
        <v>33.102903982805351</v>
      </c>
      <c r="U2882" s="9">
        <v>40.375170889228379</v>
      </c>
      <c r="V2882" s="9">
        <v>40.375170889228379</v>
      </c>
      <c r="W2882" s="9">
        <v>40.375170889228379</v>
      </c>
      <c r="X2882" s="9">
        <v>48.614146284608282</v>
      </c>
      <c r="Y2882" s="9">
        <v>48.614146284608282</v>
      </c>
      <c r="Z2882" s="9">
        <v>56.959894508429748</v>
      </c>
      <c r="AA2882" s="9">
        <v>56.959894508429748</v>
      </c>
      <c r="AB2882" s="9">
        <v>65.423092843536963</v>
      </c>
      <c r="AC2882" s="9">
        <v>65.423092843536963</v>
      </c>
      <c r="AD2882" s="9">
        <v>76.101886260449433</v>
      </c>
      <c r="AE2882" s="9">
        <v>84.004204331617984</v>
      </c>
      <c r="AF2882" s="9">
        <v>92.047281772276918</v>
      </c>
      <c r="AG2882" s="9">
        <v>92.047281772276918</v>
      </c>
      <c r="AH2882" s="9">
        <v>101.16093014574129</v>
      </c>
      <c r="AI2882" s="9">
        <v>110.08433596377185</v>
      </c>
      <c r="AJ2882" s="9">
        <v>3.0428788910505911</v>
      </c>
    </row>
    <row r="2883" spans="1:36" x14ac:dyDescent="0.25">
      <c r="A2883" t="s">
        <v>5411</v>
      </c>
      <c r="B2883" t="s">
        <v>16</v>
      </c>
      <c r="C2883" t="s">
        <v>17</v>
      </c>
      <c r="D2883">
        <v>58715000</v>
      </c>
      <c r="E2883">
        <v>58719999</v>
      </c>
      <c r="F2883" t="s">
        <v>2601</v>
      </c>
      <c r="G2883" t="str">
        <f t="shared" si="88"/>
        <v>PBR</v>
      </c>
      <c r="H2883" t="s">
        <v>2471</v>
      </c>
      <c r="I2883" t="s">
        <v>20</v>
      </c>
      <c r="J2883" t="s">
        <v>77</v>
      </c>
      <c r="K2883" s="6">
        <v>0.03</v>
      </c>
      <c r="L2883" s="7">
        <f t="shared" si="89"/>
        <v>2E-3</v>
      </c>
      <c r="M2883" s="7">
        <v>3.0000000000000001E-3</v>
      </c>
      <c r="N2883">
        <v>17</v>
      </c>
      <c r="O2883" s="8">
        <v>31.674720005909176</v>
      </c>
      <c r="P2883" s="9">
        <v>31.674720005909176</v>
      </c>
      <c r="Q2883" s="9">
        <v>31.674720005909176</v>
      </c>
      <c r="R2883" s="9">
        <v>34.913308289497976</v>
      </c>
      <c r="S2883" s="9">
        <v>38.480048605011753</v>
      </c>
      <c r="T2883" s="9">
        <v>40.939971907336925</v>
      </c>
      <c r="U2883" s="9">
        <v>49.333088414904694</v>
      </c>
      <c r="V2883" s="9">
        <v>49.333088414904694</v>
      </c>
      <c r="W2883" s="9">
        <v>49.333088414904694</v>
      </c>
      <c r="X2883" s="9">
        <v>63.21225398254326</v>
      </c>
      <c r="Y2883" s="9">
        <v>63.21225398254326</v>
      </c>
      <c r="Z2883" s="9">
        <v>73.404961153420544</v>
      </c>
      <c r="AA2883" s="9">
        <v>73.404961153420544</v>
      </c>
      <c r="AB2883" s="9">
        <v>83.820133806833923</v>
      </c>
      <c r="AC2883" s="9">
        <v>83.820133806833923</v>
      </c>
      <c r="AD2883" s="9">
        <v>94.480018491037072</v>
      </c>
      <c r="AE2883" s="9">
        <v>105.40908640910902</v>
      </c>
      <c r="AF2883" s="9">
        <v>116.6342558844366</v>
      </c>
      <c r="AG2883" s="9">
        <v>116.6342558844366</v>
      </c>
      <c r="AH2883" s="9">
        <v>128.18513707274536</v>
      </c>
      <c r="AI2883" s="9">
        <v>140.98660541754566</v>
      </c>
      <c r="AJ2883" s="9">
        <v>3.0428788910505911</v>
      </c>
    </row>
    <row r="2884" spans="1:36" x14ac:dyDescent="0.25">
      <c r="A2884" t="s">
        <v>5411</v>
      </c>
      <c r="B2884" t="s">
        <v>16</v>
      </c>
      <c r="C2884" t="s">
        <v>17</v>
      </c>
      <c r="D2884">
        <v>58720000</v>
      </c>
      <c r="E2884">
        <v>58722999</v>
      </c>
      <c r="F2884" t="s">
        <v>2602</v>
      </c>
      <c r="G2884" t="str">
        <f t="shared" ref="G2884:G2947" si="90">H2884&amp;IF(J2884="CAPITAL","C",IF(J2884="INTERIOR","I",IF(J2884="INTERIOR II","I II","R")))</f>
        <v>PBI II</v>
      </c>
      <c r="H2884" t="s">
        <v>2471</v>
      </c>
      <c r="I2884" t="s">
        <v>20</v>
      </c>
      <c r="J2884" t="s">
        <v>64</v>
      </c>
      <c r="K2884" s="6">
        <v>0.03</v>
      </c>
      <c r="L2884" s="7">
        <f t="shared" ref="L2884:L2947" si="91">IF(I2884="(0) Não",0.2%,3%)</f>
        <v>2E-3</v>
      </c>
      <c r="M2884" s="7">
        <v>3.0000000000000001E-3</v>
      </c>
      <c r="N2884">
        <v>12</v>
      </c>
      <c r="O2884" s="8">
        <v>25.469420399191385</v>
      </c>
      <c r="P2884" s="9">
        <v>25.469420399191385</v>
      </c>
      <c r="Q2884" s="9">
        <v>25.469420399191385</v>
      </c>
      <c r="R2884" s="9">
        <v>27.985354957700171</v>
      </c>
      <c r="S2884" s="9">
        <v>30.758461120802014</v>
      </c>
      <c r="T2884" s="9">
        <v>33.102903982805351</v>
      </c>
      <c r="U2884" s="9">
        <v>40.375170889228379</v>
      </c>
      <c r="V2884" s="9">
        <v>40.375170889228379</v>
      </c>
      <c r="W2884" s="9">
        <v>40.375170889228379</v>
      </c>
      <c r="X2884" s="9">
        <v>48.614146284608282</v>
      </c>
      <c r="Y2884" s="9">
        <v>48.614146284608282</v>
      </c>
      <c r="Z2884" s="9">
        <v>56.959894508429748</v>
      </c>
      <c r="AA2884" s="9">
        <v>56.959894508429748</v>
      </c>
      <c r="AB2884" s="9">
        <v>65.423092843536963</v>
      </c>
      <c r="AC2884" s="9">
        <v>65.423092843536963</v>
      </c>
      <c r="AD2884" s="9">
        <v>76.101886260449433</v>
      </c>
      <c r="AE2884" s="9">
        <v>84.004204331617984</v>
      </c>
      <c r="AF2884" s="9">
        <v>92.047281772276918</v>
      </c>
      <c r="AG2884" s="9">
        <v>92.047281772276918</v>
      </c>
      <c r="AH2884" s="9">
        <v>101.16093014574129</v>
      </c>
      <c r="AI2884" s="9">
        <v>110.08433596377185</v>
      </c>
      <c r="AJ2884" s="9">
        <v>3.0428788910505911</v>
      </c>
    </row>
    <row r="2885" spans="1:36" x14ac:dyDescent="0.25">
      <c r="A2885" t="s">
        <v>5411</v>
      </c>
      <c r="B2885" t="s">
        <v>16</v>
      </c>
      <c r="C2885" t="s">
        <v>17</v>
      </c>
      <c r="D2885">
        <v>58723000</v>
      </c>
      <c r="E2885">
        <v>58724999</v>
      </c>
      <c r="F2885" t="s">
        <v>2603</v>
      </c>
      <c r="G2885" t="str">
        <f t="shared" si="90"/>
        <v>PBR</v>
      </c>
      <c r="H2885" t="s">
        <v>2471</v>
      </c>
      <c r="I2885" t="s">
        <v>20</v>
      </c>
      <c r="J2885" t="s">
        <v>77</v>
      </c>
      <c r="K2885" s="6">
        <v>0.03</v>
      </c>
      <c r="L2885" s="7">
        <f t="shared" si="91"/>
        <v>2E-3</v>
      </c>
      <c r="M2885" s="7">
        <v>3.0000000000000001E-3</v>
      </c>
      <c r="N2885">
        <v>17</v>
      </c>
      <c r="O2885" s="8">
        <v>31.674720005909176</v>
      </c>
      <c r="P2885" s="9">
        <v>31.674720005909176</v>
      </c>
      <c r="Q2885" s="9">
        <v>31.674720005909176</v>
      </c>
      <c r="R2885" s="9">
        <v>34.913308289497976</v>
      </c>
      <c r="S2885" s="9">
        <v>38.480048605011753</v>
      </c>
      <c r="T2885" s="9">
        <v>40.939971907336925</v>
      </c>
      <c r="U2885" s="9">
        <v>49.333088414904694</v>
      </c>
      <c r="V2885" s="9">
        <v>49.333088414904694</v>
      </c>
      <c r="W2885" s="9">
        <v>49.333088414904694</v>
      </c>
      <c r="X2885" s="9">
        <v>63.21225398254326</v>
      </c>
      <c r="Y2885" s="9">
        <v>63.21225398254326</v>
      </c>
      <c r="Z2885" s="9">
        <v>73.404961153420544</v>
      </c>
      <c r="AA2885" s="9">
        <v>73.404961153420544</v>
      </c>
      <c r="AB2885" s="9">
        <v>83.820133806833923</v>
      </c>
      <c r="AC2885" s="9">
        <v>83.820133806833923</v>
      </c>
      <c r="AD2885" s="9">
        <v>94.480018491037072</v>
      </c>
      <c r="AE2885" s="9">
        <v>105.40908640910902</v>
      </c>
      <c r="AF2885" s="9">
        <v>116.6342558844366</v>
      </c>
      <c r="AG2885" s="9">
        <v>116.6342558844366</v>
      </c>
      <c r="AH2885" s="9">
        <v>128.18513707274536</v>
      </c>
      <c r="AI2885" s="9">
        <v>140.98660541754566</v>
      </c>
      <c r="AJ2885" s="9">
        <v>3.0428788910505911</v>
      </c>
    </row>
    <row r="2886" spans="1:36" x14ac:dyDescent="0.25">
      <c r="A2886" t="s">
        <v>5411</v>
      </c>
      <c r="B2886" t="s">
        <v>16</v>
      </c>
      <c r="C2886" t="s">
        <v>17</v>
      </c>
      <c r="D2886">
        <v>58725000</v>
      </c>
      <c r="E2886">
        <v>58729999</v>
      </c>
      <c r="F2886" t="s">
        <v>2604</v>
      </c>
      <c r="G2886" t="str">
        <f t="shared" si="90"/>
        <v>PBR</v>
      </c>
      <c r="H2886" t="s">
        <v>2471</v>
      </c>
      <c r="I2886" t="s">
        <v>20</v>
      </c>
      <c r="J2886" t="s">
        <v>77</v>
      </c>
      <c r="K2886" s="6">
        <v>0.03</v>
      </c>
      <c r="L2886" s="7">
        <f t="shared" si="91"/>
        <v>2E-3</v>
      </c>
      <c r="M2886" s="7">
        <v>3.0000000000000001E-3</v>
      </c>
      <c r="N2886">
        <v>17</v>
      </c>
      <c r="O2886" s="8">
        <v>31.674720005909176</v>
      </c>
      <c r="P2886" s="9">
        <v>31.674720005909176</v>
      </c>
      <c r="Q2886" s="9">
        <v>31.674720005909176</v>
      </c>
      <c r="R2886" s="9">
        <v>34.913308289497976</v>
      </c>
      <c r="S2886" s="9">
        <v>38.480048605011753</v>
      </c>
      <c r="T2886" s="9">
        <v>40.939971907336925</v>
      </c>
      <c r="U2886" s="9">
        <v>49.333088414904694</v>
      </c>
      <c r="V2886" s="9">
        <v>49.333088414904694</v>
      </c>
      <c r="W2886" s="9">
        <v>49.333088414904694</v>
      </c>
      <c r="X2886" s="9">
        <v>63.21225398254326</v>
      </c>
      <c r="Y2886" s="9">
        <v>63.21225398254326</v>
      </c>
      <c r="Z2886" s="9">
        <v>73.404961153420544</v>
      </c>
      <c r="AA2886" s="9">
        <v>73.404961153420544</v>
      </c>
      <c r="AB2886" s="9">
        <v>83.820133806833923</v>
      </c>
      <c r="AC2886" s="9">
        <v>83.820133806833923</v>
      </c>
      <c r="AD2886" s="9">
        <v>94.480018491037072</v>
      </c>
      <c r="AE2886" s="9">
        <v>105.40908640910902</v>
      </c>
      <c r="AF2886" s="9">
        <v>116.6342558844366</v>
      </c>
      <c r="AG2886" s="9">
        <v>116.6342558844366</v>
      </c>
      <c r="AH2886" s="9">
        <v>128.18513707274536</v>
      </c>
      <c r="AI2886" s="9">
        <v>140.98660541754566</v>
      </c>
      <c r="AJ2886" s="9">
        <v>3.0428788910505911</v>
      </c>
    </row>
    <row r="2887" spans="1:36" x14ac:dyDescent="0.25">
      <c r="A2887" t="s">
        <v>5411</v>
      </c>
      <c r="B2887" t="s">
        <v>16</v>
      </c>
      <c r="C2887" t="s">
        <v>17</v>
      </c>
      <c r="D2887">
        <v>58730000</v>
      </c>
      <c r="E2887">
        <v>58731999</v>
      </c>
      <c r="F2887" t="s">
        <v>2605</v>
      </c>
      <c r="G2887" t="str">
        <f t="shared" si="90"/>
        <v>PBR</v>
      </c>
      <c r="H2887" t="s">
        <v>2471</v>
      </c>
      <c r="I2887" t="s">
        <v>20</v>
      </c>
      <c r="J2887" t="s">
        <v>77</v>
      </c>
      <c r="K2887" s="6">
        <v>0.03</v>
      </c>
      <c r="L2887" s="7">
        <f t="shared" si="91"/>
        <v>2E-3</v>
      </c>
      <c r="M2887" s="7">
        <v>3.0000000000000001E-3</v>
      </c>
      <c r="N2887">
        <v>17</v>
      </c>
      <c r="O2887" s="8">
        <v>31.674720005909176</v>
      </c>
      <c r="P2887" s="9">
        <v>31.674720005909176</v>
      </c>
      <c r="Q2887" s="9">
        <v>31.674720005909176</v>
      </c>
      <c r="R2887" s="9">
        <v>34.913308289497976</v>
      </c>
      <c r="S2887" s="9">
        <v>38.480048605011753</v>
      </c>
      <c r="T2887" s="9">
        <v>40.939971907336925</v>
      </c>
      <c r="U2887" s="9">
        <v>49.333088414904694</v>
      </c>
      <c r="V2887" s="9">
        <v>49.333088414904694</v>
      </c>
      <c r="W2887" s="9">
        <v>49.333088414904694</v>
      </c>
      <c r="X2887" s="9">
        <v>63.21225398254326</v>
      </c>
      <c r="Y2887" s="9">
        <v>63.21225398254326</v>
      </c>
      <c r="Z2887" s="9">
        <v>73.404961153420544</v>
      </c>
      <c r="AA2887" s="9">
        <v>73.404961153420544</v>
      </c>
      <c r="AB2887" s="9">
        <v>83.820133806833923</v>
      </c>
      <c r="AC2887" s="9">
        <v>83.820133806833923</v>
      </c>
      <c r="AD2887" s="9">
        <v>94.480018491037072</v>
      </c>
      <c r="AE2887" s="9">
        <v>105.40908640910902</v>
      </c>
      <c r="AF2887" s="9">
        <v>116.6342558844366</v>
      </c>
      <c r="AG2887" s="9">
        <v>116.6342558844366</v>
      </c>
      <c r="AH2887" s="9">
        <v>128.18513707274536</v>
      </c>
      <c r="AI2887" s="9">
        <v>140.98660541754566</v>
      </c>
      <c r="AJ2887" s="9">
        <v>3.0428788910505911</v>
      </c>
    </row>
    <row r="2888" spans="1:36" x14ac:dyDescent="0.25">
      <c r="A2888" t="s">
        <v>5411</v>
      </c>
      <c r="B2888" t="s">
        <v>16</v>
      </c>
      <c r="C2888" t="s">
        <v>17</v>
      </c>
      <c r="D2888">
        <v>58732000</v>
      </c>
      <c r="E2888">
        <v>58732999</v>
      </c>
      <c r="F2888" t="s">
        <v>2606</v>
      </c>
      <c r="G2888" t="str">
        <f t="shared" si="90"/>
        <v>PBR</v>
      </c>
      <c r="H2888" t="s">
        <v>2471</v>
      </c>
      <c r="I2888" t="s">
        <v>20</v>
      </c>
      <c r="J2888" t="s">
        <v>77</v>
      </c>
      <c r="K2888" s="6">
        <v>0.03</v>
      </c>
      <c r="L2888" s="7">
        <f t="shared" si="91"/>
        <v>2E-3</v>
      </c>
      <c r="M2888" s="7">
        <v>3.0000000000000001E-3</v>
      </c>
      <c r="N2888">
        <v>17</v>
      </c>
      <c r="O2888" s="8">
        <v>31.674720005909176</v>
      </c>
      <c r="P2888" s="9">
        <v>31.674720005909176</v>
      </c>
      <c r="Q2888" s="9">
        <v>31.674720005909176</v>
      </c>
      <c r="R2888" s="9">
        <v>34.913308289497976</v>
      </c>
      <c r="S2888" s="9">
        <v>38.480048605011753</v>
      </c>
      <c r="T2888" s="9">
        <v>40.939971907336925</v>
      </c>
      <c r="U2888" s="9">
        <v>49.333088414904694</v>
      </c>
      <c r="V2888" s="9">
        <v>49.333088414904694</v>
      </c>
      <c r="W2888" s="9">
        <v>49.333088414904694</v>
      </c>
      <c r="X2888" s="9">
        <v>63.21225398254326</v>
      </c>
      <c r="Y2888" s="9">
        <v>63.21225398254326</v>
      </c>
      <c r="Z2888" s="9">
        <v>73.404961153420544</v>
      </c>
      <c r="AA2888" s="9">
        <v>73.404961153420544</v>
      </c>
      <c r="AB2888" s="9">
        <v>83.820133806833923</v>
      </c>
      <c r="AC2888" s="9">
        <v>83.820133806833923</v>
      </c>
      <c r="AD2888" s="9">
        <v>94.480018491037072</v>
      </c>
      <c r="AE2888" s="9">
        <v>105.40908640910902</v>
      </c>
      <c r="AF2888" s="9">
        <v>116.6342558844366</v>
      </c>
      <c r="AG2888" s="9">
        <v>116.6342558844366</v>
      </c>
      <c r="AH2888" s="9">
        <v>128.18513707274536</v>
      </c>
      <c r="AI2888" s="9">
        <v>140.98660541754566</v>
      </c>
      <c r="AJ2888" s="9">
        <v>3.0428788910505911</v>
      </c>
    </row>
    <row r="2889" spans="1:36" x14ac:dyDescent="0.25">
      <c r="A2889" t="s">
        <v>5411</v>
      </c>
      <c r="B2889" t="s">
        <v>16</v>
      </c>
      <c r="C2889" t="s">
        <v>17</v>
      </c>
      <c r="D2889">
        <v>58733000</v>
      </c>
      <c r="E2889">
        <v>58733999</v>
      </c>
      <c r="F2889" t="s">
        <v>2362</v>
      </c>
      <c r="G2889" t="str">
        <f t="shared" si="90"/>
        <v>PBR</v>
      </c>
      <c r="H2889" t="s">
        <v>2471</v>
      </c>
      <c r="I2889" t="s">
        <v>20</v>
      </c>
      <c r="J2889" t="s">
        <v>77</v>
      </c>
      <c r="K2889" s="6">
        <v>0.03</v>
      </c>
      <c r="L2889" s="7">
        <f t="shared" si="91"/>
        <v>2E-3</v>
      </c>
      <c r="M2889" s="7">
        <v>3.0000000000000001E-3</v>
      </c>
      <c r="N2889">
        <v>17</v>
      </c>
      <c r="O2889" s="8">
        <v>31.674720005909176</v>
      </c>
      <c r="P2889" s="9">
        <v>31.674720005909176</v>
      </c>
      <c r="Q2889" s="9">
        <v>31.674720005909176</v>
      </c>
      <c r="R2889" s="9">
        <v>34.913308289497976</v>
      </c>
      <c r="S2889" s="9">
        <v>38.480048605011753</v>
      </c>
      <c r="T2889" s="9">
        <v>40.939971907336925</v>
      </c>
      <c r="U2889" s="9">
        <v>49.333088414904694</v>
      </c>
      <c r="V2889" s="9">
        <v>49.333088414904694</v>
      </c>
      <c r="W2889" s="9">
        <v>49.333088414904694</v>
      </c>
      <c r="X2889" s="9">
        <v>63.21225398254326</v>
      </c>
      <c r="Y2889" s="9">
        <v>63.21225398254326</v>
      </c>
      <c r="Z2889" s="9">
        <v>73.404961153420544</v>
      </c>
      <c r="AA2889" s="9">
        <v>73.404961153420544</v>
      </c>
      <c r="AB2889" s="9">
        <v>83.820133806833923</v>
      </c>
      <c r="AC2889" s="9">
        <v>83.820133806833923</v>
      </c>
      <c r="AD2889" s="9">
        <v>94.480018491037072</v>
      </c>
      <c r="AE2889" s="9">
        <v>105.40908640910902</v>
      </c>
      <c r="AF2889" s="9">
        <v>116.6342558844366</v>
      </c>
      <c r="AG2889" s="9">
        <v>116.6342558844366</v>
      </c>
      <c r="AH2889" s="9">
        <v>128.18513707274536</v>
      </c>
      <c r="AI2889" s="9">
        <v>140.98660541754566</v>
      </c>
      <c r="AJ2889" s="9">
        <v>3.0428788910505911</v>
      </c>
    </row>
    <row r="2890" spans="1:36" x14ac:dyDescent="0.25">
      <c r="A2890" t="s">
        <v>5411</v>
      </c>
      <c r="B2890" t="s">
        <v>16</v>
      </c>
      <c r="C2890" t="s">
        <v>17</v>
      </c>
      <c r="D2890">
        <v>58734000</v>
      </c>
      <c r="E2890">
        <v>58734999</v>
      </c>
      <c r="F2890" t="s">
        <v>2607</v>
      </c>
      <c r="G2890" t="str">
        <f t="shared" si="90"/>
        <v>PBR</v>
      </c>
      <c r="H2890" t="s">
        <v>2471</v>
      </c>
      <c r="I2890" t="s">
        <v>20</v>
      </c>
      <c r="J2890" t="s">
        <v>77</v>
      </c>
      <c r="K2890" s="6">
        <v>0.03</v>
      </c>
      <c r="L2890" s="7">
        <f t="shared" si="91"/>
        <v>2E-3</v>
      </c>
      <c r="M2890" s="7">
        <v>3.0000000000000001E-3</v>
      </c>
      <c r="N2890">
        <v>17</v>
      </c>
      <c r="O2890" s="8">
        <v>31.674720005909176</v>
      </c>
      <c r="P2890" s="9">
        <v>31.674720005909176</v>
      </c>
      <c r="Q2890" s="9">
        <v>31.674720005909176</v>
      </c>
      <c r="R2890" s="9">
        <v>34.913308289497976</v>
      </c>
      <c r="S2890" s="9">
        <v>38.480048605011753</v>
      </c>
      <c r="T2890" s="9">
        <v>40.939971907336925</v>
      </c>
      <c r="U2890" s="9">
        <v>49.333088414904694</v>
      </c>
      <c r="V2890" s="9">
        <v>49.333088414904694</v>
      </c>
      <c r="W2890" s="9">
        <v>49.333088414904694</v>
      </c>
      <c r="X2890" s="9">
        <v>63.21225398254326</v>
      </c>
      <c r="Y2890" s="9">
        <v>63.21225398254326</v>
      </c>
      <c r="Z2890" s="9">
        <v>73.404961153420544</v>
      </c>
      <c r="AA2890" s="9">
        <v>73.404961153420544</v>
      </c>
      <c r="AB2890" s="9">
        <v>83.820133806833923</v>
      </c>
      <c r="AC2890" s="9">
        <v>83.820133806833923</v>
      </c>
      <c r="AD2890" s="9">
        <v>94.480018491037072</v>
      </c>
      <c r="AE2890" s="9">
        <v>105.40908640910902</v>
      </c>
      <c r="AF2890" s="9">
        <v>116.6342558844366</v>
      </c>
      <c r="AG2890" s="9">
        <v>116.6342558844366</v>
      </c>
      <c r="AH2890" s="9">
        <v>128.18513707274536</v>
      </c>
      <c r="AI2890" s="9">
        <v>140.98660541754566</v>
      </c>
      <c r="AJ2890" s="9">
        <v>3.0428788910505911</v>
      </c>
    </row>
    <row r="2891" spans="1:36" x14ac:dyDescent="0.25">
      <c r="A2891" t="s">
        <v>5411</v>
      </c>
      <c r="B2891" t="s">
        <v>16</v>
      </c>
      <c r="C2891" t="s">
        <v>17</v>
      </c>
      <c r="D2891">
        <v>58735000</v>
      </c>
      <c r="E2891">
        <v>58736999</v>
      </c>
      <c r="F2891" t="s">
        <v>2608</v>
      </c>
      <c r="G2891" t="str">
        <f t="shared" si="90"/>
        <v>PBR</v>
      </c>
      <c r="H2891" t="s">
        <v>2471</v>
      </c>
      <c r="I2891" t="s">
        <v>20</v>
      </c>
      <c r="J2891" t="s">
        <v>77</v>
      </c>
      <c r="K2891" s="6">
        <v>0.03</v>
      </c>
      <c r="L2891" s="7">
        <f t="shared" si="91"/>
        <v>2E-3</v>
      </c>
      <c r="M2891" s="7">
        <v>3.0000000000000001E-3</v>
      </c>
      <c r="N2891">
        <v>17</v>
      </c>
      <c r="O2891" s="8">
        <v>31.674720005909176</v>
      </c>
      <c r="P2891" s="9">
        <v>31.674720005909176</v>
      </c>
      <c r="Q2891" s="9">
        <v>31.674720005909176</v>
      </c>
      <c r="R2891" s="9">
        <v>34.913308289497976</v>
      </c>
      <c r="S2891" s="9">
        <v>38.480048605011753</v>
      </c>
      <c r="T2891" s="9">
        <v>40.939971907336925</v>
      </c>
      <c r="U2891" s="9">
        <v>49.333088414904694</v>
      </c>
      <c r="V2891" s="9">
        <v>49.333088414904694</v>
      </c>
      <c r="W2891" s="9">
        <v>49.333088414904694</v>
      </c>
      <c r="X2891" s="9">
        <v>63.21225398254326</v>
      </c>
      <c r="Y2891" s="9">
        <v>63.21225398254326</v>
      </c>
      <c r="Z2891" s="9">
        <v>73.404961153420544</v>
      </c>
      <c r="AA2891" s="9">
        <v>73.404961153420544</v>
      </c>
      <c r="AB2891" s="9">
        <v>83.820133806833923</v>
      </c>
      <c r="AC2891" s="9">
        <v>83.820133806833923</v>
      </c>
      <c r="AD2891" s="9">
        <v>94.480018491037072</v>
      </c>
      <c r="AE2891" s="9">
        <v>105.40908640910902</v>
      </c>
      <c r="AF2891" s="9">
        <v>116.6342558844366</v>
      </c>
      <c r="AG2891" s="9">
        <v>116.6342558844366</v>
      </c>
      <c r="AH2891" s="9">
        <v>128.18513707274536</v>
      </c>
      <c r="AI2891" s="9">
        <v>140.98660541754566</v>
      </c>
      <c r="AJ2891" s="9">
        <v>3.0428788910505911</v>
      </c>
    </row>
    <row r="2892" spans="1:36" x14ac:dyDescent="0.25">
      <c r="A2892" t="s">
        <v>5411</v>
      </c>
      <c r="B2892" t="s">
        <v>16</v>
      </c>
      <c r="C2892" t="s">
        <v>17</v>
      </c>
      <c r="D2892">
        <v>58737000</v>
      </c>
      <c r="E2892">
        <v>58739999</v>
      </c>
      <c r="F2892" t="s">
        <v>2609</v>
      </c>
      <c r="G2892" t="str">
        <f t="shared" si="90"/>
        <v>PBR</v>
      </c>
      <c r="H2892" t="s">
        <v>2471</v>
      </c>
      <c r="I2892" t="s">
        <v>20</v>
      </c>
      <c r="J2892" t="s">
        <v>77</v>
      </c>
      <c r="K2892" s="6">
        <v>0.03</v>
      </c>
      <c r="L2892" s="7">
        <f t="shared" si="91"/>
        <v>2E-3</v>
      </c>
      <c r="M2892" s="7">
        <v>3.0000000000000001E-3</v>
      </c>
      <c r="N2892">
        <v>17</v>
      </c>
      <c r="O2892" s="8">
        <v>31.674720005909176</v>
      </c>
      <c r="P2892" s="9">
        <v>31.674720005909176</v>
      </c>
      <c r="Q2892" s="9">
        <v>31.674720005909176</v>
      </c>
      <c r="R2892" s="9">
        <v>34.913308289497976</v>
      </c>
      <c r="S2892" s="9">
        <v>38.480048605011753</v>
      </c>
      <c r="T2892" s="9">
        <v>40.939971907336925</v>
      </c>
      <c r="U2892" s="9">
        <v>49.333088414904694</v>
      </c>
      <c r="V2892" s="9">
        <v>49.333088414904694</v>
      </c>
      <c r="W2892" s="9">
        <v>49.333088414904694</v>
      </c>
      <c r="X2892" s="9">
        <v>63.21225398254326</v>
      </c>
      <c r="Y2892" s="9">
        <v>63.21225398254326</v>
      </c>
      <c r="Z2892" s="9">
        <v>73.404961153420544</v>
      </c>
      <c r="AA2892" s="9">
        <v>73.404961153420544</v>
      </c>
      <c r="AB2892" s="9">
        <v>83.820133806833923</v>
      </c>
      <c r="AC2892" s="9">
        <v>83.820133806833923</v>
      </c>
      <c r="AD2892" s="9">
        <v>94.480018491037072</v>
      </c>
      <c r="AE2892" s="9">
        <v>105.40908640910902</v>
      </c>
      <c r="AF2892" s="9">
        <v>116.6342558844366</v>
      </c>
      <c r="AG2892" s="9">
        <v>116.6342558844366</v>
      </c>
      <c r="AH2892" s="9">
        <v>128.18513707274536</v>
      </c>
      <c r="AI2892" s="9">
        <v>140.98660541754566</v>
      </c>
      <c r="AJ2892" s="9">
        <v>3.0428788910505911</v>
      </c>
    </row>
    <row r="2893" spans="1:36" x14ac:dyDescent="0.25">
      <c r="A2893" t="s">
        <v>5411</v>
      </c>
      <c r="B2893" t="s">
        <v>16</v>
      </c>
      <c r="C2893" t="s">
        <v>17</v>
      </c>
      <c r="D2893">
        <v>58740000</v>
      </c>
      <c r="E2893">
        <v>58744999</v>
      </c>
      <c r="F2893" t="s">
        <v>2610</v>
      </c>
      <c r="G2893" t="str">
        <f t="shared" si="90"/>
        <v>PBR</v>
      </c>
      <c r="H2893" t="s">
        <v>2471</v>
      </c>
      <c r="I2893" t="s">
        <v>20</v>
      </c>
      <c r="J2893" t="s">
        <v>77</v>
      </c>
      <c r="K2893" s="6">
        <v>0.03</v>
      </c>
      <c r="L2893" s="7">
        <f t="shared" si="91"/>
        <v>2E-3</v>
      </c>
      <c r="M2893" s="7">
        <v>3.0000000000000001E-3</v>
      </c>
      <c r="N2893">
        <v>17</v>
      </c>
      <c r="O2893" s="8">
        <v>31.674720005909176</v>
      </c>
      <c r="P2893" s="9">
        <v>31.674720005909176</v>
      </c>
      <c r="Q2893" s="9">
        <v>31.674720005909176</v>
      </c>
      <c r="R2893" s="9">
        <v>34.913308289497976</v>
      </c>
      <c r="S2893" s="9">
        <v>38.480048605011753</v>
      </c>
      <c r="T2893" s="9">
        <v>40.939971907336925</v>
      </c>
      <c r="U2893" s="9">
        <v>49.333088414904694</v>
      </c>
      <c r="V2893" s="9">
        <v>49.333088414904694</v>
      </c>
      <c r="W2893" s="9">
        <v>49.333088414904694</v>
      </c>
      <c r="X2893" s="9">
        <v>63.21225398254326</v>
      </c>
      <c r="Y2893" s="9">
        <v>63.21225398254326</v>
      </c>
      <c r="Z2893" s="9">
        <v>73.404961153420544</v>
      </c>
      <c r="AA2893" s="9">
        <v>73.404961153420544</v>
      </c>
      <c r="AB2893" s="9">
        <v>83.820133806833923</v>
      </c>
      <c r="AC2893" s="9">
        <v>83.820133806833923</v>
      </c>
      <c r="AD2893" s="9">
        <v>94.480018491037072</v>
      </c>
      <c r="AE2893" s="9">
        <v>105.40908640910902</v>
      </c>
      <c r="AF2893" s="9">
        <v>116.6342558844366</v>
      </c>
      <c r="AG2893" s="9">
        <v>116.6342558844366</v>
      </c>
      <c r="AH2893" s="9">
        <v>128.18513707274536</v>
      </c>
      <c r="AI2893" s="9">
        <v>140.98660541754566</v>
      </c>
      <c r="AJ2893" s="9">
        <v>3.0428788910505911</v>
      </c>
    </row>
    <row r="2894" spans="1:36" x14ac:dyDescent="0.25">
      <c r="A2894" t="s">
        <v>5411</v>
      </c>
      <c r="B2894" t="s">
        <v>16</v>
      </c>
      <c r="C2894" t="s">
        <v>17</v>
      </c>
      <c r="D2894">
        <v>58745000</v>
      </c>
      <c r="E2894">
        <v>58747999</v>
      </c>
      <c r="F2894" t="s">
        <v>2611</v>
      </c>
      <c r="G2894" t="str">
        <f t="shared" si="90"/>
        <v>PBR</v>
      </c>
      <c r="H2894" t="s">
        <v>2471</v>
      </c>
      <c r="I2894" t="s">
        <v>20</v>
      </c>
      <c r="J2894" t="s">
        <v>77</v>
      </c>
      <c r="K2894" s="6">
        <v>0.03</v>
      </c>
      <c r="L2894" s="7">
        <f t="shared" si="91"/>
        <v>2E-3</v>
      </c>
      <c r="M2894" s="7">
        <v>3.0000000000000001E-3</v>
      </c>
      <c r="N2894">
        <v>17</v>
      </c>
      <c r="O2894" s="8">
        <v>31.674720005909176</v>
      </c>
      <c r="P2894" s="9">
        <v>31.674720005909176</v>
      </c>
      <c r="Q2894" s="9">
        <v>31.674720005909176</v>
      </c>
      <c r="R2894" s="9">
        <v>34.913308289497976</v>
      </c>
      <c r="S2894" s="9">
        <v>38.480048605011753</v>
      </c>
      <c r="T2894" s="9">
        <v>40.939971907336925</v>
      </c>
      <c r="U2894" s="9">
        <v>49.333088414904694</v>
      </c>
      <c r="V2894" s="9">
        <v>49.333088414904694</v>
      </c>
      <c r="W2894" s="9">
        <v>49.333088414904694</v>
      </c>
      <c r="X2894" s="9">
        <v>63.21225398254326</v>
      </c>
      <c r="Y2894" s="9">
        <v>63.21225398254326</v>
      </c>
      <c r="Z2894" s="9">
        <v>73.404961153420544</v>
      </c>
      <c r="AA2894" s="9">
        <v>73.404961153420544</v>
      </c>
      <c r="AB2894" s="9">
        <v>83.820133806833923</v>
      </c>
      <c r="AC2894" s="9">
        <v>83.820133806833923</v>
      </c>
      <c r="AD2894" s="9">
        <v>94.480018491037072</v>
      </c>
      <c r="AE2894" s="9">
        <v>105.40908640910902</v>
      </c>
      <c r="AF2894" s="9">
        <v>116.6342558844366</v>
      </c>
      <c r="AG2894" s="9">
        <v>116.6342558844366</v>
      </c>
      <c r="AH2894" s="9">
        <v>128.18513707274536</v>
      </c>
      <c r="AI2894" s="9">
        <v>140.98660541754566</v>
      </c>
      <c r="AJ2894" s="9">
        <v>3.0428788910505911</v>
      </c>
    </row>
    <row r="2895" spans="1:36" x14ac:dyDescent="0.25">
      <c r="A2895" t="s">
        <v>5411</v>
      </c>
      <c r="B2895" t="s">
        <v>16</v>
      </c>
      <c r="C2895" t="s">
        <v>17</v>
      </c>
      <c r="D2895">
        <v>58748000</v>
      </c>
      <c r="E2895">
        <v>58749999</v>
      </c>
      <c r="F2895" t="s">
        <v>2417</v>
      </c>
      <c r="G2895" t="str">
        <f t="shared" si="90"/>
        <v>PBR</v>
      </c>
      <c r="H2895" t="s">
        <v>2471</v>
      </c>
      <c r="I2895" t="s">
        <v>20</v>
      </c>
      <c r="J2895" t="s">
        <v>77</v>
      </c>
      <c r="K2895" s="6">
        <v>0.03</v>
      </c>
      <c r="L2895" s="7">
        <f t="shared" si="91"/>
        <v>2E-3</v>
      </c>
      <c r="M2895" s="7">
        <v>3.0000000000000001E-3</v>
      </c>
      <c r="N2895">
        <v>17</v>
      </c>
      <c r="O2895" s="8">
        <v>31.674720005909176</v>
      </c>
      <c r="P2895" s="9">
        <v>31.674720005909176</v>
      </c>
      <c r="Q2895" s="9">
        <v>31.674720005909176</v>
      </c>
      <c r="R2895" s="9">
        <v>34.913308289497976</v>
      </c>
      <c r="S2895" s="9">
        <v>38.480048605011753</v>
      </c>
      <c r="T2895" s="9">
        <v>40.939971907336925</v>
      </c>
      <c r="U2895" s="9">
        <v>49.333088414904694</v>
      </c>
      <c r="V2895" s="9">
        <v>49.333088414904694</v>
      </c>
      <c r="W2895" s="9">
        <v>49.333088414904694</v>
      </c>
      <c r="X2895" s="9">
        <v>63.21225398254326</v>
      </c>
      <c r="Y2895" s="9">
        <v>63.21225398254326</v>
      </c>
      <c r="Z2895" s="9">
        <v>73.404961153420544</v>
      </c>
      <c r="AA2895" s="9">
        <v>73.404961153420544</v>
      </c>
      <c r="AB2895" s="9">
        <v>83.820133806833923</v>
      </c>
      <c r="AC2895" s="9">
        <v>83.820133806833923</v>
      </c>
      <c r="AD2895" s="9">
        <v>94.480018491037072</v>
      </c>
      <c r="AE2895" s="9">
        <v>105.40908640910902</v>
      </c>
      <c r="AF2895" s="9">
        <v>116.6342558844366</v>
      </c>
      <c r="AG2895" s="9">
        <v>116.6342558844366</v>
      </c>
      <c r="AH2895" s="9">
        <v>128.18513707274536</v>
      </c>
      <c r="AI2895" s="9">
        <v>140.98660541754566</v>
      </c>
      <c r="AJ2895" s="9">
        <v>3.0428788910505911</v>
      </c>
    </row>
    <row r="2896" spans="1:36" x14ac:dyDescent="0.25">
      <c r="A2896" t="s">
        <v>5411</v>
      </c>
      <c r="B2896" t="s">
        <v>16</v>
      </c>
      <c r="C2896" t="s">
        <v>17</v>
      </c>
      <c r="D2896">
        <v>58750000</v>
      </c>
      <c r="E2896">
        <v>58752999</v>
      </c>
      <c r="F2896" t="s">
        <v>2612</v>
      </c>
      <c r="G2896" t="str">
        <f t="shared" si="90"/>
        <v>PBR</v>
      </c>
      <c r="H2896" t="s">
        <v>2471</v>
      </c>
      <c r="I2896" t="s">
        <v>20</v>
      </c>
      <c r="J2896" t="s">
        <v>77</v>
      </c>
      <c r="K2896" s="6">
        <v>0.03</v>
      </c>
      <c r="L2896" s="7">
        <f t="shared" si="91"/>
        <v>2E-3</v>
      </c>
      <c r="M2896" s="7">
        <v>3.0000000000000001E-3</v>
      </c>
      <c r="N2896">
        <v>17</v>
      </c>
      <c r="O2896" s="8">
        <v>31.674720005909176</v>
      </c>
      <c r="P2896" s="9">
        <v>31.674720005909176</v>
      </c>
      <c r="Q2896" s="9">
        <v>31.674720005909176</v>
      </c>
      <c r="R2896" s="9">
        <v>34.913308289497976</v>
      </c>
      <c r="S2896" s="9">
        <v>38.480048605011753</v>
      </c>
      <c r="T2896" s="9">
        <v>40.939971907336925</v>
      </c>
      <c r="U2896" s="9">
        <v>49.333088414904694</v>
      </c>
      <c r="V2896" s="9">
        <v>49.333088414904694</v>
      </c>
      <c r="W2896" s="9">
        <v>49.333088414904694</v>
      </c>
      <c r="X2896" s="9">
        <v>63.21225398254326</v>
      </c>
      <c r="Y2896" s="9">
        <v>63.21225398254326</v>
      </c>
      <c r="Z2896" s="9">
        <v>73.404961153420544</v>
      </c>
      <c r="AA2896" s="9">
        <v>73.404961153420544</v>
      </c>
      <c r="AB2896" s="9">
        <v>83.820133806833923</v>
      </c>
      <c r="AC2896" s="9">
        <v>83.820133806833923</v>
      </c>
      <c r="AD2896" s="9">
        <v>94.480018491037072</v>
      </c>
      <c r="AE2896" s="9">
        <v>105.40908640910902</v>
      </c>
      <c r="AF2896" s="9">
        <v>116.6342558844366</v>
      </c>
      <c r="AG2896" s="9">
        <v>116.6342558844366</v>
      </c>
      <c r="AH2896" s="9">
        <v>128.18513707274536</v>
      </c>
      <c r="AI2896" s="9">
        <v>140.98660541754566</v>
      </c>
      <c r="AJ2896" s="9">
        <v>3.0428788910505911</v>
      </c>
    </row>
    <row r="2897" spans="1:36" x14ac:dyDescent="0.25">
      <c r="A2897" t="s">
        <v>5411</v>
      </c>
      <c r="B2897" t="s">
        <v>16</v>
      </c>
      <c r="C2897" t="s">
        <v>17</v>
      </c>
      <c r="D2897">
        <v>58753000</v>
      </c>
      <c r="E2897">
        <v>58754999</v>
      </c>
      <c r="F2897" t="s">
        <v>2613</v>
      </c>
      <c r="G2897" t="str">
        <f t="shared" si="90"/>
        <v>PBR</v>
      </c>
      <c r="H2897" t="s">
        <v>2471</v>
      </c>
      <c r="I2897" t="s">
        <v>20</v>
      </c>
      <c r="J2897" t="s">
        <v>77</v>
      </c>
      <c r="K2897" s="6">
        <v>0.03</v>
      </c>
      <c r="L2897" s="7">
        <f t="shared" si="91"/>
        <v>2E-3</v>
      </c>
      <c r="M2897" s="7">
        <v>3.0000000000000001E-3</v>
      </c>
      <c r="N2897">
        <v>17</v>
      </c>
      <c r="O2897" s="8">
        <v>31.674720005909176</v>
      </c>
      <c r="P2897" s="9">
        <v>31.674720005909176</v>
      </c>
      <c r="Q2897" s="9">
        <v>31.674720005909176</v>
      </c>
      <c r="R2897" s="9">
        <v>34.913308289497976</v>
      </c>
      <c r="S2897" s="9">
        <v>38.480048605011753</v>
      </c>
      <c r="T2897" s="9">
        <v>40.939971907336925</v>
      </c>
      <c r="U2897" s="9">
        <v>49.333088414904694</v>
      </c>
      <c r="V2897" s="9">
        <v>49.333088414904694</v>
      </c>
      <c r="W2897" s="9">
        <v>49.333088414904694</v>
      </c>
      <c r="X2897" s="9">
        <v>63.21225398254326</v>
      </c>
      <c r="Y2897" s="9">
        <v>63.21225398254326</v>
      </c>
      <c r="Z2897" s="9">
        <v>73.404961153420544</v>
      </c>
      <c r="AA2897" s="9">
        <v>73.404961153420544</v>
      </c>
      <c r="AB2897" s="9">
        <v>83.820133806833923</v>
      </c>
      <c r="AC2897" s="9">
        <v>83.820133806833923</v>
      </c>
      <c r="AD2897" s="9">
        <v>94.480018491037072</v>
      </c>
      <c r="AE2897" s="9">
        <v>105.40908640910902</v>
      </c>
      <c r="AF2897" s="9">
        <v>116.6342558844366</v>
      </c>
      <c r="AG2897" s="9">
        <v>116.6342558844366</v>
      </c>
      <c r="AH2897" s="9">
        <v>128.18513707274536</v>
      </c>
      <c r="AI2897" s="9">
        <v>140.98660541754566</v>
      </c>
      <c r="AJ2897" s="9">
        <v>3.0428788910505911</v>
      </c>
    </row>
    <row r="2898" spans="1:36" x14ac:dyDescent="0.25">
      <c r="A2898" t="s">
        <v>5411</v>
      </c>
      <c r="B2898" t="s">
        <v>16</v>
      </c>
      <c r="C2898" t="s">
        <v>17</v>
      </c>
      <c r="D2898">
        <v>58755000</v>
      </c>
      <c r="E2898">
        <v>58757999</v>
      </c>
      <c r="F2898" t="s">
        <v>2614</v>
      </c>
      <c r="G2898" t="str">
        <f t="shared" si="90"/>
        <v>PBR</v>
      </c>
      <c r="H2898" t="s">
        <v>2471</v>
      </c>
      <c r="I2898" t="s">
        <v>20</v>
      </c>
      <c r="J2898" t="s">
        <v>77</v>
      </c>
      <c r="K2898" s="6">
        <v>0.03</v>
      </c>
      <c r="L2898" s="7">
        <f t="shared" si="91"/>
        <v>2E-3</v>
      </c>
      <c r="M2898" s="7">
        <v>3.0000000000000001E-3</v>
      </c>
      <c r="N2898">
        <v>17</v>
      </c>
      <c r="O2898" s="8">
        <v>31.674720005909176</v>
      </c>
      <c r="P2898" s="9">
        <v>31.674720005909176</v>
      </c>
      <c r="Q2898" s="9">
        <v>31.674720005909176</v>
      </c>
      <c r="R2898" s="9">
        <v>34.913308289497976</v>
      </c>
      <c r="S2898" s="9">
        <v>38.480048605011753</v>
      </c>
      <c r="T2898" s="9">
        <v>40.939971907336925</v>
      </c>
      <c r="U2898" s="9">
        <v>49.333088414904694</v>
      </c>
      <c r="V2898" s="9">
        <v>49.333088414904694</v>
      </c>
      <c r="W2898" s="9">
        <v>49.333088414904694</v>
      </c>
      <c r="X2898" s="9">
        <v>63.21225398254326</v>
      </c>
      <c r="Y2898" s="9">
        <v>63.21225398254326</v>
      </c>
      <c r="Z2898" s="9">
        <v>73.404961153420544</v>
      </c>
      <c r="AA2898" s="9">
        <v>73.404961153420544</v>
      </c>
      <c r="AB2898" s="9">
        <v>83.820133806833923</v>
      </c>
      <c r="AC2898" s="9">
        <v>83.820133806833923</v>
      </c>
      <c r="AD2898" s="9">
        <v>94.480018491037072</v>
      </c>
      <c r="AE2898" s="9">
        <v>105.40908640910902</v>
      </c>
      <c r="AF2898" s="9">
        <v>116.6342558844366</v>
      </c>
      <c r="AG2898" s="9">
        <v>116.6342558844366</v>
      </c>
      <c r="AH2898" s="9">
        <v>128.18513707274536</v>
      </c>
      <c r="AI2898" s="9">
        <v>140.98660541754566</v>
      </c>
      <c r="AJ2898" s="9">
        <v>3.0428788910505911</v>
      </c>
    </row>
    <row r="2899" spans="1:36" x14ac:dyDescent="0.25">
      <c r="A2899" t="s">
        <v>5411</v>
      </c>
      <c r="B2899" t="s">
        <v>16</v>
      </c>
      <c r="C2899" t="s">
        <v>17</v>
      </c>
      <c r="D2899">
        <v>58758000</v>
      </c>
      <c r="E2899">
        <v>58759999</v>
      </c>
      <c r="F2899" t="s">
        <v>2615</v>
      </c>
      <c r="G2899" t="str">
        <f t="shared" si="90"/>
        <v>PBR</v>
      </c>
      <c r="H2899" t="s">
        <v>2471</v>
      </c>
      <c r="I2899" t="s">
        <v>20</v>
      </c>
      <c r="J2899" t="s">
        <v>77</v>
      </c>
      <c r="K2899" s="6">
        <v>0.03</v>
      </c>
      <c r="L2899" s="7">
        <f t="shared" si="91"/>
        <v>2E-3</v>
      </c>
      <c r="M2899" s="7">
        <v>3.0000000000000001E-3</v>
      </c>
      <c r="N2899">
        <v>17</v>
      </c>
      <c r="O2899" s="8">
        <v>31.674720005909176</v>
      </c>
      <c r="P2899" s="9">
        <v>31.674720005909176</v>
      </c>
      <c r="Q2899" s="9">
        <v>31.674720005909176</v>
      </c>
      <c r="R2899" s="9">
        <v>34.913308289497976</v>
      </c>
      <c r="S2899" s="9">
        <v>38.480048605011753</v>
      </c>
      <c r="T2899" s="9">
        <v>40.939971907336925</v>
      </c>
      <c r="U2899" s="9">
        <v>49.333088414904694</v>
      </c>
      <c r="V2899" s="9">
        <v>49.333088414904694</v>
      </c>
      <c r="W2899" s="9">
        <v>49.333088414904694</v>
      </c>
      <c r="X2899" s="9">
        <v>63.21225398254326</v>
      </c>
      <c r="Y2899" s="9">
        <v>63.21225398254326</v>
      </c>
      <c r="Z2899" s="9">
        <v>73.404961153420544</v>
      </c>
      <c r="AA2899" s="9">
        <v>73.404961153420544</v>
      </c>
      <c r="AB2899" s="9">
        <v>83.820133806833923</v>
      </c>
      <c r="AC2899" s="9">
        <v>83.820133806833923</v>
      </c>
      <c r="AD2899" s="9">
        <v>94.480018491037072</v>
      </c>
      <c r="AE2899" s="9">
        <v>105.40908640910902</v>
      </c>
      <c r="AF2899" s="9">
        <v>116.6342558844366</v>
      </c>
      <c r="AG2899" s="9">
        <v>116.6342558844366</v>
      </c>
      <c r="AH2899" s="9">
        <v>128.18513707274536</v>
      </c>
      <c r="AI2899" s="9">
        <v>140.98660541754566</v>
      </c>
      <c r="AJ2899" s="9">
        <v>3.0428788910505911</v>
      </c>
    </row>
    <row r="2900" spans="1:36" x14ac:dyDescent="0.25">
      <c r="A2900" t="s">
        <v>5411</v>
      </c>
      <c r="B2900" t="s">
        <v>16</v>
      </c>
      <c r="C2900" t="s">
        <v>17</v>
      </c>
      <c r="D2900">
        <v>58760000</v>
      </c>
      <c r="E2900">
        <v>58762999</v>
      </c>
      <c r="F2900" t="s">
        <v>2616</v>
      </c>
      <c r="G2900" t="str">
        <f t="shared" si="90"/>
        <v>PBR</v>
      </c>
      <c r="H2900" t="s">
        <v>2471</v>
      </c>
      <c r="I2900" t="s">
        <v>20</v>
      </c>
      <c r="J2900" t="s">
        <v>77</v>
      </c>
      <c r="K2900" s="6">
        <v>0.03</v>
      </c>
      <c r="L2900" s="7">
        <f t="shared" si="91"/>
        <v>2E-3</v>
      </c>
      <c r="M2900" s="7">
        <v>3.0000000000000001E-3</v>
      </c>
      <c r="N2900">
        <v>17</v>
      </c>
      <c r="O2900" s="8">
        <v>31.674720005909176</v>
      </c>
      <c r="P2900" s="9">
        <v>31.674720005909176</v>
      </c>
      <c r="Q2900" s="9">
        <v>31.674720005909176</v>
      </c>
      <c r="R2900" s="9">
        <v>34.913308289497976</v>
      </c>
      <c r="S2900" s="9">
        <v>38.480048605011753</v>
      </c>
      <c r="T2900" s="9">
        <v>40.939971907336925</v>
      </c>
      <c r="U2900" s="9">
        <v>49.333088414904694</v>
      </c>
      <c r="V2900" s="9">
        <v>49.333088414904694</v>
      </c>
      <c r="W2900" s="9">
        <v>49.333088414904694</v>
      </c>
      <c r="X2900" s="9">
        <v>63.21225398254326</v>
      </c>
      <c r="Y2900" s="9">
        <v>63.21225398254326</v>
      </c>
      <c r="Z2900" s="9">
        <v>73.404961153420544</v>
      </c>
      <c r="AA2900" s="9">
        <v>73.404961153420544</v>
      </c>
      <c r="AB2900" s="9">
        <v>83.820133806833923</v>
      </c>
      <c r="AC2900" s="9">
        <v>83.820133806833923</v>
      </c>
      <c r="AD2900" s="9">
        <v>94.480018491037072</v>
      </c>
      <c r="AE2900" s="9">
        <v>105.40908640910902</v>
      </c>
      <c r="AF2900" s="9">
        <v>116.6342558844366</v>
      </c>
      <c r="AG2900" s="9">
        <v>116.6342558844366</v>
      </c>
      <c r="AH2900" s="9">
        <v>128.18513707274536</v>
      </c>
      <c r="AI2900" s="9">
        <v>140.98660541754566</v>
      </c>
      <c r="AJ2900" s="9">
        <v>3.0428788910505911</v>
      </c>
    </row>
    <row r="2901" spans="1:36" x14ac:dyDescent="0.25">
      <c r="A2901" t="s">
        <v>5411</v>
      </c>
      <c r="B2901" t="s">
        <v>16</v>
      </c>
      <c r="C2901" t="s">
        <v>17</v>
      </c>
      <c r="D2901">
        <v>58763000</v>
      </c>
      <c r="E2901">
        <v>58764999</v>
      </c>
      <c r="F2901" t="s">
        <v>2617</v>
      </c>
      <c r="G2901" t="str">
        <f t="shared" si="90"/>
        <v>PBR</v>
      </c>
      <c r="H2901" t="s">
        <v>2471</v>
      </c>
      <c r="I2901" t="s">
        <v>20</v>
      </c>
      <c r="J2901" t="s">
        <v>77</v>
      </c>
      <c r="K2901" s="6">
        <v>0.03</v>
      </c>
      <c r="L2901" s="7">
        <f t="shared" si="91"/>
        <v>2E-3</v>
      </c>
      <c r="M2901" s="7">
        <v>3.0000000000000001E-3</v>
      </c>
      <c r="N2901">
        <v>17</v>
      </c>
      <c r="O2901" s="8">
        <v>31.674720005909176</v>
      </c>
      <c r="P2901" s="9">
        <v>31.674720005909176</v>
      </c>
      <c r="Q2901" s="9">
        <v>31.674720005909176</v>
      </c>
      <c r="R2901" s="9">
        <v>34.913308289497976</v>
      </c>
      <c r="S2901" s="9">
        <v>38.480048605011753</v>
      </c>
      <c r="T2901" s="9">
        <v>40.939971907336925</v>
      </c>
      <c r="U2901" s="9">
        <v>49.333088414904694</v>
      </c>
      <c r="V2901" s="9">
        <v>49.333088414904694</v>
      </c>
      <c r="W2901" s="9">
        <v>49.333088414904694</v>
      </c>
      <c r="X2901" s="9">
        <v>63.21225398254326</v>
      </c>
      <c r="Y2901" s="9">
        <v>63.21225398254326</v>
      </c>
      <c r="Z2901" s="9">
        <v>73.404961153420544</v>
      </c>
      <c r="AA2901" s="9">
        <v>73.404961153420544</v>
      </c>
      <c r="AB2901" s="9">
        <v>83.820133806833923</v>
      </c>
      <c r="AC2901" s="9">
        <v>83.820133806833923</v>
      </c>
      <c r="AD2901" s="9">
        <v>94.480018491037072</v>
      </c>
      <c r="AE2901" s="9">
        <v>105.40908640910902</v>
      </c>
      <c r="AF2901" s="9">
        <v>116.6342558844366</v>
      </c>
      <c r="AG2901" s="9">
        <v>116.6342558844366</v>
      </c>
      <c r="AH2901" s="9">
        <v>128.18513707274536</v>
      </c>
      <c r="AI2901" s="9">
        <v>140.98660541754566</v>
      </c>
      <c r="AJ2901" s="9">
        <v>3.0428788910505911</v>
      </c>
    </row>
    <row r="2902" spans="1:36" x14ac:dyDescent="0.25">
      <c r="A2902" t="s">
        <v>5411</v>
      </c>
      <c r="B2902" t="s">
        <v>16</v>
      </c>
      <c r="C2902" t="s">
        <v>17</v>
      </c>
      <c r="D2902">
        <v>58765000</v>
      </c>
      <c r="E2902">
        <v>58769999</v>
      </c>
      <c r="F2902" t="s">
        <v>2618</v>
      </c>
      <c r="G2902" t="str">
        <f t="shared" si="90"/>
        <v>PBR</v>
      </c>
      <c r="H2902" t="s">
        <v>2471</v>
      </c>
      <c r="I2902" t="s">
        <v>20</v>
      </c>
      <c r="J2902" t="s">
        <v>77</v>
      </c>
      <c r="K2902" s="6">
        <v>0.03</v>
      </c>
      <c r="L2902" s="7">
        <f t="shared" si="91"/>
        <v>2E-3</v>
      </c>
      <c r="M2902" s="7">
        <v>3.0000000000000001E-3</v>
      </c>
      <c r="N2902">
        <v>17</v>
      </c>
      <c r="O2902" s="8">
        <v>31.674720005909176</v>
      </c>
      <c r="P2902" s="9">
        <v>31.674720005909176</v>
      </c>
      <c r="Q2902" s="9">
        <v>31.674720005909176</v>
      </c>
      <c r="R2902" s="9">
        <v>34.913308289497976</v>
      </c>
      <c r="S2902" s="9">
        <v>38.480048605011753</v>
      </c>
      <c r="T2902" s="9">
        <v>40.939971907336925</v>
      </c>
      <c r="U2902" s="9">
        <v>49.333088414904694</v>
      </c>
      <c r="V2902" s="9">
        <v>49.333088414904694</v>
      </c>
      <c r="W2902" s="9">
        <v>49.333088414904694</v>
      </c>
      <c r="X2902" s="9">
        <v>63.21225398254326</v>
      </c>
      <c r="Y2902" s="9">
        <v>63.21225398254326</v>
      </c>
      <c r="Z2902" s="9">
        <v>73.404961153420544</v>
      </c>
      <c r="AA2902" s="9">
        <v>73.404961153420544</v>
      </c>
      <c r="AB2902" s="9">
        <v>83.820133806833923</v>
      </c>
      <c r="AC2902" s="9">
        <v>83.820133806833923</v>
      </c>
      <c r="AD2902" s="9">
        <v>94.480018491037072</v>
      </c>
      <c r="AE2902" s="9">
        <v>105.40908640910902</v>
      </c>
      <c r="AF2902" s="9">
        <v>116.6342558844366</v>
      </c>
      <c r="AG2902" s="9">
        <v>116.6342558844366</v>
      </c>
      <c r="AH2902" s="9">
        <v>128.18513707274536</v>
      </c>
      <c r="AI2902" s="9">
        <v>140.98660541754566</v>
      </c>
      <c r="AJ2902" s="9">
        <v>3.0428788910505911</v>
      </c>
    </row>
    <row r="2903" spans="1:36" x14ac:dyDescent="0.25">
      <c r="A2903" t="s">
        <v>5411</v>
      </c>
      <c r="B2903" t="s">
        <v>16</v>
      </c>
      <c r="C2903" t="s">
        <v>17</v>
      </c>
      <c r="D2903">
        <v>58770000</v>
      </c>
      <c r="E2903">
        <v>58774999</v>
      </c>
      <c r="F2903" t="s">
        <v>2619</v>
      </c>
      <c r="G2903" t="str">
        <f t="shared" si="90"/>
        <v>PBR</v>
      </c>
      <c r="H2903" t="s">
        <v>2471</v>
      </c>
      <c r="I2903" t="s">
        <v>20</v>
      </c>
      <c r="J2903" t="s">
        <v>77</v>
      </c>
      <c r="K2903" s="6">
        <v>0.03</v>
      </c>
      <c r="L2903" s="7">
        <f t="shared" si="91"/>
        <v>2E-3</v>
      </c>
      <c r="M2903" s="7">
        <v>3.0000000000000001E-3</v>
      </c>
      <c r="N2903">
        <v>17</v>
      </c>
      <c r="O2903" s="8">
        <v>31.674720005909176</v>
      </c>
      <c r="P2903" s="9">
        <v>31.674720005909176</v>
      </c>
      <c r="Q2903" s="9">
        <v>31.674720005909176</v>
      </c>
      <c r="R2903" s="9">
        <v>34.913308289497976</v>
      </c>
      <c r="S2903" s="9">
        <v>38.480048605011753</v>
      </c>
      <c r="T2903" s="9">
        <v>40.939971907336925</v>
      </c>
      <c r="U2903" s="9">
        <v>49.333088414904694</v>
      </c>
      <c r="V2903" s="9">
        <v>49.333088414904694</v>
      </c>
      <c r="W2903" s="9">
        <v>49.333088414904694</v>
      </c>
      <c r="X2903" s="9">
        <v>63.21225398254326</v>
      </c>
      <c r="Y2903" s="9">
        <v>63.21225398254326</v>
      </c>
      <c r="Z2903" s="9">
        <v>73.404961153420544</v>
      </c>
      <c r="AA2903" s="9">
        <v>73.404961153420544</v>
      </c>
      <c r="AB2903" s="9">
        <v>83.820133806833923</v>
      </c>
      <c r="AC2903" s="9">
        <v>83.820133806833923</v>
      </c>
      <c r="AD2903" s="9">
        <v>94.480018491037072</v>
      </c>
      <c r="AE2903" s="9">
        <v>105.40908640910902</v>
      </c>
      <c r="AF2903" s="9">
        <v>116.6342558844366</v>
      </c>
      <c r="AG2903" s="9">
        <v>116.6342558844366</v>
      </c>
      <c r="AH2903" s="9">
        <v>128.18513707274536</v>
      </c>
      <c r="AI2903" s="9">
        <v>140.98660541754566</v>
      </c>
      <c r="AJ2903" s="9">
        <v>3.0428788910505911</v>
      </c>
    </row>
    <row r="2904" spans="1:36" x14ac:dyDescent="0.25">
      <c r="A2904" t="s">
        <v>5411</v>
      </c>
      <c r="B2904" t="s">
        <v>16</v>
      </c>
      <c r="C2904" t="s">
        <v>17</v>
      </c>
      <c r="D2904">
        <v>58775000</v>
      </c>
      <c r="E2904">
        <v>58777999</v>
      </c>
      <c r="F2904" t="s">
        <v>2620</v>
      </c>
      <c r="G2904" t="str">
        <f t="shared" si="90"/>
        <v>PBR</v>
      </c>
      <c r="H2904" t="s">
        <v>2471</v>
      </c>
      <c r="I2904" t="s">
        <v>20</v>
      </c>
      <c r="J2904" t="s">
        <v>77</v>
      </c>
      <c r="K2904" s="6">
        <v>0.03</v>
      </c>
      <c r="L2904" s="7">
        <f t="shared" si="91"/>
        <v>2E-3</v>
      </c>
      <c r="M2904" s="7">
        <v>3.0000000000000001E-3</v>
      </c>
      <c r="N2904">
        <v>17</v>
      </c>
      <c r="O2904" s="8">
        <v>31.674720005909176</v>
      </c>
      <c r="P2904" s="9">
        <v>31.674720005909176</v>
      </c>
      <c r="Q2904" s="9">
        <v>31.674720005909176</v>
      </c>
      <c r="R2904" s="9">
        <v>34.913308289497976</v>
      </c>
      <c r="S2904" s="9">
        <v>38.480048605011753</v>
      </c>
      <c r="T2904" s="9">
        <v>40.939971907336925</v>
      </c>
      <c r="U2904" s="9">
        <v>49.333088414904694</v>
      </c>
      <c r="V2904" s="9">
        <v>49.333088414904694</v>
      </c>
      <c r="W2904" s="9">
        <v>49.333088414904694</v>
      </c>
      <c r="X2904" s="9">
        <v>63.21225398254326</v>
      </c>
      <c r="Y2904" s="9">
        <v>63.21225398254326</v>
      </c>
      <c r="Z2904" s="9">
        <v>73.404961153420544</v>
      </c>
      <c r="AA2904" s="9">
        <v>73.404961153420544</v>
      </c>
      <c r="AB2904" s="9">
        <v>83.820133806833923</v>
      </c>
      <c r="AC2904" s="9">
        <v>83.820133806833923</v>
      </c>
      <c r="AD2904" s="9">
        <v>94.480018491037072</v>
      </c>
      <c r="AE2904" s="9">
        <v>105.40908640910902</v>
      </c>
      <c r="AF2904" s="9">
        <v>116.6342558844366</v>
      </c>
      <c r="AG2904" s="9">
        <v>116.6342558844366</v>
      </c>
      <c r="AH2904" s="9">
        <v>128.18513707274536</v>
      </c>
      <c r="AI2904" s="9">
        <v>140.98660541754566</v>
      </c>
      <c r="AJ2904" s="9">
        <v>3.0428788910505911</v>
      </c>
    </row>
    <row r="2905" spans="1:36" x14ac:dyDescent="0.25">
      <c r="A2905" t="s">
        <v>5411</v>
      </c>
      <c r="B2905" t="s">
        <v>16</v>
      </c>
      <c r="C2905" t="s">
        <v>17</v>
      </c>
      <c r="D2905">
        <v>58778000</v>
      </c>
      <c r="E2905">
        <v>58779999</v>
      </c>
      <c r="F2905" t="s">
        <v>2621</v>
      </c>
      <c r="G2905" t="str">
        <f t="shared" si="90"/>
        <v>PBR</v>
      </c>
      <c r="H2905" t="s">
        <v>2471</v>
      </c>
      <c r="I2905" t="s">
        <v>20</v>
      </c>
      <c r="J2905" t="s">
        <v>77</v>
      </c>
      <c r="K2905" s="6">
        <v>0.03</v>
      </c>
      <c r="L2905" s="7">
        <f t="shared" si="91"/>
        <v>2E-3</v>
      </c>
      <c r="M2905" s="7">
        <v>3.0000000000000001E-3</v>
      </c>
      <c r="N2905">
        <v>17</v>
      </c>
      <c r="O2905" s="8">
        <v>31.674720005909176</v>
      </c>
      <c r="P2905" s="9">
        <v>31.674720005909176</v>
      </c>
      <c r="Q2905" s="9">
        <v>31.674720005909176</v>
      </c>
      <c r="R2905" s="9">
        <v>34.913308289497976</v>
      </c>
      <c r="S2905" s="9">
        <v>38.480048605011753</v>
      </c>
      <c r="T2905" s="9">
        <v>40.939971907336925</v>
      </c>
      <c r="U2905" s="9">
        <v>49.333088414904694</v>
      </c>
      <c r="V2905" s="9">
        <v>49.333088414904694</v>
      </c>
      <c r="W2905" s="9">
        <v>49.333088414904694</v>
      </c>
      <c r="X2905" s="9">
        <v>63.21225398254326</v>
      </c>
      <c r="Y2905" s="9">
        <v>63.21225398254326</v>
      </c>
      <c r="Z2905" s="9">
        <v>73.404961153420544</v>
      </c>
      <c r="AA2905" s="9">
        <v>73.404961153420544</v>
      </c>
      <c r="AB2905" s="9">
        <v>83.820133806833923</v>
      </c>
      <c r="AC2905" s="9">
        <v>83.820133806833923</v>
      </c>
      <c r="AD2905" s="9">
        <v>94.480018491037072</v>
      </c>
      <c r="AE2905" s="9">
        <v>105.40908640910902</v>
      </c>
      <c r="AF2905" s="9">
        <v>116.6342558844366</v>
      </c>
      <c r="AG2905" s="9">
        <v>116.6342558844366</v>
      </c>
      <c r="AH2905" s="9">
        <v>128.18513707274536</v>
      </c>
      <c r="AI2905" s="9">
        <v>140.98660541754566</v>
      </c>
      <c r="AJ2905" s="9">
        <v>3.0428788910505911</v>
      </c>
    </row>
    <row r="2906" spans="1:36" x14ac:dyDescent="0.25">
      <c r="A2906" t="s">
        <v>5411</v>
      </c>
      <c r="B2906" t="s">
        <v>16</v>
      </c>
      <c r="C2906" t="s">
        <v>17</v>
      </c>
      <c r="D2906">
        <v>58780000</v>
      </c>
      <c r="E2906">
        <v>58783999</v>
      </c>
      <c r="F2906" t="s">
        <v>567</v>
      </c>
      <c r="G2906" t="str">
        <f t="shared" si="90"/>
        <v>PBR</v>
      </c>
      <c r="H2906" t="s">
        <v>2471</v>
      </c>
      <c r="I2906" t="s">
        <v>20</v>
      </c>
      <c r="J2906" t="s">
        <v>77</v>
      </c>
      <c r="K2906" s="6">
        <v>0.03</v>
      </c>
      <c r="L2906" s="7">
        <f t="shared" si="91"/>
        <v>2E-3</v>
      </c>
      <c r="M2906" s="7">
        <v>3.0000000000000001E-3</v>
      </c>
      <c r="N2906">
        <v>17</v>
      </c>
      <c r="O2906" s="8">
        <v>31.674720005909176</v>
      </c>
      <c r="P2906" s="9">
        <v>31.674720005909176</v>
      </c>
      <c r="Q2906" s="9">
        <v>31.674720005909176</v>
      </c>
      <c r="R2906" s="9">
        <v>34.913308289497976</v>
      </c>
      <c r="S2906" s="9">
        <v>38.480048605011753</v>
      </c>
      <c r="T2906" s="9">
        <v>40.939971907336925</v>
      </c>
      <c r="U2906" s="9">
        <v>49.333088414904694</v>
      </c>
      <c r="V2906" s="9">
        <v>49.333088414904694</v>
      </c>
      <c r="W2906" s="9">
        <v>49.333088414904694</v>
      </c>
      <c r="X2906" s="9">
        <v>63.21225398254326</v>
      </c>
      <c r="Y2906" s="9">
        <v>63.21225398254326</v>
      </c>
      <c r="Z2906" s="9">
        <v>73.404961153420544</v>
      </c>
      <c r="AA2906" s="9">
        <v>73.404961153420544</v>
      </c>
      <c r="AB2906" s="9">
        <v>83.820133806833923</v>
      </c>
      <c r="AC2906" s="9">
        <v>83.820133806833923</v>
      </c>
      <c r="AD2906" s="9">
        <v>94.480018491037072</v>
      </c>
      <c r="AE2906" s="9">
        <v>105.40908640910902</v>
      </c>
      <c r="AF2906" s="9">
        <v>116.6342558844366</v>
      </c>
      <c r="AG2906" s="9">
        <v>116.6342558844366</v>
      </c>
      <c r="AH2906" s="9">
        <v>128.18513707274536</v>
      </c>
      <c r="AI2906" s="9">
        <v>140.98660541754566</v>
      </c>
      <c r="AJ2906" s="9">
        <v>3.0428788910505911</v>
      </c>
    </row>
    <row r="2907" spans="1:36" x14ac:dyDescent="0.25">
      <c r="A2907" t="s">
        <v>5411</v>
      </c>
      <c r="B2907" t="s">
        <v>16</v>
      </c>
      <c r="C2907" t="s">
        <v>17</v>
      </c>
      <c r="D2907">
        <v>58784000</v>
      </c>
      <c r="E2907">
        <v>58789999</v>
      </c>
      <c r="F2907" t="s">
        <v>2622</v>
      </c>
      <c r="G2907" t="str">
        <f t="shared" si="90"/>
        <v>PBR</v>
      </c>
      <c r="H2907" t="s">
        <v>2471</v>
      </c>
      <c r="I2907" t="s">
        <v>20</v>
      </c>
      <c r="J2907" t="s">
        <v>77</v>
      </c>
      <c r="K2907" s="6">
        <v>0.03</v>
      </c>
      <c r="L2907" s="7">
        <f t="shared" si="91"/>
        <v>2E-3</v>
      </c>
      <c r="M2907" s="7">
        <v>3.0000000000000001E-3</v>
      </c>
      <c r="N2907">
        <v>17</v>
      </c>
      <c r="O2907" s="8">
        <v>31.674720005909176</v>
      </c>
      <c r="P2907" s="9">
        <v>31.674720005909176</v>
      </c>
      <c r="Q2907" s="9">
        <v>31.674720005909176</v>
      </c>
      <c r="R2907" s="9">
        <v>34.913308289497976</v>
      </c>
      <c r="S2907" s="9">
        <v>38.480048605011753</v>
      </c>
      <c r="T2907" s="9">
        <v>40.939971907336925</v>
      </c>
      <c r="U2907" s="9">
        <v>49.333088414904694</v>
      </c>
      <c r="V2907" s="9">
        <v>49.333088414904694</v>
      </c>
      <c r="W2907" s="9">
        <v>49.333088414904694</v>
      </c>
      <c r="X2907" s="9">
        <v>63.21225398254326</v>
      </c>
      <c r="Y2907" s="9">
        <v>63.21225398254326</v>
      </c>
      <c r="Z2907" s="9">
        <v>73.404961153420544</v>
      </c>
      <c r="AA2907" s="9">
        <v>73.404961153420544</v>
      </c>
      <c r="AB2907" s="9">
        <v>83.820133806833923</v>
      </c>
      <c r="AC2907" s="9">
        <v>83.820133806833923</v>
      </c>
      <c r="AD2907" s="9">
        <v>94.480018491037072</v>
      </c>
      <c r="AE2907" s="9">
        <v>105.40908640910902</v>
      </c>
      <c r="AF2907" s="9">
        <v>116.6342558844366</v>
      </c>
      <c r="AG2907" s="9">
        <v>116.6342558844366</v>
      </c>
      <c r="AH2907" s="9">
        <v>128.18513707274536</v>
      </c>
      <c r="AI2907" s="9">
        <v>140.98660541754566</v>
      </c>
      <c r="AJ2907" s="9">
        <v>3.0428788910505911</v>
      </c>
    </row>
    <row r="2908" spans="1:36" x14ac:dyDescent="0.25">
      <c r="A2908" t="s">
        <v>5411</v>
      </c>
      <c r="B2908" t="s">
        <v>16</v>
      </c>
      <c r="C2908" t="s">
        <v>17</v>
      </c>
      <c r="D2908">
        <v>58790000</v>
      </c>
      <c r="E2908">
        <v>58794999</v>
      </c>
      <c r="F2908" t="s">
        <v>2623</v>
      </c>
      <c r="G2908" t="str">
        <f t="shared" si="90"/>
        <v>PBR</v>
      </c>
      <c r="H2908" t="s">
        <v>2471</v>
      </c>
      <c r="I2908" t="s">
        <v>20</v>
      </c>
      <c r="J2908" t="s">
        <v>77</v>
      </c>
      <c r="K2908" s="6">
        <v>0.03</v>
      </c>
      <c r="L2908" s="7">
        <f t="shared" si="91"/>
        <v>2E-3</v>
      </c>
      <c r="M2908" s="7">
        <v>3.0000000000000001E-3</v>
      </c>
      <c r="N2908">
        <v>17</v>
      </c>
      <c r="O2908" s="8">
        <v>31.674720005909176</v>
      </c>
      <c r="P2908" s="9">
        <v>31.674720005909176</v>
      </c>
      <c r="Q2908" s="9">
        <v>31.674720005909176</v>
      </c>
      <c r="R2908" s="9">
        <v>34.913308289497976</v>
      </c>
      <c r="S2908" s="9">
        <v>38.480048605011753</v>
      </c>
      <c r="T2908" s="9">
        <v>40.939971907336925</v>
      </c>
      <c r="U2908" s="9">
        <v>49.333088414904694</v>
      </c>
      <c r="V2908" s="9">
        <v>49.333088414904694</v>
      </c>
      <c r="W2908" s="9">
        <v>49.333088414904694</v>
      </c>
      <c r="X2908" s="9">
        <v>63.21225398254326</v>
      </c>
      <c r="Y2908" s="9">
        <v>63.21225398254326</v>
      </c>
      <c r="Z2908" s="9">
        <v>73.404961153420544</v>
      </c>
      <c r="AA2908" s="9">
        <v>73.404961153420544</v>
      </c>
      <c r="AB2908" s="9">
        <v>83.820133806833923</v>
      </c>
      <c r="AC2908" s="9">
        <v>83.820133806833923</v>
      </c>
      <c r="AD2908" s="9">
        <v>94.480018491037072</v>
      </c>
      <c r="AE2908" s="9">
        <v>105.40908640910902</v>
      </c>
      <c r="AF2908" s="9">
        <v>116.6342558844366</v>
      </c>
      <c r="AG2908" s="9">
        <v>116.6342558844366</v>
      </c>
      <c r="AH2908" s="9">
        <v>128.18513707274536</v>
      </c>
      <c r="AI2908" s="9">
        <v>140.98660541754566</v>
      </c>
      <c r="AJ2908" s="9">
        <v>3.0428788910505911</v>
      </c>
    </row>
    <row r="2909" spans="1:36" x14ac:dyDescent="0.25">
      <c r="A2909" t="s">
        <v>5411</v>
      </c>
      <c r="B2909" t="s">
        <v>16</v>
      </c>
      <c r="C2909" t="s">
        <v>17</v>
      </c>
      <c r="D2909">
        <v>58795000</v>
      </c>
      <c r="E2909">
        <v>58797999</v>
      </c>
      <c r="F2909" t="s">
        <v>2624</v>
      </c>
      <c r="G2909" t="str">
        <f t="shared" si="90"/>
        <v>PBR</v>
      </c>
      <c r="H2909" t="s">
        <v>2471</v>
      </c>
      <c r="I2909" t="s">
        <v>20</v>
      </c>
      <c r="J2909" t="s">
        <v>77</v>
      </c>
      <c r="K2909" s="6">
        <v>0.03</v>
      </c>
      <c r="L2909" s="7">
        <f t="shared" si="91"/>
        <v>2E-3</v>
      </c>
      <c r="M2909" s="7">
        <v>3.0000000000000001E-3</v>
      </c>
      <c r="N2909">
        <v>17</v>
      </c>
      <c r="O2909" s="8">
        <v>31.674720005909176</v>
      </c>
      <c r="P2909" s="9">
        <v>31.674720005909176</v>
      </c>
      <c r="Q2909" s="9">
        <v>31.674720005909176</v>
      </c>
      <c r="R2909" s="9">
        <v>34.913308289497976</v>
      </c>
      <c r="S2909" s="9">
        <v>38.480048605011753</v>
      </c>
      <c r="T2909" s="9">
        <v>40.939971907336925</v>
      </c>
      <c r="U2909" s="9">
        <v>49.333088414904694</v>
      </c>
      <c r="V2909" s="9">
        <v>49.333088414904694</v>
      </c>
      <c r="W2909" s="9">
        <v>49.333088414904694</v>
      </c>
      <c r="X2909" s="9">
        <v>63.21225398254326</v>
      </c>
      <c r="Y2909" s="9">
        <v>63.21225398254326</v>
      </c>
      <c r="Z2909" s="9">
        <v>73.404961153420544</v>
      </c>
      <c r="AA2909" s="9">
        <v>73.404961153420544</v>
      </c>
      <c r="AB2909" s="9">
        <v>83.820133806833923</v>
      </c>
      <c r="AC2909" s="9">
        <v>83.820133806833923</v>
      </c>
      <c r="AD2909" s="9">
        <v>94.480018491037072</v>
      </c>
      <c r="AE2909" s="9">
        <v>105.40908640910902</v>
      </c>
      <c r="AF2909" s="9">
        <v>116.6342558844366</v>
      </c>
      <c r="AG2909" s="9">
        <v>116.6342558844366</v>
      </c>
      <c r="AH2909" s="9">
        <v>128.18513707274536</v>
      </c>
      <c r="AI2909" s="9">
        <v>140.98660541754566</v>
      </c>
      <c r="AJ2909" s="9">
        <v>3.0428788910505911</v>
      </c>
    </row>
    <row r="2910" spans="1:36" x14ac:dyDescent="0.25">
      <c r="A2910" t="s">
        <v>5411</v>
      </c>
      <c r="B2910" t="s">
        <v>16</v>
      </c>
      <c r="C2910" t="s">
        <v>17</v>
      </c>
      <c r="D2910">
        <v>58798000</v>
      </c>
      <c r="E2910">
        <v>58799999</v>
      </c>
      <c r="F2910" t="s">
        <v>2625</v>
      </c>
      <c r="G2910" t="str">
        <f t="shared" si="90"/>
        <v>PBR</v>
      </c>
      <c r="H2910" t="s">
        <v>2471</v>
      </c>
      <c r="I2910" t="s">
        <v>20</v>
      </c>
      <c r="J2910" t="s">
        <v>77</v>
      </c>
      <c r="K2910" s="6">
        <v>0.03</v>
      </c>
      <c r="L2910" s="7">
        <f t="shared" si="91"/>
        <v>2E-3</v>
      </c>
      <c r="M2910" s="7">
        <v>3.0000000000000001E-3</v>
      </c>
      <c r="N2910">
        <v>17</v>
      </c>
      <c r="O2910" s="8">
        <v>31.674720005909176</v>
      </c>
      <c r="P2910" s="9">
        <v>31.674720005909176</v>
      </c>
      <c r="Q2910" s="9">
        <v>31.674720005909176</v>
      </c>
      <c r="R2910" s="9">
        <v>34.913308289497976</v>
      </c>
      <c r="S2910" s="9">
        <v>38.480048605011753</v>
      </c>
      <c r="T2910" s="9">
        <v>40.939971907336925</v>
      </c>
      <c r="U2910" s="9">
        <v>49.333088414904694</v>
      </c>
      <c r="V2910" s="9">
        <v>49.333088414904694</v>
      </c>
      <c r="W2910" s="9">
        <v>49.333088414904694</v>
      </c>
      <c r="X2910" s="9">
        <v>63.21225398254326</v>
      </c>
      <c r="Y2910" s="9">
        <v>63.21225398254326</v>
      </c>
      <c r="Z2910" s="9">
        <v>73.404961153420544</v>
      </c>
      <c r="AA2910" s="9">
        <v>73.404961153420544</v>
      </c>
      <c r="AB2910" s="9">
        <v>83.820133806833923</v>
      </c>
      <c r="AC2910" s="9">
        <v>83.820133806833923</v>
      </c>
      <c r="AD2910" s="9">
        <v>94.480018491037072</v>
      </c>
      <c r="AE2910" s="9">
        <v>105.40908640910902</v>
      </c>
      <c r="AF2910" s="9">
        <v>116.6342558844366</v>
      </c>
      <c r="AG2910" s="9">
        <v>116.6342558844366</v>
      </c>
      <c r="AH2910" s="9">
        <v>128.18513707274536</v>
      </c>
      <c r="AI2910" s="9">
        <v>140.98660541754566</v>
      </c>
      <c r="AJ2910" s="9">
        <v>3.0428788910505911</v>
      </c>
    </row>
    <row r="2911" spans="1:36" x14ac:dyDescent="0.25">
      <c r="A2911" t="s">
        <v>5411</v>
      </c>
      <c r="B2911" t="s">
        <v>16</v>
      </c>
      <c r="C2911" t="s">
        <v>17</v>
      </c>
      <c r="D2911">
        <v>58800000</v>
      </c>
      <c r="E2911">
        <v>58814999</v>
      </c>
      <c r="F2911" t="s">
        <v>2626</v>
      </c>
      <c r="G2911" t="str">
        <f t="shared" si="90"/>
        <v>PBI</v>
      </c>
      <c r="H2911" t="s">
        <v>2471</v>
      </c>
      <c r="I2911" t="s">
        <v>20</v>
      </c>
      <c r="J2911" t="s">
        <v>62</v>
      </c>
      <c r="K2911" s="6">
        <v>0.03</v>
      </c>
      <c r="L2911" s="7">
        <f t="shared" si="91"/>
        <v>2E-3</v>
      </c>
      <c r="M2911" s="7">
        <v>3.0000000000000001E-3</v>
      </c>
      <c r="N2911">
        <v>12</v>
      </c>
      <c r="O2911" s="8">
        <v>20.87728230344733</v>
      </c>
      <c r="P2911" s="9">
        <v>20.87728230344733</v>
      </c>
      <c r="Q2911" s="9">
        <v>20.87728230344733</v>
      </c>
      <c r="R2911" s="9">
        <v>22.487970664940882</v>
      </c>
      <c r="S2911" s="9">
        <v>24.836959128882373</v>
      </c>
      <c r="T2911" s="9">
        <v>27.328940564094832</v>
      </c>
      <c r="U2911" s="9">
        <v>33.487633384176874</v>
      </c>
      <c r="V2911" s="9">
        <v>33.487633384176874</v>
      </c>
      <c r="W2911" s="9">
        <v>33.487633384176874</v>
      </c>
      <c r="X2911" s="9">
        <v>40.444098389650613</v>
      </c>
      <c r="Y2911" s="9">
        <v>40.444098389650613</v>
      </c>
      <c r="Z2911" s="9">
        <v>47.624518869362937</v>
      </c>
      <c r="AA2911" s="9">
        <v>47.624518869362937</v>
      </c>
      <c r="AB2911" s="9">
        <v>55.099076844260026</v>
      </c>
      <c r="AC2911" s="9">
        <v>55.099076844260026</v>
      </c>
      <c r="AD2911" s="9">
        <v>62.749008739977157</v>
      </c>
      <c r="AE2911" s="9">
        <v>70.59687278474604</v>
      </c>
      <c r="AF2911" s="9">
        <v>78.668205468404196</v>
      </c>
      <c r="AG2911" s="9">
        <v>78.668205468404196</v>
      </c>
      <c r="AH2911" s="9">
        <v>86.404717432433188</v>
      </c>
      <c r="AI2911" s="9">
        <v>94.691678268933799</v>
      </c>
      <c r="AJ2911" s="9">
        <v>3.0428788910505911</v>
      </c>
    </row>
    <row r="2912" spans="1:36" x14ac:dyDescent="0.25">
      <c r="A2912" t="s">
        <v>5411</v>
      </c>
      <c r="B2912" t="s">
        <v>16</v>
      </c>
      <c r="C2912" t="s">
        <v>17</v>
      </c>
      <c r="D2912">
        <v>58815000</v>
      </c>
      <c r="E2912">
        <v>58816999</v>
      </c>
      <c r="F2912" t="s">
        <v>2627</v>
      </c>
      <c r="G2912" t="str">
        <f t="shared" si="90"/>
        <v>PBR</v>
      </c>
      <c r="H2912" t="s">
        <v>2471</v>
      </c>
      <c r="I2912" t="s">
        <v>20</v>
      </c>
      <c r="J2912" t="s">
        <v>77</v>
      </c>
      <c r="K2912" s="6">
        <v>0.03</v>
      </c>
      <c r="L2912" s="7">
        <f t="shared" si="91"/>
        <v>2E-3</v>
      </c>
      <c r="M2912" s="7">
        <v>3.0000000000000001E-3</v>
      </c>
      <c r="N2912">
        <v>17</v>
      </c>
      <c r="O2912" s="8">
        <v>31.674720005909176</v>
      </c>
      <c r="P2912" s="9">
        <v>31.674720005909176</v>
      </c>
      <c r="Q2912" s="9">
        <v>31.674720005909176</v>
      </c>
      <c r="R2912" s="9">
        <v>34.913308289497976</v>
      </c>
      <c r="S2912" s="9">
        <v>38.480048605011753</v>
      </c>
      <c r="T2912" s="9">
        <v>40.939971907336925</v>
      </c>
      <c r="U2912" s="9">
        <v>49.333088414904694</v>
      </c>
      <c r="V2912" s="9">
        <v>49.333088414904694</v>
      </c>
      <c r="W2912" s="9">
        <v>49.333088414904694</v>
      </c>
      <c r="X2912" s="9">
        <v>63.21225398254326</v>
      </c>
      <c r="Y2912" s="9">
        <v>63.21225398254326</v>
      </c>
      <c r="Z2912" s="9">
        <v>73.404961153420544</v>
      </c>
      <c r="AA2912" s="9">
        <v>73.404961153420544</v>
      </c>
      <c r="AB2912" s="9">
        <v>83.820133806833923</v>
      </c>
      <c r="AC2912" s="9">
        <v>83.820133806833923</v>
      </c>
      <c r="AD2912" s="9">
        <v>94.480018491037072</v>
      </c>
      <c r="AE2912" s="9">
        <v>105.40908640910902</v>
      </c>
      <c r="AF2912" s="9">
        <v>116.6342558844366</v>
      </c>
      <c r="AG2912" s="9">
        <v>116.6342558844366</v>
      </c>
      <c r="AH2912" s="9">
        <v>128.18513707274536</v>
      </c>
      <c r="AI2912" s="9">
        <v>140.98660541754566</v>
      </c>
      <c r="AJ2912" s="9">
        <v>3.0428788910505911</v>
      </c>
    </row>
    <row r="2913" spans="1:36" x14ac:dyDescent="0.25">
      <c r="A2913" t="s">
        <v>5411</v>
      </c>
      <c r="B2913" t="s">
        <v>16</v>
      </c>
      <c r="C2913" t="s">
        <v>17</v>
      </c>
      <c r="D2913">
        <v>58817000</v>
      </c>
      <c r="E2913">
        <v>58817999</v>
      </c>
      <c r="F2913" t="s">
        <v>2628</v>
      </c>
      <c r="G2913" t="str">
        <f t="shared" si="90"/>
        <v>PBR</v>
      </c>
      <c r="H2913" t="s">
        <v>2471</v>
      </c>
      <c r="I2913" t="s">
        <v>20</v>
      </c>
      <c r="J2913" t="s">
        <v>77</v>
      </c>
      <c r="K2913" s="6">
        <v>0.03</v>
      </c>
      <c r="L2913" s="7">
        <f t="shared" si="91"/>
        <v>2E-3</v>
      </c>
      <c r="M2913" s="7">
        <v>3.0000000000000001E-3</v>
      </c>
      <c r="N2913">
        <v>17</v>
      </c>
      <c r="O2913" s="8">
        <v>31.674720005909176</v>
      </c>
      <c r="P2913" s="9">
        <v>31.674720005909176</v>
      </c>
      <c r="Q2913" s="9">
        <v>31.674720005909176</v>
      </c>
      <c r="R2913" s="9">
        <v>34.913308289497976</v>
      </c>
      <c r="S2913" s="9">
        <v>38.480048605011753</v>
      </c>
      <c r="T2913" s="9">
        <v>40.939971907336925</v>
      </c>
      <c r="U2913" s="9">
        <v>49.333088414904694</v>
      </c>
      <c r="V2913" s="9">
        <v>49.333088414904694</v>
      </c>
      <c r="W2913" s="9">
        <v>49.333088414904694</v>
      </c>
      <c r="X2913" s="9">
        <v>63.21225398254326</v>
      </c>
      <c r="Y2913" s="9">
        <v>63.21225398254326</v>
      </c>
      <c r="Z2913" s="9">
        <v>73.404961153420544</v>
      </c>
      <c r="AA2913" s="9">
        <v>73.404961153420544</v>
      </c>
      <c r="AB2913" s="9">
        <v>83.820133806833923</v>
      </c>
      <c r="AC2913" s="9">
        <v>83.820133806833923</v>
      </c>
      <c r="AD2913" s="9">
        <v>94.480018491037072</v>
      </c>
      <c r="AE2913" s="9">
        <v>105.40908640910902</v>
      </c>
      <c r="AF2913" s="9">
        <v>116.6342558844366</v>
      </c>
      <c r="AG2913" s="9">
        <v>116.6342558844366</v>
      </c>
      <c r="AH2913" s="9">
        <v>128.18513707274536</v>
      </c>
      <c r="AI2913" s="9">
        <v>140.98660541754566</v>
      </c>
      <c r="AJ2913" s="9">
        <v>3.0428788910505911</v>
      </c>
    </row>
    <row r="2914" spans="1:36" x14ac:dyDescent="0.25">
      <c r="A2914" t="s">
        <v>5411</v>
      </c>
      <c r="B2914" t="s">
        <v>16</v>
      </c>
      <c r="C2914" t="s">
        <v>17</v>
      </c>
      <c r="D2914">
        <v>58818000</v>
      </c>
      <c r="E2914">
        <v>58818999</v>
      </c>
      <c r="F2914" t="s">
        <v>370</v>
      </c>
      <c r="G2914" t="str">
        <f t="shared" si="90"/>
        <v>PBI II</v>
      </c>
      <c r="H2914" t="s">
        <v>2471</v>
      </c>
      <c r="I2914" t="s">
        <v>20</v>
      </c>
      <c r="J2914" t="s">
        <v>64</v>
      </c>
      <c r="K2914" s="6">
        <v>0.03</v>
      </c>
      <c r="L2914" s="7">
        <f t="shared" si="91"/>
        <v>2E-3</v>
      </c>
      <c r="M2914" s="7">
        <v>3.0000000000000001E-3</v>
      </c>
      <c r="N2914">
        <v>13</v>
      </c>
      <c r="O2914" s="8">
        <v>25.469420399191385</v>
      </c>
      <c r="P2914" s="9">
        <v>25.469420399191385</v>
      </c>
      <c r="Q2914" s="9">
        <v>25.469420399191385</v>
      </c>
      <c r="R2914" s="9">
        <v>27.985354957700171</v>
      </c>
      <c r="S2914" s="9">
        <v>30.758461120802014</v>
      </c>
      <c r="T2914" s="9">
        <v>33.102903982805351</v>
      </c>
      <c r="U2914" s="9">
        <v>40.375170889228379</v>
      </c>
      <c r="V2914" s="9">
        <v>40.375170889228379</v>
      </c>
      <c r="W2914" s="9">
        <v>40.375170889228379</v>
      </c>
      <c r="X2914" s="9">
        <v>48.614146284608282</v>
      </c>
      <c r="Y2914" s="9">
        <v>48.614146284608282</v>
      </c>
      <c r="Z2914" s="9">
        <v>56.959894508429748</v>
      </c>
      <c r="AA2914" s="9">
        <v>56.959894508429748</v>
      </c>
      <c r="AB2914" s="9">
        <v>65.423092843536963</v>
      </c>
      <c r="AC2914" s="9">
        <v>65.423092843536963</v>
      </c>
      <c r="AD2914" s="9">
        <v>76.101886260449433</v>
      </c>
      <c r="AE2914" s="9">
        <v>84.004204331617984</v>
      </c>
      <c r="AF2914" s="9">
        <v>92.047281772276918</v>
      </c>
      <c r="AG2914" s="9">
        <v>92.047281772276918</v>
      </c>
      <c r="AH2914" s="9">
        <v>101.16093014574129</v>
      </c>
      <c r="AI2914" s="9">
        <v>110.08433596377185</v>
      </c>
      <c r="AJ2914" s="9">
        <v>3.0428788910505911</v>
      </c>
    </row>
    <row r="2915" spans="1:36" x14ac:dyDescent="0.25">
      <c r="A2915" t="s">
        <v>5411</v>
      </c>
      <c r="B2915" t="s">
        <v>16</v>
      </c>
      <c r="C2915" t="s">
        <v>17</v>
      </c>
      <c r="D2915">
        <v>58819000</v>
      </c>
      <c r="E2915">
        <v>58819999</v>
      </c>
      <c r="F2915" t="s">
        <v>2629</v>
      </c>
      <c r="G2915" t="str">
        <f t="shared" si="90"/>
        <v>PBI II</v>
      </c>
      <c r="H2915" t="s">
        <v>2471</v>
      </c>
      <c r="I2915" t="s">
        <v>20</v>
      </c>
      <c r="J2915" t="s">
        <v>64</v>
      </c>
      <c r="K2915" s="6">
        <v>0.03</v>
      </c>
      <c r="L2915" s="7">
        <f t="shared" si="91"/>
        <v>2E-3</v>
      </c>
      <c r="M2915" s="7">
        <v>3.0000000000000001E-3</v>
      </c>
      <c r="N2915">
        <v>13</v>
      </c>
      <c r="O2915" s="8">
        <v>25.469420399191385</v>
      </c>
      <c r="P2915" s="9">
        <v>25.469420399191385</v>
      </c>
      <c r="Q2915" s="9">
        <v>25.469420399191385</v>
      </c>
      <c r="R2915" s="9">
        <v>27.985354957700171</v>
      </c>
      <c r="S2915" s="9">
        <v>30.758461120802014</v>
      </c>
      <c r="T2915" s="9">
        <v>33.102903982805351</v>
      </c>
      <c r="U2915" s="9">
        <v>40.375170889228379</v>
      </c>
      <c r="V2915" s="9">
        <v>40.375170889228379</v>
      </c>
      <c r="W2915" s="9">
        <v>40.375170889228379</v>
      </c>
      <c r="X2915" s="9">
        <v>48.614146284608282</v>
      </c>
      <c r="Y2915" s="9">
        <v>48.614146284608282</v>
      </c>
      <c r="Z2915" s="9">
        <v>56.959894508429748</v>
      </c>
      <c r="AA2915" s="9">
        <v>56.959894508429748</v>
      </c>
      <c r="AB2915" s="9">
        <v>65.423092843536963</v>
      </c>
      <c r="AC2915" s="9">
        <v>65.423092843536963</v>
      </c>
      <c r="AD2915" s="9">
        <v>76.101886260449433</v>
      </c>
      <c r="AE2915" s="9">
        <v>84.004204331617984</v>
      </c>
      <c r="AF2915" s="9">
        <v>92.047281772276918</v>
      </c>
      <c r="AG2915" s="9">
        <v>92.047281772276918</v>
      </c>
      <c r="AH2915" s="9">
        <v>101.16093014574129</v>
      </c>
      <c r="AI2915" s="9">
        <v>110.08433596377185</v>
      </c>
      <c r="AJ2915" s="9">
        <v>3.0428788910505911</v>
      </c>
    </row>
    <row r="2916" spans="1:36" x14ac:dyDescent="0.25">
      <c r="A2916" t="s">
        <v>5411</v>
      </c>
      <c r="B2916" t="s">
        <v>16</v>
      </c>
      <c r="C2916" t="s">
        <v>17</v>
      </c>
      <c r="D2916">
        <v>58820000</v>
      </c>
      <c r="E2916">
        <v>58821999</v>
      </c>
      <c r="F2916" t="s">
        <v>2630</v>
      </c>
      <c r="G2916" t="str">
        <f t="shared" si="90"/>
        <v>PBR</v>
      </c>
      <c r="H2916" t="s">
        <v>2471</v>
      </c>
      <c r="I2916" t="s">
        <v>20</v>
      </c>
      <c r="J2916" t="s">
        <v>77</v>
      </c>
      <c r="K2916" s="6">
        <v>0.03</v>
      </c>
      <c r="L2916" s="7">
        <f t="shared" si="91"/>
        <v>2E-3</v>
      </c>
      <c r="M2916" s="7">
        <v>3.0000000000000001E-3</v>
      </c>
      <c r="N2916">
        <v>17</v>
      </c>
      <c r="O2916" s="8">
        <v>31.674720005909176</v>
      </c>
      <c r="P2916" s="9">
        <v>31.674720005909176</v>
      </c>
      <c r="Q2916" s="9">
        <v>31.674720005909176</v>
      </c>
      <c r="R2916" s="9">
        <v>34.913308289497976</v>
      </c>
      <c r="S2916" s="9">
        <v>38.480048605011753</v>
      </c>
      <c r="T2916" s="9">
        <v>40.939971907336925</v>
      </c>
      <c r="U2916" s="9">
        <v>49.333088414904694</v>
      </c>
      <c r="V2916" s="9">
        <v>49.333088414904694</v>
      </c>
      <c r="W2916" s="9">
        <v>49.333088414904694</v>
      </c>
      <c r="X2916" s="9">
        <v>63.21225398254326</v>
      </c>
      <c r="Y2916" s="9">
        <v>63.21225398254326</v>
      </c>
      <c r="Z2916" s="9">
        <v>73.404961153420544</v>
      </c>
      <c r="AA2916" s="9">
        <v>73.404961153420544</v>
      </c>
      <c r="AB2916" s="9">
        <v>83.820133806833923</v>
      </c>
      <c r="AC2916" s="9">
        <v>83.820133806833923</v>
      </c>
      <c r="AD2916" s="9">
        <v>94.480018491037072</v>
      </c>
      <c r="AE2916" s="9">
        <v>105.40908640910902</v>
      </c>
      <c r="AF2916" s="9">
        <v>116.6342558844366</v>
      </c>
      <c r="AG2916" s="9">
        <v>116.6342558844366</v>
      </c>
      <c r="AH2916" s="9">
        <v>128.18513707274536</v>
      </c>
      <c r="AI2916" s="9">
        <v>140.98660541754566</v>
      </c>
      <c r="AJ2916" s="9">
        <v>3.0428788910505911</v>
      </c>
    </row>
    <row r="2917" spans="1:36" x14ac:dyDescent="0.25">
      <c r="A2917" t="s">
        <v>5411</v>
      </c>
      <c r="B2917" t="s">
        <v>16</v>
      </c>
      <c r="C2917" t="s">
        <v>17</v>
      </c>
      <c r="D2917">
        <v>58822000</v>
      </c>
      <c r="E2917">
        <v>58822999</v>
      </c>
      <c r="F2917" t="s">
        <v>2631</v>
      </c>
      <c r="G2917" t="str">
        <f t="shared" si="90"/>
        <v>PBR</v>
      </c>
      <c r="H2917" t="s">
        <v>2471</v>
      </c>
      <c r="I2917" t="s">
        <v>20</v>
      </c>
      <c r="J2917" t="s">
        <v>77</v>
      </c>
      <c r="K2917" s="6">
        <v>0.03</v>
      </c>
      <c r="L2917" s="7">
        <f t="shared" si="91"/>
        <v>2E-3</v>
      </c>
      <c r="M2917" s="7">
        <v>3.0000000000000001E-3</v>
      </c>
      <c r="N2917">
        <v>17</v>
      </c>
      <c r="O2917" s="8">
        <v>31.674720005909176</v>
      </c>
      <c r="P2917" s="9">
        <v>31.674720005909176</v>
      </c>
      <c r="Q2917" s="9">
        <v>31.674720005909176</v>
      </c>
      <c r="R2917" s="9">
        <v>34.913308289497976</v>
      </c>
      <c r="S2917" s="9">
        <v>38.480048605011753</v>
      </c>
      <c r="T2917" s="9">
        <v>40.939971907336925</v>
      </c>
      <c r="U2917" s="9">
        <v>49.333088414904694</v>
      </c>
      <c r="V2917" s="9">
        <v>49.333088414904694</v>
      </c>
      <c r="W2917" s="9">
        <v>49.333088414904694</v>
      </c>
      <c r="X2917" s="9">
        <v>63.21225398254326</v>
      </c>
      <c r="Y2917" s="9">
        <v>63.21225398254326</v>
      </c>
      <c r="Z2917" s="9">
        <v>73.404961153420544</v>
      </c>
      <c r="AA2917" s="9">
        <v>73.404961153420544</v>
      </c>
      <c r="AB2917" s="9">
        <v>83.820133806833923</v>
      </c>
      <c r="AC2917" s="9">
        <v>83.820133806833923</v>
      </c>
      <c r="AD2917" s="9">
        <v>94.480018491037072</v>
      </c>
      <c r="AE2917" s="9">
        <v>105.40908640910902</v>
      </c>
      <c r="AF2917" s="9">
        <v>116.6342558844366</v>
      </c>
      <c r="AG2917" s="9">
        <v>116.6342558844366</v>
      </c>
      <c r="AH2917" s="9">
        <v>128.18513707274536</v>
      </c>
      <c r="AI2917" s="9">
        <v>140.98660541754566</v>
      </c>
      <c r="AJ2917" s="9">
        <v>3.0428788910505911</v>
      </c>
    </row>
    <row r="2918" spans="1:36" x14ac:dyDescent="0.25">
      <c r="A2918" t="s">
        <v>5411</v>
      </c>
      <c r="B2918" t="s">
        <v>16</v>
      </c>
      <c r="C2918" t="s">
        <v>17</v>
      </c>
      <c r="D2918">
        <v>58823000</v>
      </c>
      <c r="E2918">
        <v>58823999</v>
      </c>
      <c r="F2918" t="s">
        <v>113</v>
      </c>
      <c r="G2918" t="str">
        <f t="shared" si="90"/>
        <v>PBI II</v>
      </c>
      <c r="H2918" t="s">
        <v>2471</v>
      </c>
      <c r="I2918" t="s">
        <v>20</v>
      </c>
      <c r="J2918" t="s">
        <v>64</v>
      </c>
      <c r="K2918" s="6">
        <v>0.03</v>
      </c>
      <c r="L2918" s="7">
        <f t="shared" si="91"/>
        <v>2E-3</v>
      </c>
      <c r="M2918" s="7">
        <v>3.0000000000000001E-3</v>
      </c>
      <c r="N2918">
        <v>13</v>
      </c>
      <c r="O2918" s="8">
        <v>25.469420399191385</v>
      </c>
      <c r="P2918" s="9">
        <v>25.469420399191385</v>
      </c>
      <c r="Q2918" s="9">
        <v>25.469420399191385</v>
      </c>
      <c r="R2918" s="9">
        <v>27.985354957700171</v>
      </c>
      <c r="S2918" s="9">
        <v>30.758461120802014</v>
      </c>
      <c r="T2918" s="9">
        <v>33.102903982805351</v>
      </c>
      <c r="U2918" s="9">
        <v>40.375170889228379</v>
      </c>
      <c r="V2918" s="9">
        <v>40.375170889228379</v>
      </c>
      <c r="W2918" s="9">
        <v>40.375170889228379</v>
      </c>
      <c r="X2918" s="9">
        <v>48.614146284608282</v>
      </c>
      <c r="Y2918" s="9">
        <v>48.614146284608282</v>
      </c>
      <c r="Z2918" s="9">
        <v>56.959894508429748</v>
      </c>
      <c r="AA2918" s="9">
        <v>56.959894508429748</v>
      </c>
      <c r="AB2918" s="9">
        <v>65.423092843536963</v>
      </c>
      <c r="AC2918" s="9">
        <v>65.423092843536963</v>
      </c>
      <c r="AD2918" s="9">
        <v>76.101886260449433</v>
      </c>
      <c r="AE2918" s="9">
        <v>84.004204331617984</v>
      </c>
      <c r="AF2918" s="9">
        <v>92.047281772276918</v>
      </c>
      <c r="AG2918" s="9">
        <v>92.047281772276918</v>
      </c>
      <c r="AH2918" s="9">
        <v>101.16093014574129</v>
      </c>
      <c r="AI2918" s="9">
        <v>110.08433596377185</v>
      </c>
      <c r="AJ2918" s="9">
        <v>3.0428788910505911</v>
      </c>
    </row>
    <row r="2919" spans="1:36" x14ac:dyDescent="0.25">
      <c r="A2919" t="s">
        <v>5411</v>
      </c>
      <c r="B2919" t="s">
        <v>16</v>
      </c>
      <c r="C2919" t="s">
        <v>17</v>
      </c>
      <c r="D2919">
        <v>58824000</v>
      </c>
      <c r="E2919">
        <v>58829999</v>
      </c>
      <c r="F2919" t="s">
        <v>2326</v>
      </c>
      <c r="G2919" t="str">
        <f t="shared" si="90"/>
        <v>PBI II</v>
      </c>
      <c r="H2919" t="s">
        <v>2471</v>
      </c>
      <c r="I2919" t="s">
        <v>20</v>
      </c>
      <c r="J2919" t="s">
        <v>64</v>
      </c>
      <c r="K2919" s="6">
        <v>0.03</v>
      </c>
      <c r="L2919" s="7">
        <f t="shared" si="91"/>
        <v>2E-3</v>
      </c>
      <c r="M2919" s="7">
        <v>3.0000000000000001E-3</v>
      </c>
      <c r="N2919">
        <v>13</v>
      </c>
      <c r="O2919" s="8">
        <v>25.469420399191385</v>
      </c>
      <c r="P2919" s="9">
        <v>25.469420399191385</v>
      </c>
      <c r="Q2919" s="9">
        <v>25.469420399191385</v>
      </c>
      <c r="R2919" s="9">
        <v>27.985354957700171</v>
      </c>
      <c r="S2919" s="9">
        <v>30.758461120802014</v>
      </c>
      <c r="T2919" s="9">
        <v>33.102903982805351</v>
      </c>
      <c r="U2919" s="9">
        <v>40.375170889228379</v>
      </c>
      <c r="V2919" s="9">
        <v>40.375170889228379</v>
      </c>
      <c r="W2919" s="9">
        <v>40.375170889228379</v>
      </c>
      <c r="X2919" s="9">
        <v>48.614146284608282</v>
      </c>
      <c r="Y2919" s="9">
        <v>48.614146284608282</v>
      </c>
      <c r="Z2919" s="9">
        <v>56.959894508429748</v>
      </c>
      <c r="AA2919" s="9">
        <v>56.959894508429748</v>
      </c>
      <c r="AB2919" s="9">
        <v>65.423092843536963</v>
      </c>
      <c r="AC2919" s="9">
        <v>65.423092843536963</v>
      </c>
      <c r="AD2919" s="9">
        <v>76.101886260449433</v>
      </c>
      <c r="AE2919" s="9">
        <v>84.004204331617984</v>
      </c>
      <c r="AF2919" s="9">
        <v>92.047281772276918</v>
      </c>
      <c r="AG2919" s="9">
        <v>92.047281772276918</v>
      </c>
      <c r="AH2919" s="9">
        <v>101.16093014574129</v>
      </c>
      <c r="AI2919" s="9">
        <v>110.08433596377185</v>
      </c>
      <c r="AJ2919" s="9">
        <v>3.0428788910505911</v>
      </c>
    </row>
    <row r="2920" spans="1:36" x14ac:dyDescent="0.25">
      <c r="A2920" t="s">
        <v>5411</v>
      </c>
      <c r="B2920" t="s">
        <v>16</v>
      </c>
      <c r="C2920" t="s">
        <v>17</v>
      </c>
      <c r="D2920">
        <v>58830000</v>
      </c>
      <c r="E2920">
        <v>58831999</v>
      </c>
      <c r="F2920" t="s">
        <v>2632</v>
      </c>
      <c r="G2920" t="str">
        <f t="shared" si="90"/>
        <v>PBR</v>
      </c>
      <c r="H2920" t="s">
        <v>2471</v>
      </c>
      <c r="I2920" t="s">
        <v>20</v>
      </c>
      <c r="J2920" t="s">
        <v>77</v>
      </c>
      <c r="K2920" s="6">
        <v>0.03</v>
      </c>
      <c r="L2920" s="7">
        <f t="shared" si="91"/>
        <v>2E-3</v>
      </c>
      <c r="M2920" s="7">
        <v>3.0000000000000001E-3</v>
      </c>
      <c r="N2920">
        <v>17</v>
      </c>
      <c r="O2920" s="8">
        <v>31.674720005909176</v>
      </c>
      <c r="P2920" s="9">
        <v>31.674720005909176</v>
      </c>
      <c r="Q2920" s="9">
        <v>31.674720005909176</v>
      </c>
      <c r="R2920" s="9">
        <v>34.913308289497976</v>
      </c>
      <c r="S2920" s="9">
        <v>38.480048605011753</v>
      </c>
      <c r="T2920" s="9">
        <v>40.939971907336925</v>
      </c>
      <c r="U2920" s="9">
        <v>49.333088414904694</v>
      </c>
      <c r="V2920" s="9">
        <v>49.333088414904694</v>
      </c>
      <c r="W2920" s="9">
        <v>49.333088414904694</v>
      </c>
      <c r="X2920" s="9">
        <v>63.21225398254326</v>
      </c>
      <c r="Y2920" s="9">
        <v>63.21225398254326</v>
      </c>
      <c r="Z2920" s="9">
        <v>73.404961153420544</v>
      </c>
      <c r="AA2920" s="9">
        <v>73.404961153420544</v>
      </c>
      <c r="AB2920" s="9">
        <v>83.820133806833923</v>
      </c>
      <c r="AC2920" s="9">
        <v>83.820133806833923</v>
      </c>
      <c r="AD2920" s="9">
        <v>94.480018491037072</v>
      </c>
      <c r="AE2920" s="9">
        <v>105.40908640910902</v>
      </c>
      <c r="AF2920" s="9">
        <v>116.6342558844366</v>
      </c>
      <c r="AG2920" s="9">
        <v>116.6342558844366</v>
      </c>
      <c r="AH2920" s="9">
        <v>128.18513707274536</v>
      </c>
      <c r="AI2920" s="9">
        <v>140.98660541754566</v>
      </c>
      <c r="AJ2920" s="9">
        <v>3.0428788910505911</v>
      </c>
    </row>
    <row r="2921" spans="1:36" x14ac:dyDescent="0.25">
      <c r="A2921" t="s">
        <v>5411</v>
      </c>
      <c r="B2921" t="s">
        <v>16</v>
      </c>
      <c r="C2921" t="s">
        <v>17</v>
      </c>
      <c r="D2921">
        <v>58832000</v>
      </c>
      <c r="E2921">
        <v>58834999</v>
      </c>
      <c r="F2921" t="s">
        <v>2633</v>
      </c>
      <c r="G2921" t="str">
        <f t="shared" si="90"/>
        <v>PBR</v>
      </c>
      <c r="H2921" t="s">
        <v>2471</v>
      </c>
      <c r="I2921" t="s">
        <v>20</v>
      </c>
      <c r="J2921" t="s">
        <v>77</v>
      </c>
      <c r="K2921" s="6">
        <v>0.03</v>
      </c>
      <c r="L2921" s="7">
        <f t="shared" si="91"/>
        <v>2E-3</v>
      </c>
      <c r="M2921" s="7">
        <v>3.0000000000000001E-3</v>
      </c>
      <c r="N2921">
        <v>17</v>
      </c>
      <c r="O2921" s="8">
        <v>31.674720005909176</v>
      </c>
      <c r="P2921" s="9">
        <v>31.674720005909176</v>
      </c>
      <c r="Q2921" s="9">
        <v>31.674720005909176</v>
      </c>
      <c r="R2921" s="9">
        <v>34.913308289497976</v>
      </c>
      <c r="S2921" s="9">
        <v>38.480048605011753</v>
      </c>
      <c r="T2921" s="9">
        <v>40.939971907336925</v>
      </c>
      <c r="U2921" s="9">
        <v>49.333088414904694</v>
      </c>
      <c r="V2921" s="9">
        <v>49.333088414904694</v>
      </c>
      <c r="W2921" s="9">
        <v>49.333088414904694</v>
      </c>
      <c r="X2921" s="9">
        <v>63.21225398254326</v>
      </c>
      <c r="Y2921" s="9">
        <v>63.21225398254326</v>
      </c>
      <c r="Z2921" s="9">
        <v>73.404961153420544</v>
      </c>
      <c r="AA2921" s="9">
        <v>73.404961153420544</v>
      </c>
      <c r="AB2921" s="9">
        <v>83.820133806833923</v>
      </c>
      <c r="AC2921" s="9">
        <v>83.820133806833923</v>
      </c>
      <c r="AD2921" s="9">
        <v>94.480018491037072</v>
      </c>
      <c r="AE2921" s="9">
        <v>105.40908640910902</v>
      </c>
      <c r="AF2921" s="9">
        <v>116.6342558844366</v>
      </c>
      <c r="AG2921" s="9">
        <v>116.6342558844366</v>
      </c>
      <c r="AH2921" s="9">
        <v>128.18513707274536</v>
      </c>
      <c r="AI2921" s="9">
        <v>140.98660541754566</v>
      </c>
      <c r="AJ2921" s="9">
        <v>3.0428788910505911</v>
      </c>
    </row>
    <row r="2922" spans="1:36" x14ac:dyDescent="0.25">
      <c r="A2922" t="s">
        <v>5411</v>
      </c>
      <c r="B2922" t="s">
        <v>16</v>
      </c>
      <c r="C2922" t="s">
        <v>17</v>
      </c>
      <c r="D2922">
        <v>58835000</v>
      </c>
      <c r="E2922">
        <v>58839999</v>
      </c>
      <c r="F2922" t="s">
        <v>2634</v>
      </c>
      <c r="G2922" t="str">
        <f t="shared" si="90"/>
        <v>PBR</v>
      </c>
      <c r="H2922" t="s">
        <v>2471</v>
      </c>
      <c r="I2922" t="s">
        <v>20</v>
      </c>
      <c r="J2922" t="s">
        <v>77</v>
      </c>
      <c r="K2922" s="6">
        <v>0.03</v>
      </c>
      <c r="L2922" s="7">
        <f t="shared" si="91"/>
        <v>2E-3</v>
      </c>
      <c r="M2922" s="7">
        <v>3.0000000000000001E-3</v>
      </c>
      <c r="N2922">
        <v>17</v>
      </c>
      <c r="O2922" s="8">
        <v>31.674720005909176</v>
      </c>
      <c r="P2922" s="9">
        <v>31.674720005909176</v>
      </c>
      <c r="Q2922" s="9">
        <v>31.674720005909176</v>
      </c>
      <c r="R2922" s="9">
        <v>34.913308289497976</v>
      </c>
      <c r="S2922" s="9">
        <v>38.480048605011753</v>
      </c>
      <c r="T2922" s="9">
        <v>40.939971907336925</v>
      </c>
      <c r="U2922" s="9">
        <v>49.333088414904694</v>
      </c>
      <c r="V2922" s="9">
        <v>49.333088414904694</v>
      </c>
      <c r="W2922" s="9">
        <v>49.333088414904694</v>
      </c>
      <c r="X2922" s="9">
        <v>63.21225398254326</v>
      </c>
      <c r="Y2922" s="9">
        <v>63.21225398254326</v>
      </c>
      <c r="Z2922" s="9">
        <v>73.404961153420544</v>
      </c>
      <c r="AA2922" s="9">
        <v>73.404961153420544</v>
      </c>
      <c r="AB2922" s="9">
        <v>83.820133806833923</v>
      </c>
      <c r="AC2922" s="9">
        <v>83.820133806833923</v>
      </c>
      <c r="AD2922" s="9">
        <v>94.480018491037072</v>
      </c>
      <c r="AE2922" s="9">
        <v>105.40908640910902</v>
      </c>
      <c r="AF2922" s="9">
        <v>116.6342558844366</v>
      </c>
      <c r="AG2922" s="9">
        <v>116.6342558844366</v>
      </c>
      <c r="AH2922" s="9">
        <v>128.18513707274536</v>
      </c>
      <c r="AI2922" s="9">
        <v>140.98660541754566</v>
      </c>
      <c r="AJ2922" s="9">
        <v>3.0428788910505911</v>
      </c>
    </row>
    <row r="2923" spans="1:36" x14ac:dyDescent="0.25">
      <c r="A2923" t="s">
        <v>5411</v>
      </c>
      <c r="B2923" t="s">
        <v>16</v>
      </c>
      <c r="C2923" t="s">
        <v>17</v>
      </c>
      <c r="D2923">
        <v>58840000</v>
      </c>
      <c r="E2923">
        <v>58852999</v>
      </c>
      <c r="F2923" t="s">
        <v>2635</v>
      </c>
      <c r="G2923" t="str">
        <f t="shared" si="90"/>
        <v>PBI</v>
      </c>
      <c r="H2923" t="s">
        <v>2471</v>
      </c>
      <c r="I2923" t="s">
        <v>20</v>
      </c>
      <c r="J2923" t="s">
        <v>62</v>
      </c>
      <c r="K2923" s="6">
        <v>0.03</v>
      </c>
      <c r="L2923" s="7">
        <f t="shared" si="91"/>
        <v>2E-3</v>
      </c>
      <c r="M2923" s="7">
        <v>3.0000000000000001E-3</v>
      </c>
      <c r="N2923">
        <v>12</v>
      </c>
      <c r="O2923" s="8">
        <v>20.87728230344733</v>
      </c>
      <c r="P2923" s="9">
        <v>20.87728230344733</v>
      </c>
      <c r="Q2923" s="9">
        <v>20.87728230344733</v>
      </c>
      <c r="R2923" s="9">
        <v>22.487970664940882</v>
      </c>
      <c r="S2923" s="9">
        <v>24.836959128882373</v>
      </c>
      <c r="T2923" s="9">
        <v>27.328940564094832</v>
      </c>
      <c r="U2923" s="9">
        <v>33.487633384176874</v>
      </c>
      <c r="V2923" s="9">
        <v>33.487633384176874</v>
      </c>
      <c r="W2923" s="9">
        <v>33.487633384176874</v>
      </c>
      <c r="X2923" s="9">
        <v>40.444098389650613</v>
      </c>
      <c r="Y2923" s="9">
        <v>40.444098389650613</v>
      </c>
      <c r="Z2923" s="9">
        <v>47.624518869362937</v>
      </c>
      <c r="AA2923" s="9">
        <v>47.624518869362937</v>
      </c>
      <c r="AB2923" s="9">
        <v>55.099076844260026</v>
      </c>
      <c r="AC2923" s="9">
        <v>55.099076844260026</v>
      </c>
      <c r="AD2923" s="9">
        <v>62.749008739977157</v>
      </c>
      <c r="AE2923" s="9">
        <v>70.59687278474604</v>
      </c>
      <c r="AF2923" s="9">
        <v>78.668205468404196</v>
      </c>
      <c r="AG2923" s="9">
        <v>78.668205468404196</v>
      </c>
      <c r="AH2923" s="9">
        <v>86.404717432433188</v>
      </c>
      <c r="AI2923" s="9">
        <v>94.691678268933799</v>
      </c>
      <c r="AJ2923" s="9">
        <v>3.0428788910505911</v>
      </c>
    </row>
    <row r="2924" spans="1:36" x14ac:dyDescent="0.25">
      <c r="A2924" t="s">
        <v>5411</v>
      </c>
      <c r="B2924" t="s">
        <v>16</v>
      </c>
      <c r="C2924" t="s">
        <v>17</v>
      </c>
      <c r="D2924">
        <v>58853000</v>
      </c>
      <c r="E2924">
        <v>58854999</v>
      </c>
      <c r="F2924" t="s">
        <v>2110</v>
      </c>
      <c r="G2924" t="str">
        <f t="shared" si="90"/>
        <v>PBR</v>
      </c>
      <c r="H2924" t="s">
        <v>2471</v>
      </c>
      <c r="I2924" t="s">
        <v>20</v>
      </c>
      <c r="J2924" t="s">
        <v>77</v>
      </c>
      <c r="K2924" s="6">
        <v>0.03</v>
      </c>
      <c r="L2924" s="7">
        <f t="shared" si="91"/>
        <v>2E-3</v>
      </c>
      <c r="M2924" s="7">
        <v>3.0000000000000001E-3</v>
      </c>
      <c r="N2924">
        <v>17</v>
      </c>
      <c r="O2924" s="8">
        <v>31.674720005909176</v>
      </c>
      <c r="P2924" s="9">
        <v>31.674720005909176</v>
      </c>
      <c r="Q2924" s="9">
        <v>31.674720005909176</v>
      </c>
      <c r="R2924" s="9">
        <v>34.913308289497976</v>
      </c>
      <c r="S2924" s="9">
        <v>38.480048605011753</v>
      </c>
      <c r="T2924" s="9">
        <v>40.939971907336925</v>
      </c>
      <c r="U2924" s="9">
        <v>49.333088414904694</v>
      </c>
      <c r="V2924" s="9">
        <v>49.333088414904694</v>
      </c>
      <c r="W2924" s="9">
        <v>49.333088414904694</v>
      </c>
      <c r="X2924" s="9">
        <v>63.21225398254326</v>
      </c>
      <c r="Y2924" s="9">
        <v>63.21225398254326</v>
      </c>
      <c r="Z2924" s="9">
        <v>73.404961153420544</v>
      </c>
      <c r="AA2924" s="9">
        <v>73.404961153420544</v>
      </c>
      <c r="AB2924" s="9">
        <v>83.820133806833923</v>
      </c>
      <c r="AC2924" s="9">
        <v>83.820133806833923</v>
      </c>
      <c r="AD2924" s="9">
        <v>94.480018491037072</v>
      </c>
      <c r="AE2924" s="9">
        <v>105.40908640910902</v>
      </c>
      <c r="AF2924" s="9">
        <v>116.6342558844366</v>
      </c>
      <c r="AG2924" s="9">
        <v>116.6342558844366</v>
      </c>
      <c r="AH2924" s="9">
        <v>128.18513707274536</v>
      </c>
      <c r="AI2924" s="9">
        <v>140.98660541754566</v>
      </c>
      <c r="AJ2924" s="9">
        <v>3.0428788910505911</v>
      </c>
    </row>
    <row r="2925" spans="1:36" x14ac:dyDescent="0.25">
      <c r="A2925" t="s">
        <v>5411</v>
      </c>
      <c r="B2925" t="s">
        <v>16</v>
      </c>
      <c r="C2925" t="s">
        <v>17</v>
      </c>
      <c r="D2925">
        <v>58855000</v>
      </c>
      <c r="E2925">
        <v>58856999</v>
      </c>
      <c r="F2925" t="s">
        <v>2636</v>
      </c>
      <c r="G2925" t="str">
        <f t="shared" si="90"/>
        <v>PBR</v>
      </c>
      <c r="H2925" t="s">
        <v>2471</v>
      </c>
      <c r="I2925" t="s">
        <v>20</v>
      </c>
      <c r="J2925" t="s">
        <v>77</v>
      </c>
      <c r="K2925" s="6">
        <v>0.03</v>
      </c>
      <c r="L2925" s="7">
        <f t="shared" si="91"/>
        <v>2E-3</v>
      </c>
      <c r="M2925" s="7">
        <v>3.0000000000000001E-3</v>
      </c>
      <c r="N2925">
        <v>17</v>
      </c>
      <c r="O2925" s="8">
        <v>31.674720005909176</v>
      </c>
      <c r="P2925" s="9">
        <v>31.674720005909176</v>
      </c>
      <c r="Q2925" s="9">
        <v>31.674720005909176</v>
      </c>
      <c r="R2925" s="9">
        <v>34.913308289497976</v>
      </c>
      <c r="S2925" s="9">
        <v>38.480048605011753</v>
      </c>
      <c r="T2925" s="9">
        <v>40.939971907336925</v>
      </c>
      <c r="U2925" s="9">
        <v>49.333088414904694</v>
      </c>
      <c r="V2925" s="9">
        <v>49.333088414904694</v>
      </c>
      <c r="W2925" s="9">
        <v>49.333088414904694</v>
      </c>
      <c r="X2925" s="9">
        <v>63.21225398254326</v>
      </c>
      <c r="Y2925" s="9">
        <v>63.21225398254326</v>
      </c>
      <c r="Z2925" s="9">
        <v>73.404961153420544</v>
      </c>
      <c r="AA2925" s="9">
        <v>73.404961153420544</v>
      </c>
      <c r="AB2925" s="9">
        <v>83.820133806833923</v>
      </c>
      <c r="AC2925" s="9">
        <v>83.820133806833923</v>
      </c>
      <c r="AD2925" s="9">
        <v>94.480018491037072</v>
      </c>
      <c r="AE2925" s="9">
        <v>105.40908640910902</v>
      </c>
      <c r="AF2925" s="9">
        <v>116.6342558844366</v>
      </c>
      <c r="AG2925" s="9">
        <v>116.6342558844366</v>
      </c>
      <c r="AH2925" s="9">
        <v>128.18513707274536</v>
      </c>
      <c r="AI2925" s="9">
        <v>140.98660541754566</v>
      </c>
      <c r="AJ2925" s="9">
        <v>3.0428788910505911</v>
      </c>
    </row>
    <row r="2926" spans="1:36" x14ac:dyDescent="0.25">
      <c r="A2926" t="s">
        <v>5411</v>
      </c>
      <c r="B2926" t="s">
        <v>16</v>
      </c>
      <c r="C2926" t="s">
        <v>17</v>
      </c>
      <c r="D2926">
        <v>58857000</v>
      </c>
      <c r="E2926">
        <v>58859999</v>
      </c>
      <c r="F2926" t="s">
        <v>2637</v>
      </c>
      <c r="G2926" t="str">
        <f t="shared" si="90"/>
        <v>PBI II</v>
      </c>
      <c r="H2926" t="s">
        <v>2471</v>
      </c>
      <c r="I2926" t="s">
        <v>20</v>
      </c>
      <c r="J2926" t="s">
        <v>64</v>
      </c>
      <c r="K2926" s="6">
        <v>0.03</v>
      </c>
      <c r="L2926" s="7">
        <f t="shared" si="91"/>
        <v>2E-3</v>
      </c>
      <c r="M2926" s="7">
        <v>3.0000000000000001E-3</v>
      </c>
      <c r="N2926">
        <v>12</v>
      </c>
      <c r="O2926" s="8">
        <v>25.469420399191385</v>
      </c>
      <c r="P2926" s="9">
        <v>25.469420399191385</v>
      </c>
      <c r="Q2926" s="9">
        <v>25.469420399191385</v>
      </c>
      <c r="R2926" s="9">
        <v>27.985354957700171</v>
      </c>
      <c r="S2926" s="9">
        <v>30.758461120802014</v>
      </c>
      <c r="T2926" s="9">
        <v>33.102903982805351</v>
      </c>
      <c r="U2926" s="9">
        <v>40.375170889228379</v>
      </c>
      <c r="V2926" s="9">
        <v>40.375170889228379</v>
      </c>
      <c r="W2926" s="9">
        <v>40.375170889228379</v>
      </c>
      <c r="X2926" s="9">
        <v>48.614146284608282</v>
      </c>
      <c r="Y2926" s="9">
        <v>48.614146284608282</v>
      </c>
      <c r="Z2926" s="9">
        <v>56.959894508429748</v>
      </c>
      <c r="AA2926" s="9">
        <v>56.959894508429748</v>
      </c>
      <c r="AB2926" s="9">
        <v>65.423092843536963</v>
      </c>
      <c r="AC2926" s="9">
        <v>65.423092843536963</v>
      </c>
      <c r="AD2926" s="9">
        <v>76.101886260449433</v>
      </c>
      <c r="AE2926" s="9">
        <v>84.004204331617984</v>
      </c>
      <c r="AF2926" s="9">
        <v>92.047281772276918</v>
      </c>
      <c r="AG2926" s="9">
        <v>92.047281772276918</v>
      </c>
      <c r="AH2926" s="9">
        <v>101.16093014574129</v>
      </c>
      <c r="AI2926" s="9">
        <v>110.08433596377185</v>
      </c>
      <c r="AJ2926" s="9">
        <v>3.0428788910505911</v>
      </c>
    </row>
    <row r="2927" spans="1:36" x14ac:dyDescent="0.25">
      <c r="A2927" t="s">
        <v>5411</v>
      </c>
      <c r="B2927" t="s">
        <v>16</v>
      </c>
      <c r="C2927" t="s">
        <v>17</v>
      </c>
      <c r="D2927">
        <v>58860000</v>
      </c>
      <c r="E2927">
        <v>58864999</v>
      </c>
      <c r="F2927" t="s">
        <v>2196</v>
      </c>
      <c r="G2927" t="str">
        <f t="shared" si="90"/>
        <v>PBR</v>
      </c>
      <c r="H2927" t="s">
        <v>2471</v>
      </c>
      <c r="I2927" t="s">
        <v>20</v>
      </c>
      <c r="J2927" t="s">
        <v>77</v>
      </c>
      <c r="K2927" s="6">
        <v>0.03</v>
      </c>
      <c r="L2927" s="7">
        <f t="shared" si="91"/>
        <v>2E-3</v>
      </c>
      <c r="M2927" s="7">
        <v>3.0000000000000001E-3</v>
      </c>
      <c r="N2927">
        <v>17</v>
      </c>
      <c r="O2927" s="8">
        <v>31.674720005909176</v>
      </c>
      <c r="P2927" s="9">
        <v>31.674720005909176</v>
      </c>
      <c r="Q2927" s="9">
        <v>31.674720005909176</v>
      </c>
      <c r="R2927" s="9">
        <v>34.913308289497976</v>
      </c>
      <c r="S2927" s="9">
        <v>38.480048605011753</v>
      </c>
      <c r="T2927" s="9">
        <v>40.939971907336925</v>
      </c>
      <c r="U2927" s="9">
        <v>49.333088414904694</v>
      </c>
      <c r="V2927" s="9">
        <v>49.333088414904694</v>
      </c>
      <c r="W2927" s="9">
        <v>49.333088414904694</v>
      </c>
      <c r="X2927" s="9">
        <v>63.21225398254326</v>
      </c>
      <c r="Y2927" s="9">
        <v>63.21225398254326</v>
      </c>
      <c r="Z2927" s="9">
        <v>73.404961153420544</v>
      </c>
      <c r="AA2927" s="9">
        <v>73.404961153420544</v>
      </c>
      <c r="AB2927" s="9">
        <v>83.820133806833923</v>
      </c>
      <c r="AC2927" s="9">
        <v>83.820133806833923</v>
      </c>
      <c r="AD2927" s="9">
        <v>94.480018491037072</v>
      </c>
      <c r="AE2927" s="9">
        <v>105.40908640910902</v>
      </c>
      <c r="AF2927" s="9">
        <v>116.6342558844366</v>
      </c>
      <c r="AG2927" s="9">
        <v>116.6342558844366</v>
      </c>
      <c r="AH2927" s="9">
        <v>128.18513707274536</v>
      </c>
      <c r="AI2927" s="9">
        <v>140.98660541754566</v>
      </c>
      <c r="AJ2927" s="9">
        <v>3.0428788910505911</v>
      </c>
    </row>
    <row r="2928" spans="1:36" x14ac:dyDescent="0.25">
      <c r="A2928" t="s">
        <v>5411</v>
      </c>
      <c r="B2928" t="s">
        <v>16</v>
      </c>
      <c r="C2928" t="s">
        <v>17</v>
      </c>
      <c r="D2928">
        <v>58865000</v>
      </c>
      <c r="E2928">
        <v>58869999</v>
      </c>
      <c r="F2928" t="s">
        <v>2638</v>
      </c>
      <c r="G2928" t="str">
        <f t="shared" si="90"/>
        <v>PBR</v>
      </c>
      <c r="H2928" t="s">
        <v>2471</v>
      </c>
      <c r="I2928" t="s">
        <v>20</v>
      </c>
      <c r="J2928" t="s">
        <v>77</v>
      </c>
      <c r="K2928" s="6">
        <v>0.03</v>
      </c>
      <c r="L2928" s="7">
        <f t="shared" si="91"/>
        <v>2E-3</v>
      </c>
      <c r="M2928" s="7">
        <v>3.0000000000000001E-3</v>
      </c>
      <c r="N2928">
        <v>17</v>
      </c>
      <c r="O2928" s="8">
        <v>31.674720005909176</v>
      </c>
      <c r="P2928" s="9">
        <v>31.674720005909176</v>
      </c>
      <c r="Q2928" s="9">
        <v>31.674720005909176</v>
      </c>
      <c r="R2928" s="9">
        <v>34.913308289497976</v>
      </c>
      <c r="S2928" s="9">
        <v>38.480048605011753</v>
      </c>
      <c r="T2928" s="9">
        <v>40.939971907336925</v>
      </c>
      <c r="U2928" s="9">
        <v>49.333088414904694</v>
      </c>
      <c r="V2928" s="9">
        <v>49.333088414904694</v>
      </c>
      <c r="W2928" s="9">
        <v>49.333088414904694</v>
      </c>
      <c r="X2928" s="9">
        <v>63.21225398254326</v>
      </c>
      <c r="Y2928" s="9">
        <v>63.21225398254326</v>
      </c>
      <c r="Z2928" s="9">
        <v>73.404961153420544</v>
      </c>
      <c r="AA2928" s="9">
        <v>73.404961153420544</v>
      </c>
      <c r="AB2928" s="9">
        <v>83.820133806833923</v>
      </c>
      <c r="AC2928" s="9">
        <v>83.820133806833923</v>
      </c>
      <c r="AD2928" s="9">
        <v>94.480018491037072</v>
      </c>
      <c r="AE2928" s="9">
        <v>105.40908640910902</v>
      </c>
      <c r="AF2928" s="9">
        <v>116.6342558844366</v>
      </c>
      <c r="AG2928" s="9">
        <v>116.6342558844366</v>
      </c>
      <c r="AH2928" s="9">
        <v>128.18513707274536</v>
      </c>
      <c r="AI2928" s="9">
        <v>140.98660541754566</v>
      </c>
      <c r="AJ2928" s="9">
        <v>3.0428788910505911</v>
      </c>
    </row>
    <row r="2929" spans="1:36" x14ac:dyDescent="0.25">
      <c r="A2929" t="s">
        <v>5411</v>
      </c>
      <c r="B2929" t="s">
        <v>16</v>
      </c>
      <c r="C2929" t="s">
        <v>17</v>
      </c>
      <c r="D2929">
        <v>58870000</v>
      </c>
      <c r="E2929">
        <v>58879999</v>
      </c>
      <c r="F2929" t="s">
        <v>2639</v>
      </c>
      <c r="G2929" t="str">
        <f t="shared" si="90"/>
        <v>PBR</v>
      </c>
      <c r="H2929" t="s">
        <v>2471</v>
      </c>
      <c r="I2929" t="s">
        <v>20</v>
      </c>
      <c r="J2929" t="s">
        <v>77</v>
      </c>
      <c r="K2929" s="6">
        <v>0.03</v>
      </c>
      <c r="L2929" s="7">
        <f t="shared" si="91"/>
        <v>2E-3</v>
      </c>
      <c r="M2929" s="7">
        <v>3.0000000000000001E-3</v>
      </c>
      <c r="N2929">
        <v>17</v>
      </c>
      <c r="O2929" s="8">
        <v>31.674720005909176</v>
      </c>
      <c r="P2929" s="9">
        <v>31.674720005909176</v>
      </c>
      <c r="Q2929" s="9">
        <v>31.674720005909176</v>
      </c>
      <c r="R2929" s="9">
        <v>34.913308289497976</v>
      </c>
      <c r="S2929" s="9">
        <v>38.480048605011753</v>
      </c>
      <c r="T2929" s="9">
        <v>40.939971907336925</v>
      </c>
      <c r="U2929" s="9">
        <v>49.333088414904694</v>
      </c>
      <c r="V2929" s="9">
        <v>49.333088414904694</v>
      </c>
      <c r="W2929" s="9">
        <v>49.333088414904694</v>
      </c>
      <c r="X2929" s="9">
        <v>63.21225398254326</v>
      </c>
      <c r="Y2929" s="9">
        <v>63.21225398254326</v>
      </c>
      <c r="Z2929" s="9">
        <v>73.404961153420544</v>
      </c>
      <c r="AA2929" s="9">
        <v>73.404961153420544</v>
      </c>
      <c r="AB2929" s="9">
        <v>83.820133806833923</v>
      </c>
      <c r="AC2929" s="9">
        <v>83.820133806833923</v>
      </c>
      <c r="AD2929" s="9">
        <v>94.480018491037072</v>
      </c>
      <c r="AE2929" s="9">
        <v>105.40908640910902</v>
      </c>
      <c r="AF2929" s="9">
        <v>116.6342558844366</v>
      </c>
      <c r="AG2929" s="9">
        <v>116.6342558844366</v>
      </c>
      <c r="AH2929" s="9">
        <v>128.18513707274536</v>
      </c>
      <c r="AI2929" s="9">
        <v>140.98660541754566</v>
      </c>
      <c r="AJ2929" s="9">
        <v>3.0428788910505911</v>
      </c>
    </row>
    <row r="2930" spans="1:36" x14ac:dyDescent="0.25">
      <c r="A2930" t="s">
        <v>5411</v>
      </c>
      <c r="B2930" t="s">
        <v>16</v>
      </c>
      <c r="C2930" t="s">
        <v>17</v>
      </c>
      <c r="D2930">
        <v>58880000</v>
      </c>
      <c r="E2930">
        <v>58883999</v>
      </c>
      <c r="F2930" t="s">
        <v>2640</v>
      </c>
      <c r="G2930" t="str">
        <f t="shared" si="90"/>
        <v>PBR</v>
      </c>
      <c r="H2930" t="s">
        <v>2471</v>
      </c>
      <c r="I2930" t="s">
        <v>20</v>
      </c>
      <c r="J2930" t="s">
        <v>77</v>
      </c>
      <c r="K2930" s="6">
        <v>0.03</v>
      </c>
      <c r="L2930" s="7">
        <f t="shared" si="91"/>
        <v>2E-3</v>
      </c>
      <c r="M2930" s="7">
        <v>3.0000000000000001E-3</v>
      </c>
      <c r="N2930">
        <v>17</v>
      </c>
      <c r="O2930" s="8">
        <v>31.674720005909176</v>
      </c>
      <c r="P2930" s="9">
        <v>31.674720005909176</v>
      </c>
      <c r="Q2930" s="9">
        <v>31.674720005909176</v>
      </c>
      <c r="R2930" s="9">
        <v>34.913308289497976</v>
      </c>
      <c r="S2930" s="9">
        <v>38.480048605011753</v>
      </c>
      <c r="T2930" s="9">
        <v>40.939971907336925</v>
      </c>
      <c r="U2930" s="9">
        <v>49.333088414904694</v>
      </c>
      <c r="V2930" s="9">
        <v>49.333088414904694</v>
      </c>
      <c r="W2930" s="9">
        <v>49.333088414904694</v>
      </c>
      <c r="X2930" s="9">
        <v>63.21225398254326</v>
      </c>
      <c r="Y2930" s="9">
        <v>63.21225398254326</v>
      </c>
      <c r="Z2930" s="9">
        <v>73.404961153420544</v>
      </c>
      <c r="AA2930" s="9">
        <v>73.404961153420544</v>
      </c>
      <c r="AB2930" s="9">
        <v>83.820133806833923</v>
      </c>
      <c r="AC2930" s="9">
        <v>83.820133806833923</v>
      </c>
      <c r="AD2930" s="9">
        <v>94.480018491037072</v>
      </c>
      <c r="AE2930" s="9">
        <v>105.40908640910902</v>
      </c>
      <c r="AF2930" s="9">
        <v>116.6342558844366</v>
      </c>
      <c r="AG2930" s="9">
        <v>116.6342558844366</v>
      </c>
      <c r="AH2930" s="9">
        <v>128.18513707274536</v>
      </c>
      <c r="AI2930" s="9">
        <v>140.98660541754566</v>
      </c>
      <c r="AJ2930" s="9">
        <v>3.0428788910505911</v>
      </c>
    </row>
    <row r="2931" spans="1:36" x14ac:dyDescent="0.25">
      <c r="A2931" t="s">
        <v>5411</v>
      </c>
      <c r="B2931" t="s">
        <v>16</v>
      </c>
      <c r="C2931" t="s">
        <v>17</v>
      </c>
      <c r="D2931">
        <v>58884000</v>
      </c>
      <c r="E2931">
        <v>58886999</v>
      </c>
      <c r="F2931" t="s">
        <v>2641</v>
      </c>
      <c r="G2931" t="str">
        <f t="shared" si="90"/>
        <v>PBR</v>
      </c>
      <c r="H2931" t="s">
        <v>2471</v>
      </c>
      <c r="I2931" t="s">
        <v>20</v>
      </c>
      <c r="J2931" t="s">
        <v>77</v>
      </c>
      <c r="K2931" s="6">
        <v>0.03</v>
      </c>
      <c r="L2931" s="7">
        <f t="shared" si="91"/>
        <v>2E-3</v>
      </c>
      <c r="M2931" s="7">
        <v>3.0000000000000001E-3</v>
      </c>
      <c r="N2931">
        <v>17</v>
      </c>
      <c r="O2931" s="8">
        <v>31.674720005909176</v>
      </c>
      <c r="P2931" s="9">
        <v>31.674720005909176</v>
      </c>
      <c r="Q2931" s="9">
        <v>31.674720005909176</v>
      </c>
      <c r="R2931" s="9">
        <v>34.913308289497976</v>
      </c>
      <c r="S2931" s="9">
        <v>38.480048605011753</v>
      </c>
      <c r="T2931" s="9">
        <v>40.939971907336925</v>
      </c>
      <c r="U2931" s="9">
        <v>49.333088414904694</v>
      </c>
      <c r="V2931" s="9">
        <v>49.333088414904694</v>
      </c>
      <c r="W2931" s="9">
        <v>49.333088414904694</v>
      </c>
      <c r="X2931" s="9">
        <v>63.21225398254326</v>
      </c>
      <c r="Y2931" s="9">
        <v>63.21225398254326</v>
      </c>
      <c r="Z2931" s="9">
        <v>73.404961153420544</v>
      </c>
      <c r="AA2931" s="9">
        <v>73.404961153420544</v>
      </c>
      <c r="AB2931" s="9">
        <v>83.820133806833923</v>
      </c>
      <c r="AC2931" s="9">
        <v>83.820133806833923</v>
      </c>
      <c r="AD2931" s="9">
        <v>94.480018491037072</v>
      </c>
      <c r="AE2931" s="9">
        <v>105.40908640910902</v>
      </c>
      <c r="AF2931" s="9">
        <v>116.6342558844366</v>
      </c>
      <c r="AG2931" s="9">
        <v>116.6342558844366</v>
      </c>
      <c r="AH2931" s="9">
        <v>128.18513707274536</v>
      </c>
      <c r="AI2931" s="9">
        <v>140.98660541754566</v>
      </c>
      <c r="AJ2931" s="9">
        <v>3.0428788910505911</v>
      </c>
    </row>
    <row r="2932" spans="1:36" x14ac:dyDescent="0.25">
      <c r="A2932" t="s">
        <v>5411</v>
      </c>
      <c r="B2932" t="s">
        <v>16</v>
      </c>
      <c r="C2932" t="s">
        <v>17</v>
      </c>
      <c r="D2932">
        <v>58887000</v>
      </c>
      <c r="E2932">
        <v>58889999</v>
      </c>
      <c r="F2932" t="s">
        <v>1256</v>
      </c>
      <c r="G2932" t="str">
        <f t="shared" si="90"/>
        <v>PBR</v>
      </c>
      <c r="H2932" t="s">
        <v>2471</v>
      </c>
      <c r="I2932" t="s">
        <v>20</v>
      </c>
      <c r="J2932" t="s">
        <v>77</v>
      </c>
      <c r="K2932" s="6">
        <v>0.03</v>
      </c>
      <c r="L2932" s="7">
        <f t="shared" si="91"/>
        <v>2E-3</v>
      </c>
      <c r="M2932" s="7">
        <v>3.0000000000000001E-3</v>
      </c>
      <c r="N2932">
        <v>17</v>
      </c>
      <c r="O2932" s="8">
        <v>31.674720005909176</v>
      </c>
      <c r="P2932" s="9">
        <v>31.674720005909176</v>
      </c>
      <c r="Q2932" s="9">
        <v>31.674720005909176</v>
      </c>
      <c r="R2932" s="9">
        <v>34.913308289497976</v>
      </c>
      <c r="S2932" s="9">
        <v>38.480048605011753</v>
      </c>
      <c r="T2932" s="9">
        <v>40.939971907336925</v>
      </c>
      <c r="U2932" s="9">
        <v>49.333088414904694</v>
      </c>
      <c r="V2932" s="9">
        <v>49.333088414904694</v>
      </c>
      <c r="W2932" s="9">
        <v>49.333088414904694</v>
      </c>
      <c r="X2932" s="9">
        <v>63.21225398254326</v>
      </c>
      <c r="Y2932" s="9">
        <v>63.21225398254326</v>
      </c>
      <c r="Z2932" s="9">
        <v>73.404961153420544</v>
      </c>
      <c r="AA2932" s="9">
        <v>73.404961153420544</v>
      </c>
      <c r="AB2932" s="9">
        <v>83.820133806833923</v>
      </c>
      <c r="AC2932" s="9">
        <v>83.820133806833923</v>
      </c>
      <c r="AD2932" s="9">
        <v>94.480018491037072</v>
      </c>
      <c r="AE2932" s="9">
        <v>105.40908640910902</v>
      </c>
      <c r="AF2932" s="9">
        <v>116.6342558844366</v>
      </c>
      <c r="AG2932" s="9">
        <v>116.6342558844366</v>
      </c>
      <c r="AH2932" s="9">
        <v>128.18513707274536</v>
      </c>
      <c r="AI2932" s="9">
        <v>140.98660541754566</v>
      </c>
      <c r="AJ2932" s="9">
        <v>3.0428788910505911</v>
      </c>
    </row>
    <row r="2933" spans="1:36" x14ac:dyDescent="0.25">
      <c r="A2933" t="s">
        <v>5411</v>
      </c>
      <c r="B2933" t="s">
        <v>16</v>
      </c>
      <c r="C2933" t="s">
        <v>17</v>
      </c>
      <c r="D2933">
        <v>58890000</v>
      </c>
      <c r="E2933">
        <v>58892999</v>
      </c>
      <c r="F2933" t="s">
        <v>2642</v>
      </c>
      <c r="G2933" t="str">
        <f t="shared" si="90"/>
        <v>PBR</v>
      </c>
      <c r="H2933" t="s">
        <v>2471</v>
      </c>
      <c r="I2933" t="s">
        <v>20</v>
      </c>
      <c r="J2933" t="s">
        <v>77</v>
      </c>
      <c r="K2933" s="6">
        <v>0.03</v>
      </c>
      <c r="L2933" s="7">
        <f t="shared" si="91"/>
        <v>2E-3</v>
      </c>
      <c r="M2933" s="7">
        <v>3.0000000000000001E-3</v>
      </c>
      <c r="N2933">
        <v>17</v>
      </c>
      <c r="O2933" s="8">
        <v>31.674720005909176</v>
      </c>
      <c r="P2933" s="9">
        <v>31.674720005909176</v>
      </c>
      <c r="Q2933" s="9">
        <v>31.674720005909176</v>
      </c>
      <c r="R2933" s="9">
        <v>34.913308289497976</v>
      </c>
      <c r="S2933" s="9">
        <v>38.480048605011753</v>
      </c>
      <c r="T2933" s="9">
        <v>40.939971907336925</v>
      </c>
      <c r="U2933" s="9">
        <v>49.333088414904694</v>
      </c>
      <c r="V2933" s="9">
        <v>49.333088414904694</v>
      </c>
      <c r="W2933" s="9">
        <v>49.333088414904694</v>
      </c>
      <c r="X2933" s="9">
        <v>63.21225398254326</v>
      </c>
      <c r="Y2933" s="9">
        <v>63.21225398254326</v>
      </c>
      <c r="Z2933" s="9">
        <v>73.404961153420544</v>
      </c>
      <c r="AA2933" s="9">
        <v>73.404961153420544</v>
      </c>
      <c r="AB2933" s="9">
        <v>83.820133806833923</v>
      </c>
      <c r="AC2933" s="9">
        <v>83.820133806833923</v>
      </c>
      <c r="AD2933" s="9">
        <v>94.480018491037072</v>
      </c>
      <c r="AE2933" s="9">
        <v>105.40908640910902</v>
      </c>
      <c r="AF2933" s="9">
        <v>116.6342558844366</v>
      </c>
      <c r="AG2933" s="9">
        <v>116.6342558844366</v>
      </c>
      <c r="AH2933" s="9">
        <v>128.18513707274536</v>
      </c>
      <c r="AI2933" s="9">
        <v>140.98660541754566</v>
      </c>
      <c r="AJ2933" s="9">
        <v>3.0428788910505911</v>
      </c>
    </row>
    <row r="2934" spans="1:36" x14ac:dyDescent="0.25">
      <c r="A2934" t="s">
        <v>5411</v>
      </c>
      <c r="B2934" t="s">
        <v>16</v>
      </c>
      <c r="C2934" t="s">
        <v>17</v>
      </c>
      <c r="D2934">
        <v>58893000</v>
      </c>
      <c r="E2934">
        <v>58894999</v>
      </c>
      <c r="F2934" t="s">
        <v>2643</v>
      </c>
      <c r="G2934" t="str">
        <f t="shared" si="90"/>
        <v>PBR</v>
      </c>
      <c r="H2934" t="s">
        <v>2471</v>
      </c>
      <c r="I2934" t="s">
        <v>20</v>
      </c>
      <c r="J2934" t="s">
        <v>77</v>
      </c>
      <c r="K2934" s="6">
        <v>0.03</v>
      </c>
      <c r="L2934" s="7">
        <f t="shared" si="91"/>
        <v>2E-3</v>
      </c>
      <c r="M2934" s="7">
        <v>3.0000000000000001E-3</v>
      </c>
      <c r="N2934">
        <v>17</v>
      </c>
      <c r="O2934" s="8">
        <v>31.674720005909176</v>
      </c>
      <c r="P2934" s="9">
        <v>31.674720005909176</v>
      </c>
      <c r="Q2934" s="9">
        <v>31.674720005909176</v>
      </c>
      <c r="R2934" s="9">
        <v>34.913308289497976</v>
      </c>
      <c r="S2934" s="9">
        <v>38.480048605011753</v>
      </c>
      <c r="T2934" s="9">
        <v>40.939971907336925</v>
      </c>
      <c r="U2934" s="9">
        <v>49.333088414904694</v>
      </c>
      <c r="V2934" s="9">
        <v>49.333088414904694</v>
      </c>
      <c r="W2934" s="9">
        <v>49.333088414904694</v>
      </c>
      <c r="X2934" s="9">
        <v>63.21225398254326</v>
      </c>
      <c r="Y2934" s="9">
        <v>63.21225398254326</v>
      </c>
      <c r="Z2934" s="9">
        <v>73.404961153420544</v>
      </c>
      <c r="AA2934" s="9">
        <v>73.404961153420544</v>
      </c>
      <c r="AB2934" s="9">
        <v>83.820133806833923</v>
      </c>
      <c r="AC2934" s="9">
        <v>83.820133806833923</v>
      </c>
      <c r="AD2934" s="9">
        <v>94.480018491037072</v>
      </c>
      <c r="AE2934" s="9">
        <v>105.40908640910902</v>
      </c>
      <c r="AF2934" s="9">
        <v>116.6342558844366</v>
      </c>
      <c r="AG2934" s="9">
        <v>116.6342558844366</v>
      </c>
      <c r="AH2934" s="9">
        <v>128.18513707274536</v>
      </c>
      <c r="AI2934" s="9">
        <v>140.98660541754566</v>
      </c>
      <c r="AJ2934" s="9">
        <v>3.0428788910505911</v>
      </c>
    </row>
    <row r="2935" spans="1:36" x14ac:dyDescent="0.25">
      <c r="A2935" t="s">
        <v>5411</v>
      </c>
      <c r="B2935" t="s">
        <v>16</v>
      </c>
      <c r="C2935" t="s">
        <v>17</v>
      </c>
      <c r="D2935">
        <v>58895000</v>
      </c>
      <c r="E2935">
        <v>58899999</v>
      </c>
      <c r="F2935" t="s">
        <v>2644</v>
      </c>
      <c r="G2935" t="str">
        <f t="shared" si="90"/>
        <v>PBR</v>
      </c>
      <c r="H2935" t="s">
        <v>2471</v>
      </c>
      <c r="I2935" t="s">
        <v>20</v>
      </c>
      <c r="J2935" t="s">
        <v>77</v>
      </c>
      <c r="K2935" s="6">
        <v>0.03</v>
      </c>
      <c r="L2935" s="7">
        <f t="shared" si="91"/>
        <v>2E-3</v>
      </c>
      <c r="M2935" s="7">
        <v>3.0000000000000001E-3</v>
      </c>
      <c r="N2935">
        <v>17</v>
      </c>
      <c r="O2935" s="8">
        <v>31.674720005909176</v>
      </c>
      <c r="P2935" s="9">
        <v>31.674720005909176</v>
      </c>
      <c r="Q2935" s="9">
        <v>31.674720005909176</v>
      </c>
      <c r="R2935" s="9">
        <v>34.913308289497976</v>
      </c>
      <c r="S2935" s="9">
        <v>38.480048605011753</v>
      </c>
      <c r="T2935" s="9">
        <v>40.939971907336925</v>
      </c>
      <c r="U2935" s="9">
        <v>49.333088414904694</v>
      </c>
      <c r="V2935" s="9">
        <v>49.333088414904694</v>
      </c>
      <c r="W2935" s="9">
        <v>49.333088414904694</v>
      </c>
      <c r="X2935" s="9">
        <v>63.21225398254326</v>
      </c>
      <c r="Y2935" s="9">
        <v>63.21225398254326</v>
      </c>
      <c r="Z2935" s="9">
        <v>73.404961153420544</v>
      </c>
      <c r="AA2935" s="9">
        <v>73.404961153420544</v>
      </c>
      <c r="AB2935" s="9">
        <v>83.820133806833923</v>
      </c>
      <c r="AC2935" s="9">
        <v>83.820133806833923</v>
      </c>
      <c r="AD2935" s="9">
        <v>94.480018491037072</v>
      </c>
      <c r="AE2935" s="9">
        <v>105.40908640910902</v>
      </c>
      <c r="AF2935" s="9">
        <v>116.6342558844366</v>
      </c>
      <c r="AG2935" s="9">
        <v>116.6342558844366</v>
      </c>
      <c r="AH2935" s="9">
        <v>128.18513707274536</v>
      </c>
      <c r="AI2935" s="9">
        <v>140.98660541754566</v>
      </c>
      <c r="AJ2935" s="9">
        <v>3.0428788910505911</v>
      </c>
    </row>
    <row r="2936" spans="1:36" x14ac:dyDescent="0.25">
      <c r="A2936" t="s">
        <v>5411</v>
      </c>
      <c r="B2936" t="s">
        <v>16</v>
      </c>
      <c r="C2936" t="s">
        <v>17</v>
      </c>
      <c r="D2936">
        <v>58900000</v>
      </c>
      <c r="E2936">
        <v>58907999</v>
      </c>
      <c r="F2936" t="s">
        <v>2645</v>
      </c>
      <c r="G2936" t="str">
        <f t="shared" si="90"/>
        <v>PBI</v>
      </c>
      <c r="H2936" t="s">
        <v>2471</v>
      </c>
      <c r="I2936" t="s">
        <v>20</v>
      </c>
      <c r="J2936" t="s">
        <v>62</v>
      </c>
      <c r="K2936" s="6">
        <v>0.03</v>
      </c>
      <c r="L2936" s="7">
        <f t="shared" si="91"/>
        <v>2E-3</v>
      </c>
      <c r="M2936" s="7">
        <v>3.0000000000000001E-3</v>
      </c>
      <c r="N2936">
        <v>12</v>
      </c>
      <c r="O2936" s="8">
        <v>20.87728230344733</v>
      </c>
      <c r="P2936" s="9">
        <v>20.87728230344733</v>
      </c>
      <c r="Q2936" s="9">
        <v>20.87728230344733</v>
      </c>
      <c r="R2936" s="9">
        <v>22.487970664940882</v>
      </c>
      <c r="S2936" s="9">
        <v>24.836959128882373</v>
      </c>
      <c r="T2936" s="9">
        <v>27.328940564094832</v>
      </c>
      <c r="U2936" s="9">
        <v>33.487633384176874</v>
      </c>
      <c r="V2936" s="9">
        <v>33.487633384176874</v>
      </c>
      <c r="W2936" s="9">
        <v>33.487633384176874</v>
      </c>
      <c r="X2936" s="9">
        <v>40.444098389650613</v>
      </c>
      <c r="Y2936" s="9">
        <v>40.444098389650613</v>
      </c>
      <c r="Z2936" s="9">
        <v>47.624518869362937</v>
      </c>
      <c r="AA2936" s="9">
        <v>47.624518869362937</v>
      </c>
      <c r="AB2936" s="9">
        <v>55.099076844260026</v>
      </c>
      <c r="AC2936" s="9">
        <v>55.099076844260026</v>
      </c>
      <c r="AD2936" s="9">
        <v>62.749008739977157</v>
      </c>
      <c r="AE2936" s="9">
        <v>70.59687278474604</v>
      </c>
      <c r="AF2936" s="9">
        <v>78.668205468404196</v>
      </c>
      <c r="AG2936" s="9">
        <v>78.668205468404196</v>
      </c>
      <c r="AH2936" s="9">
        <v>86.404717432433188</v>
      </c>
      <c r="AI2936" s="9">
        <v>94.691678268933799</v>
      </c>
      <c r="AJ2936" s="9">
        <v>3.0428788910505911</v>
      </c>
    </row>
    <row r="2937" spans="1:36" x14ac:dyDescent="0.25">
      <c r="A2937" t="s">
        <v>5411</v>
      </c>
      <c r="B2937" t="s">
        <v>16</v>
      </c>
      <c r="C2937" t="s">
        <v>17</v>
      </c>
      <c r="D2937">
        <v>58908000</v>
      </c>
      <c r="E2937">
        <v>58909999</v>
      </c>
      <c r="F2937" t="s">
        <v>2646</v>
      </c>
      <c r="G2937" t="str">
        <f t="shared" si="90"/>
        <v>PBR</v>
      </c>
      <c r="H2937" t="s">
        <v>2471</v>
      </c>
      <c r="I2937" t="s">
        <v>20</v>
      </c>
      <c r="J2937" t="s">
        <v>77</v>
      </c>
      <c r="K2937" s="6">
        <v>0.03</v>
      </c>
      <c r="L2937" s="7">
        <f t="shared" si="91"/>
        <v>2E-3</v>
      </c>
      <c r="M2937" s="7">
        <v>3.0000000000000001E-3</v>
      </c>
      <c r="N2937">
        <v>17</v>
      </c>
      <c r="O2937" s="8">
        <v>31.674720005909176</v>
      </c>
      <c r="P2937" s="9">
        <v>31.674720005909176</v>
      </c>
      <c r="Q2937" s="9">
        <v>31.674720005909176</v>
      </c>
      <c r="R2937" s="9">
        <v>34.913308289497976</v>
      </c>
      <c r="S2937" s="9">
        <v>38.480048605011753</v>
      </c>
      <c r="T2937" s="9">
        <v>40.939971907336925</v>
      </c>
      <c r="U2937" s="9">
        <v>49.333088414904694</v>
      </c>
      <c r="V2937" s="9">
        <v>49.333088414904694</v>
      </c>
      <c r="W2937" s="9">
        <v>49.333088414904694</v>
      </c>
      <c r="X2937" s="9">
        <v>63.21225398254326</v>
      </c>
      <c r="Y2937" s="9">
        <v>63.21225398254326</v>
      </c>
      <c r="Z2937" s="9">
        <v>73.404961153420544</v>
      </c>
      <c r="AA2937" s="9">
        <v>73.404961153420544</v>
      </c>
      <c r="AB2937" s="9">
        <v>83.820133806833923</v>
      </c>
      <c r="AC2937" s="9">
        <v>83.820133806833923</v>
      </c>
      <c r="AD2937" s="9">
        <v>94.480018491037072</v>
      </c>
      <c r="AE2937" s="9">
        <v>105.40908640910902</v>
      </c>
      <c r="AF2937" s="9">
        <v>116.6342558844366</v>
      </c>
      <c r="AG2937" s="9">
        <v>116.6342558844366</v>
      </c>
      <c r="AH2937" s="9">
        <v>128.18513707274536</v>
      </c>
      <c r="AI2937" s="9">
        <v>140.98660541754566</v>
      </c>
      <c r="AJ2937" s="9">
        <v>3.0428788910505911</v>
      </c>
    </row>
    <row r="2938" spans="1:36" x14ac:dyDescent="0.25">
      <c r="A2938" t="s">
        <v>5411</v>
      </c>
      <c r="B2938" t="s">
        <v>16</v>
      </c>
      <c r="C2938" t="s">
        <v>17</v>
      </c>
      <c r="D2938">
        <v>58910000</v>
      </c>
      <c r="E2938">
        <v>58914999</v>
      </c>
      <c r="F2938" t="s">
        <v>2647</v>
      </c>
      <c r="G2938" t="str">
        <f t="shared" si="90"/>
        <v>PBR</v>
      </c>
      <c r="H2938" t="s">
        <v>2471</v>
      </c>
      <c r="I2938" t="s">
        <v>20</v>
      </c>
      <c r="J2938" t="s">
        <v>77</v>
      </c>
      <c r="K2938" s="6">
        <v>0.03</v>
      </c>
      <c r="L2938" s="7">
        <f t="shared" si="91"/>
        <v>2E-3</v>
      </c>
      <c r="M2938" s="7">
        <v>3.0000000000000001E-3</v>
      </c>
      <c r="N2938">
        <v>17</v>
      </c>
      <c r="O2938" s="8">
        <v>31.674720005909176</v>
      </c>
      <c r="P2938" s="9">
        <v>31.674720005909176</v>
      </c>
      <c r="Q2938" s="9">
        <v>31.674720005909176</v>
      </c>
      <c r="R2938" s="9">
        <v>34.913308289497976</v>
      </c>
      <c r="S2938" s="9">
        <v>38.480048605011753</v>
      </c>
      <c r="T2938" s="9">
        <v>40.939971907336925</v>
      </c>
      <c r="U2938" s="9">
        <v>49.333088414904694</v>
      </c>
      <c r="V2938" s="9">
        <v>49.333088414904694</v>
      </c>
      <c r="W2938" s="9">
        <v>49.333088414904694</v>
      </c>
      <c r="X2938" s="9">
        <v>63.21225398254326</v>
      </c>
      <c r="Y2938" s="9">
        <v>63.21225398254326</v>
      </c>
      <c r="Z2938" s="9">
        <v>73.404961153420544</v>
      </c>
      <c r="AA2938" s="9">
        <v>73.404961153420544</v>
      </c>
      <c r="AB2938" s="9">
        <v>83.820133806833923</v>
      </c>
      <c r="AC2938" s="9">
        <v>83.820133806833923</v>
      </c>
      <c r="AD2938" s="9">
        <v>94.480018491037072</v>
      </c>
      <c r="AE2938" s="9">
        <v>105.40908640910902</v>
      </c>
      <c r="AF2938" s="9">
        <v>116.6342558844366</v>
      </c>
      <c r="AG2938" s="9">
        <v>116.6342558844366</v>
      </c>
      <c r="AH2938" s="9">
        <v>128.18513707274536</v>
      </c>
      <c r="AI2938" s="9">
        <v>140.98660541754566</v>
      </c>
      <c r="AJ2938" s="9">
        <v>3.0428788910505911</v>
      </c>
    </row>
    <row r="2939" spans="1:36" x14ac:dyDescent="0.25">
      <c r="A2939" t="s">
        <v>5411</v>
      </c>
      <c r="B2939" t="s">
        <v>16</v>
      </c>
      <c r="C2939" t="s">
        <v>17</v>
      </c>
      <c r="D2939">
        <v>58915000</v>
      </c>
      <c r="E2939">
        <v>58919999</v>
      </c>
      <c r="F2939" t="s">
        <v>2648</v>
      </c>
      <c r="G2939" t="str">
        <f t="shared" si="90"/>
        <v>PBI II</v>
      </c>
      <c r="H2939" t="s">
        <v>2471</v>
      </c>
      <c r="I2939" t="s">
        <v>20</v>
      </c>
      <c r="J2939" t="s">
        <v>64</v>
      </c>
      <c r="K2939" s="6">
        <v>0.03</v>
      </c>
      <c r="L2939" s="7">
        <f t="shared" si="91"/>
        <v>2E-3</v>
      </c>
      <c r="M2939" s="7">
        <v>3.0000000000000001E-3</v>
      </c>
      <c r="N2939">
        <v>13</v>
      </c>
      <c r="O2939" s="8">
        <v>25.469420399191385</v>
      </c>
      <c r="P2939" s="9">
        <v>25.469420399191385</v>
      </c>
      <c r="Q2939" s="9">
        <v>25.469420399191385</v>
      </c>
      <c r="R2939" s="9">
        <v>27.985354957700171</v>
      </c>
      <c r="S2939" s="9">
        <v>30.758461120802014</v>
      </c>
      <c r="T2939" s="9">
        <v>33.102903982805351</v>
      </c>
      <c r="U2939" s="9">
        <v>40.375170889228379</v>
      </c>
      <c r="V2939" s="9">
        <v>40.375170889228379</v>
      </c>
      <c r="W2939" s="9">
        <v>40.375170889228379</v>
      </c>
      <c r="X2939" s="9">
        <v>48.614146284608282</v>
      </c>
      <c r="Y2939" s="9">
        <v>48.614146284608282</v>
      </c>
      <c r="Z2939" s="9">
        <v>56.959894508429748</v>
      </c>
      <c r="AA2939" s="9">
        <v>56.959894508429748</v>
      </c>
      <c r="AB2939" s="9">
        <v>65.423092843536963</v>
      </c>
      <c r="AC2939" s="9">
        <v>65.423092843536963</v>
      </c>
      <c r="AD2939" s="9">
        <v>76.101886260449433</v>
      </c>
      <c r="AE2939" s="9">
        <v>84.004204331617984</v>
      </c>
      <c r="AF2939" s="9">
        <v>92.047281772276918</v>
      </c>
      <c r="AG2939" s="9">
        <v>92.047281772276918</v>
      </c>
      <c r="AH2939" s="9">
        <v>101.16093014574129</v>
      </c>
      <c r="AI2939" s="9">
        <v>110.08433596377185</v>
      </c>
      <c r="AJ2939" s="9">
        <v>3.0428788910505911</v>
      </c>
    </row>
    <row r="2940" spans="1:36" x14ac:dyDescent="0.25">
      <c r="A2940" t="s">
        <v>5411</v>
      </c>
      <c r="B2940" t="s">
        <v>16</v>
      </c>
      <c r="C2940" t="s">
        <v>17</v>
      </c>
      <c r="D2940">
        <v>58920000</v>
      </c>
      <c r="E2940">
        <v>58921999</v>
      </c>
      <c r="F2940" t="s">
        <v>2366</v>
      </c>
      <c r="G2940" t="str">
        <f t="shared" si="90"/>
        <v>PBR</v>
      </c>
      <c r="H2940" t="s">
        <v>2471</v>
      </c>
      <c r="I2940" t="s">
        <v>20</v>
      </c>
      <c r="J2940" t="s">
        <v>77</v>
      </c>
      <c r="K2940" s="6">
        <v>0.03</v>
      </c>
      <c r="L2940" s="7">
        <f t="shared" si="91"/>
        <v>2E-3</v>
      </c>
      <c r="M2940" s="7">
        <v>3.0000000000000001E-3</v>
      </c>
      <c r="N2940">
        <v>17</v>
      </c>
      <c r="O2940" s="8">
        <v>31.674720005909176</v>
      </c>
      <c r="P2940" s="9">
        <v>31.674720005909176</v>
      </c>
      <c r="Q2940" s="9">
        <v>31.674720005909176</v>
      </c>
      <c r="R2940" s="9">
        <v>34.913308289497976</v>
      </c>
      <c r="S2940" s="9">
        <v>38.480048605011753</v>
      </c>
      <c r="T2940" s="9">
        <v>40.939971907336925</v>
      </c>
      <c r="U2940" s="9">
        <v>49.333088414904694</v>
      </c>
      <c r="V2940" s="9">
        <v>49.333088414904694</v>
      </c>
      <c r="W2940" s="9">
        <v>49.333088414904694</v>
      </c>
      <c r="X2940" s="9">
        <v>63.21225398254326</v>
      </c>
      <c r="Y2940" s="9">
        <v>63.21225398254326</v>
      </c>
      <c r="Z2940" s="9">
        <v>73.404961153420544</v>
      </c>
      <c r="AA2940" s="9">
        <v>73.404961153420544</v>
      </c>
      <c r="AB2940" s="9">
        <v>83.820133806833923</v>
      </c>
      <c r="AC2940" s="9">
        <v>83.820133806833923</v>
      </c>
      <c r="AD2940" s="9">
        <v>94.480018491037072</v>
      </c>
      <c r="AE2940" s="9">
        <v>105.40908640910902</v>
      </c>
      <c r="AF2940" s="9">
        <v>116.6342558844366</v>
      </c>
      <c r="AG2940" s="9">
        <v>116.6342558844366</v>
      </c>
      <c r="AH2940" s="9">
        <v>128.18513707274536</v>
      </c>
      <c r="AI2940" s="9">
        <v>140.98660541754566</v>
      </c>
      <c r="AJ2940" s="9">
        <v>3.0428788910505911</v>
      </c>
    </row>
    <row r="2941" spans="1:36" x14ac:dyDescent="0.25">
      <c r="A2941" t="s">
        <v>5411</v>
      </c>
      <c r="B2941" t="s">
        <v>16</v>
      </c>
      <c r="C2941" t="s">
        <v>17</v>
      </c>
      <c r="D2941">
        <v>58922000</v>
      </c>
      <c r="E2941">
        <v>58924999</v>
      </c>
      <c r="F2941" t="s">
        <v>2649</v>
      </c>
      <c r="G2941" t="str">
        <f t="shared" si="90"/>
        <v>PBR</v>
      </c>
      <c r="H2941" t="s">
        <v>2471</v>
      </c>
      <c r="I2941" t="s">
        <v>20</v>
      </c>
      <c r="J2941" t="s">
        <v>77</v>
      </c>
      <c r="K2941" s="6">
        <v>0.03</v>
      </c>
      <c r="L2941" s="7">
        <f t="shared" si="91"/>
        <v>2E-3</v>
      </c>
      <c r="M2941" s="7">
        <v>3.0000000000000001E-3</v>
      </c>
      <c r="N2941">
        <v>17</v>
      </c>
      <c r="O2941" s="8">
        <v>31.674720005909176</v>
      </c>
      <c r="P2941" s="9">
        <v>31.674720005909176</v>
      </c>
      <c r="Q2941" s="9">
        <v>31.674720005909176</v>
      </c>
      <c r="R2941" s="9">
        <v>34.913308289497976</v>
      </c>
      <c r="S2941" s="9">
        <v>38.480048605011753</v>
      </c>
      <c r="T2941" s="9">
        <v>40.939971907336925</v>
      </c>
      <c r="U2941" s="9">
        <v>49.333088414904694</v>
      </c>
      <c r="V2941" s="9">
        <v>49.333088414904694</v>
      </c>
      <c r="W2941" s="9">
        <v>49.333088414904694</v>
      </c>
      <c r="X2941" s="9">
        <v>63.21225398254326</v>
      </c>
      <c r="Y2941" s="9">
        <v>63.21225398254326</v>
      </c>
      <c r="Z2941" s="9">
        <v>73.404961153420544</v>
      </c>
      <c r="AA2941" s="9">
        <v>73.404961153420544</v>
      </c>
      <c r="AB2941" s="9">
        <v>83.820133806833923</v>
      </c>
      <c r="AC2941" s="9">
        <v>83.820133806833923</v>
      </c>
      <c r="AD2941" s="9">
        <v>94.480018491037072</v>
      </c>
      <c r="AE2941" s="9">
        <v>105.40908640910902</v>
      </c>
      <c r="AF2941" s="9">
        <v>116.6342558844366</v>
      </c>
      <c r="AG2941" s="9">
        <v>116.6342558844366</v>
      </c>
      <c r="AH2941" s="9">
        <v>128.18513707274536</v>
      </c>
      <c r="AI2941" s="9">
        <v>140.98660541754566</v>
      </c>
      <c r="AJ2941" s="9">
        <v>3.0428788910505911</v>
      </c>
    </row>
    <row r="2942" spans="1:36" x14ac:dyDescent="0.25">
      <c r="A2942" t="s">
        <v>5411</v>
      </c>
      <c r="B2942" t="s">
        <v>16</v>
      </c>
      <c r="C2942" t="s">
        <v>17</v>
      </c>
      <c r="D2942">
        <v>58925000</v>
      </c>
      <c r="E2942">
        <v>58927999</v>
      </c>
      <c r="F2942" t="s">
        <v>2650</v>
      </c>
      <c r="G2942" t="str">
        <f t="shared" si="90"/>
        <v>PBR</v>
      </c>
      <c r="H2942" t="s">
        <v>2471</v>
      </c>
      <c r="I2942" t="s">
        <v>20</v>
      </c>
      <c r="J2942" t="s">
        <v>77</v>
      </c>
      <c r="K2942" s="6">
        <v>0.03</v>
      </c>
      <c r="L2942" s="7">
        <f t="shared" si="91"/>
        <v>2E-3</v>
      </c>
      <c r="M2942" s="7">
        <v>3.0000000000000001E-3</v>
      </c>
      <c r="N2942">
        <v>17</v>
      </c>
      <c r="O2942" s="8">
        <v>31.674720005909176</v>
      </c>
      <c r="P2942" s="9">
        <v>31.674720005909176</v>
      </c>
      <c r="Q2942" s="9">
        <v>31.674720005909176</v>
      </c>
      <c r="R2942" s="9">
        <v>34.913308289497976</v>
      </c>
      <c r="S2942" s="9">
        <v>38.480048605011753</v>
      </c>
      <c r="T2942" s="9">
        <v>40.939971907336925</v>
      </c>
      <c r="U2942" s="9">
        <v>49.333088414904694</v>
      </c>
      <c r="V2942" s="9">
        <v>49.333088414904694</v>
      </c>
      <c r="W2942" s="9">
        <v>49.333088414904694</v>
      </c>
      <c r="X2942" s="9">
        <v>63.21225398254326</v>
      </c>
      <c r="Y2942" s="9">
        <v>63.21225398254326</v>
      </c>
      <c r="Z2942" s="9">
        <v>73.404961153420544</v>
      </c>
      <c r="AA2942" s="9">
        <v>73.404961153420544</v>
      </c>
      <c r="AB2942" s="9">
        <v>83.820133806833923</v>
      </c>
      <c r="AC2942" s="9">
        <v>83.820133806833923</v>
      </c>
      <c r="AD2942" s="9">
        <v>94.480018491037072</v>
      </c>
      <c r="AE2942" s="9">
        <v>105.40908640910902</v>
      </c>
      <c r="AF2942" s="9">
        <v>116.6342558844366</v>
      </c>
      <c r="AG2942" s="9">
        <v>116.6342558844366</v>
      </c>
      <c r="AH2942" s="9">
        <v>128.18513707274536</v>
      </c>
      <c r="AI2942" s="9">
        <v>140.98660541754566</v>
      </c>
      <c r="AJ2942" s="9">
        <v>3.0428788910505911</v>
      </c>
    </row>
    <row r="2943" spans="1:36" x14ac:dyDescent="0.25">
      <c r="A2943" t="s">
        <v>5411</v>
      </c>
      <c r="B2943" t="s">
        <v>16</v>
      </c>
      <c r="C2943" t="s">
        <v>17</v>
      </c>
      <c r="D2943">
        <v>58928000</v>
      </c>
      <c r="E2943">
        <v>58929999</v>
      </c>
      <c r="F2943" t="s">
        <v>2651</v>
      </c>
      <c r="G2943" t="str">
        <f t="shared" si="90"/>
        <v>PBR</v>
      </c>
      <c r="H2943" t="s">
        <v>2471</v>
      </c>
      <c r="I2943" t="s">
        <v>20</v>
      </c>
      <c r="J2943" t="s">
        <v>77</v>
      </c>
      <c r="K2943" s="6">
        <v>0.03</v>
      </c>
      <c r="L2943" s="7">
        <f t="shared" si="91"/>
        <v>2E-3</v>
      </c>
      <c r="M2943" s="7">
        <v>3.0000000000000001E-3</v>
      </c>
      <c r="N2943">
        <v>17</v>
      </c>
      <c r="O2943" s="8">
        <v>31.674720005909176</v>
      </c>
      <c r="P2943" s="9">
        <v>31.674720005909176</v>
      </c>
      <c r="Q2943" s="9">
        <v>31.674720005909176</v>
      </c>
      <c r="R2943" s="9">
        <v>34.913308289497976</v>
      </c>
      <c r="S2943" s="9">
        <v>38.480048605011753</v>
      </c>
      <c r="T2943" s="9">
        <v>40.939971907336925</v>
      </c>
      <c r="U2943" s="9">
        <v>49.333088414904694</v>
      </c>
      <c r="V2943" s="9">
        <v>49.333088414904694</v>
      </c>
      <c r="W2943" s="9">
        <v>49.333088414904694</v>
      </c>
      <c r="X2943" s="9">
        <v>63.21225398254326</v>
      </c>
      <c r="Y2943" s="9">
        <v>63.21225398254326</v>
      </c>
      <c r="Z2943" s="9">
        <v>73.404961153420544</v>
      </c>
      <c r="AA2943" s="9">
        <v>73.404961153420544</v>
      </c>
      <c r="AB2943" s="9">
        <v>83.820133806833923</v>
      </c>
      <c r="AC2943" s="9">
        <v>83.820133806833923</v>
      </c>
      <c r="AD2943" s="9">
        <v>94.480018491037072</v>
      </c>
      <c r="AE2943" s="9">
        <v>105.40908640910902</v>
      </c>
      <c r="AF2943" s="9">
        <v>116.6342558844366</v>
      </c>
      <c r="AG2943" s="9">
        <v>116.6342558844366</v>
      </c>
      <c r="AH2943" s="9">
        <v>128.18513707274536</v>
      </c>
      <c r="AI2943" s="9">
        <v>140.98660541754566</v>
      </c>
      <c r="AJ2943" s="9">
        <v>3.0428788910505911</v>
      </c>
    </row>
    <row r="2944" spans="1:36" x14ac:dyDescent="0.25">
      <c r="A2944" t="s">
        <v>5411</v>
      </c>
      <c r="B2944" t="s">
        <v>16</v>
      </c>
      <c r="C2944" t="s">
        <v>17</v>
      </c>
      <c r="D2944">
        <v>58930000</v>
      </c>
      <c r="E2944">
        <v>58932999</v>
      </c>
      <c r="F2944" t="s">
        <v>2652</v>
      </c>
      <c r="G2944" t="str">
        <f t="shared" si="90"/>
        <v>PBR</v>
      </c>
      <c r="H2944" t="s">
        <v>2471</v>
      </c>
      <c r="I2944" t="s">
        <v>20</v>
      </c>
      <c r="J2944" t="s">
        <v>77</v>
      </c>
      <c r="K2944" s="6">
        <v>0.03</v>
      </c>
      <c r="L2944" s="7">
        <f t="shared" si="91"/>
        <v>2E-3</v>
      </c>
      <c r="M2944" s="7">
        <v>3.0000000000000001E-3</v>
      </c>
      <c r="N2944">
        <v>17</v>
      </c>
      <c r="O2944" s="8">
        <v>31.674720005909176</v>
      </c>
      <c r="P2944" s="9">
        <v>31.674720005909176</v>
      </c>
      <c r="Q2944" s="9">
        <v>31.674720005909176</v>
      </c>
      <c r="R2944" s="9">
        <v>34.913308289497976</v>
      </c>
      <c r="S2944" s="9">
        <v>38.480048605011753</v>
      </c>
      <c r="T2944" s="9">
        <v>40.939971907336925</v>
      </c>
      <c r="U2944" s="9">
        <v>49.333088414904694</v>
      </c>
      <c r="V2944" s="9">
        <v>49.333088414904694</v>
      </c>
      <c r="W2944" s="9">
        <v>49.333088414904694</v>
      </c>
      <c r="X2944" s="9">
        <v>63.21225398254326</v>
      </c>
      <c r="Y2944" s="9">
        <v>63.21225398254326</v>
      </c>
      <c r="Z2944" s="9">
        <v>73.404961153420544</v>
      </c>
      <c r="AA2944" s="9">
        <v>73.404961153420544</v>
      </c>
      <c r="AB2944" s="9">
        <v>83.820133806833923</v>
      </c>
      <c r="AC2944" s="9">
        <v>83.820133806833923</v>
      </c>
      <c r="AD2944" s="9">
        <v>94.480018491037072</v>
      </c>
      <c r="AE2944" s="9">
        <v>105.40908640910902</v>
      </c>
      <c r="AF2944" s="9">
        <v>116.6342558844366</v>
      </c>
      <c r="AG2944" s="9">
        <v>116.6342558844366</v>
      </c>
      <c r="AH2944" s="9">
        <v>128.18513707274536</v>
      </c>
      <c r="AI2944" s="9">
        <v>140.98660541754566</v>
      </c>
      <c r="AJ2944" s="9">
        <v>3.0428788910505911</v>
      </c>
    </row>
    <row r="2945" spans="1:36" x14ac:dyDescent="0.25">
      <c r="A2945" t="s">
        <v>5411</v>
      </c>
      <c r="B2945" t="s">
        <v>16</v>
      </c>
      <c r="C2945" t="s">
        <v>17</v>
      </c>
      <c r="D2945">
        <v>58933000</v>
      </c>
      <c r="E2945">
        <v>58934999</v>
      </c>
      <c r="F2945" t="s">
        <v>2653</v>
      </c>
      <c r="G2945" t="str">
        <f t="shared" si="90"/>
        <v>PBR</v>
      </c>
      <c r="H2945" t="s">
        <v>2471</v>
      </c>
      <c r="I2945" t="s">
        <v>20</v>
      </c>
      <c r="J2945" t="s">
        <v>77</v>
      </c>
      <c r="K2945" s="6">
        <v>0.03</v>
      </c>
      <c r="L2945" s="7">
        <f t="shared" si="91"/>
        <v>2E-3</v>
      </c>
      <c r="M2945" s="7">
        <v>3.0000000000000001E-3</v>
      </c>
      <c r="N2945">
        <v>17</v>
      </c>
      <c r="O2945" s="8">
        <v>31.674720005909176</v>
      </c>
      <c r="P2945" s="9">
        <v>31.674720005909176</v>
      </c>
      <c r="Q2945" s="9">
        <v>31.674720005909176</v>
      </c>
      <c r="R2945" s="9">
        <v>34.913308289497976</v>
      </c>
      <c r="S2945" s="9">
        <v>38.480048605011753</v>
      </c>
      <c r="T2945" s="9">
        <v>40.939971907336925</v>
      </c>
      <c r="U2945" s="9">
        <v>49.333088414904694</v>
      </c>
      <c r="V2945" s="9">
        <v>49.333088414904694</v>
      </c>
      <c r="W2945" s="9">
        <v>49.333088414904694</v>
      </c>
      <c r="X2945" s="9">
        <v>63.21225398254326</v>
      </c>
      <c r="Y2945" s="9">
        <v>63.21225398254326</v>
      </c>
      <c r="Z2945" s="9">
        <v>73.404961153420544</v>
      </c>
      <c r="AA2945" s="9">
        <v>73.404961153420544</v>
      </c>
      <c r="AB2945" s="9">
        <v>83.820133806833923</v>
      </c>
      <c r="AC2945" s="9">
        <v>83.820133806833923</v>
      </c>
      <c r="AD2945" s="9">
        <v>94.480018491037072</v>
      </c>
      <c r="AE2945" s="9">
        <v>105.40908640910902</v>
      </c>
      <c r="AF2945" s="9">
        <v>116.6342558844366</v>
      </c>
      <c r="AG2945" s="9">
        <v>116.6342558844366</v>
      </c>
      <c r="AH2945" s="9">
        <v>128.18513707274536</v>
      </c>
      <c r="AI2945" s="9">
        <v>140.98660541754566</v>
      </c>
      <c r="AJ2945" s="9">
        <v>3.0428788910505911</v>
      </c>
    </row>
    <row r="2946" spans="1:36" x14ac:dyDescent="0.25">
      <c r="A2946" t="s">
        <v>5411</v>
      </c>
      <c r="B2946" t="s">
        <v>16</v>
      </c>
      <c r="C2946" t="s">
        <v>17</v>
      </c>
      <c r="D2946">
        <v>58935000</v>
      </c>
      <c r="E2946">
        <v>58939999</v>
      </c>
      <c r="F2946" t="s">
        <v>2654</v>
      </c>
      <c r="G2946" t="str">
        <f t="shared" si="90"/>
        <v>PBR</v>
      </c>
      <c r="H2946" t="s">
        <v>2471</v>
      </c>
      <c r="I2946" t="s">
        <v>20</v>
      </c>
      <c r="J2946" t="s">
        <v>77</v>
      </c>
      <c r="K2946" s="6">
        <v>0.03</v>
      </c>
      <c r="L2946" s="7">
        <f t="shared" si="91"/>
        <v>2E-3</v>
      </c>
      <c r="M2946" s="7">
        <v>3.0000000000000001E-3</v>
      </c>
      <c r="N2946">
        <v>17</v>
      </c>
      <c r="O2946" s="8">
        <v>31.674720005909176</v>
      </c>
      <c r="P2946" s="9">
        <v>31.674720005909176</v>
      </c>
      <c r="Q2946" s="9">
        <v>31.674720005909176</v>
      </c>
      <c r="R2946" s="9">
        <v>34.913308289497976</v>
      </c>
      <c r="S2946" s="9">
        <v>38.480048605011753</v>
      </c>
      <c r="T2946" s="9">
        <v>40.939971907336925</v>
      </c>
      <c r="U2946" s="9">
        <v>49.333088414904694</v>
      </c>
      <c r="V2946" s="9">
        <v>49.333088414904694</v>
      </c>
      <c r="W2946" s="9">
        <v>49.333088414904694</v>
      </c>
      <c r="X2946" s="9">
        <v>63.21225398254326</v>
      </c>
      <c r="Y2946" s="9">
        <v>63.21225398254326</v>
      </c>
      <c r="Z2946" s="9">
        <v>73.404961153420544</v>
      </c>
      <c r="AA2946" s="9">
        <v>73.404961153420544</v>
      </c>
      <c r="AB2946" s="9">
        <v>83.820133806833923</v>
      </c>
      <c r="AC2946" s="9">
        <v>83.820133806833923</v>
      </c>
      <c r="AD2946" s="9">
        <v>94.480018491037072</v>
      </c>
      <c r="AE2946" s="9">
        <v>105.40908640910902</v>
      </c>
      <c r="AF2946" s="9">
        <v>116.6342558844366</v>
      </c>
      <c r="AG2946" s="9">
        <v>116.6342558844366</v>
      </c>
      <c r="AH2946" s="9">
        <v>128.18513707274536</v>
      </c>
      <c r="AI2946" s="9">
        <v>140.98660541754566</v>
      </c>
      <c r="AJ2946" s="9">
        <v>3.0428788910505911</v>
      </c>
    </row>
    <row r="2947" spans="1:36" x14ac:dyDescent="0.25">
      <c r="A2947" t="s">
        <v>5411</v>
      </c>
      <c r="B2947" t="s">
        <v>16</v>
      </c>
      <c r="C2947" t="s">
        <v>17</v>
      </c>
      <c r="D2947">
        <v>58940000</v>
      </c>
      <c r="E2947">
        <v>58944999</v>
      </c>
      <c r="F2947" t="s">
        <v>2655</v>
      </c>
      <c r="G2947" t="str">
        <f t="shared" si="90"/>
        <v>PBR</v>
      </c>
      <c r="H2947" t="s">
        <v>2471</v>
      </c>
      <c r="I2947" t="s">
        <v>20</v>
      </c>
      <c r="J2947" t="s">
        <v>77</v>
      </c>
      <c r="K2947" s="6">
        <v>0.03</v>
      </c>
      <c r="L2947" s="7">
        <f t="shared" si="91"/>
        <v>2E-3</v>
      </c>
      <c r="M2947" s="7">
        <v>3.0000000000000001E-3</v>
      </c>
      <c r="N2947">
        <v>17</v>
      </c>
      <c r="O2947" s="8">
        <v>31.674720005909176</v>
      </c>
      <c r="P2947" s="9">
        <v>31.674720005909176</v>
      </c>
      <c r="Q2947" s="9">
        <v>31.674720005909176</v>
      </c>
      <c r="R2947" s="9">
        <v>34.913308289497976</v>
      </c>
      <c r="S2947" s="9">
        <v>38.480048605011753</v>
      </c>
      <c r="T2947" s="9">
        <v>40.939971907336925</v>
      </c>
      <c r="U2947" s="9">
        <v>49.333088414904694</v>
      </c>
      <c r="V2947" s="9">
        <v>49.333088414904694</v>
      </c>
      <c r="W2947" s="9">
        <v>49.333088414904694</v>
      </c>
      <c r="X2947" s="9">
        <v>63.21225398254326</v>
      </c>
      <c r="Y2947" s="9">
        <v>63.21225398254326</v>
      </c>
      <c r="Z2947" s="9">
        <v>73.404961153420544</v>
      </c>
      <c r="AA2947" s="9">
        <v>73.404961153420544</v>
      </c>
      <c r="AB2947" s="9">
        <v>83.820133806833923</v>
      </c>
      <c r="AC2947" s="9">
        <v>83.820133806833923</v>
      </c>
      <c r="AD2947" s="9">
        <v>94.480018491037072</v>
      </c>
      <c r="AE2947" s="9">
        <v>105.40908640910902</v>
      </c>
      <c r="AF2947" s="9">
        <v>116.6342558844366</v>
      </c>
      <c r="AG2947" s="9">
        <v>116.6342558844366</v>
      </c>
      <c r="AH2947" s="9">
        <v>128.18513707274536</v>
      </c>
      <c r="AI2947" s="9">
        <v>140.98660541754566</v>
      </c>
      <c r="AJ2947" s="9">
        <v>3.0428788910505911</v>
      </c>
    </row>
    <row r="2948" spans="1:36" x14ac:dyDescent="0.25">
      <c r="A2948" t="s">
        <v>5411</v>
      </c>
      <c r="B2948" t="s">
        <v>16</v>
      </c>
      <c r="C2948" t="s">
        <v>17</v>
      </c>
      <c r="D2948">
        <v>58945000</v>
      </c>
      <c r="E2948">
        <v>58949999</v>
      </c>
      <c r="F2948" t="s">
        <v>2656</v>
      </c>
      <c r="G2948" t="str">
        <f t="shared" ref="G2948:G3011" si="92">H2948&amp;IF(J2948="CAPITAL","C",IF(J2948="INTERIOR","I",IF(J2948="INTERIOR II","I II","R")))</f>
        <v>PBR</v>
      </c>
      <c r="H2948" t="s">
        <v>2471</v>
      </c>
      <c r="I2948" t="s">
        <v>20</v>
      </c>
      <c r="J2948" t="s">
        <v>77</v>
      </c>
      <c r="K2948" s="6">
        <v>0.03</v>
      </c>
      <c r="L2948" s="7">
        <f t="shared" ref="L2948:L3011" si="93">IF(I2948="(0) Não",0.2%,3%)</f>
        <v>2E-3</v>
      </c>
      <c r="M2948" s="7">
        <v>3.0000000000000001E-3</v>
      </c>
      <c r="N2948">
        <v>17</v>
      </c>
      <c r="O2948" s="8">
        <v>31.674720005909176</v>
      </c>
      <c r="P2948" s="9">
        <v>31.674720005909176</v>
      </c>
      <c r="Q2948" s="9">
        <v>31.674720005909176</v>
      </c>
      <c r="R2948" s="9">
        <v>34.913308289497976</v>
      </c>
      <c r="S2948" s="9">
        <v>38.480048605011753</v>
      </c>
      <c r="T2948" s="9">
        <v>40.939971907336925</v>
      </c>
      <c r="U2948" s="9">
        <v>49.333088414904694</v>
      </c>
      <c r="V2948" s="9">
        <v>49.333088414904694</v>
      </c>
      <c r="W2948" s="9">
        <v>49.333088414904694</v>
      </c>
      <c r="X2948" s="9">
        <v>63.21225398254326</v>
      </c>
      <c r="Y2948" s="9">
        <v>63.21225398254326</v>
      </c>
      <c r="Z2948" s="9">
        <v>73.404961153420544</v>
      </c>
      <c r="AA2948" s="9">
        <v>73.404961153420544</v>
      </c>
      <c r="AB2948" s="9">
        <v>83.820133806833923</v>
      </c>
      <c r="AC2948" s="9">
        <v>83.820133806833923</v>
      </c>
      <c r="AD2948" s="9">
        <v>94.480018491037072</v>
      </c>
      <c r="AE2948" s="9">
        <v>105.40908640910902</v>
      </c>
      <c r="AF2948" s="9">
        <v>116.6342558844366</v>
      </c>
      <c r="AG2948" s="9">
        <v>116.6342558844366</v>
      </c>
      <c r="AH2948" s="9">
        <v>128.18513707274536</v>
      </c>
      <c r="AI2948" s="9">
        <v>140.98660541754566</v>
      </c>
      <c r="AJ2948" s="9">
        <v>3.0428788910505911</v>
      </c>
    </row>
    <row r="2949" spans="1:36" x14ac:dyDescent="0.25">
      <c r="A2949" t="s">
        <v>5411</v>
      </c>
      <c r="B2949" t="s">
        <v>16</v>
      </c>
      <c r="C2949" t="s">
        <v>17</v>
      </c>
      <c r="D2949">
        <v>58950000</v>
      </c>
      <c r="E2949">
        <v>58954999</v>
      </c>
      <c r="F2949" t="s">
        <v>2657</v>
      </c>
      <c r="G2949" t="str">
        <f t="shared" si="92"/>
        <v>PBR</v>
      </c>
      <c r="H2949" t="s">
        <v>2471</v>
      </c>
      <c r="I2949" t="s">
        <v>20</v>
      </c>
      <c r="J2949" t="s">
        <v>77</v>
      </c>
      <c r="K2949" s="6">
        <v>0.03</v>
      </c>
      <c r="L2949" s="7">
        <f t="shared" si="93"/>
        <v>2E-3</v>
      </c>
      <c r="M2949" s="7">
        <v>3.0000000000000001E-3</v>
      </c>
      <c r="N2949">
        <v>17</v>
      </c>
      <c r="O2949" s="8">
        <v>31.674720005909176</v>
      </c>
      <c r="P2949" s="9">
        <v>31.674720005909176</v>
      </c>
      <c r="Q2949" s="9">
        <v>31.674720005909176</v>
      </c>
      <c r="R2949" s="9">
        <v>34.913308289497976</v>
      </c>
      <c r="S2949" s="9">
        <v>38.480048605011753</v>
      </c>
      <c r="T2949" s="9">
        <v>40.939971907336925</v>
      </c>
      <c r="U2949" s="9">
        <v>49.333088414904694</v>
      </c>
      <c r="V2949" s="9">
        <v>49.333088414904694</v>
      </c>
      <c r="W2949" s="9">
        <v>49.333088414904694</v>
      </c>
      <c r="X2949" s="9">
        <v>63.21225398254326</v>
      </c>
      <c r="Y2949" s="9">
        <v>63.21225398254326</v>
      </c>
      <c r="Z2949" s="9">
        <v>73.404961153420544</v>
      </c>
      <c r="AA2949" s="9">
        <v>73.404961153420544</v>
      </c>
      <c r="AB2949" s="9">
        <v>83.820133806833923</v>
      </c>
      <c r="AC2949" s="9">
        <v>83.820133806833923</v>
      </c>
      <c r="AD2949" s="9">
        <v>94.480018491037072</v>
      </c>
      <c r="AE2949" s="9">
        <v>105.40908640910902</v>
      </c>
      <c r="AF2949" s="9">
        <v>116.6342558844366</v>
      </c>
      <c r="AG2949" s="9">
        <v>116.6342558844366</v>
      </c>
      <c r="AH2949" s="9">
        <v>128.18513707274536</v>
      </c>
      <c r="AI2949" s="9">
        <v>140.98660541754566</v>
      </c>
      <c r="AJ2949" s="9">
        <v>3.0428788910505911</v>
      </c>
    </row>
    <row r="2950" spans="1:36" x14ac:dyDescent="0.25">
      <c r="A2950" t="s">
        <v>5411</v>
      </c>
      <c r="B2950" t="s">
        <v>16</v>
      </c>
      <c r="C2950" t="s">
        <v>17</v>
      </c>
      <c r="D2950">
        <v>58955000</v>
      </c>
      <c r="E2950">
        <v>58959999</v>
      </c>
      <c r="F2950" t="s">
        <v>2658</v>
      </c>
      <c r="G2950" t="str">
        <f t="shared" si="92"/>
        <v>PBR</v>
      </c>
      <c r="H2950" t="s">
        <v>2471</v>
      </c>
      <c r="I2950" t="s">
        <v>20</v>
      </c>
      <c r="J2950" t="s">
        <v>77</v>
      </c>
      <c r="K2950" s="6">
        <v>0.03</v>
      </c>
      <c r="L2950" s="7">
        <f t="shared" si="93"/>
        <v>2E-3</v>
      </c>
      <c r="M2950" s="7">
        <v>3.0000000000000001E-3</v>
      </c>
      <c r="N2950">
        <v>17</v>
      </c>
      <c r="O2950" s="8">
        <v>31.674720005909176</v>
      </c>
      <c r="P2950" s="9">
        <v>31.674720005909176</v>
      </c>
      <c r="Q2950" s="9">
        <v>31.674720005909176</v>
      </c>
      <c r="R2950" s="9">
        <v>34.913308289497976</v>
      </c>
      <c r="S2950" s="9">
        <v>38.480048605011753</v>
      </c>
      <c r="T2950" s="9">
        <v>40.939971907336925</v>
      </c>
      <c r="U2950" s="9">
        <v>49.333088414904694</v>
      </c>
      <c r="V2950" s="9">
        <v>49.333088414904694</v>
      </c>
      <c r="W2950" s="9">
        <v>49.333088414904694</v>
      </c>
      <c r="X2950" s="9">
        <v>63.21225398254326</v>
      </c>
      <c r="Y2950" s="9">
        <v>63.21225398254326</v>
      </c>
      <c r="Z2950" s="9">
        <v>73.404961153420544</v>
      </c>
      <c r="AA2950" s="9">
        <v>73.404961153420544</v>
      </c>
      <c r="AB2950" s="9">
        <v>83.820133806833923</v>
      </c>
      <c r="AC2950" s="9">
        <v>83.820133806833923</v>
      </c>
      <c r="AD2950" s="9">
        <v>94.480018491037072</v>
      </c>
      <c r="AE2950" s="9">
        <v>105.40908640910902</v>
      </c>
      <c r="AF2950" s="9">
        <v>116.6342558844366</v>
      </c>
      <c r="AG2950" s="9">
        <v>116.6342558844366</v>
      </c>
      <c r="AH2950" s="9">
        <v>128.18513707274536</v>
      </c>
      <c r="AI2950" s="9">
        <v>140.98660541754566</v>
      </c>
      <c r="AJ2950" s="9">
        <v>3.0428788910505911</v>
      </c>
    </row>
    <row r="2951" spans="1:36" x14ac:dyDescent="0.25">
      <c r="A2951" t="s">
        <v>5411</v>
      </c>
      <c r="B2951" t="s">
        <v>16</v>
      </c>
      <c r="C2951" t="s">
        <v>17</v>
      </c>
      <c r="D2951">
        <v>58960000</v>
      </c>
      <c r="E2951">
        <v>58969999</v>
      </c>
      <c r="F2951" t="s">
        <v>2659</v>
      </c>
      <c r="G2951" t="str">
        <f t="shared" si="92"/>
        <v>PBR</v>
      </c>
      <c r="H2951" t="s">
        <v>2471</v>
      </c>
      <c r="I2951" t="s">
        <v>20</v>
      </c>
      <c r="J2951" t="s">
        <v>77</v>
      </c>
      <c r="K2951" s="6">
        <v>0.03</v>
      </c>
      <c r="L2951" s="7">
        <f t="shared" si="93"/>
        <v>2E-3</v>
      </c>
      <c r="M2951" s="7">
        <v>3.0000000000000001E-3</v>
      </c>
      <c r="N2951">
        <v>17</v>
      </c>
      <c r="O2951" s="8">
        <v>31.674720005909176</v>
      </c>
      <c r="P2951" s="9">
        <v>31.674720005909176</v>
      </c>
      <c r="Q2951" s="9">
        <v>31.674720005909176</v>
      </c>
      <c r="R2951" s="9">
        <v>34.913308289497976</v>
      </c>
      <c r="S2951" s="9">
        <v>38.480048605011753</v>
      </c>
      <c r="T2951" s="9">
        <v>40.939971907336925</v>
      </c>
      <c r="U2951" s="9">
        <v>49.333088414904694</v>
      </c>
      <c r="V2951" s="9">
        <v>49.333088414904694</v>
      </c>
      <c r="W2951" s="9">
        <v>49.333088414904694</v>
      </c>
      <c r="X2951" s="9">
        <v>63.21225398254326</v>
      </c>
      <c r="Y2951" s="9">
        <v>63.21225398254326</v>
      </c>
      <c r="Z2951" s="9">
        <v>73.404961153420544</v>
      </c>
      <c r="AA2951" s="9">
        <v>73.404961153420544</v>
      </c>
      <c r="AB2951" s="9">
        <v>83.820133806833923</v>
      </c>
      <c r="AC2951" s="9">
        <v>83.820133806833923</v>
      </c>
      <c r="AD2951" s="9">
        <v>94.480018491037072</v>
      </c>
      <c r="AE2951" s="9">
        <v>105.40908640910902</v>
      </c>
      <c r="AF2951" s="9">
        <v>116.6342558844366</v>
      </c>
      <c r="AG2951" s="9">
        <v>116.6342558844366</v>
      </c>
      <c r="AH2951" s="9">
        <v>128.18513707274536</v>
      </c>
      <c r="AI2951" s="9">
        <v>140.98660541754566</v>
      </c>
      <c r="AJ2951" s="9">
        <v>3.0428788910505911</v>
      </c>
    </row>
    <row r="2952" spans="1:36" x14ac:dyDescent="0.25">
      <c r="A2952" t="s">
        <v>5411</v>
      </c>
      <c r="B2952" t="s">
        <v>16</v>
      </c>
      <c r="C2952" t="s">
        <v>17</v>
      </c>
      <c r="D2952">
        <v>58970000</v>
      </c>
      <c r="E2952">
        <v>58977999</v>
      </c>
      <c r="F2952" t="s">
        <v>2660</v>
      </c>
      <c r="G2952" t="str">
        <f t="shared" si="92"/>
        <v>PBR</v>
      </c>
      <c r="H2952" t="s">
        <v>2471</v>
      </c>
      <c r="I2952" t="s">
        <v>20</v>
      </c>
      <c r="J2952" t="s">
        <v>77</v>
      </c>
      <c r="K2952" s="6">
        <v>0.03</v>
      </c>
      <c r="L2952" s="7">
        <f t="shared" si="93"/>
        <v>2E-3</v>
      </c>
      <c r="M2952" s="7">
        <v>3.0000000000000001E-3</v>
      </c>
      <c r="N2952">
        <v>17</v>
      </c>
      <c r="O2952" s="8">
        <v>31.674720005909176</v>
      </c>
      <c r="P2952" s="9">
        <v>31.674720005909176</v>
      </c>
      <c r="Q2952" s="9">
        <v>31.674720005909176</v>
      </c>
      <c r="R2952" s="9">
        <v>34.913308289497976</v>
      </c>
      <c r="S2952" s="9">
        <v>38.480048605011753</v>
      </c>
      <c r="T2952" s="9">
        <v>40.939971907336925</v>
      </c>
      <c r="U2952" s="9">
        <v>49.333088414904694</v>
      </c>
      <c r="V2952" s="9">
        <v>49.333088414904694</v>
      </c>
      <c r="W2952" s="9">
        <v>49.333088414904694</v>
      </c>
      <c r="X2952" s="9">
        <v>63.21225398254326</v>
      </c>
      <c r="Y2952" s="9">
        <v>63.21225398254326</v>
      </c>
      <c r="Z2952" s="9">
        <v>73.404961153420544</v>
      </c>
      <c r="AA2952" s="9">
        <v>73.404961153420544</v>
      </c>
      <c r="AB2952" s="9">
        <v>83.820133806833923</v>
      </c>
      <c r="AC2952" s="9">
        <v>83.820133806833923</v>
      </c>
      <c r="AD2952" s="9">
        <v>94.480018491037072</v>
      </c>
      <c r="AE2952" s="9">
        <v>105.40908640910902</v>
      </c>
      <c r="AF2952" s="9">
        <v>116.6342558844366</v>
      </c>
      <c r="AG2952" s="9">
        <v>116.6342558844366</v>
      </c>
      <c r="AH2952" s="9">
        <v>128.18513707274536</v>
      </c>
      <c r="AI2952" s="9">
        <v>140.98660541754566</v>
      </c>
      <c r="AJ2952" s="9">
        <v>3.0428788910505911</v>
      </c>
    </row>
    <row r="2953" spans="1:36" x14ac:dyDescent="0.25">
      <c r="A2953" t="s">
        <v>5411</v>
      </c>
      <c r="B2953" t="s">
        <v>16</v>
      </c>
      <c r="C2953" t="s">
        <v>17</v>
      </c>
      <c r="D2953">
        <v>58978000</v>
      </c>
      <c r="E2953">
        <v>58979999</v>
      </c>
      <c r="F2953" t="s">
        <v>1828</v>
      </c>
      <c r="G2953" t="str">
        <f t="shared" si="92"/>
        <v>PBR</v>
      </c>
      <c r="H2953" t="s">
        <v>2471</v>
      </c>
      <c r="I2953" t="s">
        <v>20</v>
      </c>
      <c r="J2953" t="s">
        <v>77</v>
      </c>
      <c r="K2953" s="6">
        <v>0.03</v>
      </c>
      <c r="L2953" s="7">
        <f t="shared" si="93"/>
        <v>2E-3</v>
      </c>
      <c r="M2953" s="7">
        <v>3.0000000000000001E-3</v>
      </c>
      <c r="N2953">
        <v>17</v>
      </c>
      <c r="O2953" s="8">
        <v>31.674720005909176</v>
      </c>
      <c r="P2953" s="9">
        <v>31.674720005909176</v>
      </c>
      <c r="Q2953" s="9">
        <v>31.674720005909176</v>
      </c>
      <c r="R2953" s="9">
        <v>34.913308289497976</v>
      </c>
      <c r="S2953" s="9">
        <v>38.480048605011753</v>
      </c>
      <c r="T2953" s="9">
        <v>40.939971907336925</v>
      </c>
      <c r="U2953" s="9">
        <v>49.333088414904694</v>
      </c>
      <c r="V2953" s="9">
        <v>49.333088414904694</v>
      </c>
      <c r="W2953" s="9">
        <v>49.333088414904694</v>
      </c>
      <c r="X2953" s="9">
        <v>63.21225398254326</v>
      </c>
      <c r="Y2953" s="9">
        <v>63.21225398254326</v>
      </c>
      <c r="Z2953" s="9">
        <v>73.404961153420544</v>
      </c>
      <c r="AA2953" s="9">
        <v>73.404961153420544</v>
      </c>
      <c r="AB2953" s="9">
        <v>83.820133806833923</v>
      </c>
      <c r="AC2953" s="9">
        <v>83.820133806833923</v>
      </c>
      <c r="AD2953" s="9">
        <v>94.480018491037072</v>
      </c>
      <c r="AE2953" s="9">
        <v>105.40908640910902</v>
      </c>
      <c r="AF2953" s="9">
        <v>116.6342558844366</v>
      </c>
      <c r="AG2953" s="9">
        <v>116.6342558844366</v>
      </c>
      <c r="AH2953" s="9">
        <v>128.18513707274536</v>
      </c>
      <c r="AI2953" s="9">
        <v>140.98660541754566</v>
      </c>
      <c r="AJ2953" s="9">
        <v>3.0428788910505911</v>
      </c>
    </row>
    <row r="2954" spans="1:36" x14ac:dyDescent="0.25">
      <c r="A2954" t="s">
        <v>5411</v>
      </c>
      <c r="B2954" t="s">
        <v>16</v>
      </c>
      <c r="C2954" t="s">
        <v>17</v>
      </c>
      <c r="D2954">
        <v>58980000</v>
      </c>
      <c r="E2954">
        <v>58984999</v>
      </c>
      <c r="F2954" t="s">
        <v>2661</v>
      </c>
      <c r="G2954" t="str">
        <f t="shared" si="92"/>
        <v>PBR</v>
      </c>
      <c r="H2954" t="s">
        <v>2471</v>
      </c>
      <c r="I2954" t="s">
        <v>20</v>
      </c>
      <c r="J2954" t="s">
        <v>77</v>
      </c>
      <c r="K2954" s="6">
        <v>0.03</v>
      </c>
      <c r="L2954" s="7">
        <f t="shared" si="93"/>
        <v>2E-3</v>
      </c>
      <c r="M2954" s="7">
        <v>3.0000000000000001E-3</v>
      </c>
      <c r="N2954">
        <v>17</v>
      </c>
      <c r="O2954" s="8">
        <v>31.674720005909176</v>
      </c>
      <c r="P2954" s="9">
        <v>31.674720005909176</v>
      </c>
      <c r="Q2954" s="9">
        <v>31.674720005909176</v>
      </c>
      <c r="R2954" s="9">
        <v>34.913308289497976</v>
      </c>
      <c r="S2954" s="9">
        <v>38.480048605011753</v>
      </c>
      <c r="T2954" s="9">
        <v>40.939971907336925</v>
      </c>
      <c r="U2954" s="9">
        <v>49.333088414904694</v>
      </c>
      <c r="V2954" s="9">
        <v>49.333088414904694</v>
      </c>
      <c r="W2954" s="9">
        <v>49.333088414904694</v>
      </c>
      <c r="X2954" s="9">
        <v>63.21225398254326</v>
      </c>
      <c r="Y2954" s="9">
        <v>63.21225398254326</v>
      </c>
      <c r="Z2954" s="9">
        <v>73.404961153420544</v>
      </c>
      <c r="AA2954" s="9">
        <v>73.404961153420544</v>
      </c>
      <c r="AB2954" s="9">
        <v>83.820133806833923</v>
      </c>
      <c r="AC2954" s="9">
        <v>83.820133806833923</v>
      </c>
      <c r="AD2954" s="9">
        <v>94.480018491037072</v>
      </c>
      <c r="AE2954" s="9">
        <v>105.40908640910902</v>
      </c>
      <c r="AF2954" s="9">
        <v>116.6342558844366</v>
      </c>
      <c r="AG2954" s="9">
        <v>116.6342558844366</v>
      </c>
      <c r="AH2954" s="9">
        <v>128.18513707274536</v>
      </c>
      <c r="AI2954" s="9">
        <v>140.98660541754566</v>
      </c>
      <c r="AJ2954" s="9">
        <v>3.0428788910505911</v>
      </c>
    </row>
    <row r="2955" spans="1:36" x14ac:dyDescent="0.25">
      <c r="A2955" t="s">
        <v>5411</v>
      </c>
      <c r="B2955" t="s">
        <v>16</v>
      </c>
      <c r="C2955" t="s">
        <v>17</v>
      </c>
      <c r="D2955">
        <v>58985000</v>
      </c>
      <c r="E2955">
        <v>58989999</v>
      </c>
      <c r="F2955" t="s">
        <v>2662</v>
      </c>
      <c r="G2955" t="str">
        <f t="shared" si="92"/>
        <v>PBR</v>
      </c>
      <c r="H2955" t="s">
        <v>2471</v>
      </c>
      <c r="I2955" t="s">
        <v>20</v>
      </c>
      <c r="J2955" t="s">
        <v>77</v>
      </c>
      <c r="K2955" s="6">
        <v>0.03</v>
      </c>
      <c r="L2955" s="7">
        <f t="shared" si="93"/>
        <v>2E-3</v>
      </c>
      <c r="M2955" s="7">
        <v>3.0000000000000001E-3</v>
      </c>
      <c r="N2955">
        <v>17</v>
      </c>
      <c r="O2955" s="8">
        <v>31.674720005909176</v>
      </c>
      <c r="P2955" s="9">
        <v>31.674720005909176</v>
      </c>
      <c r="Q2955" s="9">
        <v>31.674720005909176</v>
      </c>
      <c r="R2955" s="9">
        <v>34.913308289497976</v>
      </c>
      <c r="S2955" s="9">
        <v>38.480048605011753</v>
      </c>
      <c r="T2955" s="9">
        <v>40.939971907336925</v>
      </c>
      <c r="U2955" s="9">
        <v>49.333088414904694</v>
      </c>
      <c r="V2955" s="9">
        <v>49.333088414904694</v>
      </c>
      <c r="W2955" s="9">
        <v>49.333088414904694</v>
      </c>
      <c r="X2955" s="9">
        <v>63.21225398254326</v>
      </c>
      <c r="Y2955" s="9">
        <v>63.21225398254326</v>
      </c>
      <c r="Z2955" s="9">
        <v>73.404961153420544</v>
      </c>
      <c r="AA2955" s="9">
        <v>73.404961153420544</v>
      </c>
      <c r="AB2955" s="9">
        <v>83.820133806833923</v>
      </c>
      <c r="AC2955" s="9">
        <v>83.820133806833923</v>
      </c>
      <c r="AD2955" s="9">
        <v>94.480018491037072</v>
      </c>
      <c r="AE2955" s="9">
        <v>105.40908640910902</v>
      </c>
      <c r="AF2955" s="9">
        <v>116.6342558844366</v>
      </c>
      <c r="AG2955" s="9">
        <v>116.6342558844366</v>
      </c>
      <c r="AH2955" s="9">
        <v>128.18513707274536</v>
      </c>
      <c r="AI2955" s="9">
        <v>140.98660541754566</v>
      </c>
      <c r="AJ2955" s="9">
        <v>3.0428788910505911</v>
      </c>
    </row>
    <row r="2956" spans="1:36" x14ac:dyDescent="0.25">
      <c r="A2956" t="s">
        <v>5411</v>
      </c>
      <c r="B2956" t="s">
        <v>16</v>
      </c>
      <c r="C2956" t="s">
        <v>17</v>
      </c>
      <c r="D2956">
        <v>58990000</v>
      </c>
      <c r="E2956">
        <v>58992999</v>
      </c>
      <c r="F2956" t="s">
        <v>2663</v>
      </c>
      <c r="G2956" t="str">
        <f t="shared" si="92"/>
        <v>PBR</v>
      </c>
      <c r="H2956" t="s">
        <v>2471</v>
      </c>
      <c r="I2956" t="s">
        <v>20</v>
      </c>
      <c r="J2956" t="s">
        <v>77</v>
      </c>
      <c r="K2956" s="6">
        <v>0.03</v>
      </c>
      <c r="L2956" s="7">
        <f t="shared" si="93"/>
        <v>2E-3</v>
      </c>
      <c r="M2956" s="7">
        <v>3.0000000000000001E-3</v>
      </c>
      <c r="N2956">
        <v>17</v>
      </c>
      <c r="O2956" s="8">
        <v>31.674720005909176</v>
      </c>
      <c r="P2956" s="9">
        <v>31.674720005909176</v>
      </c>
      <c r="Q2956" s="9">
        <v>31.674720005909176</v>
      </c>
      <c r="R2956" s="9">
        <v>34.913308289497976</v>
      </c>
      <c r="S2956" s="9">
        <v>38.480048605011753</v>
      </c>
      <c r="T2956" s="9">
        <v>40.939971907336925</v>
      </c>
      <c r="U2956" s="9">
        <v>49.333088414904694</v>
      </c>
      <c r="V2956" s="9">
        <v>49.333088414904694</v>
      </c>
      <c r="W2956" s="9">
        <v>49.333088414904694</v>
      </c>
      <c r="X2956" s="9">
        <v>63.21225398254326</v>
      </c>
      <c r="Y2956" s="9">
        <v>63.21225398254326</v>
      </c>
      <c r="Z2956" s="9">
        <v>73.404961153420544</v>
      </c>
      <c r="AA2956" s="9">
        <v>73.404961153420544</v>
      </c>
      <c r="AB2956" s="9">
        <v>83.820133806833923</v>
      </c>
      <c r="AC2956" s="9">
        <v>83.820133806833923</v>
      </c>
      <c r="AD2956" s="9">
        <v>94.480018491037072</v>
      </c>
      <c r="AE2956" s="9">
        <v>105.40908640910902</v>
      </c>
      <c r="AF2956" s="9">
        <v>116.6342558844366</v>
      </c>
      <c r="AG2956" s="9">
        <v>116.6342558844366</v>
      </c>
      <c r="AH2956" s="9">
        <v>128.18513707274536</v>
      </c>
      <c r="AI2956" s="9">
        <v>140.98660541754566</v>
      </c>
      <c r="AJ2956" s="9">
        <v>3.0428788910505911</v>
      </c>
    </row>
    <row r="2957" spans="1:36" x14ac:dyDescent="0.25">
      <c r="A2957" t="s">
        <v>5411</v>
      </c>
      <c r="B2957" t="s">
        <v>16</v>
      </c>
      <c r="C2957" t="s">
        <v>17</v>
      </c>
      <c r="D2957">
        <v>58993000</v>
      </c>
      <c r="E2957">
        <v>58993999</v>
      </c>
      <c r="F2957" t="s">
        <v>2664</v>
      </c>
      <c r="G2957" t="str">
        <f t="shared" si="92"/>
        <v>PBR</v>
      </c>
      <c r="H2957" t="s">
        <v>2471</v>
      </c>
      <c r="I2957" t="s">
        <v>20</v>
      </c>
      <c r="J2957" t="s">
        <v>77</v>
      </c>
      <c r="K2957" s="6">
        <v>0.03</v>
      </c>
      <c r="L2957" s="7">
        <f t="shared" si="93"/>
        <v>2E-3</v>
      </c>
      <c r="M2957" s="7">
        <v>3.0000000000000001E-3</v>
      </c>
      <c r="N2957">
        <v>17</v>
      </c>
      <c r="O2957" s="8">
        <v>31.674720005909176</v>
      </c>
      <c r="P2957" s="9">
        <v>31.674720005909176</v>
      </c>
      <c r="Q2957" s="9">
        <v>31.674720005909176</v>
      </c>
      <c r="R2957" s="9">
        <v>34.913308289497976</v>
      </c>
      <c r="S2957" s="9">
        <v>38.480048605011753</v>
      </c>
      <c r="T2957" s="9">
        <v>40.939971907336925</v>
      </c>
      <c r="U2957" s="9">
        <v>49.333088414904694</v>
      </c>
      <c r="V2957" s="9">
        <v>49.333088414904694</v>
      </c>
      <c r="W2957" s="9">
        <v>49.333088414904694</v>
      </c>
      <c r="X2957" s="9">
        <v>63.21225398254326</v>
      </c>
      <c r="Y2957" s="9">
        <v>63.21225398254326</v>
      </c>
      <c r="Z2957" s="9">
        <v>73.404961153420544</v>
      </c>
      <c r="AA2957" s="9">
        <v>73.404961153420544</v>
      </c>
      <c r="AB2957" s="9">
        <v>83.820133806833923</v>
      </c>
      <c r="AC2957" s="9">
        <v>83.820133806833923</v>
      </c>
      <c r="AD2957" s="9">
        <v>94.480018491037072</v>
      </c>
      <c r="AE2957" s="9">
        <v>105.40908640910902</v>
      </c>
      <c r="AF2957" s="9">
        <v>116.6342558844366</v>
      </c>
      <c r="AG2957" s="9">
        <v>116.6342558844366</v>
      </c>
      <c r="AH2957" s="9">
        <v>128.18513707274536</v>
      </c>
      <c r="AI2957" s="9">
        <v>140.98660541754566</v>
      </c>
      <c r="AJ2957" s="9">
        <v>3.0428788910505911</v>
      </c>
    </row>
    <row r="2958" spans="1:36" x14ac:dyDescent="0.25">
      <c r="A2958" t="s">
        <v>5411</v>
      </c>
      <c r="B2958" t="s">
        <v>16</v>
      </c>
      <c r="C2958" t="s">
        <v>17</v>
      </c>
      <c r="D2958">
        <v>58994000</v>
      </c>
      <c r="E2958">
        <v>58994999</v>
      </c>
      <c r="F2958" t="s">
        <v>2665</v>
      </c>
      <c r="G2958" t="str">
        <f t="shared" si="92"/>
        <v>PBR</v>
      </c>
      <c r="H2958" t="s">
        <v>2471</v>
      </c>
      <c r="I2958" t="s">
        <v>20</v>
      </c>
      <c r="J2958" t="s">
        <v>77</v>
      </c>
      <c r="K2958" s="6">
        <v>0.03</v>
      </c>
      <c r="L2958" s="7">
        <f t="shared" si="93"/>
        <v>2E-3</v>
      </c>
      <c r="M2958" s="7">
        <v>3.0000000000000001E-3</v>
      </c>
      <c r="N2958">
        <v>17</v>
      </c>
      <c r="O2958" s="8">
        <v>31.674720005909176</v>
      </c>
      <c r="P2958" s="9">
        <v>31.674720005909176</v>
      </c>
      <c r="Q2958" s="9">
        <v>31.674720005909176</v>
      </c>
      <c r="R2958" s="9">
        <v>34.913308289497976</v>
      </c>
      <c r="S2958" s="9">
        <v>38.480048605011753</v>
      </c>
      <c r="T2958" s="9">
        <v>40.939971907336925</v>
      </c>
      <c r="U2958" s="9">
        <v>49.333088414904694</v>
      </c>
      <c r="V2958" s="9">
        <v>49.333088414904694</v>
      </c>
      <c r="W2958" s="9">
        <v>49.333088414904694</v>
      </c>
      <c r="X2958" s="9">
        <v>63.21225398254326</v>
      </c>
      <c r="Y2958" s="9">
        <v>63.21225398254326</v>
      </c>
      <c r="Z2958" s="9">
        <v>73.404961153420544</v>
      </c>
      <c r="AA2958" s="9">
        <v>73.404961153420544</v>
      </c>
      <c r="AB2958" s="9">
        <v>83.820133806833923</v>
      </c>
      <c r="AC2958" s="9">
        <v>83.820133806833923</v>
      </c>
      <c r="AD2958" s="9">
        <v>94.480018491037072</v>
      </c>
      <c r="AE2958" s="9">
        <v>105.40908640910902</v>
      </c>
      <c r="AF2958" s="9">
        <v>116.6342558844366</v>
      </c>
      <c r="AG2958" s="9">
        <v>116.6342558844366</v>
      </c>
      <c r="AH2958" s="9">
        <v>128.18513707274536</v>
      </c>
      <c r="AI2958" s="9">
        <v>140.98660541754566</v>
      </c>
      <c r="AJ2958" s="9">
        <v>3.0428788910505911</v>
      </c>
    </row>
    <row r="2959" spans="1:36" x14ac:dyDescent="0.25">
      <c r="A2959" t="s">
        <v>5411</v>
      </c>
      <c r="B2959" t="s">
        <v>16</v>
      </c>
      <c r="C2959" t="s">
        <v>17</v>
      </c>
      <c r="D2959">
        <v>58995000</v>
      </c>
      <c r="E2959">
        <v>58999999</v>
      </c>
      <c r="F2959" t="s">
        <v>2666</v>
      </c>
      <c r="G2959" t="str">
        <f t="shared" si="92"/>
        <v>PBR</v>
      </c>
      <c r="H2959" t="s">
        <v>2471</v>
      </c>
      <c r="I2959" t="s">
        <v>20</v>
      </c>
      <c r="J2959" t="s">
        <v>77</v>
      </c>
      <c r="K2959" s="6">
        <v>0.03</v>
      </c>
      <c r="L2959" s="7">
        <f t="shared" si="93"/>
        <v>2E-3</v>
      </c>
      <c r="M2959" s="7">
        <v>3.0000000000000001E-3</v>
      </c>
      <c r="N2959">
        <v>17</v>
      </c>
      <c r="O2959" s="8">
        <v>31.674720005909176</v>
      </c>
      <c r="P2959" s="9">
        <v>31.674720005909176</v>
      </c>
      <c r="Q2959" s="9">
        <v>31.674720005909176</v>
      </c>
      <c r="R2959" s="9">
        <v>34.913308289497976</v>
      </c>
      <c r="S2959" s="9">
        <v>38.480048605011753</v>
      </c>
      <c r="T2959" s="9">
        <v>40.939971907336925</v>
      </c>
      <c r="U2959" s="9">
        <v>49.333088414904694</v>
      </c>
      <c r="V2959" s="9">
        <v>49.333088414904694</v>
      </c>
      <c r="W2959" s="9">
        <v>49.333088414904694</v>
      </c>
      <c r="X2959" s="9">
        <v>63.21225398254326</v>
      </c>
      <c r="Y2959" s="9">
        <v>63.21225398254326</v>
      </c>
      <c r="Z2959" s="9">
        <v>73.404961153420544</v>
      </c>
      <c r="AA2959" s="9">
        <v>73.404961153420544</v>
      </c>
      <c r="AB2959" s="9">
        <v>83.820133806833923</v>
      </c>
      <c r="AC2959" s="9">
        <v>83.820133806833923</v>
      </c>
      <c r="AD2959" s="9">
        <v>94.480018491037072</v>
      </c>
      <c r="AE2959" s="9">
        <v>105.40908640910902</v>
      </c>
      <c r="AF2959" s="9">
        <v>116.6342558844366</v>
      </c>
      <c r="AG2959" s="9">
        <v>116.6342558844366</v>
      </c>
      <c r="AH2959" s="9">
        <v>128.18513707274536</v>
      </c>
      <c r="AI2959" s="9">
        <v>140.98660541754566</v>
      </c>
      <c r="AJ2959" s="9">
        <v>3.0428788910505911</v>
      </c>
    </row>
    <row r="2960" spans="1:36" x14ac:dyDescent="0.25">
      <c r="A2960" t="s">
        <v>5411</v>
      </c>
      <c r="B2960" t="s">
        <v>16</v>
      </c>
      <c r="C2960" t="s">
        <v>17</v>
      </c>
      <c r="D2960">
        <v>59000000</v>
      </c>
      <c r="E2960">
        <v>59105999</v>
      </c>
      <c r="F2960" t="s">
        <v>2667</v>
      </c>
      <c r="G2960" t="str">
        <f t="shared" si="92"/>
        <v>RNC</v>
      </c>
      <c r="H2960" t="s">
        <v>2668</v>
      </c>
      <c r="I2960" t="s">
        <v>20</v>
      </c>
      <c r="J2960" t="s">
        <v>21</v>
      </c>
      <c r="K2960" s="6">
        <v>0.03</v>
      </c>
      <c r="L2960" s="7">
        <f t="shared" si="93"/>
        <v>2E-3</v>
      </c>
      <c r="M2960" s="7">
        <v>3.0000000000000001E-3</v>
      </c>
      <c r="N2960">
        <v>10</v>
      </c>
      <c r="O2960" s="8">
        <v>13.328776260121593</v>
      </c>
      <c r="P2960" s="9">
        <v>13.328776260121593</v>
      </c>
      <c r="Q2960" s="9">
        <v>13.328776260121593</v>
      </c>
      <c r="R2960" s="9">
        <v>14.445348300006936</v>
      </c>
      <c r="S2960" s="9">
        <v>15.492465251129682</v>
      </c>
      <c r="T2960" s="9">
        <v>16.806682263327911</v>
      </c>
      <c r="U2960" s="9">
        <v>20.175989912607534</v>
      </c>
      <c r="V2960" s="9">
        <v>20.175989912607534</v>
      </c>
      <c r="W2960" s="9">
        <v>20.175989912607534</v>
      </c>
      <c r="X2960" s="9">
        <v>25.876694219392689</v>
      </c>
      <c r="Y2960" s="9">
        <v>25.876694219392689</v>
      </c>
      <c r="Z2960" s="9">
        <v>31.729929259211055</v>
      </c>
      <c r="AA2960" s="9">
        <v>31.729929259211055</v>
      </c>
      <c r="AB2960" s="9">
        <v>38.484633582109744</v>
      </c>
      <c r="AC2960" s="9">
        <v>38.484633582109744</v>
      </c>
      <c r="AD2960" s="9">
        <v>48.268089623568095</v>
      </c>
      <c r="AE2960" s="9">
        <v>54.385358075036649</v>
      </c>
      <c r="AF2960" s="9">
        <v>60.589834903535163</v>
      </c>
      <c r="AG2960" s="9">
        <v>60.589834903535163</v>
      </c>
      <c r="AH2960" s="9">
        <v>66.890240946766525</v>
      </c>
      <c r="AI2960" s="9">
        <v>72.748961477020501</v>
      </c>
      <c r="AJ2960" s="9">
        <v>3.0428788910505911</v>
      </c>
    </row>
    <row r="2961" spans="1:36" x14ac:dyDescent="0.25">
      <c r="A2961" t="s">
        <v>5411</v>
      </c>
      <c r="B2961" t="s">
        <v>16</v>
      </c>
      <c r="C2961" t="s">
        <v>17</v>
      </c>
      <c r="D2961">
        <v>59106000</v>
      </c>
      <c r="E2961">
        <v>59139999</v>
      </c>
      <c r="F2961" t="s">
        <v>2667</v>
      </c>
      <c r="G2961" t="str">
        <f t="shared" si="92"/>
        <v>RNC</v>
      </c>
      <c r="H2961" t="s">
        <v>2668</v>
      </c>
      <c r="I2961" t="s">
        <v>20</v>
      </c>
      <c r="J2961" t="s">
        <v>21</v>
      </c>
      <c r="K2961" s="6">
        <v>0.03</v>
      </c>
      <c r="L2961" s="7">
        <f t="shared" si="93"/>
        <v>2E-3</v>
      </c>
      <c r="M2961" s="7">
        <v>3.0000000000000001E-3</v>
      </c>
      <c r="N2961">
        <v>10</v>
      </c>
      <c r="O2961" s="8">
        <v>13.328776260121593</v>
      </c>
      <c r="P2961" s="9">
        <v>13.328776260121593</v>
      </c>
      <c r="Q2961" s="9">
        <v>13.328776260121593</v>
      </c>
      <c r="R2961" s="9">
        <v>14.445348300006936</v>
      </c>
      <c r="S2961" s="9">
        <v>15.492465251129682</v>
      </c>
      <c r="T2961" s="9">
        <v>16.806682263327911</v>
      </c>
      <c r="U2961" s="9">
        <v>20.175989912607534</v>
      </c>
      <c r="V2961" s="9">
        <v>20.175989912607534</v>
      </c>
      <c r="W2961" s="9">
        <v>20.175989912607534</v>
      </c>
      <c r="X2961" s="9">
        <v>25.876694219392689</v>
      </c>
      <c r="Y2961" s="9">
        <v>25.876694219392689</v>
      </c>
      <c r="Z2961" s="9">
        <v>31.729929259211055</v>
      </c>
      <c r="AA2961" s="9">
        <v>31.729929259211055</v>
      </c>
      <c r="AB2961" s="9">
        <v>38.484633582109744</v>
      </c>
      <c r="AC2961" s="9">
        <v>38.484633582109744</v>
      </c>
      <c r="AD2961" s="9">
        <v>48.268089623568095</v>
      </c>
      <c r="AE2961" s="9">
        <v>54.385358075036649</v>
      </c>
      <c r="AF2961" s="9">
        <v>60.589834903535163</v>
      </c>
      <c r="AG2961" s="9">
        <v>60.589834903535163</v>
      </c>
      <c r="AH2961" s="9">
        <v>66.890240946766525</v>
      </c>
      <c r="AI2961" s="9">
        <v>72.748961477020501</v>
      </c>
      <c r="AJ2961" s="9">
        <v>3.0428788910505911</v>
      </c>
    </row>
    <row r="2962" spans="1:36" x14ac:dyDescent="0.25">
      <c r="A2962" t="s">
        <v>5411</v>
      </c>
      <c r="B2962" t="s">
        <v>16</v>
      </c>
      <c r="C2962" t="s">
        <v>17</v>
      </c>
      <c r="D2962">
        <v>59140000</v>
      </c>
      <c r="E2962">
        <v>59161999</v>
      </c>
      <c r="F2962" t="s">
        <v>2321</v>
      </c>
      <c r="G2962" t="str">
        <f t="shared" si="92"/>
        <v>RNI</v>
      </c>
      <c r="H2962" t="s">
        <v>2668</v>
      </c>
      <c r="I2962" t="s">
        <v>20</v>
      </c>
      <c r="J2962" t="s">
        <v>62</v>
      </c>
      <c r="K2962" s="6">
        <v>0.03</v>
      </c>
      <c r="L2962" s="7">
        <f t="shared" si="93"/>
        <v>2E-3</v>
      </c>
      <c r="M2962" s="7">
        <v>3.0000000000000001E-3</v>
      </c>
      <c r="N2962">
        <v>10</v>
      </c>
      <c r="O2962" s="8">
        <v>18.205590499726043</v>
      </c>
      <c r="P2962" s="9">
        <v>18.205590499726043</v>
      </c>
      <c r="Q2962" s="9">
        <v>18.205590499726043</v>
      </c>
      <c r="R2962" s="9">
        <v>19.656130720470692</v>
      </c>
      <c r="S2962" s="9">
        <v>21.784711929869875</v>
      </c>
      <c r="T2962" s="9">
        <v>23.986461557775435</v>
      </c>
      <c r="U2962" s="9">
        <v>29.614947259276565</v>
      </c>
      <c r="V2962" s="9">
        <v>29.614947259276565</v>
      </c>
      <c r="W2962" s="9">
        <v>29.614947259276565</v>
      </c>
      <c r="X2962" s="9">
        <v>35.909716486522967</v>
      </c>
      <c r="Y2962" s="9">
        <v>35.909716486522967</v>
      </c>
      <c r="Z2962" s="9">
        <v>42.384355605841172</v>
      </c>
      <c r="AA2962" s="9">
        <v>42.384355605841172</v>
      </c>
      <c r="AB2962" s="9">
        <v>49.095231323943281</v>
      </c>
      <c r="AC2962" s="9">
        <v>49.095231323943281</v>
      </c>
      <c r="AD2962" s="9">
        <v>55.946958648005747</v>
      </c>
      <c r="AE2962" s="9">
        <v>62.957655224364999</v>
      </c>
      <c r="AF2962" s="9">
        <v>70.147830690870194</v>
      </c>
      <c r="AG2962" s="9">
        <v>70.147830690870194</v>
      </c>
      <c r="AH2962" s="9">
        <v>77.069094817262553</v>
      </c>
      <c r="AI2962" s="9">
        <v>84.510430321466572</v>
      </c>
      <c r="AJ2962" s="9">
        <v>3.0428788910505911</v>
      </c>
    </row>
    <row r="2963" spans="1:36" x14ac:dyDescent="0.25">
      <c r="A2963" t="s">
        <v>5411</v>
      </c>
      <c r="B2963" t="s">
        <v>16</v>
      </c>
      <c r="C2963" t="s">
        <v>17</v>
      </c>
      <c r="D2963">
        <v>59162000</v>
      </c>
      <c r="E2963">
        <v>59163999</v>
      </c>
      <c r="F2963" t="s">
        <v>2669</v>
      </c>
      <c r="G2963" t="str">
        <f t="shared" si="92"/>
        <v>RNI</v>
      </c>
      <c r="H2963" t="s">
        <v>2668</v>
      </c>
      <c r="I2963" t="s">
        <v>20</v>
      </c>
      <c r="J2963" t="s">
        <v>62</v>
      </c>
      <c r="K2963" s="6">
        <v>0.03</v>
      </c>
      <c r="L2963" s="7">
        <f t="shared" si="93"/>
        <v>2E-3</v>
      </c>
      <c r="M2963" s="7">
        <v>3.0000000000000001E-3</v>
      </c>
      <c r="N2963">
        <v>12</v>
      </c>
      <c r="O2963" s="8">
        <v>18.205590499726043</v>
      </c>
      <c r="P2963" s="9">
        <v>18.205590499726043</v>
      </c>
      <c r="Q2963" s="9">
        <v>18.205590499726043</v>
      </c>
      <c r="R2963" s="9">
        <v>19.656130720470692</v>
      </c>
      <c r="S2963" s="9">
        <v>21.784711929869875</v>
      </c>
      <c r="T2963" s="9">
        <v>23.986461557775435</v>
      </c>
      <c r="U2963" s="9">
        <v>29.614947259276565</v>
      </c>
      <c r="V2963" s="9">
        <v>29.614947259276565</v>
      </c>
      <c r="W2963" s="9">
        <v>29.614947259276565</v>
      </c>
      <c r="X2963" s="9">
        <v>35.909716486522967</v>
      </c>
      <c r="Y2963" s="9">
        <v>35.909716486522967</v>
      </c>
      <c r="Z2963" s="9">
        <v>42.384355605841172</v>
      </c>
      <c r="AA2963" s="9">
        <v>42.384355605841172</v>
      </c>
      <c r="AB2963" s="9">
        <v>49.095231323943281</v>
      </c>
      <c r="AC2963" s="9">
        <v>49.095231323943281</v>
      </c>
      <c r="AD2963" s="9">
        <v>55.946958648005747</v>
      </c>
      <c r="AE2963" s="9">
        <v>62.957655224364999</v>
      </c>
      <c r="AF2963" s="9">
        <v>70.147830690870194</v>
      </c>
      <c r="AG2963" s="9">
        <v>70.147830690870194</v>
      </c>
      <c r="AH2963" s="9">
        <v>77.069094817262553</v>
      </c>
      <c r="AI2963" s="9">
        <v>84.510430321466572</v>
      </c>
      <c r="AJ2963" s="9">
        <v>3.0428788910505911</v>
      </c>
    </row>
    <row r="2964" spans="1:36" x14ac:dyDescent="0.25">
      <c r="A2964" t="s">
        <v>5411</v>
      </c>
      <c r="B2964" t="s">
        <v>16</v>
      </c>
      <c r="C2964" t="s">
        <v>17</v>
      </c>
      <c r="D2964">
        <v>59164000</v>
      </c>
      <c r="E2964">
        <v>59167999</v>
      </c>
      <c r="F2964" t="s">
        <v>2670</v>
      </c>
      <c r="G2964" t="str">
        <f t="shared" si="92"/>
        <v>RNI</v>
      </c>
      <c r="H2964" t="s">
        <v>2668</v>
      </c>
      <c r="I2964" t="s">
        <v>20</v>
      </c>
      <c r="J2964" t="s">
        <v>62</v>
      </c>
      <c r="K2964" s="6">
        <v>0.03</v>
      </c>
      <c r="L2964" s="7">
        <f t="shared" si="93"/>
        <v>2E-3</v>
      </c>
      <c r="M2964" s="7">
        <v>3.0000000000000001E-3</v>
      </c>
      <c r="N2964">
        <v>12</v>
      </c>
      <c r="O2964" s="8">
        <v>18.205590499726043</v>
      </c>
      <c r="P2964" s="9">
        <v>18.205590499726043</v>
      </c>
      <c r="Q2964" s="9">
        <v>18.205590499726043</v>
      </c>
      <c r="R2964" s="9">
        <v>19.656130720470692</v>
      </c>
      <c r="S2964" s="9">
        <v>21.784711929869875</v>
      </c>
      <c r="T2964" s="9">
        <v>23.986461557775435</v>
      </c>
      <c r="U2964" s="9">
        <v>29.614947259276565</v>
      </c>
      <c r="V2964" s="9">
        <v>29.614947259276565</v>
      </c>
      <c r="W2964" s="9">
        <v>29.614947259276565</v>
      </c>
      <c r="X2964" s="9">
        <v>35.909716486522967</v>
      </c>
      <c r="Y2964" s="9">
        <v>35.909716486522967</v>
      </c>
      <c r="Z2964" s="9">
        <v>42.384355605841172</v>
      </c>
      <c r="AA2964" s="9">
        <v>42.384355605841172</v>
      </c>
      <c r="AB2964" s="9">
        <v>49.095231323943281</v>
      </c>
      <c r="AC2964" s="9">
        <v>49.095231323943281</v>
      </c>
      <c r="AD2964" s="9">
        <v>55.946958648005747</v>
      </c>
      <c r="AE2964" s="9">
        <v>62.957655224364999</v>
      </c>
      <c r="AF2964" s="9">
        <v>70.147830690870194</v>
      </c>
      <c r="AG2964" s="9">
        <v>70.147830690870194</v>
      </c>
      <c r="AH2964" s="9">
        <v>77.069094817262553</v>
      </c>
      <c r="AI2964" s="9">
        <v>84.510430321466572</v>
      </c>
      <c r="AJ2964" s="9">
        <v>3.0428788910505911</v>
      </c>
    </row>
    <row r="2965" spans="1:36" x14ac:dyDescent="0.25">
      <c r="A2965" t="s">
        <v>5411</v>
      </c>
      <c r="B2965" t="s">
        <v>16</v>
      </c>
      <c r="C2965" t="s">
        <v>17</v>
      </c>
      <c r="D2965">
        <v>59168000</v>
      </c>
      <c r="E2965">
        <v>59169999</v>
      </c>
      <c r="F2965" t="s">
        <v>2671</v>
      </c>
      <c r="G2965" t="str">
        <f t="shared" si="92"/>
        <v>RNR</v>
      </c>
      <c r="H2965" t="s">
        <v>2668</v>
      </c>
      <c r="I2965" t="s">
        <v>20</v>
      </c>
      <c r="J2965" t="s">
        <v>77</v>
      </c>
      <c r="K2965" s="6">
        <v>0.03</v>
      </c>
      <c r="L2965" s="7">
        <f t="shared" si="93"/>
        <v>2E-3</v>
      </c>
      <c r="M2965" s="7">
        <v>3.0000000000000001E-3</v>
      </c>
      <c r="N2965">
        <v>17</v>
      </c>
      <c r="O2965" s="8">
        <v>30.245120785802055</v>
      </c>
      <c r="P2965" s="9">
        <v>30.245120785802055</v>
      </c>
      <c r="Q2965" s="9">
        <v>30.245120785802055</v>
      </c>
      <c r="R2965" s="9">
        <v>33.285241158213239</v>
      </c>
      <c r="S2965" s="9">
        <v>36.631366552338172</v>
      </c>
      <c r="T2965" s="9">
        <v>38.909767544853885</v>
      </c>
      <c r="U2965" s="9">
        <v>46.682383152234813</v>
      </c>
      <c r="V2965" s="9">
        <v>46.682383152234813</v>
      </c>
      <c r="W2965" s="9">
        <v>46.682383152234813</v>
      </c>
      <c r="X2965" s="9">
        <v>59.921474165477775</v>
      </c>
      <c r="Y2965" s="9">
        <v>59.921474165477775</v>
      </c>
      <c r="Z2965" s="9">
        <v>69.474106781959463</v>
      </c>
      <c r="AA2965" s="9">
        <v>69.474106781959463</v>
      </c>
      <c r="AB2965" s="9">
        <v>79.249204880977274</v>
      </c>
      <c r="AC2965" s="9">
        <v>79.249204880977274</v>
      </c>
      <c r="AD2965" s="9">
        <v>89.269015010784813</v>
      </c>
      <c r="AE2965" s="9">
        <v>99.558008374461224</v>
      </c>
      <c r="AF2965" s="9">
        <v>110.14310329539315</v>
      </c>
      <c r="AG2965" s="9">
        <v>110.14310329539315</v>
      </c>
      <c r="AH2965" s="9">
        <v>121.05390992930631</v>
      </c>
      <c r="AI2965" s="9">
        <v>133.14362481567588</v>
      </c>
      <c r="AJ2965" s="9">
        <v>3.0428788910505911</v>
      </c>
    </row>
    <row r="2966" spans="1:36" x14ac:dyDescent="0.25">
      <c r="A2966" t="s">
        <v>5411</v>
      </c>
      <c r="B2966" t="s">
        <v>16</v>
      </c>
      <c r="C2966" t="s">
        <v>17</v>
      </c>
      <c r="D2966">
        <v>59170000</v>
      </c>
      <c r="E2966">
        <v>59172999</v>
      </c>
      <c r="F2966" t="s">
        <v>2672</v>
      </c>
      <c r="G2966" t="str">
        <f t="shared" si="92"/>
        <v>RNI</v>
      </c>
      <c r="H2966" t="s">
        <v>2668</v>
      </c>
      <c r="I2966" t="s">
        <v>20</v>
      </c>
      <c r="J2966" t="s">
        <v>62</v>
      </c>
      <c r="K2966" s="6">
        <v>0.03</v>
      </c>
      <c r="L2966" s="7">
        <f t="shared" si="93"/>
        <v>2E-3</v>
      </c>
      <c r="M2966" s="7">
        <v>3.0000000000000001E-3</v>
      </c>
      <c r="N2966">
        <v>13</v>
      </c>
      <c r="O2966" s="8">
        <v>18.205590499726043</v>
      </c>
      <c r="P2966" s="9">
        <v>18.205590499726043</v>
      </c>
      <c r="Q2966" s="9">
        <v>18.205590499726043</v>
      </c>
      <c r="R2966" s="9">
        <v>19.656130720470692</v>
      </c>
      <c r="S2966" s="9">
        <v>21.784711929869875</v>
      </c>
      <c r="T2966" s="9">
        <v>23.986461557775435</v>
      </c>
      <c r="U2966" s="9">
        <v>29.614947259276565</v>
      </c>
      <c r="V2966" s="9">
        <v>29.614947259276565</v>
      </c>
      <c r="W2966" s="9">
        <v>29.614947259276565</v>
      </c>
      <c r="X2966" s="9">
        <v>35.909716486522967</v>
      </c>
      <c r="Y2966" s="9">
        <v>35.909716486522967</v>
      </c>
      <c r="Z2966" s="9">
        <v>42.384355605841172</v>
      </c>
      <c r="AA2966" s="9">
        <v>42.384355605841172</v>
      </c>
      <c r="AB2966" s="9">
        <v>49.095231323943281</v>
      </c>
      <c r="AC2966" s="9">
        <v>49.095231323943281</v>
      </c>
      <c r="AD2966" s="9">
        <v>55.946958648005747</v>
      </c>
      <c r="AE2966" s="9">
        <v>62.957655224364999</v>
      </c>
      <c r="AF2966" s="9">
        <v>70.147830690870194</v>
      </c>
      <c r="AG2966" s="9">
        <v>70.147830690870194</v>
      </c>
      <c r="AH2966" s="9">
        <v>77.069094817262553</v>
      </c>
      <c r="AI2966" s="9">
        <v>84.510430321466572</v>
      </c>
      <c r="AJ2966" s="9">
        <v>3.0428788910505911</v>
      </c>
    </row>
    <row r="2967" spans="1:36" x14ac:dyDescent="0.25">
      <c r="A2967" t="s">
        <v>5411</v>
      </c>
      <c r="B2967" t="s">
        <v>16</v>
      </c>
      <c r="C2967" t="s">
        <v>17</v>
      </c>
      <c r="D2967">
        <v>59173000</v>
      </c>
      <c r="E2967">
        <v>59177999</v>
      </c>
      <c r="F2967" t="s">
        <v>2673</v>
      </c>
      <c r="G2967" t="str">
        <f t="shared" si="92"/>
        <v>RNI</v>
      </c>
      <c r="H2967" t="s">
        <v>2668</v>
      </c>
      <c r="I2967" t="s">
        <v>20</v>
      </c>
      <c r="J2967" t="s">
        <v>62</v>
      </c>
      <c r="K2967" s="6">
        <v>0.03</v>
      </c>
      <c r="L2967" s="7">
        <f t="shared" si="93"/>
        <v>2E-3</v>
      </c>
      <c r="M2967" s="7">
        <v>3.0000000000000001E-3</v>
      </c>
      <c r="N2967">
        <v>12</v>
      </c>
      <c r="O2967" s="8">
        <v>18.205590499726043</v>
      </c>
      <c r="P2967" s="9">
        <v>18.205590499726043</v>
      </c>
      <c r="Q2967" s="9">
        <v>18.205590499726043</v>
      </c>
      <c r="R2967" s="9">
        <v>19.656130720470692</v>
      </c>
      <c r="S2967" s="9">
        <v>21.784711929869875</v>
      </c>
      <c r="T2967" s="9">
        <v>23.986461557775435</v>
      </c>
      <c r="U2967" s="9">
        <v>29.614947259276565</v>
      </c>
      <c r="V2967" s="9">
        <v>29.614947259276565</v>
      </c>
      <c r="W2967" s="9">
        <v>29.614947259276565</v>
      </c>
      <c r="X2967" s="9">
        <v>35.909716486522967</v>
      </c>
      <c r="Y2967" s="9">
        <v>35.909716486522967</v>
      </c>
      <c r="Z2967" s="9">
        <v>42.384355605841172</v>
      </c>
      <c r="AA2967" s="9">
        <v>42.384355605841172</v>
      </c>
      <c r="AB2967" s="9">
        <v>49.095231323943281</v>
      </c>
      <c r="AC2967" s="9">
        <v>49.095231323943281</v>
      </c>
      <c r="AD2967" s="9">
        <v>55.946958648005747</v>
      </c>
      <c r="AE2967" s="9">
        <v>62.957655224364999</v>
      </c>
      <c r="AF2967" s="9">
        <v>70.147830690870194</v>
      </c>
      <c r="AG2967" s="9">
        <v>70.147830690870194</v>
      </c>
      <c r="AH2967" s="9">
        <v>77.069094817262553</v>
      </c>
      <c r="AI2967" s="9">
        <v>84.510430321466572</v>
      </c>
      <c r="AJ2967" s="9">
        <v>3.0428788910505911</v>
      </c>
    </row>
    <row r="2968" spans="1:36" x14ac:dyDescent="0.25">
      <c r="A2968" t="s">
        <v>5411</v>
      </c>
      <c r="B2968" t="s">
        <v>16</v>
      </c>
      <c r="C2968" t="s">
        <v>17</v>
      </c>
      <c r="D2968">
        <v>59178000</v>
      </c>
      <c r="E2968">
        <v>59179999</v>
      </c>
      <c r="F2968" t="s">
        <v>2674</v>
      </c>
      <c r="G2968" t="str">
        <f t="shared" si="92"/>
        <v>RNI II</v>
      </c>
      <c r="H2968" t="s">
        <v>2668</v>
      </c>
      <c r="I2968" t="s">
        <v>20</v>
      </c>
      <c r="J2968" t="s">
        <v>64</v>
      </c>
      <c r="K2968" s="6">
        <v>0.03</v>
      </c>
      <c r="L2968" s="7">
        <f t="shared" si="93"/>
        <v>2E-3</v>
      </c>
      <c r="M2968" s="7">
        <v>3.0000000000000001E-3</v>
      </c>
      <c r="N2968">
        <v>11</v>
      </c>
      <c r="O2968" s="8">
        <v>22.322054432421936</v>
      </c>
      <c r="P2968" s="9">
        <v>22.322054432421936</v>
      </c>
      <c r="Q2968" s="9">
        <v>22.322054432421936</v>
      </c>
      <c r="R2968" s="9">
        <v>24.601819623386088</v>
      </c>
      <c r="S2968" s="9">
        <v>27.117044267047554</v>
      </c>
      <c r="T2968" s="9">
        <v>29.2369540706446</v>
      </c>
      <c r="U2968" s="9">
        <v>35.887715548778033</v>
      </c>
      <c r="V2968" s="9">
        <v>35.887715548778033</v>
      </c>
      <c r="W2968" s="9">
        <v>35.887715548778033</v>
      </c>
      <c r="X2968" s="9">
        <v>43.340441784797164</v>
      </c>
      <c r="Y2968" s="9">
        <v>43.340441784797164</v>
      </c>
      <c r="Z2968" s="9">
        <v>50.878922643217386</v>
      </c>
      <c r="AA2968" s="9">
        <v>50.878922643217386</v>
      </c>
      <c r="AB2968" s="9">
        <v>58.511733586278822</v>
      </c>
      <c r="AC2968" s="9">
        <v>58.511733586278822</v>
      </c>
      <c r="AD2968" s="9">
        <v>67.924000242999782</v>
      </c>
      <c r="AE2968" s="9">
        <v>75.106340069501698</v>
      </c>
      <c r="AF2968" s="9">
        <v>82.401730816881624</v>
      </c>
      <c r="AG2968" s="9">
        <v>82.401730816881624</v>
      </c>
      <c r="AH2968" s="9">
        <v>90.556950861998658</v>
      </c>
      <c r="AI2968" s="9">
        <v>98.65295143668034</v>
      </c>
      <c r="AJ2968" s="9">
        <v>3.0428788910505911</v>
      </c>
    </row>
    <row r="2969" spans="1:36" x14ac:dyDescent="0.25">
      <c r="A2969" t="s">
        <v>5411</v>
      </c>
      <c r="B2969" t="s">
        <v>16</v>
      </c>
      <c r="C2969" t="s">
        <v>17</v>
      </c>
      <c r="D2969">
        <v>59180000</v>
      </c>
      <c r="E2969">
        <v>59181999</v>
      </c>
      <c r="F2969" t="s">
        <v>2675</v>
      </c>
      <c r="G2969" t="str">
        <f t="shared" si="92"/>
        <v>RNR</v>
      </c>
      <c r="H2969" t="s">
        <v>2668</v>
      </c>
      <c r="I2969" t="s">
        <v>20</v>
      </c>
      <c r="J2969" t="s">
        <v>77</v>
      </c>
      <c r="K2969" s="6">
        <v>0.03</v>
      </c>
      <c r="L2969" s="7">
        <f t="shared" si="93"/>
        <v>2E-3</v>
      </c>
      <c r="M2969" s="7">
        <v>3.0000000000000001E-3</v>
      </c>
      <c r="N2969">
        <v>17</v>
      </c>
      <c r="O2969" s="8">
        <v>30.245120785802055</v>
      </c>
      <c r="P2969" s="9">
        <v>30.245120785802055</v>
      </c>
      <c r="Q2969" s="9">
        <v>30.245120785802055</v>
      </c>
      <c r="R2969" s="9">
        <v>33.285241158213239</v>
      </c>
      <c r="S2969" s="9">
        <v>36.631366552338172</v>
      </c>
      <c r="T2969" s="9">
        <v>38.909767544853885</v>
      </c>
      <c r="U2969" s="9">
        <v>46.682383152234813</v>
      </c>
      <c r="V2969" s="9">
        <v>46.682383152234813</v>
      </c>
      <c r="W2969" s="9">
        <v>46.682383152234813</v>
      </c>
      <c r="X2969" s="9">
        <v>59.921474165477775</v>
      </c>
      <c r="Y2969" s="9">
        <v>59.921474165477775</v>
      </c>
      <c r="Z2969" s="9">
        <v>69.474106781959463</v>
      </c>
      <c r="AA2969" s="9">
        <v>69.474106781959463</v>
      </c>
      <c r="AB2969" s="9">
        <v>79.249204880977274</v>
      </c>
      <c r="AC2969" s="9">
        <v>79.249204880977274</v>
      </c>
      <c r="AD2969" s="9">
        <v>89.269015010784813</v>
      </c>
      <c r="AE2969" s="9">
        <v>99.558008374461224</v>
      </c>
      <c r="AF2969" s="9">
        <v>110.14310329539315</v>
      </c>
      <c r="AG2969" s="9">
        <v>110.14310329539315</v>
      </c>
      <c r="AH2969" s="9">
        <v>121.05390992930631</v>
      </c>
      <c r="AI2969" s="9">
        <v>133.14362481567588</v>
      </c>
      <c r="AJ2969" s="9">
        <v>3.0428788910505911</v>
      </c>
    </row>
    <row r="2970" spans="1:36" x14ac:dyDescent="0.25">
      <c r="A2970" t="s">
        <v>5411</v>
      </c>
      <c r="B2970" t="s">
        <v>16</v>
      </c>
      <c r="C2970" t="s">
        <v>17</v>
      </c>
      <c r="D2970">
        <v>59182000</v>
      </c>
      <c r="E2970">
        <v>59183999</v>
      </c>
      <c r="F2970" t="s">
        <v>2676</v>
      </c>
      <c r="G2970" t="str">
        <f t="shared" si="92"/>
        <v>RNI</v>
      </c>
      <c r="H2970" t="s">
        <v>2668</v>
      </c>
      <c r="I2970" t="s">
        <v>20</v>
      </c>
      <c r="J2970" t="s">
        <v>62</v>
      </c>
      <c r="K2970" s="6">
        <v>0.03</v>
      </c>
      <c r="L2970" s="7">
        <f t="shared" si="93"/>
        <v>2E-3</v>
      </c>
      <c r="M2970" s="7">
        <v>3.0000000000000001E-3</v>
      </c>
      <c r="N2970">
        <v>13</v>
      </c>
      <c r="O2970" s="8">
        <v>18.205590499726043</v>
      </c>
      <c r="P2970" s="9">
        <v>18.205590499726043</v>
      </c>
      <c r="Q2970" s="9">
        <v>18.205590499726043</v>
      </c>
      <c r="R2970" s="9">
        <v>19.656130720470692</v>
      </c>
      <c r="S2970" s="9">
        <v>21.784711929869875</v>
      </c>
      <c r="T2970" s="9">
        <v>23.986461557775435</v>
      </c>
      <c r="U2970" s="9">
        <v>29.614947259276565</v>
      </c>
      <c r="V2970" s="9">
        <v>29.614947259276565</v>
      </c>
      <c r="W2970" s="9">
        <v>29.614947259276565</v>
      </c>
      <c r="X2970" s="9">
        <v>35.909716486522967</v>
      </c>
      <c r="Y2970" s="9">
        <v>35.909716486522967</v>
      </c>
      <c r="Z2970" s="9">
        <v>42.384355605841172</v>
      </c>
      <c r="AA2970" s="9">
        <v>42.384355605841172</v>
      </c>
      <c r="AB2970" s="9">
        <v>49.095231323943281</v>
      </c>
      <c r="AC2970" s="9">
        <v>49.095231323943281</v>
      </c>
      <c r="AD2970" s="9">
        <v>55.946958648005747</v>
      </c>
      <c r="AE2970" s="9">
        <v>62.957655224364999</v>
      </c>
      <c r="AF2970" s="9">
        <v>70.147830690870194</v>
      </c>
      <c r="AG2970" s="9">
        <v>70.147830690870194</v>
      </c>
      <c r="AH2970" s="9">
        <v>77.069094817262553</v>
      </c>
      <c r="AI2970" s="9">
        <v>84.510430321466572</v>
      </c>
      <c r="AJ2970" s="9">
        <v>3.0428788910505911</v>
      </c>
    </row>
    <row r="2971" spans="1:36" x14ac:dyDescent="0.25">
      <c r="A2971" t="s">
        <v>5411</v>
      </c>
      <c r="B2971" t="s">
        <v>16</v>
      </c>
      <c r="C2971" t="s">
        <v>17</v>
      </c>
      <c r="D2971">
        <v>59184000</v>
      </c>
      <c r="E2971">
        <v>59184999</v>
      </c>
      <c r="F2971" t="s">
        <v>491</v>
      </c>
      <c r="G2971" t="str">
        <f t="shared" si="92"/>
        <v>RNR</v>
      </c>
      <c r="H2971" t="s">
        <v>2668</v>
      </c>
      <c r="I2971" t="s">
        <v>20</v>
      </c>
      <c r="J2971" t="s">
        <v>77</v>
      </c>
      <c r="K2971" s="6">
        <v>0.03</v>
      </c>
      <c r="L2971" s="7">
        <f t="shared" si="93"/>
        <v>2E-3</v>
      </c>
      <c r="M2971" s="7">
        <v>3.0000000000000001E-3</v>
      </c>
      <c r="N2971">
        <v>17</v>
      </c>
      <c r="O2971" s="8">
        <v>30.245120785802055</v>
      </c>
      <c r="P2971" s="9">
        <v>30.245120785802055</v>
      </c>
      <c r="Q2971" s="9">
        <v>30.245120785802055</v>
      </c>
      <c r="R2971" s="9">
        <v>33.285241158213239</v>
      </c>
      <c r="S2971" s="9">
        <v>36.631366552338172</v>
      </c>
      <c r="T2971" s="9">
        <v>38.909767544853885</v>
      </c>
      <c r="U2971" s="9">
        <v>46.682383152234813</v>
      </c>
      <c r="V2971" s="9">
        <v>46.682383152234813</v>
      </c>
      <c r="W2971" s="9">
        <v>46.682383152234813</v>
      </c>
      <c r="X2971" s="9">
        <v>59.921474165477775</v>
      </c>
      <c r="Y2971" s="9">
        <v>59.921474165477775</v>
      </c>
      <c r="Z2971" s="9">
        <v>69.474106781959463</v>
      </c>
      <c r="AA2971" s="9">
        <v>69.474106781959463</v>
      </c>
      <c r="AB2971" s="9">
        <v>79.249204880977274</v>
      </c>
      <c r="AC2971" s="9">
        <v>79.249204880977274</v>
      </c>
      <c r="AD2971" s="9">
        <v>89.269015010784813</v>
      </c>
      <c r="AE2971" s="9">
        <v>99.558008374461224</v>
      </c>
      <c r="AF2971" s="9">
        <v>110.14310329539315</v>
      </c>
      <c r="AG2971" s="9">
        <v>110.14310329539315</v>
      </c>
      <c r="AH2971" s="9">
        <v>121.05390992930631</v>
      </c>
      <c r="AI2971" s="9">
        <v>133.14362481567588</v>
      </c>
      <c r="AJ2971" s="9">
        <v>3.0428788910505911</v>
      </c>
    </row>
    <row r="2972" spans="1:36" x14ac:dyDescent="0.25">
      <c r="A2972" t="s">
        <v>5411</v>
      </c>
      <c r="B2972" t="s">
        <v>16</v>
      </c>
      <c r="C2972" t="s">
        <v>17</v>
      </c>
      <c r="D2972">
        <v>59185000</v>
      </c>
      <c r="E2972">
        <v>59187999</v>
      </c>
      <c r="F2972" t="s">
        <v>2588</v>
      </c>
      <c r="G2972" t="str">
        <f t="shared" si="92"/>
        <v>RNR</v>
      </c>
      <c r="H2972" t="s">
        <v>2668</v>
      </c>
      <c r="I2972" t="s">
        <v>20</v>
      </c>
      <c r="J2972" t="s">
        <v>77</v>
      </c>
      <c r="K2972" s="6">
        <v>0.03</v>
      </c>
      <c r="L2972" s="7">
        <f t="shared" si="93"/>
        <v>2E-3</v>
      </c>
      <c r="M2972" s="7">
        <v>3.0000000000000001E-3</v>
      </c>
      <c r="N2972">
        <v>17</v>
      </c>
      <c r="O2972" s="8">
        <v>30.245120785802055</v>
      </c>
      <c r="P2972" s="9">
        <v>30.245120785802055</v>
      </c>
      <c r="Q2972" s="9">
        <v>30.245120785802055</v>
      </c>
      <c r="R2972" s="9">
        <v>33.285241158213239</v>
      </c>
      <c r="S2972" s="9">
        <v>36.631366552338172</v>
      </c>
      <c r="T2972" s="9">
        <v>38.909767544853885</v>
      </c>
      <c r="U2972" s="9">
        <v>46.682383152234813</v>
      </c>
      <c r="V2972" s="9">
        <v>46.682383152234813</v>
      </c>
      <c r="W2972" s="9">
        <v>46.682383152234813</v>
      </c>
      <c r="X2972" s="9">
        <v>59.921474165477775</v>
      </c>
      <c r="Y2972" s="9">
        <v>59.921474165477775</v>
      </c>
      <c r="Z2972" s="9">
        <v>69.474106781959463</v>
      </c>
      <c r="AA2972" s="9">
        <v>69.474106781959463</v>
      </c>
      <c r="AB2972" s="9">
        <v>79.249204880977274</v>
      </c>
      <c r="AC2972" s="9">
        <v>79.249204880977274</v>
      </c>
      <c r="AD2972" s="9">
        <v>89.269015010784813</v>
      </c>
      <c r="AE2972" s="9">
        <v>99.558008374461224</v>
      </c>
      <c r="AF2972" s="9">
        <v>110.14310329539315</v>
      </c>
      <c r="AG2972" s="9">
        <v>110.14310329539315</v>
      </c>
      <c r="AH2972" s="9">
        <v>121.05390992930631</v>
      </c>
      <c r="AI2972" s="9">
        <v>133.14362481567588</v>
      </c>
      <c r="AJ2972" s="9">
        <v>3.0428788910505911</v>
      </c>
    </row>
    <row r="2973" spans="1:36" x14ac:dyDescent="0.25">
      <c r="A2973" t="s">
        <v>5411</v>
      </c>
      <c r="B2973" t="s">
        <v>16</v>
      </c>
      <c r="C2973" t="s">
        <v>17</v>
      </c>
      <c r="D2973">
        <v>59188000</v>
      </c>
      <c r="E2973">
        <v>59189999</v>
      </c>
      <c r="F2973" t="s">
        <v>2464</v>
      </c>
      <c r="G2973" t="str">
        <f t="shared" si="92"/>
        <v>RNR</v>
      </c>
      <c r="H2973" t="s">
        <v>2668</v>
      </c>
      <c r="I2973" t="s">
        <v>20</v>
      </c>
      <c r="J2973" t="s">
        <v>77</v>
      </c>
      <c r="K2973" s="6">
        <v>0.03</v>
      </c>
      <c r="L2973" s="7">
        <f t="shared" si="93"/>
        <v>2E-3</v>
      </c>
      <c r="M2973" s="7">
        <v>3.0000000000000001E-3</v>
      </c>
      <c r="N2973">
        <v>17</v>
      </c>
      <c r="O2973" s="8">
        <v>30.245120785802055</v>
      </c>
      <c r="P2973" s="9">
        <v>30.245120785802055</v>
      </c>
      <c r="Q2973" s="9">
        <v>30.245120785802055</v>
      </c>
      <c r="R2973" s="9">
        <v>33.285241158213239</v>
      </c>
      <c r="S2973" s="9">
        <v>36.631366552338172</v>
      </c>
      <c r="T2973" s="9">
        <v>38.909767544853885</v>
      </c>
      <c r="U2973" s="9">
        <v>46.682383152234813</v>
      </c>
      <c r="V2973" s="9">
        <v>46.682383152234813</v>
      </c>
      <c r="W2973" s="9">
        <v>46.682383152234813</v>
      </c>
      <c r="X2973" s="9">
        <v>59.921474165477775</v>
      </c>
      <c r="Y2973" s="9">
        <v>59.921474165477775</v>
      </c>
      <c r="Z2973" s="9">
        <v>69.474106781959463</v>
      </c>
      <c r="AA2973" s="9">
        <v>69.474106781959463</v>
      </c>
      <c r="AB2973" s="9">
        <v>79.249204880977274</v>
      </c>
      <c r="AC2973" s="9">
        <v>79.249204880977274</v>
      </c>
      <c r="AD2973" s="9">
        <v>89.269015010784813</v>
      </c>
      <c r="AE2973" s="9">
        <v>99.558008374461224</v>
      </c>
      <c r="AF2973" s="9">
        <v>110.14310329539315</v>
      </c>
      <c r="AG2973" s="9">
        <v>110.14310329539315</v>
      </c>
      <c r="AH2973" s="9">
        <v>121.05390992930631</v>
      </c>
      <c r="AI2973" s="9">
        <v>133.14362481567588</v>
      </c>
      <c r="AJ2973" s="9">
        <v>3.0428788910505911</v>
      </c>
    </row>
    <row r="2974" spans="1:36" x14ac:dyDescent="0.25">
      <c r="A2974" t="s">
        <v>5411</v>
      </c>
      <c r="B2974" t="s">
        <v>16</v>
      </c>
      <c r="C2974" t="s">
        <v>17</v>
      </c>
      <c r="D2974">
        <v>59190000</v>
      </c>
      <c r="E2974">
        <v>59191999</v>
      </c>
      <c r="F2974" t="s">
        <v>2677</v>
      </c>
      <c r="G2974" t="str">
        <f t="shared" si="92"/>
        <v>RNI</v>
      </c>
      <c r="H2974" t="s">
        <v>2668</v>
      </c>
      <c r="I2974" t="s">
        <v>20</v>
      </c>
      <c r="J2974" t="s">
        <v>62</v>
      </c>
      <c r="K2974" s="6">
        <v>0.03</v>
      </c>
      <c r="L2974" s="7">
        <f t="shared" si="93"/>
        <v>2E-3</v>
      </c>
      <c r="M2974" s="7">
        <v>3.0000000000000001E-3</v>
      </c>
      <c r="N2974">
        <v>12</v>
      </c>
      <c r="O2974" s="8">
        <v>18.205590499726043</v>
      </c>
      <c r="P2974" s="9">
        <v>18.205590499726043</v>
      </c>
      <c r="Q2974" s="9">
        <v>18.205590499726043</v>
      </c>
      <c r="R2974" s="9">
        <v>19.656130720470692</v>
      </c>
      <c r="S2974" s="9">
        <v>21.784711929869875</v>
      </c>
      <c r="T2974" s="9">
        <v>23.986461557775435</v>
      </c>
      <c r="U2974" s="9">
        <v>29.614947259276565</v>
      </c>
      <c r="V2974" s="9">
        <v>29.614947259276565</v>
      </c>
      <c r="W2974" s="9">
        <v>29.614947259276565</v>
      </c>
      <c r="X2974" s="9">
        <v>35.909716486522967</v>
      </c>
      <c r="Y2974" s="9">
        <v>35.909716486522967</v>
      </c>
      <c r="Z2974" s="9">
        <v>42.384355605841172</v>
      </c>
      <c r="AA2974" s="9">
        <v>42.384355605841172</v>
      </c>
      <c r="AB2974" s="9">
        <v>49.095231323943281</v>
      </c>
      <c r="AC2974" s="9">
        <v>49.095231323943281</v>
      </c>
      <c r="AD2974" s="9">
        <v>55.946958648005747</v>
      </c>
      <c r="AE2974" s="9">
        <v>62.957655224364999</v>
      </c>
      <c r="AF2974" s="9">
        <v>70.147830690870194</v>
      </c>
      <c r="AG2974" s="9">
        <v>70.147830690870194</v>
      </c>
      <c r="AH2974" s="9">
        <v>77.069094817262553</v>
      </c>
      <c r="AI2974" s="9">
        <v>84.510430321466572</v>
      </c>
      <c r="AJ2974" s="9">
        <v>3.0428788910505911</v>
      </c>
    </row>
    <row r="2975" spans="1:36" x14ac:dyDescent="0.25">
      <c r="A2975" t="s">
        <v>5411</v>
      </c>
      <c r="B2975" t="s">
        <v>16</v>
      </c>
      <c r="C2975" t="s">
        <v>17</v>
      </c>
      <c r="D2975">
        <v>59192000</v>
      </c>
      <c r="E2975">
        <v>59193999</v>
      </c>
      <c r="F2975" t="s">
        <v>2678</v>
      </c>
      <c r="G2975" t="str">
        <f t="shared" si="92"/>
        <v>RNR</v>
      </c>
      <c r="H2975" t="s">
        <v>2668</v>
      </c>
      <c r="I2975" t="s">
        <v>20</v>
      </c>
      <c r="J2975" t="s">
        <v>77</v>
      </c>
      <c r="K2975" s="6">
        <v>0.03</v>
      </c>
      <c r="L2975" s="7">
        <f t="shared" si="93"/>
        <v>2E-3</v>
      </c>
      <c r="M2975" s="7">
        <v>3.0000000000000001E-3</v>
      </c>
      <c r="N2975">
        <v>17</v>
      </c>
      <c r="O2975" s="8">
        <v>30.245120785802055</v>
      </c>
      <c r="P2975" s="9">
        <v>30.245120785802055</v>
      </c>
      <c r="Q2975" s="9">
        <v>30.245120785802055</v>
      </c>
      <c r="R2975" s="9">
        <v>33.285241158213239</v>
      </c>
      <c r="S2975" s="9">
        <v>36.631366552338172</v>
      </c>
      <c r="T2975" s="9">
        <v>38.909767544853885</v>
      </c>
      <c r="U2975" s="9">
        <v>46.682383152234813</v>
      </c>
      <c r="V2975" s="9">
        <v>46.682383152234813</v>
      </c>
      <c r="W2975" s="9">
        <v>46.682383152234813</v>
      </c>
      <c r="X2975" s="9">
        <v>59.921474165477775</v>
      </c>
      <c r="Y2975" s="9">
        <v>59.921474165477775</v>
      </c>
      <c r="Z2975" s="9">
        <v>69.474106781959463</v>
      </c>
      <c r="AA2975" s="9">
        <v>69.474106781959463</v>
      </c>
      <c r="AB2975" s="9">
        <v>79.249204880977274</v>
      </c>
      <c r="AC2975" s="9">
        <v>79.249204880977274</v>
      </c>
      <c r="AD2975" s="9">
        <v>89.269015010784813</v>
      </c>
      <c r="AE2975" s="9">
        <v>99.558008374461224</v>
      </c>
      <c r="AF2975" s="9">
        <v>110.14310329539315</v>
      </c>
      <c r="AG2975" s="9">
        <v>110.14310329539315</v>
      </c>
      <c r="AH2975" s="9">
        <v>121.05390992930631</v>
      </c>
      <c r="AI2975" s="9">
        <v>133.14362481567588</v>
      </c>
      <c r="AJ2975" s="9">
        <v>3.0428788910505911</v>
      </c>
    </row>
    <row r="2976" spans="1:36" x14ac:dyDescent="0.25">
      <c r="A2976" t="s">
        <v>5411</v>
      </c>
      <c r="B2976" t="s">
        <v>16</v>
      </c>
      <c r="C2976" t="s">
        <v>17</v>
      </c>
      <c r="D2976">
        <v>59194000</v>
      </c>
      <c r="E2976">
        <v>59195999</v>
      </c>
      <c r="F2976" t="s">
        <v>2679</v>
      </c>
      <c r="G2976" t="str">
        <f t="shared" si="92"/>
        <v>RNR</v>
      </c>
      <c r="H2976" t="s">
        <v>2668</v>
      </c>
      <c r="I2976" t="s">
        <v>20</v>
      </c>
      <c r="J2976" t="s">
        <v>77</v>
      </c>
      <c r="K2976" s="6">
        <v>0.03</v>
      </c>
      <c r="L2976" s="7">
        <f t="shared" si="93"/>
        <v>2E-3</v>
      </c>
      <c r="M2976" s="7">
        <v>3.0000000000000001E-3</v>
      </c>
      <c r="N2976">
        <v>17</v>
      </c>
      <c r="O2976" s="8">
        <v>30.245120785802055</v>
      </c>
      <c r="P2976" s="9">
        <v>30.245120785802055</v>
      </c>
      <c r="Q2976" s="9">
        <v>30.245120785802055</v>
      </c>
      <c r="R2976" s="9">
        <v>33.285241158213239</v>
      </c>
      <c r="S2976" s="9">
        <v>36.631366552338172</v>
      </c>
      <c r="T2976" s="9">
        <v>38.909767544853885</v>
      </c>
      <c r="U2976" s="9">
        <v>46.682383152234813</v>
      </c>
      <c r="V2976" s="9">
        <v>46.682383152234813</v>
      </c>
      <c r="W2976" s="9">
        <v>46.682383152234813</v>
      </c>
      <c r="X2976" s="9">
        <v>59.921474165477775</v>
      </c>
      <c r="Y2976" s="9">
        <v>59.921474165477775</v>
      </c>
      <c r="Z2976" s="9">
        <v>69.474106781959463</v>
      </c>
      <c r="AA2976" s="9">
        <v>69.474106781959463</v>
      </c>
      <c r="AB2976" s="9">
        <v>79.249204880977274</v>
      </c>
      <c r="AC2976" s="9">
        <v>79.249204880977274</v>
      </c>
      <c r="AD2976" s="9">
        <v>89.269015010784813</v>
      </c>
      <c r="AE2976" s="9">
        <v>99.558008374461224</v>
      </c>
      <c r="AF2976" s="9">
        <v>110.14310329539315</v>
      </c>
      <c r="AG2976" s="9">
        <v>110.14310329539315</v>
      </c>
      <c r="AH2976" s="9">
        <v>121.05390992930631</v>
      </c>
      <c r="AI2976" s="9">
        <v>133.14362481567588</v>
      </c>
      <c r="AJ2976" s="9">
        <v>3.0428788910505911</v>
      </c>
    </row>
    <row r="2977" spans="1:36" x14ac:dyDescent="0.25">
      <c r="A2977" t="s">
        <v>5411</v>
      </c>
      <c r="B2977" t="s">
        <v>16</v>
      </c>
      <c r="C2977" t="s">
        <v>17</v>
      </c>
      <c r="D2977">
        <v>59196000</v>
      </c>
      <c r="E2977">
        <v>59197999</v>
      </c>
      <c r="F2977" t="s">
        <v>2680</v>
      </c>
      <c r="G2977" t="str">
        <f t="shared" si="92"/>
        <v>RNR</v>
      </c>
      <c r="H2977" t="s">
        <v>2668</v>
      </c>
      <c r="I2977" t="s">
        <v>20</v>
      </c>
      <c r="J2977" t="s">
        <v>77</v>
      </c>
      <c r="K2977" s="6">
        <v>0.03</v>
      </c>
      <c r="L2977" s="7">
        <f t="shared" si="93"/>
        <v>2E-3</v>
      </c>
      <c r="M2977" s="7">
        <v>3.0000000000000001E-3</v>
      </c>
      <c r="N2977">
        <v>17</v>
      </c>
      <c r="O2977" s="8">
        <v>30.245120785802055</v>
      </c>
      <c r="P2977" s="9">
        <v>30.245120785802055</v>
      </c>
      <c r="Q2977" s="9">
        <v>30.245120785802055</v>
      </c>
      <c r="R2977" s="9">
        <v>33.285241158213239</v>
      </c>
      <c r="S2977" s="9">
        <v>36.631366552338172</v>
      </c>
      <c r="T2977" s="9">
        <v>38.909767544853885</v>
      </c>
      <c r="U2977" s="9">
        <v>46.682383152234813</v>
      </c>
      <c r="V2977" s="9">
        <v>46.682383152234813</v>
      </c>
      <c r="W2977" s="9">
        <v>46.682383152234813</v>
      </c>
      <c r="X2977" s="9">
        <v>59.921474165477775</v>
      </c>
      <c r="Y2977" s="9">
        <v>59.921474165477775</v>
      </c>
      <c r="Z2977" s="9">
        <v>69.474106781959463</v>
      </c>
      <c r="AA2977" s="9">
        <v>69.474106781959463</v>
      </c>
      <c r="AB2977" s="9">
        <v>79.249204880977274</v>
      </c>
      <c r="AC2977" s="9">
        <v>79.249204880977274</v>
      </c>
      <c r="AD2977" s="9">
        <v>89.269015010784813</v>
      </c>
      <c r="AE2977" s="9">
        <v>99.558008374461224</v>
      </c>
      <c r="AF2977" s="9">
        <v>110.14310329539315</v>
      </c>
      <c r="AG2977" s="9">
        <v>110.14310329539315</v>
      </c>
      <c r="AH2977" s="9">
        <v>121.05390992930631</v>
      </c>
      <c r="AI2977" s="9">
        <v>133.14362481567588</v>
      </c>
      <c r="AJ2977" s="9">
        <v>3.0428788910505911</v>
      </c>
    </row>
    <row r="2978" spans="1:36" x14ac:dyDescent="0.25">
      <c r="A2978" t="s">
        <v>5411</v>
      </c>
      <c r="B2978" t="s">
        <v>16</v>
      </c>
      <c r="C2978" t="s">
        <v>17</v>
      </c>
      <c r="D2978">
        <v>59198000</v>
      </c>
      <c r="E2978">
        <v>59199999</v>
      </c>
      <c r="F2978" t="s">
        <v>2681</v>
      </c>
      <c r="G2978" t="str">
        <f t="shared" si="92"/>
        <v>RNR</v>
      </c>
      <c r="H2978" t="s">
        <v>2668</v>
      </c>
      <c r="I2978" t="s">
        <v>20</v>
      </c>
      <c r="J2978" t="s">
        <v>77</v>
      </c>
      <c r="K2978" s="6">
        <v>0.03</v>
      </c>
      <c r="L2978" s="7">
        <f t="shared" si="93"/>
        <v>2E-3</v>
      </c>
      <c r="M2978" s="7">
        <v>3.0000000000000001E-3</v>
      </c>
      <c r="N2978">
        <v>17</v>
      </c>
      <c r="O2978" s="8">
        <v>30.245120785802055</v>
      </c>
      <c r="P2978" s="9">
        <v>30.245120785802055</v>
      </c>
      <c r="Q2978" s="9">
        <v>30.245120785802055</v>
      </c>
      <c r="R2978" s="9">
        <v>33.285241158213239</v>
      </c>
      <c r="S2978" s="9">
        <v>36.631366552338172</v>
      </c>
      <c r="T2978" s="9">
        <v>38.909767544853885</v>
      </c>
      <c r="U2978" s="9">
        <v>46.682383152234813</v>
      </c>
      <c r="V2978" s="9">
        <v>46.682383152234813</v>
      </c>
      <c r="W2978" s="9">
        <v>46.682383152234813</v>
      </c>
      <c r="X2978" s="9">
        <v>59.921474165477775</v>
      </c>
      <c r="Y2978" s="9">
        <v>59.921474165477775</v>
      </c>
      <c r="Z2978" s="9">
        <v>69.474106781959463</v>
      </c>
      <c r="AA2978" s="9">
        <v>69.474106781959463</v>
      </c>
      <c r="AB2978" s="9">
        <v>79.249204880977274</v>
      </c>
      <c r="AC2978" s="9">
        <v>79.249204880977274</v>
      </c>
      <c r="AD2978" s="9">
        <v>89.269015010784813</v>
      </c>
      <c r="AE2978" s="9">
        <v>99.558008374461224</v>
      </c>
      <c r="AF2978" s="9">
        <v>110.14310329539315</v>
      </c>
      <c r="AG2978" s="9">
        <v>110.14310329539315</v>
      </c>
      <c r="AH2978" s="9">
        <v>121.05390992930631</v>
      </c>
      <c r="AI2978" s="9">
        <v>133.14362481567588</v>
      </c>
      <c r="AJ2978" s="9">
        <v>3.0428788910505911</v>
      </c>
    </row>
    <row r="2979" spans="1:36" x14ac:dyDescent="0.25">
      <c r="A2979" t="s">
        <v>5411</v>
      </c>
      <c r="B2979" t="s">
        <v>16</v>
      </c>
      <c r="C2979" t="s">
        <v>17</v>
      </c>
      <c r="D2979">
        <v>59200000</v>
      </c>
      <c r="E2979">
        <v>59209999</v>
      </c>
      <c r="F2979" t="s">
        <v>2326</v>
      </c>
      <c r="G2979" t="str">
        <f t="shared" si="92"/>
        <v>RNR</v>
      </c>
      <c r="H2979" t="s">
        <v>2668</v>
      </c>
      <c r="I2979" t="s">
        <v>20</v>
      </c>
      <c r="J2979" t="s">
        <v>77</v>
      </c>
      <c r="K2979" s="6">
        <v>0.03</v>
      </c>
      <c r="L2979" s="7">
        <f t="shared" si="93"/>
        <v>2E-3</v>
      </c>
      <c r="M2979" s="7">
        <v>3.0000000000000001E-3</v>
      </c>
      <c r="N2979">
        <v>17</v>
      </c>
      <c r="O2979" s="8">
        <v>30.245120785802055</v>
      </c>
      <c r="P2979" s="9">
        <v>30.245120785802055</v>
      </c>
      <c r="Q2979" s="9">
        <v>30.245120785802055</v>
      </c>
      <c r="R2979" s="9">
        <v>33.285241158213239</v>
      </c>
      <c r="S2979" s="9">
        <v>36.631366552338172</v>
      </c>
      <c r="T2979" s="9">
        <v>38.909767544853885</v>
      </c>
      <c r="U2979" s="9">
        <v>46.682383152234813</v>
      </c>
      <c r="V2979" s="9">
        <v>46.682383152234813</v>
      </c>
      <c r="W2979" s="9">
        <v>46.682383152234813</v>
      </c>
      <c r="X2979" s="9">
        <v>59.921474165477775</v>
      </c>
      <c r="Y2979" s="9">
        <v>59.921474165477775</v>
      </c>
      <c r="Z2979" s="9">
        <v>69.474106781959463</v>
      </c>
      <c r="AA2979" s="9">
        <v>69.474106781959463</v>
      </c>
      <c r="AB2979" s="9">
        <v>79.249204880977274</v>
      </c>
      <c r="AC2979" s="9">
        <v>79.249204880977274</v>
      </c>
      <c r="AD2979" s="9">
        <v>89.269015010784813</v>
      </c>
      <c r="AE2979" s="9">
        <v>99.558008374461224</v>
      </c>
      <c r="AF2979" s="9">
        <v>110.14310329539315</v>
      </c>
      <c r="AG2979" s="9">
        <v>110.14310329539315</v>
      </c>
      <c r="AH2979" s="9">
        <v>121.05390992930631</v>
      </c>
      <c r="AI2979" s="9">
        <v>133.14362481567588</v>
      </c>
      <c r="AJ2979" s="9">
        <v>3.0428788910505911</v>
      </c>
    </row>
    <row r="2980" spans="1:36" x14ac:dyDescent="0.25">
      <c r="A2980" t="s">
        <v>5411</v>
      </c>
      <c r="B2980" t="s">
        <v>16</v>
      </c>
      <c r="C2980" t="s">
        <v>17</v>
      </c>
      <c r="D2980">
        <v>59210000</v>
      </c>
      <c r="E2980">
        <v>59212999</v>
      </c>
      <c r="F2980" t="s">
        <v>2682</v>
      </c>
      <c r="G2980" t="str">
        <f t="shared" si="92"/>
        <v>RNR</v>
      </c>
      <c r="H2980" t="s">
        <v>2668</v>
      </c>
      <c r="I2980" t="s">
        <v>20</v>
      </c>
      <c r="J2980" t="s">
        <v>77</v>
      </c>
      <c r="K2980" s="6">
        <v>0.03</v>
      </c>
      <c r="L2980" s="7">
        <f t="shared" si="93"/>
        <v>2E-3</v>
      </c>
      <c r="M2980" s="7">
        <v>3.0000000000000001E-3</v>
      </c>
      <c r="N2980">
        <v>17</v>
      </c>
      <c r="O2980" s="8">
        <v>30.245120785802055</v>
      </c>
      <c r="P2980" s="9">
        <v>30.245120785802055</v>
      </c>
      <c r="Q2980" s="9">
        <v>30.245120785802055</v>
      </c>
      <c r="R2980" s="9">
        <v>33.285241158213239</v>
      </c>
      <c r="S2980" s="9">
        <v>36.631366552338172</v>
      </c>
      <c r="T2980" s="9">
        <v>38.909767544853885</v>
      </c>
      <c r="U2980" s="9">
        <v>46.682383152234813</v>
      </c>
      <c r="V2980" s="9">
        <v>46.682383152234813</v>
      </c>
      <c r="W2980" s="9">
        <v>46.682383152234813</v>
      </c>
      <c r="X2980" s="9">
        <v>59.921474165477775</v>
      </c>
      <c r="Y2980" s="9">
        <v>59.921474165477775</v>
      </c>
      <c r="Z2980" s="9">
        <v>69.474106781959463</v>
      </c>
      <c r="AA2980" s="9">
        <v>69.474106781959463</v>
      </c>
      <c r="AB2980" s="9">
        <v>79.249204880977274</v>
      </c>
      <c r="AC2980" s="9">
        <v>79.249204880977274</v>
      </c>
      <c r="AD2980" s="9">
        <v>89.269015010784813</v>
      </c>
      <c r="AE2980" s="9">
        <v>99.558008374461224</v>
      </c>
      <c r="AF2980" s="9">
        <v>110.14310329539315</v>
      </c>
      <c r="AG2980" s="9">
        <v>110.14310329539315</v>
      </c>
      <c r="AH2980" s="9">
        <v>121.05390992930631</v>
      </c>
      <c r="AI2980" s="9">
        <v>133.14362481567588</v>
      </c>
      <c r="AJ2980" s="9">
        <v>3.0428788910505911</v>
      </c>
    </row>
    <row r="2981" spans="1:36" x14ac:dyDescent="0.25">
      <c r="A2981" t="s">
        <v>5411</v>
      </c>
      <c r="B2981" t="s">
        <v>16</v>
      </c>
      <c r="C2981" t="s">
        <v>17</v>
      </c>
      <c r="D2981">
        <v>59213000</v>
      </c>
      <c r="E2981">
        <v>59213999</v>
      </c>
      <c r="F2981" t="s">
        <v>2683</v>
      </c>
      <c r="G2981" t="str">
        <f t="shared" si="92"/>
        <v>RNR</v>
      </c>
      <c r="H2981" t="s">
        <v>2668</v>
      </c>
      <c r="I2981" t="s">
        <v>20</v>
      </c>
      <c r="J2981" t="s">
        <v>77</v>
      </c>
      <c r="K2981" s="6">
        <v>0.03</v>
      </c>
      <c r="L2981" s="7">
        <f t="shared" si="93"/>
        <v>2E-3</v>
      </c>
      <c r="M2981" s="7">
        <v>3.0000000000000001E-3</v>
      </c>
      <c r="N2981">
        <v>17</v>
      </c>
      <c r="O2981" s="8">
        <v>30.245120785802055</v>
      </c>
      <c r="P2981" s="9">
        <v>30.245120785802055</v>
      </c>
      <c r="Q2981" s="9">
        <v>30.245120785802055</v>
      </c>
      <c r="R2981" s="9">
        <v>33.285241158213239</v>
      </c>
      <c r="S2981" s="9">
        <v>36.631366552338172</v>
      </c>
      <c r="T2981" s="9">
        <v>38.909767544853885</v>
      </c>
      <c r="U2981" s="9">
        <v>46.682383152234813</v>
      </c>
      <c r="V2981" s="9">
        <v>46.682383152234813</v>
      </c>
      <c r="W2981" s="9">
        <v>46.682383152234813</v>
      </c>
      <c r="X2981" s="9">
        <v>59.921474165477775</v>
      </c>
      <c r="Y2981" s="9">
        <v>59.921474165477775</v>
      </c>
      <c r="Z2981" s="9">
        <v>69.474106781959463</v>
      </c>
      <c r="AA2981" s="9">
        <v>69.474106781959463</v>
      </c>
      <c r="AB2981" s="9">
        <v>79.249204880977274</v>
      </c>
      <c r="AC2981" s="9">
        <v>79.249204880977274</v>
      </c>
      <c r="AD2981" s="9">
        <v>89.269015010784813</v>
      </c>
      <c r="AE2981" s="9">
        <v>99.558008374461224</v>
      </c>
      <c r="AF2981" s="9">
        <v>110.14310329539315</v>
      </c>
      <c r="AG2981" s="9">
        <v>110.14310329539315</v>
      </c>
      <c r="AH2981" s="9">
        <v>121.05390992930631</v>
      </c>
      <c r="AI2981" s="9">
        <v>133.14362481567588</v>
      </c>
      <c r="AJ2981" s="9">
        <v>3.0428788910505911</v>
      </c>
    </row>
    <row r="2982" spans="1:36" x14ac:dyDescent="0.25">
      <c r="A2982" t="s">
        <v>5411</v>
      </c>
      <c r="B2982" t="s">
        <v>16</v>
      </c>
      <c r="C2982" t="s">
        <v>17</v>
      </c>
      <c r="D2982">
        <v>59214000</v>
      </c>
      <c r="E2982">
        <v>59214999</v>
      </c>
      <c r="F2982" t="s">
        <v>2684</v>
      </c>
      <c r="G2982" t="str">
        <f t="shared" si="92"/>
        <v>RNR</v>
      </c>
      <c r="H2982" t="s">
        <v>2668</v>
      </c>
      <c r="I2982" t="s">
        <v>20</v>
      </c>
      <c r="J2982" t="s">
        <v>77</v>
      </c>
      <c r="K2982" s="6">
        <v>0.03</v>
      </c>
      <c r="L2982" s="7">
        <f t="shared" si="93"/>
        <v>2E-3</v>
      </c>
      <c r="M2982" s="7">
        <v>3.0000000000000001E-3</v>
      </c>
      <c r="N2982">
        <v>17</v>
      </c>
      <c r="O2982" s="8">
        <v>30.245120785802055</v>
      </c>
      <c r="P2982" s="9">
        <v>30.245120785802055</v>
      </c>
      <c r="Q2982" s="9">
        <v>30.245120785802055</v>
      </c>
      <c r="R2982" s="9">
        <v>33.285241158213239</v>
      </c>
      <c r="S2982" s="9">
        <v>36.631366552338172</v>
      </c>
      <c r="T2982" s="9">
        <v>38.909767544853885</v>
      </c>
      <c r="U2982" s="9">
        <v>46.682383152234813</v>
      </c>
      <c r="V2982" s="9">
        <v>46.682383152234813</v>
      </c>
      <c r="W2982" s="9">
        <v>46.682383152234813</v>
      </c>
      <c r="X2982" s="9">
        <v>59.921474165477775</v>
      </c>
      <c r="Y2982" s="9">
        <v>59.921474165477775</v>
      </c>
      <c r="Z2982" s="9">
        <v>69.474106781959463</v>
      </c>
      <c r="AA2982" s="9">
        <v>69.474106781959463</v>
      </c>
      <c r="AB2982" s="9">
        <v>79.249204880977274</v>
      </c>
      <c r="AC2982" s="9">
        <v>79.249204880977274</v>
      </c>
      <c r="AD2982" s="9">
        <v>89.269015010784813</v>
      </c>
      <c r="AE2982" s="9">
        <v>99.558008374461224</v>
      </c>
      <c r="AF2982" s="9">
        <v>110.14310329539315</v>
      </c>
      <c r="AG2982" s="9">
        <v>110.14310329539315</v>
      </c>
      <c r="AH2982" s="9">
        <v>121.05390992930631</v>
      </c>
      <c r="AI2982" s="9">
        <v>133.14362481567588</v>
      </c>
      <c r="AJ2982" s="9">
        <v>3.0428788910505911</v>
      </c>
    </row>
    <row r="2983" spans="1:36" x14ac:dyDescent="0.25">
      <c r="A2983" t="s">
        <v>5411</v>
      </c>
      <c r="B2983" t="s">
        <v>16</v>
      </c>
      <c r="C2983" t="s">
        <v>17</v>
      </c>
      <c r="D2983">
        <v>59215000</v>
      </c>
      <c r="E2983">
        <v>59216999</v>
      </c>
      <c r="F2983" t="s">
        <v>2685</v>
      </c>
      <c r="G2983" t="str">
        <f t="shared" si="92"/>
        <v>RNI</v>
      </c>
      <c r="H2983" t="s">
        <v>2668</v>
      </c>
      <c r="I2983" t="s">
        <v>20</v>
      </c>
      <c r="J2983" t="s">
        <v>62</v>
      </c>
      <c r="K2983" s="6">
        <v>0.03</v>
      </c>
      <c r="L2983" s="7">
        <f t="shared" si="93"/>
        <v>2E-3</v>
      </c>
      <c r="M2983" s="7">
        <v>3.0000000000000001E-3</v>
      </c>
      <c r="N2983">
        <v>13</v>
      </c>
      <c r="O2983" s="8">
        <v>18.205590499726043</v>
      </c>
      <c r="P2983" s="9">
        <v>18.205590499726043</v>
      </c>
      <c r="Q2983" s="9">
        <v>18.205590499726043</v>
      </c>
      <c r="R2983" s="9">
        <v>19.656130720470692</v>
      </c>
      <c r="S2983" s="9">
        <v>21.784711929869875</v>
      </c>
      <c r="T2983" s="9">
        <v>23.986461557775435</v>
      </c>
      <c r="U2983" s="9">
        <v>29.614947259276565</v>
      </c>
      <c r="V2983" s="9">
        <v>29.614947259276565</v>
      </c>
      <c r="W2983" s="9">
        <v>29.614947259276565</v>
      </c>
      <c r="X2983" s="9">
        <v>35.909716486522967</v>
      </c>
      <c r="Y2983" s="9">
        <v>35.909716486522967</v>
      </c>
      <c r="Z2983" s="9">
        <v>42.384355605841172</v>
      </c>
      <c r="AA2983" s="9">
        <v>42.384355605841172</v>
      </c>
      <c r="AB2983" s="9">
        <v>49.095231323943281</v>
      </c>
      <c r="AC2983" s="9">
        <v>49.095231323943281</v>
      </c>
      <c r="AD2983" s="9">
        <v>55.946958648005747</v>
      </c>
      <c r="AE2983" s="9">
        <v>62.957655224364999</v>
      </c>
      <c r="AF2983" s="9">
        <v>70.147830690870194</v>
      </c>
      <c r="AG2983" s="9">
        <v>70.147830690870194</v>
      </c>
      <c r="AH2983" s="9">
        <v>77.069094817262553</v>
      </c>
      <c r="AI2983" s="9">
        <v>84.510430321466572</v>
      </c>
      <c r="AJ2983" s="9">
        <v>3.0428788910505911</v>
      </c>
    </row>
    <row r="2984" spans="1:36" x14ac:dyDescent="0.25">
      <c r="A2984" t="s">
        <v>5411</v>
      </c>
      <c r="B2984" t="s">
        <v>16</v>
      </c>
      <c r="C2984" t="s">
        <v>17</v>
      </c>
      <c r="D2984">
        <v>59217000</v>
      </c>
      <c r="E2984">
        <v>59217999</v>
      </c>
      <c r="F2984" t="s">
        <v>2686</v>
      </c>
      <c r="G2984" t="str">
        <f t="shared" si="92"/>
        <v>RNR</v>
      </c>
      <c r="H2984" t="s">
        <v>2668</v>
      </c>
      <c r="I2984" t="s">
        <v>20</v>
      </c>
      <c r="J2984" t="s">
        <v>77</v>
      </c>
      <c r="K2984" s="6">
        <v>0.03</v>
      </c>
      <c r="L2984" s="7">
        <f t="shared" si="93"/>
        <v>2E-3</v>
      </c>
      <c r="M2984" s="7">
        <v>3.0000000000000001E-3</v>
      </c>
      <c r="N2984">
        <v>17</v>
      </c>
      <c r="O2984" s="8">
        <v>30.245120785802055</v>
      </c>
      <c r="P2984" s="9">
        <v>30.245120785802055</v>
      </c>
      <c r="Q2984" s="9">
        <v>30.245120785802055</v>
      </c>
      <c r="R2984" s="9">
        <v>33.285241158213239</v>
      </c>
      <c r="S2984" s="9">
        <v>36.631366552338172</v>
      </c>
      <c r="T2984" s="9">
        <v>38.909767544853885</v>
      </c>
      <c r="U2984" s="9">
        <v>46.682383152234813</v>
      </c>
      <c r="V2984" s="9">
        <v>46.682383152234813</v>
      </c>
      <c r="W2984" s="9">
        <v>46.682383152234813</v>
      </c>
      <c r="X2984" s="9">
        <v>59.921474165477775</v>
      </c>
      <c r="Y2984" s="9">
        <v>59.921474165477775</v>
      </c>
      <c r="Z2984" s="9">
        <v>69.474106781959463</v>
      </c>
      <c r="AA2984" s="9">
        <v>69.474106781959463</v>
      </c>
      <c r="AB2984" s="9">
        <v>79.249204880977274</v>
      </c>
      <c r="AC2984" s="9">
        <v>79.249204880977274</v>
      </c>
      <c r="AD2984" s="9">
        <v>89.269015010784813</v>
      </c>
      <c r="AE2984" s="9">
        <v>99.558008374461224</v>
      </c>
      <c r="AF2984" s="9">
        <v>110.14310329539315</v>
      </c>
      <c r="AG2984" s="9">
        <v>110.14310329539315</v>
      </c>
      <c r="AH2984" s="9">
        <v>121.05390992930631</v>
      </c>
      <c r="AI2984" s="9">
        <v>133.14362481567588</v>
      </c>
      <c r="AJ2984" s="9">
        <v>3.0428788910505911</v>
      </c>
    </row>
    <row r="2985" spans="1:36" x14ac:dyDescent="0.25">
      <c r="A2985" t="s">
        <v>5411</v>
      </c>
      <c r="B2985" t="s">
        <v>16</v>
      </c>
      <c r="C2985" t="s">
        <v>17</v>
      </c>
      <c r="D2985">
        <v>59218000</v>
      </c>
      <c r="E2985">
        <v>59218999</v>
      </c>
      <c r="F2985" t="s">
        <v>2687</v>
      </c>
      <c r="G2985" t="str">
        <f t="shared" si="92"/>
        <v>RNR</v>
      </c>
      <c r="H2985" t="s">
        <v>2668</v>
      </c>
      <c r="I2985" t="s">
        <v>20</v>
      </c>
      <c r="J2985" t="s">
        <v>77</v>
      </c>
      <c r="K2985" s="6">
        <v>0.03</v>
      </c>
      <c r="L2985" s="7">
        <f t="shared" si="93"/>
        <v>2E-3</v>
      </c>
      <c r="M2985" s="7">
        <v>3.0000000000000001E-3</v>
      </c>
      <c r="N2985">
        <v>17</v>
      </c>
      <c r="O2985" s="8">
        <v>30.245120785802055</v>
      </c>
      <c r="P2985" s="9">
        <v>30.245120785802055</v>
      </c>
      <c r="Q2985" s="9">
        <v>30.245120785802055</v>
      </c>
      <c r="R2985" s="9">
        <v>33.285241158213239</v>
      </c>
      <c r="S2985" s="9">
        <v>36.631366552338172</v>
      </c>
      <c r="T2985" s="9">
        <v>38.909767544853885</v>
      </c>
      <c r="U2985" s="9">
        <v>46.682383152234813</v>
      </c>
      <c r="V2985" s="9">
        <v>46.682383152234813</v>
      </c>
      <c r="W2985" s="9">
        <v>46.682383152234813</v>
      </c>
      <c r="X2985" s="9">
        <v>59.921474165477775</v>
      </c>
      <c r="Y2985" s="9">
        <v>59.921474165477775</v>
      </c>
      <c r="Z2985" s="9">
        <v>69.474106781959463</v>
      </c>
      <c r="AA2985" s="9">
        <v>69.474106781959463</v>
      </c>
      <c r="AB2985" s="9">
        <v>79.249204880977274</v>
      </c>
      <c r="AC2985" s="9">
        <v>79.249204880977274</v>
      </c>
      <c r="AD2985" s="9">
        <v>89.269015010784813</v>
      </c>
      <c r="AE2985" s="9">
        <v>99.558008374461224</v>
      </c>
      <c r="AF2985" s="9">
        <v>110.14310329539315</v>
      </c>
      <c r="AG2985" s="9">
        <v>110.14310329539315</v>
      </c>
      <c r="AH2985" s="9">
        <v>121.05390992930631</v>
      </c>
      <c r="AI2985" s="9">
        <v>133.14362481567588</v>
      </c>
      <c r="AJ2985" s="9">
        <v>3.0428788910505911</v>
      </c>
    </row>
    <row r="2986" spans="1:36" x14ac:dyDescent="0.25">
      <c r="A2986" t="s">
        <v>5411</v>
      </c>
      <c r="B2986" t="s">
        <v>16</v>
      </c>
      <c r="C2986" t="s">
        <v>17</v>
      </c>
      <c r="D2986">
        <v>59219000</v>
      </c>
      <c r="E2986">
        <v>59219999</v>
      </c>
      <c r="F2986" t="s">
        <v>2356</v>
      </c>
      <c r="G2986" t="str">
        <f t="shared" si="92"/>
        <v>RNR</v>
      </c>
      <c r="H2986" t="s">
        <v>2668</v>
      </c>
      <c r="I2986" t="s">
        <v>20</v>
      </c>
      <c r="J2986" t="s">
        <v>77</v>
      </c>
      <c r="K2986" s="6">
        <v>0.03</v>
      </c>
      <c r="L2986" s="7">
        <f t="shared" si="93"/>
        <v>2E-3</v>
      </c>
      <c r="M2986" s="7">
        <v>3.0000000000000001E-3</v>
      </c>
      <c r="N2986">
        <v>17</v>
      </c>
      <c r="O2986" s="8">
        <v>30.245120785802055</v>
      </c>
      <c r="P2986" s="9">
        <v>30.245120785802055</v>
      </c>
      <c r="Q2986" s="9">
        <v>30.245120785802055</v>
      </c>
      <c r="R2986" s="9">
        <v>33.285241158213239</v>
      </c>
      <c r="S2986" s="9">
        <v>36.631366552338172</v>
      </c>
      <c r="T2986" s="9">
        <v>38.909767544853885</v>
      </c>
      <c r="U2986" s="9">
        <v>46.682383152234813</v>
      </c>
      <c r="V2986" s="9">
        <v>46.682383152234813</v>
      </c>
      <c r="W2986" s="9">
        <v>46.682383152234813</v>
      </c>
      <c r="X2986" s="9">
        <v>59.921474165477775</v>
      </c>
      <c r="Y2986" s="9">
        <v>59.921474165477775</v>
      </c>
      <c r="Z2986" s="9">
        <v>69.474106781959463</v>
      </c>
      <c r="AA2986" s="9">
        <v>69.474106781959463</v>
      </c>
      <c r="AB2986" s="9">
        <v>79.249204880977274</v>
      </c>
      <c r="AC2986" s="9">
        <v>79.249204880977274</v>
      </c>
      <c r="AD2986" s="9">
        <v>89.269015010784813</v>
      </c>
      <c r="AE2986" s="9">
        <v>99.558008374461224</v>
      </c>
      <c r="AF2986" s="9">
        <v>110.14310329539315</v>
      </c>
      <c r="AG2986" s="9">
        <v>110.14310329539315</v>
      </c>
      <c r="AH2986" s="9">
        <v>121.05390992930631</v>
      </c>
      <c r="AI2986" s="9">
        <v>133.14362481567588</v>
      </c>
      <c r="AJ2986" s="9">
        <v>3.0428788910505911</v>
      </c>
    </row>
    <row r="2987" spans="1:36" x14ac:dyDescent="0.25">
      <c r="A2987" t="s">
        <v>5411</v>
      </c>
      <c r="B2987" t="s">
        <v>16</v>
      </c>
      <c r="C2987" t="s">
        <v>17</v>
      </c>
      <c r="D2987">
        <v>59220000</v>
      </c>
      <c r="E2987">
        <v>59224999</v>
      </c>
      <c r="F2987" t="s">
        <v>2688</v>
      </c>
      <c r="G2987" t="str">
        <f t="shared" si="92"/>
        <v>RNR</v>
      </c>
      <c r="H2987" t="s">
        <v>2668</v>
      </c>
      <c r="I2987" t="s">
        <v>20</v>
      </c>
      <c r="J2987" t="s">
        <v>77</v>
      </c>
      <c r="K2987" s="6">
        <v>0.03</v>
      </c>
      <c r="L2987" s="7">
        <f t="shared" si="93"/>
        <v>2E-3</v>
      </c>
      <c r="M2987" s="7">
        <v>3.0000000000000001E-3</v>
      </c>
      <c r="N2987">
        <v>17</v>
      </c>
      <c r="O2987" s="8">
        <v>30.245120785802055</v>
      </c>
      <c r="P2987" s="9">
        <v>30.245120785802055</v>
      </c>
      <c r="Q2987" s="9">
        <v>30.245120785802055</v>
      </c>
      <c r="R2987" s="9">
        <v>33.285241158213239</v>
      </c>
      <c r="S2987" s="9">
        <v>36.631366552338172</v>
      </c>
      <c r="T2987" s="9">
        <v>38.909767544853885</v>
      </c>
      <c r="U2987" s="9">
        <v>46.682383152234813</v>
      </c>
      <c r="V2987" s="9">
        <v>46.682383152234813</v>
      </c>
      <c r="W2987" s="9">
        <v>46.682383152234813</v>
      </c>
      <c r="X2987" s="9">
        <v>59.921474165477775</v>
      </c>
      <c r="Y2987" s="9">
        <v>59.921474165477775</v>
      </c>
      <c r="Z2987" s="9">
        <v>69.474106781959463</v>
      </c>
      <c r="AA2987" s="9">
        <v>69.474106781959463</v>
      </c>
      <c r="AB2987" s="9">
        <v>79.249204880977274</v>
      </c>
      <c r="AC2987" s="9">
        <v>79.249204880977274</v>
      </c>
      <c r="AD2987" s="9">
        <v>89.269015010784813</v>
      </c>
      <c r="AE2987" s="9">
        <v>99.558008374461224</v>
      </c>
      <c r="AF2987" s="9">
        <v>110.14310329539315</v>
      </c>
      <c r="AG2987" s="9">
        <v>110.14310329539315</v>
      </c>
      <c r="AH2987" s="9">
        <v>121.05390992930631</v>
      </c>
      <c r="AI2987" s="9">
        <v>133.14362481567588</v>
      </c>
      <c r="AJ2987" s="9">
        <v>3.0428788910505911</v>
      </c>
    </row>
    <row r="2988" spans="1:36" x14ac:dyDescent="0.25">
      <c r="A2988" t="s">
        <v>5411</v>
      </c>
      <c r="B2988" t="s">
        <v>16</v>
      </c>
      <c r="C2988" t="s">
        <v>17</v>
      </c>
      <c r="D2988">
        <v>59225000</v>
      </c>
      <c r="E2988">
        <v>59226999</v>
      </c>
      <c r="F2988" t="s">
        <v>2689</v>
      </c>
      <c r="G2988" t="str">
        <f t="shared" si="92"/>
        <v>RNR</v>
      </c>
      <c r="H2988" t="s">
        <v>2668</v>
      </c>
      <c r="I2988" t="s">
        <v>20</v>
      </c>
      <c r="J2988" t="s">
        <v>77</v>
      </c>
      <c r="K2988" s="6">
        <v>0.03</v>
      </c>
      <c r="L2988" s="7">
        <f t="shared" si="93"/>
        <v>2E-3</v>
      </c>
      <c r="M2988" s="7">
        <v>3.0000000000000001E-3</v>
      </c>
      <c r="N2988">
        <v>17</v>
      </c>
      <c r="O2988" s="8">
        <v>30.245120785802055</v>
      </c>
      <c r="P2988" s="9">
        <v>30.245120785802055</v>
      </c>
      <c r="Q2988" s="9">
        <v>30.245120785802055</v>
      </c>
      <c r="R2988" s="9">
        <v>33.285241158213239</v>
      </c>
      <c r="S2988" s="9">
        <v>36.631366552338172</v>
      </c>
      <c r="T2988" s="9">
        <v>38.909767544853885</v>
      </c>
      <c r="U2988" s="9">
        <v>46.682383152234813</v>
      </c>
      <c r="V2988" s="9">
        <v>46.682383152234813</v>
      </c>
      <c r="W2988" s="9">
        <v>46.682383152234813</v>
      </c>
      <c r="X2988" s="9">
        <v>59.921474165477775</v>
      </c>
      <c r="Y2988" s="9">
        <v>59.921474165477775</v>
      </c>
      <c r="Z2988" s="9">
        <v>69.474106781959463</v>
      </c>
      <c r="AA2988" s="9">
        <v>69.474106781959463</v>
      </c>
      <c r="AB2988" s="9">
        <v>79.249204880977274</v>
      </c>
      <c r="AC2988" s="9">
        <v>79.249204880977274</v>
      </c>
      <c r="AD2988" s="9">
        <v>89.269015010784813</v>
      </c>
      <c r="AE2988" s="9">
        <v>99.558008374461224</v>
      </c>
      <c r="AF2988" s="9">
        <v>110.14310329539315</v>
      </c>
      <c r="AG2988" s="9">
        <v>110.14310329539315</v>
      </c>
      <c r="AH2988" s="9">
        <v>121.05390992930631</v>
      </c>
      <c r="AI2988" s="9">
        <v>133.14362481567588</v>
      </c>
      <c r="AJ2988" s="9">
        <v>3.0428788910505911</v>
      </c>
    </row>
    <row r="2989" spans="1:36" x14ac:dyDescent="0.25">
      <c r="A2989" t="s">
        <v>5411</v>
      </c>
      <c r="B2989" t="s">
        <v>16</v>
      </c>
      <c r="C2989" t="s">
        <v>17</v>
      </c>
      <c r="D2989">
        <v>59227000</v>
      </c>
      <c r="E2989">
        <v>59229999</v>
      </c>
      <c r="F2989" t="s">
        <v>2690</v>
      </c>
      <c r="G2989" t="str">
        <f t="shared" si="92"/>
        <v>RNR</v>
      </c>
      <c r="H2989" t="s">
        <v>2668</v>
      </c>
      <c r="I2989" t="s">
        <v>20</v>
      </c>
      <c r="J2989" t="s">
        <v>77</v>
      </c>
      <c r="K2989" s="6">
        <v>0.03</v>
      </c>
      <c r="L2989" s="7">
        <f t="shared" si="93"/>
        <v>2E-3</v>
      </c>
      <c r="M2989" s="7">
        <v>3.0000000000000001E-3</v>
      </c>
      <c r="N2989">
        <v>17</v>
      </c>
      <c r="O2989" s="8">
        <v>30.245120785802055</v>
      </c>
      <c r="P2989" s="9">
        <v>30.245120785802055</v>
      </c>
      <c r="Q2989" s="9">
        <v>30.245120785802055</v>
      </c>
      <c r="R2989" s="9">
        <v>33.285241158213239</v>
      </c>
      <c r="S2989" s="9">
        <v>36.631366552338172</v>
      </c>
      <c r="T2989" s="9">
        <v>38.909767544853885</v>
      </c>
      <c r="U2989" s="9">
        <v>46.682383152234813</v>
      </c>
      <c r="V2989" s="9">
        <v>46.682383152234813</v>
      </c>
      <c r="W2989" s="9">
        <v>46.682383152234813</v>
      </c>
      <c r="X2989" s="9">
        <v>59.921474165477775</v>
      </c>
      <c r="Y2989" s="9">
        <v>59.921474165477775</v>
      </c>
      <c r="Z2989" s="9">
        <v>69.474106781959463</v>
      </c>
      <c r="AA2989" s="9">
        <v>69.474106781959463</v>
      </c>
      <c r="AB2989" s="9">
        <v>79.249204880977274</v>
      </c>
      <c r="AC2989" s="9">
        <v>79.249204880977274</v>
      </c>
      <c r="AD2989" s="9">
        <v>89.269015010784813</v>
      </c>
      <c r="AE2989" s="9">
        <v>99.558008374461224</v>
      </c>
      <c r="AF2989" s="9">
        <v>110.14310329539315</v>
      </c>
      <c r="AG2989" s="9">
        <v>110.14310329539315</v>
      </c>
      <c r="AH2989" s="9">
        <v>121.05390992930631</v>
      </c>
      <c r="AI2989" s="9">
        <v>133.14362481567588</v>
      </c>
      <c r="AJ2989" s="9">
        <v>3.0428788910505911</v>
      </c>
    </row>
    <row r="2990" spans="1:36" x14ac:dyDescent="0.25">
      <c r="A2990" t="s">
        <v>5411</v>
      </c>
      <c r="B2990" t="s">
        <v>16</v>
      </c>
      <c r="C2990" t="s">
        <v>17</v>
      </c>
      <c r="D2990">
        <v>59230000</v>
      </c>
      <c r="E2990">
        <v>59234999</v>
      </c>
      <c r="F2990" t="s">
        <v>2691</v>
      </c>
      <c r="G2990" t="str">
        <f t="shared" si="92"/>
        <v>RNR</v>
      </c>
      <c r="H2990" t="s">
        <v>2668</v>
      </c>
      <c r="I2990" t="s">
        <v>20</v>
      </c>
      <c r="J2990" t="s">
        <v>77</v>
      </c>
      <c r="K2990" s="6">
        <v>0.03</v>
      </c>
      <c r="L2990" s="7">
        <f t="shared" si="93"/>
        <v>2E-3</v>
      </c>
      <c r="M2990" s="7">
        <v>3.0000000000000001E-3</v>
      </c>
      <c r="N2990">
        <v>17</v>
      </c>
      <c r="O2990" s="8">
        <v>30.245120785802055</v>
      </c>
      <c r="P2990" s="9">
        <v>30.245120785802055</v>
      </c>
      <c r="Q2990" s="9">
        <v>30.245120785802055</v>
      </c>
      <c r="R2990" s="9">
        <v>33.285241158213239</v>
      </c>
      <c r="S2990" s="9">
        <v>36.631366552338172</v>
      </c>
      <c r="T2990" s="9">
        <v>38.909767544853885</v>
      </c>
      <c r="U2990" s="9">
        <v>46.682383152234813</v>
      </c>
      <c r="V2990" s="9">
        <v>46.682383152234813</v>
      </c>
      <c r="W2990" s="9">
        <v>46.682383152234813</v>
      </c>
      <c r="X2990" s="9">
        <v>59.921474165477775</v>
      </c>
      <c r="Y2990" s="9">
        <v>59.921474165477775</v>
      </c>
      <c r="Z2990" s="9">
        <v>69.474106781959463</v>
      </c>
      <c r="AA2990" s="9">
        <v>69.474106781959463</v>
      </c>
      <c r="AB2990" s="9">
        <v>79.249204880977274</v>
      </c>
      <c r="AC2990" s="9">
        <v>79.249204880977274</v>
      </c>
      <c r="AD2990" s="9">
        <v>89.269015010784813</v>
      </c>
      <c r="AE2990" s="9">
        <v>99.558008374461224</v>
      </c>
      <c r="AF2990" s="9">
        <v>110.14310329539315</v>
      </c>
      <c r="AG2990" s="9">
        <v>110.14310329539315</v>
      </c>
      <c r="AH2990" s="9">
        <v>121.05390992930631</v>
      </c>
      <c r="AI2990" s="9">
        <v>133.14362481567588</v>
      </c>
      <c r="AJ2990" s="9">
        <v>3.0428788910505911</v>
      </c>
    </row>
    <row r="2991" spans="1:36" x14ac:dyDescent="0.25">
      <c r="A2991" t="s">
        <v>5411</v>
      </c>
      <c r="B2991" t="s">
        <v>16</v>
      </c>
      <c r="C2991" t="s">
        <v>17</v>
      </c>
      <c r="D2991">
        <v>59235000</v>
      </c>
      <c r="E2991">
        <v>59239999</v>
      </c>
      <c r="F2991" t="s">
        <v>2692</v>
      </c>
      <c r="G2991" t="str">
        <f t="shared" si="92"/>
        <v>RNR</v>
      </c>
      <c r="H2991" t="s">
        <v>2668</v>
      </c>
      <c r="I2991" t="s">
        <v>20</v>
      </c>
      <c r="J2991" t="s">
        <v>77</v>
      </c>
      <c r="K2991" s="6">
        <v>0.03</v>
      </c>
      <c r="L2991" s="7">
        <f t="shared" si="93"/>
        <v>2E-3</v>
      </c>
      <c r="M2991" s="7">
        <v>3.0000000000000001E-3</v>
      </c>
      <c r="N2991">
        <v>17</v>
      </c>
      <c r="O2991" s="8">
        <v>30.245120785802055</v>
      </c>
      <c r="P2991" s="9">
        <v>30.245120785802055</v>
      </c>
      <c r="Q2991" s="9">
        <v>30.245120785802055</v>
      </c>
      <c r="R2991" s="9">
        <v>33.285241158213239</v>
      </c>
      <c r="S2991" s="9">
        <v>36.631366552338172</v>
      </c>
      <c r="T2991" s="9">
        <v>38.909767544853885</v>
      </c>
      <c r="U2991" s="9">
        <v>46.682383152234813</v>
      </c>
      <c r="V2991" s="9">
        <v>46.682383152234813</v>
      </c>
      <c r="W2991" s="9">
        <v>46.682383152234813</v>
      </c>
      <c r="X2991" s="9">
        <v>59.921474165477775</v>
      </c>
      <c r="Y2991" s="9">
        <v>59.921474165477775</v>
      </c>
      <c r="Z2991" s="9">
        <v>69.474106781959463</v>
      </c>
      <c r="AA2991" s="9">
        <v>69.474106781959463</v>
      </c>
      <c r="AB2991" s="9">
        <v>79.249204880977274</v>
      </c>
      <c r="AC2991" s="9">
        <v>79.249204880977274</v>
      </c>
      <c r="AD2991" s="9">
        <v>89.269015010784813</v>
      </c>
      <c r="AE2991" s="9">
        <v>99.558008374461224</v>
      </c>
      <c r="AF2991" s="9">
        <v>110.14310329539315</v>
      </c>
      <c r="AG2991" s="9">
        <v>110.14310329539315</v>
      </c>
      <c r="AH2991" s="9">
        <v>121.05390992930631</v>
      </c>
      <c r="AI2991" s="9">
        <v>133.14362481567588</v>
      </c>
      <c r="AJ2991" s="9">
        <v>3.0428788910505911</v>
      </c>
    </row>
    <row r="2992" spans="1:36" x14ac:dyDescent="0.25">
      <c r="A2992" t="s">
        <v>5411</v>
      </c>
      <c r="B2992" t="s">
        <v>16</v>
      </c>
      <c r="C2992" t="s">
        <v>17</v>
      </c>
      <c r="D2992">
        <v>59240000</v>
      </c>
      <c r="E2992">
        <v>59243999</v>
      </c>
      <c r="F2992" t="s">
        <v>2693</v>
      </c>
      <c r="G2992" t="str">
        <f t="shared" si="92"/>
        <v>RNR</v>
      </c>
      <c r="H2992" t="s">
        <v>2668</v>
      </c>
      <c r="I2992" t="s">
        <v>20</v>
      </c>
      <c r="J2992" t="s">
        <v>77</v>
      </c>
      <c r="K2992" s="6">
        <v>0.03</v>
      </c>
      <c r="L2992" s="7">
        <f t="shared" si="93"/>
        <v>2E-3</v>
      </c>
      <c r="M2992" s="7">
        <v>3.0000000000000001E-3</v>
      </c>
      <c r="N2992">
        <v>17</v>
      </c>
      <c r="O2992" s="8">
        <v>30.245120785802055</v>
      </c>
      <c r="P2992" s="9">
        <v>30.245120785802055</v>
      </c>
      <c r="Q2992" s="9">
        <v>30.245120785802055</v>
      </c>
      <c r="R2992" s="9">
        <v>33.285241158213239</v>
      </c>
      <c r="S2992" s="9">
        <v>36.631366552338172</v>
      </c>
      <c r="T2992" s="9">
        <v>38.909767544853885</v>
      </c>
      <c r="U2992" s="9">
        <v>46.682383152234813</v>
      </c>
      <c r="V2992" s="9">
        <v>46.682383152234813</v>
      </c>
      <c r="W2992" s="9">
        <v>46.682383152234813</v>
      </c>
      <c r="X2992" s="9">
        <v>59.921474165477775</v>
      </c>
      <c r="Y2992" s="9">
        <v>59.921474165477775</v>
      </c>
      <c r="Z2992" s="9">
        <v>69.474106781959463</v>
      </c>
      <c r="AA2992" s="9">
        <v>69.474106781959463</v>
      </c>
      <c r="AB2992" s="9">
        <v>79.249204880977274</v>
      </c>
      <c r="AC2992" s="9">
        <v>79.249204880977274</v>
      </c>
      <c r="AD2992" s="9">
        <v>89.269015010784813</v>
      </c>
      <c r="AE2992" s="9">
        <v>99.558008374461224</v>
      </c>
      <c r="AF2992" s="9">
        <v>110.14310329539315</v>
      </c>
      <c r="AG2992" s="9">
        <v>110.14310329539315</v>
      </c>
      <c r="AH2992" s="9">
        <v>121.05390992930631</v>
      </c>
      <c r="AI2992" s="9">
        <v>133.14362481567588</v>
      </c>
      <c r="AJ2992" s="9">
        <v>3.0428788910505911</v>
      </c>
    </row>
    <row r="2993" spans="1:36" x14ac:dyDescent="0.25">
      <c r="A2993" t="s">
        <v>5411</v>
      </c>
      <c r="B2993" t="s">
        <v>16</v>
      </c>
      <c r="C2993" t="s">
        <v>17</v>
      </c>
      <c r="D2993">
        <v>59244000</v>
      </c>
      <c r="E2993">
        <v>59244999</v>
      </c>
      <c r="F2993" t="s">
        <v>2694</v>
      </c>
      <c r="G2993" t="str">
        <f t="shared" si="92"/>
        <v>RNR</v>
      </c>
      <c r="H2993" t="s">
        <v>2668</v>
      </c>
      <c r="I2993" t="s">
        <v>20</v>
      </c>
      <c r="J2993" t="s">
        <v>77</v>
      </c>
      <c r="K2993" s="6">
        <v>0.03</v>
      </c>
      <c r="L2993" s="7">
        <f t="shared" si="93"/>
        <v>2E-3</v>
      </c>
      <c r="M2993" s="7">
        <v>3.0000000000000001E-3</v>
      </c>
      <c r="N2993">
        <v>17</v>
      </c>
      <c r="O2993" s="8">
        <v>30.245120785802055</v>
      </c>
      <c r="P2993" s="9">
        <v>30.245120785802055</v>
      </c>
      <c r="Q2993" s="9">
        <v>30.245120785802055</v>
      </c>
      <c r="R2993" s="9">
        <v>33.285241158213239</v>
      </c>
      <c r="S2993" s="9">
        <v>36.631366552338172</v>
      </c>
      <c r="T2993" s="9">
        <v>38.909767544853885</v>
      </c>
      <c r="U2993" s="9">
        <v>46.682383152234813</v>
      </c>
      <c r="V2993" s="9">
        <v>46.682383152234813</v>
      </c>
      <c r="W2993" s="9">
        <v>46.682383152234813</v>
      </c>
      <c r="X2993" s="9">
        <v>59.921474165477775</v>
      </c>
      <c r="Y2993" s="9">
        <v>59.921474165477775</v>
      </c>
      <c r="Z2993" s="9">
        <v>69.474106781959463</v>
      </c>
      <c r="AA2993" s="9">
        <v>69.474106781959463</v>
      </c>
      <c r="AB2993" s="9">
        <v>79.249204880977274</v>
      </c>
      <c r="AC2993" s="9">
        <v>79.249204880977274</v>
      </c>
      <c r="AD2993" s="9">
        <v>89.269015010784813</v>
      </c>
      <c r="AE2993" s="9">
        <v>99.558008374461224</v>
      </c>
      <c r="AF2993" s="9">
        <v>110.14310329539315</v>
      </c>
      <c r="AG2993" s="9">
        <v>110.14310329539315</v>
      </c>
      <c r="AH2993" s="9">
        <v>121.05390992930631</v>
      </c>
      <c r="AI2993" s="9">
        <v>133.14362481567588</v>
      </c>
      <c r="AJ2993" s="9">
        <v>3.0428788910505911</v>
      </c>
    </row>
    <row r="2994" spans="1:36" x14ac:dyDescent="0.25">
      <c r="A2994" t="s">
        <v>5411</v>
      </c>
      <c r="B2994" t="s">
        <v>16</v>
      </c>
      <c r="C2994" t="s">
        <v>17</v>
      </c>
      <c r="D2994">
        <v>59245000</v>
      </c>
      <c r="E2994">
        <v>59246999</v>
      </c>
      <c r="F2994" t="s">
        <v>2695</v>
      </c>
      <c r="G2994" t="str">
        <f t="shared" si="92"/>
        <v>RNR</v>
      </c>
      <c r="H2994" t="s">
        <v>2668</v>
      </c>
      <c r="I2994" t="s">
        <v>20</v>
      </c>
      <c r="J2994" t="s">
        <v>77</v>
      </c>
      <c r="K2994" s="6">
        <v>0.03</v>
      </c>
      <c r="L2994" s="7">
        <f t="shared" si="93"/>
        <v>2E-3</v>
      </c>
      <c r="M2994" s="7">
        <v>3.0000000000000001E-3</v>
      </c>
      <c r="N2994">
        <v>17</v>
      </c>
      <c r="O2994" s="8">
        <v>30.245120785802055</v>
      </c>
      <c r="P2994" s="9">
        <v>30.245120785802055</v>
      </c>
      <c r="Q2994" s="9">
        <v>30.245120785802055</v>
      </c>
      <c r="R2994" s="9">
        <v>33.285241158213239</v>
      </c>
      <c r="S2994" s="9">
        <v>36.631366552338172</v>
      </c>
      <c r="T2994" s="9">
        <v>38.909767544853885</v>
      </c>
      <c r="U2994" s="9">
        <v>46.682383152234813</v>
      </c>
      <c r="V2994" s="9">
        <v>46.682383152234813</v>
      </c>
      <c r="W2994" s="9">
        <v>46.682383152234813</v>
      </c>
      <c r="X2994" s="9">
        <v>59.921474165477775</v>
      </c>
      <c r="Y2994" s="9">
        <v>59.921474165477775</v>
      </c>
      <c r="Z2994" s="9">
        <v>69.474106781959463</v>
      </c>
      <c r="AA2994" s="9">
        <v>69.474106781959463</v>
      </c>
      <c r="AB2994" s="9">
        <v>79.249204880977274</v>
      </c>
      <c r="AC2994" s="9">
        <v>79.249204880977274</v>
      </c>
      <c r="AD2994" s="9">
        <v>89.269015010784813</v>
      </c>
      <c r="AE2994" s="9">
        <v>99.558008374461224</v>
      </c>
      <c r="AF2994" s="9">
        <v>110.14310329539315</v>
      </c>
      <c r="AG2994" s="9">
        <v>110.14310329539315</v>
      </c>
      <c r="AH2994" s="9">
        <v>121.05390992930631</v>
      </c>
      <c r="AI2994" s="9">
        <v>133.14362481567588</v>
      </c>
      <c r="AJ2994" s="9">
        <v>3.0428788910505911</v>
      </c>
    </row>
    <row r="2995" spans="1:36" x14ac:dyDescent="0.25">
      <c r="A2995" t="s">
        <v>5411</v>
      </c>
      <c r="B2995" t="s">
        <v>16</v>
      </c>
      <c r="C2995" t="s">
        <v>17</v>
      </c>
      <c r="D2995">
        <v>59247000</v>
      </c>
      <c r="E2995">
        <v>59249999</v>
      </c>
      <c r="F2995" t="s">
        <v>2696</v>
      </c>
      <c r="G2995" t="str">
        <f t="shared" si="92"/>
        <v>RNR</v>
      </c>
      <c r="H2995" t="s">
        <v>2668</v>
      </c>
      <c r="I2995" t="s">
        <v>20</v>
      </c>
      <c r="J2995" t="s">
        <v>77</v>
      </c>
      <c r="K2995" s="6">
        <v>0.03</v>
      </c>
      <c r="L2995" s="7">
        <f t="shared" si="93"/>
        <v>2E-3</v>
      </c>
      <c r="M2995" s="7">
        <v>3.0000000000000001E-3</v>
      </c>
      <c r="N2995">
        <v>17</v>
      </c>
      <c r="O2995" s="8">
        <v>30.245120785802055</v>
      </c>
      <c r="P2995" s="9">
        <v>30.245120785802055</v>
      </c>
      <c r="Q2995" s="9">
        <v>30.245120785802055</v>
      </c>
      <c r="R2995" s="9">
        <v>33.285241158213239</v>
      </c>
      <c r="S2995" s="9">
        <v>36.631366552338172</v>
      </c>
      <c r="T2995" s="9">
        <v>38.909767544853885</v>
      </c>
      <c r="U2995" s="9">
        <v>46.682383152234813</v>
      </c>
      <c r="V2995" s="9">
        <v>46.682383152234813</v>
      </c>
      <c r="W2995" s="9">
        <v>46.682383152234813</v>
      </c>
      <c r="X2995" s="9">
        <v>59.921474165477775</v>
      </c>
      <c r="Y2995" s="9">
        <v>59.921474165477775</v>
      </c>
      <c r="Z2995" s="9">
        <v>69.474106781959463</v>
      </c>
      <c r="AA2995" s="9">
        <v>69.474106781959463</v>
      </c>
      <c r="AB2995" s="9">
        <v>79.249204880977274</v>
      </c>
      <c r="AC2995" s="9">
        <v>79.249204880977274</v>
      </c>
      <c r="AD2995" s="9">
        <v>89.269015010784813</v>
      </c>
      <c r="AE2995" s="9">
        <v>99.558008374461224</v>
      </c>
      <c r="AF2995" s="9">
        <v>110.14310329539315</v>
      </c>
      <c r="AG2995" s="9">
        <v>110.14310329539315</v>
      </c>
      <c r="AH2995" s="9">
        <v>121.05390992930631</v>
      </c>
      <c r="AI2995" s="9">
        <v>133.14362481567588</v>
      </c>
      <c r="AJ2995" s="9">
        <v>3.0428788910505911</v>
      </c>
    </row>
    <row r="2996" spans="1:36" x14ac:dyDescent="0.25">
      <c r="A2996" t="s">
        <v>5411</v>
      </c>
      <c r="B2996" t="s">
        <v>16</v>
      </c>
      <c r="C2996" t="s">
        <v>17</v>
      </c>
      <c r="D2996">
        <v>59250000</v>
      </c>
      <c r="E2996">
        <v>59254999</v>
      </c>
      <c r="F2996" t="s">
        <v>2697</v>
      </c>
      <c r="G2996" t="str">
        <f t="shared" si="92"/>
        <v>RNR</v>
      </c>
      <c r="H2996" t="s">
        <v>2668</v>
      </c>
      <c r="I2996" t="s">
        <v>20</v>
      </c>
      <c r="J2996" t="s">
        <v>77</v>
      </c>
      <c r="K2996" s="6">
        <v>0.03</v>
      </c>
      <c r="L2996" s="7">
        <f t="shared" si="93"/>
        <v>2E-3</v>
      </c>
      <c r="M2996" s="7">
        <v>3.0000000000000001E-3</v>
      </c>
      <c r="N2996">
        <v>17</v>
      </c>
      <c r="O2996" s="8">
        <v>30.245120785802055</v>
      </c>
      <c r="P2996" s="9">
        <v>30.245120785802055</v>
      </c>
      <c r="Q2996" s="9">
        <v>30.245120785802055</v>
      </c>
      <c r="R2996" s="9">
        <v>33.285241158213239</v>
      </c>
      <c r="S2996" s="9">
        <v>36.631366552338172</v>
      </c>
      <c r="T2996" s="9">
        <v>38.909767544853885</v>
      </c>
      <c r="U2996" s="9">
        <v>46.682383152234813</v>
      </c>
      <c r="V2996" s="9">
        <v>46.682383152234813</v>
      </c>
      <c r="W2996" s="9">
        <v>46.682383152234813</v>
      </c>
      <c r="X2996" s="9">
        <v>59.921474165477775</v>
      </c>
      <c r="Y2996" s="9">
        <v>59.921474165477775</v>
      </c>
      <c r="Z2996" s="9">
        <v>69.474106781959463</v>
      </c>
      <c r="AA2996" s="9">
        <v>69.474106781959463</v>
      </c>
      <c r="AB2996" s="9">
        <v>79.249204880977274</v>
      </c>
      <c r="AC2996" s="9">
        <v>79.249204880977274</v>
      </c>
      <c r="AD2996" s="9">
        <v>89.269015010784813</v>
      </c>
      <c r="AE2996" s="9">
        <v>99.558008374461224</v>
      </c>
      <c r="AF2996" s="9">
        <v>110.14310329539315</v>
      </c>
      <c r="AG2996" s="9">
        <v>110.14310329539315</v>
      </c>
      <c r="AH2996" s="9">
        <v>121.05390992930631</v>
      </c>
      <c r="AI2996" s="9">
        <v>133.14362481567588</v>
      </c>
      <c r="AJ2996" s="9">
        <v>3.0428788910505911</v>
      </c>
    </row>
    <row r="2997" spans="1:36" x14ac:dyDescent="0.25">
      <c r="A2997" t="s">
        <v>5411</v>
      </c>
      <c r="B2997" t="s">
        <v>16</v>
      </c>
      <c r="C2997" t="s">
        <v>17</v>
      </c>
      <c r="D2997">
        <v>59255000</v>
      </c>
      <c r="E2997">
        <v>59257999</v>
      </c>
      <c r="F2997" t="s">
        <v>2698</v>
      </c>
      <c r="G2997" t="str">
        <f t="shared" si="92"/>
        <v>RNR</v>
      </c>
      <c r="H2997" t="s">
        <v>2668</v>
      </c>
      <c r="I2997" t="s">
        <v>20</v>
      </c>
      <c r="J2997" t="s">
        <v>77</v>
      </c>
      <c r="K2997" s="6">
        <v>0.03</v>
      </c>
      <c r="L2997" s="7">
        <f t="shared" si="93"/>
        <v>2E-3</v>
      </c>
      <c r="M2997" s="7">
        <v>3.0000000000000001E-3</v>
      </c>
      <c r="N2997">
        <v>17</v>
      </c>
      <c r="O2997" s="8">
        <v>30.245120785802055</v>
      </c>
      <c r="P2997" s="9">
        <v>30.245120785802055</v>
      </c>
      <c r="Q2997" s="9">
        <v>30.245120785802055</v>
      </c>
      <c r="R2997" s="9">
        <v>33.285241158213239</v>
      </c>
      <c r="S2997" s="9">
        <v>36.631366552338172</v>
      </c>
      <c r="T2997" s="9">
        <v>38.909767544853885</v>
      </c>
      <c r="U2997" s="9">
        <v>46.682383152234813</v>
      </c>
      <c r="V2997" s="9">
        <v>46.682383152234813</v>
      </c>
      <c r="W2997" s="9">
        <v>46.682383152234813</v>
      </c>
      <c r="X2997" s="9">
        <v>59.921474165477775</v>
      </c>
      <c r="Y2997" s="9">
        <v>59.921474165477775</v>
      </c>
      <c r="Z2997" s="9">
        <v>69.474106781959463</v>
      </c>
      <c r="AA2997" s="9">
        <v>69.474106781959463</v>
      </c>
      <c r="AB2997" s="9">
        <v>79.249204880977274</v>
      </c>
      <c r="AC2997" s="9">
        <v>79.249204880977274</v>
      </c>
      <c r="AD2997" s="9">
        <v>89.269015010784813</v>
      </c>
      <c r="AE2997" s="9">
        <v>99.558008374461224</v>
      </c>
      <c r="AF2997" s="9">
        <v>110.14310329539315</v>
      </c>
      <c r="AG2997" s="9">
        <v>110.14310329539315</v>
      </c>
      <c r="AH2997" s="9">
        <v>121.05390992930631</v>
      </c>
      <c r="AI2997" s="9">
        <v>133.14362481567588</v>
      </c>
      <c r="AJ2997" s="9">
        <v>3.0428788910505911</v>
      </c>
    </row>
    <row r="2998" spans="1:36" x14ac:dyDescent="0.25">
      <c r="A2998" t="s">
        <v>5411</v>
      </c>
      <c r="B2998" t="s">
        <v>16</v>
      </c>
      <c r="C2998" t="s">
        <v>17</v>
      </c>
      <c r="D2998">
        <v>59258000</v>
      </c>
      <c r="E2998">
        <v>59258999</v>
      </c>
      <c r="F2998" t="s">
        <v>2091</v>
      </c>
      <c r="G2998" t="str">
        <f t="shared" si="92"/>
        <v>RNR</v>
      </c>
      <c r="H2998" t="s">
        <v>2668</v>
      </c>
      <c r="I2998" t="s">
        <v>20</v>
      </c>
      <c r="J2998" t="s">
        <v>77</v>
      </c>
      <c r="K2998" s="6">
        <v>0.03</v>
      </c>
      <c r="L2998" s="7">
        <f t="shared" si="93"/>
        <v>2E-3</v>
      </c>
      <c r="M2998" s="7">
        <v>3.0000000000000001E-3</v>
      </c>
      <c r="N2998">
        <v>17</v>
      </c>
      <c r="O2998" s="8">
        <v>30.245120785802055</v>
      </c>
      <c r="P2998" s="9">
        <v>30.245120785802055</v>
      </c>
      <c r="Q2998" s="9">
        <v>30.245120785802055</v>
      </c>
      <c r="R2998" s="9">
        <v>33.285241158213239</v>
      </c>
      <c r="S2998" s="9">
        <v>36.631366552338172</v>
      </c>
      <c r="T2998" s="9">
        <v>38.909767544853885</v>
      </c>
      <c r="U2998" s="9">
        <v>46.682383152234813</v>
      </c>
      <c r="V2998" s="9">
        <v>46.682383152234813</v>
      </c>
      <c r="W2998" s="9">
        <v>46.682383152234813</v>
      </c>
      <c r="X2998" s="9">
        <v>59.921474165477775</v>
      </c>
      <c r="Y2998" s="9">
        <v>59.921474165477775</v>
      </c>
      <c r="Z2998" s="9">
        <v>69.474106781959463</v>
      </c>
      <c r="AA2998" s="9">
        <v>69.474106781959463</v>
      </c>
      <c r="AB2998" s="9">
        <v>79.249204880977274</v>
      </c>
      <c r="AC2998" s="9">
        <v>79.249204880977274</v>
      </c>
      <c r="AD2998" s="9">
        <v>89.269015010784813</v>
      </c>
      <c r="AE2998" s="9">
        <v>99.558008374461224</v>
      </c>
      <c r="AF2998" s="9">
        <v>110.14310329539315</v>
      </c>
      <c r="AG2998" s="9">
        <v>110.14310329539315</v>
      </c>
      <c r="AH2998" s="9">
        <v>121.05390992930631</v>
      </c>
      <c r="AI2998" s="9">
        <v>133.14362481567588</v>
      </c>
      <c r="AJ2998" s="9">
        <v>3.0428788910505911</v>
      </c>
    </row>
    <row r="2999" spans="1:36" x14ac:dyDescent="0.25">
      <c r="A2999" t="s">
        <v>5411</v>
      </c>
      <c r="B2999" t="s">
        <v>16</v>
      </c>
      <c r="C2999" t="s">
        <v>17</v>
      </c>
      <c r="D2999">
        <v>59259000</v>
      </c>
      <c r="E2999">
        <v>59259999</v>
      </c>
      <c r="F2999" t="s">
        <v>2607</v>
      </c>
      <c r="G2999" t="str">
        <f t="shared" si="92"/>
        <v>RNR</v>
      </c>
      <c r="H2999" t="s">
        <v>2668</v>
      </c>
      <c r="I2999" t="s">
        <v>20</v>
      </c>
      <c r="J2999" t="s">
        <v>77</v>
      </c>
      <c r="K2999" s="6">
        <v>0.03</v>
      </c>
      <c r="L2999" s="7">
        <f t="shared" si="93"/>
        <v>2E-3</v>
      </c>
      <c r="M2999" s="7">
        <v>3.0000000000000001E-3</v>
      </c>
      <c r="N2999">
        <v>17</v>
      </c>
      <c r="O2999" s="8">
        <v>30.245120785802055</v>
      </c>
      <c r="P2999" s="9">
        <v>30.245120785802055</v>
      </c>
      <c r="Q2999" s="9">
        <v>30.245120785802055</v>
      </c>
      <c r="R2999" s="9">
        <v>33.285241158213239</v>
      </c>
      <c r="S2999" s="9">
        <v>36.631366552338172</v>
      </c>
      <c r="T2999" s="9">
        <v>38.909767544853885</v>
      </c>
      <c r="U2999" s="9">
        <v>46.682383152234813</v>
      </c>
      <c r="V2999" s="9">
        <v>46.682383152234813</v>
      </c>
      <c r="W2999" s="9">
        <v>46.682383152234813</v>
      </c>
      <c r="X2999" s="9">
        <v>59.921474165477775</v>
      </c>
      <c r="Y2999" s="9">
        <v>59.921474165477775</v>
      </c>
      <c r="Z2999" s="9">
        <v>69.474106781959463</v>
      </c>
      <c r="AA2999" s="9">
        <v>69.474106781959463</v>
      </c>
      <c r="AB2999" s="9">
        <v>79.249204880977274</v>
      </c>
      <c r="AC2999" s="9">
        <v>79.249204880977274</v>
      </c>
      <c r="AD2999" s="9">
        <v>89.269015010784813</v>
      </c>
      <c r="AE2999" s="9">
        <v>99.558008374461224</v>
      </c>
      <c r="AF2999" s="9">
        <v>110.14310329539315</v>
      </c>
      <c r="AG2999" s="9">
        <v>110.14310329539315</v>
      </c>
      <c r="AH2999" s="9">
        <v>121.05390992930631</v>
      </c>
      <c r="AI2999" s="9">
        <v>133.14362481567588</v>
      </c>
      <c r="AJ2999" s="9">
        <v>3.0428788910505911</v>
      </c>
    </row>
    <row r="3000" spans="1:36" x14ac:dyDescent="0.25">
      <c r="A3000" t="s">
        <v>5411</v>
      </c>
      <c r="B3000" t="s">
        <v>16</v>
      </c>
      <c r="C3000" t="s">
        <v>17</v>
      </c>
      <c r="D3000">
        <v>59260000</v>
      </c>
      <c r="E3000">
        <v>59269999</v>
      </c>
      <c r="F3000" t="s">
        <v>2699</v>
      </c>
      <c r="G3000" t="str">
        <f t="shared" si="92"/>
        <v>RNR</v>
      </c>
      <c r="H3000" t="s">
        <v>2668</v>
      </c>
      <c r="I3000" t="s">
        <v>20</v>
      </c>
      <c r="J3000" t="s">
        <v>77</v>
      </c>
      <c r="K3000" s="6">
        <v>0.03</v>
      </c>
      <c r="L3000" s="7">
        <f t="shared" si="93"/>
        <v>2E-3</v>
      </c>
      <c r="M3000" s="7">
        <v>3.0000000000000001E-3</v>
      </c>
      <c r="N3000">
        <v>17</v>
      </c>
      <c r="O3000" s="8">
        <v>30.245120785802055</v>
      </c>
      <c r="P3000" s="9">
        <v>30.245120785802055</v>
      </c>
      <c r="Q3000" s="9">
        <v>30.245120785802055</v>
      </c>
      <c r="R3000" s="9">
        <v>33.285241158213239</v>
      </c>
      <c r="S3000" s="9">
        <v>36.631366552338172</v>
      </c>
      <c r="T3000" s="9">
        <v>38.909767544853885</v>
      </c>
      <c r="U3000" s="9">
        <v>46.682383152234813</v>
      </c>
      <c r="V3000" s="9">
        <v>46.682383152234813</v>
      </c>
      <c r="W3000" s="9">
        <v>46.682383152234813</v>
      </c>
      <c r="X3000" s="9">
        <v>59.921474165477775</v>
      </c>
      <c r="Y3000" s="9">
        <v>59.921474165477775</v>
      </c>
      <c r="Z3000" s="9">
        <v>69.474106781959463</v>
      </c>
      <c r="AA3000" s="9">
        <v>69.474106781959463</v>
      </c>
      <c r="AB3000" s="9">
        <v>79.249204880977274</v>
      </c>
      <c r="AC3000" s="9">
        <v>79.249204880977274</v>
      </c>
      <c r="AD3000" s="9">
        <v>89.269015010784813</v>
      </c>
      <c r="AE3000" s="9">
        <v>99.558008374461224</v>
      </c>
      <c r="AF3000" s="9">
        <v>110.14310329539315</v>
      </c>
      <c r="AG3000" s="9">
        <v>110.14310329539315</v>
      </c>
      <c r="AH3000" s="9">
        <v>121.05390992930631</v>
      </c>
      <c r="AI3000" s="9">
        <v>133.14362481567588</v>
      </c>
      <c r="AJ3000" s="9">
        <v>3.0428788910505911</v>
      </c>
    </row>
    <row r="3001" spans="1:36" x14ac:dyDescent="0.25">
      <c r="A3001" t="s">
        <v>5411</v>
      </c>
      <c r="B3001" t="s">
        <v>16</v>
      </c>
      <c r="C3001" t="s">
        <v>17</v>
      </c>
      <c r="D3001">
        <v>59270000</v>
      </c>
      <c r="E3001">
        <v>59274999</v>
      </c>
      <c r="F3001" t="s">
        <v>2652</v>
      </c>
      <c r="G3001" t="str">
        <f t="shared" si="92"/>
        <v>RNR</v>
      </c>
      <c r="H3001" t="s">
        <v>2668</v>
      </c>
      <c r="I3001" t="s">
        <v>20</v>
      </c>
      <c r="J3001" t="s">
        <v>77</v>
      </c>
      <c r="K3001" s="6">
        <v>0.03</v>
      </c>
      <c r="L3001" s="7">
        <f t="shared" si="93"/>
        <v>2E-3</v>
      </c>
      <c r="M3001" s="7">
        <v>3.0000000000000001E-3</v>
      </c>
      <c r="N3001">
        <v>17</v>
      </c>
      <c r="O3001" s="8">
        <v>30.245120785802055</v>
      </c>
      <c r="P3001" s="9">
        <v>30.245120785802055</v>
      </c>
      <c r="Q3001" s="9">
        <v>30.245120785802055</v>
      </c>
      <c r="R3001" s="9">
        <v>33.285241158213239</v>
      </c>
      <c r="S3001" s="9">
        <v>36.631366552338172</v>
      </c>
      <c r="T3001" s="9">
        <v>38.909767544853885</v>
      </c>
      <c r="U3001" s="9">
        <v>46.682383152234813</v>
      </c>
      <c r="V3001" s="9">
        <v>46.682383152234813</v>
      </c>
      <c r="W3001" s="9">
        <v>46.682383152234813</v>
      </c>
      <c r="X3001" s="9">
        <v>59.921474165477775</v>
      </c>
      <c r="Y3001" s="9">
        <v>59.921474165477775</v>
      </c>
      <c r="Z3001" s="9">
        <v>69.474106781959463</v>
      </c>
      <c r="AA3001" s="9">
        <v>69.474106781959463</v>
      </c>
      <c r="AB3001" s="9">
        <v>79.249204880977274</v>
      </c>
      <c r="AC3001" s="9">
        <v>79.249204880977274</v>
      </c>
      <c r="AD3001" s="9">
        <v>89.269015010784813</v>
      </c>
      <c r="AE3001" s="9">
        <v>99.558008374461224</v>
      </c>
      <c r="AF3001" s="9">
        <v>110.14310329539315</v>
      </c>
      <c r="AG3001" s="9">
        <v>110.14310329539315</v>
      </c>
      <c r="AH3001" s="9">
        <v>121.05390992930631</v>
      </c>
      <c r="AI3001" s="9">
        <v>133.14362481567588</v>
      </c>
      <c r="AJ3001" s="9">
        <v>3.0428788910505911</v>
      </c>
    </row>
    <row r="3002" spans="1:36" x14ac:dyDescent="0.25">
      <c r="A3002" t="s">
        <v>5411</v>
      </c>
      <c r="B3002" t="s">
        <v>16</v>
      </c>
      <c r="C3002" t="s">
        <v>17</v>
      </c>
      <c r="D3002">
        <v>59275000</v>
      </c>
      <c r="E3002">
        <v>59279999</v>
      </c>
      <c r="F3002" t="s">
        <v>2700</v>
      </c>
      <c r="G3002" t="str">
        <f t="shared" si="92"/>
        <v>RNR</v>
      </c>
      <c r="H3002" t="s">
        <v>2668</v>
      </c>
      <c r="I3002" t="s">
        <v>20</v>
      </c>
      <c r="J3002" t="s">
        <v>77</v>
      </c>
      <c r="K3002" s="6">
        <v>0.03</v>
      </c>
      <c r="L3002" s="7">
        <f t="shared" si="93"/>
        <v>2E-3</v>
      </c>
      <c r="M3002" s="7">
        <v>3.0000000000000001E-3</v>
      </c>
      <c r="N3002">
        <v>17</v>
      </c>
      <c r="O3002" s="8">
        <v>30.245120785802055</v>
      </c>
      <c r="P3002" s="9">
        <v>30.245120785802055</v>
      </c>
      <c r="Q3002" s="9">
        <v>30.245120785802055</v>
      </c>
      <c r="R3002" s="9">
        <v>33.285241158213239</v>
      </c>
      <c r="S3002" s="9">
        <v>36.631366552338172</v>
      </c>
      <c r="T3002" s="9">
        <v>38.909767544853885</v>
      </c>
      <c r="U3002" s="9">
        <v>46.682383152234813</v>
      </c>
      <c r="V3002" s="9">
        <v>46.682383152234813</v>
      </c>
      <c r="W3002" s="9">
        <v>46.682383152234813</v>
      </c>
      <c r="X3002" s="9">
        <v>59.921474165477775</v>
      </c>
      <c r="Y3002" s="9">
        <v>59.921474165477775</v>
      </c>
      <c r="Z3002" s="9">
        <v>69.474106781959463</v>
      </c>
      <c r="AA3002" s="9">
        <v>69.474106781959463</v>
      </c>
      <c r="AB3002" s="9">
        <v>79.249204880977274</v>
      </c>
      <c r="AC3002" s="9">
        <v>79.249204880977274</v>
      </c>
      <c r="AD3002" s="9">
        <v>89.269015010784813</v>
      </c>
      <c r="AE3002" s="9">
        <v>99.558008374461224</v>
      </c>
      <c r="AF3002" s="9">
        <v>110.14310329539315</v>
      </c>
      <c r="AG3002" s="9">
        <v>110.14310329539315</v>
      </c>
      <c r="AH3002" s="9">
        <v>121.05390992930631</v>
      </c>
      <c r="AI3002" s="9">
        <v>133.14362481567588</v>
      </c>
      <c r="AJ3002" s="9">
        <v>3.0428788910505911</v>
      </c>
    </row>
    <row r="3003" spans="1:36" x14ac:dyDescent="0.25">
      <c r="A3003" t="s">
        <v>5411</v>
      </c>
      <c r="B3003" t="s">
        <v>16</v>
      </c>
      <c r="C3003" t="s">
        <v>17</v>
      </c>
      <c r="D3003">
        <v>59280000</v>
      </c>
      <c r="E3003">
        <v>59289999</v>
      </c>
      <c r="F3003" t="s">
        <v>2701</v>
      </c>
      <c r="G3003" t="str">
        <f t="shared" si="92"/>
        <v>RNI</v>
      </c>
      <c r="H3003" t="s">
        <v>2668</v>
      </c>
      <c r="I3003" t="s">
        <v>20</v>
      </c>
      <c r="J3003" t="s">
        <v>62</v>
      </c>
      <c r="K3003" s="6">
        <v>0.03</v>
      </c>
      <c r="L3003" s="7">
        <f t="shared" si="93"/>
        <v>2E-3</v>
      </c>
      <c r="M3003" s="7">
        <v>3.0000000000000001E-3</v>
      </c>
      <c r="N3003">
        <v>12</v>
      </c>
      <c r="O3003" s="8">
        <v>18.205590499726043</v>
      </c>
      <c r="P3003" s="9">
        <v>18.205590499726043</v>
      </c>
      <c r="Q3003" s="9">
        <v>18.205590499726043</v>
      </c>
      <c r="R3003" s="9">
        <v>19.656130720470692</v>
      </c>
      <c r="S3003" s="9">
        <v>21.784711929869875</v>
      </c>
      <c r="T3003" s="9">
        <v>23.986461557775435</v>
      </c>
      <c r="U3003" s="9">
        <v>29.614947259276565</v>
      </c>
      <c r="V3003" s="9">
        <v>29.614947259276565</v>
      </c>
      <c r="W3003" s="9">
        <v>29.614947259276565</v>
      </c>
      <c r="X3003" s="9">
        <v>35.909716486522967</v>
      </c>
      <c r="Y3003" s="9">
        <v>35.909716486522967</v>
      </c>
      <c r="Z3003" s="9">
        <v>42.384355605841172</v>
      </c>
      <c r="AA3003" s="9">
        <v>42.384355605841172</v>
      </c>
      <c r="AB3003" s="9">
        <v>49.095231323943281</v>
      </c>
      <c r="AC3003" s="9">
        <v>49.095231323943281</v>
      </c>
      <c r="AD3003" s="9">
        <v>55.946958648005747</v>
      </c>
      <c r="AE3003" s="9">
        <v>62.957655224364999</v>
      </c>
      <c r="AF3003" s="9">
        <v>70.147830690870194</v>
      </c>
      <c r="AG3003" s="9">
        <v>70.147830690870194</v>
      </c>
      <c r="AH3003" s="9">
        <v>77.069094817262553</v>
      </c>
      <c r="AI3003" s="9">
        <v>84.510430321466572</v>
      </c>
      <c r="AJ3003" s="9">
        <v>3.0428788910505911</v>
      </c>
    </row>
    <row r="3004" spans="1:36" x14ac:dyDescent="0.25">
      <c r="A3004" t="s">
        <v>5411</v>
      </c>
      <c r="B3004" t="s">
        <v>16</v>
      </c>
      <c r="C3004" t="s">
        <v>17</v>
      </c>
      <c r="D3004">
        <v>59290000</v>
      </c>
      <c r="E3004">
        <v>59299999</v>
      </c>
      <c r="F3004" t="s">
        <v>2702</v>
      </c>
      <c r="G3004" t="str">
        <f t="shared" si="92"/>
        <v>RNI</v>
      </c>
      <c r="H3004" t="s">
        <v>2668</v>
      </c>
      <c r="I3004" t="s">
        <v>20</v>
      </c>
      <c r="J3004" t="s">
        <v>62</v>
      </c>
      <c r="K3004" s="6">
        <v>0.03</v>
      </c>
      <c r="L3004" s="7">
        <f t="shared" si="93"/>
        <v>2E-3</v>
      </c>
      <c r="M3004" s="7">
        <v>3.0000000000000001E-3</v>
      </c>
      <c r="N3004">
        <v>11</v>
      </c>
      <c r="O3004" s="8">
        <v>18.205590499726043</v>
      </c>
      <c r="P3004" s="9">
        <v>18.205590499726043</v>
      </c>
      <c r="Q3004" s="9">
        <v>18.205590499726043</v>
      </c>
      <c r="R3004" s="9">
        <v>19.656130720470692</v>
      </c>
      <c r="S3004" s="9">
        <v>21.784711929869875</v>
      </c>
      <c r="T3004" s="9">
        <v>23.986461557775435</v>
      </c>
      <c r="U3004" s="9">
        <v>29.614947259276565</v>
      </c>
      <c r="V3004" s="9">
        <v>29.614947259276565</v>
      </c>
      <c r="W3004" s="9">
        <v>29.614947259276565</v>
      </c>
      <c r="X3004" s="9">
        <v>35.909716486522967</v>
      </c>
      <c r="Y3004" s="9">
        <v>35.909716486522967</v>
      </c>
      <c r="Z3004" s="9">
        <v>42.384355605841172</v>
      </c>
      <c r="AA3004" s="9">
        <v>42.384355605841172</v>
      </c>
      <c r="AB3004" s="9">
        <v>49.095231323943281</v>
      </c>
      <c r="AC3004" s="9">
        <v>49.095231323943281</v>
      </c>
      <c r="AD3004" s="9">
        <v>55.946958648005747</v>
      </c>
      <c r="AE3004" s="9">
        <v>62.957655224364999</v>
      </c>
      <c r="AF3004" s="9">
        <v>70.147830690870194</v>
      </c>
      <c r="AG3004" s="9">
        <v>70.147830690870194</v>
      </c>
      <c r="AH3004" s="9">
        <v>77.069094817262553</v>
      </c>
      <c r="AI3004" s="9">
        <v>84.510430321466572</v>
      </c>
      <c r="AJ3004" s="9">
        <v>3.0428788910505911</v>
      </c>
    </row>
    <row r="3005" spans="1:36" x14ac:dyDescent="0.25">
      <c r="A3005" t="s">
        <v>5411</v>
      </c>
      <c r="B3005" t="s">
        <v>16</v>
      </c>
      <c r="C3005" t="s">
        <v>17</v>
      </c>
      <c r="D3005">
        <v>59300000</v>
      </c>
      <c r="E3005">
        <v>59309999</v>
      </c>
      <c r="F3005" t="s">
        <v>2703</v>
      </c>
      <c r="G3005" t="str">
        <f t="shared" si="92"/>
        <v>RNR</v>
      </c>
      <c r="H3005" t="s">
        <v>2668</v>
      </c>
      <c r="I3005" t="s">
        <v>20</v>
      </c>
      <c r="J3005" t="s">
        <v>77</v>
      </c>
      <c r="K3005" s="6">
        <v>0.03</v>
      </c>
      <c r="L3005" s="7">
        <f t="shared" si="93"/>
        <v>2E-3</v>
      </c>
      <c r="M3005" s="7">
        <v>3.0000000000000001E-3</v>
      </c>
      <c r="N3005">
        <v>17</v>
      </c>
      <c r="O3005" s="8">
        <v>30.245120785802055</v>
      </c>
      <c r="P3005" s="9">
        <v>30.245120785802055</v>
      </c>
      <c r="Q3005" s="9">
        <v>30.245120785802055</v>
      </c>
      <c r="R3005" s="9">
        <v>33.285241158213239</v>
      </c>
      <c r="S3005" s="9">
        <v>36.631366552338172</v>
      </c>
      <c r="T3005" s="9">
        <v>38.909767544853885</v>
      </c>
      <c r="U3005" s="9">
        <v>46.682383152234813</v>
      </c>
      <c r="V3005" s="9">
        <v>46.682383152234813</v>
      </c>
      <c r="W3005" s="9">
        <v>46.682383152234813</v>
      </c>
      <c r="X3005" s="9">
        <v>59.921474165477775</v>
      </c>
      <c r="Y3005" s="9">
        <v>59.921474165477775</v>
      </c>
      <c r="Z3005" s="9">
        <v>69.474106781959463</v>
      </c>
      <c r="AA3005" s="9">
        <v>69.474106781959463</v>
      </c>
      <c r="AB3005" s="9">
        <v>79.249204880977274</v>
      </c>
      <c r="AC3005" s="9">
        <v>79.249204880977274</v>
      </c>
      <c r="AD3005" s="9">
        <v>89.269015010784813</v>
      </c>
      <c r="AE3005" s="9">
        <v>99.558008374461224</v>
      </c>
      <c r="AF3005" s="9">
        <v>110.14310329539315</v>
      </c>
      <c r="AG3005" s="9">
        <v>110.14310329539315</v>
      </c>
      <c r="AH3005" s="9">
        <v>121.05390992930631</v>
      </c>
      <c r="AI3005" s="9">
        <v>133.14362481567588</v>
      </c>
      <c r="AJ3005" s="9">
        <v>3.0428788910505911</v>
      </c>
    </row>
    <row r="3006" spans="1:36" x14ac:dyDescent="0.25">
      <c r="A3006" t="s">
        <v>5411</v>
      </c>
      <c r="B3006" t="s">
        <v>16</v>
      </c>
      <c r="C3006" t="s">
        <v>17</v>
      </c>
      <c r="D3006">
        <v>59310000</v>
      </c>
      <c r="E3006">
        <v>59314999</v>
      </c>
      <c r="F3006" t="s">
        <v>2704</v>
      </c>
      <c r="G3006" t="str">
        <f t="shared" si="92"/>
        <v>RNR</v>
      </c>
      <c r="H3006" t="s">
        <v>2668</v>
      </c>
      <c r="I3006" t="s">
        <v>20</v>
      </c>
      <c r="J3006" t="s">
        <v>77</v>
      </c>
      <c r="K3006" s="6">
        <v>0.03</v>
      </c>
      <c r="L3006" s="7">
        <f t="shared" si="93"/>
        <v>2E-3</v>
      </c>
      <c r="M3006" s="7">
        <v>3.0000000000000001E-3</v>
      </c>
      <c r="N3006">
        <v>17</v>
      </c>
      <c r="O3006" s="8">
        <v>30.245120785802055</v>
      </c>
      <c r="P3006" s="9">
        <v>30.245120785802055</v>
      </c>
      <c r="Q3006" s="9">
        <v>30.245120785802055</v>
      </c>
      <c r="R3006" s="9">
        <v>33.285241158213239</v>
      </c>
      <c r="S3006" s="9">
        <v>36.631366552338172</v>
      </c>
      <c r="T3006" s="9">
        <v>38.909767544853885</v>
      </c>
      <c r="U3006" s="9">
        <v>46.682383152234813</v>
      </c>
      <c r="V3006" s="9">
        <v>46.682383152234813</v>
      </c>
      <c r="W3006" s="9">
        <v>46.682383152234813</v>
      </c>
      <c r="X3006" s="9">
        <v>59.921474165477775</v>
      </c>
      <c r="Y3006" s="9">
        <v>59.921474165477775</v>
      </c>
      <c r="Z3006" s="9">
        <v>69.474106781959463</v>
      </c>
      <c r="AA3006" s="9">
        <v>69.474106781959463</v>
      </c>
      <c r="AB3006" s="9">
        <v>79.249204880977274</v>
      </c>
      <c r="AC3006" s="9">
        <v>79.249204880977274</v>
      </c>
      <c r="AD3006" s="9">
        <v>89.269015010784813</v>
      </c>
      <c r="AE3006" s="9">
        <v>99.558008374461224</v>
      </c>
      <c r="AF3006" s="9">
        <v>110.14310329539315</v>
      </c>
      <c r="AG3006" s="9">
        <v>110.14310329539315</v>
      </c>
      <c r="AH3006" s="9">
        <v>121.05390992930631</v>
      </c>
      <c r="AI3006" s="9">
        <v>133.14362481567588</v>
      </c>
      <c r="AJ3006" s="9">
        <v>3.0428788910505911</v>
      </c>
    </row>
    <row r="3007" spans="1:36" x14ac:dyDescent="0.25">
      <c r="A3007" t="s">
        <v>5411</v>
      </c>
      <c r="B3007" t="s">
        <v>16</v>
      </c>
      <c r="C3007" t="s">
        <v>17</v>
      </c>
      <c r="D3007">
        <v>59315000</v>
      </c>
      <c r="E3007">
        <v>59317999</v>
      </c>
      <c r="F3007" t="s">
        <v>2705</v>
      </c>
      <c r="G3007" t="str">
        <f t="shared" si="92"/>
        <v>RNR</v>
      </c>
      <c r="H3007" t="s">
        <v>2668</v>
      </c>
      <c r="I3007" t="s">
        <v>20</v>
      </c>
      <c r="J3007" t="s">
        <v>77</v>
      </c>
      <c r="K3007" s="6">
        <v>0.03</v>
      </c>
      <c r="L3007" s="7">
        <f t="shared" si="93"/>
        <v>2E-3</v>
      </c>
      <c r="M3007" s="7">
        <v>3.0000000000000001E-3</v>
      </c>
      <c r="N3007">
        <v>17</v>
      </c>
      <c r="O3007" s="8">
        <v>30.245120785802055</v>
      </c>
      <c r="P3007" s="9">
        <v>30.245120785802055</v>
      </c>
      <c r="Q3007" s="9">
        <v>30.245120785802055</v>
      </c>
      <c r="R3007" s="9">
        <v>33.285241158213239</v>
      </c>
      <c r="S3007" s="9">
        <v>36.631366552338172</v>
      </c>
      <c r="T3007" s="9">
        <v>38.909767544853885</v>
      </c>
      <c r="U3007" s="9">
        <v>46.682383152234813</v>
      </c>
      <c r="V3007" s="9">
        <v>46.682383152234813</v>
      </c>
      <c r="W3007" s="9">
        <v>46.682383152234813</v>
      </c>
      <c r="X3007" s="9">
        <v>59.921474165477775</v>
      </c>
      <c r="Y3007" s="9">
        <v>59.921474165477775</v>
      </c>
      <c r="Z3007" s="9">
        <v>69.474106781959463</v>
      </c>
      <c r="AA3007" s="9">
        <v>69.474106781959463</v>
      </c>
      <c r="AB3007" s="9">
        <v>79.249204880977274</v>
      </c>
      <c r="AC3007" s="9">
        <v>79.249204880977274</v>
      </c>
      <c r="AD3007" s="9">
        <v>89.269015010784813</v>
      </c>
      <c r="AE3007" s="9">
        <v>99.558008374461224</v>
      </c>
      <c r="AF3007" s="9">
        <v>110.14310329539315</v>
      </c>
      <c r="AG3007" s="9">
        <v>110.14310329539315</v>
      </c>
      <c r="AH3007" s="9">
        <v>121.05390992930631</v>
      </c>
      <c r="AI3007" s="9">
        <v>133.14362481567588</v>
      </c>
      <c r="AJ3007" s="9">
        <v>3.0428788910505911</v>
      </c>
    </row>
    <row r="3008" spans="1:36" x14ac:dyDescent="0.25">
      <c r="A3008" t="s">
        <v>5411</v>
      </c>
      <c r="B3008" t="s">
        <v>16</v>
      </c>
      <c r="C3008" t="s">
        <v>17</v>
      </c>
      <c r="D3008">
        <v>59318000</v>
      </c>
      <c r="E3008">
        <v>59319999</v>
      </c>
      <c r="F3008" t="s">
        <v>2706</v>
      </c>
      <c r="G3008" t="str">
        <f t="shared" si="92"/>
        <v>RNR</v>
      </c>
      <c r="H3008" t="s">
        <v>2668</v>
      </c>
      <c r="I3008" t="s">
        <v>20</v>
      </c>
      <c r="J3008" t="s">
        <v>77</v>
      </c>
      <c r="K3008" s="6">
        <v>0.03</v>
      </c>
      <c r="L3008" s="7">
        <f t="shared" si="93"/>
        <v>2E-3</v>
      </c>
      <c r="M3008" s="7">
        <v>3.0000000000000001E-3</v>
      </c>
      <c r="N3008">
        <v>17</v>
      </c>
      <c r="O3008" s="8">
        <v>30.245120785802055</v>
      </c>
      <c r="P3008" s="9">
        <v>30.245120785802055</v>
      </c>
      <c r="Q3008" s="9">
        <v>30.245120785802055</v>
      </c>
      <c r="R3008" s="9">
        <v>33.285241158213239</v>
      </c>
      <c r="S3008" s="9">
        <v>36.631366552338172</v>
      </c>
      <c r="T3008" s="9">
        <v>38.909767544853885</v>
      </c>
      <c r="U3008" s="9">
        <v>46.682383152234813</v>
      </c>
      <c r="V3008" s="9">
        <v>46.682383152234813</v>
      </c>
      <c r="W3008" s="9">
        <v>46.682383152234813</v>
      </c>
      <c r="X3008" s="9">
        <v>59.921474165477775</v>
      </c>
      <c r="Y3008" s="9">
        <v>59.921474165477775</v>
      </c>
      <c r="Z3008" s="9">
        <v>69.474106781959463</v>
      </c>
      <c r="AA3008" s="9">
        <v>69.474106781959463</v>
      </c>
      <c r="AB3008" s="9">
        <v>79.249204880977274</v>
      </c>
      <c r="AC3008" s="9">
        <v>79.249204880977274</v>
      </c>
      <c r="AD3008" s="9">
        <v>89.269015010784813</v>
      </c>
      <c r="AE3008" s="9">
        <v>99.558008374461224</v>
      </c>
      <c r="AF3008" s="9">
        <v>110.14310329539315</v>
      </c>
      <c r="AG3008" s="9">
        <v>110.14310329539315</v>
      </c>
      <c r="AH3008" s="9">
        <v>121.05390992930631</v>
      </c>
      <c r="AI3008" s="9">
        <v>133.14362481567588</v>
      </c>
      <c r="AJ3008" s="9">
        <v>3.0428788910505911</v>
      </c>
    </row>
    <row r="3009" spans="1:36" x14ac:dyDescent="0.25">
      <c r="A3009" t="s">
        <v>5411</v>
      </c>
      <c r="B3009" t="s">
        <v>16</v>
      </c>
      <c r="C3009" t="s">
        <v>17</v>
      </c>
      <c r="D3009">
        <v>59320000</v>
      </c>
      <c r="E3009">
        <v>59323999</v>
      </c>
      <c r="F3009" t="s">
        <v>2707</v>
      </c>
      <c r="G3009" t="str">
        <f t="shared" si="92"/>
        <v>RNR</v>
      </c>
      <c r="H3009" t="s">
        <v>2668</v>
      </c>
      <c r="I3009" t="s">
        <v>20</v>
      </c>
      <c r="J3009" t="s">
        <v>77</v>
      </c>
      <c r="K3009" s="6">
        <v>0.03</v>
      </c>
      <c r="L3009" s="7">
        <f t="shared" si="93"/>
        <v>2E-3</v>
      </c>
      <c r="M3009" s="7">
        <v>3.0000000000000001E-3</v>
      </c>
      <c r="N3009">
        <v>17</v>
      </c>
      <c r="O3009" s="8">
        <v>30.245120785802055</v>
      </c>
      <c r="P3009" s="9">
        <v>30.245120785802055</v>
      </c>
      <c r="Q3009" s="9">
        <v>30.245120785802055</v>
      </c>
      <c r="R3009" s="9">
        <v>33.285241158213239</v>
      </c>
      <c r="S3009" s="9">
        <v>36.631366552338172</v>
      </c>
      <c r="T3009" s="9">
        <v>38.909767544853885</v>
      </c>
      <c r="U3009" s="9">
        <v>46.682383152234813</v>
      </c>
      <c r="V3009" s="9">
        <v>46.682383152234813</v>
      </c>
      <c r="W3009" s="9">
        <v>46.682383152234813</v>
      </c>
      <c r="X3009" s="9">
        <v>59.921474165477775</v>
      </c>
      <c r="Y3009" s="9">
        <v>59.921474165477775</v>
      </c>
      <c r="Z3009" s="9">
        <v>69.474106781959463</v>
      </c>
      <c r="AA3009" s="9">
        <v>69.474106781959463</v>
      </c>
      <c r="AB3009" s="9">
        <v>79.249204880977274</v>
      </c>
      <c r="AC3009" s="9">
        <v>79.249204880977274</v>
      </c>
      <c r="AD3009" s="9">
        <v>89.269015010784813</v>
      </c>
      <c r="AE3009" s="9">
        <v>99.558008374461224</v>
      </c>
      <c r="AF3009" s="9">
        <v>110.14310329539315</v>
      </c>
      <c r="AG3009" s="9">
        <v>110.14310329539315</v>
      </c>
      <c r="AH3009" s="9">
        <v>121.05390992930631</v>
      </c>
      <c r="AI3009" s="9">
        <v>133.14362481567588</v>
      </c>
      <c r="AJ3009" s="9">
        <v>3.0428788910505911</v>
      </c>
    </row>
    <row r="3010" spans="1:36" x14ac:dyDescent="0.25">
      <c r="A3010" t="s">
        <v>5411</v>
      </c>
      <c r="B3010" t="s">
        <v>16</v>
      </c>
      <c r="C3010" t="s">
        <v>17</v>
      </c>
      <c r="D3010">
        <v>59324000</v>
      </c>
      <c r="E3010">
        <v>59326999</v>
      </c>
      <c r="F3010" t="s">
        <v>2708</v>
      </c>
      <c r="G3010" t="str">
        <f t="shared" si="92"/>
        <v>RNR</v>
      </c>
      <c r="H3010" t="s">
        <v>2668</v>
      </c>
      <c r="I3010" t="s">
        <v>20</v>
      </c>
      <c r="J3010" t="s">
        <v>77</v>
      </c>
      <c r="K3010" s="6">
        <v>0.03</v>
      </c>
      <c r="L3010" s="7">
        <f t="shared" si="93"/>
        <v>2E-3</v>
      </c>
      <c r="M3010" s="7">
        <v>3.0000000000000001E-3</v>
      </c>
      <c r="N3010">
        <v>17</v>
      </c>
      <c r="O3010" s="8">
        <v>30.245120785802055</v>
      </c>
      <c r="P3010" s="9">
        <v>30.245120785802055</v>
      </c>
      <c r="Q3010" s="9">
        <v>30.245120785802055</v>
      </c>
      <c r="R3010" s="9">
        <v>33.285241158213239</v>
      </c>
      <c r="S3010" s="9">
        <v>36.631366552338172</v>
      </c>
      <c r="T3010" s="9">
        <v>38.909767544853885</v>
      </c>
      <c r="U3010" s="9">
        <v>46.682383152234813</v>
      </c>
      <c r="V3010" s="9">
        <v>46.682383152234813</v>
      </c>
      <c r="W3010" s="9">
        <v>46.682383152234813</v>
      </c>
      <c r="X3010" s="9">
        <v>59.921474165477775</v>
      </c>
      <c r="Y3010" s="9">
        <v>59.921474165477775</v>
      </c>
      <c r="Z3010" s="9">
        <v>69.474106781959463</v>
      </c>
      <c r="AA3010" s="9">
        <v>69.474106781959463</v>
      </c>
      <c r="AB3010" s="9">
        <v>79.249204880977274</v>
      </c>
      <c r="AC3010" s="9">
        <v>79.249204880977274</v>
      </c>
      <c r="AD3010" s="9">
        <v>89.269015010784813</v>
      </c>
      <c r="AE3010" s="9">
        <v>99.558008374461224</v>
      </c>
      <c r="AF3010" s="9">
        <v>110.14310329539315</v>
      </c>
      <c r="AG3010" s="9">
        <v>110.14310329539315</v>
      </c>
      <c r="AH3010" s="9">
        <v>121.05390992930631</v>
      </c>
      <c r="AI3010" s="9">
        <v>133.14362481567588</v>
      </c>
      <c r="AJ3010" s="9">
        <v>3.0428788910505911</v>
      </c>
    </row>
    <row r="3011" spans="1:36" x14ac:dyDescent="0.25">
      <c r="A3011" t="s">
        <v>5411</v>
      </c>
      <c r="B3011" t="s">
        <v>16</v>
      </c>
      <c r="C3011" t="s">
        <v>17</v>
      </c>
      <c r="D3011">
        <v>59327000</v>
      </c>
      <c r="E3011">
        <v>59329999</v>
      </c>
      <c r="F3011" t="s">
        <v>2709</v>
      </c>
      <c r="G3011" t="str">
        <f t="shared" si="92"/>
        <v>RNR</v>
      </c>
      <c r="H3011" t="s">
        <v>2668</v>
      </c>
      <c r="I3011" t="s">
        <v>20</v>
      </c>
      <c r="J3011" t="s">
        <v>77</v>
      </c>
      <c r="K3011" s="6">
        <v>0.03</v>
      </c>
      <c r="L3011" s="7">
        <f t="shared" si="93"/>
        <v>2E-3</v>
      </c>
      <c r="M3011" s="7">
        <v>3.0000000000000001E-3</v>
      </c>
      <c r="N3011">
        <v>17</v>
      </c>
      <c r="O3011" s="8">
        <v>30.245120785802055</v>
      </c>
      <c r="P3011" s="9">
        <v>30.245120785802055</v>
      </c>
      <c r="Q3011" s="9">
        <v>30.245120785802055</v>
      </c>
      <c r="R3011" s="9">
        <v>33.285241158213239</v>
      </c>
      <c r="S3011" s="9">
        <v>36.631366552338172</v>
      </c>
      <c r="T3011" s="9">
        <v>38.909767544853885</v>
      </c>
      <c r="U3011" s="9">
        <v>46.682383152234813</v>
      </c>
      <c r="V3011" s="9">
        <v>46.682383152234813</v>
      </c>
      <c r="W3011" s="9">
        <v>46.682383152234813</v>
      </c>
      <c r="X3011" s="9">
        <v>59.921474165477775</v>
      </c>
      <c r="Y3011" s="9">
        <v>59.921474165477775</v>
      </c>
      <c r="Z3011" s="9">
        <v>69.474106781959463</v>
      </c>
      <c r="AA3011" s="9">
        <v>69.474106781959463</v>
      </c>
      <c r="AB3011" s="9">
        <v>79.249204880977274</v>
      </c>
      <c r="AC3011" s="9">
        <v>79.249204880977274</v>
      </c>
      <c r="AD3011" s="9">
        <v>89.269015010784813</v>
      </c>
      <c r="AE3011" s="9">
        <v>99.558008374461224</v>
      </c>
      <c r="AF3011" s="9">
        <v>110.14310329539315</v>
      </c>
      <c r="AG3011" s="9">
        <v>110.14310329539315</v>
      </c>
      <c r="AH3011" s="9">
        <v>121.05390992930631</v>
      </c>
      <c r="AI3011" s="9">
        <v>133.14362481567588</v>
      </c>
      <c r="AJ3011" s="9">
        <v>3.0428788910505911</v>
      </c>
    </row>
    <row r="3012" spans="1:36" x14ac:dyDescent="0.25">
      <c r="A3012" t="s">
        <v>5411</v>
      </c>
      <c r="B3012" t="s">
        <v>16</v>
      </c>
      <c r="C3012" t="s">
        <v>17</v>
      </c>
      <c r="D3012">
        <v>59330000</v>
      </c>
      <c r="E3012">
        <v>59334999</v>
      </c>
      <c r="F3012" t="s">
        <v>2710</v>
      </c>
      <c r="G3012" t="str">
        <f t="shared" ref="G3012:G3075" si="94">H3012&amp;IF(J3012="CAPITAL","C",IF(J3012="INTERIOR","I",IF(J3012="INTERIOR II","I II","R")))</f>
        <v>RNR</v>
      </c>
      <c r="H3012" t="s">
        <v>2668</v>
      </c>
      <c r="I3012" t="s">
        <v>20</v>
      </c>
      <c r="J3012" t="s">
        <v>77</v>
      </c>
      <c r="K3012" s="6">
        <v>0.03</v>
      </c>
      <c r="L3012" s="7">
        <f t="shared" ref="L3012:L3075" si="95">IF(I3012="(0) Não",0.2%,3%)</f>
        <v>2E-3</v>
      </c>
      <c r="M3012" s="7">
        <v>3.0000000000000001E-3</v>
      </c>
      <c r="N3012">
        <v>17</v>
      </c>
      <c r="O3012" s="8">
        <v>30.245120785802055</v>
      </c>
      <c r="P3012" s="9">
        <v>30.245120785802055</v>
      </c>
      <c r="Q3012" s="9">
        <v>30.245120785802055</v>
      </c>
      <c r="R3012" s="9">
        <v>33.285241158213239</v>
      </c>
      <c r="S3012" s="9">
        <v>36.631366552338172</v>
      </c>
      <c r="T3012" s="9">
        <v>38.909767544853885</v>
      </c>
      <c r="U3012" s="9">
        <v>46.682383152234813</v>
      </c>
      <c r="V3012" s="9">
        <v>46.682383152234813</v>
      </c>
      <c r="W3012" s="9">
        <v>46.682383152234813</v>
      </c>
      <c r="X3012" s="9">
        <v>59.921474165477775</v>
      </c>
      <c r="Y3012" s="9">
        <v>59.921474165477775</v>
      </c>
      <c r="Z3012" s="9">
        <v>69.474106781959463</v>
      </c>
      <c r="AA3012" s="9">
        <v>69.474106781959463</v>
      </c>
      <c r="AB3012" s="9">
        <v>79.249204880977274</v>
      </c>
      <c r="AC3012" s="9">
        <v>79.249204880977274</v>
      </c>
      <c r="AD3012" s="9">
        <v>89.269015010784813</v>
      </c>
      <c r="AE3012" s="9">
        <v>99.558008374461224</v>
      </c>
      <c r="AF3012" s="9">
        <v>110.14310329539315</v>
      </c>
      <c r="AG3012" s="9">
        <v>110.14310329539315</v>
      </c>
      <c r="AH3012" s="9">
        <v>121.05390992930631</v>
      </c>
      <c r="AI3012" s="9">
        <v>133.14362481567588</v>
      </c>
      <c r="AJ3012" s="9">
        <v>3.0428788910505911</v>
      </c>
    </row>
    <row r="3013" spans="1:36" x14ac:dyDescent="0.25">
      <c r="A3013" t="s">
        <v>5411</v>
      </c>
      <c r="B3013" t="s">
        <v>16</v>
      </c>
      <c r="C3013" t="s">
        <v>17</v>
      </c>
      <c r="D3013">
        <v>59335000</v>
      </c>
      <c r="E3013">
        <v>59337999</v>
      </c>
      <c r="F3013" t="s">
        <v>2711</v>
      </c>
      <c r="G3013" t="str">
        <f t="shared" si="94"/>
        <v>RNR</v>
      </c>
      <c r="H3013" t="s">
        <v>2668</v>
      </c>
      <c r="I3013" t="s">
        <v>20</v>
      </c>
      <c r="J3013" t="s">
        <v>77</v>
      </c>
      <c r="K3013" s="6">
        <v>0.03</v>
      </c>
      <c r="L3013" s="7">
        <f t="shared" si="95"/>
        <v>2E-3</v>
      </c>
      <c r="M3013" s="7">
        <v>3.0000000000000001E-3</v>
      </c>
      <c r="N3013">
        <v>17</v>
      </c>
      <c r="O3013" s="8">
        <v>30.245120785802055</v>
      </c>
      <c r="P3013" s="9">
        <v>30.245120785802055</v>
      </c>
      <c r="Q3013" s="9">
        <v>30.245120785802055</v>
      </c>
      <c r="R3013" s="9">
        <v>33.285241158213239</v>
      </c>
      <c r="S3013" s="9">
        <v>36.631366552338172</v>
      </c>
      <c r="T3013" s="9">
        <v>38.909767544853885</v>
      </c>
      <c r="U3013" s="9">
        <v>46.682383152234813</v>
      </c>
      <c r="V3013" s="9">
        <v>46.682383152234813</v>
      </c>
      <c r="W3013" s="9">
        <v>46.682383152234813</v>
      </c>
      <c r="X3013" s="9">
        <v>59.921474165477775</v>
      </c>
      <c r="Y3013" s="9">
        <v>59.921474165477775</v>
      </c>
      <c r="Z3013" s="9">
        <v>69.474106781959463</v>
      </c>
      <c r="AA3013" s="9">
        <v>69.474106781959463</v>
      </c>
      <c r="AB3013" s="9">
        <v>79.249204880977274</v>
      </c>
      <c r="AC3013" s="9">
        <v>79.249204880977274</v>
      </c>
      <c r="AD3013" s="9">
        <v>89.269015010784813</v>
      </c>
      <c r="AE3013" s="9">
        <v>99.558008374461224</v>
      </c>
      <c r="AF3013" s="9">
        <v>110.14310329539315</v>
      </c>
      <c r="AG3013" s="9">
        <v>110.14310329539315</v>
      </c>
      <c r="AH3013" s="9">
        <v>121.05390992930631</v>
      </c>
      <c r="AI3013" s="9">
        <v>133.14362481567588</v>
      </c>
      <c r="AJ3013" s="9">
        <v>3.0428788910505911</v>
      </c>
    </row>
    <row r="3014" spans="1:36" x14ac:dyDescent="0.25">
      <c r="A3014" t="s">
        <v>5411</v>
      </c>
      <c r="B3014" t="s">
        <v>16</v>
      </c>
      <c r="C3014" t="s">
        <v>17</v>
      </c>
      <c r="D3014">
        <v>59338000</v>
      </c>
      <c r="E3014">
        <v>59339999</v>
      </c>
      <c r="F3014" t="s">
        <v>2712</v>
      </c>
      <c r="G3014" t="str">
        <f t="shared" si="94"/>
        <v>RNR</v>
      </c>
      <c r="H3014" t="s">
        <v>2668</v>
      </c>
      <c r="I3014" t="s">
        <v>20</v>
      </c>
      <c r="J3014" t="s">
        <v>77</v>
      </c>
      <c r="K3014" s="6">
        <v>0.03</v>
      </c>
      <c r="L3014" s="7">
        <f t="shared" si="95"/>
        <v>2E-3</v>
      </c>
      <c r="M3014" s="7">
        <v>3.0000000000000001E-3</v>
      </c>
      <c r="N3014">
        <v>17</v>
      </c>
      <c r="O3014" s="8">
        <v>30.245120785802055</v>
      </c>
      <c r="P3014" s="9">
        <v>30.245120785802055</v>
      </c>
      <c r="Q3014" s="9">
        <v>30.245120785802055</v>
      </c>
      <c r="R3014" s="9">
        <v>33.285241158213239</v>
      </c>
      <c r="S3014" s="9">
        <v>36.631366552338172</v>
      </c>
      <c r="T3014" s="9">
        <v>38.909767544853885</v>
      </c>
      <c r="U3014" s="9">
        <v>46.682383152234813</v>
      </c>
      <c r="V3014" s="9">
        <v>46.682383152234813</v>
      </c>
      <c r="W3014" s="9">
        <v>46.682383152234813</v>
      </c>
      <c r="X3014" s="9">
        <v>59.921474165477775</v>
      </c>
      <c r="Y3014" s="9">
        <v>59.921474165477775</v>
      </c>
      <c r="Z3014" s="9">
        <v>69.474106781959463</v>
      </c>
      <c r="AA3014" s="9">
        <v>69.474106781959463</v>
      </c>
      <c r="AB3014" s="9">
        <v>79.249204880977274</v>
      </c>
      <c r="AC3014" s="9">
        <v>79.249204880977274</v>
      </c>
      <c r="AD3014" s="9">
        <v>89.269015010784813</v>
      </c>
      <c r="AE3014" s="9">
        <v>99.558008374461224</v>
      </c>
      <c r="AF3014" s="9">
        <v>110.14310329539315</v>
      </c>
      <c r="AG3014" s="9">
        <v>110.14310329539315</v>
      </c>
      <c r="AH3014" s="9">
        <v>121.05390992930631</v>
      </c>
      <c r="AI3014" s="9">
        <v>133.14362481567588</v>
      </c>
      <c r="AJ3014" s="9">
        <v>3.0428788910505911</v>
      </c>
    </row>
    <row r="3015" spans="1:36" x14ac:dyDescent="0.25">
      <c r="A3015" t="s">
        <v>5411</v>
      </c>
      <c r="B3015" t="s">
        <v>16</v>
      </c>
      <c r="C3015" t="s">
        <v>17</v>
      </c>
      <c r="D3015">
        <v>59340000</v>
      </c>
      <c r="E3015">
        <v>59342999</v>
      </c>
      <c r="F3015" t="s">
        <v>65</v>
      </c>
      <c r="G3015" t="str">
        <f t="shared" si="94"/>
        <v>RNR</v>
      </c>
      <c r="H3015" t="s">
        <v>2668</v>
      </c>
      <c r="I3015" t="s">
        <v>20</v>
      </c>
      <c r="J3015" t="s">
        <v>77</v>
      </c>
      <c r="K3015" s="6">
        <v>0.03</v>
      </c>
      <c r="L3015" s="7">
        <f t="shared" si="95"/>
        <v>2E-3</v>
      </c>
      <c r="M3015" s="7">
        <v>3.0000000000000001E-3</v>
      </c>
      <c r="N3015">
        <v>17</v>
      </c>
      <c r="O3015" s="8">
        <v>30.245120785802055</v>
      </c>
      <c r="P3015" s="9">
        <v>30.245120785802055</v>
      </c>
      <c r="Q3015" s="9">
        <v>30.245120785802055</v>
      </c>
      <c r="R3015" s="9">
        <v>33.285241158213239</v>
      </c>
      <c r="S3015" s="9">
        <v>36.631366552338172</v>
      </c>
      <c r="T3015" s="9">
        <v>38.909767544853885</v>
      </c>
      <c r="U3015" s="9">
        <v>46.682383152234813</v>
      </c>
      <c r="V3015" s="9">
        <v>46.682383152234813</v>
      </c>
      <c r="W3015" s="9">
        <v>46.682383152234813</v>
      </c>
      <c r="X3015" s="9">
        <v>59.921474165477775</v>
      </c>
      <c r="Y3015" s="9">
        <v>59.921474165477775</v>
      </c>
      <c r="Z3015" s="9">
        <v>69.474106781959463</v>
      </c>
      <c r="AA3015" s="9">
        <v>69.474106781959463</v>
      </c>
      <c r="AB3015" s="9">
        <v>79.249204880977274</v>
      </c>
      <c r="AC3015" s="9">
        <v>79.249204880977274</v>
      </c>
      <c r="AD3015" s="9">
        <v>89.269015010784813</v>
      </c>
      <c r="AE3015" s="9">
        <v>99.558008374461224</v>
      </c>
      <c r="AF3015" s="9">
        <v>110.14310329539315</v>
      </c>
      <c r="AG3015" s="9">
        <v>110.14310329539315</v>
      </c>
      <c r="AH3015" s="9">
        <v>121.05390992930631</v>
      </c>
      <c r="AI3015" s="9">
        <v>133.14362481567588</v>
      </c>
      <c r="AJ3015" s="9">
        <v>3.0428788910505911</v>
      </c>
    </row>
    <row r="3016" spans="1:36" x14ac:dyDescent="0.25">
      <c r="A3016" t="s">
        <v>5411</v>
      </c>
      <c r="B3016" t="s">
        <v>16</v>
      </c>
      <c r="C3016" t="s">
        <v>17</v>
      </c>
      <c r="D3016">
        <v>59343000</v>
      </c>
      <c r="E3016">
        <v>59346999</v>
      </c>
      <c r="F3016" t="s">
        <v>2713</v>
      </c>
      <c r="G3016" t="str">
        <f t="shared" si="94"/>
        <v>RNR</v>
      </c>
      <c r="H3016" t="s">
        <v>2668</v>
      </c>
      <c r="I3016" t="s">
        <v>20</v>
      </c>
      <c r="J3016" t="s">
        <v>77</v>
      </c>
      <c r="K3016" s="6">
        <v>0.03</v>
      </c>
      <c r="L3016" s="7">
        <f t="shared" si="95"/>
        <v>2E-3</v>
      </c>
      <c r="M3016" s="7">
        <v>3.0000000000000001E-3</v>
      </c>
      <c r="N3016">
        <v>17</v>
      </c>
      <c r="O3016" s="8">
        <v>30.245120785802055</v>
      </c>
      <c r="P3016" s="9">
        <v>30.245120785802055</v>
      </c>
      <c r="Q3016" s="9">
        <v>30.245120785802055</v>
      </c>
      <c r="R3016" s="9">
        <v>33.285241158213239</v>
      </c>
      <c r="S3016" s="9">
        <v>36.631366552338172</v>
      </c>
      <c r="T3016" s="9">
        <v>38.909767544853885</v>
      </c>
      <c r="U3016" s="9">
        <v>46.682383152234813</v>
      </c>
      <c r="V3016" s="9">
        <v>46.682383152234813</v>
      </c>
      <c r="W3016" s="9">
        <v>46.682383152234813</v>
      </c>
      <c r="X3016" s="9">
        <v>59.921474165477775</v>
      </c>
      <c r="Y3016" s="9">
        <v>59.921474165477775</v>
      </c>
      <c r="Z3016" s="9">
        <v>69.474106781959463</v>
      </c>
      <c r="AA3016" s="9">
        <v>69.474106781959463</v>
      </c>
      <c r="AB3016" s="9">
        <v>79.249204880977274</v>
      </c>
      <c r="AC3016" s="9">
        <v>79.249204880977274</v>
      </c>
      <c r="AD3016" s="9">
        <v>89.269015010784813</v>
      </c>
      <c r="AE3016" s="9">
        <v>99.558008374461224</v>
      </c>
      <c r="AF3016" s="9">
        <v>110.14310329539315</v>
      </c>
      <c r="AG3016" s="9">
        <v>110.14310329539315</v>
      </c>
      <c r="AH3016" s="9">
        <v>121.05390992930631</v>
      </c>
      <c r="AI3016" s="9">
        <v>133.14362481567588</v>
      </c>
      <c r="AJ3016" s="9">
        <v>3.0428788910505911</v>
      </c>
    </row>
    <row r="3017" spans="1:36" x14ac:dyDescent="0.25">
      <c r="A3017" t="s">
        <v>5411</v>
      </c>
      <c r="B3017" t="s">
        <v>16</v>
      </c>
      <c r="C3017" t="s">
        <v>17</v>
      </c>
      <c r="D3017">
        <v>59347000</v>
      </c>
      <c r="E3017">
        <v>59349999</v>
      </c>
      <c r="F3017" t="s">
        <v>1132</v>
      </c>
      <c r="G3017" t="str">
        <f t="shared" si="94"/>
        <v>RNR</v>
      </c>
      <c r="H3017" t="s">
        <v>2668</v>
      </c>
      <c r="I3017" t="s">
        <v>20</v>
      </c>
      <c r="J3017" t="s">
        <v>77</v>
      </c>
      <c r="K3017" s="6">
        <v>0.03</v>
      </c>
      <c r="L3017" s="7">
        <f t="shared" si="95"/>
        <v>2E-3</v>
      </c>
      <c r="M3017" s="7">
        <v>3.0000000000000001E-3</v>
      </c>
      <c r="N3017">
        <v>17</v>
      </c>
      <c r="O3017" s="8">
        <v>30.245120785802055</v>
      </c>
      <c r="P3017" s="9">
        <v>30.245120785802055</v>
      </c>
      <c r="Q3017" s="9">
        <v>30.245120785802055</v>
      </c>
      <c r="R3017" s="9">
        <v>33.285241158213239</v>
      </c>
      <c r="S3017" s="9">
        <v>36.631366552338172</v>
      </c>
      <c r="T3017" s="9">
        <v>38.909767544853885</v>
      </c>
      <c r="U3017" s="9">
        <v>46.682383152234813</v>
      </c>
      <c r="V3017" s="9">
        <v>46.682383152234813</v>
      </c>
      <c r="W3017" s="9">
        <v>46.682383152234813</v>
      </c>
      <c r="X3017" s="9">
        <v>59.921474165477775</v>
      </c>
      <c r="Y3017" s="9">
        <v>59.921474165477775</v>
      </c>
      <c r="Z3017" s="9">
        <v>69.474106781959463</v>
      </c>
      <c r="AA3017" s="9">
        <v>69.474106781959463</v>
      </c>
      <c r="AB3017" s="9">
        <v>79.249204880977274</v>
      </c>
      <c r="AC3017" s="9">
        <v>79.249204880977274</v>
      </c>
      <c r="AD3017" s="9">
        <v>89.269015010784813</v>
      </c>
      <c r="AE3017" s="9">
        <v>99.558008374461224</v>
      </c>
      <c r="AF3017" s="9">
        <v>110.14310329539315</v>
      </c>
      <c r="AG3017" s="9">
        <v>110.14310329539315</v>
      </c>
      <c r="AH3017" s="9">
        <v>121.05390992930631</v>
      </c>
      <c r="AI3017" s="9">
        <v>133.14362481567588</v>
      </c>
      <c r="AJ3017" s="9">
        <v>3.0428788910505911</v>
      </c>
    </row>
    <row r="3018" spans="1:36" x14ac:dyDescent="0.25">
      <c r="A3018" t="s">
        <v>5411</v>
      </c>
      <c r="B3018" t="s">
        <v>16</v>
      </c>
      <c r="C3018" t="s">
        <v>17</v>
      </c>
      <c r="D3018">
        <v>59350000</v>
      </c>
      <c r="E3018">
        <v>59354999</v>
      </c>
      <c r="F3018" t="s">
        <v>2714</v>
      </c>
      <c r="G3018" t="str">
        <f t="shared" si="94"/>
        <v>RNR</v>
      </c>
      <c r="H3018" t="s">
        <v>2668</v>
      </c>
      <c r="I3018" t="s">
        <v>20</v>
      </c>
      <c r="J3018" t="s">
        <v>77</v>
      </c>
      <c r="K3018" s="6">
        <v>0.03</v>
      </c>
      <c r="L3018" s="7">
        <f t="shared" si="95"/>
        <v>2E-3</v>
      </c>
      <c r="M3018" s="7">
        <v>3.0000000000000001E-3</v>
      </c>
      <c r="N3018">
        <v>17</v>
      </c>
      <c r="O3018" s="8">
        <v>30.245120785802055</v>
      </c>
      <c r="P3018" s="9">
        <v>30.245120785802055</v>
      </c>
      <c r="Q3018" s="9">
        <v>30.245120785802055</v>
      </c>
      <c r="R3018" s="9">
        <v>33.285241158213239</v>
      </c>
      <c r="S3018" s="9">
        <v>36.631366552338172</v>
      </c>
      <c r="T3018" s="9">
        <v>38.909767544853885</v>
      </c>
      <c r="U3018" s="9">
        <v>46.682383152234813</v>
      </c>
      <c r="V3018" s="9">
        <v>46.682383152234813</v>
      </c>
      <c r="W3018" s="9">
        <v>46.682383152234813</v>
      </c>
      <c r="X3018" s="9">
        <v>59.921474165477775</v>
      </c>
      <c r="Y3018" s="9">
        <v>59.921474165477775</v>
      </c>
      <c r="Z3018" s="9">
        <v>69.474106781959463</v>
      </c>
      <c r="AA3018" s="9">
        <v>69.474106781959463</v>
      </c>
      <c r="AB3018" s="9">
        <v>79.249204880977274</v>
      </c>
      <c r="AC3018" s="9">
        <v>79.249204880977274</v>
      </c>
      <c r="AD3018" s="9">
        <v>89.269015010784813</v>
      </c>
      <c r="AE3018" s="9">
        <v>99.558008374461224</v>
      </c>
      <c r="AF3018" s="9">
        <v>110.14310329539315</v>
      </c>
      <c r="AG3018" s="9">
        <v>110.14310329539315</v>
      </c>
      <c r="AH3018" s="9">
        <v>121.05390992930631</v>
      </c>
      <c r="AI3018" s="9">
        <v>133.14362481567588</v>
      </c>
      <c r="AJ3018" s="9">
        <v>3.0428788910505911</v>
      </c>
    </row>
    <row r="3019" spans="1:36" x14ac:dyDescent="0.25">
      <c r="A3019" t="s">
        <v>5411</v>
      </c>
      <c r="B3019" t="s">
        <v>16</v>
      </c>
      <c r="C3019" t="s">
        <v>17</v>
      </c>
      <c r="D3019">
        <v>59355000</v>
      </c>
      <c r="E3019">
        <v>59359999</v>
      </c>
      <c r="F3019" t="s">
        <v>2715</v>
      </c>
      <c r="G3019" t="str">
        <f t="shared" si="94"/>
        <v>RNR</v>
      </c>
      <c r="H3019" t="s">
        <v>2668</v>
      </c>
      <c r="I3019" t="s">
        <v>20</v>
      </c>
      <c r="J3019" t="s">
        <v>77</v>
      </c>
      <c r="K3019" s="6">
        <v>0.03</v>
      </c>
      <c r="L3019" s="7">
        <f t="shared" si="95"/>
        <v>2E-3</v>
      </c>
      <c r="M3019" s="7">
        <v>3.0000000000000001E-3</v>
      </c>
      <c r="N3019">
        <v>17</v>
      </c>
      <c r="O3019" s="8">
        <v>30.245120785802055</v>
      </c>
      <c r="P3019" s="9">
        <v>30.245120785802055</v>
      </c>
      <c r="Q3019" s="9">
        <v>30.245120785802055</v>
      </c>
      <c r="R3019" s="9">
        <v>33.285241158213239</v>
      </c>
      <c r="S3019" s="9">
        <v>36.631366552338172</v>
      </c>
      <c r="T3019" s="9">
        <v>38.909767544853885</v>
      </c>
      <c r="U3019" s="9">
        <v>46.682383152234813</v>
      </c>
      <c r="V3019" s="9">
        <v>46.682383152234813</v>
      </c>
      <c r="W3019" s="9">
        <v>46.682383152234813</v>
      </c>
      <c r="X3019" s="9">
        <v>59.921474165477775</v>
      </c>
      <c r="Y3019" s="9">
        <v>59.921474165477775</v>
      </c>
      <c r="Z3019" s="9">
        <v>69.474106781959463</v>
      </c>
      <c r="AA3019" s="9">
        <v>69.474106781959463</v>
      </c>
      <c r="AB3019" s="9">
        <v>79.249204880977274</v>
      </c>
      <c r="AC3019" s="9">
        <v>79.249204880977274</v>
      </c>
      <c r="AD3019" s="9">
        <v>89.269015010784813</v>
      </c>
      <c r="AE3019" s="9">
        <v>99.558008374461224</v>
      </c>
      <c r="AF3019" s="9">
        <v>110.14310329539315</v>
      </c>
      <c r="AG3019" s="9">
        <v>110.14310329539315</v>
      </c>
      <c r="AH3019" s="9">
        <v>121.05390992930631</v>
      </c>
      <c r="AI3019" s="9">
        <v>133.14362481567588</v>
      </c>
      <c r="AJ3019" s="9">
        <v>3.0428788910505911</v>
      </c>
    </row>
    <row r="3020" spans="1:36" x14ac:dyDescent="0.25">
      <c r="A3020" t="s">
        <v>5411</v>
      </c>
      <c r="B3020" t="s">
        <v>16</v>
      </c>
      <c r="C3020" t="s">
        <v>17</v>
      </c>
      <c r="D3020">
        <v>59360000</v>
      </c>
      <c r="E3020">
        <v>59369999</v>
      </c>
      <c r="F3020" t="s">
        <v>2716</v>
      </c>
      <c r="G3020" t="str">
        <f t="shared" si="94"/>
        <v>RNR</v>
      </c>
      <c r="H3020" t="s">
        <v>2668</v>
      </c>
      <c r="I3020" t="s">
        <v>20</v>
      </c>
      <c r="J3020" t="s">
        <v>77</v>
      </c>
      <c r="K3020" s="6">
        <v>0.03</v>
      </c>
      <c r="L3020" s="7">
        <f t="shared" si="95"/>
        <v>2E-3</v>
      </c>
      <c r="M3020" s="7">
        <v>3.0000000000000001E-3</v>
      </c>
      <c r="N3020">
        <v>17</v>
      </c>
      <c r="O3020" s="8">
        <v>30.245120785802055</v>
      </c>
      <c r="P3020" s="9">
        <v>30.245120785802055</v>
      </c>
      <c r="Q3020" s="9">
        <v>30.245120785802055</v>
      </c>
      <c r="R3020" s="9">
        <v>33.285241158213239</v>
      </c>
      <c r="S3020" s="9">
        <v>36.631366552338172</v>
      </c>
      <c r="T3020" s="9">
        <v>38.909767544853885</v>
      </c>
      <c r="U3020" s="9">
        <v>46.682383152234813</v>
      </c>
      <c r="V3020" s="9">
        <v>46.682383152234813</v>
      </c>
      <c r="W3020" s="9">
        <v>46.682383152234813</v>
      </c>
      <c r="X3020" s="9">
        <v>59.921474165477775</v>
      </c>
      <c r="Y3020" s="9">
        <v>59.921474165477775</v>
      </c>
      <c r="Z3020" s="9">
        <v>69.474106781959463</v>
      </c>
      <c r="AA3020" s="9">
        <v>69.474106781959463</v>
      </c>
      <c r="AB3020" s="9">
        <v>79.249204880977274</v>
      </c>
      <c r="AC3020" s="9">
        <v>79.249204880977274</v>
      </c>
      <c r="AD3020" s="9">
        <v>89.269015010784813</v>
      </c>
      <c r="AE3020" s="9">
        <v>99.558008374461224</v>
      </c>
      <c r="AF3020" s="9">
        <v>110.14310329539315</v>
      </c>
      <c r="AG3020" s="9">
        <v>110.14310329539315</v>
      </c>
      <c r="AH3020" s="9">
        <v>121.05390992930631</v>
      </c>
      <c r="AI3020" s="9">
        <v>133.14362481567588</v>
      </c>
      <c r="AJ3020" s="9">
        <v>3.0428788910505911</v>
      </c>
    </row>
    <row r="3021" spans="1:36" x14ac:dyDescent="0.25">
      <c r="A3021" t="s">
        <v>5411</v>
      </c>
      <c r="B3021" t="s">
        <v>16</v>
      </c>
      <c r="C3021" t="s">
        <v>17</v>
      </c>
      <c r="D3021">
        <v>59370000</v>
      </c>
      <c r="E3021">
        <v>59373999</v>
      </c>
      <c r="F3021" t="s">
        <v>2717</v>
      </c>
      <c r="G3021" t="str">
        <f t="shared" si="94"/>
        <v>RNR</v>
      </c>
      <c r="H3021" t="s">
        <v>2668</v>
      </c>
      <c r="I3021" t="s">
        <v>20</v>
      </c>
      <c r="J3021" t="s">
        <v>77</v>
      </c>
      <c r="K3021" s="6">
        <v>0.03</v>
      </c>
      <c r="L3021" s="7">
        <f t="shared" si="95"/>
        <v>2E-3</v>
      </c>
      <c r="M3021" s="7">
        <v>3.0000000000000001E-3</v>
      </c>
      <c r="N3021">
        <v>17</v>
      </c>
      <c r="O3021" s="8">
        <v>30.245120785802055</v>
      </c>
      <c r="P3021" s="9">
        <v>30.245120785802055</v>
      </c>
      <c r="Q3021" s="9">
        <v>30.245120785802055</v>
      </c>
      <c r="R3021" s="9">
        <v>33.285241158213239</v>
      </c>
      <c r="S3021" s="9">
        <v>36.631366552338172</v>
      </c>
      <c r="T3021" s="9">
        <v>38.909767544853885</v>
      </c>
      <c r="U3021" s="9">
        <v>46.682383152234813</v>
      </c>
      <c r="V3021" s="9">
        <v>46.682383152234813</v>
      </c>
      <c r="W3021" s="9">
        <v>46.682383152234813</v>
      </c>
      <c r="X3021" s="9">
        <v>59.921474165477775</v>
      </c>
      <c r="Y3021" s="9">
        <v>59.921474165477775</v>
      </c>
      <c r="Z3021" s="9">
        <v>69.474106781959463</v>
      </c>
      <c r="AA3021" s="9">
        <v>69.474106781959463</v>
      </c>
      <c r="AB3021" s="9">
        <v>79.249204880977274</v>
      </c>
      <c r="AC3021" s="9">
        <v>79.249204880977274</v>
      </c>
      <c r="AD3021" s="9">
        <v>89.269015010784813</v>
      </c>
      <c r="AE3021" s="9">
        <v>99.558008374461224</v>
      </c>
      <c r="AF3021" s="9">
        <v>110.14310329539315</v>
      </c>
      <c r="AG3021" s="9">
        <v>110.14310329539315</v>
      </c>
      <c r="AH3021" s="9">
        <v>121.05390992930631</v>
      </c>
      <c r="AI3021" s="9">
        <v>133.14362481567588</v>
      </c>
      <c r="AJ3021" s="9">
        <v>3.0428788910505911</v>
      </c>
    </row>
    <row r="3022" spans="1:36" x14ac:dyDescent="0.25">
      <c r="A3022" t="s">
        <v>5411</v>
      </c>
      <c r="B3022" t="s">
        <v>16</v>
      </c>
      <c r="C3022" t="s">
        <v>17</v>
      </c>
      <c r="D3022">
        <v>59374000</v>
      </c>
      <c r="E3022">
        <v>59374999</v>
      </c>
      <c r="F3022" t="s">
        <v>2718</v>
      </c>
      <c r="G3022" t="str">
        <f t="shared" si="94"/>
        <v>RNR</v>
      </c>
      <c r="H3022" t="s">
        <v>2668</v>
      </c>
      <c r="I3022" t="s">
        <v>20</v>
      </c>
      <c r="J3022" t="s">
        <v>77</v>
      </c>
      <c r="K3022" s="6">
        <v>0.03</v>
      </c>
      <c r="L3022" s="7">
        <f t="shared" si="95"/>
        <v>2E-3</v>
      </c>
      <c r="M3022" s="7">
        <v>3.0000000000000001E-3</v>
      </c>
      <c r="N3022">
        <v>17</v>
      </c>
      <c r="O3022" s="8">
        <v>30.245120785802055</v>
      </c>
      <c r="P3022" s="9">
        <v>30.245120785802055</v>
      </c>
      <c r="Q3022" s="9">
        <v>30.245120785802055</v>
      </c>
      <c r="R3022" s="9">
        <v>33.285241158213239</v>
      </c>
      <c r="S3022" s="9">
        <v>36.631366552338172</v>
      </c>
      <c r="T3022" s="9">
        <v>38.909767544853885</v>
      </c>
      <c r="U3022" s="9">
        <v>46.682383152234813</v>
      </c>
      <c r="V3022" s="9">
        <v>46.682383152234813</v>
      </c>
      <c r="W3022" s="9">
        <v>46.682383152234813</v>
      </c>
      <c r="X3022" s="9">
        <v>59.921474165477775</v>
      </c>
      <c r="Y3022" s="9">
        <v>59.921474165477775</v>
      </c>
      <c r="Z3022" s="9">
        <v>69.474106781959463</v>
      </c>
      <c r="AA3022" s="9">
        <v>69.474106781959463</v>
      </c>
      <c r="AB3022" s="9">
        <v>79.249204880977274</v>
      </c>
      <c r="AC3022" s="9">
        <v>79.249204880977274</v>
      </c>
      <c r="AD3022" s="9">
        <v>89.269015010784813</v>
      </c>
      <c r="AE3022" s="9">
        <v>99.558008374461224</v>
      </c>
      <c r="AF3022" s="9">
        <v>110.14310329539315</v>
      </c>
      <c r="AG3022" s="9">
        <v>110.14310329539315</v>
      </c>
      <c r="AH3022" s="9">
        <v>121.05390992930631</v>
      </c>
      <c r="AI3022" s="9">
        <v>133.14362481567588</v>
      </c>
      <c r="AJ3022" s="9">
        <v>3.0428788910505911</v>
      </c>
    </row>
    <row r="3023" spans="1:36" x14ac:dyDescent="0.25">
      <c r="A3023" t="s">
        <v>5411</v>
      </c>
      <c r="B3023" t="s">
        <v>16</v>
      </c>
      <c r="C3023" t="s">
        <v>17</v>
      </c>
      <c r="D3023">
        <v>59375000</v>
      </c>
      <c r="E3023">
        <v>59377999</v>
      </c>
      <c r="F3023" t="s">
        <v>2719</v>
      </c>
      <c r="G3023" t="str">
        <f t="shared" si="94"/>
        <v>RNR</v>
      </c>
      <c r="H3023" t="s">
        <v>2668</v>
      </c>
      <c r="I3023" t="s">
        <v>20</v>
      </c>
      <c r="J3023" t="s">
        <v>77</v>
      </c>
      <c r="K3023" s="6">
        <v>0.03</v>
      </c>
      <c r="L3023" s="7">
        <f t="shared" si="95"/>
        <v>2E-3</v>
      </c>
      <c r="M3023" s="7">
        <v>3.0000000000000001E-3</v>
      </c>
      <c r="N3023">
        <v>17</v>
      </c>
      <c r="O3023" s="8">
        <v>30.245120785802055</v>
      </c>
      <c r="P3023" s="9">
        <v>30.245120785802055</v>
      </c>
      <c r="Q3023" s="9">
        <v>30.245120785802055</v>
      </c>
      <c r="R3023" s="9">
        <v>33.285241158213239</v>
      </c>
      <c r="S3023" s="9">
        <v>36.631366552338172</v>
      </c>
      <c r="T3023" s="9">
        <v>38.909767544853885</v>
      </c>
      <c r="U3023" s="9">
        <v>46.682383152234813</v>
      </c>
      <c r="V3023" s="9">
        <v>46.682383152234813</v>
      </c>
      <c r="W3023" s="9">
        <v>46.682383152234813</v>
      </c>
      <c r="X3023" s="9">
        <v>59.921474165477775</v>
      </c>
      <c r="Y3023" s="9">
        <v>59.921474165477775</v>
      </c>
      <c r="Z3023" s="9">
        <v>69.474106781959463</v>
      </c>
      <c r="AA3023" s="9">
        <v>69.474106781959463</v>
      </c>
      <c r="AB3023" s="9">
        <v>79.249204880977274</v>
      </c>
      <c r="AC3023" s="9">
        <v>79.249204880977274</v>
      </c>
      <c r="AD3023" s="9">
        <v>89.269015010784813</v>
      </c>
      <c r="AE3023" s="9">
        <v>99.558008374461224</v>
      </c>
      <c r="AF3023" s="9">
        <v>110.14310329539315</v>
      </c>
      <c r="AG3023" s="9">
        <v>110.14310329539315</v>
      </c>
      <c r="AH3023" s="9">
        <v>121.05390992930631</v>
      </c>
      <c r="AI3023" s="9">
        <v>133.14362481567588</v>
      </c>
      <c r="AJ3023" s="9">
        <v>3.0428788910505911</v>
      </c>
    </row>
    <row r="3024" spans="1:36" x14ac:dyDescent="0.25">
      <c r="A3024" t="s">
        <v>5411</v>
      </c>
      <c r="B3024" t="s">
        <v>16</v>
      </c>
      <c r="C3024" t="s">
        <v>17</v>
      </c>
      <c r="D3024">
        <v>59378000</v>
      </c>
      <c r="E3024">
        <v>59379999</v>
      </c>
      <c r="F3024" t="s">
        <v>2720</v>
      </c>
      <c r="G3024" t="str">
        <f t="shared" si="94"/>
        <v>RNR</v>
      </c>
      <c r="H3024" t="s">
        <v>2668</v>
      </c>
      <c r="I3024" t="s">
        <v>20</v>
      </c>
      <c r="J3024" t="s">
        <v>77</v>
      </c>
      <c r="K3024" s="6">
        <v>0.03</v>
      </c>
      <c r="L3024" s="7">
        <f t="shared" si="95"/>
        <v>2E-3</v>
      </c>
      <c r="M3024" s="7">
        <v>3.0000000000000001E-3</v>
      </c>
      <c r="N3024">
        <v>17</v>
      </c>
      <c r="O3024" s="8">
        <v>30.245120785802055</v>
      </c>
      <c r="P3024" s="9">
        <v>30.245120785802055</v>
      </c>
      <c r="Q3024" s="9">
        <v>30.245120785802055</v>
      </c>
      <c r="R3024" s="9">
        <v>33.285241158213239</v>
      </c>
      <c r="S3024" s="9">
        <v>36.631366552338172</v>
      </c>
      <c r="T3024" s="9">
        <v>38.909767544853885</v>
      </c>
      <c r="U3024" s="9">
        <v>46.682383152234813</v>
      </c>
      <c r="V3024" s="9">
        <v>46.682383152234813</v>
      </c>
      <c r="W3024" s="9">
        <v>46.682383152234813</v>
      </c>
      <c r="X3024" s="9">
        <v>59.921474165477775</v>
      </c>
      <c r="Y3024" s="9">
        <v>59.921474165477775</v>
      </c>
      <c r="Z3024" s="9">
        <v>69.474106781959463</v>
      </c>
      <c r="AA3024" s="9">
        <v>69.474106781959463</v>
      </c>
      <c r="AB3024" s="9">
        <v>79.249204880977274</v>
      </c>
      <c r="AC3024" s="9">
        <v>79.249204880977274</v>
      </c>
      <c r="AD3024" s="9">
        <v>89.269015010784813</v>
      </c>
      <c r="AE3024" s="9">
        <v>99.558008374461224</v>
      </c>
      <c r="AF3024" s="9">
        <v>110.14310329539315</v>
      </c>
      <c r="AG3024" s="9">
        <v>110.14310329539315</v>
      </c>
      <c r="AH3024" s="9">
        <v>121.05390992930631</v>
      </c>
      <c r="AI3024" s="9">
        <v>133.14362481567588</v>
      </c>
      <c r="AJ3024" s="9">
        <v>3.0428788910505911</v>
      </c>
    </row>
    <row r="3025" spans="1:36" x14ac:dyDescent="0.25">
      <c r="A3025" t="s">
        <v>5411</v>
      </c>
      <c r="B3025" t="s">
        <v>16</v>
      </c>
      <c r="C3025" t="s">
        <v>17</v>
      </c>
      <c r="D3025">
        <v>59380000</v>
      </c>
      <c r="E3025">
        <v>59389999</v>
      </c>
      <c r="F3025" t="s">
        <v>2721</v>
      </c>
      <c r="G3025" t="str">
        <f t="shared" si="94"/>
        <v>RNR</v>
      </c>
      <c r="H3025" t="s">
        <v>2668</v>
      </c>
      <c r="I3025" t="s">
        <v>20</v>
      </c>
      <c r="J3025" t="s">
        <v>77</v>
      </c>
      <c r="K3025" s="6">
        <v>0.03</v>
      </c>
      <c r="L3025" s="7">
        <f t="shared" si="95"/>
        <v>2E-3</v>
      </c>
      <c r="M3025" s="7">
        <v>3.0000000000000001E-3</v>
      </c>
      <c r="N3025">
        <v>17</v>
      </c>
      <c r="O3025" s="8">
        <v>30.245120785802055</v>
      </c>
      <c r="P3025" s="9">
        <v>30.245120785802055</v>
      </c>
      <c r="Q3025" s="9">
        <v>30.245120785802055</v>
      </c>
      <c r="R3025" s="9">
        <v>33.285241158213239</v>
      </c>
      <c r="S3025" s="9">
        <v>36.631366552338172</v>
      </c>
      <c r="T3025" s="9">
        <v>38.909767544853885</v>
      </c>
      <c r="U3025" s="9">
        <v>46.682383152234813</v>
      </c>
      <c r="V3025" s="9">
        <v>46.682383152234813</v>
      </c>
      <c r="W3025" s="9">
        <v>46.682383152234813</v>
      </c>
      <c r="X3025" s="9">
        <v>59.921474165477775</v>
      </c>
      <c r="Y3025" s="9">
        <v>59.921474165477775</v>
      </c>
      <c r="Z3025" s="9">
        <v>69.474106781959463</v>
      </c>
      <c r="AA3025" s="9">
        <v>69.474106781959463</v>
      </c>
      <c r="AB3025" s="9">
        <v>79.249204880977274</v>
      </c>
      <c r="AC3025" s="9">
        <v>79.249204880977274</v>
      </c>
      <c r="AD3025" s="9">
        <v>89.269015010784813</v>
      </c>
      <c r="AE3025" s="9">
        <v>99.558008374461224</v>
      </c>
      <c r="AF3025" s="9">
        <v>110.14310329539315</v>
      </c>
      <c r="AG3025" s="9">
        <v>110.14310329539315</v>
      </c>
      <c r="AH3025" s="9">
        <v>121.05390992930631</v>
      </c>
      <c r="AI3025" s="9">
        <v>133.14362481567588</v>
      </c>
      <c r="AJ3025" s="9">
        <v>3.0428788910505911</v>
      </c>
    </row>
    <row r="3026" spans="1:36" x14ac:dyDescent="0.25">
      <c r="A3026" t="s">
        <v>5411</v>
      </c>
      <c r="B3026" t="s">
        <v>16</v>
      </c>
      <c r="C3026" t="s">
        <v>17</v>
      </c>
      <c r="D3026">
        <v>59390000</v>
      </c>
      <c r="E3026">
        <v>59394999</v>
      </c>
      <c r="F3026" t="s">
        <v>2722</v>
      </c>
      <c r="G3026" t="str">
        <f t="shared" si="94"/>
        <v>RNR</v>
      </c>
      <c r="H3026" t="s">
        <v>2668</v>
      </c>
      <c r="I3026" t="s">
        <v>20</v>
      </c>
      <c r="J3026" t="s">
        <v>77</v>
      </c>
      <c r="K3026" s="6">
        <v>0.03</v>
      </c>
      <c r="L3026" s="7">
        <f t="shared" si="95"/>
        <v>2E-3</v>
      </c>
      <c r="M3026" s="7">
        <v>3.0000000000000001E-3</v>
      </c>
      <c r="N3026">
        <v>17</v>
      </c>
      <c r="O3026" s="8">
        <v>30.245120785802055</v>
      </c>
      <c r="P3026" s="9">
        <v>30.245120785802055</v>
      </c>
      <c r="Q3026" s="9">
        <v>30.245120785802055</v>
      </c>
      <c r="R3026" s="9">
        <v>33.285241158213239</v>
      </c>
      <c r="S3026" s="9">
        <v>36.631366552338172</v>
      </c>
      <c r="T3026" s="9">
        <v>38.909767544853885</v>
      </c>
      <c r="U3026" s="9">
        <v>46.682383152234813</v>
      </c>
      <c r="V3026" s="9">
        <v>46.682383152234813</v>
      </c>
      <c r="W3026" s="9">
        <v>46.682383152234813</v>
      </c>
      <c r="X3026" s="9">
        <v>59.921474165477775</v>
      </c>
      <c r="Y3026" s="9">
        <v>59.921474165477775</v>
      </c>
      <c r="Z3026" s="9">
        <v>69.474106781959463</v>
      </c>
      <c r="AA3026" s="9">
        <v>69.474106781959463</v>
      </c>
      <c r="AB3026" s="9">
        <v>79.249204880977274</v>
      </c>
      <c r="AC3026" s="9">
        <v>79.249204880977274</v>
      </c>
      <c r="AD3026" s="9">
        <v>89.269015010784813</v>
      </c>
      <c r="AE3026" s="9">
        <v>99.558008374461224</v>
      </c>
      <c r="AF3026" s="9">
        <v>110.14310329539315</v>
      </c>
      <c r="AG3026" s="9">
        <v>110.14310329539315</v>
      </c>
      <c r="AH3026" s="9">
        <v>121.05390992930631</v>
      </c>
      <c r="AI3026" s="9">
        <v>133.14362481567588</v>
      </c>
      <c r="AJ3026" s="9">
        <v>3.0428788910505911</v>
      </c>
    </row>
    <row r="3027" spans="1:36" x14ac:dyDescent="0.25">
      <c r="A3027" t="s">
        <v>5411</v>
      </c>
      <c r="B3027" t="s">
        <v>16</v>
      </c>
      <c r="C3027" t="s">
        <v>17</v>
      </c>
      <c r="D3027">
        <v>59395000</v>
      </c>
      <c r="E3027">
        <v>59399999</v>
      </c>
      <c r="F3027" t="s">
        <v>2723</v>
      </c>
      <c r="G3027" t="str">
        <f t="shared" si="94"/>
        <v>RNR</v>
      </c>
      <c r="H3027" t="s">
        <v>2668</v>
      </c>
      <c r="I3027" t="s">
        <v>20</v>
      </c>
      <c r="J3027" t="s">
        <v>77</v>
      </c>
      <c r="K3027" s="6">
        <v>0.03</v>
      </c>
      <c r="L3027" s="7">
        <f t="shared" si="95"/>
        <v>2E-3</v>
      </c>
      <c r="M3027" s="7">
        <v>3.0000000000000001E-3</v>
      </c>
      <c r="N3027">
        <v>17</v>
      </c>
      <c r="O3027" s="8">
        <v>30.245120785802055</v>
      </c>
      <c r="P3027" s="9">
        <v>30.245120785802055</v>
      </c>
      <c r="Q3027" s="9">
        <v>30.245120785802055</v>
      </c>
      <c r="R3027" s="9">
        <v>33.285241158213239</v>
      </c>
      <c r="S3027" s="9">
        <v>36.631366552338172</v>
      </c>
      <c r="T3027" s="9">
        <v>38.909767544853885</v>
      </c>
      <c r="U3027" s="9">
        <v>46.682383152234813</v>
      </c>
      <c r="V3027" s="9">
        <v>46.682383152234813</v>
      </c>
      <c r="W3027" s="9">
        <v>46.682383152234813</v>
      </c>
      <c r="X3027" s="9">
        <v>59.921474165477775</v>
      </c>
      <c r="Y3027" s="9">
        <v>59.921474165477775</v>
      </c>
      <c r="Z3027" s="9">
        <v>69.474106781959463</v>
      </c>
      <c r="AA3027" s="9">
        <v>69.474106781959463</v>
      </c>
      <c r="AB3027" s="9">
        <v>79.249204880977274</v>
      </c>
      <c r="AC3027" s="9">
        <v>79.249204880977274</v>
      </c>
      <c r="AD3027" s="9">
        <v>89.269015010784813</v>
      </c>
      <c r="AE3027" s="9">
        <v>99.558008374461224</v>
      </c>
      <c r="AF3027" s="9">
        <v>110.14310329539315</v>
      </c>
      <c r="AG3027" s="9">
        <v>110.14310329539315</v>
      </c>
      <c r="AH3027" s="9">
        <v>121.05390992930631</v>
      </c>
      <c r="AI3027" s="9">
        <v>133.14362481567588</v>
      </c>
      <c r="AJ3027" s="9">
        <v>3.0428788910505911</v>
      </c>
    </row>
    <row r="3028" spans="1:36" x14ac:dyDescent="0.25">
      <c r="A3028" t="s">
        <v>5411</v>
      </c>
      <c r="B3028" t="s">
        <v>16</v>
      </c>
      <c r="C3028" t="s">
        <v>17</v>
      </c>
      <c r="D3028">
        <v>59400000</v>
      </c>
      <c r="E3028">
        <v>59409999</v>
      </c>
      <c r="F3028" t="s">
        <v>2724</v>
      </c>
      <c r="G3028" t="str">
        <f t="shared" si="94"/>
        <v>RNR</v>
      </c>
      <c r="H3028" t="s">
        <v>2668</v>
      </c>
      <c r="I3028" t="s">
        <v>20</v>
      </c>
      <c r="J3028" t="s">
        <v>77</v>
      </c>
      <c r="K3028" s="6">
        <v>0.03</v>
      </c>
      <c r="L3028" s="7">
        <f t="shared" si="95"/>
        <v>2E-3</v>
      </c>
      <c r="M3028" s="7">
        <v>3.0000000000000001E-3</v>
      </c>
      <c r="N3028">
        <v>17</v>
      </c>
      <c r="O3028" s="8">
        <v>30.245120785802055</v>
      </c>
      <c r="P3028" s="9">
        <v>30.245120785802055</v>
      </c>
      <c r="Q3028" s="9">
        <v>30.245120785802055</v>
      </c>
      <c r="R3028" s="9">
        <v>33.285241158213239</v>
      </c>
      <c r="S3028" s="9">
        <v>36.631366552338172</v>
      </c>
      <c r="T3028" s="9">
        <v>38.909767544853885</v>
      </c>
      <c r="U3028" s="9">
        <v>46.682383152234813</v>
      </c>
      <c r="V3028" s="9">
        <v>46.682383152234813</v>
      </c>
      <c r="W3028" s="9">
        <v>46.682383152234813</v>
      </c>
      <c r="X3028" s="9">
        <v>59.921474165477775</v>
      </c>
      <c r="Y3028" s="9">
        <v>59.921474165477775</v>
      </c>
      <c r="Z3028" s="9">
        <v>69.474106781959463</v>
      </c>
      <c r="AA3028" s="9">
        <v>69.474106781959463</v>
      </c>
      <c r="AB3028" s="9">
        <v>79.249204880977274</v>
      </c>
      <c r="AC3028" s="9">
        <v>79.249204880977274</v>
      </c>
      <c r="AD3028" s="9">
        <v>89.269015010784813</v>
      </c>
      <c r="AE3028" s="9">
        <v>99.558008374461224</v>
      </c>
      <c r="AF3028" s="9">
        <v>110.14310329539315</v>
      </c>
      <c r="AG3028" s="9">
        <v>110.14310329539315</v>
      </c>
      <c r="AH3028" s="9">
        <v>121.05390992930631</v>
      </c>
      <c r="AI3028" s="9">
        <v>133.14362481567588</v>
      </c>
      <c r="AJ3028" s="9">
        <v>3.0428788910505911</v>
      </c>
    </row>
    <row r="3029" spans="1:36" x14ac:dyDescent="0.25">
      <c r="A3029" t="s">
        <v>5411</v>
      </c>
      <c r="B3029" t="s">
        <v>16</v>
      </c>
      <c r="C3029" t="s">
        <v>17</v>
      </c>
      <c r="D3029">
        <v>59410000</v>
      </c>
      <c r="E3029">
        <v>59419999</v>
      </c>
      <c r="F3029" t="s">
        <v>2725</v>
      </c>
      <c r="G3029" t="str">
        <f t="shared" si="94"/>
        <v>RNR</v>
      </c>
      <c r="H3029" t="s">
        <v>2668</v>
      </c>
      <c r="I3029" t="s">
        <v>20</v>
      </c>
      <c r="J3029" t="s">
        <v>77</v>
      </c>
      <c r="K3029" s="6">
        <v>0.03</v>
      </c>
      <c r="L3029" s="7">
        <f t="shared" si="95"/>
        <v>2E-3</v>
      </c>
      <c r="M3029" s="7">
        <v>3.0000000000000001E-3</v>
      </c>
      <c r="N3029">
        <v>17</v>
      </c>
      <c r="O3029" s="8">
        <v>30.245120785802055</v>
      </c>
      <c r="P3029" s="9">
        <v>30.245120785802055</v>
      </c>
      <c r="Q3029" s="9">
        <v>30.245120785802055</v>
      </c>
      <c r="R3029" s="9">
        <v>33.285241158213239</v>
      </c>
      <c r="S3029" s="9">
        <v>36.631366552338172</v>
      </c>
      <c r="T3029" s="9">
        <v>38.909767544853885</v>
      </c>
      <c r="U3029" s="9">
        <v>46.682383152234813</v>
      </c>
      <c r="V3029" s="9">
        <v>46.682383152234813</v>
      </c>
      <c r="W3029" s="9">
        <v>46.682383152234813</v>
      </c>
      <c r="X3029" s="9">
        <v>59.921474165477775</v>
      </c>
      <c r="Y3029" s="9">
        <v>59.921474165477775</v>
      </c>
      <c r="Z3029" s="9">
        <v>69.474106781959463</v>
      </c>
      <c r="AA3029" s="9">
        <v>69.474106781959463</v>
      </c>
      <c r="AB3029" s="9">
        <v>79.249204880977274</v>
      </c>
      <c r="AC3029" s="9">
        <v>79.249204880977274</v>
      </c>
      <c r="AD3029" s="9">
        <v>89.269015010784813</v>
      </c>
      <c r="AE3029" s="9">
        <v>99.558008374461224</v>
      </c>
      <c r="AF3029" s="9">
        <v>110.14310329539315</v>
      </c>
      <c r="AG3029" s="9">
        <v>110.14310329539315</v>
      </c>
      <c r="AH3029" s="9">
        <v>121.05390992930631</v>
      </c>
      <c r="AI3029" s="9">
        <v>133.14362481567588</v>
      </c>
      <c r="AJ3029" s="9">
        <v>3.0428788910505911</v>
      </c>
    </row>
    <row r="3030" spans="1:36" x14ac:dyDescent="0.25">
      <c r="A3030" t="s">
        <v>5411</v>
      </c>
      <c r="B3030" t="s">
        <v>16</v>
      </c>
      <c r="C3030" t="s">
        <v>17</v>
      </c>
      <c r="D3030">
        <v>59420000</v>
      </c>
      <c r="E3030">
        <v>59429999</v>
      </c>
      <c r="F3030" t="s">
        <v>1983</v>
      </c>
      <c r="G3030" t="str">
        <f t="shared" si="94"/>
        <v>RNR</v>
      </c>
      <c r="H3030" t="s">
        <v>2668</v>
      </c>
      <c r="I3030" t="s">
        <v>20</v>
      </c>
      <c r="J3030" t="s">
        <v>77</v>
      </c>
      <c r="K3030" s="6">
        <v>0.03</v>
      </c>
      <c r="L3030" s="7">
        <f t="shared" si="95"/>
        <v>2E-3</v>
      </c>
      <c r="M3030" s="7">
        <v>3.0000000000000001E-3</v>
      </c>
      <c r="N3030">
        <v>17</v>
      </c>
      <c r="O3030" s="8">
        <v>30.245120785802055</v>
      </c>
      <c r="P3030" s="9">
        <v>30.245120785802055</v>
      </c>
      <c r="Q3030" s="9">
        <v>30.245120785802055</v>
      </c>
      <c r="R3030" s="9">
        <v>33.285241158213239</v>
      </c>
      <c r="S3030" s="9">
        <v>36.631366552338172</v>
      </c>
      <c r="T3030" s="9">
        <v>38.909767544853885</v>
      </c>
      <c r="U3030" s="9">
        <v>46.682383152234813</v>
      </c>
      <c r="V3030" s="9">
        <v>46.682383152234813</v>
      </c>
      <c r="W3030" s="9">
        <v>46.682383152234813</v>
      </c>
      <c r="X3030" s="9">
        <v>59.921474165477775</v>
      </c>
      <c r="Y3030" s="9">
        <v>59.921474165477775</v>
      </c>
      <c r="Z3030" s="9">
        <v>69.474106781959463</v>
      </c>
      <c r="AA3030" s="9">
        <v>69.474106781959463</v>
      </c>
      <c r="AB3030" s="9">
        <v>79.249204880977274</v>
      </c>
      <c r="AC3030" s="9">
        <v>79.249204880977274</v>
      </c>
      <c r="AD3030" s="9">
        <v>89.269015010784813</v>
      </c>
      <c r="AE3030" s="9">
        <v>99.558008374461224</v>
      </c>
      <c r="AF3030" s="9">
        <v>110.14310329539315</v>
      </c>
      <c r="AG3030" s="9">
        <v>110.14310329539315</v>
      </c>
      <c r="AH3030" s="9">
        <v>121.05390992930631</v>
      </c>
      <c r="AI3030" s="9">
        <v>133.14362481567588</v>
      </c>
      <c r="AJ3030" s="9">
        <v>3.0428788910505911</v>
      </c>
    </row>
    <row r="3031" spans="1:36" x14ac:dyDescent="0.25">
      <c r="A3031" t="s">
        <v>5411</v>
      </c>
      <c r="B3031" t="s">
        <v>16</v>
      </c>
      <c r="C3031" t="s">
        <v>17</v>
      </c>
      <c r="D3031">
        <v>59430000</v>
      </c>
      <c r="E3031">
        <v>59439999</v>
      </c>
      <c r="F3031" t="s">
        <v>2726</v>
      </c>
      <c r="G3031" t="str">
        <f t="shared" si="94"/>
        <v>RNR</v>
      </c>
      <c r="H3031" t="s">
        <v>2668</v>
      </c>
      <c r="I3031" t="s">
        <v>20</v>
      </c>
      <c r="J3031" t="s">
        <v>77</v>
      </c>
      <c r="K3031" s="6">
        <v>0.03</v>
      </c>
      <c r="L3031" s="7">
        <f t="shared" si="95"/>
        <v>2E-3</v>
      </c>
      <c r="M3031" s="7">
        <v>3.0000000000000001E-3</v>
      </c>
      <c r="N3031">
        <v>17</v>
      </c>
      <c r="O3031" s="8">
        <v>30.245120785802055</v>
      </c>
      <c r="P3031" s="9">
        <v>30.245120785802055</v>
      </c>
      <c r="Q3031" s="9">
        <v>30.245120785802055</v>
      </c>
      <c r="R3031" s="9">
        <v>33.285241158213239</v>
      </c>
      <c r="S3031" s="9">
        <v>36.631366552338172</v>
      </c>
      <c r="T3031" s="9">
        <v>38.909767544853885</v>
      </c>
      <c r="U3031" s="9">
        <v>46.682383152234813</v>
      </c>
      <c r="V3031" s="9">
        <v>46.682383152234813</v>
      </c>
      <c r="W3031" s="9">
        <v>46.682383152234813</v>
      </c>
      <c r="X3031" s="9">
        <v>59.921474165477775</v>
      </c>
      <c r="Y3031" s="9">
        <v>59.921474165477775</v>
      </c>
      <c r="Z3031" s="9">
        <v>69.474106781959463</v>
      </c>
      <c r="AA3031" s="9">
        <v>69.474106781959463</v>
      </c>
      <c r="AB3031" s="9">
        <v>79.249204880977274</v>
      </c>
      <c r="AC3031" s="9">
        <v>79.249204880977274</v>
      </c>
      <c r="AD3031" s="9">
        <v>89.269015010784813</v>
      </c>
      <c r="AE3031" s="9">
        <v>99.558008374461224</v>
      </c>
      <c r="AF3031" s="9">
        <v>110.14310329539315</v>
      </c>
      <c r="AG3031" s="9">
        <v>110.14310329539315</v>
      </c>
      <c r="AH3031" s="9">
        <v>121.05390992930631</v>
      </c>
      <c r="AI3031" s="9">
        <v>133.14362481567588</v>
      </c>
      <c r="AJ3031" s="9">
        <v>3.0428788910505911</v>
      </c>
    </row>
    <row r="3032" spans="1:36" x14ac:dyDescent="0.25">
      <c r="A3032" t="s">
        <v>5411</v>
      </c>
      <c r="B3032" t="s">
        <v>16</v>
      </c>
      <c r="C3032" t="s">
        <v>17</v>
      </c>
      <c r="D3032">
        <v>59440000</v>
      </c>
      <c r="E3032">
        <v>59459999</v>
      </c>
      <c r="F3032" t="s">
        <v>2727</v>
      </c>
      <c r="G3032" t="str">
        <f t="shared" si="94"/>
        <v>RNR</v>
      </c>
      <c r="H3032" t="s">
        <v>2668</v>
      </c>
      <c r="I3032" t="s">
        <v>20</v>
      </c>
      <c r="J3032" t="s">
        <v>77</v>
      </c>
      <c r="K3032" s="6">
        <v>0.03</v>
      </c>
      <c r="L3032" s="7">
        <f t="shared" si="95"/>
        <v>2E-3</v>
      </c>
      <c r="M3032" s="7">
        <v>3.0000000000000001E-3</v>
      </c>
      <c r="N3032">
        <v>17</v>
      </c>
      <c r="O3032" s="8">
        <v>30.245120785802055</v>
      </c>
      <c r="P3032" s="9">
        <v>30.245120785802055</v>
      </c>
      <c r="Q3032" s="9">
        <v>30.245120785802055</v>
      </c>
      <c r="R3032" s="9">
        <v>33.285241158213239</v>
      </c>
      <c r="S3032" s="9">
        <v>36.631366552338172</v>
      </c>
      <c r="T3032" s="9">
        <v>38.909767544853885</v>
      </c>
      <c r="U3032" s="9">
        <v>46.682383152234813</v>
      </c>
      <c r="V3032" s="9">
        <v>46.682383152234813</v>
      </c>
      <c r="W3032" s="9">
        <v>46.682383152234813</v>
      </c>
      <c r="X3032" s="9">
        <v>59.921474165477775</v>
      </c>
      <c r="Y3032" s="9">
        <v>59.921474165477775</v>
      </c>
      <c r="Z3032" s="9">
        <v>69.474106781959463</v>
      </c>
      <c r="AA3032" s="9">
        <v>69.474106781959463</v>
      </c>
      <c r="AB3032" s="9">
        <v>79.249204880977274</v>
      </c>
      <c r="AC3032" s="9">
        <v>79.249204880977274</v>
      </c>
      <c r="AD3032" s="9">
        <v>89.269015010784813</v>
      </c>
      <c r="AE3032" s="9">
        <v>99.558008374461224</v>
      </c>
      <c r="AF3032" s="9">
        <v>110.14310329539315</v>
      </c>
      <c r="AG3032" s="9">
        <v>110.14310329539315</v>
      </c>
      <c r="AH3032" s="9">
        <v>121.05390992930631</v>
      </c>
      <c r="AI3032" s="9">
        <v>133.14362481567588</v>
      </c>
      <c r="AJ3032" s="9">
        <v>3.0428788910505911</v>
      </c>
    </row>
    <row r="3033" spans="1:36" x14ac:dyDescent="0.25">
      <c r="A3033" t="s">
        <v>5411</v>
      </c>
      <c r="B3033" t="s">
        <v>16</v>
      </c>
      <c r="C3033" t="s">
        <v>17</v>
      </c>
      <c r="D3033">
        <v>59460000</v>
      </c>
      <c r="E3033">
        <v>59463999</v>
      </c>
      <c r="F3033" t="s">
        <v>2728</v>
      </c>
      <c r="G3033" t="str">
        <f t="shared" si="94"/>
        <v>RNR</v>
      </c>
      <c r="H3033" t="s">
        <v>2668</v>
      </c>
      <c r="I3033" t="s">
        <v>20</v>
      </c>
      <c r="J3033" t="s">
        <v>77</v>
      </c>
      <c r="K3033" s="6">
        <v>0.03</v>
      </c>
      <c r="L3033" s="7">
        <f t="shared" si="95"/>
        <v>2E-3</v>
      </c>
      <c r="M3033" s="7">
        <v>3.0000000000000001E-3</v>
      </c>
      <c r="N3033">
        <v>17</v>
      </c>
      <c r="O3033" s="8">
        <v>30.245120785802055</v>
      </c>
      <c r="P3033" s="9">
        <v>30.245120785802055</v>
      </c>
      <c r="Q3033" s="9">
        <v>30.245120785802055</v>
      </c>
      <c r="R3033" s="9">
        <v>33.285241158213239</v>
      </c>
      <c r="S3033" s="9">
        <v>36.631366552338172</v>
      </c>
      <c r="T3033" s="9">
        <v>38.909767544853885</v>
      </c>
      <c r="U3033" s="9">
        <v>46.682383152234813</v>
      </c>
      <c r="V3033" s="9">
        <v>46.682383152234813</v>
      </c>
      <c r="W3033" s="9">
        <v>46.682383152234813</v>
      </c>
      <c r="X3033" s="9">
        <v>59.921474165477775</v>
      </c>
      <c r="Y3033" s="9">
        <v>59.921474165477775</v>
      </c>
      <c r="Z3033" s="9">
        <v>69.474106781959463</v>
      </c>
      <c r="AA3033" s="9">
        <v>69.474106781959463</v>
      </c>
      <c r="AB3033" s="9">
        <v>79.249204880977274</v>
      </c>
      <c r="AC3033" s="9">
        <v>79.249204880977274</v>
      </c>
      <c r="AD3033" s="9">
        <v>89.269015010784813</v>
      </c>
      <c r="AE3033" s="9">
        <v>99.558008374461224</v>
      </c>
      <c r="AF3033" s="9">
        <v>110.14310329539315</v>
      </c>
      <c r="AG3033" s="9">
        <v>110.14310329539315</v>
      </c>
      <c r="AH3033" s="9">
        <v>121.05390992930631</v>
      </c>
      <c r="AI3033" s="9">
        <v>133.14362481567588</v>
      </c>
      <c r="AJ3033" s="9">
        <v>3.0428788910505911</v>
      </c>
    </row>
    <row r="3034" spans="1:36" x14ac:dyDescent="0.25">
      <c r="A3034" t="s">
        <v>5411</v>
      </c>
      <c r="B3034" t="s">
        <v>16</v>
      </c>
      <c r="C3034" t="s">
        <v>17</v>
      </c>
      <c r="D3034">
        <v>59464000</v>
      </c>
      <c r="E3034">
        <v>59469999</v>
      </c>
      <c r="F3034" t="s">
        <v>2729</v>
      </c>
      <c r="G3034" t="str">
        <f t="shared" si="94"/>
        <v>RNR</v>
      </c>
      <c r="H3034" t="s">
        <v>2668</v>
      </c>
      <c r="I3034" t="s">
        <v>20</v>
      </c>
      <c r="J3034" t="s">
        <v>77</v>
      </c>
      <c r="K3034" s="6">
        <v>0.03</v>
      </c>
      <c r="L3034" s="7">
        <f t="shared" si="95"/>
        <v>2E-3</v>
      </c>
      <c r="M3034" s="7">
        <v>3.0000000000000001E-3</v>
      </c>
      <c r="N3034">
        <v>17</v>
      </c>
      <c r="O3034" s="8">
        <v>30.245120785802055</v>
      </c>
      <c r="P3034" s="9">
        <v>30.245120785802055</v>
      </c>
      <c r="Q3034" s="9">
        <v>30.245120785802055</v>
      </c>
      <c r="R3034" s="9">
        <v>33.285241158213239</v>
      </c>
      <c r="S3034" s="9">
        <v>36.631366552338172</v>
      </c>
      <c r="T3034" s="9">
        <v>38.909767544853885</v>
      </c>
      <c r="U3034" s="9">
        <v>46.682383152234813</v>
      </c>
      <c r="V3034" s="9">
        <v>46.682383152234813</v>
      </c>
      <c r="W3034" s="9">
        <v>46.682383152234813</v>
      </c>
      <c r="X3034" s="9">
        <v>59.921474165477775</v>
      </c>
      <c r="Y3034" s="9">
        <v>59.921474165477775</v>
      </c>
      <c r="Z3034" s="9">
        <v>69.474106781959463</v>
      </c>
      <c r="AA3034" s="9">
        <v>69.474106781959463</v>
      </c>
      <c r="AB3034" s="9">
        <v>79.249204880977274</v>
      </c>
      <c r="AC3034" s="9">
        <v>79.249204880977274</v>
      </c>
      <c r="AD3034" s="9">
        <v>89.269015010784813</v>
      </c>
      <c r="AE3034" s="9">
        <v>99.558008374461224</v>
      </c>
      <c r="AF3034" s="9">
        <v>110.14310329539315</v>
      </c>
      <c r="AG3034" s="9">
        <v>110.14310329539315</v>
      </c>
      <c r="AH3034" s="9">
        <v>121.05390992930631</v>
      </c>
      <c r="AI3034" s="9">
        <v>133.14362481567588</v>
      </c>
      <c r="AJ3034" s="9">
        <v>3.0428788910505911</v>
      </c>
    </row>
    <row r="3035" spans="1:36" x14ac:dyDescent="0.25">
      <c r="A3035" t="s">
        <v>5411</v>
      </c>
      <c r="B3035" t="s">
        <v>16</v>
      </c>
      <c r="C3035" t="s">
        <v>17</v>
      </c>
      <c r="D3035">
        <v>59470000</v>
      </c>
      <c r="E3035">
        <v>59479999</v>
      </c>
      <c r="F3035" t="s">
        <v>2123</v>
      </c>
      <c r="G3035" t="str">
        <f t="shared" si="94"/>
        <v>RNR</v>
      </c>
      <c r="H3035" t="s">
        <v>2668</v>
      </c>
      <c r="I3035" t="s">
        <v>20</v>
      </c>
      <c r="J3035" t="s">
        <v>77</v>
      </c>
      <c r="K3035" s="6">
        <v>0.03</v>
      </c>
      <c r="L3035" s="7">
        <f t="shared" si="95"/>
        <v>2E-3</v>
      </c>
      <c r="M3035" s="7">
        <v>3.0000000000000001E-3</v>
      </c>
      <c r="N3035">
        <v>17</v>
      </c>
      <c r="O3035" s="8">
        <v>30.245120785802055</v>
      </c>
      <c r="P3035" s="9">
        <v>30.245120785802055</v>
      </c>
      <c r="Q3035" s="9">
        <v>30.245120785802055</v>
      </c>
      <c r="R3035" s="9">
        <v>33.285241158213239</v>
      </c>
      <c r="S3035" s="9">
        <v>36.631366552338172</v>
      </c>
      <c r="T3035" s="9">
        <v>38.909767544853885</v>
      </c>
      <c r="U3035" s="9">
        <v>46.682383152234813</v>
      </c>
      <c r="V3035" s="9">
        <v>46.682383152234813</v>
      </c>
      <c r="W3035" s="9">
        <v>46.682383152234813</v>
      </c>
      <c r="X3035" s="9">
        <v>59.921474165477775</v>
      </c>
      <c r="Y3035" s="9">
        <v>59.921474165477775</v>
      </c>
      <c r="Z3035" s="9">
        <v>69.474106781959463</v>
      </c>
      <c r="AA3035" s="9">
        <v>69.474106781959463</v>
      </c>
      <c r="AB3035" s="9">
        <v>79.249204880977274</v>
      </c>
      <c r="AC3035" s="9">
        <v>79.249204880977274</v>
      </c>
      <c r="AD3035" s="9">
        <v>89.269015010784813</v>
      </c>
      <c r="AE3035" s="9">
        <v>99.558008374461224</v>
      </c>
      <c r="AF3035" s="9">
        <v>110.14310329539315</v>
      </c>
      <c r="AG3035" s="9">
        <v>110.14310329539315</v>
      </c>
      <c r="AH3035" s="9">
        <v>121.05390992930631</v>
      </c>
      <c r="AI3035" s="9">
        <v>133.14362481567588</v>
      </c>
      <c r="AJ3035" s="9">
        <v>3.0428788910505911</v>
      </c>
    </row>
    <row r="3036" spans="1:36" x14ac:dyDescent="0.25">
      <c r="A3036" t="s">
        <v>5411</v>
      </c>
      <c r="B3036" t="s">
        <v>16</v>
      </c>
      <c r="C3036" t="s">
        <v>17</v>
      </c>
      <c r="D3036">
        <v>59480000</v>
      </c>
      <c r="E3036">
        <v>59489999</v>
      </c>
      <c r="F3036" t="s">
        <v>175</v>
      </c>
      <c r="G3036" t="str">
        <f t="shared" si="94"/>
        <v>RNR</v>
      </c>
      <c r="H3036" t="s">
        <v>2668</v>
      </c>
      <c r="I3036" t="s">
        <v>20</v>
      </c>
      <c r="J3036" t="s">
        <v>77</v>
      </c>
      <c r="K3036" s="6">
        <v>0.03</v>
      </c>
      <c r="L3036" s="7">
        <f t="shared" si="95"/>
        <v>2E-3</v>
      </c>
      <c r="M3036" s="7">
        <v>3.0000000000000001E-3</v>
      </c>
      <c r="N3036">
        <v>17</v>
      </c>
      <c r="O3036" s="8">
        <v>30.245120785802055</v>
      </c>
      <c r="P3036" s="9">
        <v>30.245120785802055</v>
      </c>
      <c r="Q3036" s="9">
        <v>30.245120785802055</v>
      </c>
      <c r="R3036" s="9">
        <v>33.285241158213239</v>
      </c>
      <c r="S3036" s="9">
        <v>36.631366552338172</v>
      </c>
      <c r="T3036" s="9">
        <v>38.909767544853885</v>
      </c>
      <c r="U3036" s="9">
        <v>46.682383152234813</v>
      </c>
      <c r="V3036" s="9">
        <v>46.682383152234813</v>
      </c>
      <c r="W3036" s="9">
        <v>46.682383152234813</v>
      </c>
      <c r="X3036" s="9">
        <v>59.921474165477775</v>
      </c>
      <c r="Y3036" s="9">
        <v>59.921474165477775</v>
      </c>
      <c r="Z3036" s="9">
        <v>69.474106781959463</v>
      </c>
      <c r="AA3036" s="9">
        <v>69.474106781959463</v>
      </c>
      <c r="AB3036" s="9">
        <v>79.249204880977274</v>
      </c>
      <c r="AC3036" s="9">
        <v>79.249204880977274</v>
      </c>
      <c r="AD3036" s="9">
        <v>89.269015010784813</v>
      </c>
      <c r="AE3036" s="9">
        <v>99.558008374461224</v>
      </c>
      <c r="AF3036" s="9">
        <v>110.14310329539315</v>
      </c>
      <c r="AG3036" s="9">
        <v>110.14310329539315</v>
      </c>
      <c r="AH3036" s="9">
        <v>121.05390992930631</v>
      </c>
      <c r="AI3036" s="9">
        <v>133.14362481567588</v>
      </c>
      <c r="AJ3036" s="9">
        <v>3.0428788910505911</v>
      </c>
    </row>
    <row r="3037" spans="1:36" x14ac:dyDescent="0.25">
      <c r="A3037" t="s">
        <v>5411</v>
      </c>
      <c r="B3037" t="s">
        <v>16</v>
      </c>
      <c r="C3037" t="s">
        <v>17</v>
      </c>
      <c r="D3037">
        <v>59490000</v>
      </c>
      <c r="E3037">
        <v>59499999</v>
      </c>
      <c r="F3037" t="s">
        <v>2730</v>
      </c>
      <c r="G3037" t="str">
        <f t="shared" si="94"/>
        <v>RNR</v>
      </c>
      <c r="H3037" t="s">
        <v>2668</v>
      </c>
      <c r="I3037" t="s">
        <v>20</v>
      </c>
      <c r="J3037" t="s">
        <v>77</v>
      </c>
      <c r="K3037" s="6">
        <v>0.03</v>
      </c>
      <c r="L3037" s="7">
        <f t="shared" si="95"/>
        <v>2E-3</v>
      </c>
      <c r="M3037" s="7">
        <v>3.0000000000000001E-3</v>
      </c>
      <c r="N3037">
        <v>17</v>
      </c>
      <c r="O3037" s="8">
        <v>30.245120785802055</v>
      </c>
      <c r="P3037" s="9">
        <v>30.245120785802055</v>
      </c>
      <c r="Q3037" s="9">
        <v>30.245120785802055</v>
      </c>
      <c r="R3037" s="9">
        <v>33.285241158213239</v>
      </c>
      <c r="S3037" s="9">
        <v>36.631366552338172</v>
      </c>
      <c r="T3037" s="9">
        <v>38.909767544853885</v>
      </c>
      <c r="U3037" s="9">
        <v>46.682383152234813</v>
      </c>
      <c r="V3037" s="9">
        <v>46.682383152234813</v>
      </c>
      <c r="W3037" s="9">
        <v>46.682383152234813</v>
      </c>
      <c r="X3037" s="9">
        <v>59.921474165477775</v>
      </c>
      <c r="Y3037" s="9">
        <v>59.921474165477775</v>
      </c>
      <c r="Z3037" s="9">
        <v>69.474106781959463</v>
      </c>
      <c r="AA3037" s="9">
        <v>69.474106781959463</v>
      </c>
      <c r="AB3037" s="9">
        <v>79.249204880977274</v>
      </c>
      <c r="AC3037" s="9">
        <v>79.249204880977274</v>
      </c>
      <c r="AD3037" s="9">
        <v>89.269015010784813</v>
      </c>
      <c r="AE3037" s="9">
        <v>99.558008374461224</v>
      </c>
      <c r="AF3037" s="9">
        <v>110.14310329539315</v>
      </c>
      <c r="AG3037" s="9">
        <v>110.14310329539315</v>
      </c>
      <c r="AH3037" s="9">
        <v>121.05390992930631</v>
      </c>
      <c r="AI3037" s="9">
        <v>133.14362481567588</v>
      </c>
      <c r="AJ3037" s="9">
        <v>3.0428788910505911</v>
      </c>
    </row>
    <row r="3038" spans="1:36" x14ac:dyDescent="0.25">
      <c r="A3038" t="s">
        <v>5411</v>
      </c>
      <c r="B3038" t="s">
        <v>16</v>
      </c>
      <c r="C3038" t="s">
        <v>17</v>
      </c>
      <c r="D3038">
        <v>59500000</v>
      </c>
      <c r="E3038">
        <v>59503999</v>
      </c>
      <c r="F3038" t="s">
        <v>2731</v>
      </c>
      <c r="G3038" t="str">
        <f t="shared" si="94"/>
        <v>RNR</v>
      </c>
      <c r="H3038" t="s">
        <v>2668</v>
      </c>
      <c r="I3038" t="s">
        <v>20</v>
      </c>
      <c r="J3038" t="s">
        <v>77</v>
      </c>
      <c r="K3038" s="6">
        <v>0.03</v>
      </c>
      <c r="L3038" s="7">
        <f t="shared" si="95"/>
        <v>2E-3</v>
      </c>
      <c r="M3038" s="7">
        <v>3.0000000000000001E-3</v>
      </c>
      <c r="N3038">
        <v>17</v>
      </c>
      <c r="O3038" s="8">
        <v>30.245120785802055</v>
      </c>
      <c r="P3038" s="9">
        <v>30.245120785802055</v>
      </c>
      <c r="Q3038" s="9">
        <v>30.245120785802055</v>
      </c>
      <c r="R3038" s="9">
        <v>33.285241158213239</v>
      </c>
      <c r="S3038" s="9">
        <v>36.631366552338172</v>
      </c>
      <c r="T3038" s="9">
        <v>38.909767544853885</v>
      </c>
      <c r="U3038" s="9">
        <v>46.682383152234813</v>
      </c>
      <c r="V3038" s="9">
        <v>46.682383152234813</v>
      </c>
      <c r="W3038" s="9">
        <v>46.682383152234813</v>
      </c>
      <c r="X3038" s="9">
        <v>59.921474165477775</v>
      </c>
      <c r="Y3038" s="9">
        <v>59.921474165477775</v>
      </c>
      <c r="Z3038" s="9">
        <v>69.474106781959463</v>
      </c>
      <c r="AA3038" s="9">
        <v>69.474106781959463</v>
      </c>
      <c r="AB3038" s="9">
        <v>79.249204880977274</v>
      </c>
      <c r="AC3038" s="9">
        <v>79.249204880977274</v>
      </c>
      <c r="AD3038" s="9">
        <v>89.269015010784813</v>
      </c>
      <c r="AE3038" s="9">
        <v>99.558008374461224</v>
      </c>
      <c r="AF3038" s="9">
        <v>110.14310329539315</v>
      </c>
      <c r="AG3038" s="9">
        <v>110.14310329539315</v>
      </c>
      <c r="AH3038" s="9">
        <v>121.05390992930631</v>
      </c>
      <c r="AI3038" s="9">
        <v>133.14362481567588</v>
      </c>
      <c r="AJ3038" s="9">
        <v>3.0428788910505911</v>
      </c>
    </row>
    <row r="3039" spans="1:36" x14ac:dyDescent="0.25">
      <c r="A3039" t="s">
        <v>5411</v>
      </c>
      <c r="B3039" t="s">
        <v>16</v>
      </c>
      <c r="C3039" t="s">
        <v>17</v>
      </c>
      <c r="D3039">
        <v>59504000</v>
      </c>
      <c r="E3039">
        <v>59506999</v>
      </c>
      <c r="F3039" t="s">
        <v>2732</v>
      </c>
      <c r="G3039" t="str">
        <f t="shared" si="94"/>
        <v>RNR</v>
      </c>
      <c r="H3039" t="s">
        <v>2668</v>
      </c>
      <c r="I3039" t="s">
        <v>20</v>
      </c>
      <c r="J3039" t="s">
        <v>77</v>
      </c>
      <c r="K3039" s="6">
        <v>0.03</v>
      </c>
      <c r="L3039" s="7">
        <f t="shared" si="95"/>
        <v>2E-3</v>
      </c>
      <c r="M3039" s="7">
        <v>3.0000000000000001E-3</v>
      </c>
      <c r="N3039">
        <v>17</v>
      </c>
      <c r="O3039" s="8">
        <v>30.245120785802055</v>
      </c>
      <c r="P3039" s="9">
        <v>30.245120785802055</v>
      </c>
      <c r="Q3039" s="9">
        <v>30.245120785802055</v>
      </c>
      <c r="R3039" s="9">
        <v>33.285241158213239</v>
      </c>
      <c r="S3039" s="9">
        <v>36.631366552338172</v>
      </c>
      <c r="T3039" s="9">
        <v>38.909767544853885</v>
      </c>
      <c r="U3039" s="9">
        <v>46.682383152234813</v>
      </c>
      <c r="V3039" s="9">
        <v>46.682383152234813</v>
      </c>
      <c r="W3039" s="9">
        <v>46.682383152234813</v>
      </c>
      <c r="X3039" s="9">
        <v>59.921474165477775</v>
      </c>
      <c r="Y3039" s="9">
        <v>59.921474165477775</v>
      </c>
      <c r="Z3039" s="9">
        <v>69.474106781959463</v>
      </c>
      <c r="AA3039" s="9">
        <v>69.474106781959463</v>
      </c>
      <c r="AB3039" s="9">
        <v>79.249204880977274</v>
      </c>
      <c r="AC3039" s="9">
        <v>79.249204880977274</v>
      </c>
      <c r="AD3039" s="9">
        <v>89.269015010784813</v>
      </c>
      <c r="AE3039" s="9">
        <v>99.558008374461224</v>
      </c>
      <c r="AF3039" s="9">
        <v>110.14310329539315</v>
      </c>
      <c r="AG3039" s="9">
        <v>110.14310329539315</v>
      </c>
      <c r="AH3039" s="9">
        <v>121.05390992930631</v>
      </c>
      <c r="AI3039" s="9">
        <v>133.14362481567588</v>
      </c>
      <c r="AJ3039" s="9">
        <v>3.0428788910505911</v>
      </c>
    </row>
    <row r="3040" spans="1:36" x14ac:dyDescent="0.25">
      <c r="A3040" t="s">
        <v>5411</v>
      </c>
      <c r="B3040" t="s">
        <v>16</v>
      </c>
      <c r="C3040" t="s">
        <v>17</v>
      </c>
      <c r="D3040">
        <v>59507000</v>
      </c>
      <c r="E3040">
        <v>59507999</v>
      </c>
      <c r="F3040" t="s">
        <v>2733</v>
      </c>
      <c r="G3040" t="str">
        <f t="shared" si="94"/>
        <v>RNI II</v>
      </c>
      <c r="H3040" t="s">
        <v>2668</v>
      </c>
      <c r="I3040" t="s">
        <v>20</v>
      </c>
      <c r="J3040" t="s">
        <v>64</v>
      </c>
      <c r="K3040" s="6">
        <v>0.03</v>
      </c>
      <c r="L3040" s="7">
        <f t="shared" si="95"/>
        <v>2E-3</v>
      </c>
      <c r="M3040" s="7">
        <v>3.0000000000000001E-3</v>
      </c>
      <c r="N3040">
        <v>10</v>
      </c>
      <c r="O3040" s="8">
        <v>22.322054432421936</v>
      </c>
      <c r="P3040" s="9">
        <v>22.322054432421936</v>
      </c>
      <c r="Q3040" s="9">
        <v>22.322054432421936</v>
      </c>
      <c r="R3040" s="9">
        <v>24.601819623386088</v>
      </c>
      <c r="S3040" s="9">
        <v>27.117044267047554</v>
      </c>
      <c r="T3040" s="9">
        <v>29.2369540706446</v>
      </c>
      <c r="U3040" s="9">
        <v>35.887715548778033</v>
      </c>
      <c r="V3040" s="9">
        <v>35.887715548778033</v>
      </c>
      <c r="W3040" s="9">
        <v>35.887715548778033</v>
      </c>
      <c r="X3040" s="9">
        <v>43.340441784797164</v>
      </c>
      <c r="Y3040" s="9">
        <v>43.340441784797164</v>
      </c>
      <c r="Z3040" s="9">
        <v>50.878922643217386</v>
      </c>
      <c r="AA3040" s="9">
        <v>50.878922643217386</v>
      </c>
      <c r="AB3040" s="9">
        <v>58.511733586278822</v>
      </c>
      <c r="AC3040" s="9">
        <v>58.511733586278822</v>
      </c>
      <c r="AD3040" s="9">
        <v>67.924000242999782</v>
      </c>
      <c r="AE3040" s="9">
        <v>75.106340069501698</v>
      </c>
      <c r="AF3040" s="9">
        <v>82.401730816881624</v>
      </c>
      <c r="AG3040" s="9">
        <v>82.401730816881624</v>
      </c>
      <c r="AH3040" s="9">
        <v>90.556950861998658</v>
      </c>
      <c r="AI3040" s="9">
        <v>98.65295143668034</v>
      </c>
      <c r="AJ3040" s="9">
        <v>3.0428788910505911</v>
      </c>
    </row>
    <row r="3041" spans="1:36" x14ac:dyDescent="0.25">
      <c r="A3041" t="s">
        <v>5411</v>
      </c>
      <c r="B3041" t="s">
        <v>16</v>
      </c>
      <c r="C3041" t="s">
        <v>17</v>
      </c>
      <c r="D3041">
        <v>59508000</v>
      </c>
      <c r="E3041">
        <v>59509999</v>
      </c>
      <c r="F3041" t="s">
        <v>2734</v>
      </c>
      <c r="G3041" t="str">
        <f t="shared" si="94"/>
        <v>RNR</v>
      </c>
      <c r="H3041" t="s">
        <v>2668</v>
      </c>
      <c r="I3041" t="s">
        <v>20</v>
      </c>
      <c r="J3041" t="s">
        <v>77</v>
      </c>
      <c r="K3041" s="6">
        <v>0.03</v>
      </c>
      <c r="L3041" s="7">
        <f t="shared" si="95"/>
        <v>2E-3</v>
      </c>
      <c r="M3041" s="7">
        <v>3.0000000000000001E-3</v>
      </c>
      <c r="N3041">
        <v>17</v>
      </c>
      <c r="O3041" s="8">
        <v>30.245120785802055</v>
      </c>
      <c r="P3041" s="9">
        <v>30.245120785802055</v>
      </c>
      <c r="Q3041" s="9">
        <v>30.245120785802055</v>
      </c>
      <c r="R3041" s="9">
        <v>33.285241158213239</v>
      </c>
      <c r="S3041" s="9">
        <v>36.631366552338172</v>
      </c>
      <c r="T3041" s="9">
        <v>38.909767544853885</v>
      </c>
      <c r="U3041" s="9">
        <v>46.682383152234813</v>
      </c>
      <c r="V3041" s="9">
        <v>46.682383152234813</v>
      </c>
      <c r="W3041" s="9">
        <v>46.682383152234813</v>
      </c>
      <c r="X3041" s="9">
        <v>59.921474165477775</v>
      </c>
      <c r="Y3041" s="9">
        <v>59.921474165477775</v>
      </c>
      <c r="Z3041" s="9">
        <v>69.474106781959463</v>
      </c>
      <c r="AA3041" s="9">
        <v>69.474106781959463</v>
      </c>
      <c r="AB3041" s="9">
        <v>79.249204880977274</v>
      </c>
      <c r="AC3041" s="9">
        <v>79.249204880977274</v>
      </c>
      <c r="AD3041" s="9">
        <v>89.269015010784813</v>
      </c>
      <c r="AE3041" s="9">
        <v>99.558008374461224</v>
      </c>
      <c r="AF3041" s="9">
        <v>110.14310329539315</v>
      </c>
      <c r="AG3041" s="9">
        <v>110.14310329539315</v>
      </c>
      <c r="AH3041" s="9">
        <v>121.05390992930631</v>
      </c>
      <c r="AI3041" s="9">
        <v>133.14362481567588</v>
      </c>
      <c r="AJ3041" s="9">
        <v>3.0428788910505911</v>
      </c>
    </row>
    <row r="3042" spans="1:36" x14ac:dyDescent="0.25">
      <c r="A3042" t="s">
        <v>5411</v>
      </c>
      <c r="B3042" t="s">
        <v>16</v>
      </c>
      <c r="C3042" t="s">
        <v>17</v>
      </c>
      <c r="D3042">
        <v>59510000</v>
      </c>
      <c r="E3042">
        <v>59512999</v>
      </c>
      <c r="F3042" t="s">
        <v>2735</v>
      </c>
      <c r="G3042" t="str">
        <f t="shared" si="94"/>
        <v>RNR</v>
      </c>
      <c r="H3042" t="s">
        <v>2668</v>
      </c>
      <c r="I3042" t="s">
        <v>20</v>
      </c>
      <c r="J3042" t="s">
        <v>77</v>
      </c>
      <c r="K3042" s="6">
        <v>0.03</v>
      </c>
      <c r="L3042" s="7">
        <f t="shared" si="95"/>
        <v>2E-3</v>
      </c>
      <c r="M3042" s="7">
        <v>3.0000000000000001E-3</v>
      </c>
      <c r="N3042">
        <v>17</v>
      </c>
      <c r="O3042" s="8">
        <v>30.245120785802055</v>
      </c>
      <c r="P3042" s="9">
        <v>30.245120785802055</v>
      </c>
      <c r="Q3042" s="9">
        <v>30.245120785802055</v>
      </c>
      <c r="R3042" s="9">
        <v>33.285241158213239</v>
      </c>
      <c r="S3042" s="9">
        <v>36.631366552338172</v>
      </c>
      <c r="T3042" s="9">
        <v>38.909767544853885</v>
      </c>
      <c r="U3042" s="9">
        <v>46.682383152234813</v>
      </c>
      <c r="V3042" s="9">
        <v>46.682383152234813</v>
      </c>
      <c r="W3042" s="9">
        <v>46.682383152234813</v>
      </c>
      <c r="X3042" s="9">
        <v>59.921474165477775</v>
      </c>
      <c r="Y3042" s="9">
        <v>59.921474165477775</v>
      </c>
      <c r="Z3042" s="9">
        <v>69.474106781959463</v>
      </c>
      <c r="AA3042" s="9">
        <v>69.474106781959463</v>
      </c>
      <c r="AB3042" s="9">
        <v>79.249204880977274</v>
      </c>
      <c r="AC3042" s="9">
        <v>79.249204880977274</v>
      </c>
      <c r="AD3042" s="9">
        <v>89.269015010784813</v>
      </c>
      <c r="AE3042" s="9">
        <v>99.558008374461224</v>
      </c>
      <c r="AF3042" s="9">
        <v>110.14310329539315</v>
      </c>
      <c r="AG3042" s="9">
        <v>110.14310329539315</v>
      </c>
      <c r="AH3042" s="9">
        <v>121.05390992930631</v>
      </c>
      <c r="AI3042" s="9">
        <v>133.14362481567588</v>
      </c>
      <c r="AJ3042" s="9">
        <v>3.0428788910505911</v>
      </c>
    </row>
    <row r="3043" spans="1:36" x14ac:dyDescent="0.25">
      <c r="A3043" t="s">
        <v>5411</v>
      </c>
      <c r="B3043" t="s">
        <v>16</v>
      </c>
      <c r="C3043" t="s">
        <v>17</v>
      </c>
      <c r="D3043">
        <v>59513000</v>
      </c>
      <c r="E3043">
        <v>59514999</v>
      </c>
      <c r="F3043" t="s">
        <v>2736</v>
      </c>
      <c r="G3043" t="str">
        <f t="shared" si="94"/>
        <v>RNR</v>
      </c>
      <c r="H3043" t="s">
        <v>2668</v>
      </c>
      <c r="I3043" t="s">
        <v>20</v>
      </c>
      <c r="J3043" t="s">
        <v>77</v>
      </c>
      <c r="K3043" s="6">
        <v>0.03</v>
      </c>
      <c r="L3043" s="7">
        <f t="shared" si="95"/>
        <v>2E-3</v>
      </c>
      <c r="M3043" s="7">
        <v>3.0000000000000001E-3</v>
      </c>
      <c r="N3043">
        <v>17</v>
      </c>
      <c r="O3043" s="8">
        <v>30.245120785802055</v>
      </c>
      <c r="P3043" s="9">
        <v>30.245120785802055</v>
      </c>
      <c r="Q3043" s="9">
        <v>30.245120785802055</v>
      </c>
      <c r="R3043" s="9">
        <v>33.285241158213239</v>
      </c>
      <c r="S3043" s="9">
        <v>36.631366552338172</v>
      </c>
      <c r="T3043" s="9">
        <v>38.909767544853885</v>
      </c>
      <c r="U3043" s="9">
        <v>46.682383152234813</v>
      </c>
      <c r="V3043" s="9">
        <v>46.682383152234813</v>
      </c>
      <c r="W3043" s="9">
        <v>46.682383152234813</v>
      </c>
      <c r="X3043" s="9">
        <v>59.921474165477775</v>
      </c>
      <c r="Y3043" s="9">
        <v>59.921474165477775</v>
      </c>
      <c r="Z3043" s="9">
        <v>69.474106781959463</v>
      </c>
      <c r="AA3043" s="9">
        <v>69.474106781959463</v>
      </c>
      <c r="AB3043" s="9">
        <v>79.249204880977274</v>
      </c>
      <c r="AC3043" s="9">
        <v>79.249204880977274</v>
      </c>
      <c r="AD3043" s="9">
        <v>89.269015010784813</v>
      </c>
      <c r="AE3043" s="9">
        <v>99.558008374461224</v>
      </c>
      <c r="AF3043" s="9">
        <v>110.14310329539315</v>
      </c>
      <c r="AG3043" s="9">
        <v>110.14310329539315</v>
      </c>
      <c r="AH3043" s="9">
        <v>121.05390992930631</v>
      </c>
      <c r="AI3043" s="9">
        <v>133.14362481567588</v>
      </c>
      <c r="AJ3043" s="9">
        <v>3.0428788910505911</v>
      </c>
    </row>
    <row r="3044" spans="1:36" x14ac:dyDescent="0.25">
      <c r="A3044" t="s">
        <v>5411</v>
      </c>
      <c r="B3044" t="s">
        <v>16</v>
      </c>
      <c r="C3044" t="s">
        <v>17</v>
      </c>
      <c r="D3044">
        <v>59515000</v>
      </c>
      <c r="E3044">
        <v>59516999</v>
      </c>
      <c r="F3044" t="s">
        <v>2737</v>
      </c>
      <c r="G3044" t="str">
        <f t="shared" si="94"/>
        <v>RNR</v>
      </c>
      <c r="H3044" t="s">
        <v>2668</v>
      </c>
      <c r="I3044" t="s">
        <v>20</v>
      </c>
      <c r="J3044" t="s">
        <v>77</v>
      </c>
      <c r="K3044" s="6">
        <v>0.03</v>
      </c>
      <c r="L3044" s="7">
        <f t="shared" si="95"/>
        <v>2E-3</v>
      </c>
      <c r="M3044" s="7">
        <v>3.0000000000000001E-3</v>
      </c>
      <c r="N3044">
        <v>17</v>
      </c>
      <c r="O3044" s="8">
        <v>30.245120785802055</v>
      </c>
      <c r="P3044" s="9">
        <v>30.245120785802055</v>
      </c>
      <c r="Q3044" s="9">
        <v>30.245120785802055</v>
      </c>
      <c r="R3044" s="9">
        <v>33.285241158213239</v>
      </c>
      <c r="S3044" s="9">
        <v>36.631366552338172</v>
      </c>
      <c r="T3044" s="9">
        <v>38.909767544853885</v>
      </c>
      <c r="U3044" s="9">
        <v>46.682383152234813</v>
      </c>
      <c r="V3044" s="9">
        <v>46.682383152234813</v>
      </c>
      <c r="W3044" s="9">
        <v>46.682383152234813</v>
      </c>
      <c r="X3044" s="9">
        <v>59.921474165477775</v>
      </c>
      <c r="Y3044" s="9">
        <v>59.921474165477775</v>
      </c>
      <c r="Z3044" s="9">
        <v>69.474106781959463</v>
      </c>
      <c r="AA3044" s="9">
        <v>69.474106781959463</v>
      </c>
      <c r="AB3044" s="9">
        <v>79.249204880977274</v>
      </c>
      <c r="AC3044" s="9">
        <v>79.249204880977274</v>
      </c>
      <c r="AD3044" s="9">
        <v>89.269015010784813</v>
      </c>
      <c r="AE3044" s="9">
        <v>99.558008374461224</v>
      </c>
      <c r="AF3044" s="9">
        <v>110.14310329539315</v>
      </c>
      <c r="AG3044" s="9">
        <v>110.14310329539315</v>
      </c>
      <c r="AH3044" s="9">
        <v>121.05390992930631</v>
      </c>
      <c r="AI3044" s="9">
        <v>133.14362481567588</v>
      </c>
      <c r="AJ3044" s="9">
        <v>3.0428788910505911</v>
      </c>
    </row>
    <row r="3045" spans="1:36" x14ac:dyDescent="0.25">
      <c r="A3045" t="s">
        <v>5411</v>
      </c>
      <c r="B3045" t="s">
        <v>16</v>
      </c>
      <c r="C3045" t="s">
        <v>17</v>
      </c>
      <c r="D3045">
        <v>59517000</v>
      </c>
      <c r="E3045">
        <v>59517999</v>
      </c>
      <c r="F3045" t="s">
        <v>2738</v>
      </c>
      <c r="G3045" t="str">
        <f t="shared" si="94"/>
        <v>RNR</v>
      </c>
      <c r="H3045" t="s">
        <v>2668</v>
      </c>
      <c r="I3045" t="s">
        <v>20</v>
      </c>
      <c r="J3045" t="s">
        <v>77</v>
      </c>
      <c r="K3045" s="6">
        <v>0.03</v>
      </c>
      <c r="L3045" s="7">
        <f t="shared" si="95"/>
        <v>2E-3</v>
      </c>
      <c r="M3045" s="7">
        <v>3.0000000000000001E-3</v>
      </c>
      <c r="N3045">
        <v>17</v>
      </c>
      <c r="O3045" s="8">
        <v>30.245120785802055</v>
      </c>
      <c r="P3045" s="9">
        <v>30.245120785802055</v>
      </c>
      <c r="Q3045" s="9">
        <v>30.245120785802055</v>
      </c>
      <c r="R3045" s="9">
        <v>33.285241158213239</v>
      </c>
      <c r="S3045" s="9">
        <v>36.631366552338172</v>
      </c>
      <c r="T3045" s="9">
        <v>38.909767544853885</v>
      </c>
      <c r="U3045" s="9">
        <v>46.682383152234813</v>
      </c>
      <c r="V3045" s="9">
        <v>46.682383152234813</v>
      </c>
      <c r="W3045" s="9">
        <v>46.682383152234813</v>
      </c>
      <c r="X3045" s="9">
        <v>59.921474165477775</v>
      </c>
      <c r="Y3045" s="9">
        <v>59.921474165477775</v>
      </c>
      <c r="Z3045" s="9">
        <v>69.474106781959463</v>
      </c>
      <c r="AA3045" s="9">
        <v>69.474106781959463</v>
      </c>
      <c r="AB3045" s="9">
        <v>79.249204880977274</v>
      </c>
      <c r="AC3045" s="9">
        <v>79.249204880977274</v>
      </c>
      <c r="AD3045" s="9">
        <v>89.269015010784813</v>
      </c>
      <c r="AE3045" s="9">
        <v>99.558008374461224</v>
      </c>
      <c r="AF3045" s="9">
        <v>110.14310329539315</v>
      </c>
      <c r="AG3045" s="9">
        <v>110.14310329539315</v>
      </c>
      <c r="AH3045" s="9">
        <v>121.05390992930631</v>
      </c>
      <c r="AI3045" s="9">
        <v>133.14362481567588</v>
      </c>
      <c r="AJ3045" s="9">
        <v>3.0428788910505911</v>
      </c>
    </row>
    <row r="3046" spans="1:36" x14ac:dyDescent="0.25">
      <c r="A3046" t="s">
        <v>5411</v>
      </c>
      <c r="B3046" t="s">
        <v>16</v>
      </c>
      <c r="C3046" t="s">
        <v>17</v>
      </c>
      <c r="D3046">
        <v>59518000</v>
      </c>
      <c r="E3046">
        <v>59519999</v>
      </c>
      <c r="F3046" t="s">
        <v>2739</v>
      </c>
      <c r="G3046" t="str">
        <f t="shared" si="94"/>
        <v>RNR</v>
      </c>
      <c r="H3046" t="s">
        <v>2668</v>
      </c>
      <c r="I3046" t="s">
        <v>20</v>
      </c>
      <c r="J3046" t="s">
        <v>77</v>
      </c>
      <c r="K3046" s="6">
        <v>0.03</v>
      </c>
      <c r="L3046" s="7">
        <f t="shared" si="95"/>
        <v>2E-3</v>
      </c>
      <c r="M3046" s="7">
        <v>3.0000000000000001E-3</v>
      </c>
      <c r="N3046">
        <v>17</v>
      </c>
      <c r="O3046" s="8">
        <v>30.245120785802055</v>
      </c>
      <c r="P3046" s="9">
        <v>30.245120785802055</v>
      </c>
      <c r="Q3046" s="9">
        <v>30.245120785802055</v>
      </c>
      <c r="R3046" s="9">
        <v>33.285241158213239</v>
      </c>
      <c r="S3046" s="9">
        <v>36.631366552338172</v>
      </c>
      <c r="T3046" s="9">
        <v>38.909767544853885</v>
      </c>
      <c r="U3046" s="9">
        <v>46.682383152234813</v>
      </c>
      <c r="V3046" s="9">
        <v>46.682383152234813</v>
      </c>
      <c r="W3046" s="9">
        <v>46.682383152234813</v>
      </c>
      <c r="X3046" s="9">
        <v>59.921474165477775</v>
      </c>
      <c r="Y3046" s="9">
        <v>59.921474165477775</v>
      </c>
      <c r="Z3046" s="9">
        <v>69.474106781959463</v>
      </c>
      <c r="AA3046" s="9">
        <v>69.474106781959463</v>
      </c>
      <c r="AB3046" s="9">
        <v>79.249204880977274</v>
      </c>
      <c r="AC3046" s="9">
        <v>79.249204880977274</v>
      </c>
      <c r="AD3046" s="9">
        <v>89.269015010784813</v>
      </c>
      <c r="AE3046" s="9">
        <v>99.558008374461224</v>
      </c>
      <c r="AF3046" s="9">
        <v>110.14310329539315</v>
      </c>
      <c r="AG3046" s="9">
        <v>110.14310329539315</v>
      </c>
      <c r="AH3046" s="9">
        <v>121.05390992930631</v>
      </c>
      <c r="AI3046" s="9">
        <v>133.14362481567588</v>
      </c>
      <c r="AJ3046" s="9">
        <v>3.0428788910505911</v>
      </c>
    </row>
    <row r="3047" spans="1:36" x14ac:dyDescent="0.25">
      <c r="A3047" t="s">
        <v>5411</v>
      </c>
      <c r="B3047" t="s">
        <v>16</v>
      </c>
      <c r="C3047" t="s">
        <v>17</v>
      </c>
      <c r="D3047">
        <v>59520000</v>
      </c>
      <c r="E3047">
        <v>59527999</v>
      </c>
      <c r="F3047" t="s">
        <v>2740</v>
      </c>
      <c r="G3047" t="str">
        <f t="shared" si="94"/>
        <v>RNR</v>
      </c>
      <c r="H3047" t="s">
        <v>2668</v>
      </c>
      <c r="I3047" t="s">
        <v>20</v>
      </c>
      <c r="J3047" t="s">
        <v>77</v>
      </c>
      <c r="K3047" s="6">
        <v>0.03</v>
      </c>
      <c r="L3047" s="7">
        <f t="shared" si="95"/>
        <v>2E-3</v>
      </c>
      <c r="M3047" s="7">
        <v>3.0000000000000001E-3</v>
      </c>
      <c r="N3047">
        <v>17</v>
      </c>
      <c r="O3047" s="8">
        <v>30.245120785802055</v>
      </c>
      <c r="P3047" s="9">
        <v>30.245120785802055</v>
      </c>
      <c r="Q3047" s="9">
        <v>30.245120785802055</v>
      </c>
      <c r="R3047" s="9">
        <v>33.285241158213239</v>
      </c>
      <c r="S3047" s="9">
        <v>36.631366552338172</v>
      </c>
      <c r="T3047" s="9">
        <v>38.909767544853885</v>
      </c>
      <c r="U3047" s="9">
        <v>46.682383152234813</v>
      </c>
      <c r="V3047" s="9">
        <v>46.682383152234813</v>
      </c>
      <c r="W3047" s="9">
        <v>46.682383152234813</v>
      </c>
      <c r="X3047" s="9">
        <v>59.921474165477775</v>
      </c>
      <c r="Y3047" s="9">
        <v>59.921474165477775</v>
      </c>
      <c r="Z3047" s="9">
        <v>69.474106781959463</v>
      </c>
      <c r="AA3047" s="9">
        <v>69.474106781959463</v>
      </c>
      <c r="AB3047" s="9">
        <v>79.249204880977274</v>
      </c>
      <c r="AC3047" s="9">
        <v>79.249204880977274</v>
      </c>
      <c r="AD3047" s="9">
        <v>89.269015010784813</v>
      </c>
      <c r="AE3047" s="9">
        <v>99.558008374461224</v>
      </c>
      <c r="AF3047" s="9">
        <v>110.14310329539315</v>
      </c>
      <c r="AG3047" s="9">
        <v>110.14310329539315</v>
      </c>
      <c r="AH3047" s="9">
        <v>121.05390992930631</v>
      </c>
      <c r="AI3047" s="9">
        <v>133.14362481567588</v>
      </c>
      <c r="AJ3047" s="9">
        <v>3.0428788910505911</v>
      </c>
    </row>
    <row r="3048" spans="1:36" x14ac:dyDescent="0.25">
      <c r="A3048" t="s">
        <v>5411</v>
      </c>
      <c r="B3048" t="s">
        <v>16</v>
      </c>
      <c r="C3048" t="s">
        <v>17</v>
      </c>
      <c r="D3048">
        <v>59528000</v>
      </c>
      <c r="E3048">
        <v>59529999</v>
      </c>
      <c r="F3048" t="s">
        <v>2741</v>
      </c>
      <c r="G3048" t="str">
        <f t="shared" si="94"/>
        <v>RNR</v>
      </c>
      <c r="H3048" t="s">
        <v>2668</v>
      </c>
      <c r="I3048" t="s">
        <v>20</v>
      </c>
      <c r="J3048" t="s">
        <v>77</v>
      </c>
      <c r="K3048" s="6">
        <v>0.03</v>
      </c>
      <c r="L3048" s="7">
        <f t="shared" si="95"/>
        <v>2E-3</v>
      </c>
      <c r="M3048" s="7">
        <v>3.0000000000000001E-3</v>
      </c>
      <c r="N3048">
        <v>17</v>
      </c>
      <c r="O3048" s="8">
        <v>30.245120785802055</v>
      </c>
      <c r="P3048" s="9">
        <v>30.245120785802055</v>
      </c>
      <c r="Q3048" s="9">
        <v>30.245120785802055</v>
      </c>
      <c r="R3048" s="9">
        <v>33.285241158213239</v>
      </c>
      <c r="S3048" s="9">
        <v>36.631366552338172</v>
      </c>
      <c r="T3048" s="9">
        <v>38.909767544853885</v>
      </c>
      <c r="U3048" s="9">
        <v>46.682383152234813</v>
      </c>
      <c r="V3048" s="9">
        <v>46.682383152234813</v>
      </c>
      <c r="W3048" s="9">
        <v>46.682383152234813</v>
      </c>
      <c r="X3048" s="9">
        <v>59.921474165477775</v>
      </c>
      <c r="Y3048" s="9">
        <v>59.921474165477775</v>
      </c>
      <c r="Z3048" s="9">
        <v>69.474106781959463</v>
      </c>
      <c r="AA3048" s="9">
        <v>69.474106781959463</v>
      </c>
      <c r="AB3048" s="9">
        <v>79.249204880977274</v>
      </c>
      <c r="AC3048" s="9">
        <v>79.249204880977274</v>
      </c>
      <c r="AD3048" s="9">
        <v>89.269015010784813</v>
      </c>
      <c r="AE3048" s="9">
        <v>99.558008374461224</v>
      </c>
      <c r="AF3048" s="9">
        <v>110.14310329539315</v>
      </c>
      <c r="AG3048" s="9">
        <v>110.14310329539315</v>
      </c>
      <c r="AH3048" s="9">
        <v>121.05390992930631</v>
      </c>
      <c r="AI3048" s="9">
        <v>133.14362481567588</v>
      </c>
      <c r="AJ3048" s="9">
        <v>3.0428788910505911</v>
      </c>
    </row>
    <row r="3049" spans="1:36" x14ac:dyDescent="0.25">
      <c r="A3049" t="s">
        <v>5411</v>
      </c>
      <c r="B3049" t="s">
        <v>16</v>
      </c>
      <c r="C3049" t="s">
        <v>17</v>
      </c>
      <c r="D3049">
        <v>59530000</v>
      </c>
      <c r="E3049">
        <v>59534999</v>
      </c>
      <c r="F3049" t="s">
        <v>2742</v>
      </c>
      <c r="G3049" t="str">
        <f t="shared" si="94"/>
        <v>RNR</v>
      </c>
      <c r="H3049" t="s">
        <v>2668</v>
      </c>
      <c r="I3049" t="s">
        <v>20</v>
      </c>
      <c r="J3049" t="s">
        <v>77</v>
      </c>
      <c r="K3049" s="6">
        <v>0.03</v>
      </c>
      <c r="L3049" s="7">
        <f t="shared" si="95"/>
        <v>2E-3</v>
      </c>
      <c r="M3049" s="7">
        <v>3.0000000000000001E-3</v>
      </c>
      <c r="N3049">
        <v>17</v>
      </c>
      <c r="O3049" s="8">
        <v>30.245120785802055</v>
      </c>
      <c r="P3049" s="9">
        <v>30.245120785802055</v>
      </c>
      <c r="Q3049" s="9">
        <v>30.245120785802055</v>
      </c>
      <c r="R3049" s="9">
        <v>33.285241158213239</v>
      </c>
      <c r="S3049" s="9">
        <v>36.631366552338172</v>
      </c>
      <c r="T3049" s="9">
        <v>38.909767544853885</v>
      </c>
      <c r="U3049" s="9">
        <v>46.682383152234813</v>
      </c>
      <c r="V3049" s="9">
        <v>46.682383152234813</v>
      </c>
      <c r="W3049" s="9">
        <v>46.682383152234813</v>
      </c>
      <c r="X3049" s="9">
        <v>59.921474165477775</v>
      </c>
      <c r="Y3049" s="9">
        <v>59.921474165477775</v>
      </c>
      <c r="Z3049" s="9">
        <v>69.474106781959463</v>
      </c>
      <c r="AA3049" s="9">
        <v>69.474106781959463</v>
      </c>
      <c r="AB3049" s="9">
        <v>79.249204880977274</v>
      </c>
      <c r="AC3049" s="9">
        <v>79.249204880977274</v>
      </c>
      <c r="AD3049" s="9">
        <v>89.269015010784813</v>
      </c>
      <c r="AE3049" s="9">
        <v>99.558008374461224</v>
      </c>
      <c r="AF3049" s="9">
        <v>110.14310329539315</v>
      </c>
      <c r="AG3049" s="9">
        <v>110.14310329539315</v>
      </c>
      <c r="AH3049" s="9">
        <v>121.05390992930631</v>
      </c>
      <c r="AI3049" s="9">
        <v>133.14362481567588</v>
      </c>
      <c r="AJ3049" s="9">
        <v>3.0428788910505911</v>
      </c>
    </row>
    <row r="3050" spans="1:36" x14ac:dyDescent="0.25">
      <c r="A3050" t="s">
        <v>5411</v>
      </c>
      <c r="B3050" t="s">
        <v>16</v>
      </c>
      <c r="C3050" t="s">
        <v>17</v>
      </c>
      <c r="D3050">
        <v>59535000</v>
      </c>
      <c r="E3050">
        <v>59539999</v>
      </c>
      <c r="F3050" t="s">
        <v>2743</v>
      </c>
      <c r="G3050" t="str">
        <f t="shared" si="94"/>
        <v>RNR</v>
      </c>
      <c r="H3050" t="s">
        <v>2668</v>
      </c>
      <c r="I3050" t="s">
        <v>20</v>
      </c>
      <c r="J3050" t="s">
        <v>77</v>
      </c>
      <c r="K3050" s="6">
        <v>0.03</v>
      </c>
      <c r="L3050" s="7">
        <f t="shared" si="95"/>
        <v>2E-3</v>
      </c>
      <c r="M3050" s="7">
        <v>3.0000000000000001E-3</v>
      </c>
      <c r="N3050">
        <v>17</v>
      </c>
      <c r="O3050" s="8">
        <v>30.245120785802055</v>
      </c>
      <c r="P3050" s="9">
        <v>30.245120785802055</v>
      </c>
      <c r="Q3050" s="9">
        <v>30.245120785802055</v>
      </c>
      <c r="R3050" s="9">
        <v>33.285241158213239</v>
      </c>
      <c r="S3050" s="9">
        <v>36.631366552338172</v>
      </c>
      <c r="T3050" s="9">
        <v>38.909767544853885</v>
      </c>
      <c r="U3050" s="9">
        <v>46.682383152234813</v>
      </c>
      <c r="V3050" s="9">
        <v>46.682383152234813</v>
      </c>
      <c r="W3050" s="9">
        <v>46.682383152234813</v>
      </c>
      <c r="X3050" s="9">
        <v>59.921474165477775</v>
      </c>
      <c r="Y3050" s="9">
        <v>59.921474165477775</v>
      </c>
      <c r="Z3050" s="9">
        <v>69.474106781959463</v>
      </c>
      <c r="AA3050" s="9">
        <v>69.474106781959463</v>
      </c>
      <c r="AB3050" s="9">
        <v>79.249204880977274</v>
      </c>
      <c r="AC3050" s="9">
        <v>79.249204880977274</v>
      </c>
      <c r="AD3050" s="9">
        <v>89.269015010784813</v>
      </c>
      <c r="AE3050" s="9">
        <v>99.558008374461224</v>
      </c>
      <c r="AF3050" s="9">
        <v>110.14310329539315</v>
      </c>
      <c r="AG3050" s="9">
        <v>110.14310329539315</v>
      </c>
      <c r="AH3050" s="9">
        <v>121.05390992930631</v>
      </c>
      <c r="AI3050" s="9">
        <v>133.14362481567588</v>
      </c>
      <c r="AJ3050" s="9">
        <v>3.0428788910505911</v>
      </c>
    </row>
    <row r="3051" spans="1:36" x14ac:dyDescent="0.25">
      <c r="A3051" t="s">
        <v>5411</v>
      </c>
      <c r="B3051" t="s">
        <v>16</v>
      </c>
      <c r="C3051" t="s">
        <v>17</v>
      </c>
      <c r="D3051">
        <v>59540000</v>
      </c>
      <c r="E3051">
        <v>59543999</v>
      </c>
      <c r="F3051" t="s">
        <v>2744</v>
      </c>
      <c r="G3051" t="str">
        <f t="shared" si="94"/>
        <v>RNR</v>
      </c>
      <c r="H3051" t="s">
        <v>2668</v>
      </c>
      <c r="I3051" t="s">
        <v>20</v>
      </c>
      <c r="J3051" t="s">
        <v>77</v>
      </c>
      <c r="K3051" s="6">
        <v>0.03</v>
      </c>
      <c r="L3051" s="7">
        <f t="shared" si="95"/>
        <v>2E-3</v>
      </c>
      <c r="M3051" s="7">
        <v>3.0000000000000001E-3</v>
      </c>
      <c r="N3051">
        <v>17</v>
      </c>
      <c r="O3051" s="8">
        <v>30.245120785802055</v>
      </c>
      <c r="P3051" s="9">
        <v>30.245120785802055</v>
      </c>
      <c r="Q3051" s="9">
        <v>30.245120785802055</v>
      </c>
      <c r="R3051" s="9">
        <v>33.285241158213239</v>
      </c>
      <c r="S3051" s="9">
        <v>36.631366552338172</v>
      </c>
      <c r="T3051" s="9">
        <v>38.909767544853885</v>
      </c>
      <c r="U3051" s="9">
        <v>46.682383152234813</v>
      </c>
      <c r="V3051" s="9">
        <v>46.682383152234813</v>
      </c>
      <c r="W3051" s="9">
        <v>46.682383152234813</v>
      </c>
      <c r="X3051" s="9">
        <v>59.921474165477775</v>
      </c>
      <c r="Y3051" s="9">
        <v>59.921474165477775</v>
      </c>
      <c r="Z3051" s="9">
        <v>69.474106781959463</v>
      </c>
      <c r="AA3051" s="9">
        <v>69.474106781959463</v>
      </c>
      <c r="AB3051" s="9">
        <v>79.249204880977274</v>
      </c>
      <c r="AC3051" s="9">
        <v>79.249204880977274</v>
      </c>
      <c r="AD3051" s="9">
        <v>89.269015010784813</v>
      </c>
      <c r="AE3051" s="9">
        <v>99.558008374461224</v>
      </c>
      <c r="AF3051" s="9">
        <v>110.14310329539315</v>
      </c>
      <c r="AG3051" s="9">
        <v>110.14310329539315</v>
      </c>
      <c r="AH3051" s="9">
        <v>121.05390992930631</v>
      </c>
      <c r="AI3051" s="9">
        <v>133.14362481567588</v>
      </c>
      <c r="AJ3051" s="9">
        <v>3.0428788910505911</v>
      </c>
    </row>
    <row r="3052" spans="1:36" x14ac:dyDescent="0.25">
      <c r="A3052" t="s">
        <v>5411</v>
      </c>
      <c r="B3052" t="s">
        <v>16</v>
      </c>
      <c r="C3052" t="s">
        <v>17</v>
      </c>
      <c r="D3052">
        <v>59544000</v>
      </c>
      <c r="E3052">
        <v>59546999</v>
      </c>
      <c r="F3052" t="s">
        <v>2745</v>
      </c>
      <c r="G3052" t="str">
        <f t="shared" si="94"/>
        <v>RNR</v>
      </c>
      <c r="H3052" t="s">
        <v>2668</v>
      </c>
      <c r="I3052" t="s">
        <v>20</v>
      </c>
      <c r="J3052" t="s">
        <v>77</v>
      </c>
      <c r="K3052" s="6">
        <v>0.03</v>
      </c>
      <c r="L3052" s="7">
        <f t="shared" si="95"/>
        <v>2E-3</v>
      </c>
      <c r="M3052" s="7">
        <v>3.0000000000000001E-3</v>
      </c>
      <c r="N3052">
        <v>17</v>
      </c>
      <c r="O3052" s="8">
        <v>30.245120785802055</v>
      </c>
      <c r="P3052" s="9">
        <v>30.245120785802055</v>
      </c>
      <c r="Q3052" s="9">
        <v>30.245120785802055</v>
      </c>
      <c r="R3052" s="9">
        <v>33.285241158213239</v>
      </c>
      <c r="S3052" s="9">
        <v>36.631366552338172</v>
      </c>
      <c r="T3052" s="9">
        <v>38.909767544853885</v>
      </c>
      <c r="U3052" s="9">
        <v>46.682383152234813</v>
      </c>
      <c r="V3052" s="9">
        <v>46.682383152234813</v>
      </c>
      <c r="W3052" s="9">
        <v>46.682383152234813</v>
      </c>
      <c r="X3052" s="9">
        <v>59.921474165477775</v>
      </c>
      <c r="Y3052" s="9">
        <v>59.921474165477775</v>
      </c>
      <c r="Z3052" s="9">
        <v>69.474106781959463</v>
      </c>
      <c r="AA3052" s="9">
        <v>69.474106781959463</v>
      </c>
      <c r="AB3052" s="9">
        <v>79.249204880977274</v>
      </c>
      <c r="AC3052" s="9">
        <v>79.249204880977274</v>
      </c>
      <c r="AD3052" s="9">
        <v>89.269015010784813</v>
      </c>
      <c r="AE3052" s="9">
        <v>99.558008374461224</v>
      </c>
      <c r="AF3052" s="9">
        <v>110.14310329539315</v>
      </c>
      <c r="AG3052" s="9">
        <v>110.14310329539315</v>
      </c>
      <c r="AH3052" s="9">
        <v>121.05390992930631</v>
      </c>
      <c r="AI3052" s="9">
        <v>133.14362481567588</v>
      </c>
      <c r="AJ3052" s="9">
        <v>3.0428788910505911</v>
      </c>
    </row>
    <row r="3053" spans="1:36" x14ac:dyDescent="0.25">
      <c r="A3053" t="s">
        <v>5411</v>
      </c>
      <c r="B3053" t="s">
        <v>16</v>
      </c>
      <c r="C3053" t="s">
        <v>17</v>
      </c>
      <c r="D3053">
        <v>59547000</v>
      </c>
      <c r="E3053">
        <v>59549999</v>
      </c>
      <c r="F3053" t="s">
        <v>2746</v>
      </c>
      <c r="G3053" t="str">
        <f t="shared" si="94"/>
        <v>RNR</v>
      </c>
      <c r="H3053" t="s">
        <v>2668</v>
      </c>
      <c r="I3053" t="s">
        <v>20</v>
      </c>
      <c r="J3053" t="s">
        <v>77</v>
      </c>
      <c r="K3053" s="6">
        <v>0.03</v>
      </c>
      <c r="L3053" s="7">
        <f t="shared" si="95"/>
        <v>2E-3</v>
      </c>
      <c r="M3053" s="7">
        <v>3.0000000000000001E-3</v>
      </c>
      <c r="N3053">
        <v>17</v>
      </c>
      <c r="O3053" s="8">
        <v>30.245120785802055</v>
      </c>
      <c r="P3053" s="9">
        <v>30.245120785802055</v>
      </c>
      <c r="Q3053" s="9">
        <v>30.245120785802055</v>
      </c>
      <c r="R3053" s="9">
        <v>33.285241158213239</v>
      </c>
      <c r="S3053" s="9">
        <v>36.631366552338172</v>
      </c>
      <c r="T3053" s="9">
        <v>38.909767544853885</v>
      </c>
      <c r="U3053" s="9">
        <v>46.682383152234813</v>
      </c>
      <c r="V3053" s="9">
        <v>46.682383152234813</v>
      </c>
      <c r="W3053" s="9">
        <v>46.682383152234813</v>
      </c>
      <c r="X3053" s="9">
        <v>59.921474165477775</v>
      </c>
      <c r="Y3053" s="9">
        <v>59.921474165477775</v>
      </c>
      <c r="Z3053" s="9">
        <v>69.474106781959463</v>
      </c>
      <c r="AA3053" s="9">
        <v>69.474106781959463</v>
      </c>
      <c r="AB3053" s="9">
        <v>79.249204880977274</v>
      </c>
      <c r="AC3053" s="9">
        <v>79.249204880977274</v>
      </c>
      <c r="AD3053" s="9">
        <v>89.269015010784813</v>
      </c>
      <c r="AE3053" s="9">
        <v>99.558008374461224</v>
      </c>
      <c r="AF3053" s="9">
        <v>110.14310329539315</v>
      </c>
      <c r="AG3053" s="9">
        <v>110.14310329539315</v>
      </c>
      <c r="AH3053" s="9">
        <v>121.05390992930631</v>
      </c>
      <c r="AI3053" s="9">
        <v>133.14362481567588</v>
      </c>
      <c r="AJ3053" s="9">
        <v>3.0428788910505911</v>
      </c>
    </row>
    <row r="3054" spans="1:36" x14ac:dyDescent="0.25">
      <c r="A3054" t="s">
        <v>5411</v>
      </c>
      <c r="B3054" t="s">
        <v>16</v>
      </c>
      <c r="C3054" t="s">
        <v>17</v>
      </c>
      <c r="D3054">
        <v>59550000</v>
      </c>
      <c r="E3054">
        <v>59554999</v>
      </c>
      <c r="F3054" t="s">
        <v>2747</v>
      </c>
      <c r="G3054" t="str">
        <f t="shared" si="94"/>
        <v>RNR</v>
      </c>
      <c r="H3054" t="s">
        <v>2668</v>
      </c>
      <c r="I3054" t="s">
        <v>20</v>
      </c>
      <c r="J3054" t="s">
        <v>77</v>
      </c>
      <c r="K3054" s="6">
        <v>0.03</v>
      </c>
      <c r="L3054" s="7">
        <f t="shared" si="95"/>
        <v>2E-3</v>
      </c>
      <c r="M3054" s="7">
        <v>3.0000000000000001E-3</v>
      </c>
      <c r="N3054">
        <v>17</v>
      </c>
      <c r="O3054" s="8">
        <v>30.245120785802055</v>
      </c>
      <c r="P3054" s="9">
        <v>30.245120785802055</v>
      </c>
      <c r="Q3054" s="9">
        <v>30.245120785802055</v>
      </c>
      <c r="R3054" s="9">
        <v>33.285241158213239</v>
      </c>
      <c r="S3054" s="9">
        <v>36.631366552338172</v>
      </c>
      <c r="T3054" s="9">
        <v>38.909767544853885</v>
      </c>
      <c r="U3054" s="9">
        <v>46.682383152234813</v>
      </c>
      <c r="V3054" s="9">
        <v>46.682383152234813</v>
      </c>
      <c r="W3054" s="9">
        <v>46.682383152234813</v>
      </c>
      <c r="X3054" s="9">
        <v>59.921474165477775</v>
      </c>
      <c r="Y3054" s="9">
        <v>59.921474165477775</v>
      </c>
      <c r="Z3054" s="9">
        <v>69.474106781959463</v>
      </c>
      <c r="AA3054" s="9">
        <v>69.474106781959463</v>
      </c>
      <c r="AB3054" s="9">
        <v>79.249204880977274</v>
      </c>
      <c r="AC3054" s="9">
        <v>79.249204880977274</v>
      </c>
      <c r="AD3054" s="9">
        <v>89.269015010784813</v>
      </c>
      <c r="AE3054" s="9">
        <v>99.558008374461224</v>
      </c>
      <c r="AF3054" s="9">
        <v>110.14310329539315</v>
      </c>
      <c r="AG3054" s="9">
        <v>110.14310329539315</v>
      </c>
      <c r="AH3054" s="9">
        <v>121.05390992930631</v>
      </c>
      <c r="AI3054" s="9">
        <v>133.14362481567588</v>
      </c>
      <c r="AJ3054" s="9">
        <v>3.0428788910505911</v>
      </c>
    </row>
    <row r="3055" spans="1:36" x14ac:dyDescent="0.25">
      <c r="A3055" t="s">
        <v>5411</v>
      </c>
      <c r="B3055" t="s">
        <v>16</v>
      </c>
      <c r="C3055" t="s">
        <v>17</v>
      </c>
      <c r="D3055">
        <v>59555000</v>
      </c>
      <c r="E3055">
        <v>59559999</v>
      </c>
      <c r="F3055" t="s">
        <v>2748</v>
      </c>
      <c r="G3055" t="str">
        <f t="shared" si="94"/>
        <v>RNR</v>
      </c>
      <c r="H3055" t="s">
        <v>2668</v>
      </c>
      <c r="I3055" t="s">
        <v>20</v>
      </c>
      <c r="J3055" t="s">
        <v>77</v>
      </c>
      <c r="K3055" s="6">
        <v>0.03</v>
      </c>
      <c r="L3055" s="7">
        <f t="shared" si="95"/>
        <v>2E-3</v>
      </c>
      <c r="M3055" s="7">
        <v>3.0000000000000001E-3</v>
      </c>
      <c r="N3055">
        <v>17</v>
      </c>
      <c r="O3055" s="8">
        <v>30.245120785802055</v>
      </c>
      <c r="P3055" s="9">
        <v>30.245120785802055</v>
      </c>
      <c r="Q3055" s="9">
        <v>30.245120785802055</v>
      </c>
      <c r="R3055" s="9">
        <v>33.285241158213239</v>
      </c>
      <c r="S3055" s="9">
        <v>36.631366552338172</v>
      </c>
      <c r="T3055" s="9">
        <v>38.909767544853885</v>
      </c>
      <c r="U3055" s="9">
        <v>46.682383152234813</v>
      </c>
      <c r="V3055" s="9">
        <v>46.682383152234813</v>
      </c>
      <c r="W3055" s="9">
        <v>46.682383152234813</v>
      </c>
      <c r="X3055" s="9">
        <v>59.921474165477775</v>
      </c>
      <c r="Y3055" s="9">
        <v>59.921474165477775</v>
      </c>
      <c r="Z3055" s="9">
        <v>69.474106781959463</v>
      </c>
      <c r="AA3055" s="9">
        <v>69.474106781959463</v>
      </c>
      <c r="AB3055" s="9">
        <v>79.249204880977274</v>
      </c>
      <c r="AC3055" s="9">
        <v>79.249204880977274</v>
      </c>
      <c r="AD3055" s="9">
        <v>89.269015010784813</v>
      </c>
      <c r="AE3055" s="9">
        <v>99.558008374461224</v>
      </c>
      <c r="AF3055" s="9">
        <v>110.14310329539315</v>
      </c>
      <c r="AG3055" s="9">
        <v>110.14310329539315</v>
      </c>
      <c r="AH3055" s="9">
        <v>121.05390992930631</v>
      </c>
      <c r="AI3055" s="9">
        <v>133.14362481567588</v>
      </c>
      <c r="AJ3055" s="9">
        <v>3.0428788910505911</v>
      </c>
    </row>
    <row r="3056" spans="1:36" x14ac:dyDescent="0.25">
      <c r="A3056" t="s">
        <v>5411</v>
      </c>
      <c r="B3056" t="s">
        <v>16</v>
      </c>
      <c r="C3056" t="s">
        <v>17</v>
      </c>
      <c r="D3056">
        <v>59560000</v>
      </c>
      <c r="E3056">
        <v>59564999</v>
      </c>
      <c r="F3056" t="s">
        <v>2749</v>
      </c>
      <c r="G3056" t="str">
        <f t="shared" si="94"/>
        <v>RNR</v>
      </c>
      <c r="H3056" t="s">
        <v>2668</v>
      </c>
      <c r="I3056" t="s">
        <v>20</v>
      </c>
      <c r="J3056" t="s">
        <v>77</v>
      </c>
      <c r="K3056" s="6">
        <v>0.03</v>
      </c>
      <c r="L3056" s="7">
        <f t="shared" si="95"/>
        <v>2E-3</v>
      </c>
      <c r="M3056" s="7">
        <v>3.0000000000000001E-3</v>
      </c>
      <c r="N3056">
        <v>17</v>
      </c>
      <c r="O3056" s="8">
        <v>30.245120785802055</v>
      </c>
      <c r="P3056" s="9">
        <v>30.245120785802055</v>
      </c>
      <c r="Q3056" s="9">
        <v>30.245120785802055</v>
      </c>
      <c r="R3056" s="9">
        <v>33.285241158213239</v>
      </c>
      <c r="S3056" s="9">
        <v>36.631366552338172</v>
      </c>
      <c r="T3056" s="9">
        <v>38.909767544853885</v>
      </c>
      <c r="U3056" s="9">
        <v>46.682383152234813</v>
      </c>
      <c r="V3056" s="9">
        <v>46.682383152234813</v>
      </c>
      <c r="W3056" s="9">
        <v>46.682383152234813</v>
      </c>
      <c r="X3056" s="9">
        <v>59.921474165477775</v>
      </c>
      <c r="Y3056" s="9">
        <v>59.921474165477775</v>
      </c>
      <c r="Z3056" s="9">
        <v>69.474106781959463</v>
      </c>
      <c r="AA3056" s="9">
        <v>69.474106781959463</v>
      </c>
      <c r="AB3056" s="9">
        <v>79.249204880977274</v>
      </c>
      <c r="AC3056" s="9">
        <v>79.249204880977274</v>
      </c>
      <c r="AD3056" s="9">
        <v>89.269015010784813</v>
      </c>
      <c r="AE3056" s="9">
        <v>99.558008374461224</v>
      </c>
      <c r="AF3056" s="9">
        <v>110.14310329539315</v>
      </c>
      <c r="AG3056" s="9">
        <v>110.14310329539315</v>
      </c>
      <c r="AH3056" s="9">
        <v>121.05390992930631</v>
      </c>
      <c r="AI3056" s="9">
        <v>133.14362481567588</v>
      </c>
      <c r="AJ3056" s="9">
        <v>3.0428788910505911</v>
      </c>
    </row>
    <row r="3057" spans="1:36" x14ac:dyDescent="0.25">
      <c r="A3057" t="s">
        <v>5411</v>
      </c>
      <c r="B3057" t="s">
        <v>16</v>
      </c>
      <c r="C3057" t="s">
        <v>17</v>
      </c>
      <c r="D3057">
        <v>59565000</v>
      </c>
      <c r="E3057">
        <v>59569999</v>
      </c>
      <c r="F3057" t="s">
        <v>2750</v>
      </c>
      <c r="G3057" t="str">
        <f t="shared" si="94"/>
        <v>RNR</v>
      </c>
      <c r="H3057" t="s">
        <v>2668</v>
      </c>
      <c r="I3057" t="s">
        <v>20</v>
      </c>
      <c r="J3057" t="s">
        <v>77</v>
      </c>
      <c r="K3057" s="6">
        <v>0.03</v>
      </c>
      <c r="L3057" s="7">
        <f t="shared" si="95"/>
        <v>2E-3</v>
      </c>
      <c r="M3057" s="7">
        <v>3.0000000000000001E-3</v>
      </c>
      <c r="N3057">
        <v>17</v>
      </c>
      <c r="O3057" s="8">
        <v>30.245120785802055</v>
      </c>
      <c r="P3057" s="9">
        <v>30.245120785802055</v>
      </c>
      <c r="Q3057" s="9">
        <v>30.245120785802055</v>
      </c>
      <c r="R3057" s="9">
        <v>33.285241158213239</v>
      </c>
      <c r="S3057" s="9">
        <v>36.631366552338172</v>
      </c>
      <c r="T3057" s="9">
        <v>38.909767544853885</v>
      </c>
      <c r="U3057" s="9">
        <v>46.682383152234813</v>
      </c>
      <c r="V3057" s="9">
        <v>46.682383152234813</v>
      </c>
      <c r="W3057" s="9">
        <v>46.682383152234813</v>
      </c>
      <c r="X3057" s="9">
        <v>59.921474165477775</v>
      </c>
      <c r="Y3057" s="9">
        <v>59.921474165477775</v>
      </c>
      <c r="Z3057" s="9">
        <v>69.474106781959463</v>
      </c>
      <c r="AA3057" s="9">
        <v>69.474106781959463</v>
      </c>
      <c r="AB3057" s="9">
        <v>79.249204880977274</v>
      </c>
      <c r="AC3057" s="9">
        <v>79.249204880977274</v>
      </c>
      <c r="AD3057" s="9">
        <v>89.269015010784813</v>
      </c>
      <c r="AE3057" s="9">
        <v>99.558008374461224</v>
      </c>
      <c r="AF3057" s="9">
        <v>110.14310329539315</v>
      </c>
      <c r="AG3057" s="9">
        <v>110.14310329539315</v>
      </c>
      <c r="AH3057" s="9">
        <v>121.05390992930631</v>
      </c>
      <c r="AI3057" s="9">
        <v>133.14362481567588</v>
      </c>
      <c r="AJ3057" s="9">
        <v>3.0428788910505911</v>
      </c>
    </row>
    <row r="3058" spans="1:36" x14ac:dyDescent="0.25">
      <c r="A3058" t="s">
        <v>5411</v>
      </c>
      <c r="B3058" t="s">
        <v>16</v>
      </c>
      <c r="C3058" t="s">
        <v>17</v>
      </c>
      <c r="D3058">
        <v>59570000</v>
      </c>
      <c r="E3058">
        <v>59574999</v>
      </c>
      <c r="F3058" t="s">
        <v>2751</v>
      </c>
      <c r="G3058" t="str">
        <f t="shared" si="94"/>
        <v>RNI</v>
      </c>
      <c r="H3058" t="s">
        <v>2668</v>
      </c>
      <c r="I3058" t="s">
        <v>20</v>
      </c>
      <c r="J3058" t="s">
        <v>62</v>
      </c>
      <c r="K3058" s="6">
        <v>0.03</v>
      </c>
      <c r="L3058" s="7">
        <f t="shared" si="95"/>
        <v>2E-3</v>
      </c>
      <c r="M3058" s="7">
        <v>3.0000000000000001E-3</v>
      </c>
      <c r="N3058">
        <v>13</v>
      </c>
      <c r="O3058" s="8">
        <v>18.205590499726043</v>
      </c>
      <c r="P3058" s="9">
        <v>18.205590499726043</v>
      </c>
      <c r="Q3058" s="9">
        <v>18.205590499726043</v>
      </c>
      <c r="R3058" s="9">
        <v>19.656130720470692</v>
      </c>
      <c r="S3058" s="9">
        <v>21.784711929869875</v>
      </c>
      <c r="T3058" s="9">
        <v>23.986461557775435</v>
      </c>
      <c r="U3058" s="9">
        <v>29.614947259276565</v>
      </c>
      <c r="V3058" s="9">
        <v>29.614947259276565</v>
      </c>
      <c r="W3058" s="9">
        <v>29.614947259276565</v>
      </c>
      <c r="X3058" s="9">
        <v>35.909716486522967</v>
      </c>
      <c r="Y3058" s="9">
        <v>35.909716486522967</v>
      </c>
      <c r="Z3058" s="9">
        <v>42.384355605841172</v>
      </c>
      <c r="AA3058" s="9">
        <v>42.384355605841172</v>
      </c>
      <c r="AB3058" s="9">
        <v>49.095231323943281</v>
      </c>
      <c r="AC3058" s="9">
        <v>49.095231323943281</v>
      </c>
      <c r="AD3058" s="9">
        <v>55.946958648005747</v>
      </c>
      <c r="AE3058" s="9">
        <v>62.957655224364999</v>
      </c>
      <c r="AF3058" s="9">
        <v>70.147830690870194</v>
      </c>
      <c r="AG3058" s="9">
        <v>70.147830690870194</v>
      </c>
      <c r="AH3058" s="9">
        <v>77.069094817262553</v>
      </c>
      <c r="AI3058" s="9">
        <v>84.510430321466572</v>
      </c>
      <c r="AJ3058" s="9">
        <v>3.0428788910505911</v>
      </c>
    </row>
    <row r="3059" spans="1:36" x14ac:dyDescent="0.25">
      <c r="A3059" t="s">
        <v>5411</v>
      </c>
      <c r="B3059" t="s">
        <v>16</v>
      </c>
      <c r="C3059" t="s">
        <v>17</v>
      </c>
      <c r="D3059">
        <v>59575000</v>
      </c>
      <c r="E3059">
        <v>59577999</v>
      </c>
      <c r="F3059" t="s">
        <v>2752</v>
      </c>
      <c r="G3059" t="str">
        <f t="shared" si="94"/>
        <v>RNI</v>
      </c>
      <c r="H3059" t="s">
        <v>2668</v>
      </c>
      <c r="I3059" t="s">
        <v>20</v>
      </c>
      <c r="J3059" t="s">
        <v>62</v>
      </c>
      <c r="K3059" s="6">
        <v>0.03</v>
      </c>
      <c r="L3059" s="7">
        <f t="shared" si="95"/>
        <v>2E-3</v>
      </c>
      <c r="M3059" s="7">
        <v>3.0000000000000001E-3</v>
      </c>
      <c r="N3059">
        <v>12</v>
      </c>
      <c r="O3059" s="8">
        <v>18.205590499726043</v>
      </c>
      <c r="P3059" s="9">
        <v>18.205590499726043</v>
      </c>
      <c r="Q3059" s="9">
        <v>18.205590499726043</v>
      </c>
      <c r="R3059" s="9">
        <v>19.656130720470692</v>
      </c>
      <c r="S3059" s="9">
        <v>21.784711929869875</v>
      </c>
      <c r="T3059" s="9">
        <v>23.986461557775435</v>
      </c>
      <c r="U3059" s="9">
        <v>29.614947259276565</v>
      </c>
      <c r="V3059" s="9">
        <v>29.614947259276565</v>
      </c>
      <c r="W3059" s="9">
        <v>29.614947259276565</v>
      </c>
      <c r="X3059" s="9">
        <v>35.909716486522967</v>
      </c>
      <c r="Y3059" s="9">
        <v>35.909716486522967</v>
      </c>
      <c r="Z3059" s="9">
        <v>42.384355605841172</v>
      </c>
      <c r="AA3059" s="9">
        <v>42.384355605841172</v>
      </c>
      <c r="AB3059" s="9">
        <v>49.095231323943281</v>
      </c>
      <c r="AC3059" s="9">
        <v>49.095231323943281</v>
      </c>
      <c r="AD3059" s="9">
        <v>55.946958648005747</v>
      </c>
      <c r="AE3059" s="9">
        <v>62.957655224364999</v>
      </c>
      <c r="AF3059" s="9">
        <v>70.147830690870194</v>
      </c>
      <c r="AG3059" s="9">
        <v>70.147830690870194</v>
      </c>
      <c r="AH3059" s="9">
        <v>77.069094817262553</v>
      </c>
      <c r="AI3059" s="9">
        <v>84.510430321466572</v>
      </c>
      <c r="AJ3059" s="9">
        <v>3.0428788910505911</v>
      </c>
    </row>
    <row r="3060" spans="1:36" x14ac:dyDescent="0.25">
      <c r="A3060" t="s">
        <v>5411</v>
      </c>
      <c r="B3060" t="s">
        <v>16</v>
      </c>
      <c r="C3060" t="s">
        <v>17</v>
      </c>
      <c r="D3060">
        <v>59578000</v>
      </c>
      <c r="E3060">
        <v>59579999</v>
      </c>
      <c r="F3060" t="s">
        <v>2753</v>
      </c>
      <c r="G3060" t="str">
        <f t="shared" si="94"/>
        <v>RNR</v>
      </c>
      <c r="H3060" t="s">
        <v>2668</v>
      </c>
      <c r="I3060" t="s">
        <v>20</v>
      </c>
      <c r="J3060" t="s">
        <v>77</v>
      </c>
      <c r="K3060" s="6">
        <v>0.03</v>
      </c>
      <c r="L3060" s="7">
        <f t="shared" si="95"/>
        <v>2E-3</v>
      </c>
      <c r="M3060" s="7">
        <v>3.0000000000000001E-3</v>
      </c>
      <c r="N3060">
        <v>17</v>
      </c>
      <c r="O3060" s="8">
        <v>30.245120785802055</v>
      </c>
      <c r="P3060" s="9">
        <v>30.245120785802055</v>
      </c>
      <c r="Q3060" s="9">
        <v>30.245120785802055</v>
      </c>
      <c r="R3060" s="9">
        <v>33.285241158213239</v>
      </c>
      <c r="S3060" s="9">
        <v>36.631366552338172</v>
      </c>
      <c r="T3060" s="9">
        <v>38.909767544853885</v>
      </c>
      <c r="U3060" s="9">
        <v>46.682383152234813</v>
      </c>
      <c r="V3060" s="9">
        <v>46.682383152234813</v>
      </c>
      <c r="W3060" s="9">
        <v>46.682383152234813</v>
      </c>
      <c r="X3060" s="9">
        <v>59.921474165477775</v>
      </c>
      <c r="Y3060" s="9">
        <v>59.921474165477775</v>
      </c>
      <c r="Z3060" s="9">
        <v>69.474106781959463</v>
      </c>
      <c r="AA3060" s="9">
        <v>69.474106781959463</v>
      </c>
      <c r="AB3060" s="9">
        <v>79.249204880977274</v>
      </c>
      <c r="AC3060" s="9">
        <v>79.249204880977274</v>
      </c>
      <c r="AD3060" s="9">
        <v>89.269015010784813</v>
      </c>
      <c r="AE3060" s="9">
        <v>99.558008374461224</v>
      </c>
      <c r="AF3060" s="9">
        <v>110.14310329539315</v>
      </c>
      <c r="AG3060" s="9">
        <v>110.14310329539315</v>
      </c>
      <c r="AH3060" s="9">
        <v>121.05390992930631</v>
      </c>
      <c r="AI3060" s="9">
        <v>133.14362481567588</v>
      </c>
      <c r="AJ3060" s="9">
        <v>3.0428788910505911</v>
      </c>
    </row>
    <row r="3061" spans="1:36" x14ac:dyDescent="0.25">
      <c r="A3061" t="s">
        <v>5411</v>
      </c>
      <c r="B3061" t="s">
        <v>16</v>
      </c>
      <c r="C3061" t="s">
        <v>17</v>
      </c>
      <c r="D3061">
        <v>59580000</v>
      </c>
      <c r="E3061">
        <v>59581999</v>
      </c>
      <c r="F3061" t="s">
        <v>2754</v>
      </c>
      <c r="G3061" t="str">
        <f t="shared" si="94"/>
        <v>RNR</v>
      </c>
      <c r="H3061" t="s">
        <v>2668</v>
      </c>
      <c r="I3061" t="s">
        <v>20</v>
      </c>
      <c r="J3061" t="s">
        <v>77</v>
      </c>
      <c r="K3061" s="6">
        <v>0.03</v>
      </c>
      <c r="L3061" s="7">
        <f t="shared" si="95"/>
        <v>2E-3</v>
      </c>
      <c r="M3061" s="7">
        <v>3.0000000000000001E-3</v>
      </c>
      <c r="N3061">
        <v>17</v>
      </c>
      <c r="O3061" s="8">
        <v>30.245120785802055</v>
      </c>
      <c r="P3061" s="9">
        <v>30.245120785802055</v>
      </c>
      <c r="Q3061" s="9">
        <v>30.245120785802055</v>
      </c>
      <c r="R3061" s="9">
        <v>33.285241158213239</v>
      </c>
      <c r="S3061" s="9">
        <v>36.631366552338172</v>
      </c>
      <c r="T3061" s="9">
        <v>38.909767544853885</v>
      </c>
      <c r="U3061" s="9">
        <v>46.682383152234813</v>
      </c>
      <c r="V3061" s="9">
        <v>46.682383152234813</v>
      </c>
      <c r="W3061" s="9">
        <v>46.682383152234813</v>
      </c>
      <c r="X3061" s="9">
        <v>59.921474165477775</v>
      </c>
      <c r="Y3061" s="9">
        <v>59.921474165477775</v>
      </c>
      <c r="Z3061" s="9">
        <v>69.474106781959463</v>
      </c>
      <c r="AA3061" s="9">
        <v>69.474106781959463</v>
      </c>
      <c r="AB3061" s="9">
        <v>79.249204880977274</v>
      </c>
      <c r="AC3061" s="9">
        <v>79.249204880977274</v>
      </c>
      <c r="AD3061" s="9">
        <v>89.269015010784813</v>
      </c>
      <c r="AE3061" s="9">
        <v>99.558008374461224</v>
      </c>
      <c r="AF3061" s="9">
        <v>110.14310329539315</v>
      </c>
      <c r="AG3061" s="9">
        <v>110.14310329539315</v>
      </c>
      <c r="AH3061" s="9">
        <v>121.05390992930631</v>
      </c>
      <c r="AI3061" s="9">
        <v>133.14362481567588</v>
      </c>
      <c r="AJ3061" s="9">
        <v>3.0428788910505911</v>
      </c>
    </row>
    <row r="3062" spans="1:36" x14ac:dyDescent="0.25">
      <c r="A3062" t="s">
        <v>5411</v>
      </c>
      <c r="B3062" t="s">
        <v>16</v>
      </c>
      <c r="C3062" t="s">
        <v>17</v>
      </c>
      <c r="D3062">
        <v>59582000</v>
      </c>
      <c r="E3062">
        <v>59583999</v>
      </c>
      <c r="F3062" t="s">
        <v>2755</v>
      </c>
      <c r="G3062" t="str">
        <f t="shared" si="94"/>
        <v>RNR</v>
      </c>
      <c r="H3062" t="s">
        <v>2668</v>
      </c>
      <c r="I3062" t="s">
        <v>20</v>
      </c>
      <c r="J3062" t="s">
        <v>77</v>
      </c>
      <c r="K3062" s="6">
        <v>0.03</v>
      </c>
      <c r="L3062" s="7">
        <f t="shared" si="95"/>
        <v>2E-3</v>
      </c>
      <c r="M3062" s="7">
        <v>3.0000000000000001E-3</v>
      </c>
      <c r="N3062">
        <v>17</v>
      </c>
      <c r="O3062" s="8">
        <v>30.245120785802055</v>
      </c>
      <c r="P3062" s="9">
        <v>30.245120785802055</v>
      </c>
      <c r="Q3062" s="9">
        <v>30.245120785802055</v>
      </c>
      <c r="R3062" s="9">
        <v>33.285241158213239</v>
      </c>
      <c r="S3062" s="9">
        <v>36.631366552338172</v>
      </c>
      <c r="T3062" s="9">
        <v>38.909767544853885</v>
      </c>
      <c r="U3062" s="9">
        <v>46.682383152234813</v>
      </c>
      <c r="V3062" s="9">
        <v>46.682383152234813</v>
      </c>
      <c r="W3062" s="9">
        <v>46.682383152234813</v>
      </c>
      <c r="X3062" s="9">
        <v>59.921474165477775</v>
      </c>
      <c r="Y3062" s="9">
        <v>59.921474165477775</v>
      </c>
      <c r="Z3062" s="9">
        <v>69.474106781959463</v>
      </c>
      <c r="AA3062" s="9">
        <v>69.474106781959463</v>
      </c>
      <c r="AB3062" s="9">
        <v>79.249204880977274</v>
      </c>
      <c r="AC3062" s="9">
        <v>79.249204880977274</v>
      </c>
      <c r="AD3062" s="9">
        <v>89.269015010784813</v>
      </c>
      <c r="AE3062" s="9">
        <v>99.558008374461224</v>
      </c>
      <c r="AF3062" s="9">
        <v>110.14310329539315</v>
      </c>
      <c r="AG3062" s="9">
        <v>110.14310329539315</v>
      </c>
      <c r="AH3062" s="9">
        <v>121.05390992930631</v>
      </c>
      <c r="AI3062" s="9">
        <v>133.14362481567588</v>
      </c>
      <c r="AJ3062" s="9">
        <v>3.0428788910505911</v>
      </c>
    </row>
    <row r="3063" spans="1:36" x14ac:dyDescent="0.25">
      <c r="A3063" t="s">
        <v>5411</v>
      </c>
      <c r="B3063" t="s">
        <v>16</v>
      </c>
      <c r="C3063" t="s">
        <v>17</v>
      </c>
      <c r="D3063">
        <v>59584000</v>
      </c>
      <c r="E3063">
        <v>59584999</v>
      </c>
      <c r="F3063" t="s">
        <v>2756</v>
      </c>
      <c r="G3063" t="str">
        <f t="shared" si="94"/>
        <v>RNR</v>
      </c>
      <c r="H3063" t="s">
        <v>2668</v>
      </c>
      <c r="I3063" t="s">
        <v>20</v>
      </c>
      <c r="J3063" t="s">
        <v>77</v>
      </c>
      <c r="K3063" s="6">
        <v>0.03</v>
      </c>
      <c r="L3063" s="7">
        <f t="shared" si="95"/>
        <v>2E-3</v>
      </c>
      <c r="M3063" s="7">
        <v>3.0000000000000001E-3</v>
      </c>
      <c r="N3063">
        <v>17</v>
      </c>
      <c r="O3063" s="8">
        <v>30.245120785802055</v>
      </c>
      <c r="P3063" s="9">
        <v>30.245120785802055</v>
      </c>
      <c r="Q3063" s="9">
        <v>30.245120785802055</v>
      </c>
      <c r="R3063" s="9">
        <v>33.285241158213239</v>
      </c>
      <c r="S3063" s="9">
        <v>36.631366552338172</v>
      </c>
      <c r="T3063" s="9">
        <v>38.909767544853885</v>
      </c>
      <c r="U3063" s="9">
        <v>46.682383152234813</v>
      </c>
      <c r="V3063" s="9">
        <v>46.682383152234813</v>
      </c>
      <c r="W3063" s="9">
        <v>46.682383152234813</v>
      </c>
      <c r="X3063" s="9">
        <v>59.921474165477775</v>
      </c>
      <c r="Y3063" s="9">
        <v>59.921474165477775</v>
      </c>
      <c r="Z3063" s="9">
        <v>69.474106781959463</v>
      </c>
      <c r="AA3063" s="9">
        <v>69.474106781959463</v>
      </c>
      <c r="AB3063" s="9">
        <v>79.249204880977274</v>
      </c>
      <c r="AC3063" s="9">
        <v>79.249204880977274</v>
      </c>
      <c r="AD3063" s="9">
        <v>89.269015010784813</v>
      </c>
      <c r="AE3063" s="9">
        <v>99.558008374461224</v>
      </c>
      <c r="AF3063" s="9">
        <v>110.14310329539315</v>
      </c>
      <c r="AG3063" s="9">
        <v>110.14310329539315</v>
      </c>
      <c r="AH3063" s="9">
        <v>121.05390992930631</v>
      </c>
      <c r="AI3063" s="9">
        <v>133.14362481567588</v>
      </c>
      <c r="AJ3063" s="9">
        <v>3.0428788910505911</v>
      </c>
    </row>
    <row r="3064" spans="1:36" x14ac:dyDescent="0.25">
      <c r="A3064" t="s">
        <v>5411</v>
      </c>
      <c r="B3064" t="s">
        <v>16</v>
      </c>
      <c r="C3064" t="s">
        <v>17</v>
      </c>
      <c r="D3064">
        <v>59585000</v>
      </c>
      <c r="E3064">
        <v>59585999</v>
      </c>
      <c r="F3064" t="s">
        <v>2757</v>
      </c>
      <c r="G3064" t="str">
        <f t="shared" si="94"/>
        <v>RNR</v>
      </c>
      <c r="H3064" t="s">
        <v>2668</v>
      </c>
      <c r="I3064" t="s">
        <v>20</v>
      </c>
      <c r="J3064" t="s">
        <v>77</v>
      </c>
      <c r="K3064" s="6">
        <v>0.03</v>
      </c>
      <c r="L3064" s="7">
        <f t="shared" si="95"/>
        <v>2E-3</v>
      </c>
      <c r="M3064" s="7">
        <v>3.0000000000000001E-3</v>
      </c>
      <c r="N3064">
        <v>17</v>
      </c>
      <c r="O3064" s="8">
        <v>30.245120785802055</v>
      </c>
      <c r="P3064" s="9">
        <v>30.245120785802055</v>
      </c>
      <c r="Q3064" s="9">
        <v>30.245120785802055</v>
      </c>
      <c r="R3064" s="9">
        <v>33.285241158213239</v>
      </c>
      <c r="S3064" s="9">
        <v>36.631366552338172</v>
      </c>
      <c r="T3064" s="9">
        <v>38.909767544853885</v>
      </c>
      <c r="U3064" s="9">
        <v>46.682383152234813</v>
      </c>
      <c r="V3064" s="9">
        <v>46.682383152234813</v>
      </c>
      <c r="W3064" s="9">
        <v>46.682383152234813</v>
      </c>
      <c r="X3064" s="9">
        <v>59.921474165477775</v>
      </c>
      <c r="Y3064" s="9">
        <v>59.921474165477775</v>
      </c>
      <c r="Z3064" s="9">
        <v>69.474106781959463</v>
      </c>
      <c r="AA3064" s="9">
        <v>69.474106781959463</v>
      </c>
      <c r="AB3064" s="9">
        <v>79.249204880977274</v>
      </c>
      <c r="AC3064" s="9">
        <v>79.249204880977274</v>
      </c>
      <c r="AD3064" s="9">
        <v>89.269015010784813</v>
      </c>
      <c r="AE3064" s="9">
        <v>99.558008374461224</v>
      </c>
      <c r="AF3064" s="9">
        <v>110.14310329539315</v>
      </c>
      <c r="AG3064" s="9">
        <v>110.14310329539315</v>
      </c>
      <c r="AH3064" s="9">
        <v>121.05390992930631</v>
      </c>
      <c r="AI3064" s="9">
        <v>133.14362481567588</v>
      </c>
      <c r="AJ3064" s="9">
        <v>3.0428788910505911</v>
      </c>
    </row>
    <row r="3065" spans="1:36" x14ac:dyDescent="0.25">
      <c r="A3065" t="s">
        <v>5411</v>
      </c>
      <c r="B3065" t="s">
        <v>16</v>
      </c>
      <c r="C3065" t="s">
        <v>17</v>
      </c>
      <c r="D3065">
        <v>59586000</v>
      </c>
      <c r="E3065">
        <v>59587999</v>
      </c>
      <c r="F3065" t="s">
        <v>2758</v>
      </c>
      <c r="G3065" t="str">
        <f t="shared" si="94"/>
        <v>RNR</v>
      </c>
      <c r="H3065" t="s">
        <v>2668</v>
      </c>
      <c r="I3065" t="s">
        <v>20</v>
      </c>
      <c r="J3065" t="s">
        <v>77</v>
      </c>
      <c r="K3065" s="6">
        <v>0.03</v>
      </c>
      <c r="L3065" s="7">
        <f t="shared" si="95"/>
        <v>2E-3</v>
      </c>
      <c r="M3065" s="7">
        <v>3.0000000000000001E-3</v>
      </c>
      <c r="N3065">
        <v>17</v>
      </c>
      <c r="O3065" s="8">
        <v>30.245120785802055</v>
      </c>
      <c r="P3065" s="9">
        <v>30.245120785802055</v>
      </c>
      <c r="Q3065" s="9">
        <v>30.245120785802055</v>
      </c>
      <c r="R3065" s="9">
        <v>33.285241158213239</v>
      </c>
      <c r="S3065" s="9">
        <v>36.631366552338172</v>
      </c>
      <c r="T3065" s="9">
        <v>38.909767544853885</v>
      </c>
      <c r="U3065" s="9">
        <v>46.682383152234813</v>
      </c>
      <c r="V3065" s="9">
        <v>46.682383152234813</v>
      </c>
      <c r="W3065" s="9">
        <v>46.682383152234813</v>
      </c>
      <c r="X3065" s="9">
        <v>59.921474165477775</v>
      </c>
      <c r="Y3065" s="9">
        <v>59.921474165477775</v>
      </c>
      <c r="Z3065" s="9">
        <v>69.474106781959463</v>
      </c>
      <c r="AA3065" s="9">
        <v>69.474106781959463</v>
      </c>
      <c r="AB3065" s="9">
        <v>79.249204880977274</v>
      </c>
      <c r="AC3065" s="9">
        <v>79.249204880977274</v>
      </c>
      <c r="AD3065" s="9">
        <v>89.269015010784813</v>
      </c>
      <c r="AE3065" s="9">
        <v>99.558008374461224</v>
      </c>
      <c r="AF3065" s="9">
        <v>110.14310329539315</v>
      </c>
      <c r="AG3065" s="9">
        <v>110.14310329539315</v>
      </c>
      <c r="AH3065" s="9">
        <v>121.05390992930631</v>
      </c>
      <c r="AI3065" s="9">
        <v>133.14362481567588</v>
      </c>
      <c r="AJ3065" s="9">
        <v>3.0428788910505911</v>
      </c>
    </row>
    <row r="3066" spans="1:36" x14ac:dyDescent="0.25">
      <c r="A3066" t="s">
        <v>5411</v>
      </c>
      <c r="B3066" t="s">
        <v>16</v>
      </c>
      <c r="C3066" t="s">
        <v>17</v>
      </c>
      <c r="D3066">
        <v>59588000</v>
      </c>
      <c r="E3066">
        <v>59589999</v>
      </c>
      <c r="F3066" t="s">
        <v>2759</v>
      </c>
      <c r="G3066" t="str">
        <f t="shared" si="94"/>
        <v>RNR</v>
      </c>
      <c r="H3066" t="s">
        <v>2668</v>
      </c>
      <c r="I3066" t="s">
        <v>20</v>
      </c>
      <c r="J3066" t="s">
        <v>77</v>
      </c>
      <c r="K3066" s="6">
        <v>0.03</v>
      </c>
      <c r="L3066" s="7">
        <f t="shared" si="95"/>
        <v>2E-3</v>
      </c>
      <c r="M3066" s="7">
        <v>3.0000000000000001E-3</v>
      </c>
      <c r="N3066">
        <v>17</v>
      </c>
      <c r="O3066" s="8">
        <v>30.245120785802055</v>
      </c>
      <c r="P3066" s="9">
        <v>30.245120785802055</v>
      </c>
      <c r="Q3066" s="9">
        <v>30.245120785802055</v>
      </c>
      <c r="R3066" s="9">
        <v>33.285241158213239</v>
      </c>
      <c r="S3066" s="9">
        <v>36.631366552338172</v>
      </c>
      <c r="T3066" s="9">
        <v>38.909767544853885</v>
      </c>
      <c r="U3066" s="9">
        <v>46.682383152234813</v>
      </c>
      <c r="V3066" s="9">
        <v>46.682383152234813</v>
      </c>
      <c r="W3066" s="9">
        <v>46.682383152234813</v>
      </c>
      <c r="X3066" s="9">
        <v>59.921474165477775</v>
      </c>
      <c r="Y3066" s="9">
        <v>59.921474165477775</v>
      </c>
      <c r="Z3066" s="9">
        <v>69.474106781959463</v>
      </c>
      <c r="AA3066" s="9">
        <v>69.474106781959463</v>
      </c>
      <c r="AB3066" s="9">
        <v>79.249204880977274</v>
      </c>
      <c r="AC3066" s="9">
        <v>79.249204880977274</v>
      </c>
      <c r="AD3066" s="9">
        <v>89.269015010784813</v>
      </c>
      <c r="AE3066" s="9">
        <v>99.558008374461224</v>
      </c>
      <c r="AF3066" s="9">
        <v>110.14310329539315</v>
      </c>
      <c r="AG3066" s="9">
        <v>110.14310329539315</v>
      </c>
      <c r="AH3066" s="9">
        <v>121.05390992930631</v>
      </c>
      <c r="AI3066" s="9">
        <v>133.14362481567588</v>
      </c>
      <c r="AJ3066" s="9">
        <v>3.0428788910505911</v>
      </c>
    </row>
    <row r="3067" spans="1:36" x14ac:dyDescent="0.25">
      <c r="A3067" t="s">
        <v>5411</v>
      </c>
      <c r="B3067" t="s">
        <v>16</v>
      </c>
      <c r="C3067" t="s">
        <v>17</v>
      </c>
      <c r="D3067">
        <v>59590000</v>
      </c>
      <c r="E3067">
        <v>59591999</v>
      </c>
      <c r="F3067" t="s">
        <v>2760</v>
      </c>
      <c r="G3067" t="str">
        <f t="shared" si="94"/>
        <v>RNR</v>
      </c>
      <c r="H3067" t="s">
        <v>2668</v>
      </c>
      <c r="I3067" t="s">
        <v>20</v>
      </c>
      <c r="J3067" t="s">
        <v>77</v>
      </c>
      <c r="K3067" s="6">
        <v>0.03</v>
      </c>
      <c r="L3067" s="7">
        <f t="shared" si="95"/>
        <v>2E-3</v>
      </c>
      <c r="M3067" s="7">
        <v>3.0000000000000001E-3</v>
      </c>
      <c r="N3067">
        <v>17</v>
      </c>
      <c r="O3067" s="8">
        <v>30.245120785802055</v>
      </c>
      <c r="P3067" s="9">
        <v>30.245120785802055</v>
      </c>
      <c r="Q3067" s="9">
        <v>30.245120785802055</v>
      </c>
      <c r="R3067" s="9">
        <v>33.285241158213239</v>
      </c>
      <c r="S3067" s="9">
        <v>36.631366552338172</v>
      </c>
      <c r="T3067" s="9">
        <v>38.909767544853885</v>
      </c>
      <c r="U3067" s="9">
        <v>46.682383152234813</v>
      </c>
      <c r="V3067" s="9">
        <v>46.682383152234813</v>
      </c>
      <c r="W3067" s="9">
        <v>46.682383152234813</v>
      </c>
      <c r="X3067" s="9">
        <v>59.921474165477775</v>
      </c>
      <c r="Y3067" s="9">
        <v>59.921474165477775</v>
      </c>
      <c r="Z3067" s="9">
        <v>69.474106781959463</v>
      </c>
      <c r="AA3067" s="9">
        <v>69.474106781959463</v>
      </c>
      <c r="AB3067" s="9">
        <v>79.249204880977274</v>
      </c>
      <c r="AC3067" s="9">
        <v>79.249204880977274</v>
      </c>
      <c r="AD3067" s="9">
        <v>89.269015010784813</v>
      </c>
      <c r="AE3067" s="9">
        <v>99.558008374461224</v>
      </c>
      <c r="AF3067" s="9">
        <v>110.14310329539315</v>
      </c>
      <c r="AG3067" s="9">
        <v>110.14310329539315</v>
      </c>
      <c r="AH3067" s="9">
        <v>121.05390992930631</v>
      </c>
      <c r="AI3067" s="9">
        <v>133.14362481567588</v>
      </c>
      <c r="AJ3067" s="9">
        <v>3.0428788910505911</v>
      </c>
    </row>
    <row r="3068" spans="1:36" x14ac:dyDescent="0.25">
      <c r="A3068" t="s">
        <v>5411</v>
      </c>
      <c r="B3068" t="s">
        <v>16</v>
      </c>
      <c r="C3068" t="s">
        <v>17</v>
      </c>
      <c r="D3068">
        <v>59592000</v>
      </c>
      <c r="E3068">
        <v>59593999</v>
      </c>
      <c r="F3068" t="s">
        <v>2761</v>
      </c>
      <c r="G3068" t="str">
        <f t="shared" si="94"/>
        <v>RNR</v>
      </c>
      <c r="H3068" t="s">
        <v>2668</v>
      </c>
      <c r="I3068" t="s">
        <v>20</v>
      </c>
      <c r="J3068" t="s">
        <v>77</v>
      </c>
      <c r="K3068" s="6">
        <v>0.03</v>
      </c>
      <c r="L3068" s="7">
        <f t="shared" si="95"/>
        <v>2E-3</v>
      </c>
      <c r="M3068" s="7">
        <v>3.0000000000000001E-3</v>
      </c>
      <c r="N3068">
        <v>17</v>
      </c>
      <c r="O3068" s="8">
        <v>30.245120785802055</v>
      </c>
      <c r="P3068" s="9">
        <v>30.245120785802055</v>
      </c>
      <c r="Q3068" s="9">
        <v>30.245120785802055</v>
      </c>
      <c r="R3068" s="9">
        <v>33.285241158213239</v>
      </c>
      <c r="S3068" s="9">
        <v>36.631366552338172</v>
      </c>
      <c r="T3068" s="9">
        <v>38.909767544853885</v>
      </c>
      <c r="U3068" s="9">
        <v>46.682383152234813</v>
      </c>
      <c r="V3068" s="9">
        <v>46.682383152234813</v>
      </c>
      <c r="W3068" s="9">
        <v>46.682383152234813</v>
      </c>
      <c r="X3068" s="9">
        <v>59.921474165477775</v>
      </c>
      <c r="Y3068" s="9">
        <v>59.921474165477775</v>
      </c>
      <c r="Z3068" s="9">
        <v>69.474106781959463</v>
      </c>
      <c r="AA3068" s="9">
        <v>69.474106781959463</v>
      </c>
      <c r="AB3068" s="9">
        <v>79.249204880977274</v>
      </c>
      <c r="AC3068" s="9">
        <v>79.249204880977274</v>
      </c>
      <c r="AD3068" s="9">
        <v>89.269015010784813</v>
      </c>
      <c r="AE3068" s="9">
        <v>99.558008374461224</v>
      </c>
      <c r="AF3068" s="9">
        <v>110.14310329539315</v>
      </c>
      <c r="AG3068" s="9">
        <v>110.14310329539315</v>
      </c>
      <c r="AH3068" s="9">
        <v>121.05390992930631</v>
      </c>
      <c r="AI3068" s="9">
        <v>133.14362481567588</v>
      </c>
      <c r="AJ3068" s="9">
        <v>3.0428788910505911</v>
      </c>
    </row>
    <row r="3069" spans="1:36" x14ac:dyDescent="0.25">
      <c r="A3069" t="s">
        <v>5411</v>
      </c>
      <c r="B3069" t="s">
        <v>16</v>
      </c>
      <c r="C3069" t="s">
        <v>17</v>
      </c>
      <c r="D3069">
        <v>59594000</v>
      </c>
      <c r="E3069">
        <v>59595999</v>
      </c>
      <c r="F3069" t="s">
        <v>2055</v>
      </c>
      <c r="G3069" t="str">
        <f t="shared" si="94"/>
        <v>RNR</v>
      </c>
      <c r="H3069" t="s">
        <v>2668</v>
      </c>
      <c r="I3069" t="s">
        <v>20</v>
      </c>
      <c r="J3069" t="s">
        <v>77</v>
      </c>
      <c r="K3069" s="6">
        <v>0.03</v>
      </c>
      <c r="L3069" s="7">
        <f t="shared" si="95"/>
        <v>2E-3</v>
      </c>
      <c r="M3069" s="7">
        <v>3.0000000000000001E-3</v>
      </c>
      <c r="N3069">
        <v>17</v>
      </c>
      <c r="O3069" s="8">
        <v>30.245120785802055</v>
      </c>
      <c r="P3069" s="9">
        <v>30.245120785802055</v>
      </c>
      <c r="Q3069" s="9">
        <v>30.245120785802055</v>
      </c>
      <c r="R3069" s="9">
        <v>33.285241158213239</v>
      </c>
      <c r="S3069" s="9">
        <v>36.631366552338172</v>
      </c>
      <c r="T3069" s="9">
        <v>38.909767544853885</v>
      </c>
      <c r="U3069" s="9">
        <v>46.682383152234813</v>
      </c>
      <c r="V3069" s="9">
        <v>46.682383152234813</v>
      </c>
      <c r="W3069" s="9">
        <v>46.682383152234813</v>
      </c>
      <c r="X3069" s="9">
        <v>59.921474165477775</v>
      </c>
      <c r="Y3069" s="9">
        <v>59.921474165477775</v>
      </c>
      <c r="Z3069" s="9">
        <v>69.474106781959463</v>
      </c>
      <c r="AA3069" s="9">
        <v>69.474106781959463</v>
      </c>
      <c r="AB3069" s="9">
        <v>79.249204880977274</v>
      </c>
      <c r="AC3069" s="9">
        <v>79.249204880977274</v>
      </c>
      <c r="AD3069" s="9">
        <v>89.269015010784813</v>
      </c>
      <c r="AE3069" s="9">
        <v>99.558008374461224</v>
      </c>
      <c r="AF3069" s="9">
        <v>110.14310329539315</v>
      </c>
      <c r="AG3069" s="9">
        <v>110.14310329539315</v>
      </c>
      <c r="AH3069" s="9">
        <v>121.05390992930631</v>
      </c>
      <c r="AI3069" s="9">
        <v>133.14362481567588</v>
      </c>
      <c r="AJ3069" s="9">
        <v>3.0428788910505911</v>
      </c>
    </row>
    <row r="3070" spans="1:36" x14ac:dyDescent="0.25">
      <c r="A3070" t="s">
        <v>5411</v>
      </c>
      <c r="B3070" t="s">
        <v>16</v>
      </c>
      <c r="C3070" t="s">
        <v>17</v>
      </c>
      <c r="D3070">
        <v>59596000</v>
      </c>
      <c r="E3070">
        <v>59597999</v>
      </c>
      <c r="F3070" t="s">
        <v>2762</v>
      </c>
      <c r="G3070" t="str">
        <f t="shared" si="94"/>
        <v>RNR</v>
      </c>
      <c r="H3070" t="s">
        <v>2668</v>
      </c>
      <c r="I3070" t="s">
        <v>20</v>
      </c>
      <c r="J3070" t="s">
        <v>77</v>
      </c>
      <c r="K3070" s="6">
        <v>0.03</v>
      </c>
      <c r="L3070" s="7">
        <f t="shared" si="95"/>
        <v>2E-3</v>
      </c>
      <c r="M3070" s="7">
        <v>3.0000000000000001E-3</v>
      </c>
      <c r="N3070">
        <v>17</v>
      </c>
      <c r="O3070" s="8">
        <v>30.245120785802055</v>
      </c>
      <c r="P3070" s="9">
        <v>30.245120785802055</v>
      </c>
      <c r="Q3070" s="9">
        <v>30.245120785802055</v>
      </c>
      <c r="R3070" s="9">
        <v>33.285241158213239</v>
      </c>
      <c r="S3070" s="9">
        <v>36.631366552338172</v>
      </c>
      <c r="T3070" s="9">
        <v>38.909767544853885</v>
      </c>
      <c r="U3070" s="9">
        <v>46.682383152234813</v>
      </c>
      <c r="V3070" s="9">
        <v>46.682383152234813</v>
      </c>
      <c r="W3070" s="9">
        <v>46.682383152234813</v>
      </c>
      <c r="X3070" s="9">
        <v>59.921474165477775</v>
      </c>
      <c r="Y3070" s="9">
        <v>59.921474165477775</v>
      </c>
      <c r="Z3070" s="9">
        <v>69.474106781959463</v>
      </c>
      <c r="AA3070" s="9">
        <v>69.474106781959463</v>
      </c>
      <c r="AB3070" s="9">
        <v>79.249204880977274</v>
      </c>
      <c r="AC3070" s="9">
        <v>79.249204880977274</v>
      </c>
      <c r="AD3070" s="9">
        <v>89.269015010784813</v>
      </c>
      <c r="AE3070" s="9">
        <v>99.558008374461224</v>
      </c>
      <c r="AF3070" s="9">
        <v>110.14310329539315</v>
      </c>
      <c r="AG3070" s="9">
        <v>110.14310329539315</v>
      </c>
      <c r="AH3070" s="9">
        <v>121.05390992930631</v>
      </c>
      <c r="AI3070" s="9">
        <v>133.14362481567588</v>
      </c>
      <c r="AJ3070" s="9">
        <v>3.0428788910505911</v>
      </c>
    </row>
    <row r="3071" spans="1:36" x14ac:dyDescent="0.25">
      <c r="A3071" t="s">
        <v>5411</v>
      </c>
      <c r="B3071" t="s">
        <v>16</v>
      </c>
      <c r="C3071" t="s">
        <v>17</v>
      </c>
      <c r="D3071">
        <v>59598000</v>
      </c>
      <c r="E3071">
        <v>59599999</v>
      </c>
      <c r="F3071" t="s">
        <v>2763</v>
      </c>
      <c r="G3071" t="str">
        <f t="shared" si="94"/>
        <v>RNR</v>
      </c>
      <c r="H3071" t="s">
        <v>2668</v>
      </c>
      <c r="I3071" t="s">
        <v>20</v>
      </c>
      <c r="J3071" t="s">
        <v>77</v>
      </c>
      <c r="K3071" s="6">
        <v>0.03</v>
      </c>
      <c r="L3071" s="7">
        <f t="shared" si="95"/>
        <v>2E-3</v>
      </c>
      <c r="M3071" s="7">
        <v>3.0000000000000001E-3</v>
      </c>
      <c r="N3071">
        <v>17</v>
      </c>
      <c r="O3071" s="8">
        <v>30.245120785802055</v>
      </c>
      <c r="P3071" s="9">
        <v>30.245120785802055</v>
      </c>
      <c r="Q3071" s="9">
        <v>30.245120785802055</v>
      </c>
      <c r="R3071" s="9">
        <v>33.285241158213239</v>
      </c>
      <c r="S3071" s="9">
        <v>36.631366552338172</v>
      </c>
      <c r="T3071" s="9">
        <v>38.909767544853885</v>
      </c>
      <c r="U3071" s="9">
        <v>46.682383152234813</v>
      </c>
      <c r="V3071" s="9">
        <v>46.682383152234813</v>
      </c>
      <c r="W3071" s="9">
        <v>46.682383152234813</v>
      </c>
      <c r="X3071" s="9">
        <v>59.921474165477775</v>
      </c>
      <c r="Y3071" s="9">
        <v>59.921474165477775</v>
      </c>
      <c r="Z3071" s="9">
        <v>69.474106781959463</v>
      </c>
      <c r="AA3071" s="9">
        <v>69.474106781959463</v>
      </c>
      <c r="AB3071" s="9">
        <v>79.249204880977274</v>
      </c>
      <c r="AC3071" s="9">
        <v>79.249204880977274</v>
      </c>
      <c r="AD3071" s="9">
        <v>89.269015010784813</v>
      </c>
      <c r="AE3071" s="9">
        <v>99.558008374461224</v>
      </c>
      <c r="AF3071" s="9">
        <v>110.14310329539315</v>
      </c>
      <c r="AG3071" s="9">
        <v>110.14310329539315</v>
      </c>
      <c r="AH3071" s="9">
        <v>121.05390992930631</v>
      </c>
      <c r="AI3071" s="9">
        <v>133.14362481567588</v>
      </c>
      <c r="AJ3071" s="9">
        <v>3.0428788910505911</v>
      </c>
    </row>
    <row r="3072" spans="1:36" x14ac:dyDescent="0.25">
      <c r="A3072" t="s">
        <v>5411</v>
      </c>
      <c r="B3072" t="s">
        <v>16</v>
      </c>
      <c r="C3072" t="s">
        <v>17</v>
      </c>
      <c r="D3072">
        <v>59600000</v>
      </c>
      <c r="E3072">
        <v>59649999</v>
      </c>
      <c r="F3072" t="s">
        <v>2764</v>
      </c>
      <c r="G3072" t="str">
        <f t="shared" si="94"/>
        <v>RNI II</v>
      </c>
      <c r="H3072" t="s">
        <v>2668</v>
      </c>
      <c r="I3072" t="s">
        <v>20</v>
      </c>
      <c r="J3072" t="s">
        <v>64</v>
      </c>
      <c r="K3072" s="6">
        <v>0.03</v>
      </c>
      <c r="L3072" s="7">
        <f t="shared" si="95"/>
        <v>2E-3</v>
      </c>
      <c r="M3072" s="7">
        <v>3.0000000000000001E-3</v>
      </c>
      <c r="N3072">
        <v>11</v>
      </c>
      <c r="O3072" s="8">
        <v>22.322054432421936</v>
      </c>
      <c r="P3072" s="9">
        <v>22.322054432421936</v>
      </c>
      <c r="Q3072" s="9">
        <v>22.322054432421936</v>
      </c>
      <c r="R3072" s="9">
        <v>24.601819623386088</v>
      </c>
      <c r="S3072" s="9">
        <v>27.117044267047554</v>
      </c>
      <c r="T3072" s="9">
        <v>29.2369540706446</v>
      </c>
      <c r="U3072" s="9">
        <v>35.887715548778033</v>
      </c>
      <c r="V3072" s="9">
        <v>35.887715548778033</v>
      </c>
      <c r="W3072" s="9">
        <v>35.887715548778033</v>
      </c>
      <c r="X3072" s="9">
        <v>43.340441784797164</v>
      </c>
      <c r="Y3072" s="9">
        <v>43.340441784797164</v>
      </c>
      <c r="Z3072" s="9">
        <v>50.878922643217386</v>
      </c>
      <c r="AA3072" s="9">
        <v>50.878922643217386</v>
      </c>
      <c r="AB3072" s="9">
        <v>58.511733586278822</v>
      </c>
      <c r="AC3072" s="9">
        <v>58.511733586278822</v>
      </c>
      <c r="AD3072" s="9">
        <v>67.924000242999782</v>
      </c>
      <c r="AE3072" s="9">
        <v>75.106340069501698</v>
      </c>
      <c r="AF3072" s="9">
        <v>82.401730816881624</v>
      </c>
      <c r="AG3072" s="9">
        <v>82.401730816881624</v>
      </c>
      <c r="AH3072" s="9">
        <v>90.556950861998658</v>
      </c>
      <c r="AI3072" s="9">
        <v>98.65295143668034</v>
      </c>
      <c r="AJ3072" s="9">
        <v>3.0428788910505911</v>
      </c>
    </row>
    <row r="3073" spans="1:36" x14ac:dyDescent="0.25">
      <c r="A3073" t="s">
        <v>5411</v>
      </c>
      <c r="B3073" t="s">
        <v>16</v>
      </c>
      <c r="C3073" t="s">
        <v>17</v>
      </c>
      <c r="D3073">
        <v>59650000</v>
      </c>
      <c r="E3073">
        <v>59654999</v>
      </c>
      <c r="F3073" t="s">
        <v>2765</v>
      </c>
      <c r="G3073" t="str">
        <f t="shared" si="94"/>
        <v>RNI II</v>
      </c>
      <c r="H3073" t="s">
        <v>2668</v>
      </c>
      <c r="I3073" t="s">
        <v>20</v>
      </c>
      <c r="J3073" t="s">
        <v>64</v>
      </c>
      <c r="K3073" s="6">
        <v>0.03</v>
      </c>
      <c r="L3073" s="7">
        <f t="shared" si="95"/>
        <v>2E-3</v>
      </c>
      <c r="M3073" s="7">
        <v>3.0000000000000001E-3</v>
      </c>
      <c r="N3073">
        <v>12</v>
      </c>
      <c r="O3073" s="8">
        <v>22.322054432421936</v>
      </c>
      <c r="P3073" s="9">
        <v>22.322054432421936</v>
      </c>
      <c r="Q3073" s="9">
        <v>22.322054432421936</v>
      </c>
      <c r="R3073" s="9">
        <v>24.601819623386088</v>
      </c>
      <c r="S3073" s="9">
        <v>27.117044267047554</v>
      </c>
      <c r="T3073" s="9">
        <v>29.2369540706446</v>
      </c>
      <c r="U3073" s="9">
        <v>35.887715548778033</v>
      </c>
      <c r="V3073" s="9">
        <v>35.887715548778033</v>
      </c>
      <c r="W3073" s="9">
        <v>35.887715548778033</v>
      </c>
      <c r="X3073" s="9">
        <v>43.340441784797164</v>
      </c>
      <c r="Y3073" s="9">
        <v>43.340441784797164</v>
      </c>
      <c r="Z3073" s="9">
        <v>50.878922643217386</v>
      </c>
      <c r="AA3073" s="9">
        <v>50.878922643217386</v>
      </c>
      <c r="AB3073" s="9">
        <v>58.511733586278822</v>
      </c>
      <c r="AC3073" s="9">
        <v>58.511733586278822</v>
      </c>
      <c r="AD3073" s="9">
        <v>67.924000242999782</v>
      </c>
      <c r="AE3073" s="9">
        <v>75.106340069501698</v>
      </c>
      <c r="AF3073" s="9">
        <v>82.401730816881624</v>
      </c>
      <c r="AG3073" s="9">
        <v>82.401730816881624</v>
      </c>
      <c r="AH3073" s="9">
        <v>90.556950861998658</v>
      </c>
      <c r="AI3073" s="9">
        <v>98.65295143668034</v>
      </c>
      <c r="AJ3073" s="9">
        <v>3.0428788910505911</v>
      </c>
    </row>
    <row r="3074" spans="1:36" x14ac:dyDescent="0.25">
      <c r="A3074" t="s">
        <v>5411</v>
      </c>
      <c r="B3074" t="s">
        <v>16</v>
      </c>
      <c r="C3074" t="s">
        <v>17</v>
      </c>
      <c r="D3074">
        <v>59655000</v>
      </c>
      <c r="E3074">
        <v>59659999</v>
      </c>
      <c r="F3074" t="s">
        <v>2157</v>
      </c>
      <c r="G3074" t="str">
        <f t="shared" si="94"/>
        <v>RNI II</v>
      </c>
      <c r="H3074" t="s">
        <v>2668</v>
      </c>
      <c r="I3074" t="s">
        <v>20</v>
      </c>
      <c r="J3074" t="s">
        <v>64</v>
      </c>
      <c r="K3074" s="6">
        <v>0.03</v>
      </c>
      <c r="L3074" s="7">
        <f t="shared" si="95"/>
        <v>2E-3</v>
      </c>
      <c r="M3074" s="7">
        <v>3.0000000000000001E-3</v>
      </c>
      <c r="N3074">
        <v>11</v>
      </c>
      <c r="O3074" s="8">
        <v>22.322054432421936</v>
      </c>
      <c r="P3074" s="9">
        <v>22.322054432421936</v>
      </c>
      <c r="Q3074" s="9">
        <v>22.322054432421936</v>
      </c>
      <c r="R3074" s="9">
        <v>24.601819623386088</v>
      </c>
      <c r="S3074" s="9">
        <v>27.117044267047554</v>
      </c>
      <c r="T3074" s="9">
        <v>29.2369540706446</v>
      </c>
      <c r="U3074" s="9">
        <v>35.887715548778033</v>
      </c>
      <c r="V3074" s="9">
        <v>35.887715548778033</v>
      </c>
      <c r="W3074" s="9">
        <v>35.887715548778033</v>
      </c>
      <c r="X3074" s="9">
        <v>43.340441784797164</v>
      </c>
      <c r="Y3074" s="9">
        <v>43.340441784797164</v>
      </c>
      <c r="Z3074" s="9">
        <v>50.878922643217386</v>
      </c>
      <c r="AA3074" s="9">
        <v>50.878922643217386</v>
      </c>
      <c r="AB3074" s="9">
        <v>58.511733586278822</v>
      </c>
      <c r="AC3074" s="9">
        <v>58.511733586278822</v>
      </c>
      <c r="AD3074" s="9">
        <v>67.924000242999782</v>
      </c>
      <c r="AE3074" s="9">
        <v>75.106340069501698</v>
      </c>
      <c r="AF3074" s="9">
        <v>82.401730816881624</v>
      </c>
      <c r="AG3074" s="9">
        <v>82.401730816881624</v>
      </c>
      <c r="AH3074" s="9">
        <v>90.556950861998658</v>
      </c>
      <c r="AI3074" s="9">
        <v>98.65295143668034</v>
      </c>
      <c r="AJ3074" s="9">
        <v>3.0428788910505911</v>
      </c>
    </row>
    <row r="3075" spans="1:36" x14ac:dyDescent="0.25">
      <c r="A3075" t="s">
        <v>5411</v>
      </c>
      <c r="B3075" t="s">
        <v>16</v>
      </c>
      <c r="C3075" t="s">
        <v>17</v>
      </c>
      <c r="D3075">
        <v>59660000</v>
      </c>
      <c r="E3075">
        <v>59662999</v>
      </c>
      <c r="F3075" t="s">
        <v>2766</v>
      </c>
      <c r="G3075" t="str">
        <f t="shared" si="94"/>
        <v>RNR</v>
      </c>
      <c r="H3075" t="s">
        <v>2668</v>
      </c>
      <c r="I3075" t="s">
        <v>20</v>
      </c>
      <c r="J3075" t="s">
        <v>77</v>
      </c>
      <c r="K3075" s="6">
        <v>0.03</v>
      </c>
      <c r="L3075" s="7">
        <f t="shared" si="95"/>
        <v>2E-3</v>
      </c>
      <c r="M3075" s="7">
        <v>3.0000000000000001E-3</v>
      </c>
      <c r="N3075">
        <v>17</v>
      </c>
      <c r="O3075" s="8">
        <v>30.245120785802055</v>
      </c>
      <c r="P3075" s="9">
        <v>30.245120785802055</v>
      </c>
      <c r="Q3075" s="9">
        <v>30.245120785802055</v>
      </c>
      <c r="R3075" s="9">
        <v>33.285241158213239</v>
      </c>
      <c r="S3075" s="9">
        <v>36.631366552338172</v>
      </c>
      <c r="T3075" s="9">
        <v>38.909767544853885</v>
      </c>
      <c r="U3075" s="9">
        <v>46.682383152234813</v>
      </c>
      <c r="V3075" s="9">
        <v>46.682383152234813</v>
      </c>
      <c r="W3075" s="9">
        <v>46.682383152234813</v>
      </c>
      <c r="X3075" s="9">
        <v>59.921474165477775</v>
      </c>
      <c r="Y3075" s="9">
        <v>59.921474165477775</v>
      </c>
      <c r="Z3075" s="9">
        <v>69.474106781959463</v>
      </c>
      <c r="AA3075" s="9">
        <v>69.474106781959463</v>
      </c>
      <c r="AB3075" s="9">
        <v>79.249204880977274</v>
      </c>
      <c r="AC3075" s="9">
        <v>79.249204880977274</v>
      </c>
      <c r="AD3075" s="9">
        <v>89.269015010784813</v>
      </c>
      <c r="AE3075" s="9">
        <v>99.558008374461224</v>
      </c>
      <c r="AF3075" s="9">
        <v>110.14310329539315</v>
      </c>
      <c r="AG3075" s="9">
        <v>110.14310329539315</v>
      </c>
      <c r="AH3075" s="9">
        <v>121.05390992930631</v>
      </c>
      <c r="AI3075" s="9">
        <v>133.14362481567588</v>
      </c>
      <c r="AJ3075" s="9">
        <v>3.0428788910505911</v>
      </c>
    </row>
    <row r="3076" spans="1:36" x14ac:dyDescent="0.25">
      <c r="A3076" t="s">
        <v>5411</v>
      </c>
      <c r="B3076" t="s">
        <v>16</v>
      </c>
      <c r="C3076" t="s">
        <v>17</v>
      </c>
      <c r="D3076">
        <v>59663000</v>
      </c>
      <c r="E3076">
        <v>59664999</v>
      </c>
      <c r="F3076" t="s">
        <v>2767</v>
      </c>
      <c r="G3076" t="str">
        <f t="shared" ref="G3076:G3139" si="96">H3076&amp;IF(J3076="CAPITAL","C",IF(J3076="INTERIOR","I",IF(J3076="INTERIOR II","I II","R")))</f>
        <v>RNR</v>
      </c>
      <c r="H3076" t="s">
        <v>2668</v>
      </c>
      <c r="I3076" t="s">
        <v>20</v>
      </c>
      <c r="J3076" t="s">
        <v>77</v>
      </c>
      <c r="K3076" s="6">
        <v>0.03</v>
      </c>
      <c r="L3076" s="7">
        <f t="shared" ref="L3076:L3139" si="97">IF(I3076="(0) Não",0.2%,3%)</f>
        <v>2E-3</v>
      </c>
      <c r="M3076" s="7">
        <v>3.0000000000000001E-3</v>
      </c>
      <c r="N3076">
        <v>17</v>
      </c>
      <c r="O3076" s="8">
        <v>30.245120785802055</v>
      </c>
      <c r="P3076" s="9">
        <v>30.245120785802055</v>
      </c>
      <c r="Q3076" s="9">
        <v>30.245120785802055</v>
      </c>
      <c r="R3076" s="9">
        <v>33.285241158213239</v>
      </c>
      <c r="S3076" s="9">
        <v>36.631366552338172</v>
      </c>
      <c r="T3076" s="9">
        <v>38.909767544853885</v>
      </c>
      <c r="U3076" s="9">
        <v>46.682383152234813</v>
      </c>
      <c r="V3076" s="9">
        <v>46.682383152234813</v>
      </c>
      <c r="W3076" s="9">
        <v>46.682383152234813</v>
      </c>
      <c r="X3076" s="9">
        <v>59.921474165477775</v>
      </c>
      <c r="Y3076" s="9">
        <v>59.921474165477775</v>
      </c>
      <c r="Z3076" s="9">
        <v>69.474106781959463</v>
      </c>
      <c r="AA3076" s="9">
        <v>69.474106781959463</v>
      </c>
      <c r="AB3076" s="9">
        <v>79.249204880977274</v>
      </c>
      <c r="AC3076" s="9">
        <v>79.249204880977274</v>
      </c>
      <c r="AD3076" s="9">
        <v>89.269015010784813</v>
      </c>
      <c r="AE3076" s="9">
        <v>99.558008374461224</v>
      </c>
      <c r="AF3076" s="9">
        <v>110.14310329539315</v>
      </c>
      <c r="AG3076" s="9">
        <v>110.14310329539315</v>
      </c>
      <c r="AH3076" s="9">
        <v>121.05390992930631</v>
      </c>
      <c r="AI3076" s="9">
        <v>133.14362481567588</v>
      </c>
      <c r="AJ3076" s="9">
        <v>3.0428788910505911</v>
      </c>
    </row>
    <row r="3077" spans="1:36" x14ac:dyDescent="0.25">
      <c r="A3077" t="s">
        <v>5411</v>
      </c>
      <c r="B3077" t="s">
        <v>16</v>
      </c>
      <c r="C3077" t="s">
        <v>17</v>
      </c>
      <c r="D3077">
        <v>59665000</v>
      </c>
      <c r="E3077">
        <v>59667999</v>
      </c>
      <c r="F3077" t="s">
        <v>2768</v>
      </c>
      <c r="G3077" t="str">
        <f t="shared" si="96"/>
        <v>RNR</v>
      </c>
      <c r="H3077" t="s">
        <v>2668</v>
      </c>
      <c r="I3077" t="s">
        <v>20</v>
      </c>
      <c r="J3077" t="s">
        <v>77</v>
      </c>
      <c r="K3077" s="6">
        <v>0.03</v>
      </c>
      <c r="L3077" s="7">
        <f t="shared" si="97"/>
        <v>2E-3</v>
      </c>
      <c r="M3077" s="7">
        <v>3.0000000000000001E-3</v>
      </c>
      <c r="N3077">
        <v>17</v>
      </c>
      <c r="O3077" s="8">
        <v>30.245120785802055</v>
      </c>
      <c r="P3077" s="9">
        <v>30.245120785802055</v>
      </c>
      <c r="Q3077" s="9">
        <v>30.245120785802055</v>
      </c>
      <c r="R3077" s="9">
        <v>33.285241158213239</v>
      </c>
      <c r="S3077" s="9">
        <v>36.631366552338172</v>
      </c>
      <c r="T3077" s="9">
        <v>38.909767544853885</v>
      </c>
      <c r="U3077" s="9">
        <v>46.682383152234813</v>
      </c>
      <c r="V3077" s="9">
        <v>46.682383152234813</v>
      </c>
      <c r="W3077" s="9">
        <v>46.682383152234813</v>
      </c>
      <c r="X3077" s="9">
        <v>59.921474165477775</v>
      </c>
      <c r="Y3077" s="9">
        <v>59.921474165477775</v>
      </c>
      <c r="Z3077" s="9">
        <v>69.474106781959463</v>
      </c>
      <c r="AA3077" s="9">
        <v>69.474106781959463</v>
      </c>
      <c r="AB3077" s="9">
        <v>79.249204880977274</v>
      </c>
      <c r="AC3077" s="9">
        <v>79.249204880977274</v>
      </c>
      <c r="AD3077" s="9">
        <v>89.269015010784813</v>
      </c>
      <c r="AE3077" s="9">
        <v>99.558008374461224</v>
      </c>
      <c r="AF3077" s="9">
        <v>110.14310329539315</v>
      </c>
      <c r="AG3077" s="9">
        <v>110.14310329539315</v>
      </c>
      <c r="AH3077" s="9">
        <v>121.05390992930631</v>
      </c>
      <c r="AI3077" s="9">
        <v>133.14362481567588</v>
      </c>
      <c r="AJ3077" s="9">
        <v>3.0428788910505911</v>
      </c>
    </row>
    <row r="3078" spans="1:36" x14ac:dyDescent="0.25">
      <c r="A3078" t="s">
        <v>5411</v>
      </c>
      <c r="B3078" t="s">
        <v>16</v>
      </c>
      <c r="C3078" t="s">
        <v>17</v>
      </c>
      <c r="D3078">
        <v>59668000</v>
      </c>
      <c r="E3078">
        <v>59669999</v>
      </c>
      <c r="F3078" t="s">
        <v>2769</v>
      </c>
      <c r="G3078" t="str">
        <f t="shared" si="96"/>
        <v>RNR</v>
      </c>
      <c r="H3078" t="s">
        <v>2668</v>
      </c>
      <c r="I3078" t="s">
        <v>20</v>
      </c>
      <c r="J3078" t="s">
        <v>77</v>
      </c>
      <c r="K3078" s="6">
        <v>0.03</v>
      </c>
      <c r="L3078" s="7">
        <f t="shared" si="97"/>
        <v>2E-3</v>
      </c>
      <c r="M3078" s="7">
        <v>3.0000000000000001E-3</v>
      </c>
      <c r="N3078">
        <v>17</v>
      </c>
      <c r="O3078" s="8">
        <v>30.245120785802055</v>
      </c>
      <c r="P3078" s="9">
        <v>30.245120785802055</v>
      </c>
      <c r="Q3078" s="9">
        <v>30.245120785802055</v>
      </c>
      <c r="R3078" s="9">
        <v>33.285241158213239</v>
      </c>
      <c r="S3078" s="9">
        <v>36.631366552338172</v>
      </c>
      <c r="T3078" s="9">
        <v>38.909767544853885</v>
      </c>
      <c r="U3078" s="9">
        <v>46.682383152234813</v>
      </c>
      <c r="V3078" s="9">
        <v>46.682383152234813</v>
      </c>
      <c r="W3078" s="9">
        <v>46.682383152234813</v>
      </c>
      <c r="X3078" s="9">
        <v>59.921474165477775</v>
      </c>
      <c r="Y3078" s="9">
        <v>59.921474165477775</v>
      </c>
      <c r="Z3078" s="9">
        <v>69.474106781959463</v>
      </c>
      <c r="AA3078" s="9">
        <v>69.474106781959463</v>
      </c>
      <c r="AB3078" s="9">
        <v>79.249204880977274</v>
      </c>
      <c r="AC3078" s="9">
        <v>79.249204880977274</v>
      </c>
      <c r="AD3078" s="9">
        <v>89.269015010784813</v>
      </c>
      <c r="AE3078" s="9">
        <v>99.558008374461224</v>
      </c>
      <c r="AF3078" s="9">
        <v>110.14310329539315</v>
      </c>
      <c r="AG3078" s="9">
        <v>110.14310329539315</v>
      </c>
      <c r="AH3078" s="9">
        <v>121.05390992930631</v>
      </c>
      <c r="AI3078" s="9">
        <v>133.14362481567588</v>
      </c>
      <c r="AJ3078" s="9">
        <v>3.0428788910505911</v>
      </c>
    </row>
    <row r="3079" spans="1:36" x14ac:dyDescent="0.25">
      <c r="A3079" t="s">
        <v>5411</v>
      </c>
      <c r="B3079" t="s">
        <v>16</v>
      </c>
      <c r="C3079" t="s">
        <v>17</v>
      </c>
      <c r="D3079">
        <v>59670000</v>
      </c>
      <c r="E3079">
        <v>59674999</v>
      </c>
      <c r="F3079" t="s">
        <v>2770</v>
      </c>
      <c r="G3079" t="str">
        <f t="shared" si="96"/>
        <v>RNI II</v>
      </c>
      <c r="H3079" t="s">
        <v>2668</v>
      </c>
      <c r="I3079" t="s">
        <v>20</v>
      </c>
      <c r="J3079" t="s">
        <v>64</v>
      </c>
      <c r="K3079" s="6">
        <v>0.03</v>
      </c>
      <c r="L3079" s="7">
        <f t="shared" si="97"/>
        <v>2E-3</v>
      </c>
      <c r="M3079" s="7">
        <v>3.0000000000000001E-3</v>
      </c>
      <c r="N3079">
        <v>11</v>
      </c>
      <c r="O3079" s="8">
        <v>22.322054432421936</v>
      </c>
      <c r="P3079" s="9">
        <v>22.322054432421936</v>
      </c>
      <c r="Q3079" s="9">
        <v>22.322054432421936</v>
      </c>
      <c r="R3079" s="9">
        <v>24.601819623386088</v>
      </c>
      <c r="S3079" s="9">
        <v>27.117044267047554</v>
      </c>
      <c r="T3079" s="9">
        <v>29.2369540706446</v>
      </c>
      <c r="U3079" s="9">
        <v>35.887715548778033</v>
      </c>
      <c r="V3079" s="9">
        <v>35.887715548778033</v>
      </c>
      <c r="W3079" s="9">
        <v>35.887715548778033</v>
      </c>
      <c r="X3079" s="9">
        <v>43.340441784797164</v>
      </c>
      <c r="Y3079" s="9">
        <v>43.340441784797164</v>
      </c>
      <c r="Z3079" s="9">
        <v>50.878922643217386</v>
      </c>
      <c r="AA3079" s="9">
        <v>50.878922643217386</v>
      </c>
      <c r="AB3079" s="9">
        <v>58.511733586278822</v>
      </c>
      <c r="AC3079" s="9">
        <v>58.511733586278822</v>
      </c>
      <c r="AD3079" s="9">
        <v>67.924000242999782</v>
      </c>
      <c r="AE3079" s="9">
        <v>75.106340069501698</v>
      </c>
      <c r="AF3079" s="9">
        <v>82.401730816881624</v>
      </c>
      <c r="AG3079" s="9">
        <v>82.401730816881624</v>
      </c>
      <c r="AH3079" s="9">
        <v>90.556950861998658</v>
      </c>
      <c r="AI3079" s="9">
        <v>98.65295143668034</v>
      </c>
      <c r="AJ3079" s="9">
        <v>3.0428788910505911</v>
      </c>
    </row>
    <row r="3080" spans="1:36" x14ac:dyDescent="0.25">
      <c r="A3080" t="s">
        <v>5411</v>
      </c>
      <c r="B3080" t="s">
        <v>16</v>
      </c>
      <c r="C3080" t="s">
        <v>17</v>
      </c>
      <c r="D3080">
        <v>59675000</v>
      </c>
      <c r="E3080">
        <v>59677999</v>
      </c>
      <c r="F3080" t="s">
        <v>2771</v>
      </c>
      <c r="G3080" t="str">
        <f t="shared" si="96"/>
        <v>RNI II</v>
      </c>
      <c r="H3080" t="s">
        <v>2668</v>
      </c>
      <c r="I3080" t="s">
        <v>20</v>
      </c>
      <c r="J3080" t="s">
        <v>64</v>
      </c>
      <c r="K3080" s="6">
        <v>0.03</v>
      </c>
      <c r="L3080" s="7">
        <f t="shared" si="97"/>
        <v>2E-3</v>
      </c>
      <c r="M3080" s="7">
        <v>3.0000000000000001E-3</v>
      </c>
      <c r="N3080">
        <v>11</v>
      </c>
      <c r="O3080" s="8">
        <v>22.322054432421936</v>
      </c>
      <c r="P3080" s="9">
        <v>22.322054432421936</v>
      </c>
      <c r="Q3080" s="9">
        <v>22.322054432421936</v>
      </c>
      <c r="R3080" s="9">
        <v>24.601819623386088</v>
      </c>
      <c r="S3080" s="9">
        <v>27.117044267047554</v>
      </c>
      <c r="T3080" s="9">
        <v>29.2369540706446</v>
      </c>
      <c r="U3080" s="9">
        <v>35.887715548778033</v>
      </c>
      <c r="V3080" s="9">
        <v>35.887715548778033</v>
      </c>
      <c r="W3080" s="9">
        <v>35.887715548778033</v>
      </c>
      <c r="X3080" s="9">
        <v>43.340441784797164</v>
      </c>
      <c r="Y3080" s="9">
        <v>43.340441784797164</v>
      </c>
      <c r="Z3080" s="9">
        <v>50.878922643217386</v>
      </c>
      <c r="AA3080" s="9">
        <v>50.878922643217386</v>
      </c>
      <c r="AB3080" s="9">
        <v>58.511733586278822</v>
      </c>
      <c r="AC3080" s="9">
        <v>58.511733586278822</v>
      </c>
      <c r="AD3080" s="9">
        <v>67.924000242999782</v>
      </c>
      <c r="AE3080" s="9">
        <v>75.106340069501698</v>
      </c>
      <c r="AF3080" s="9">
        <v>82.401730816881624</v>
      </c>
      <c r="AG3080" s="9">
        <v>82.401730816881624</v>
      </c>
      <c r="AH3080" s="9">
        <v>90.556950861998658</v>
      </c>
      <c r="AI3080" s="9">
        <v>98.65295143668034</v>
      </c>
      <c r="AJ3080" s="9">
        <v>3.0428788910505911</v>
      </c>
    </row>
    <row r="3081" spans="1:36" x14ac:dyDescent="0.25">
      <c r="A3081" t="s">
        <v>5411</v>
      </c>
      <c r="B3081" t="s">
        <v>16</v>
      </c>
      <c r="C3081" t="s">
        <v>17</v>
      </c>
      <c r="D3081">
        <v>59678000</v>
      </c>
      <c r="E3081">
        <v>59679999</v>
      </c>
      <c r="F3081" t="s">
        <v>2772</v>
      </c>
      <c r="G3081" t="str">
        <f t="shared" si="96"/>
        <v>RNI II</v>
      </c>
      <c r="H3081" t="s">
        <v>2668</v>
      </c>
      <c r="I3081" t="s">
        <v>20</v>
      </c>
      <c r="J3081" t="s">
        <v>64</v>
      </c>
      <c r="K3081" s="6">
        <v>0.03</v>
      </c>
      <c r="L3081" s="7">
        <f t="shared" si="97"/>
        <v>2E-3</v>
      </c>
      <c r="M3081" s="7">
        <v>3.0000000000000001E-3</v>
      </c>
      <c r="N3081">
        <v>11</v>
      </c>
      <c r="O3081" s="8">
        <v>22.322054432421936</v>
      </c>
      <c r="P3081" s="9">
        <v>22.322054432421936</v>
      </c>
      <c r="Q3081" s="9">
        <v>22.322054432421936</v>
      </c>
      <c r="R3081" s="9">
        <v>24.601819623386088</v>
      </c>
      <c r="S3081" s="9">
        <v>27.117044267047554</v>
      </c>
      <c r="T3081" s="9">
        <v>29.2369540706446</v>
      </c>
      <c r="U3081" s="9">
        <v>35.887715548778033</v>
      </c>
      <c r="V3081" s="9">
        <v>35.887715548778033</v>
      </c>
      <c r="W3081" s="9">
        <v>35.887715548778033</v>
      </c>
      <c r="X3081" s="9">
        <v>43.340441784797164</v>
      </c>
      <c r="Y3081" s="9">
        <v>43.340441784797164</v>
      </c>
      <c r="Z3081" s="9">
        <v>50.878922643217386</v>
      </c>
      <c r="AA3081" s="9">
        <v>50.878922643217386</v>
      </c>
      <c r="AB3081" s="9">
        <v>58.511733586278822</v>
      </c>
      <c r="AC3081" s="9">
        <v>58.511733586278822</v>
      </c>
      <c r="AD3081" s="9">
        <v>67.924000242999782</v>
      </c>
      <c r="AE3081" s="9">
        <v>75.106340069501698</v>
      </c>
      <c r="AF3081" s="9">
        <v>82.401730816881624</v>
      </c>
      <c r="AG3081" s="9">
        <v>82.401730816881624</v>
      </c>
      <c r="AH3081" s="9">
        <v>90.556950861998658</v>
      </c>
      <c r="AI3081" s="9">
        <v>98.65295143668034</v>
      </c>
      <c r="AJ3081" s="9">
        <v>3.0428788910505911</v>
      </c>
    </row>
    <row r="3082" spans="1:36" x14ac:dyDescent="0.25">
      <c r="A3082" t="s">
        <v>5411</v>
      </c>
      <c r="B3082" t="s">
        <v>16</v>
      </c>
      <c r="C3082" t="s">
        <v>17</v>
      </c>
      <c r="D3082">
        <v>59680000</v>
      </c>
      <c r="E3082">
        <v>59684999</v>
      </c>
      <c r="F3082" t="s">
        <v>2773</v>
      </c>
      <c r="G3082" t="str">
        <f t="shared" si="96"/>
        <v>RNR</v>
      </c>
      <c r="H3082" t="s">
        <v>2668</v>
      </c>
      <c r="I3082" t="s">
        <v>20</v>
      </c>
      <c r="J3082" t="s">
        <v>77</v>
      </c>
      <c r="K3082" s="6">
        <v>0.03</v>
      </c>
      <c r="L3082" s="7">
        <f t="shared" si="97"/>
        <v>2E-3</v>
      </c>
      <c r="M3082" s="7">
        <v>3.0000000000000001E-3</v>
      </c>
      <c r="N3082">
        <v>17</v>
      </c>
      <c r="O3082" s="8">
        <v>30.245120785802055</v>
      </c>
      <c r="P3082" s="9">
        <v>30.245120785802055</v>
      </c>
      <c r="Q3082" s="9">
        <v>30.245120785802055</v>
      </c>
      <c r="R3082" s="9">
        <v>33.285241158213239</v>
      </c>
      <c r="S3082" s="9">
        <v>36.631366552338172</v>
      </c>
      <c r="T3082" s="9">
        <v>38.909767544853885</v>
      </c>
      <c r="U3082" s="9">
        <v>46.682383152234813</v>
      </c>
      <c r="V3082" s="9">
        <v>46.682383152234813</v>
      </c>
      <c r="W3082" s="9">
        <v>46.682383152234813</v>
      </c>
      <c r="X3082" s="9">
        <v>59.921474165477775</v>
      </c>
      <c r="Y3082" s="9">
        <v>59.921474165477775</v>
      </c>
      <c r="Z3082" s="9">
        <v>69.474106781959463</v>
      </c>
      <c r="AA3082" s="9">
        <v>69.474106781959463</v>
      </c>
      <c r="AB3082" s="9">
        <v>79.249204880977274</v>
      </c>
      <c r="AC3082" s="9">
        <v>79.249204880977274</v>
      </c>
      <c r="AD3082" s="9">
        <v>89.269015010784813</v>
      </c>
      <c r="AE3082" s="9">
        <v>99.558008374461224</v>
      </c>
      <c r="AF3082" s="9">
        <v>110.14310329539315</v>
      </c>
      <c r="AG3082" s="9">
        <v>110.14310329539315</v>
      </c>
      <c r="AH3082" s="9">
        <v>121.05390992930631</v>
      </c>
      <c r="AI3082" s="9">
        <v>133.14362481567588</v>
      </c>
      <c r="AJ3082" s="9">
        <v>3.0428788910505911</v>
      </c>
    </row>
    <row r="3083" spans="1:36" x14ac:dyDescent="0.25">
      <c r="A3083" t="s">
        <v>5411</v>
      </c>
      <c r="B3083" t="s">
        <v>16</v>
      </c>
      <c r="C3083" t="s">
        <v>17</v>
      </c>
      <c r="D3083">
        <v>59685000</v>
      </c>
      <c r="E3083">
        <v>59689999</v>
      </c>
      <c r="F3083" t="s">
        <v>2774</v>
      </c>
      <c r="G3083" t="str">
        <f t="shared" si="96"/>
        <v>RNR</v>
      </c>
      <c r="H3083" t="s">
        <v>2668</v>
      </c>
      <c r="I3083" t="s">
        <v>20</v>
      </c>
      <c r="J3083" t="s">
        <v>77</v>
      </c>
      <c r="K3083" s="6">
        <v>0.03</v>
      </c>
      <c r="L3083" s="7">
        <f t="shared" si="97"/>
        <v>2E-3</v>
      </c>
      <c r="M3083" s="7">
        <v>3.0000000000000001E-3</v>
      </c>
      <c r="N3083">
        <v>17</v>
      </c>
      <c r="O3083" s="8">
        <v>30.245120785802055</v>
      </c>
      <c r="P3083" s="9">
        <v>30.245120785802055</v>
      </c>
      <c r="Q3083" s="9">
        <v>30.245120785802055</v>
      </c>
      <c r="R3083" s="9">
        <v>33.285241158213239</v>
      </c>
      <c r="S3083" s="9">
        <v>36.631366552338172</v>
      </c>
      <c r="T3083" s="9">
        <v>38.909767544853885</v>
      </c>
      <c r="U3083" s="9">
        <v>46.682383152234813</v>
      </c>
      <c r="V3083" s="9">
        <v>46.682383152234813</v>
      </c>
      <c r="W3083" s="9">
        <v>46.682383152234813</v>
      </c>
      <c r="X3083" s="9">
        <v>59.921474165477775</v>
      </c>
      <c r="Y3083" s="9">
        <v>59.921474165477775</v>
      </c>
      <c r="Z3083" s="9">
        <v>69.474106781959463</v>
      </c>
      <c r="AA3083" s="9">
        <v>69.474106781959463</v>
      </c>
      <c r="AB3083" s="9">
        <v>79.249204880977274</v>
      </c>
      <c r="AC3083" s="9">
        <v>79.249204880977274</v>
      </c>
      <c r="AD3083" s="9">
        <v>89.269015010784813</v>
      </c>
      <c r="AE3083" s="9">
        <v>99.558008374461224</v>
      </c>
      <c r="AF3083" s="9">
        <v>110.14310329539315</v>
      </c>
      <c r="AG3083" s="9">
        <v>110.14310329539315</v>
      </c>
      <c r="AH3083" s="9">
        <v>121.05390992930631</v>
      </c>
      <c r="AI3083" s="9">
        <v>133.14362481567588</v>
      </c>
      <c r="AJ3083" s="9">
        <v>3.0428788910505911</v>
      </c>
    </row>
    <row r="3084" spans="1:36" x14ac:dyDescent="0.25">
      <c r="A3084" t="s">
        <v>5411</v>
      </c>
      <c r="B3084" t="s">
        <v>16</v>
      </c>
      <c r="C3084" t="s">
        <v>17</v>
      </c>
      <c r="D3084">
        <v>59690000</v>
      </c>
      <c r="E3084">
        <v>59694999</v>
      </c>
      <c r="F3084" t="s">
        <v>2775</v>
      </c>
      <c r="G3084" t="str">
        <f t="shared" si="96"/>
        <v>RNR</v>
      </c>
      <c r="H3084" t="s">
        <v>2668</v>
      </c>
      <c r="I3084" t="s">
        <v>20</v>
      </c>
      <c r="J3084" t="s">
        <v>77</v>
      </c>
      <c r="K3084" s="6">
        <v>0.03</v>
      </c>
      <c r="L3084" s="7">
        <f t="shared" si="97"/>
        <v>2E-3</v>
      </c>
      <c r="M3084" s="7">
        <v>3.0000000000000001E-3</v>
      </c>
      <c r="N3084">
        <v>17</v>
      </c>
      <c r="O3084" s="8">
        <v>30.245120785802055</v>
      </c>
      <c r="P3084" s="9">
        <v>30.245120785802055</v>
      </c>
      <c r="Q3084" s="9">
        <v>30.245120785802055</v>
      </c>
      <c r="R3084" s="9">
        <v>33.285241158213239</v>
      </c>
      <c r="S3084" s="9">
        <v>36.631366552338172</v>
      </c>
      <c r="T3084" s="9">
        <v>38.909767544853885</v>
      </c>
      <c r="U3084" s="9">
        <v>46.682383152234813</v>
      </c>
      <c r="V3084" s="9">
        <v>46.682383152234813</v>
      </c>
      <c r="W3084" s="9">
        <v>46.682383152234813</v>
      </c>
      <c r="X3084" s="9">
        <v>59.921474165477775</v>
      </c>
      <c r="Y3084" s="9">
        <v>59.921474165477775</v>
      </c>
      <c r="Z3084" s="9">
        <v>69.474106781959463</v>
      </c>
      <c r="AA3084" s="9">
        <v>69.474106781959463</v>
      </c>
      <c r="AB3084" s="9">
        <v>79.249204880977274</v>
      </c>
      <c r="AC3084" s="9">
        <v>79.249204880977274</v>
      </c>
      <c r="AD3084" s="9">
        <v>89.269015010784813</v>
      </c>
      <c r="AE3084" s="9">
        <v>99.558008374461224</v>
      </c>
      <c r="AF3084" s="9">
        <v>110.14310329539315</v>
      </c>
      <c r="AG3084" s="9">
        <v>110.14310329539315</v>
      </c>
      <c r="AH3084" s="9">
        <v>121.05390992930631</v>
      </c>
      <c r="AI3084" s="9">
        <v>133.14362481567588</v>
      </c>
      <c r="AJ3084" s="9">
        <v>3.0428788910505911</v>
      </c>
    </row>
    <row r="3085" spans="1:36" x14ac:dyDescent="0.25">
      <c r="A3085" t="s">
        <v>5411</v>
      </c>
      <c r="B3085" t="s">
        <v>16</v>
      </c>
      <c r="C3085" t="s">
        <v>17</v>
      </c>
      <c r="D3085">
        <v>59695000</v>
      </c>
      <c r="E3085">
        <v>59699999</v>
      </c>
      <c r="F3085" t="s">
        <v>2496</v>
      </c>
      <c r="G3085" t="str">
        <f t="shared" si="96"/>
        <v>RNI II</v>
      </c>
      <c r="H3085" t="s">
        <v>2668</v>
      </c>
      <c r="I3085" t="s">
        <v>20</v>
      </c>
      <c r="J3085" t="s">
        <v>64</v>
      </c>
      <c r="K3085" s="6">
        <v>0.03</v>
      </c>
      <c r="L3085" s="7">
        <f t="shared" si="97"/>
        <v>2E-3</v>
      </c>
      <c r="M3085" s="7">
        <v>3.0000000000000001E-3</v>
      </c>
      <c r="N3085">
        <v>11</v>
      </c>
      <c r="O3085" s="8">
        <v>22.322054432421936</v>
      </c>
      <c r="P3085" s="9">
        <v>22.322054432421936</v>
      </c>
      <c r="Q3085" s="9">
        <v>22.322054432421936</v>
      </c>
      <c r="R3085" s="9">
        <v>24.601819623386088</v>
      </c>
      <c r="S3085" s="9">
        <v>27.117044267047554</v>
      </c>
      <c r="T3085" s="9">
        <v>29.2369540706446</v>
      </c>
      <c r="U3085" s="9">
        <v>35.887715548778033</v>
      </c>
      <c r="V3085" s="9">
        <v>35.887715548778033</v>
      </c>
      <c r="W3085" s="9">
        <v>35.887715548778033</v>
      </c>
      <c r="X3085" s="9">
        <v>43.340441784797164</v>
      </c>
      <c r="Y3085" s="9">
        <v>43.340441784797164</v>
      </c>
      <c r="Z3085" s="9">
        <v>50.878922643217386</v>
      </c>
      <c r="AA3085" s="9">
        <v>50.878922643217386</v>
      </c>
      <c r="AB3085" s="9">
        <v>58.511733586278822</v>
      </c>
      <c r="AC3085" s="9">
        <v>58.511733586278822</v>
      </c>
      <c r="AD3085" s="9">
        <v>67.924000242999782</v>
      </c>
      <c r="AE3085" s="9">
        <v>75.106340069501698</v>
      </c>
      <c r="AF3085" s="9">
        <v>82.401730816881624</v>
      </c>
      <c r="AG3085" s="9">
        <v>82.401730816881624</v>
      </c>
      <c r="AH3085" s="9">
        <v>90.556950861998658</v>
      </c>
      <c r="AI3085" s="9">
        <v>98.65295143668034</v>
      </c>
      <c r="AJ3085" s="9">
        <v>3.0428788910505911</v>
      </c>
    </row>
    <row r="3086" spans="1:36" x14ac:dyDescent="0.25">
      <c r="A3086" t="s">
        <v>5411</v>
      </c>
      <c r="B3086" t="s">
        <v>16</v>
      </c>
      <c r="C3086" t="s">
        <v>17</v>
      </c>
      <c r="D3086">
        <v>59700000</v>
      </c>
      <c r="E3086">
        <v>59729999</v>
      </c>
      <c r="F3086" t="s">
        <v>2776</v>
      </c>
      <c r="G3086" t="str">
        <f t="shared" si="96"/>
        <v>RNI II</v>
      </c>
      <c r="H3086" t="s">
        <v>2668</v>
      </c>
      <c r="I3086" t="s">
        <v>20</v>
      </c>
      <c r="J3086" t="s">
        <v>64</v>
      </c>
      <c r="K3086" s="6">
        <v>0.03</v>
      </c>
      <c r="L3086" s="7">
        <f t="shared" si="97"/>
        <v>2E-3</v>
      </c>
      <c r="M3086" s="7">
        <v>3.0000000000000001E-3</v>
      </c>
      <c r="N3086">
        <v>12</v>
      </c>
      <c r="O3086" s="8">
        <v>22.322054432421936</v>
      </c>
      <c r="P3086" s="9">
        <v>22.322054432421936</v>
      </c>
      <c r="Q3086" s="9">
        <v>22.322054432421936</v>
      </c>
      <c r="R3086" s="9">
        <v>24.601819623386088</v>
      </c>
      <c r="S3086" s="9">
        <v>27.117044267047554</v>
      </c>
      <c r="T3086" s="9">
        <v>29.2369540706446</v>
      </c>
      <c r="U3086" s="9">
        <v>35.887715548778033</v>
      </c>
      <c r="V3086" s="9">
        <v>35.887715548778033</v>
      </c>
      <c r="W3086" s="9">
        <v>35.887715548778033</v>
      </c>
      <c r="X3086" s="9">
        <v>43.340441784797164</v>
      </c>
      <c r="Y3086" s="9">
        <v>43.340441784797164</v>
      </c>
      <c r="Z3086" s="9">
        <v>50.878922643217386</v>
      </c>
      <c r="AA3086" s="9">
        <v>50.878922643217386</v>
      </c>
      <c r="AB3086" s="9">
        <v>58.511733586278822</v>
      </c>
      <c r="AC3086" s="9">
        <v>58.511733586278822</v>
      </c>
      <c r="AD3086" s="9">
        <v>67.924000242999782</v>
      </c>
      <c r="AE3086" s="9">
        <v>75.106340069501698</v>
      </c>
      <c r="AF3086" s="9">
        <v>82.401730816881624</v>
      </c>
      <c r="AG3086" s="9">
        <v>82.401730816881624</v>
      </c>
      <c r="AH3086" s="9">
        <v>90.556950861998658</v>
      </c>
      <c r="AI3086" s="9">
        <v>98.65295143668034</v>
      </c>
      <c r="AJ3086" s="9">
        <v>3.0428788910505911</v>
      </c>
    </row>
    <row r="3087" spans="1:36" x14ac:dyDescent="0.25">
      <c r="A3087" t="s">
        <v>5411</v>
      </c>
      <c r="B3087" t="s">
        <v>16</v>
      </c>
      <c r="C3087" t="s">
        <v>17</v>
      </c>
      <c r="D3087">
        <v>59730000</v>
      </c>
      <c r="E3087">
        <v>59739999</v>
      </c>
      <c r="F3087" t="s">
        <v>2777</v>
      </c>
      <c r="G3087" t="str">
        <f t="shared" si="96"/>
        <v>RNR</v>
      </c>
      <c r="H3087" t="s">
        <v>2668</v>
      </c>
      <c r="I3087" t="s">
        <v>20</v>
      </c>
      <c r="J3087" t="s">
        <v>77</v>
      </c>
      <c r="K3087" s="6">
        <v>0.03</v>
      </c>
      <c r="L3087" s="7">
        <f t="shared" si="97"/>
        <v>2E-3</v>
      </c>
      <c r="M3087" s="7">
        <v>3.0000000000000001E-3</v>
      </c>
      <c r="N3087">
        <v>17</v>
      </c>
      <c r="O3087" s="8">
        <v>30.245120785802055</v>
      </c>
      <c r="P3087" s="9">
        <v>30.245120785802055</v>
      </c>
      <c r="Q3087" s="9">
        <v>30.245120785802055</v>
      </c>
      <c r="R3087" s="9">
        <v>33.285241158213239</v>
      </c>
      <c r="S3087" s="9">
        <v>36.631366552338172</v>
      </c>
      <c r="T3087" s="9">
        <v>38.909767544853885</v>
      </c>
      <c r="U3087" s="9">
        <v>46.682383152234813</v>
      </c>
      <c r="V3087" s="9">
        <v>46.682383152234813</v>
      </c>
      <c r="W3087" s="9">
        <v>46.682383152234813</v>
      </c>
      <c r="X3087" s="9">
        <v>59.921474165477775</v>
      </c>
      <c r="Y3087" s="9">
        <v>59.921474165477775</v>
      </c>
      <c r="Z3087" s="9">
        <v>69.474106781959463</v>
      </c>
      <c r="AA3087" s="9">
        <v>69.474106781959463</v>
      </c>
      <c r="AB3087" s="9">
        <v>79.249204880977274</v>
      </c>
      <c r="AC3087" s="9">
        <v>79.249204880977274</v>
      </c>
      <c r="AD3087" s="9">
        <v>89.269015010784813</v>
      </c>
      <c r="AE3087" s="9">
        <v>99.558008374461224</v>
      </c>
      <c r="AF3087" s="9">
        <v>110.14310329539315</v>
      </c>
      <c r="AG3087" s="9">
        <v>110.14310329539315</v>
      </c>
      <c r="AH3087" s="9">
        <v>121.05390992930631</v>
      </c>
      <c r="AI3087" s="9">
        <v>133.14362481567588</v>
      </c>
      <c r="AJ3087" s="9">
        <v>3.0428788910505911</v>
      </c>
    </row>
    <row r="3088" spans="1:36" x14ac:dyDescent="0.25">
      <c r="A3088" t="s">
        <v>5411</v>
      </c>
      <c r="B3088" t="s">
        <v>16</v>
      </c>
      <c r="C3088" t="s">
        <v>17</v>
      </c>
      <c r="D3088">
        <v>59740000</v>
      </c>
      <c r="E3088">
        <v>59759999</v>
      </c>
      <c r="F3088" t="s">
        <v>2778</v>
      </c>
      <c r="G3088" t="str">
        <f t="shared" si="96"/>
        <v>RNI II</v>
      </c>
      <c r="H3088" t="s">
        <v>2668</v>
      </c>
      <c r="I3088" t="s">
        <v>20</v>
      </c>
      <c r="J3088" t="s">
        <v>64</v>
      </c>
      <c r="K3088" s="6">
        <v>0.03</v>
      </c>
      <c r="L3088" s="7">
        <f t="shared" si="97"/>
        <v>2E-3</v>
      </c>
      <c r="M3088" s="7">
        <v>3.0000000000000001E-3</v>
      </c>
      <c r="N3088">
        <v>11</v>
      </c>
      <c r="O3088" s="8">
        <v>22.322054432421936</v>
      </c>
      <c r="P3088" s="9">
        <v>22.322054432421936</v>
      </c>
      <c r="Q3088" s="9">
        <v>22.322054432421936</v>
      </c>
      <c r="R3088" s="9">
        <v>24.601819623386088</v>
      </c>
      <c r="S3088" s="9">
        <v>27.117044267047554</v>
      </c>
      <c r="T3088" s="9">
        <v>29.2369540706446</v>
      </c>
      <c r="U3088" s="9">
        <v>35.887715548778033</v>
      </c>
      <c r="V3088" s="9">
        <v>35.887715548778033</v>
      </c>
      <c r="W3088" s="9">
        <v>35.887715548778033</v>
      </c>
      <c r="X3088" s="9">
        <v>43.340441784797164</v>
      </c>
      <c r="Y3088" s="9">
        <v>43.340441784797164</v>
      </c>
      <c r="Z3088" s="9">
        <v>50.878922643217386</v>
      </c>
      <c r="AA3088" s="9">
        <v>50.878922643217386</v>
      </c>
      <c r="AB3088" s="9">
        <v>58.511733586278822</v>
      </c>
      <c r="AC3088" s="9">
        <v>58.511733586278822</v>
      </c>
      <c r="AD3088" s="9">
        <v>67.924000242999782</v>
      </c>
      <c r="AE3088" s="9">
        <v>75.106340069501698</v>
      </c>
      <c r="AF3088" s="9">
        <v>82.401730816881624</v>
      </c>
      <c r="AG3088" s="9">
        <v>82.401730816881624</v>
      </c>
      <c r="AH3088" s="9">
        <v>90.556950861998658</v>
      </c>
      <c r="AI3088" s="9">
        <v>98.65295143668034</v>
      </c>
      <c r="AJ3088" s="9">
        <v>3.0428788910505911</v>
      </c>
    </row>
    <row r="3089" spans="1:36" x14ac:dyDescent="0.25">
      <c r="A3089" t="s">
        <v>5411</v>
      </c>
      <c r="B3089" t="s">
        <v>16</v>
      </c>
      <c r="C3089" t="s">
        <v>17</v>
      </c>
      <c r="D3089">
        <v>59760000</v>
      </c>
      <c r="E3089">
        <v>59769999</v>
      </c>
      <c r="F3089" t="s">
        <v>2779</v>
      </c>
      <c r="G3089" t="str">
        <f t="shared" si="96"/>
        <v>RNI II</v>
      </c>
      <c r="H3089" t="s">
        <v>2668</v>
      </c>
      <c r="I3089" t="s">
        <v>20</v>
      </c>
      <c r="J3089" t="s">
        <v>64</v>
      </c>
      <c r="K3089" s="6">
        <v>0.03</v>
      </c>
      <c r="L3089" s="7">
        <f t="shared" si="97"/>
        <v>2E-3</v>
      </c>
      <c r="M3089" s="7">
        <v>3.0000000000000001E-3</v>
      </c>
      <c r="N3089">
        <v>11</v>
      </c>
      <c r="O3089" s="8">
        <v>22.322054432421936</v>
      </c>
      <c r="P3089" s="9">
        <v>22.322054432421936</v>
      </c>
      <c r="Q3089" s="9">
        <v>22.322054432421936</v>
      </c>
      <c r="R3089" s="9">
        <v>24.601819623386088</v>
      </c>
      <c r="S3089" s="9">
        <v>27.117044267047554</v>
      </c>
      <c r="T3089" s="9">
        <v>29.2369540706446</v>
      </c>
      <c r="U3089" s="9">
        <v>35.887715548778033</v>
      </c>
      <c r="V3089" s="9">
        <v>35.887715548778033</v>
      </c>
      <c r="W3089" s="9">
        <v>35.887715548778033</v>
      </c>
      <c r="X3089" s="9">
        <v>43.340441784797164</v>
      </c>
      <c r="Y3089" s="9">
        <v>43.340441784797164</v>
      </c>
      <c r="Z3089" s="9">
        <v>50.878922643217386</v>
      </c>
      <c r="AA3089" s="9">
        <v>50.878922643217386</v>
      </c>
      <c r="AB3089" s="9">
        <v>58.511733586278822</v>
      </c>
      <c r="AC3089" s="9">
        <v>58.511733586278822</v>
      </c>
      <c r="AD3089" s="9">
        <v>67.924000242999782</v>
      </c>
      <c r="AE3089" s="9">
        <v>75.106340069501698</v>
      </c>
      <c r="AF3089" s="9">
        <v>82.401730816881624</v>
      </c>
      <c r="AG3089" s="9">
        <v>82.401730816881624</v>
      </c>
      <c r="AH3089" s="9">
        <v>90.556950861998658</v>
      </c>
      <c r="AI3089" s="9">
        <v>98.65295143668034</v>
      </c>
      <c r="AJ3089" s="9">
        <v>3.0428788910505911</v>
      </c>
    </row>
    <row r="3090" spans="1:36" x14ac:dyDescent="0.25">
      <c r="A3090" t="s">
        <v>5411</v>
      </c>
      <c r="B3090" t="s">
        <v>16</v>
      </c>
      <c r="C3090" t="s">
        <v>17</v>
      </c>
      <c r="D3090">
        <v>59770000</v>
      </c>
      <c r="E3090">
        <v>59774999</v>
      </c>
      <c r="F3090" t="s">
        <v>2780</v>
      </c>
      <c r="G3090" t="str">
        <f t="shared" si="96"/>
        <v>RNI II</v>
      </c>
      <c r="H3090" t="s">
        <v>2668</v>
      </c>
      <c r="I3090" t="s">
        <v>20</v>
      </c>
      <c r="J3090" t="s">
        <v>64</v>
      </c>
      <c r="K3090" s="6">
        <v>0.03</v>
      </c>
      <c r="L3090" s="7">
        <f t="shared" si="97"/>
        <v>2E-3</v>
      </c>
      <c r="M3090" s="7">
        <v>3.0000000000000001E-3</v>
      </c>
      <c r="N3090">
        <v>11</v>
      </c>
      <c r="O3090" s="8">
        <v>22.322054432421936</v>
      </c>
      <c r="P3090" s="9">
        <v>22.322054432421936</v>
      </c>
      <c r="Q3090" s="9">
        <v>22.322054432421936</v>
      </c>
      <c r="R3090" s="9">
        <v>24.601819623386088</v>
      </c>
      <c r="S3090" s="9">
        <v>27.117044267047554</v>
      </c>
      <c r="T3090" s="9">
        <v>29.2369540706446</v>
      </c>
      <c r="U3090" s="9">
        <v>35.887715548778033</v>
      </c>
      <c r="V3090" s="9">
        <v>35.887715548778033</v>
      </c>
      <c r="W3090" s="9">
        <v>35.887715548778033</v>
      </c>
      <c r="X3090" s="9">
        <v>43.340441784797164</v>
      </c>
      <c r="Y3090" s="9">
        <v>43.340441784797164</v>
      </c>
      <c r="Z3090" s="9">
        <v>50.878922643217386</v>
      </c>
      <c r="AA3090" s="9">
        <v>50.878922643217386</v>
      </c>
      <c r="AB3090" s="9">
        <v>58.511733586278822</v>
      </c>
      <c r="AC3090" s="9">
        <v>58.511733586278822</v>
      </c>
      <c r="AD3090" s="9">
        <v>67.924000242999782</v>
      </c>
      <c r="AE3090" s="9">
        <v>75.106340069501698</v>
      </c>
      <c r="AF3090" s="9">
        <v>82.401730816881624</v>
      </c>
      <c r="AG3090" s="9">
        <v>82.401730816881624</v>
      </c>
      <c r="AH3090" s="9">
        <v>90.556950861998658</v>
      </c>
      <c r="AI3090" s="9">
        <v>98.65295143668034</v>
      </c>
      <c r="AJ3090" s="9">
        <v>3.0428788910505911</v>
      </c>
    </row>
    <row r="3091" spans="1:36" x14ac:dyDescent="0.25">
      <c r="A3091" t="s">
        <v>5411</v>
      </c>
      <c r="B3091" t="s">
        <v>16</v>
      </c>
      <c r="C3091" t="s">
        <v>17</v>
      </c>
      <c r="D3091">
        <v>59775000</v>
      </c>
      <c r="E3091">
        <v>59779999</v>
      </c>
      <c r="F3091" t="s">
        <v>2781</v>
      </c>
      <c r="G3091" t="str">
        <f t="shared" si="96"/>
        <v>RNR</v>
      </c>
      <c r="H3091" t="s">
        <v>2668</v>
      </c>
      <c r="I3091" t="s">
        <v>20</v>
      </c>
      <c r="J3091" t="s">
        <v>77</v>
      </c>
      <c r="K3091" s="6">
        <v>0.03</v>
      </c>
      <c r="L3091" s="7">
        <f t="shared" si="97"/>
        <v>2E-3</v>
      </c>
      <c r="M3091" s="7">
        <v>3.0000000000000001E-3</v>
      </c>
      <c r="N3091">
        <v>17</v>
      </c>
      <c r="O3091" s="8">
        <v>30.245120785802055</v>
      </c>
      <c r="P3091" s="9">
        <v>30.245120785802055</v>
      </c>
      <c r="Q3091" s="9">
        <v>30.245120785802055</v>
      </c>
      <c r="R3091" s="9">
        <v>33.285241158213239</v>
      </c>
      <c r="S3091" s="9">
        <v>36.631366552338172</v>
      </c>
      <c r="T3091" s="9">
        <v>38.909767544853885</v>
      </c>
      <c r="U3091" s="9">
        <v>46.682383152234813</v>
      </c>
      <c r="V3091" s="9">
        <v>46.682383152234813</v>
      </c>
      <c r="W3091" s="9">
        <v>46.682383152234813</v>
      </c>
      <c r="X3091" s="9">
        <v>59.921474165477775</v>
      </c>
      <c r="Y3091" s="9">
        <v>59.921474165477775</v>
      </c>
      <c r="Z3091" s="9">
        <v>69.474106781959463</v>
      </c>
      <c r="AA3091" s="9">
        <v>69.474106781959463</v>
      </c>
      <c r="AB3091" s="9">
        <v>79.249204880977274</v>
      </c>
      <c r="AC3091" s="9">
        <v>79.249204880977274</v>
      </c>
      <c r="AD3091" s="9">
        <v>89.269015010784813</v>
      </c>
      <c r="AE3091" s="9">
        <v>99.558008374461224</v>
      </c>
      <c r="AF3091" s="9">
        <v>110.14310329539315</v>
      </c>
      <c r="AG3091" s="9">
        <v>110.14310329539315</v>
      </c>
      <c r="AH3091" s="9">
        <v>121.05390992930631</v>
      </c>
      <c r="AI3091" s="9">
        <v>133.14362481567588</v>
      </c>
      <c r="AJ3091" s="9">
        <v>3.0428788910505911</v>
      </c>
    </row>
    <row r="3092" spans="1:36" x14ac:dyDescent="0.25">
      <c r="A3092" t="s">
        <v>5411</v>
      </c>
      <c r="B3092" t="s">
        <v>16</v>
      </c>
      <c r="C3092" t="s">
        <v>17</v>
      </c>
      <c r="D3092">
        <v>59780000</v>
      </c>
      <c r="E3092">
        <v>59789999</v>
      </c>
      <c r="F3092" t="s">
        <v>2586</v>
      </c>
      <c r="G3092" t="str">
        <f t="shared" si="96"/>
        <v>RNI II</v>
      </c>
      <c r="H3092" t="s">
        <v>2668</v>
      </c>
      <c r="I3092" t="s">
        <v>20</v>
      </c>
      <c r="J3092" t="s">
        <v>64</v>
      </c>
      <c r="K3092" s="6">
        <v>0.03</v>
      </c>
      <c r="L3092" s="7">
        <f t="shared" si="97"/>
        <v>2E-3</v>
      </c>
      <c r="M3092" s="7">
        <v>3.0000000000000001E-3</v>
      </c>
      <c r="N3092">
        <v>12</v>
      </c>
      <c r="O3092" s="8">
        <v>22.322054432421936</v>
      </c>
      <c r="P3092" s="9">
        <v>22.322054432421936</v>
      </c>
      <c r="Q3092" s="9">
        <v>22.322054432421936</v>
      </c>
      <c r="R3092" s="9">
        <v>24.601819623386088</v>
      </c>
      <c r="S3092" s="9">
        <v>27.117044267047554</v>
      </c>
      <c r="T3092" s="9">
        <v>29.2369540706446</v>
      </c>
      <c r="U3092" s="9">
        <v>35.887715548778033</v>
      </c>
      <c r="V3092" s="9">
        <v>35.887715548778033</v>
      </c>
      <c r="W3092" s="9">
        <v>35.887715548778033</v>
      </c>
      <c r="X3092" s="9">
        <v>43.340441784797164</v>
      </c>
      <c r="Y3092" s="9">
        <v>43.340441784797164</v>
      </c>
      <c r="Z3092" s="9">
        <v>50.878922643217386</v>
      </c>
      <c r="AA3092" s="9">
        <v>50.878922643217386</v>
      </c>
      <c r="AB3092" s="9">
        <v>58.511733586278822</v>
      </c>
      <c r="AC3092" s="9">
        <v>58.511733586278822</v>
      </c>
      <c r="AD3092" s="9">
        <v>67.924000242999782</v>
      </c>
      <c r="AE3092" s="9">
        <v>75.106340069501698</v>
      </c>
      <c r="AF3092" s="9">
        <v>82.401730816881624</v>
      </c>
      <c r="AG3092" s="9">
        <v>82.401730816881624</v>
      </c>
      <c r="AH3092" s="9">
        <v>90.556950861998658</v>
      </c>
      <c r="AI3092" s="9">
        <v>98.65295143668034</v>
      </c>
      <c r="AJ3092" s="9">
        <v>3.0428788910505911</v>
      </c>
    </row>
    <row r="3093" spans="1:36" x14ac:dyDescent="0.25">
      <c r="A3093" t="s">
        <v>5411</v>
      </c>
      <c r="B3093" t="s">
        <v>16</v>
      </c>
      <c r="C3093" t="s">
        <v>17</v>
      </c>
      <c r="D3093">
        <v>59790000</v>
      </c>
      <c r="E3093">
        <v>59794999</v>
      </c>
      <c r="F3093" t="s">
        <v>2782</v>
      </c>
      <c r="G3093" t="str">
        <f t="shared" si="96"/>
        <v>RNI II</v>
      </c>
      <c r="H3093" t="s">
        <v>2668</v>
      </c>
      <c r="I3093" t="s">
        <v>20</v>
      </c>
      <c r="J3093" t="s">
        <v>64</v>
      </c>
      <c r="K3093" s="6">
        <v>0.03</v>
      </c>
      <c r="L3093" s="7">
        <f t="shared" si="97"/>
        <v>2E-3</v>
      </c>
      <c r="M3093" s="7">
        <v>3.0000000000000001E-3</v>
      </c>
      <c r="N3093">
        <v>11</v>
      </c>
      <c r="O3093" s="8">
        <v>22.322054432421936</v>
      </c>
      <c r="P3093" s="9">
        <v>22.322054432421936</v>
      </c>
      <c r="Q3093" s="9">
        <v>22.322054432421936</v>
      </c>
      <c r="R3093" s="9">
        <v>24.601819623386088</v>
      </c>
      <c r="S3093" s="9">
        <v>27.117044267047554</v>
      </c>
      <c r="T3093" s="9">
        <v>29.2369540706446</v>
      </c>
      <c r="U3093" s="9">
        <v>35.887715548778033</v>
      </c>
      <c r="V3093" s="9">
        <v>35.887715548778033</v>
      </c>
      <c r="W3093" s="9">
        <v>35.887715548778033</v>
      </c>
      <c r="X3093" s="9">
        <v>43.340441784797164</v>
      </c>
      <c r="Y3093" s="9">
        <v>43.340441784797164</v>
      </c>
      <c r="Z3093" s="9">
        <v>50.878922643217386</v>
      </c>
      <c r="AA3093" s="9">
        <v>50.878922643217386</v>
      </c>
      <c r="AB3093" s="9">
        <v>58.511733586278822</v>
      </c>
      <c r="AC3093" s="9">
        <v>58.511733586278822</v>
      </c>
      <c r="AD3093" s="9">
        <v>67.924000242999782</v>
      </c>
      <c r="AE3093" s="9">
        <v>75.106340069501698</v>
      </c>
      <c r="AF3093" s="9">
        <v>82.401730816881624</v>
      </c>
      <c r="AG3093" s="9">
        <v>82.401730816881624</v>
      </c>
      <c r="AH3093" s="9">
        <v>90.556950861998658</v>
      </c>
      <c r="AI3093" s="9">
        <v>98.65295143668034</v>
      </c>
      <c r="AJ3093" s="9">
        <v>3.0428788910505911</v>
      </c>
    </row>
    <row r="3094" spans="1:36" x14ac:dyDescent="0.25">
      <c r="A3094" t="s">
        <v>5411</v>
      </c>
      <c r="B3094" t="s">
        <v>16</v>
      </c>
      <c r="C3094" t="s">
        <v>17</v>
      </c>
      <c r="D3094">
        <v>59795000</v>
      </c>
      <c r="E3094">
        <v>59799999</v>
      </c>
      <c r="F3094" t="s">
        <v>2783</v>
      </c>
      <c r="G3094" t="str">
        <f t="shared" si="96"/>
        <v>RNR</v>
      </c>
      <c r="H3094" t="s">
        <v>2668</v>
      </c>
      <c r="I3094" t="s">
        <v>20</v>
      </c>
      <c r="J3094" t="s">
        <v>77</v>
      </c>
      <c r="K3094" s="6">
        <v>0.03</v>
      </c>
      <c r="L3094" s="7">
        <f t="shared" si="97"/>
        <v>2E-3</v>
      </c>
      <c r="M3094" s="7">
        <v>3.0000000000000001E-3</v>
      </c>
      <c r="N3094">
        <v>17</v>
      </c>
      <c r="O3094" s="8">
        <v>30.245120785802055</v>
      </c>
      <c r="P3094" s="9">
        <v>30.245120785802055</v>
      </c>
      <c r="Q3094" s="9">
        <v>30.245120785802055</v>
      </c>
      <c r="R3094" s="9">
        <v>33.285241158213239</v>
      </c>
      <c r="S3094" s="9">
        <v>36.631366552338172</v>
      </c>
      <c r="T3094" s="9">
        <v>38.909767544853885</v>
      </c>
      <c r="U3094" s="9">
        <v>46.682383152234813</v>
      </c>
      <c r="V3094" s="9">
        <v>46.682383152234813</v>
      </c>
      <c r="W3094" s="9">
        <v>46.682383152234813</v>
      </c>
      <c r="X3094" s="9">
        <v>59.921474165477775</v>
      </c>
      <c r="Y3094" s="9">
        <v>59.921474165477775</v>
      </c>
      <c r="Z3094" s="9">
        <v>69.474106781959463</v>
      </c>
      <c r="AA3094" s="9">
        <v>69.474106781959463</v>
      </c>
      <c r="AB3094" s="9">
        <v>79.249204880977274</v>
      </c>
      <c r="AC3094" s="9">
        <v>79.249204880977274</v>
      </c>
      <c r="AD3094" s="9">
        <v>89.269015010784813</v>
      </c>
      <c r="AE3094" s="9">
        <v>99.558008374461224</v>
      </c>
      <c r="AF3094" s="9">
        <v>110.14310329539315</v>
      </c>
      <c r="AG3094" s="9">
        <v>110.14310329539315</v>
      </c>
      <c r="AH3094" s="9">
        <v>121.05390992930631</v>
      </c>
      <c r="AI3094" s="9">
        <v>133.14362481567588</v>
      </c>
      <c r="AJ3094" s="9">
        <v>3.0428788910505911</v>
      </c>
    </row>
    <row r="3095" spans="1:36" x14ac:dyDescent="0.25">
      <c r="A3095" t="s">
        <v>5411</v>
      </c>
      <c r="B3095" t="s">
        <v>16</v>
      </c>
      <c r="C3095" t="s">
        <v>17</v>
      </c>
      <c r="D3095">
        <v>59800000</v>
      </c>
      <c r="E3095">
        <v>59804999</v>
      </c>
      <c r="F3095" t="s">
        <v>2784</v>
      </c>
      <c r="G3095" t="str">
        <f t="shared" si="96"/>
        <v>RNI II</v>
      </c>
      <c r="H3095" t="s">
        <v>2668</v>
      </c>
      <c r="I3095" t="s">
        <v>20</v>
      </c>
      <c r="J3095" t="s">
        <v>64</v>
      </c>
      <c r="K3095" s="6">
        <v>0.03</v>
      </c>
      <c r="L3095" s="7">
        <f t="shared" si="97"/>
        <v>2E-3</v>
      </c>
      <c r="M3095" s="7">
        <v>3.0000000000000001E-3</v>
      </c>
      <c r="N3095">
        <v>11</v>
      </c>
      <c r="O3095" s="8">
        <v>22.322054432421936</v>
      </c>
      <c r="P3095" s="9">
        <v>22.322054432421936</v>
      </c>
      <c r="Q3095" s="9">
        <v>22.322054432421936</v>
      </c>
      <c r="R3095" s="9">
        <v>24.601819623386088</v>
      </c>
      <c r="S3095" s="9">
        <v>27.117044267047554</v>
      </c>
      <c r="T3095" s="9">
        <v>29.2369540706446</v>
      </c>
      <c r="U3095" s="9">
        <v>35.887715548778033</v>
      </c>
      <c r="V3095" s="9">
        <v>35.887715548778033</v>
      </c>
      <c r="W3095" s="9">
        <v>35.887715548778033</v>
      </c>
      <c r="X3095" s="9">
        <v>43.340441784797164</v>
      </c>
      <c r="Y3095" s="9">
        <v>43.340441784797164</v>
      </c>
      <c r="Z3095" s="9">
        <v>50.878922643217386</v>
      </c>
      <c r="AA3095" s="9">
        <v>50.878922643217386</v>
      </c>
      <c r="AB3095" s="9">
        <v>58.511733586278822</v>
      </c>
      <c r="AC3095" s="9">
        <v>58.511733586278822</v>
      </c>
      <c r="AD3095" s="9">
        <v>67.924000242999782</v>
      </c>
      <c r="AE3095" s="9">
        <v>75.106340069501698</v>
      </c>
      <c r="AF3095" s="9">
        <v>82.401730816881624</v>
      </c>
      <c r="AG3095" s="9">
        <v>82.401730816881624</v>
      </c>
      <c r="AH3095" s="9">
        <v>90.556950861998658</v>
      </c>
      <c r="AI3095" s="9">
        <v>98.65295143668034</v>
      </c>
      <c r="AJ3095" s="9">
        <v>3.0428788910505911</v>
      </c>
    </row>
    <row r="3096" spans="1:36" x14ac:dyDescent="0.25">
      <c r="A3096" t="s">
        <v>5411</v>
      </c>
      <c r="B3096" t="s">
        <v>16</v>
      </c>
      <c r="C3096" t="s">
        <v>17</v>
      </c>
      <c r="D3096">
        <v>59805000</v>
      </c>
      <c r="E3096">
        <v>59807999</v>
      </c>
      <c r="F3096" t="s">
        <v>2785</v>
      </c>
      <c r="G3096" t="str">
        <f t="shared" si="96"/>
        <v>RNI II</v>
      </c>
      <c r="H3096" t="s">
        <v>2668</v>
      </c>
      <c r="I3096" t="s">
        <v>20</v>
      </c>
      <c r="J3096" t="s">
        <v>64</v>
      </c>
      <c r="K3096" s="6">
        <v>0.03</v>
      </c>
      <c r="L3096" s="7">
        <f t="shared" si="97"/>
        <v>2E-3</v>
      </c>
      <c r="M3096" s="7">
        <v>3.0000000000000001E-3</v>
      </c>
      <c r="N3096">
        <v>11</v>
      </c>
      <c r="O3096" s="8">
        <v>22.322054432421936</v>
      </c>
      <c r="P3096" s="9">
        <v>22.322054432421936</v>
      </c>
      <c r="Q3096" s="9">
        <v>22.322054432421936</v>
      </c>
      <c r="R3096" s="9">
        <v>24.601819623386088</v>
      </c>
      <c r="S3096" s="9">
        <v>27.117044267047554</v>
      </c>
      <c r="T3096" s="9">
        <v>29.2369540706446</v>
      </c>
      <c r="U3096" s="9">
        <v>35.887715548778033</v>
      </c>
      <c r="V3096" s="9">
        <v>35.887715548778033</v>
      </c>
      <c r="W3096" s="9">
        <v>35.887715548778033</v>
      </c>
      <c r="X3096" s="9">
        <v>43.340441784797164</v>
      </c>
      <c r="Y3096" s="9">
        <v>43.340441784797164</v>
      </c>
      <c r="Z3096" s="9">
        <v>50.878922643217386</v>
      </c>
      <c r="AA3096" s="9">
        <v>50.878922643217386</v>
      </c>
      <c r="AB3096" s="9">
        <v>58.511733586278822</v>
      </c>
      <c r="AC3096" s="9">
        <v>58.511733586278822</v>
      </c>
      <c r="AD3096" s="9">
        <v>67.924000242999782</v>
      </c>
      <c r="AE3096" s="9">
        <v>75.106340069501698</v>
      </c>
      <c r="AF3096" s="9">
        <v>82.401730816881624</v>
      </c>
      <c r="AG3096" s="9">
        <v>82.401730816881624</v>
      </c>
      <c r="AH3096" s="9">
        <v>90.556950861998658</v>
      </c>
      <c r="AI3096" s="9">
        <v>98.65295143668034</v>
      </c>
      <c r="AJ3096" s="9">
        <v>3.0428788910505911</v>
      </c>
    </row>
    <row r="3097" spans="1:36" x14ac:dyDescent="0.25">
      <c r="A3097" t="s">
        <v>5411</v>
      </c>
      <c r="B3097" t="s">
        <v>16</v>
      </c>
      <c r="C3097" t="s">
        <v>17</v>
      </c>
      <c r="D3097">
        <v>59808000</v>
      </c>
      <c r="E3097">
        <v>59809999</v>
      </c>
      <c r="F3097" t="s">
        <v>2786</v>
      </c>
      <c r="G3097" t="str">
        <f t="shared" si="96"/>
        <v>RNI II</v>
      </c>
      <c r="H3097" t="s">
        <v>2668</v>
      </c>
      <c r="I3097" t="s">
        <v>20</v>
      </c>
      <c r="J3097" t="s">
        <v>64</v>
      </c>
      <c r="K3097" s="6">
        <v>0.03</v>
      </c>
      <c r="L3097" s="7">
        <f t="shared" si="97"/>
        <v>2E-3</v>
      </c>
      <c r="M3097" s="7">
        <v>3.0000000000000001E-3</v>
      </c>
      <c r="N3097">
        <v>11</v>
      </c>
      <c r="O3097" s="8">
        <v>22.322054432421936</v>
      </c>
      <c r="P3097" s="9">
        <v>22.322054432421936</v>
      </c>
      <c r="Q3097" s="9">
        <v>22.322054432421936</v>
      </c>
      <c r="R3097" s="9">
        <v>24.601819623386088</v>
      </c>
      <c r="S3097" s="9">
        <v>27.117044267047554</v>
      </c>
      <c r="T3097" s="9">
        <v>29.2369540706446</v>
      </c>
      <c r="U3097" s="9">
        <v>35.887715548778033</v>
      </c>
      <c r="V3097" s="9">
        <v>35.887715548778033</v>
      </c>
      <c r="W3097" s="9">
        <v>35.887715548778033</v>
      </c>
      <c r="X3097" s="9">
        <v>43.340441784797164</v>
      </c>
      <c r="Y3097" s="9">
        <v>43.340441784797164</v>
      </c>
      <c r="Z3097" s="9">
        <v>50.878922643217386</v>
      </c>
      <c r="AA3097" s="9">
        <v>50.878922643217386</v>
      </c>
      <c r="AB3097" s="9">
        <v>58.511733586278822</v>
      </c>
      <c r="AC3097" s="9">
        <v>58.511733586278822</v>
      </c>
      <c r="AD3097" s="9">
        <v>67.924000242999782</v>
      </c>
      <c r="AE3097" s="9">
        <v>75.106340069501698</v>
      </c>
      <c r="AF3097" s="9">
        <v>82.401730816881624</v>
      </c>
      <c r="AG3097" s="9">
        <v>82.401730816881624</v>
      </c>
      <c r="AH3097" s="9">
        <v>90.556950861998658</v>
      </c>
      <c r="AI3097" s="9">
        <v>98.65295143668034</v>
      </c>
      <c r="AJ3097" s="9">
        <v>3.0428788910505911</v>
      </c>
    </row>
    <row r="3098" spans="1:36" x14ac:dyDescent="0.25">
      <c r="A3098" t="s">
        <v>5411</v>
      </c>
      <c r="B3098" t="s">
        <v>16</v>
      </c>
      <c r="C3098" t="s">
        <v>17</v>
      </c>
      <c r="D3098">
        <v>59810000</v>
      </c>
      <c r="E3098">
        <v>59814999</v>
      </c>
      <c r="F3098" t="s">
        <v>2787</v>
      </c>
      <c r="G3098" t="str">
        <f t="shared" si="96"/>
        <v>RNR</v>
      </c>
      <c r="H3098" t="s">
        <v>2668</v>
      </c>
      <c r="I3098" t="s">
        <v>20</v>
      </c>
      <c r="J3098" t="s">
        <v>77</v>
      </c>
      <c r="K3098" s="6">
        <v>0.03</v>
      </c>
      <c r="L3098" s="7">
        <f t="shared" si="97"/>
        <v>2E-3</v>
      </c>
      <c r="M3098" s="7">
        <v>3.0000000000000001E-3</v>
      </c>
      <c r="N3098">
        <v>17</v>
      </c>
      <c r="O3098" s="8">
        <v>30.245120785802055</v>
      </c>
      <c r="P3098" s="9">
        <v>30.245120785802055</v>
      </c>
      <c r="Q3098" s="9">
        <v>30.245120785802055</v>
      </c>
      <c r="R3098" s="9">
        <v>33.285241158213239</v>
      </c>
      <c r="S3098" s="9">
        <v>36.631366552338172</v>
      </c>
      <c r="T3098" s="9">
        <v>38.909767544853885</v>
      </c>
      <c r="U3098" s="9">
        <v>46.682383152234813</v>
      </c>
      <c r="V3098" s="9">
        <v>46.682383152234813</v>
      </c>
      <c r="W3098" s="9">
        <v>46.682383152234813</v>
      </c>
      <c r="X3098" s="9">
        <v>59.921474165477775</v>
      </c>
      <c r="Y3098" s="9">
        <v>59.921474165477775</v>
      </c>
      <c r="Z3098" s="9">
        <v>69.474106781959463</v>
      </c>
      <c r="AA3098" s="9">
        <v>69.474106781959463</v>
      </c>
      <c r="AB3098" s="9">
        <v>79.249204880977274</v>
      </c>
      <c r="AC3098" s="9">
        <v>79.249204880977274</v>
      </c>
      <c r="AD3098" s="9">
        <v>89.269015010784813</v>
      </c>
      <c r="AE3098" s="9">
        <v>99.558008374461224</v>
      </c>
      <c r="AF3098" s="9">
        <v>110.14310329539315</v>
      </c>
      <c r="AG3098" s="9">
        <v>110.14310329539315</v>
      </c>
      <c r="AH3098" s="9">
        <v>121.05390992930631</v>
      </c>
      <c r="AI3098" s="9">
        <v>133.14362481567588</v>
      </c>
      <c r="AJ3098" s="9">
        <v>3.0428788910505911</v>
      </c>
    </row>
    <row r="3099" spans="1:36" x14ac:dyDescent="0.25">
      <c r="A3099" t="s">
        <v>5411</v>
      </c>
      <c r="B3099" t="s">
        <v>16</v>
      </c>
      <c r="C3099" t="s">
        <v>17</v>
      </c>
      <c r="D3099">
        <v>59815000</v>
      </c>
      <c r="E3099">
        <v>59819999</v>
      </c>
      <c r="F3099" t="s">
        <v>1160</v>
      </c>
      <c r="G3099" t="str">
        <f t="shared" si="96"/>
        <v>RNR</v>
      </c>
      <c r="H3099" t="s">
        <v>2668</v>
      </c>
      <c r="I3099" t="s">
        <v>20</v>
      </c>
      <c r="J3099" t="s">
        <v>77</v>
      </c>
      <c r="K3099" s="6">
        <v>0.03</v>
      </c>
      <c r="L3099" s="7">
        <f t="shared" si="97"/>
        <v>2E-3</v>
      </c>
      <c r="M3099" s="7">
        <v>3.0000000000000001E-3</v>
      </c>
      <c r="N3099">
        <v>17</v>
      </c>
      <c r="O3099" s="8">
        <v>30.245120785802055</v>
      </c>
      <c r="P3099" s="9">
        <v>30.245120785802055</v>
      </c>
      <c r="Q3099" s="9">
        <v>30.245120785802055</v>
      </c>
      <c r="R3099" s="9">
        <v>33.285241158213239</v>
      </c>
      <c r="S3099" s="9">
        <v>36.631366552338172</v>
      </c>
      <c r="T3099" s="9">
        <v>38.909767544853885</v>
      </c>
      <c r="U3099" s="9">
        <v>46.682383152234813</v>
      </c>
      <c r="V3099" s="9">
        <v>46.682383152234813</v>
      </c>
      <c r="W3099" s="9">
        <v>46.682383152234813</v>
      </c>
      <c r="X3099" s="9">
        <v>59.921474165477775</v>
      </c>
      <c r="Y3099" s="9">
        <v>59.921474165477775</v>
      </c>
      <c r="Z3099" s="9">
        <v>69.474106781959463</v>
      </c>
      <c r="AA3099" s="9">
        <v>69.474106781959463</v>
      </c>
      <c r="AB3099" s="9">
        <v>79.249204880977274</v>
      </c>
      <c r="AC3099" s="9">
        <v>79.249204880977274</v>
      </c>
      <c r="AD3099" s="9">
        <v>89.269015010784813</v>
      </c>
      <c r="AE3099" s="9">
        <v>99.558008374461224</v>
      </c>
      <c r="AF3099" s="9">
        <v>110.14310329539315</v>
      </c>
      <c r="AG3099" s="9">
        <v>110.14310329539315</v>
      </c>
      <c r="AH3099" s="9">
        <v>121.05390992930631</v>
      </c>
      <c r="AI3099" s="9">
        <v>133.14362481567588</v>
      </c>
      <c r="AJ3099" s="9">
        <v>3.0428788910505911</v>
      </c>
    </row>
    <row r="3100" spans="1:36" x14ac:dyDescent="0.25">
      <c r="A3100" t="s">
        <v>5411</v>
      </c>
      <c r="B3100" t="s">
        <v>16</v>
      </c>
      <c r="C3100" t="s">
        <v>17</v>
      </c>
      <c r="D3100">
        <v>59820000</v>
      </c>
      <c r="E3100">
        <v>59829999</v>
      </c>
      <c r="F3100" t="s">
        <v>2788</v>
      </c>
      <c r="G3100" t="str">
        <f t="shared" si="96"/>
        <v>RNI II</v>
      </c>
      <c r="H3100" t="s">
        <v>2668</v>
      </c>
      <c r="I3100" t="s">
        <v>20</v>
      </c>
      <c r="J3100" t="s">
        <v>64</v>
      </c>
      <c r="K3100" s="6">
        <v>0.03</v>
      </c>
      <c r="L3100" s="7">
        <f t="shared" si="97"/>
        <v>2E-3</v>
      </c>
      <c r="M3100" s="7">
        <v>3.0000000000000001E-3</v>
      </c>
      <c r="N3100">
        <v>11</v>
      </c>
      <c r="O3100" s="8">
        <v>22.322054432421936</v>
      </c>
      <c r="P3100" s="9">
        <v>22.322054432421936</v>
      </c>
      <c r="Q3100" s="9">
        <v>22.322054432421936</v>
      </c>
      <c r="R3100" s="9">
        <v>24.601819623386088</v>
      </c>
      <c r="S3100" s="9">
        <v>27.117044267047554</v>
      </c>
      <c r="T3100" s="9">
        <v>29.2369540706446</v>
      </c>
      <c r="U3100" s="9">
        <v>35.887715548778033</v>
      </c>
      <c r="V3100" s="9">
        <v>35.887715548778033</v>
      </c>
      <c r="W3100" s="9">
        <v>35.887715548778033</v>
      </c>
      <c r="X3100" s="9">
        <v>43.340441784797164</v>
      </c>
      <c r="Y3100" s="9">
        <v>43.340441784797164</v>
      </c>
      <c r="Z3100" s="9">
        <v>50.878922643217386</v>
      </c>
      <c r="AA3100" s="9">
        <v>50.878922643217386</v>
      </c>
      <c r="AB3100" s="9">
        <v>58.511733586278822</v>
      </c>
      <c r="AC3100" s="9">
        <v>58.511733586278822</v>
      </c>
      <c r="AD3100" s="9">
        <v>67.924000242999782</v>
      </c>
      <c r="AE3100" s="9">
        <v>75.106340069501698</v>
      </c>
      <c r="AF3100" s="9">
        <v>82.401730816881624</v>
      </c>
      <c r="AG3100" s="9">
        <v>82.401730816881624</v>
      </c>
      <c r="AH3100" s="9">
        <v>90.556950861998658</v>
      </c>
      <c r="AI3100" s="9">
        <v>98.65295143668034</v>
      </c>
      <c r="AJ3100" s="9">
        <v>3.0428788910505911</v>
      </c>
    </row>
    <row r="3101" spans="1:36" x14ac:dyDescent="0.25">
      <c r="A3101" t="s">
        <v>5411</v>
      </c>
      <c r="B3101" t="s">
        <v>16</v>
      </c>
      <c r="C3101" t="s">
        <v>17</v>
      </c>
      <c r="D3101">
        <v>59830000</v>
      </c>
      <c r="E3101">
        <v>59839999</v>
      </c>
      <c r="F3101" t="s">
        <v>2789</v>
      </c>
      <c r="G3101" t="str">
        <f t="shared" si="96"/>
        <v>RNI II</v>
      </c>
      <c r="H3101" t="s">
        <v>2668</v>
      </c>
      <c r="I3101" t="s">
        <v>20</v>
      </c>
      <c r="J3101" t="s">
        <v>64</v>
      </c>
      <c r="K3101" s="6">
        <v>0.03</v>
      </c>
      <c r="L3101" s="7">
        <f t="shared" si="97"/>
        <v>2E-3</v>
      </c>
      <c r="M3101" s="7">
        <v>3.0000000000000001E-3</v>
      </c>
      <c r="N3101">
        <v>11</v>
      </c>
      <c r="O3101" s="8">
        <v>22.322054432421936</v>
      </c>
      <c r="P3101" s="9">
        <v>22.322054432421936</v>
      </c>
      <c r="Q3101" s="9">
        <v>22.322054432421936</v>
      </c>
      <c r="R3101" s="9">
        <v>24.601819623386088</v>
      </c>
      <c r="S3101" s="9">
        <v>27.117044267047554</v>
      </c>
      <c r="T3101" s="9">
        <v>29.2369540706446</v>
      </c>
      <c r="U3101" s="9">
        <v>35.887715548778033</v>
      </c>
      <c r="V3101" s="9">
        <v>35.887715548778033</v>
      </c>
      <c r="W3101" s="9">
        <v>35.887715548778033</v>
      </c>
      <c r="X3101" s="9">
        <v>43.340441784797164</v>
      </c>
      <c r="Y3101" s="9">
        <v>43.340441784797164</v>
      </c>
      <c r="Z3101" s="9">
        <v>50.878922643217386</v>
      </c>
      <c r="AA3101" s="9">
        <v>50.878922643217386</v>
      </c>
      <c r="AB3101" s="9">
        <v>58.511733586278822</v>
      </c>
      <c r="AC3101" s="9">
        <v>58.511733586278822</v>
      </c>
      <c r="AD3101" s="9">
        <v>67.924000242999782</v>
      </c>
      <c r="AE3101" s="9">
        <v>75.106340069501698</v>
      </c>
      <c r="AF3101" s="9">
        <v>82.401730816881624</v>
      </c>
      <c r="AG3101" s="9">
        <v>82.401730816881624</v>
      </c>
      <c r="AH3101" s="9">
        <v>90.556950861998658</v>
      </c>
      <c r="AI3101" s="9">
        <v>98.65295143668034</v>
      </c>
      <c r="AJ3101" s="9">
        <v>3.0428788910505911</v>
      </c>
    </row>
    <row r="3102" spans="1:36" x14ac:dyDescent="0.25">
      <c r="A3102" t="s">
        <v>5411</v>
      </c>
      <c r="B3102" t="s">
        <v>16</v>
      </c>
      <c r="C3102" t="s">
        <v>17</v>
      </c>
      <c r="D3102">
        <v>59840000</v>
      </c>
      <c r="E3102">
        <v>59854999</v>
      </c>
      <c r="F3102" t="s">
        <v>2790</v>
      </c>
      <c r="G3102" t="str">
        <f t="shared" si="96"/>
        <v>RNI II</v>
      </c>
      <c r="H3102" t="s">
        <v>2668</v>
      </c>
      <c r="I3102" t="s">
        <v>20</v>
      </c>
      <c r="J3102" t="s">
        <v>64</v>
      </c>
      <c r="K3102" s="6">
        <v>0.03</v>
      </c>
      <c r="L3102" s="7">
        <f t="shared" si="97"/>
        <v>2E-3</v>
      </c>
      <c r="M3102" s="7">
        <v>3.0000000000000001E-3</v>
      </c>
      <c r="N3102">
        <v>12</v>
      </c>
      <c r="O3102" s="8">
        <v>22.322054432421936</v>
      </c>
      <c r="P3102" s="9">
        <v>22.322054432421936</v>
      </c>
      <c r="Q3102" s="9">
        <v>22.322054432421936</v>
      </c>
      <c r="R3102" s="9">
        <v>24.601819623386088</v>
      </c>
      <c r="S3102" s="9">
        <v>27.117044267047554</v>
      </c>
      <c r="T3102" s="9">
        <v>29.2369540706446</v>
      </c>
      <c r="U3102" s="9">
        <v>35.887715548778033</v>
      </c>
      <c r="V3102" s="9">
        <v>35.887715548778033</v>
      </c>
      <c r="W3102" s="9">
        <v>35.887715548778033</v>
      </c>
      <c r="X3102" s="9">
        <v>43.340441784797164</v>
      </c>
      <c r="Y3102" s="9">
        <v>43.340441784797164</v>
      </c>
      <c r="Z3102" s="9">
        <v>50.878922643217386</v>
      </c>
      <c r="AA3102" s="9">
        <v>50.878922643217386</v>
      </c>
      <c r="AB3102" s="9">
        <v>58.511733586278822</v>
      </c>
      <c r="AC3102" s="9">
        <v>58.511733586278822</v>
      </c>
      <c r="AD3102" s="9">
        <v>67.924000242999782</v>
      </c>
      <c r="AE3102" s="9">
        <v>75.106340069501698</v>
      </c>
      <c r="AF3102" s="9">
        <v>82.401730816881624</v>
      </c>
      <c r="AG3102" s="9">
        <v>82.401730816881624</v>
      </c>
      <c r="AH3102" s="9">
        <v>90.556950861998658</v>
      </c>
      <c r="AI3102" s="9">
        <v>98.65295143668034</v>
      </c>
      <c r="AJ3102" s="9">
        <v>3.0428788910505911</v>
      </c>
    </row>
    <row r="3103" spans="1:36" x14ac:dyDescent="0.25">
      <c r="A3103" t="s">
        <v>5411</v>
      </c>
      <c r="B3103" t="s">
        <v>16</v>
      </c>
      <c r="C3103" t="s">
        <v>17</v>
      </c>
      <c r="D3103">
        <v>59855000</v>
      </c>
      <c r="E3103">
        <v>59855999</v>
      </c>
      <c r="F3103" t="s">
        <v>2791</v>
      </c>
      <c r="G3103" t="str">
        <f t="shared" si="96"/>
        <v>RNI II</v>
      </c>
      <c r="H3103" t="s">
        <v>2668</v>
      </c>
      <c r="I3103" t="s">
        <v>20</v>
      </c>
      <c r="J3103" t="s">
        <v>64</v>
      </c>
      <c r="K3103" s="6">
        <v>0.03</v>
      </c>
      <c r="L3103" s="7">
        <f t="shared" si="97"/>
        <v>2E-3</v>
      </c>
      <c r="M3103" s="7">
        <v>3.0000000000000001E-3</v>
      </c>
      <c r="N3103">
        <v>12</v>
      </c>
      <c r="O3103" s="8">
        <v>22.322054432421936</v>
      </c>
      <c r="P3103" s="9">
        <v>22.322054432421936</v>
      </c>
      <c r="Q3103" s="9">
        <v>22.322054432421936</v>
      </c>
      <c r="R3103" s="9">
        <v>24.601819623386088</v>
      </c>
      <c r="S3103" s="9">
        <v>27.117044267047554</v>
      </c>
      <c r="T3103" s="9">
        <v>29.2369540706446</v>
      </c>
      <c r="U3103" s="9">
        <v>35.887715548778033</v>
      </c>
      <c r="V3103" s="9">
        <v>35.887715548778033</v>
      </c>
      <c r="W3103" s="9">
        <v>35.887715548778033</v>
      </c>
      <c r="X3103" s="9">
        <v>43.340441784797164</v>
      </c>
      <c r="Y3103" s="9">
        <v>43.340441784797164</v>
      </c>
      <c r="Z3103" s="9">
        <v>50.878922643217386</v>
      </c>
      <c r="AA3103" s="9">
        <v>50.878922643217386</v>
      </c>
      <c r="AB3103" s="9">
        <v>58.511733586278822</v>
      </c>
      <c r="AC3103" s="9">
        <v>58.511733586278822</v>
      </c>
      <c r="AD3103" s="9">
        <v>67.924000242999782</v>
      </c>
      <c r="AE3103" s="9">
        <v>75.106340069501698</v>
      </c>
      <c r="AF3103" s="9">
        <v>82.401730816881624</v>
      </c>
      <c r="AG3103" s="9">
        <v>82.401730816881624</v>
      </c>
      <c r="AH3103" s="9">
        <v>90.556950861998658</v>
      </c>
      <c r="AI3103" s="9">
        <v>98.65295143668034</v>
      </c>
      <c r="AJ3103" s="9">
        <v>3.0428788910505911</v>
      </c>
    </row>
    <row r="3104" spans="1:36" x14ac:dyDescent="0.25">
      <c r="A3104" t="s">
        <v>5411</v>
      </c>
      <c r="B3104" t="s">
        <v>16</v>
      </c>
      <c r="C3104" t="s">
        <v>17</v>
      </c>
      <c r="D3104">
        <v>59856000</v>
      </c>
      <c r="E3104">
        <v>59864999</v>
      </c>
      <c r="F3104" t="s">
        <v>2792</v>
      </c>
      <c r="G3104" t="str">
        <f t="shared" si="96"/>
        <v>RNR</v>
      </c>
      <c r="H3104" t="s">
        <v>2668</v>
      </c>
      <c r="I3104" t="s">
        <v>20</v>
      </c>
      <c r="J3104" t="s">
        <v>77</v>
      </c>
      <c r="K3104" s="6">
        <v>0.03</v>
      </c>
      <c r="L3104" s="7">
        <f t="shared" si="97"/>
        <v>2E-3</v>
      </c>
      <c r="M3104" s="7">
        <v>3.0000000000000001E-3</v>
      </c>
      <c r="N3104">
        <v>17</v>
      </c>
      <c r="O3104" s="8">
        <v>30.245120785802055</v>
      </c>
      <c r="P3104" s="9">
        <v>30.245120785802055</v>
      </c>
      <c r="Q3104" s="9">
        <v>30.245120785802055</v>
      </c>
      <c r="R3104" s="9">
        <v>33.285241158213239</v>
      </c>
      <c r="S3104" s="9">
        <v>36.631366552338172</v>
      </c>
      <c r="T3104" s="9">
        <v>38.909767544853885</v>
      </c>
      <c r="U3104" s="9">
        <v>46.682383152234813</v>
      </c>
      <c r="V3104" s="9">
        <v>46.682383152234813</v>
      </c>
      <c r="W3104" s="9">
        <v>46.682383152234813</v>
      </c>
      <c r="X3104" s="9">
        <v>59.921474165477775</v>
      </c>
      <c r="Y3104" s="9">
        <v>59.921474165477775</v>
      </c>
      <c r="Z3104" s="9">
        <v>69.474106781959463</v>
      </c>
      <c r="AA3104" s="9">
        <v>69.474106781959463</v>
      </c>
      <c r="AB3104" s="9">
        <v>79.249204880977274</v>
      </c>
      <c r="AC3104" s="9">
        <v>79.249204880977274</v>
      </c>
      <c r="AD3104" s="9">
        <v>89.269015010784813</v>
      </c>
      <c r="AE3104" s="9">
        <v>99.558008374461224</v>
      </c>
      <c r="AF3104" s="9">
        <v>110.14310329539315</v>
      </c>
      <c r="AG3104" s="9">
        <v>110.14310329539315</v>
      </c>
      <c r="AH3104" s="9">
        <v>121.05390992930631</v>
      </c>
      <c r="AI3104" s="9">
        <v>133.14362481567588</v>
      </c>
      <c r="AJ3104" s="9">
        <v>3.0428788910505911</v>
      </c>
    </row>
    <row r="3105" spans="1:36" x14ac:dyDescent="0.25">
      <c r="A3105" t="s">
        <v>5411</v>
      </c>
      <c r="B3105" t="s">
        <v>16</v>
      </c>
      <c r="C3105" t="s">
        <v>17</v>
      </c>
      <c r="D3105">
        <v>59865000</v>
      </c>
      <c r="E3105">
        <v>59869999</v>
      </c>
      <c r="F3105" t="s">
        <v>2793</v>
      </c>
      <c r="G3105" t="str">
        <f t="shared" si="96"/>
        <v>RNI II</v>
      </c>
      <c r="H3105" t="s">
        <v>2668</v>
      </c>
      <c r="I3105" t="s">
        <v>20</v>
      </c>
      <c r="J3105" t="s">
        <v>64</v>
      </c>
      <c r="K3105" s="6">
        <v>0.03</v>
      </c>
      <c r="L3105" s="7">
        <f t="shared" si="97"/>
        <v>2E-3</v>
      </c>
      <c r="M3105" s="7">
        <v>3.0000000000000001E-3</v>
      </c>
      <c r="N3105">
        <v>12</v>
      </c>
      <c r="O3105" s="8">
        <v>22.322054432421936</v>
      </c>
      <c r="P3105" s="9">
        <v>22.322054432421936</v>
      </c>
      <c r="Q3105" s="9">
        <v>22.322054432421936</v>
      </c>
      <c r="R3105" s="9">
        <v>24.601819623386088</v>
      </c>
      <c r="S3105" s="9">
        <v>27.117044267047554</v>
      </c>
      <c r="T3105" s="9">
        <v>29.2369540706446</v>
      </c>
      <c r="U3105" s="9">
        <v>35.887715548778033</v>
      </c>
      <c r="V3105" s="9">
        <v>35.887715548778033</v>
      </c>
      <c r="W3105" s="9">
        <v>35.887715548778033</v>
      </c>
      <c r="X3105" s="9">
        <v>43.340441784797164</v>
      </c>
      <c r="Y3105" s="9">
        <v>43.340441784797164</v>
      </c>
      <c r="Z3105" s="9">
        <v>50.878922643217386</v>
      </c>
      <c r="AA3105" s="9">
        <v>50.878922643217386</v>
      </c>
      <c r="AB3105" s="9">
        <v>58.511733586278822</v>
      </c>
      <c r="AC3105" s="9">
        <v>58.511733586278822</v>
      </c>
      <c r="AD3105" s="9">
        <v>67.924000242999782</v>
      </c>
      <c r="AE3105" s="9">
        <v>75.106340069501698</v>
      </c>
      <c r="AF3105" s="9">
        <v>82.401730816881624</v>
      </c>
      <c r="AG3105" s="9">
        <v>82.401730816881624</v>
      </c>
      <c r="AH3105" s="9">
        <v>90.556950861998658</v>
      </c>
      <c r="AI3105" s="9">
        <v>98.65295143668034</v>
      </c>
      <c r="AJ3105" s="9">
        <v>3.0428788910505911</v>
      </c>
    </row>
    <row r="3106" spans="1:36" x14ac:dyDescent="0.25">
      <c r="A3106" t="s">
        <v>5411</v>
      </c>
      <c r="B3106" t="s">
        <v>16</v>
      </c>
      <c r="C3106" t="s">
        <v>17</v>
      </c>
      <c r="D3106">
        <v>59870000</v>
      </c>
      <c r="E3106">
        <v>59879999</v>
      </c>
      <c r="F3106" t="s">
        <v>2794</v>
      </c>
      <c r="G3106" t="str">
        <f t="shared" si="96"/>
        <v>RNR</v>
      </c>
      <c r="H3106" t="s">
        <v>2668</v>
      </c>
      <c r="I3106" t="s">
        <v>20</v>
      </c>
      <c r="J3106" t="s">
        <v>77</v>
      </c>
      <c r="K3106" s="6">
        <v>0.03</v>
      </c>
      <c r="L3106" s="7">
        <f t="shared" si="97"/>
        <v>2E-3</v>
      </c>
      <c r="M3106" s="7">
        <v>3.0000000000000001E-3</v>
      </c>
      <c r="N3106">
        <v>17</v>
      </c>
      <c r="O3106" s="8">
        <v>30.245120785802055</v>
      </c>
      <c r="P3106" s="9">
        <v>30.245120785802055</v>
      </c>
      <c r="Q3106" s="9">
        <v>30.245120785802055</v>
      </c>
      <c r="R3106" s="9">
        <v>33.285241158213239</v>
      </c>
      <c r="S3106" s="9">
        <v>36.631366552338172</v>
      </c>
      <c r="T3106" s="9">
        <v>38.909767544853885</v>
      </c>
      <c r="U3106" s="9">
        <v>46.682383152234813</v>
      </c>
      <c r="V3106" s="9">
        <v>46.682383152234813</v>
      </c>
      <c r="W3106" s="9">
        <v>46.682383152234813</v>
      </c>
      <c r="X3106" s="9">
        <v>59.921474165477775</v>
      </c>
      <c r="Y3106" s="9">
        <v>59.921474165477775</v>
      </c>
      <c r="Z3106" s="9">
        <v>69.474106781959463</v>
      </c>
      <c r="AA3106" s="9">
        <v>69.474106781959463</v>
      </c>
      <c r="AB3106" s="9">
        <v>79.249204880977274</v>
      </c>
      <c r="AC3106" s="9">
        <v>79.249204880977274</v>
      </c>
      <c r="AD3106" s="9">
        <v>89.269015010784813</v>
      </c>
      <c r="AE3106" s="9">
        <v>99.558008374461224</v>
      </c>
      <c r="AF3106" s="9">
        <v>110.14310329539315</v>
      </c>
      <c r="AG3106" s="9">
        <v>110.14310329539315</v>
      </c>
      <c r="AH3106" s="9">
        <v>121.05390992930631</v>
      </c>
      <c r="AI3106" s="9">
        <v>133.14362481567588</v>
      </c>
      <c r="AJ3106" s="9">
        <v>3.0428788910505911</v>
      </c>
    </row>
    <row r="3107" spans="1:36" x14ac:dyDescent="0.25">
      <c r="A3107" t="s">
        <v>5411</v>
      </c>
      <c r="B3107" t="s">
        <v>16</v>
      </c>
      <c r="C3107" t="s">
        <v>17</v>
      </c>
      <c r="D3107">
        <v>59880000</v>
      </c>
      <c r="E3107">
        <v>59889999</v>
      </c>
      <c r="F3107" t="s">
        <v>2795</v>
      </c>
      <c r="G3107" t="str">
        <f t="shared" si="96"/>
        <v>RNR</v>
      </c>
      <c r="H3107" t="s">
        <v>2668</v>
      </c>
      <c r="I3107" t="s">
        <v>20</v>
      </c>
      <c r="J3107" t="s">
        <v>77</v>
      </c>
      <c r="K3107" s="6">
        <v>0.03</v>
      </c>
      <c r="L3107" s="7">
        <f t="shared" si="97"/>
        <v>2E-3</v>
      </c>
      <c r="M3107" s="7">
        <v>3.0000000000000001E-3</v>
      </c>
      <c r="N3107">
        <v>17</v>
      </c>
      <c r="O3107" s="8">
        <v>30.245120785802055</v>
      </c>
      <c r="P3107" s="9">
        <v>30.245120785802055</v>
      </c>
      <c r="Q3107" s="9">
        <v>30.245120785802055</v>
      </c>
      <c r="R3107" s="9">
        <v>33.285241158213239</v>
      </c>
      <c r="S3107" s="9">
        <v>36.631366552338172</v>
      </c>
      <c r="T3107" s="9">
        <v>38.909767544853885</v>
      </c>
      <c r="U3107" s="9">
        <v>46.682383152234813</v>
      </c>
      <c r="V3107" s="9">
        <v>46.682383152234813</v>
      </c>
      <c r="W3107" s="9">
        <v>46.682383152234813</v>
      </c>
      <c r="X3107" s="9">
        <v>59.921474165477775</v>
      </c>
      <c r="Y3107" s="9">
        <v>59.921474165477775</v>
      </c>
      <c r="Z3107" s="9">
        <v>69.474106781959463</v>
      </c>
      <c r="AA3107" s="9">
        <v>69.474106781959463</v>
      </c>
      <c r="AB3107" s="9">
        <v>79.249204880977274</v>
      </c>
      <c r="AC3107" s="9">
        <v>79.249204880977274</v>
      </c>
      <c r="AD3107" s="9">
        <v>89.269015010784813</v>
      </c>
      <c r="AE3107" s="9">
        <v>99.558008374461224</v>
      </c>
      <c r="AF3107" s="9">
        <v>110.14310329539315</v>
      </c>
      <c r="AG3107" s="9">
        <v>110.14310329539315</v>
      </c>
      <c r="AH3107" s="9">
        <v>121.05390992930631</v>
      </c>
      <c r="AI3107" s="9">
        <v>133.14362481567588</v>
      </c>
      <c r="AJ3107" s="9">
        <v>3.0428788910505911</v>
      </c>
    </row>
    <row r="3108" spans="1:36" x14ac:dyDescent="0.25">
      <c r="A3108" t="s">
        <v>5411</v>
      </c>
      <c r="B3108" t="s">
        <v>16</v>
      </c>
      <c r="C3108" t="s">
        <v>17</v>
      </c>
      <c r="D3108">
        <v>59890000</v>
      </c>
      <c r="E3108">
        <v>59899999</v>
      </c>
      <c r="F3108" t="s">
        <v>2796</v>
      </c>
      <c r="G3108" t="str">
        <f t="shared" si="96"/>
        <v>RNI II</v>
      </c>
      <c r="H3108" t="s">
        <v>2668</v>
      </c>
      <c r="I3108" t="s">
        <v>20</v>
      </c>
      <c r="J3108" t="s">
        <v>64</v>
      </c>
      <c r="K3108" s="6">
        <v>0.03</v>
      </c>
      <c r="L3108" s="7">
        <f t="shared" si="97"/>
        <v>2E-3</v>
      </c>
      <c r="M3108" s="7">
        <v>3.0000000000000001E-3</v>
      </c>
      <c r="N3108">
        <v>12</v>
      </c>
      <c r="O3108" s="8">
        <v>22.322054432421936</v>
      </c>
      <c r="P3108" s="9">
        <v>22.322054432421936</v>
      </c>
      <c r="Q3108" s="9">
        <v>22.322054432421936</v>
      </c>
      <c r="R3108" s="9">
        <v>24.601819623386088</v>
      </c>
      <c r="S3108" s="9">
        <v>27.117044267047554</v>
      </c>
      <c r="T3108" s="9">
        <v>29.2369540706446</v>
      </c>
      <c r="U3108" s="9">
        <v>35.887715548778033</v>
      </c>
      <c r="V3108" s="9">
        <v>35.887715548778033</v>
      </c>
      <c r="W3108" s="9">
        <v>35.887715548778033</v>
      </c>
      <c r="X3108" s="9">
        <v>43.340441784797164</v>
      </c>
      <c r="Y3108" s="9">
        <v>43.340441784797164</v>
      </c>
      <c r="Z3108" s="9">
        <v>50.878922643217386</v>
      </c>
      <c r="AA3108" s="9">
        <v>50.878922643217386</v>
      </c>
      <c r="AB3108" s="9">
        <v>58.511733586278822</v>
      </c>
      <c r="AC3108" s="9">
        <v>58.511733586278822</v>
      </c>
      <c r="AD3108" s="9">
        <v>67.924000242999782</v>
      </c>
      <c r="AE3108" s="9">
        <v>75.106340069501698</v>
      </c>
      <c r="AF3108" s="9">
        <v>82.401730816881624</v>
      </c>
      <c r="AG3108" s="9">
        <v>82.401730816881624</v>
      </c>
      <c r="AH3108" s="9">
        <v>90.556950861998658</v>
      </c>
      <c r="AI3108" s="9">
        <v>98.65295143668034</v>
      </c>
      <c r="AJ3108" s="9">
        <v>3.0428788910505911</v>
      </c>
    </row>
    <row r="3109" spans="1:36" x14ac:dyDescent="0.25">
      <c r="A3109" t="s">
        <v>5411</v>
      </c>
      <c r="B3109" t="s">
        <v>16</v>
      </c>
      <c r="C3109" t="s">
        <v>17</v>
      </c>
      <c r="D3109">
        <v>59900000</v>
      </c>
      <c r="E3109">
        <v>59901999</v>
      </c>
      <c r="F3109" t="s">
        <v>2797</v>
      </c>
      <c r="G3109" t="str">
        <f t="shared" si="96"/>
        <v>RNI II</v>
      </c>
      <c r="H3109" t="s">
        <v>2668</v>
      </c>
      <c r="I3109" t="s">
        <v>20</v>
      </c>
      <c r="J3109" t="s">
        <v>64</v>
      </c>
      <c r="K3109" s="6">
        <v>0.03</v>
      </c>
      <c r="L3109" s="7">
        <f t="shared" si="97"/>
        <v>2E-3</v>
      </c>
      <c r="M3109" s="7">
        <v>3.0000000000000001E-3</v>
      </c>
      <c r="N3109">
        <v>12</v>
      </c>
      <c r="O3109" s="8">
        <v>22.322054432421936</v>
      </c>
      <c r="P3109" s="9">
        <v>22.322054432421936</v>
      </c>
      <c r="Q3109" s="9">
        <v>22.322054432421936</v>
      </c>
      <c r="R3109" s="9">
        <v>24.601819623386088</v>
      </c>
      <c r="S3109" s="9">
        <v>27.117044267047554</v>
      </c>
      <c r="T3109" s="9">
        <v>29.2369540706446</v>
      </c>
      <c r="U3109" s="9">
        <v>35.887715548778033</v>
      </c>
      <c r="V3109" s="9">
        <v>35.887715548778033</v>
      </c>
      <c r="W3109" s="9">
        <v>35.887715548778033</v>
      </c>
      <c r="X3109" s="9">
        <v>43.340441784797164</v>
      </c>
      <c r="Y3109" s="9">
        <v>43.340441784797164</v>
      </c>
      <c r="Z3109" s="9">
        <v>50.878922643217386</v>
      </c>
      <c r="AA3109" s="9">
        <v>50.878922643217386</v>
      </c>
      <c r="AB3109" s="9">
        <v>58.511733586278822</v>
      </c>
      <c r="AC3109" s="9">
        <v>58.511733586278822</v>
      </c>
      <c r="AD3109" s="9">
        <v>67.924000242999782</v>
      </c>
      <c r="AE3109" s="9">
        <v>75.106340069501698</v>
      </c>
      <c r="AF3109" s="9">
        <v>82.401730816881624</v>
      </c>
      <c r="AG3109" s="9">
        <v>82.401730816881624</v>
      </c>
      <c r="AH3109" s="9">
        <v>90.556950861998658</v>
      </c>
      <c r="AI3109" s="9">
        <v>98.65295143668034</v>
      </c>
      <c r="AJ3109" s="9">
        <v>3.0428788910505911</v>
      </c>
    </row>
    <row r="3110" spans="1:36" x14ac:dyDescent="0.25">
      <c r="A3110" t="s">
        <v>5411</v>
      </c>
      <c r="B3110" t="s">
        <v>16</v>
      </c>
      <c r="C3110" t="s">
        <v>17</v>
      </c>
      <c r="D3110">
        <v>59902000</v>
      </c>
      <c r="E3110">
        <v>59904999</v>
      </c>
      <c r="F3110" t="s">
        <v>2798</v>
      </c>
      <c r="G3110" t="str">
        <f t="shared" si="96"/>
        <v>RNI II</v>
      </c>
      <c r="H3110" t="s">
        <v>2668</v>
      </c>
      <c r="I3110" t="s">
        <v>20</v>
      </c>
      <c r="J3110" t="s">
        <v>64</v>
      </c>
      <c r="K3110" s="6">
        <v>0.03</v>
      </c>
      <c r="L3110" s="7">
        <f t="shared" si="97"/>
        <v>2E-3</v>
      </c>
      <c r="M3110" s="7">
        <v>3.0000000000000001E-3</v>
      </c>
      <c r="N3110">
        <v>12</v>
      </c>
      <c r="O3110" s="8">
        <v>22.322054432421936</v>
      </c>
      <c r="P3110" s="9">
        <v>22.322054432421936</v>
      </c>
      <c r="Q3110" s="9">
        <v>22.322054432421936</v>
      </c>
      <c r="R3110" s="9">
        <v>24.601819623386088</v>
      </c>
      <c r="S3110" s="9">
        <v>27.117044267047554</v>
      </c>
      <c r="T3110" s="9">
        <v>29.2369540706446</v>
      </c>
      <c r="U3110" s="9">
        <v>35.887715548778033</v>
      </c>
      <c r="V3110" s="9">
        <v>35.887715548778033</v>
      </c>
      <c r="W3110" s="9">
        <v>35.887715548778033</v>
      </c>
      <c r="X3110" s="9">
        <v>43.340441784797164</v>
      </c>
      <c r="Y3110" s="9">
        <v>43.340441784797164</v>
      </c>
      <c r="Z3110" s="9">
        <v>50.878922643217386</v>
      </c>
      <c r="AA3110" s="9">
        <v>50.878922643217386</v>
      </c>
      <c r="AB3110" s="9">
        <v>58.511733586278822</v>
      </c>
      <c r="AC3110" s="9">
        <v>58.511733586278822</v>
      </c>
      <c r="AD3110" s="9">
        <v>67.924000242999782</v>
      </c>
      <c r="AE3110" s="9">
        <v>75.106340069501698</v>
      </c>
      <c r="AF3110" s="9">
        <v>82.401730816881624</v>
      </c>
      <c r="AG3110" s="9">
        <v>82.401730816881624</v>
      </c>
      <c r="AH3110" s="9">
        <v>90.556950861998658</v>
      </c>
      <c r="AI3110" s="9">
        <v>98.65295143668034</v>
      </c>
      <c r="AJ3110" s="9">
        <v>3.0428788910505911</v>
      </c>
    </row>
    <row r="3111" spans="1:36" x14ac:dyDescent="0.25">
      <c r="A3111" t="s">
        <v>5411</v>
      </c>
      <c r="B3111" t="s">
        <v>16</v>
      </c>
      <c r="C3111" t="s">
        <v>17</v>
      </c>
      <c r="D3111">
        <v>59905000</v>
      </c>
      <c r="E3111">
        <v>59907999</v>
      </c>
      <c r="F3111" t="s">
        <v>2799</v>
      </c>
      <c r="G3111" t="str">
        <f t="shared" si="96"/>
        <v>RNI II</v>
      </c>
      <c r="H3111" t="s">
        <v>2668</v>
      </c>
      <c r="I3111" t="s">
        <v>20</v>
      </c>
      <c r="J3111" t="s">
        <v>64</v>
      </c>
      <c r="K3111" s="6">
        <v>0.03</v>
      </c>
      <c r="L3111" s="7">
        <f t="shared" si="97"/>
        <v>2E-3</v>
      </c>
      <c r="M3111" s="7">
        <v>3.0000000000000001E-3</v>
      </c>
      <c r="N3111">
        <v>12</v>
      </c>
      <c r="O3111" s="8">
        <v>22.322054432421936</v>
      </c>
      <c r="P3111" s="9">
        <v>22.322054432421936</v>
      </c>
      <c r="Q3111" s="9">
        <v>22.322054432421936</v>
      </c>
      <c r="R3111" s="9">
        <v>24.601819623386088</v>
      </c>
      <c r="S3111" s="9">
        <v>27.117044267047554</v>
      </c>
      <c r="T3111" s="9">
        <v>29.2369540706446</v>
      </c>
      <c r="U3111" s="9">
        <v>35.887715548778033</v>
      </c>
      <c r="V3111" s="9">
        <v>35.887715548778033</v>
      </c>
      <c r="W3111" s="9">
        <v>35.887715548778033</v>
      </c>
      <c r="X3111" s="9">
        <v>43.340441784797164</v>
      </c>
      <c r="Y3111" s="9">
        <v>43.340441784797164</v>
      </c>
      <c r="Z3111" s="9">
        <v>50.878922643217386</v>
      </c>
      <c r="AA3111" s="9">
        <v>50.878922643217386</v>
      </c>
      <c r="AB3111" s="9">
        <v>58.511733586278822</v>
      </c>
      <c r="AC3111" s="9">
        <v>58.511733586278822</v>
      </c>
      <c r="AD3111" s="9">
        <v>67.924000242999782</v>
      </c>
      <c r="AE3111" s="9">
        <v>75.106340069501698</v>
      </c>
      <c r="AF3111" s="9">
        <v>82.401730816881624</v>
      </c>
      <c r="AG3111" s="9">
        <v>82.401730816881624</v>
      </c>
      <c r="AH3111" s="9">
        <v>90.556950861998658</v>
      </c>
      <c r="AI3111" s="9">
        <v>98.65295143668034</v>
      </c>
      <c r="AJ3111" s="9">
        <v>3.0428788910505911</v>
      </c>
    </row>
    <row r="3112" spans="1:36" x14ac:dyDescent="0.25">
      <c r="A3112" t="s">
        <v>5411</v>
      </c>
      <c r="B3112" t="s">
        <v>16</v>
      </c>
      <c r="C3112" t="s">
        <v>17</v>
      </c>
      <c r="D3112">
        <v>59908000</v>
      </c>
      <c r="E3112">
        <v>59909999</v>
      </c>
      <c r="F3112" t="s">
        <v>2800</v>
      </c>
      <c r="G3112" t="str">
        <f t="shared" si="96"/>
        <v>RNI II</v>
      </c>
      <c r="H3112" t="s">
        <v>2668</v>
      </c>
      <c r="I3112" t="s">
        <v>20</v>
      </c>
      <c r="J3112" t="s">
        <v>64</v>
      </c>
      <c r="K3112" s="6">
        <v>0.03</v>
      </c>
      <c r="L3112" s="7">
        <f t="shared" si="97"/>
        <v>2E-3</v>
      </c>
      <c r="M3112" s="7">
        <v>3.0000000000000001E-3</v>
      </c>
      <c r="N3112">
        <v>12</v>
      </c>
      <c r="O3112" s="8">
        <v>22.322054432421936</v>
      </c>
      <c r="P3112" s="9">
        <v>22.322054432421936</v>
      </c>
      <c r="Q3112" s="9">
        <v>22.322054432421936</v>
      </c>
      <c r="R3112" s="9">
        <v>24.601819623386088</v>
      </c>
      <c r="S3112" s="9">
        <v>27.117044267047554</v>
      </c>
      <c r="T3112" s="9">
        <v>29.2369540706446</v>
      </c>
      <c r="U3112" s="9">
        <v>35.887715548778033</v>
      </c>
      <c r="V3112" s="9">
        <v>35.887715548778033</v>
      </c>
      <c r="W3112" s="9">
        <v>35.887715548778033</v>
      </c>
      <c r="X3112" s="9">
        <v>43.340441784797164</v>
      </c>
      <c r="Y3112" s="9">
        <v>43.340441784797164</v>
      </c>
      <c r="Z3112" s="9">
        <v>50.878922643217386</v>
      </c>
      <c r="AA3112" s="9">
        <v>50.878922643217386</v>
      </c>
      <c r="AB3112" s="9">
        <v>58.511733586278822</v>
      </c>
      <c r="AC3112" s="9">
        <v>58.511733586278822</v>
      </c>
      <c r="AD3112" s="9">
        <v>67.924000242999782</v>
      </c>
      <c r="AE3112" s="9">
        <v>75.106340069501698</v>
      </c>
      <c r="AF3112" s="9">
        <v>82.401730816881624</v>
      </c>
      <c r="AG3112" s="9">
        <v>82.401730816881624</v>
      </c>
      <c r="AH3112" s="9">
        <v>90.556950861998658</v>
      </c>
      <c r="AI3112" s="9">
        <v>98.65295143668034</v>
      </c>
      <c r="AJ3112" s="9">
        <v>3.0428788910505911</v>
      </c>
    </row>
    <row r="3113" spans="1:36" x14ac:dyDescent="0.25">
      <c r="A3113" t="s">
        <v>5411</v>
      </c>
      <c r="B3113" t="s">
        <v>16</v>
      </c>
      <c r="C3113" t="s">
        <v>17</v>
      </c>
      <c r="D3113">
        <v>59910000</v>
      </c>
      <c r="E3113">
        <v>59919999</v>
      </c>
      <c r="F3113" t="s">
        <v>2801</v>
      </c>
      <c r="G3113" t="str">
        <f t="shared" si="96"/>
        <v>RNI II</v>
      </c>
      <c r="H3113" t="s">
        <v>2668</v>
      </c>
      <c r="I3113" t="s">
        <v>20</v>
      </c>
      <c r="J3113" t="s">
        <v>64</v>
      </c>
      <c r="K3113" s="6">
        <v>0.03</v>
      </c>
      <c r="L3113" s="7">
        <f t="shared" si="97"/>
        <v>2E-3</v>
      </c>
      <c r="M3113" s="7">
        <v>3.0000000000000001E-3</v>
      </c>
      <c r="N3113">
        <v>12</v>
      </c>
      <c r="O3113" s="8">
        <v>22.322054432421936</v>
      </c>
      <c r="P3113" s="9">
        <v>22.322054432421936</v>
      </c>
      <c r="Q3113" s="9">
        <v>22.322054432421936</v>
      </c>
      <c r="R3113" s="9">
        <v>24.601819623386088</v>
      </c>
      <c r="S3113" s="9">
        <v>27.117044267047554</v>
      </c>
      <c r="T3113" s="9">
        <v>29.2369540706446</v>
      </c>
      <c r="U3113" s="9">
        <v>35.887715548778033</v>
      </c>
      <c r="V3113" s="9">
        <v>35.887715548778033</v>
      </c>
      <c r="W3113" s="9">
        <v>35.887715548778033</v>
      </c>
      <c r="X3113" s="9">
        <v>43.340441784797164</v>
      </c>
      <c r="Y3113" s="9">
        <v>43.340441784797164</v>
      </c>
      <c r="Z3113" s="9">
        <v>50.878922643217386</v>
      </c>
      <c r="AA3113" s="9">
        <v>50.878922643217386</v>
      </c>
      <c r="AB3113" s="9">
        <v>58.511733586278822</v>
      </c>
      <c r="AC3113" s="9">
        <v>58.511733586278822</v>
      </c>
      <c r="AD3113" s="9">
        <v>67.924000242999782</v>
      </c>
      <c r="AE3113" s="9">
        <v>75.106340069501698</v>
      </c>
      <c r="AF3113" s="9">
        <v>82.401730816881624</v>
      </c>
      <c r="AG3113" s="9">
        <v>82.401730816881624</v>
      </c>
      <c r="AH3113" s="9">
        <v>90.556950861998658</v>
      </c>
      <c r="AI3113" s="9">
        <v>98.65295143668034</v>
      </c>
      <c r="AJ3113" s="9">
        <v>3.0428788910505911</v>
      </c>
    </row>
    <row r="3114" spans="1:36" x14ac:dyDescent="0.25">
      <c r="A3114" t="s">
        <v>5411</v>
      </c>
      <c r="B3114" t="s">
        <v>16</v>
      </c>
      <c r="C3114" t="s">
        <v>17</v>
      </c>
      <c r="D3114">
        <v>59920000</v>
      </c>
      <c r="E3114">
        <v>59924999</v>
      </c>
      <c r="F3114" t="s">
        <v>2802</v>
      </c>
      <c r="G3114" t="str">
        <f t="shared" si="96"/>
        <v>RNI II</v>
      </c>
      <c r="H3114" t="s">
        <v>2668</v>
      </c>
      <c r="I3114" t="s">
        <v>20</v>
      </c>
      <c r="J3114" t="s">
        <v>64</v>
      </c>
      <c r="K3114" s="6">
        <v>0.03</v>
      </c>
      <c r="L3114" s="7">
        <f t="shared" si="97"/>
        <v>2E-3</v>
      </c>
      <c r="M3114" s="7">
        <v>3.0000000000000001E-3</v>
      </c>
      <c r="N3114">
        <v>12</v>
      </c>
      <c r="O3114" s="8">
        <v>22.322054432421936</v>
      </c>
      <c r="P3114" s="9">
        <v>22.322054432421936</v>
      </c>
      <c r="Q3114" s="9">
        <v>22.322054432421936</v>
      </c>
      <c r="R3114" s="9">
        <v>24.601819623386088</v>
      </c>
      <c r="S3114" s="9">
        <v>27.117044267047554</v>
      </c>
      <c r="T3114" s="9">
        <v>29.2369540706446</v>
      </c>
      <c r="U3114" s="9">
        <v>35.887715548778033</v>
      </c>
      <c r="V3114" s="9">
        <v>35.887715548778033</v>
      </c>
      <c r="W3114" s="9">
        <v>35.887715548778033</v>
      </c>
      <c r="X3114" s="9">
        <v>43.340441784797164</v>
      </c>
      <c r="Y3114" s="9">
        <v>43.340441784797164</v>
      </c>
      <c r="Z3114" s="9">
        <v>50.878922643217386</v>
      </c>
      <c r="AA3114" s="9">
        <v>50.878922643217386</v>
      </c>
      <c r="AB3114" s="9">
        <v>58.511733586278822</v>
      </c>
      <c r="AC3114" s="9">
        <v>58.511733586278822</v>
      </c>
      <c r="AD3114" s="9">
        <v>67.924000242999782</v>
      </c>
      <c r="AE3114" s="9">
        <v>75.106340069501698</v>
      </c>
      <c r="AF3114" s="9">
        <v>82.401730816881624</v>
      </c>
      <c r="AG3114" s="9">
        <v>82.401730816881624</v>
      </c>
      <c r="AH3114" s="9">
        <v>90.556950861998658</v>
      </c>
      <c r="AI3114" s="9">
        <v>98.65295143668034</v>
      </c>
      <c r="AJ3114" s="9">
        <v>3.0428788910505911</v>
      </c>
    </row>
    <row r="3115" spans="1:36" x14ac:dyDescent="0.25">
      <c r="A3115" t="s">
        <v>5411</v>
      </c>
      <c r="B3115" t="s">
        <v>16</v>
      </c>
      <c r="C3115" t="s">
        <v>17</v>
      </c>
      <c r="D3115">
        <v>59925000</v>
      </c>
      <c r="E3115">
        <v>59929999</v>
      </c>
      <c r="F3115" t="s">
        <v>2803</v>
      </c>
      <c r="G3115" t="str">
        <f t="shared" si="96"/>
        <v>RNI II</v>
      </c>
      <c r="H3115" t="s">
        <v>2668</v>
      </c>
      <c r="I3115" t="s">
        <v>20</v>
      </c>
      <c r="J3115" t="s">
        <v>64</v>
      </c>
      <c r="K3115" s="6">
        <v>0.03</v>
      </c>
      <c r="L3115" s="7">
        <f t="shared" si="97"/>
        <v>2E-3</v>
      </c>
      <c r="M3115" s="7">
        <v>3.0000000000000001E-3</v>
      </c>
      <c r="N3115">
        <v>12</v>
      </c>
      <c r="O3115" s="8">
        <v>22.322054432421936</v>
      </c>
      <c r="P3115" s="9">
        <v>22.322054432421936</v>
      </c>
      <c r="Q3115" s="9">
        <v>22.322054432421936</v>
      </c>
      <c r="R3115" s="9">
        <v>24.601819623386088</v>
      </c>
      <c r="S3115" s="9">
        <v>27.117044267047554</v>
      </c>
      <c r="T3115" s="9">
        <v>29.2369540706446</v>
      </c>
      <c r="U3115" s="9">
        <v>35.887715548778033</v>
      </c>
      <c r="V3115" s="9">
        <v>35.887715548778033</v>
      </c>
      <c r="W3115" s="9">
        <v>35.887715548778033</v>
      </c>
      <c r="X3115" s="9">
        <v>43.340441784797164</v>
      </c>
      <c r="Y3115" s="9">
        <v>43.340441784797164</v>
      </c>
      <c r="Z3115" s="9">
        <v>50.878922643217386</v>
      </c>
      <c r="AA3115" s="9">
        <v>50.878922643217386</v>
      </c>
      <c r="AB3115" s="9">
        <v>58.511733586278822</v>
      </c>
      <c r="AC3115" s="9">
        <v>58.511733586278822</v>
      </c>
      <c r="AD3115" s="9">
        <v>67.924000242999782</v>
      </c>
      <c r="AE3115" s="9">
        <v>75.106340069501698</v>
      </c>
      <c r="AF3115" s="9">
        <v>82.401730816881624</v>
      </c>
      <c r="AG3115" s="9">
        <v>82.401730816881624</v>
      </c>
      <c r="AH3115" s="9">
        <v>90.556950861998658</v>
      </c>
      <c r="AI3115" s="9">
        <v>98.65295143668034</v>
      </c>
      <c r="AJ3115" s="9">
        <v>3.0428788910505911</v>
      </c>
    </row>
    <row r="3116" spans="1:36" x14ac:dyDescent="0.25">
      <c r="A3116" t="s">
        <v>5411</v>
      </c>
      <c r="B3116" t="s">
        <v>16</v>
      </c>
      <c r="C3116" t="s">
        <v>17</v>
      </c>
      <c r="D3116">
        <v>59930000</v>
      </c>
      <c r="E3116">
        <v>59939999</v>
      </c>
      <c r="F3116" t="s">
        <v>2804</v>
      </c>
      <c r="G3116" t="str">
        <f t="shared" si="96"/>
        <v>RNI II</v>
      </c>
      <c r="H3116" t="s">
        <v>2668</v>
      </c>
      <c r="I3116" t="s">
        <v>20</v>
      </c>
      <c r="J3116" t="s">
        <v>64</v>
      </c>
      <c r="K3116" s="6">
        <v>0.03</v>
      </c>
      <c r="L3116" s="7">
        <f t="shared" si="97"/>
        <v>2E-3</v>
      </c>
      <c r="M3116" s="7">
        <v>3.0000000000000001E-3</v>
      </c>
      <c r="N3116">
        <v>12</v>
      </c>
      <c r="O3116" s="8">
        <v>22.322054432421936</v>
      </c>
      <c r="P3116" s="9">
        <v>22.322054432421936</v>
      </c>
      <c r="Q3116" s="9">
        <v>22.322054432421936</v>
      </c>
      <c r="R3116" s="9">
        <v>24.601819623386088</v>
      </c>
      <c r="S3116" s="9">
        <v>27.117044267047554</v>
      </c>
      <c r="T3116" s="9">
        <v>29.2369540706446</v>
      </c>
      <c r="U3116" s="9">
        <v>35.887715548778033</v>
      </c>
      <c r="V3116" s="9">
        <v>35.887715548778033</v>
      </c>
      <c r="W3116" s="9">
        <v>35.887715548778033</v>
      </c>
      <c r="X3116" s="9">
        <v>43.340441784797164</v>
      </c>
      <c r="Y3116" s="9">
        <v>43.340441784797164</v>
      </c>
      <c r="Z3116" s="9">
        <v>50.878922643217386</v>
      </c>
      <c r="AA3116" s="9">
        <v>50.878922643217386</v>
      </c>
      <c r="AB3116" s="9">
        <v>58.511733586278822</v>
      </c>
      <c r="AC3116" s="9">
        <v>58.511733586278822</v>
      </c>
      <c r="AD3116" s="9">
        <v>67.924000242999782</v>
      </c>
      <c r="AE3116" s="9">
        <v>75.106340069501698</v>
      </c>
      <c r="AF3116" s="9">
        <v>82.401730816881624</v>
      </c>
      <c r="AG3116" s="9">
        <v>82.401730816881624</v>
      </c>
      <c r="AH3116" s="9">
        <v>90.556950861998658</v>
      </c>
      <c r="AI3116" s="9">
        <v>98.65295143668034</v>
      </c>
      <c r="AJ3116" s="9">
        <v>3.0428788910505911</v>
      </c>
    </row>
    <row r="3117" spans="1:36" x14ac:dyDescent="0.25">
      <c r="A3117" t="s">
        <v>5411</v>
      </c>
      <c r="B3117" t="s">
        <v>16</v>
      </c>
      <c r="C3117" t="s">
        <v>17</v>
      </c>
      <c r="D3117">
        <v>59940000</v>
      </c>
      <c r="E3117">
        <v>59944999</v>
      </c>
      <c r="F3117" t="s">
        <v>2805</v>
      </c>
      <c r="G3117" t="str">
        <f t="shared" si="96"/>
        <v>RNI II</v>
      </c>
      <c r="H3117" t="s">
        <v>2668</v>
      </c>
      <c r="I3117" t="s">
        <v>20</v>
      </c>
      <c r="J3117" t="s">
        <v>64</v>
      </c>
      <c r="K3117" s="6">
        <v>0.03</v>
      </c>
      <c r="L3117" s="7">
        <f t="shared" si="97"/>
        <v>2E-3</v>
      </c>
      <c r="M3117" s="7">
        <v>3.0000000000000001E-3</v>
      </c>
      <c r="N3117">
        <v>12</v>
      </c>
      <c r="O3117" s="8">
        <v>22.322054432421936</v>
      </c>
      <c r="P3117" s="9">
        <v>22.322054432421936</v>
      </c>
      <c r="Q3117" s="9">
        <v>22.322054432421936</v>
      </c>
      <c r="R3117" s="9">
        <v>24.601819623386088</v>
      </c>
      <c r="S3117" s="9">
        <v>27.117044267047554</v>
      </c>
      <c r="T3117" s="9">
        <v>29.2369540706446</v>
      </c>
      <c r="U3117" s="9">
        <v>35.887715548778033</v>
      </c>
      <c r="V3117" s="9">
        <v>35.887715548778033</v>
      </c>
      <c r="W3117" s="9">
        <v>35.887715548778033</v>
      </c>
      <c r="X3117" s="9">
        <v>43.340441784797164</v>
      </c>
      <c r="Y3117" s="9">
        <v>43.340441784797164</v>
      </c>
      <c r="Z3117" s="9">
        <v>50.878922643217386</v>
      </c>
      <c r="AA3117" s="9">
        <v>50.878922643217386</v>
      </c>
      <c r="AB3117" s="9">
        <v>58.511733586278822</v>
      </c>
      <c r="AC3117" s="9">
        <v>58.511733586278822</v>
      </c>
      <c r="AD3117" s="9">
        <v>67.924000242999782</v>
      </c>
      <c r="AE3117" s="9">
        <v>75.106340069501698</v>
      </c>
      <c r="AF3117" s="9">
        <v>82.401730816881624</v>
      </c>
      <c r="AG3117" s="9">
        <v>82.401730816881624</v>
      </c>
      <c r="AH3117" s="9">
        <v>90.556950861998658</v>
      </c>
      <c r="AI3117" s="9">
        <v>98.65295143668034</v>
      </c>
      <c r="AJ3117" s="9">
        <v>3.0428788910505911</v>
      </c>
    </row>
    <row r="3118" spans="1:36" x14ac:dyDescent="0.25">
      <c r="A3118" t="s">
        <v>5411</v>
      </c>
      <c r="B3118" t="s">
        <v>16</v>
      </c>
      <c r="C3118" t="s">
        <v>17</v>
      </c>
      <c r="D3118">
        <v>59945000</v>
      </c>
      <c r="E3118">
        <v>59949999</v>
      </c>
      <c r="F3118" t="s">
        <v>2806</v>
      </c>
      <c r="G3118" t="str">
        <f t="shared" si="96"/>
        <v>RNI II</v>
      </c>
      <c r="H3118" t="s">
        <v>2668</v>
      </c>
      <c r="I3118" t="s">
        <v>20</v>
      </c>
      <c r="J3118" t="s">
        <v>64</v>
      </c>
      <c r="K3118" s="6">
        <v>0.03</v>
      </c>
      <c r="L3118" s="7">
        <f t="shared" si="97"/>
        <v>2E-3</v>
      </c>
      <c r="M3118" s="7">
        <v>3.0000000000000001E-3</v>
      </c>
      <c r="N3118">
        <v>12</v>
      </c>
      <c r="O3118" s="8">
        <v>22.322054432421936</v>
      </c>
      <c r="P3118" s="9">
        <v>22.322054432421936</v>
      </c>
      <c r="Q3118" s="9">
        <v>22.322054432421936</v>
      </c>
      <c r="R3118" s="9">
        <v>24.601819623386088</v>
      </c>
      <c r="S3118" s="9">
        <v>27.117044267047554</v>
      </c>
      <c r="T3118" s="9">
        <v>29.2369540706446</v>
      </c>
      <c r="U3118" s="9">
        <v>35.887715548778033</v>
      </c>
      <c r="V3118" s="9">
        <v>35.887715548778033</v>
      </c>
      <c r="W3118" s="9">
        <v>35.887715548778033</v>
      </c>
      <c r="X3118" s="9">
        <v>43.340441784797164</v>
      </c>
      <c r="Y3118" s="9">
        <v>43.340441784797164</v>
      </c>
      <c r="Z3118" s="9">
        <v>50.878922643217386</v>
      </c>
      <c r="AA3118" s="9">
        <v>50.878922643217386</v>
      </c>
      <c r="AB3118" s="9">
        <v>58.511733586278822</v>
      </c>
      <c r="AC3118" s="9">
        <v>58.511733586278822</v>
      </c>
      <c r="AD3118" s="9">
        <v>67.924000242999782</v>
      </c>
      <c r="AE3118" s="9">
        <v>75.106340069501698</v>
      </c>
      <c r="AF3118" s="9">
        <v>82.401730816881624</v>
      </c>
      <c r="AG3118" s="9">
        <v>82.401730816881624</v>
      </c>
      <c r="AH3118" s="9">
        <v>90.556950861998658</v>
      </c>
      <c r="AI3118" s="9">
        <v>98.65295143668034</v>
      </c>
      <c r="AJ3118" s="9">
        <v>3.0428788910505911</v>
      </c>
    </row>
    <row r="3119" spans="1:36" x14ac:dyDescent="0.25">
      <c r="A3119" t="s">
        <v>5411</v>
      </c>
      <c r="B3119" t="s">
        <v>16</v>
      </c>
      <c r="C3119" t="s">
        <v>17</v>
      </c>
      <c r="D3119">
        <v>59950000</v>
      </c>
      <c r="E3119">
        <v>59954999</v>
      </c>
      <c r="F3119" t="s">
        <v>2807</v>
      </c>
      <c r="G3119" t="str">
        <f t="shared" si="96"/>
        <v>RNI II</v>
      </c>
      <c r="H3119" t="s">
        <v>2668</v>
      </c>
      <c r="I3119" t="s">
        <v>20</v>
      </c>
      <c r="J3119" t="s">
        <v>64</v>
      </c>
      <c r="K3119" s="6">
        <v>0.03</v>
      </c>
      <c r="L3119" s="7">
        <f t="shared" si="97"/>
        <v>2E-3</v>
      </c>
      <c r="M3119" s="7">
        <v>3.0000000000000001E-3</v>
      </c>
      <c r="N3119">
        <v>13</v>
      </c>
      <c r="O3119" s="8">
        <v>22.322054432421936</v>
      </c>
      <c r="P3119" s="9">
        <v>22.322054432421936</v>
      </c>
      <c r="Q3119" s="9">
        <v>22.322054432421936</v>
      </c>
      <c r="R3119" s="9">
        <v>24.601819623386088</v>
      </c>
      <c r="S3119" s="9">
        <v>27.117044267047554</v>
      </c>
      <c r="T3119" s="9">
        <v>29.2369540706446</v>
      </c>
      <c r="U3119" s="9">
        <v>35.887715548778033</v>
      </c>
      <c r="V3119" s="9">
        <v>35.887715548778033</v>
      </c>
      <c r="W3119" s="9">
        <v>35.887715548778033</v>
      </c>
      <c r="X3119" s="9">
        <v>43.340441784797164</v>
      </c>
      <c r="Y3119" s="9">
        <v>43.340441784797164</v>
      </c>
      <c r="Z3119" s="9">
        <v>50.878922643217386</v>
      </c>
      <c r="AA3119" s="9">
        <v>50.878922643217386</v>
      </c>
      <c r="AB3119" s="9">
        <v>58.511733586278822</v>
      </c>
      <c r="AC3119" s="9">
        <v>58.511733586278822</v>
      </c>
      <c r="AD3119" s="9">
        <v>67.924000242999782</v>
      </c>
      <c r="AE3119" s="9">
        <v>75.106340069501698</v>
      </c>
      <c r="AF3119" s="9">
        <v>82.401730816881624</v>
      </c>
      <c r="AG3119" s="9">
        <v>82.401730816881624</v>
      </c>
      <c r="AH3119" s="9">
        <v>90.556950861998658</v>
      </c>
      <c r="AI3119" s="9">
        <v>98.65295143668034</v>
      </c>
      <c r="AJ3119" s="9">
        <v>3.0428788910505911</v>
      </c>
    </row>
    <row r="3120" spans="1:36" x14ac:dyDescent="0.25">
      <c r="A3120" t="s">
        <v>5411</v>
      </c>
      <c r="B3120" t="s">
        <v>16</v>
      </c>
      <c r="C3120" t="s">
        <v>17</v>
      </c>
      <c r="D3120">
        <v>59955000</v>
      </c>
      <c r="E3120">
        <v>59959999</v>
      </c>
      <c r="F3120" t="s">
        <v>2808</v>
      </c>
      <c r="G3120" t="str">
        <f t="shared" si="96"/>
        <v>RNI II</v>
      </c>
      <c r="H3120" t="s">
        <v>2668</v>
      </c>
      <c r="I3120" t="s">
        <v>20</v>
      </c>
      <c r="J3120" t="s">
        <v>64</v>
      </c>
      <c r="K3120" s="6">
        <v>0.03</v>
      </c>
      <c r="L3120" s="7">
        <f t="shared" si="97"/>
        <v>2E-3</v>
      </c>
      <c r="M3120" s="7">
        <v>3.0000000000000001E-3</v>
      </c>
      <c r="N3120">
        <v>13</v>
      </c>
      <c r="O3120" s="8">
        <v>22.322054432421936</v>
      </c>
      <c r="P3120" s="9">
        <v>22.322054432421936</v>
      </c>
      <c r="Q3120" s="9">
        <v>22.322054432421936</v>
      </c>
      <c r="R3120" s="9">
        <v>24.601819623386088</v>
      </c>
      <c r="S3120" s="9">
        <v>27.117044267047554</v>
      </c>
      <c r="T3120" s="9">
        <v>29.2369540706446</v>
      </c>
      <c r="U3120" s="9">
        <v>35.887715548778033</v>
      </c>
      <c r="V3120" s="9">
        <v>35.887715548778033</v>
      </c>
      <c r="W3120" s="9">
        <v>35.887715548778033</v>
      </c>
      <c r="X3120" s="9">
        <v>43.340441784797164</v>
      </c>
      <c r="Y3120" s="9">
        <v>43.340441784797164</v>
      </c>
      <c r="Z3120" s="9">
        <v>50.878922643217386</v>
      </c>
      <c r="AA3120" s="9">
        <v>50.878922643217386</v>
      </c>
      <c r="AB3120" s="9">
        <v>58.511733586278822</v>
      </c>
      <c r="AC3120" s="9">
        <v>58.511733586278822</v>
      </c>
      <c r="AD3120" s="9">
        <v>67.924000242999782</v>
      </c>
      <c r="AE3120" s="9">
        <v>75.106340069501698</v>
      </c>
      <c r="AF3120" s="9">
        <v>82.401730816881624</v>
      </c>
      <c r="AG3120" s="9">
        <v>82.401730816881624</v>
      </c>
      <c r="AH3120" s="9">
        <v>90.556950861998658</v>
      </c>
      <c r="AI3120" s="9">
        <v>98.65295143668034</v>
      </c>
      <c r="AJ3120" s="9">
        <v>3.0428788910505911</v>
      </c>
    </row>
    <row r="3121" spans="1:36" x14ac:dyDescent="0.25">
      <c r="A3121" t="s">
        <v>5411</v>
      </c>
      <c r="B3121" t="s">
        <v>16</v>
      </c>
      <c r="C3121" t="s">
        <v>17</v>
      </c>
      <c r="D3121">
        <v>59960000</v>
      </c>
      <c r="E3121">
        <v>59964999</v>
      </c>
      <c r="F3121" t="s">
        <v>2553</v>
      </c>
      <c r="G3121" t="str">
        <f t="shared" si="96"/>
        <v>RNI II</v>
      </c>
      <c r="H3121" t="s">
        <v>2668</v>
      </c>
      <c r="I3121" t="s">
        <v>20</v>
      </c>
      <c r="J3121" t="s">
        <v>64</v>
      </c>
      <c r="K3121" s="6">
        <v>0.03</v>
      </c>
      <c r="L3121" s="7">
        <f t="shared" si="97"/>
        <v>2E-3</v>
      </c>
      <c r="M3121" s="7">
        <v>3.0000000000000001E-3</v>
      </c>
      <c r="N3121">
        <v>12</v>
      </c>
      <c r="O3121" s="8">
        <v>22.322054432421936</v>
      </c>
      <c r="P3121" s="9">
        <v>22.322054432421936</v>
      </c>
      <c r="Q3121" s="9">
        <v>22.322054432421936</v>
      </c>
      <c r="R3121" s="9">
        <v>24.601819623386088</v>
      </c>
      <c r="S3121" s="9">
        <v>27.117044267047554</v>
      </c>
      <c r="T3121" s="9">
        <v>29.2369540706446</v>
      </c>
      <c r="U3121" s="9">
        <v>35.887715548778033</v>
      </c>
      <c r="V3121" s="9">
        <v>35.887715548778033</v>
      </c>
      <c r="W3121" s="9">
        <v>35.887715548778033</v>
      </c>
      <c r="X3121" s="9">
        <v>43.340441784797164</v>
      </c>
      <c r="Y3121" s="9">
        <v>43.340441784797164</v>
      </c>
      <c r="Z3121" s="9">
        <v>50.878922643217386</v>
      </c>
      <c r="AA3121" s="9">
        <v>50.878922643217386</v>
      </c>
      <c r="AB3121" s="9">
        <v>58.511733586278822</v>
      </c>
      <c r="AC3121" s="9">
        <v>58.511733586278822</v>
      </c>
      <c r="AD3121" s="9">
        <v>67.924000242999782</v>
      </c>
      <c r="AE3121" s="9">
        <v>75.106340069501698</v>
      </c>
      <c r="AF3121" s="9">
        <v>82.401730816881624</v>
      </c>
      <c r="AG3121" s="9">
        <v>82.401730816881624</v>
      </c>
      <c r="AH3121" s="9">
        <v>90.556950861998658</v>
      </c>
      <c r="AI3121" s="9">
        <v>98.65295143668034</v>
      </c>
      <c r="AJ3121" s="9">
        <v>3.0428788910505911</v>
      </c>
    </row>
    <row r="3122" spans="1:36" x14ac:dyDescent="0.25">
      <c r="A3122" t="s">
        <v>5411</v>
      </c>
      <c r="B3122" t="s">
        <v>16</v>
      </c>
      <c r="C3122" t="s">
        <v>17</v>
      </c>
      <c r="D3122">
        <v>59965000</v>
      </c>
      <c r="E3122">
        <v>59969999</v>
      </c>
      <c r="F3122" t="s">
        <v>2809</v>
      </c>
      <c r="G3122" t="str">
        <f t="shared" si="96"/>
        <v>RNI II</v>
      </c>
      <c r="H3122" t="s">
        <v>2668</v>
      </c>
      <c r="I3122" t="s">
        <v>20</v>
      </c>
      <c r="J3122" t="s">
        <v>64</v>
      </c>
      <c r="K3122" s="6">
        <v>0.03</v>
      </c>
      <c r="L3122" s="7">
        <f t="shared" si="97"/>
        <v>2E-3</v>
      </c>
      <c r="M3122" s="7">
        <v>3.0000000000000001E-3</v>
      </c>
      <c r="N3122">
        <v>12</v>
      </c>
      <c r="O3122" s="8">
        <v>22.322054432421936</v>
      </c>
      <c r="P3122" s="9">
        <v>22.322054432421936</v>
      </c>
      <c r="Q3122" s="9">
        <v>22.322054432421936</v>
      </c>
      <c r="R3122" s="9">
        <v>24.601819623386088</v>
      </c>
      <c r="S3122" s="9">
        <v>27.117044267047554</v>
      </c>
      <c r="T3122" s="9">
        <v>29.2369540706446</v>
      </c>
      <c r="U3122" s="9">
        <v>35.887715548778033</v>
      </c>
      <c r="V3122" s="9">
        <v>35.887715548778033</v>
      </c>
      <c r="W3122" s="9">
        <v>35.887715548778033</v>
      </c>
      <c r="X3122" s="9">
        <v>43.340441784797164</v>
      </c>
      <c r="Y3122" s="9">
        <v>43.340441784797164</v>
      </c>
      <c r="Z3122" s="9">
        <v>50.878922643217386</v>
      </c>
      <c r="AA3122" s="9">
        <v>50.878922643217386</v>
      </c>
      <c r="AB3122" s="9">
        <v>58.511733586278822</v>
      </c>
      <c r="AC3122" s="9">
        <v>58.511733586278822</v>
      </c>
      <c r="AD3122" s="9">
        <v>67.924000242999782</v>
      </c>
      <c r="AE3122" s="9">
        <v>75.106340069501698</v>
      </c>
      <c r="AF3122" s="9">
        <v>82.401730816881624</v>
      </c>
      <c r="AG3122" s="9">
        <v>82.401730816881624</v>
      </c>
      <c r="AH3122" s="9">
        <v>90.556950861998658</v>
      </c>
      <c r="AI3122" s="9">
        <v>98.65295143668034</v>
      </c>
      <c r="AJ3122" s="9">
        <v>3.0428788910505911</v>
      </c>
    </row>
    <row r="3123" spans="1:36" x14ac:dyDescent="0.25">
      <c r="A3123" t="s">
        <v>5411</v>
      </c>
      <c r="B3123" t="s">
        <v>16</v>
      </c>
      <c r="C3123" t="s">
        <v>17</v>
      </c>
      <c r="D3123">
        <v>59970000</v>
      </c>
      <c r="E3123">
        <v>59979999</v>
      </c>
      <c r="F3123" t="s">
        <v>2810</v>
      </c>
      <c r="G3123" t="str">
        <f t="shared" si="96"/>
        <v>RNI II</v>
      </c>
      <c r="H3123" t="s">
        <v>2668</v>
      </c>
      <c r="I3123" t="s">
        <v>20</v>
      </c>
      <c r="J3123" t="s">
        <v>64</v>
      </c>
      <c r="K3123" s="6">
        <v>0.03</v>
      </c>
      <c r="L3123" s="7">
        <f t="shared" si="97"/>
        <v>2E-3</v>
      </c>
      <c r="M3123" s="7">
        <v>3.0000000000000001E-3</v>
      </c>
      <c r="N3123">
        <v>12</v>
      </c>
      <c r="O3123" s="8">
        <v>22.322054432421936</v>
      </c>
      <c r="P3123" s="9">
        <v>22.322054432421936</v>
      </c>
      <c r="Q3123" s="9">
        <v>22.322054432421936</v>
      </c>
      <c r="R3123" s="9">
        <v>24.601819623386088</v>
      </c>
      <c r="S3123" s="9">
        <v>27.117044267047554</v>
      </c>
      <c r="T3123" s="9">
        <v>29.2369540706446</v>
      </c>
      <c r="U3123" s="9">
        <v>35.887715548778033</v>
      </c>
      <c r="V3123" s="9">
        <v>35.887715548778033</v>
      </c>
      <c r="W3123" s="9">
        <v>35.887715548778033</v>
      </c>
      <c r="X3123" s="9">
        <v>43.340441784797164</v>
      </c>
      <c r="Y3123" s="9">
        <v>43.340441784797164</v>
      </c>
      <c r="Z3123" s="9">
        <v>50.878922643217386</v>
      </c>
      <c r="AA3123" s="9">
        <v>50.878922643217386</v>
      </c>
      <c r="AB3123" s="9">
        <v>58.511733586278822</v>
      </c>
      <c r="AC3123" s="9">
        <v>58.511733586278822</v>
      </c>
      <c r="AD3123" s="9">
        <v>67.924000242999782</v>
      </c>
      <c r="AE3123" s="9">
        <v>75.106340069501698</v>
      </c>
      <c r="AF3123" s="9">
        <v>82.401730816881624</v>
      </c>
      <c r="AG3123" s="9">
        <v>82.401730816881624</v>
      </c>
      <c r="AH3123" s="9">
        <v>90.556950861998658</v>
      </c>
      <c r="AI3123" s="9">
        <v>98.65295143668034</v>
      </c>
      <c r="AJ3123" s="9">
        <v>3.0428788910505911</v>
      </c>
    </row>
    <row r="3124" spans="1:36" x14ac:dyDescent="0.25">
      <c r="A3124" t="s">
        <v>5411</v>
      </c>
      <c r="B3124" t="s">
        <v>16</v>
      </c>
      <c r="C3124" t="s">
        <v>17</v>
      </c>
      <c r="D3124">
        <v>59980000</v>
      </c>
      <c r="E3124">
        <v>59986999</v>
      </c>
      <c r="F3124" t="s">
        <v>2811</v>
      </c>
      <c r="G3124" t="str">
        <f t="shared" si="96"/>
        <v>RNI II</v>
      </c>
      <c r="H3124" t="s">
        <v>2668</v>
      </c>
      <c r="I3124" t="s">
        <v>20</v>
      </c>
      <c r="J3124" t="s">
        <v>64</v>
      </c>
      <c r="K3124" s="6">
        <v>0.03</v>
      </c>
      <c r="L3124" s="7">
        <f t="shared" si="97"/>
        <v>2E-3</v>
      </c>
      <c r="M3124" s="7">
        <v>3.0000000000000001E-3</v>
      </c>
      <c r="N3124">
        <v>12</v>
      </c>
      <c r="O3124" s="8">
        <v>22.322054432421936</v>
      </c>
      <c r="P3124" s="9">
        <v>22.322054432421936</v>
      </c>
      <c r="Q3124" s="9">
        <v>22.322054432421936</v>
      </c>
      <c r="R3124" s="9">
        <v>24.601819623386088</v>
      </c>
      <c r="S3124" s="9">
        <v>27.117044267047554</v>
      </c>
      <c r="T3124" s="9">
        <v>29.2369540706446</v>
      </c>
      <c r="U3124" s="9">
        <v>35.887715548778033</v>
      </c>
      <c r="V3124" s="9">
        <v>35.887715548778033</v>
      </c>
      <c r="W3124" s="9">
        <v>35.887715548778033</v>
      </c>
      <c r="X3124" s="9">
        <v>43.340441784797164</v>
      </c>
      <c r="Y3124" s="9">
        <v>43.340441784797164</v>
      </c>
      <c r="Z3124" s="9">
        <v>50.878922643217386</v>
      </c>
      <c r="AA3124" s="9">
        <v>50.878922643217386</v>
      </c>
      <c r="AB3124" s="9">
        <v>58.511733586278822</v>
      </c>
      <c r="AC3124" s="9">
        <v>58.511733586278822</v>
      </c>
      <c r="AD3124" s="9">
        <v>67.924000242999782</v>
      </c>
      <c r="AE3124" s="9">
        <v>75.106340069501698</v>
      </c>
      <c r="AF3124" s="9">
        <v>82.401730816881624</v>
      </c>
      <c r="AG3124" s="9">
        <v>82.401730816881624</v>
      </c>
      <c r="AH3124" s="9">
        <v>90.556950861998658</v>
      </c>
      <c r="AI3124" s="9">
        <v>98.65295143668034</v>
      </c>
      <c r="AJ3124" s="9">
        <v>3.0428788910505911</v>
      </c>
    </row>
    <row r="3125" spans="1:36" x14ac:dyDescent="0.25">
      <c r="A3125" t="s">
        <v>5411</v>
      </c>
      <c r="B3125" t="s">
        <v>16</v>
      </c>
      <c r="C3125" t="s">
        <v>17</v>
      </c>
      <c r="D3125">
        <v>59987000</v>
      </c>
      <c r="E3125">
        <v>59989999</v>
      </c>
      <c r="F3125" t="s">
        <v>1959</v>
      </c>
      <c r="G3125" t="str">
        <f t="shared" si="96"/>
        <v>RNI II</v>
      </c>
      <c r="H3125" t="s">
        <v>2668</v>
      </c>
      <c r="I3125" t="s">
        <v>20</v>
      </c>
      <c r="J3125" t="s">
        <v>64</v>
      </c>
      <c r="K3125" s="6">
        <v>0.03</v>
      </c>
      <c r="L3125" s="7">
        <f t="shared" si="97"/>
        <v>2E-3</v>
      </c>
      <c r="M3125" s="7">
        <v>3.0000000000000001E-3</v>
      </c>
      <c r="N3125">
        <v>12</v>
      </c>
      <c r="O3125" s="8">
        <v>22.322054432421936</v>
      </c>
      <c r="P3125" s="9">
        <v>22.322054432421936</v>
      </c>
      <c r="Q3125" s="9">
        <v>22.322054432421936</v>
      </c>
      <c r="R3125" s="9">
        <v>24.601819623386088</v>
      </c>
      <c r="S3125" s="9">
        <v>27.117044267047554</v>
      </c>
      <c r="T3125" s="9">
        <v>29.2369540706446</v>
      </c>
      <c r="U3125" s="9">
        <v>35.887715548778033</v>
      </c>
      <c r="V3125" s="9">
        <v>35.887715548778033</v>
      </c>
      <c r="W3125" s="9">
        <v>35.887715548778033</v>
      </c>
      <c r="X3125" s="9">
        <v>43.340441784797164</v>
      </c>
      <c r="Y3125" s="9">
        <v>43.340441784797164</v>
      </c>
      <c r="Z3125" s="9">
        <v>50.878922643217386</v>
      </c>
      <c r="AA3125" s="9">
        <v>50.878922643217386</v>
      </c>
      <c r="AB3125" s="9">
        <v>58.511733586278822</v>
      </c>
      <c r="AC3125" s="9">
        <v>58.511733586278822</v>
      </c>
      <c r="AD3125" s="9">
        <v>67.924000242999782</v>
      </c>
      <c r="AE3125" s="9">
        <v>75.106340069501698</v>
      </c>
      <c r="AF3125" s="9">
        <v>82.401730816881624</v>
      </c>
      <c r="AG3125" s="9">
        <v>82.401730816881624</v>
      </c>
      <c r="AH3125" s="9">
        <v>90.556950861998658</v>
      </c>
      <c r="AI3125" s="9">
        <v>98.65295143668034</v>
      </c>
      <c r="AJ3125" s="9">
        <v>3.0428788910505911</v>
      </c>
    </row>
    <row r="3126" spans="1:36" x14ac:dyDescent="0.25">
      <c r="A3126" t="s">
        <v>5411</v>
      </c>
      <c r="B3126" t="s">
        <v>16</v>
      </c>
      <c r="C3126" t="s">
        <v>17</v>
      </c>
      <c r="D3126">
        <v>59990000</v>
      </c>
      <c r="E3126">
        <v>59994999</v>
      </c>
      <c r="F3126" t="s">
        <v>2812</v>
      </c>
      <c r="G3126" t="str">
        <f t="shared" si="96"/>
        <v>RNI II</v>
      </c>
      <c r="H3126" t="s">
        <v>2668</v>
      </c>
      <c r="I3126" t="s">
        <v>20</v>
      </c>
      <c r="J3126" t="s">
        <v>64</v>
      </c>
      <c r="K3126" s="6">
        <v>0.03</v>
      </c>
      <c r="L3126" s="7">
        <f t="shared" si="97"/>
        <v>2E-3</v>
      </c>
      <c r="M3126" s="7">
        <v>3.0000000000000001E-3</v>
      </c>
      <c r="N3126">
        <v>12</v>
      </c>
      <c r="O3126" s="8">
        <v>22.322054432421936</v>
      </c>
      <c r="P3126" s="9">
        <v>22.322054432421936</v>
      </c>
      <c r="Q3126" s="9">
        <v>22.322054432421936</v>
      </c>
      <c r="R3126" s="9">
        <v>24.601819623386088</v>
      </c>
      <c r="S3126" s="9">
        <v>27.117044267047554</v>
      </c>
      <c r="T3126" s="9">
        <v>29.2369540706446</v>
      </c>
      <c r="U3126" s="9">
        <v>35.887715548778033</v>
      </c>
      <c r="V3126" s="9">
        <v>35.887715548778033</v>
      </c>
      <c r="W3126" s="9">
        <v>35.887715548778033</v>
      </c>
      <c r="X3126" s="9">
        <v>43.340441784797164</v>
      </c>
      <c r="Y3126" s="9">
        <v>43.340441784797164</v>
      </c>
      <c r="Z3126" s="9">
        <v>50.878922643217386</v>
      </c>
      <c r="AA3126" s="9">
        <v>50.878922643217386</v>
      </c>
      <c r="AB3126" s="9">
        <v>58.511733586278822</v>
      </c>
      <c r="AC3126" s="9">
        <v>58.511733586278822</v>
      </c>
      <c r="AD3126" s="9">
        <v>67.924000242999782</v>
      </c>
      <c r="AE3126" s="9">
        <v>75.106340069501698</v>
      </c>
      <c r="AF3126" s="9">
        <v>82.401730816881624</v>
      </c>
      <c r="AG3126" s="9">
        <v>82.401730816881624</v>
      </c>
      <c r="AH3126" s="9">
        <v>90.556950861998658</v>
      </c>
      <c r="AI3126" s="9">
        <v>98.65295143668034</v>
      </c>
      <c r="AJ3126" s="9">
        <v>3.0428788910505911</v>
      </c>
    </row>
    <row r="3127" spans="1:36" x14ac:dyDescent="0.25">
      <c r="A3127" t="s">
        <v>5411</v>
      </c>
      <c r="B3127" t="s">
        <v>16</v>
      </c>
      <c r="C3127" t="s">
        <v>17</v>
      </c>
      <c r="D3127">
        <v>59995000</v>
      </c>
      <c r="E3127">
        <v>59999999</v>
      </c>
      <c r="F3127" t="s">
        <v>2813</v>
      </c>
      <c r="G3127" t="str">
        <f t="shared" si="96"/>
        <v>RNI II</v>
      </c>
      <c r="H3127" t="s">
        <v>2668</v>
      </c>
      <c r="I3127" t="s">
        <v>20</v>
      </c>
      <c r="J3127" t="s">
        <v>64</v>
      </c>
      <c r="K3127" s="6">
        <v>0.03</v>
      </c>
      <c r="L3127" s="7">
        <f t="shared" si="97"/>
        <v>2E-3</v>
      </c>
      <c r="M3127" s="7">
        <v>3.0000000000000001E-3</v>
      </c>
      <c r="N3127">
        <v>12</v>
      </c>
      <c r="O3127" s="8">
        <v>22.322054432421936</v>
      </c>
      <c r="P3127" s="9">
        <v>22.322054432421936</v>
      </c>
      <c r="Q3127" s="9">
        <v>22.322054432421936</v>
      </c>
      <c r="R3127" s="9">
        <v>24.601819623386088</v>
      </c>
      <c r="S3127" s="9">
        <v>27.117044267047554</v>
      </c>
      <c r="T3127" s="9">
        <v>29.2369540706446</v>
      </c>
      <c r="U3127" s="9">
        <v>35.887715548778033</v>
      </c>
      <c r="V3127" s="9">
        <v>35.887715548778033</v>
      </c>
      <c r="W3127" s="9">
        <v>35.887715548778033</v>
      </c>
      <c r="X3127" s="9">
        <v>43.340441784797164</v>
      </c>
      <c r="Y3127" s="9">
        <v>43.340441784797164</v>
      </c>
      <c r="Z3127" s="9">
        <v>50.878922643217386</v>
      </c>
      <c r="AA3127" s="9">
        <v>50.878922643217386</v>
      </c>
      <c r="AB3127" s="9">
        <v>58.511733586278822</v>
      </c>
      <c r="AC3127" s="9">
        <v>58.511733586278822</v>
      </c>
      <c r="AD3127" s="9">
        <v>67.924000242999782</v>
      </c>
      <c r="AE3127" s="9">
        <v>75.106340069501698</v>
      </c>
      <c r="AF3127" s="9">
        <v>82.401730816881624</v>
      </c>
      <c r="AG3127" s="9">
        <v>82.401730816881624</v>
      </c>
      <c r="AH3127" s="9">
        <v>90.556950861998658</v>
      </c>
      <c r="AI3127" s="9">
        <v>98.65295143668034</v>
      </c>
      <c r="AJ3127" s="9">
        <v>3.0428788910505911</v>
      </c>
    </row>
    <row r="3128" spans="1:36" x14ac:dyDescent="0.25">
      <c r="A3128" t="s">
        <v>5411</v>
      </c>
      <c r="B3128" t="s">
        <v>16</v>
      </c>
      <c r="C3128" t="s">
        <v>17</v>
      </c>
      <c r="D3128">
        <v>60000000</v>
      </c>
      <c r="E3128">
        <v>60002899</v>
      </c>
      <c r="F3128" t="s">
        <v>2814</v>
      </c>
      <c r="G3128" t="str">
        <f t="shared" si="96"/>
        <v>CEC</v>
      </c>
      <c r="H3128" t="s">
        <v>2815</v>
      </c>
      <c r="I3128" t="s">
        <v>20</v>
      </c>
      <c r="J3128" t="s">
        <v>21</v>
      </c>
      <c r="K3128" s="6">
        <v>0.03</v>
      </c>
      <c r="L3128" s="7">
        <f t="shared" si="97"/>
        <v>2E-3</v>
      </c>
      <c r="M3128" s="7">
        <v>3.0000000000000001E-3</v>
      </c>
      <c r="N3128">
        <v>10</v>
      </c>
      <c r="O3128" s="8">
        <v>14.987546559075671</v>
      </c>
      <c r="P3128" s="9">
        <v>14.987546559075671</v>
      </c>
      <c r="Q3128" s="9">
        <v>14.987546559075671</v>
      </c>
      <c r="R3128" s="9">
        <v>16.17039118053189</v>
      </c>
      <c r="S3128" s="9">
        <v>17.280378886415619</v>
      </c>
      <c r="T3128" s="9">
        <v>18.671037701249148</v>
      </c>
      <c r="U3128" s="9">
        <v>22.274582007465412</v>
      </c>
      <c r="V3128" s="9">
        <v>22.274582007465412</v>
      </c>
      <c r="W3128" s="9">
        <v>22.274582007465412</v>
      </c>
      <c r="X3128" s="9">
        <v>28.786144035209752</v>
      </c>
      <c r="Y3128" s="9">
        <v>28.786144035209752</v>
      </c>
      <c r="Z3128" s="9">
        <v>35.776957821109391</v>
      </c>
      <c r="AA3128" s="9">
        <v>35.776957821109391</v>
      </c>
      <c r="AB3128" s="9">
        <v>43.052867169098633</v>
      </c>
      <c r="AC3128" s="9">
        <v>43.052867169098633</v>
      </c>
      <c r="AD3128" s="9">
        <v>52.474424070208499</v>
      </c>
      <c r="AE3128" s="9">
        <v>59.078762397590488</v>
      </c>
      <c r="AF3128" s="9">
        <v>65.792012425053997</v>
      </c>
      <c r="AG3128" s="9">
        <v>65.792012425053997</v>
      </c>
      <c r="AH3128" s="9">
        <v>72.625065322607171</v>
      </c>
      <c r="AI3128" s="9">
        <v>78.906511576875957</v>
      </c>
      <c r="AJ3128" s="9">
        <v>3.0428788910505911</v>
      </c>
    </row>
    <row r="3129" spans="1:36" x14ac:dyDescent="0.25">
      <c r="A3129" t="s">
        <v>5411</v>
      </c>
      <c r="B3129" t="s">
        <v>16</v>
      </c>
      <c r="C3129" t="s">
        <v>17</v>
      </c>
      <c r="D3129">
        <v>60002900</v>
      </c>
      <c r="E3129">
        <v>60109999</v>
      </c>
      <c r="F3129" t="s">
        <v>2814</v>
      </c>
      <c r="G3129" t="str">
        <f t="shared" si="96"/>
        <v>CEC</v>
      </c>
      <c r="H3129" t="s">
        <v>2815</v>
      </c>
      <c r="I3129" t="s">
        <v>20</v>
      </c>
      <c r="J3129" t="s">
        <v>21</v>
      </c>
      <c r="K3129" s="6">
        <v>0.03</v>
      </c>
      <c r="L3129" s="7">
        <f t="shared" si="97"/>
        <v>2E-3</v>
      </c>
      <c r="M3129" s="7">
        <v>3.0000000000000001E-3</v>
      </c>
      <c r="N3129">
        <v>10</v>
      </c>
      <c r="O3129" s="8">
        <v>14.987546559075671</v>
      </c>
      <c r="P3129" s="9">
        <v>14.987546559075671</v>
      </c>
      <c r="Q3129" s="9">
        <v>14.987546559075671</v>
      </c>
      <c r="R3129" s="9">
        <v>16.17039118053189</v>
      </c>
      <c r="S3129" s="9">
        <v>17.280378886415619</v>
      </c>
      <c r="T3129" s="9">
        <v>18.671037701249148</v>
      </c>
      <c r="U3129" s="9">
        <v>22.274582007465412</v>
      </c>
      <c r="V3129" s="9">
        <v>22.274582007465412</v>
      </c>
      <c r="W3129" s="9">
        <v>22.274582007465412</v>
      </c>
      <c r="X3129" s="9">
        <v>28.786144035209752</v>
      </c>
      <c r="Y3129" s="9">
        <v>28.786144035209752</v>
      </c>
      <c r="Z3129" s="9">
        <v>35.776957821109391</v>
      </c>
      <c r="AA3129" s="9">
        <v>35.776957821109391</v>
      </c>
      <c r="AB3129" s="9">
        <v>43.052867169098633</v>
      </c>
      <c r="AC3129" s="9">
        <v>43.052867169098633</v>
      </c>
      <c r="AD3129" s="9">
        <v>52.474424070208499</v>
      </c>
      <c r="AE3129" s="9">
        <v>59.078762397590488</v>
      </c>
      <c r="AF3129" s="9">
        <v>65.792012425053997</v>
      </c>
      <c r="AG3129" s="9">
        <v>65.792012425053997</v>
      </c>
      <c r="AH3129" s="9">
        <v>72.625065322607171</v>
      </c>
      <c r="AI3129" s="9">
        <v>78.906511576875957</v>
      </c>
      <c r="AJ3129" s="9">
        <v>3.0428788910505911</v>
      </c>
    </row>
    <row r="3130" spans="1:36" x14ac:dyDescent="0.25">
      <c r="A3130" t="s">
        <v>5411</v>
      </c>
      <c r="B3130" t="s">
        <v>16</v>
      </c>
      <c r="C3130" t="s">
        <v>17</v>
      </c>
      <c r="D3130">
        <v>60110000</v>
      </c>
      <c r="E3130">
        <v>60252573</v>
      </c>
      <c r="F3130" t="s">
        <v>2814</v>
      </c>
      <c r="G3130" t="str">
        <f t="shared" si="96"/>
        <v>CEC</v>
      </c>
      <c r="H3130" t="s">
        <v>2815</v>
      </c>
      <c r="I3130" t="s">
        <v>20</v>
      </c>
      <c r="J3130" t="s">
        <v>21</v>
      </c>
      <c r="K3130" s="6">
        <v>0.03</v>
      </c>
      <c r="L3130" s="7">
        <f t="shared" si="97"/>
        <v>2E-3</v>
      </c>
      <c r="M3130" s="7">
        <v>3.0000000000000001E-3</v>
      </c>
      <c r="N3130">
        <v>10</v>
      </c>
      <c r="O3130" s="8">
        <v>14.987546559075671</v>
      </c>
      <c r="P3130" s="9">
        <v>14.987546559075671</v>
      </c>
      <c r="Q3130" s="9">
        <v>14.987546559075671</v>
      </c>
      <c r="R3130" s="9">
        <v>16.17039118053189</v>
      </c>
      <c r="S3130" s="9">
        <v>17.280378886415619</v>
      </c>
      <c r="T3130" s="9">
        <v>18.671037701249148</v>
      </c>
      <c r="U3130" s="9">
        <v>22.274582007465412</v>
      </c>
      <c r="V3130" s="9">
        <v>22.274582007465412</v>
      </c>
      <c r="W3130" s="9">
        <v>22.274582007465412</v>
      </c>
      <c r="X3130" s="9">
        <v>28.786144035209752</v>
      </c>
      <c r="Y3130" s="9">
        <v>28.786144035209752</v>
      </c>
      <c r="Z3130" s="9">
        <v>35.776957821109391</v>
      </c>
      <c r="AA3130" s="9">
        <v>35.776957821109391</v>
      </c>
      <c r="AB3130" s="9">
        <v>43.052867169098633</v>
      </c>
      <c r="AC3130" s="9">
        <v>43.052867169098633</v>
      </c>
      <c r="AD3130" s="9">
        <v>52.474424070208499</v>
      </c>
      <c r="AE3130" s="9">
        <v>59.078762397590488</v>
      </c>
      <c r="AF3130" s="9">
        <v>65.792012425053997</v>
      </c>
      <c r="AG3130" s="9">
        <v>65.792012425053997</v>
      </c>
      <c r="AH3130" s="9">
        <v>72.625065322607171</v>
      </c>
      <c r="AI3130" s="9">
        <v>78.906511576875957</v>
      </c>
      <c r="AJ3130" s="9">
        <v>3.0428788910505911</v>
      </c>
    </row>
    <row r="3131" spans="1:36" x14ac:dyDescent="0.25">
      <c r="A3131" t="s">
        <v>5411</v>
      </c>
      <c r="B3131" t="s">
        <v>16</v>
      </c>
      <c r="C3131" t="s">
        <v>17</v>
      </c>
      <c r="D3131">
        <v>60252574</v>
      </c>
      <c r="E3131">
        <v>60310999</v>
      </c>
      <c r="F3131" t="s">
        <v>2814</v>
      </c>
      <c r="G3131" t="str">
        <f t="shared" si="96"/>
        <v>CEC</v>
      </c>
      <c r="H3131" t="s">
        <v>2815</v>
      </c>
      <c r="I3131" t="s">
        <v>20</v>
      </c>
      <c r="J3131" t="s">
        <v>21</v>
      </c>
      <c r="K3131" s="6">
        <v>0.03</v>
      </c>
      <c r="L3131" s="7">
        <f t="shared" si="97"/>
        <v>2E-3</v>
      </c>
      <c r="M3131" s="7">
        <v>3.0000000000000001E-3</v>
      </c>
      <c r="N3131">
        <v>10</v>
      </c>
      <c r="O3131" s="8">
        <v>14.987546559075671</v>
      </c>
      <c r="P3131" s="9">
        <v>14.987546559075671</v>
      </c>
      <c r="Q3131" s="9">
        <v>14.987546559075671</v>
      </c>
      <c r="R3131" s="9">
        <v>16.17039118053189</v>
      </c>
      <c r="S3131" s="9">
        <v>17.280378886415619</v>
      </c>
      <c r="T3131" s="9">
        <v>18.671037701249148</v>
      </c>
      <c r="U3131" s="9">
        <v>22.274582007465412</v>
      </c>
      <c r="V3131" s="9">
        <v>22.274582007465412</v>
      </c>
      <c r="W3131" s="9">
        <v>22.274582007465412</v>
      </c>
      <c r="X3131" s="9">
        <v>28.786144035209752</v>
      </c>
      <c r="Y3131" s="9">
        <v>28.786144035209752</v>
      </c>
      <c r="Z3131" s="9">
        <v>35.776957821109391</v>
      </c>
      <c r="AA3131" s="9">
        <v>35.776957821109391</v>
      </c>
      <c r="AB3131" s="9">
        <v>43.052867169098633</v>
      </c>
      <c r="AC3131" s="9">
        <v>43.052867169098633</v>
      </c>
      <c r="AD3131" s="9">
        <v>52.474424070208499</v>
      </c>
      <c r="AE3131" s="9">
        <v>59.078762397590488</v>
      </c>
      <c r="AF3131" s="9">
        <v>65.792012425053997</v>
      </c>
      <c r="AG3131" s="9">
        <v>65.792012425053997</v>
      </c>
      <c r="AH3131" s="9">
        <v>72.625065322607171</v>
      </c>
      <c r="AI3131" s="9">
        <v>78.906511576875957</v>
      </c>
      <c r="AJ3131" s="9">
        <v>3.0428788910505911</v>
      </c>
    </row>
    <row r="3132" spans="1:36" x14ac:dyDescent="0.25">
      <c r="A3132" t="s">
        <v>5411</v>
      </c>
      <c r="B3132" t="s">
        <v>16</v>
      </c>
      <c r="C3132" t="s">
        <v>17</v>
      </c>
      <c r="D3132">
        <v>60311000</v>
      </c>
      <c r="E3132">
        <v>60410999</v>
      </c>
      <c r="F3132" t="s">
        <v>2814</v>
      </c>
      <c r="G3132" t="str">
        <f t="shared" si="96"/>
        <v>CEC</v>
      </c>
      <c r="H3132" t="s">
        <v>2815</v>
      </c>
      <c r="I3132" t="s">
        <v>20</v>
      </c>
      <c r="J3132" t="s">
        <v>21</v>
      </c>
      <c r="K3132" s="6">
        <v>0.03</v>
      </c>
      <c r="L3132" s="7">
        <f t="shared" si="97"/>
        <v>2E-3</v>
      </c>
      <c r="M3132" s="7">
        <v>3.0000000000000001E-3</v>
      </c>
      <c r="N3132">
        <v>10</v>
      </c>
      <c r="O3132" s="8">
        <v>14.987546559075671</v>
      </c>
      <c r="P3132" s="9">
        <v>14.987546559075671</v>
      </c>
      <c r="Q3132" s="9">
        <v>14.987546559075671</v>
      </c>
      <c r="R3132" s="9">
        <v>16.17039118053189</v>
      </c>
      <c r="S3132" s="9">
        <v>17.280378886415619</v>
      </c>
      <c r="T3132" s="9">
        <v>18.671037701249148</v>
      </c>
      <c r="U3132" s="9">
        <v>22.274582007465412</v>
      </c>
      <c r="V3132" s="9">
        <v>22.274582007465412</v>
      </c>
      <c r="W3132" s="9">
        <v>22.274582007465412</v>
      </c>
      <c r="X3132" s="9">
        <v>28.786144035209752</v>
      </c>
      <c r="Y3132" s="9">
        <v>28.786144035209752</v>
      </c>
      <c r="Z3132" s="9">
        <v>35.776957821109391</v>
      </c>
      <c r="AA3132" s="9">
        <v>35.776957821109391</v>
      </c>
      <c r="AB3132" s="9">
        <v>43.052867169098633</v>
      </c>
      <c r="AC3132" s="9">
        <v>43.052867169098633</v>
      </c>
      <c r="AD3132" s="9">
        <v>52.474424070208499</v>
      </c>
      <c r="AE3132" s="9">
        <v>59.078762397590488</v>
      </c>
      <c r="AF3132" s="9">
        <v>65.792012425053997</v>
      </c>
      <c r="AG3132" s="9">
        <v>65.792012425053997</v>
      </c>
      <c r="AH3132" s="9">
        <v>72.625065322607171</v>
      </c>
      <c r="AI3132" s="9">
        <v>78.906511576875957</v>
      </c>
      <c r="AJ3132" s="9">
        <v>3.0428788910505911</v>
      </c>
    </row>
    <row r="3133" spans="1:36" x14ac:dyDescent="0.25">
      <c r="A3133" t="s">
        <v>5411</v>
      </c>
      <c r="B3133" t="s">
        <v>16</v>
      </c>
      <c r="C3133" t="s">
        <v>17</v>
      </c>
      <c r="D3133">
        <v>60411000</v>
      </c>
      <c r="E3133">
        <v>60520999</v>
      </c>
      <c r="F3133" t="s">
        <v>2814</v>
      </c>
      <c r="G3133" t="str">
        <f t="shared" si="96"/>
        <v>CEC</v>
      </c>
      <c r="H3133" t="s">
        <v>2815</v>
      </c>
      <c r="I3133" t="s">
        <v>20</v>
      </c>
      <c r="J3133" t="s">
        <v>21</v>
      </c>
      <c r="K3133" s="6">
        <v>0.03</v>
      </c>
      <c r="L3133" s="7">
        <f t="shared" si="97"/>
        <v>2E-3</v>
      </c>
      <c r="M3133" s="7">
        <v>3.0000000000000001E-3</v>
      </c>
      <c r="N3133">
        <v>10</v>
      </c>
      <c r="O3133" s="8">
        <v>14.987546559075671</v>
      </c>
      <c r="P3133" s="9">
        <v>14.987546559075671</v>
      </c>
      <c r="Q3133" s="9">
        <v>14.987546559075671</v>
      </c>
      <c r="R3133" s="9">
        <v>16.17039118053189</v>
      </c>
      <c r="S3133" s="9">
        <v>17.280378886415619</v>
      </c>
      <c r="T3133" s="9">
        <v>18.671037701249148</v>
      </c>
      <c r="U3133" s="9">
        <v>22.274582007465412</v>
      </c>
      <c r="V3133" s="9">
        <v>22.274582007465412</v>
      </c>
      <c r="W3133" s="9">
        <v>22.274582007465412</v>
      </c>
      <c r="X3133" s="9">
        <v>28.786144035209752</v>
      </c>
      <c r="Y3133" s="9">
        <v>28.786144035209752</v>
      </c>
      <c r="Z3133" s="9">
        <v>35.776957821109391</v>
      </c>
      <c r="AA3133" s="9">
        <v>35.776957821109391</v>
      </c>
      <c r="AB3133" s="9">
        <v>43.052867169098633</v>
      </c>
      <c r="AC3133" s="9">
        <v>43.052867169098633</v>
      </c>
      <c r="AD3133" s="9">
        <v>52.474424070208499</v>
      </c>
      <c r="AE3133" s="9">
        <v>59.078762397590488</v>
      </c>
      <c r="AF3133" s="9">
        <v>65.792012425053997</v>
      </c>
      <c r="AG3133" s="9">
        <v>65.792012425053997</v>
      </c>
      <c r="AH3133" s="9">
        <v>72.625065322607171</v>
      </c>
      <c r="AI3133" s="9">
        <v>78.906511576875957</v>
      </c>
      <c r="AJ3133" s="9">
        <v>3.0428788910505911</v>
      </c>
    </row>
    <row r="3134" spans="1:36" x14ac:dyDescent="0.25">
      <c r="A3134" t="s">
        <v>5411</v>
      </c>
      <c r="B3134" t="s">
        <v>16</v>
      </c>
      <c r="C3134" t="s">
        <v>17</v>
      </c>
      <c r="D3134">
        <v>60521000</v>
      </c>
      <c r="E3134">
        <v>60711999</v>
      </c>
      <c r="F3134" t="s">
        <v>2814</v>
      </c>
      <c r="G3134" t="str">
        <f t="shared" si="96"/>
        <v>CEC</v>
      </c>
      <c r="H3134" t="s">
        <v>2815</v>
      </c>
      <c r="I3134" t="s">
        <v>20</v>
      </c>
      <c r="J3134" t="s">
        <v>21</v>
      </c>
      <c r="K3134" s="6">
        <v>0.03</v>
      </c>
      <c r="L3134" s="7">
        <f t="shared" si="97"/>
        <v>2E-3</v>
      </c>
      <c r="M3134" s="7">
        <v>3.0000000000000001E-3</v>
      </c>
      <c r="N3134">
        <v>10</v>
      </c>
      <c r="O3134" s="8">
        <v>14.987546559075671</v>
      </c>
      <c r="P3134" s="9">
        <v>14.987546559075671</v>
      </c>
      <c r="Q3134" s="9">
        <v>14.987546559075671</v>
      </c>
      <c r="R3134" s="9">
        <v>16.17039118053189</v>
      </c>
      <c r="S3134" s="9">
        <v>17.280378886415619</v>
      </c>
      <c r="T3134" s="9">
        <v>18.671037701249148</v>
      </c>
      <c r="U3134" s="9">
        <v>22.274582007465412</v>
      </c>
      <c r="V3134" s="9">
        <v>22.274582007465412</v>
      </c>
      <c r="W3134" s="9">
        <v>22.274582007465412</v>
      </c>
      <c r="X3134" s="9">
        <v>28.786144035209752</v>
      </c>
      <c r="Y3134" s="9">
        <v>28.786144035209752</v>
      </c>
      <c r="Z3134" s="9">
        <v>35.776957821109391</v>
      </c>
      <c r="AA3134" s="9">
        <v>35.776957821109391</v>
      </c>
      <c r="AB3134" s="9">
        <v>43.052867169098633</v>
      </c>
      <c r="AC3134" s="9">
        <v>43.052867169098633</v>
      </c>
      <c r="AD3134" s="9">
        <v>52.474424070208499</v>
      </c>
      <c r="AE3134" s="9">
        <v>59.078762397590488</v>
      </c>
      <c r="AF3134" s="9">
        <v>65.792012425053997</v>
      </c>
      <c r="AG3134" s="9">
        <v>65.792012425053997</v>
      </c>
      <c r="AH3134" s="9">
        <v>72.625065322607171</v>
      </c>
      <c r="AI3134" s="9">
        <v>78.906511576875957</v>
      </c>
      <c r="AJ3134" s="9">
        <v>3.0428788910505911</v>
      </c>
    </row>
    <row r="3135" spans="1:36" x14ac:dyDescent="0.25">
      <c r="A3135" t="s">
        <v>5411</v>
      </c>
      <c r="B3135" t="s">
        <v>16</v>
      </c>
      <c r="C3135" t="s">
        <v>17</v>
      </c>
      <c r="D3135">
        <v>60712000</v>
      </c>
      <c r="E3135">
        <v>60810999</v>
      </c>
      <c r="F3135" t="s">
        <v>2814</v>
      </c>
      <c r="G3135" t="str">
        <f t="shared" si="96"/>
        <v>CEC</v>
      </c>
      <c r="H3135" t="s">
        <v>2815</v>
      </c>
      <c r="I3135" t="s">
        <v>20</v>
      </c>
      <c r="J3135" t="s">
        <v>21</v>
      </c>
      <c r="K3135" s="6">
        <v>0.03</v>
      </c>
      <c r="L3135" s="7">
        <f t="shared" si="97"/>
        <v>2E-3</v>
      </c>
      <c r="M3135" s="7">
        <v>3.0000000000000001E-3</v>
      </c>
      <c r="N3135">
        <v>10</v>
      </c>
      <c r="O3135" s="8">
        <v>14.987546559075671</v>
      </c>
      <c r="P3135" s="9">
        <v>14.987546559075671</v>
      </c>
      <c r="Q3135" s="9">
        <v>14.987546559075671</v>
      </c>
      <c r="R3135" s="9">
        <v>16.17039118053189</v>
      </c>
      <c r="S3135" s="9">
        <v>17.280378886415619</v>
      </c>
      <c r="T3135" s="9">
        <v>18.671037701249148</v>
      </c>
      <c r="U3135" s="9">
        <v>22.274582007465412</v>
      </c>
      <c r="V3135" s="9">
        <v>22.274582007465412</v>
      </c>
      <c r="W3135" s="9">
        <v>22.274582007465412</v>
      </c>
      <c r="X3135" s="9">
        <v>28.786144035209752</v>
      </c>
      <c r="Y3135" s="9">
        <v>28.786144035209752</v>
      </c>
      <c r="Z3135" s="9">
        <v>35.776957821109391</v>
      </c>
      <c r="AA3135" s="9">
        <v>35.776957821109391</v>
      </c>
      <c r="AB3135" s="9">
        <v>43.052867169098633</v>
      </c>
      <c r="AC3135" s="9">
        <v>43.052867169098633</v>
      </c>
      <c r="AD3135" s="9">
        <v>52.474424070208499</v>
      </c>
      <c r="AE3135" s="9">
        <v>59.078762397590488</v>
      </c>
      <c r="AF3135" s="9">
        <v>65.792012425053997</v>
      </c>
      <c r="AG3135" s="9">
        <v>65.792012425053997</v>
      </c>
      <c r="AH3135" s="9">
        <v>72.625065322607171</v>
      </c>
      <c r="AI3135" s="9">
        <v>78.906511576875957</v>
      </c>
      <c r="AJ3135" s="9">
        <v>3.0428788910505911</v>
      </c>
    </row>
    <row r="3136" spans="1:36" x14ac:dyDescent="0.25">
      <c r="A3136" t="s">
        <v>5411</v>
      </c>
      <c r="B3136" t="s">
        <v>16</v>
      </c>
      <c r="C3136" t="s">
        <v>17</v>
      </c>
      <c r="D3136">
        <v>60811000</v>
      </c>
      <c r="E3136">
        <v>60999999</v>
      </c>
      <c r="F3136" t="s">
        <v>2814</v>
      </c>
      <c r="G3136" t="str">
        <f t="shared" si="96"/>
        <v>CEC</v>
      </c>
      <c r="H3136" t="s">
        <v>2815</v>
      </c>
      <c r="I3136" t="s">
        <v>20</v>
      </c>
      <c r="J3136" t="s">
        <v>21</v>
      </c>
      <c r="K3136" s="6">
        <v>0.03</v>
      </c>
      <c r="L3136" s="7">
        <f t="shared" si="97"/>
        <v>2E-3</v>
      </c>
      <c r="M3136" s="7">
        <v>3.0000000000000001E-3</v>
      </c>
      <c r="N3136">
        <v>10</v>
      </c>
      <c r="O3136" s="8">
        <v>14.987546559075671</v>
      </c>
      <c r="P3136" s="9">
        <v>14.987546559075671</v>
      </c>
      <c r="Q3136" s="9">
        <v>14.987546559075671</v>
      </c>
      <c r="R3136" s="9">
        <v>16.17039118053189</v>
      </c>
      <c r="S3136" s="9">
        <v>17.280378886415619</v>
      </c>
      <c r="T3136" s="9">
        <v>18.671037701249148</v>
      </c>
      <c r="U3136" s="9">
        <v>22.274582007465412</v>
      </c>
      <c r="V3136" s="9">
        <v>22.274582007465412</v>
      </c>
      <c r="W3136" s="9">
        <v>22.274582007465412</v>
      </c>
      <c r="X3136" s="9">
        <v>28.786144035209752</v>
      </c>
      <c r="Y3136" s="9">
        <v>28.786144035209752</v>
      </c>
      <c r="Z3136" s="9">
        <v>35.776957821109391</v>
      </c>
      <c r="AA3136" s="9">
        <v>35.776957821109391</v>
      </c>
      <c r="AB3136" s="9">
        <v>43.052867169098633</v>
      </c>
      <c r="AC3136" s="9">
        <v>43.052867169098633</v>
      </c>
      <c r="AD3136" s="9">
        <v>52.474424070208499</v>
      </c>
      <c r="AE3136" s="9">
        <v>59.078762397590488</v>
      </c>
      <c r="AF3136" s="9">
        <v>65.792012425053997</v>
      </c>
      <c r="AG3136" s="9">
        <v>65.792012425053997</v>
      </c>
      <c r="AH3136" s="9">
        <v>72.625065322607171</v>
      </c>
      <c r="AI3136" s="9">
        <v>78.906511576875957</v>
      </c>
      <c r="AJ3136" s="9">
        <v>3.0428788910505911</v>
      </c>
    </row>
    <row r="3137" spans="1:36" x14ac:dyDescent="0.25">
      <c r="A3137" t="s">
        <v>5411</v>
      </c>
      <c r="B3137" t="s">
        <v>16</v>
      </c>
      <c r="C3137" t="s">
        <v>17</v>
      </c>
      <c r="D3137">
        <v>61000000</v>
      </c>
      <c r="E3137">
        <v>61599999</v>
      </c>
      <c r="F3137" t="s">
        <v>2814</v>
      </c>
      <c r="G3137" t="str">
        <f t="shared" si="96"/>
        <v>CEC</v>
      </c>
      <c r="H3137" t="s">
        <v>2815</v>
      </c>
      <c r="I3137" t="s">
        <v>20</v>
      </c>
      <c r="J3137" t="s">
        <v>21</v>
      </c>
      <c r="K3137" s="6">
        <v>0.03</v>
      </c>
      <c r="L3137" s="7">
        <f t="shared" si="97"/>
        <v>2E-3</v>
      </c>
      <c r="M3137" s="7">
        <v>3.0000000000000001E-3</v>
      </c>
      <c r="N3137">
        <v>10</v>
      </c>
      <c r="O3137" s="8">
        <v>14.987546559075671</v>
      </c>
      <c r="P3137" s="9">
        <v>14.987546559075671</v>
      </c>
      <c r="Q3137" s="9">
        <v>14.987546559075671</v>
      </c>
      <c r="R3137" s="9">
        <v>16.17039118053189</v>
      </c>
      <c r="S3137" s="9">
        <v>17.280378886415619</v>
      </c>
      <c r="T3137" s="9">
        <v>18.671037701249148</v>
      </c>
      <c r="U3137" s="9">
        <v>22.274582007465412</v>
      </c>
      <c r="V3137" s="9">
        <v>22.274582007465412</v>
      </c>
      <c r="W3137" s="9">
        <v>22.274582007465412</v>
      </c>
      <c r="X3137" s="9">
        <v>28.786144035209752</v>
      </c>
      <c r="Y3137" s="9">
        <v>28.786144035209752</v>
      </c>
      <c r="Z3137" s="9">
        <v>35.776957821109391</v>
      </c>
      <c r="AA3137" s="9">
        <v>35.776957821109391</v>
      </c>
      <c r="AB3137" s="9">
        <v>43.052867169098633</v>
      </c>
      <c r="AC3137" s="9">
        <v>43.052867169098633</v>
      </c>
      <c r="AD3137" s="9">
        <v>52.474424070208499</v>
      </c>
      <c r="AE3137" s="9">
        <v>59.078762397590488</v>
      </c>
      <c r="AF3137" s="9">
        <v>65.792012425053997</v>
      </c>
      <c r="AG3137" s="9">
        <v>65.792012425053997</v>
      </c>
      <c r="AH3137" s="9">
        <v>72.625065322607171</v>
      </c>
      <c r="AI3137" s="9">
        <v>78.906511576875957</v>
      </c>
      <c r="AJ3137" s="9">
        <v>3.0428788910505911</v>
      </c>
    </row>
    <row r="3138" spans="1:36" x14ac:dyDescent="0.25">
      <c r="A3138" t="s">
        <v>5411</v>
      </c>
      <c r="B3138" t="s">
        <v>16</v>
      </c>
      <c r="C3138" t="s">
        <v>17</v>
      </c>
      <c r="D3138">
        <v>61600000</v>
      </c>
      <c r="E3138">
        <v>61676999</v>
      </c>
      <c r="F3138" t="s">
        <v>2816</v>
      </c>
      <c r="G3138" t="str">
        <f t="shared" si="96"/>
        <v>CEI</v>
      </c>
      <c r="H3138" t="s">
        <v>2815</v>
      </c>
      <c r="I3138" t="s">
        <v>20</v>
      </c>
      <c r="J3138" t="s">
        <v>62</v>
      </c>
      <c r="K3138" s="6">
        <v>0.03</v>
      </c>
      <c r="L3138" s="7">
        <f t="shared" si="97"/>
        <v>2E-3</v>
      </c>
      <c r="M3138" s="7">
        <v>3.0000000000000001E-3</v>
      </c>
      <c r="N3138">
        <v>10</v>
      </c>
      <c r="O3138" s="8">
        <v>20.496511113332595</v>
      </c>
      <c r="P3138" s="9">
        <v>20.496511113332595</v>
      </c>
      <c r="Q3138" s="9">
        <v>20.496511113332595</v>
      </c>
      <c r="R3138" s="9">
        <v>22.369233265005814</v>
      </c>
      <c r="S3138" s="9">
        <v>24.369791582598779</v>
      </c>
      <c r="T3138" s="9">
        <v>26.793872673985138</v>
      </c>
      <c r="U3138" s="9">
        <v>32.749697002694603</v>
      </c>
      <c r="V3138" s="9">
        <v>32.749697002694603</v>
      </c>
      <c r="W3138" s="9">
        <v>32.749697002694603</v>
      </c>
      <c r="X3138" s="9">
        <v>39.508877297592456</v>
      </c>
      <c r="Y3138" s="9">
        <v>39.508877297592456</v>
      </c>
      <c r="Z3138" s="9">
        <v>46.492680996235194</v>
      </c>
      <c r="AA3138" s="9">
        <v>46.492680996235194</v>
      </c>
      <c r="AB3138" s="9">
        <v>53.77149943190107</v>
      </c>
      <c r="AC3138" s="9">
        <v>53.77149943190107</v>
      </c>
      <c r="AD3138" s="9">
        <v>61.22621482724891</v>
      </c>
      <c r="AE3138" s="9">
        <v>68.879452688643582</v>
      </c>
      <c r="AF3138" s="9">
        <v>76.756825666485923</v>
      </c>
      <c r="AG3138" s="9">
        <v>76.756825666485923</v>
      </c>
      <c r="AH3138" s="9">
        <v>84.298379348358239</v>
      </c>
      <c r="AI3138" s="9">
        <v>92.367999054407335</v>
      </c>
      <c r="AJ3138" s="9">
        <v>3.0428788910505911</v>
      </c>
    </row>
    <row r="3139" spans="1:36" x14ac:dyDescent="0.25">
      <c r="A3139" t="s">
        <v>5411</v>
      </c>
      <c r="B3139" t="s">
        <v>16</v>
      </c>
      <c r="C3139" t="s">
        <v>17</v>
      </c>
      <c r="D3139">
        <v>61677000</v>
      </c>
      <c r="E3139">
        <v>61699999</v>
      </c>
      <c r="F3139" t="s">
        <v>2816</v>
      </c>
      <c r="G3139" t="str">
        <f t="shared" si="96"/>
        <v>CEI II</v>
      </c>
      <c r="H3139" t="s">
        <v>2815</v>
      </c>
      <c r="I3139" t="s">
        <v>20</v>
      </c>
      <c r="J3139" t="s">
        <v>64</v>
      </c>
      <c r="K3139" s="6">
        <v>0.03</v>
      </c>
      <c r="L3139" s="7">
        <f t="shared" si="97"/>
        <v>2E-3</v>
      </c>
      <c r="M3139" s="7">
        <v>3.0000000000000001E-3</v>
      </c>
      <c r="N3139">
        <v>14</v>
      </c>
      <c r="O3139" s="8">
        <v>25.041947314744238</v>
      </c>
      <c r="P3139" s="9">
        <v>25.041947314744238</v>
      </c>
      <c r="Q3139" s="9">
        <v>25.041947314744238</v>
      </c>
      <c r="R3139" s="9">
        <v>27.456353403762161</v>
      </c>
      <c r="S3139" s="9">
        <v>30.106651570134346</v>
      </c>
      <c r="T3139" s="9">
        <v>32.38507785162065</v>
      </c>
      <c r="U3139" s="9">
        <v>39.429466811122886</v>
      </c>
      <c r="V3139" s="9">
        <v>39.429466811122886</v>
      </c>
      <c r="W3139" s="9">
        <v>39.429466811122886</v>
      </c>
      <c r="X3139" s="9">
        <v>47.435574821920561</v>
      </c>
      <c r="Y3139" s="9">
        <v>47.435574821920561</v>
      </c>
      <c r="Z3139" s="9">
        <v>55.548774102684064</v>
      </c>
      <c r="AA3139" s="9">
        <v>55.548774102684064</v>
      </c>
      <c r="AB3139" s="9">
        <v>63.779773780410025</v>
      </c>
      <c r="AC3139" s="9">
        <v>63.779773780410025</v>
      </c>
      <c r="AD3139" s="9">
        <v>74.232976377209724</v>
      </c>
      <c r="AE3139" s="9">
        <v>81.9014230099272</v>
      </c>
      <c r="AF3139" s="9">
        <v>89.711048815832598</v>
      </c>
      <c r="AG3139" s="9">
        <v>89.711048815832598</v>
      </c>
      <c r="AH3139" s="9">
        <v>98.594438447760481</v>
      </c>
      <c r="AI3139" s="9">
        <v>107.25818871858809</v>
      </c>
      <c r="AJ3139" s="9">
        <v>3.0428788910505911</v>
      </c>
    </row>
    <row r="3140" spans="1:36" x14ac:dyDescent="0.25">
      <c r="A3140" t="s">
        <v>5411</v>
      </c>
      <c r="B3140" t="s">
        <v>16</v>
      </c>
      <c r="C3140" t="s">
        <v>17</v>
      </c>
      <c r="D3140">
        <v>61700000</v>
      </c>
      <c r="E3140">
        <v>61759999</v>
      </c>
      <c r="F3140" t="s">
        <v>2817</v>
      </c>
      <c r="G3140" t="str">
        <f t="shared" ref="G3140:G3203" si="98">H3140&amp;IF(J3140="CAPITAL","C",IF(J3140="INTERIOR","I",IF(J3140="INTERIOR II","I II","R")))</f>
        <v>CEI</v>
      </c>
      <c r="H3140" t="s">
        <v>2815</v>
      </c>
      <c r="I3140" t="s">
        <v>20</v>
      </c>
      <c r="J3140" t="s">
        <v>62</v>
      </c>
      <c r="K3140" s="6">
        <v>0.03</v>
      </c>
      <c r="L3140" s="7">
        <f t="shared" ref="L3140:L3203" si="99">IF(I3140="(0) Não",0.2%,3%)</f>
        <v>2E-3</v>
      </c>
      <c r="M3140" s="7">
        <v>3.0000000000000001E-3</v>
      </c>
      <c r="N3140">
        <v>10</v>
      </c>
      <c r="O3140" s="8">
        <v>20.496511113332595</v>
      </c>
      <c r="P3140" s="9">
        <v>20.496511113332595</v>
      </c>
      <c r="Q3140" s="9">
        <v>20.496511113332595</v>
      </c>
      <c r="R3140" s="9">
        <v>22.369233265005814</v>
      </c>
      <c r="S3140" s="9">
        <v>24.369791582598779</v>
      </c>
      <c r="T3140" s="9">
        <v>26.793872673985138</v>
      </c>
      <c r="U3140" s="9">
        <v>32.749697002694603</v>
      </c>
      <c r="V3140" s="9">
        <v>32.749697002694603</v>
      </c>
      <c r="W3140" s="9">
        <v>32.749697002694603</v>
      </c>
      <c r="X3140" s="9">
        <v>39.508877297592456</v>
      </c>
      <c r="Y3140" s="9">
        <v>39.508877297592456</v>
      </c>
      <c r="Z3140" s="9">
        <v>46.492680996235194</v>
      </c>
      <c r="AA3140" s="9">
        <v>46.492680996235194</v>
      </c>
      <c r="AB3140" s="9">
        <v>53.77149943190107</v>
      </c>
      <c r="AC3140" s="9">
        <v>53.77149943190107</v>
      </c>
      <c r="AD3140" s="9">
        <v>61.22621482724891</v>
      </c>
      <c r="AE3140" s="9">
        <v>68.879452688643582</v>
      </c>
      <c r="AF3140" s="9">
        <v>76.756825666485923</v>
      </c>
      <c r="AG3140" s="9">
        <v>76.756825666485923</v>
      </c>
      <c r="AH3140" s="9">
        <v>84.298379348358239</v>
      </c>
      <c r="AI3140" s="9">
        <v>92.367999054407335</v>
      </c>
      <c r="AJ3140" s="9">
        <v>3.0428788910505911</v>
      </c>
    </row>
    <row r="3141" spans="1:36" x14ac:dyDescent="0.25">
      <c r="A3141" t="s">
        <v>5411</v>
      </c>
      <c r="B3141" t="s">
        <v>16</v>
      </c>
      <c r="C3141" t="s">
        <v>17</v>
      </c>
      <c r="D3141">
        <v>61760000</v>
      </c>
      <c r="E3141">
        <v>61799999</v>
      </c>
      <c r="F3141" t="s">
        <v>2818</v>
      </c>
      <c r="G3141" t="str">
        <f t="shared" si="98"/>
        <v>CEI</v>
      </c>
      <c r="H3141" t="s">
        <v>2815</v>
      </c>
      <c r="I3141" t="s">
        <v>20</v>
      </c>
      <c r="J3141" t="s">
        <v>62</v>
      </c>
      <c r="K3141" s="6">
        <v>0.03</v>
      </c>
      <c r="L3141" s="7">
        <f t="shared" si="99"/>
        <v>2E-3</v>
      </c>
      <c r="M3141" s="7">
        <v>3.0000000000000001E-3</v>
      </c>
      <c r="N3141">
        <v>10</v>
      </c>
      <c r="O3141" s="8">
        <v>20.496511113332595</v>
      </c>
      <c r="P3141" s="9">
        <v>20.496511113332595</v>
      </c>
      <c r="Q3141" s="9">
        <v>20.496511113332595</v>
      </c>
      <c r="R3141" s="9">
        <v>22.369233265005814</v>
      </c>
      <c r="S3141" s="9">
        <v>24.369791582598779</v>
      </c>
      <c r="T3141" s="9">
        <v>26.793872673985138</v>
      </c>
      <c r="U3141" s="9">
        <v>32.749697002694603</v>
      </c>
      <c r="V3141" s="9">
        <v>32.749697002694603</v>
      </c>
      <c r="W3141" s="9">
        <v>32.749697002694603</v>
      </c>
      <c r="X3141" s="9">
        <v>39.508877297592456</v>
      </c>
      <c r="Y3141" s="9">
        <v>39.508877297592456</v>
      </c>
      <c r="Z3141" s="9">
        <v>46.492680996235194</v>
      </c>
      <c r="AA3141" s="9">
        <v>46.492680996235194</v>
      </c>
      <c r="AB3141" s="9">
        <v>53.77149943190107</v>
      </c>
      <c r="AC3141" s="9">
        <v>53.77149943190107</v>
      </c>
      <c r="AD3141" s="9">
        <v>61.22621482724891</v>
      </c>
      <c r="AE3141" s="9">
        <v>68.879452688643582</v>
      </c>
      <c r="AF3141" s="9">
        <v>76.756825666485923</v>
      </c>
      <c r="AG3141" s="9">
        <v>76.756825666485923</v>
      </c>
      <c r="AH3141" s="9">
        <v>84.298379348358239</v>
      </c>
      <c r="AI3141" s="9">
        <v>92.367999054407335</v>
      </c>
      <c r="AJ3141" s="9">
        <v>3.0428788910505911</v>
      </c>
    </row>
    <row r="3142" spans="1:36" x14ac:dyDescent="0.25">
      <c r="A3142" t="s">
        <v>5411</v>
      </c>
      <c r="B3142" t="s">
        <v>16</v>
      </c>
      <c r="C3142" t="s">
        <v>17</v>
      </c>
      <c r="D3142">
        <v>61800000</v>
      </c>
      <c r="E3142">
        <v>61879999</v>
      </c>
      <c r="F3142" t="s">
        <v>2188</v>
      </c>
      <c r="G3142" t="str">
        <f t="shared" si="98"/>
        <v>CEI</v>
      </c>
      <c r="H3142" t="s">
        <v>2815</v>
      </c>
      <c r="I3142" t="s">
        <v>20</v>
      </c>
      <c r="J3142" t="s">
        <v>62</v>
      </c>
      <c r="K3142" s="6">
        <v>0.03</v>
      </c>
      <c r="L3142" s="7">
        <f t="shared" si="99"/>
        <v>2E-3</v>
      </c>
      <c r="M3142" s="7">
        <v>3.0000000000000001E-3</v>
      </c>
      <c r="N3142">
        <v>10</v>
      </c>
      <c r="O3142" s="8">
        <v>20.496511113332595</v>
      </c>
      <c r="P3142" s="9">
        <v>20.496511113332595</v>
      </c>
      <c r="Q3142" s="9">
        <v>20.496511113332595</v>
      </c>
      <c r="R3142" s="9">
        <v>22.369233265005814</v>
      </c>
      <c r="S3142" s="9">
        <v>24.369791582598779</v>
      </c>
      <c r="T3142" s="9">
        <v>26.793872673985138</v>
      </c>
      <c r="U3142" s="9">
        <v>32.749697002694603</v>
      </c>
      <c r="V3142" s="9">
        <v>32.749697002694603</v>
      </c>
      <c r="W3142" s="9">
        <v>32.749697002694603</v>
      </c>
      <c r="X3142" s="9">
        <v>39.508877297592456</v>
      </c>
      <c r="Y3142" s="9">
        <v>39.508877297592456</v>
      </c>
      <c r="Z3142" s="9">
        <v>46.492680996235194</v>
      </c>
      <c r="AA3142" s="9">
        <v>46.492680996235194</v>
      </c>
      <c r="AB3142" s="9">
        <v>53.77149943190107</v>
      </c>
      <c r="AC3142" s="9">
        <v>53.77149943190107</v>
      </c>
      <c r="AD3142" s="9">
        <v>61.22621482724891</v>
      </c>
      <c r="AE3142" s="9">
        <v>68.879452688643582</v>
      </c>
      <c r="AF3142" s="9">
        <v>76.756825666485923</v>
      </c>
      <c r="AG3142" s="9">
        <v>76.756825666485923</v>
      </c>
      <c r="AH3142" s="9">
        <v>84.298379348358239</v>
      </c>
      <c r="AI3142" s="9">
        <v>92.367999054407335</v>
      </c>
      <c r="AJ3142" s="9">
        <v>3.0428788910505911</v>
      </c>
    </row>
    <row r="3143" spans="1:36" x14ac:dyDescent="0.25">
      <c r="A3143" t="s">
        <v>5411</v>
      </c>
      <c r="B3143" t="s">
        <v>16</v>
      </c>
      <c r="C3143" t="s">
        <v>17</v>
      </c>
      <c r="D3143">
        <v>61880000</v>
      </c>
      <c r="E3143">
        <v>61889999</v>
      </c>
      <c r="F3143" t="s">
        <v>2819</v>
      </c>
      <c r="G3143" t="str">
        <f t="shared" si="98"/>
        <v>CEI</v>
      </c>
      <c r="H3143" t="s">
        <v>2815</v>
      </c>
      <c r="I3143" t="s">
        <v>20</v>
      </c>
      <c r="J3143" t="s">
        <v>62</v>
      </c>
      <c r="K3143" s="6">
        <v>0.03</v>
      </c>
      <c r="L3143" s="7">
        <f t="shared" si="99"/>
        <v>2E-3</v>
      </c>
      <c r="M3143" s="7">
        <v>3.0000000000000001E-3</v>
      </c>
      <c r="N3143">
        <v>10</v>
      </c>
      <c r="O3143" s="8">
        <v>20.496511113332595</v>
      </c>
      <c r="P3143" s="9">
        <v>20.496511113332595</v>
      </c>
      <c r="Q3143" s="9">
        <v>20.496511113332595</v>
      </c>
      <c r="R3143" s="9">
        <v>22.369233265005814</v>
      </c>
      <c r="S3143" s="9">
        <v>24.369791582598779</v>
      </c>
      <c r="T3143" s="9">
        <v>26.793872673985138</v>
      </c>
      <c r="U3143" s="9">
        <v>32.749697002694603</v>
      </c>
      <c r="V3143" s="9">
        <v>32.749697002694603</v>
      </c>
      <c r="W3143" s="9">
        <v>32.749697002694603</v>
      </c>
      <c r="X3143" s="9">
        <v>39.508877297592456</v>
      </c>
      <c r="Y3143" s="9">
        <v>39.508877297592456</v>
      </c>
      <c r="Z3143" s="9">
        <v>46.492680996235194</v>
      </c>
      <c r="AA3143" s="9">
        <v>46.492680996235194</v>
      </c>
      <c r="AB3143" s="9">
        <v>53.77149943190107</v>
      </c>
      <c r="AC3143" s="9">
        <v>53.77149943190107</v>
      </c>
      <c r="AD3143" s="9">
        <v>61.22621482724891</v>
      </c>
      <c r="AE3143" s="9">
        <v>68.879452688643582</v>
      </c>
      <c r="AF3143" s="9">
        <v>76.756825666485923</v>
      </c>
      <c r="AG3143" s="9">
        <v>76.756825666485923</v>
      </c>
      <c r="AH3143" s="9">
        <v>84.298379348358239</v>
      </c>
      <c r="AI3143" s="9">
        <v>92.367999054407335</v>
      </c>
      <c r="AJ3143" s="9">
        <v>3.0428788910505911</v>
      </c>
    </row>
    <row r="3144" spans="1:36" x14ac:dyDescent="0.25">
      <c r="A3144" t="s">
        <v>5411</v>
      </c>
      <c r="B3144" t="s">
        <v>16</v>
      </c>
      <c r="C3144" t="s">
        <v>17</v>
      </c>
      <c r="D3144">
        <v>61890000</v>
      </c>
      <c r="E3144">
        <v>61899999</v>
      </c>
      <c r="F3144" t="s">
        <v>2820</v>
      </c>
      <c r="G3144" t="str">
        <f t="shared" si="98"/>
        <v>CEI II</v>
      </c>
      <c r="H3144" t="s">
        <v>2815</v>
      </c>
      <c r="I3144" t="s">
        <v>20</v>
      </c>
      <c r="J3144" t="s">
        <v>64</v>
      </c>
      <c r="K3144" s="6">
        <v>0.03</v>
      </c>
      <c r="L3144" s="7">
        <f t="shared" si="99"/>
        <v>2E-3</v>
      </c>
      <c r="M3144" s="7">
        <v>3.0000000000000001E-3</v>
      </c>
      <c r="N3144">
        <v>14</v>
      </c>
      <c r="O3144" s="8">
        <v>25.041947314744238</v>
      </c>
      <c r="P3144" s="9">
        <v>25.041947314744238</v>
      </c>
      <c r="Q3144" s="9">
        <v>25.041947314744238</v>
      </c>
      <c r="R3144" s="9">
        <v>27.456353403762161</v>
      </c>
      <c r="S3144" s="9">
        <v>30.106651570134346</v>
      </c>
      <c r="T3144" s="9">
        <v>32.38507785162065</v>
      </c>
      <c r="U3144" s="9">
        <v>39.429466811122886</v>
      </c>
      <c r="V3144" s="9">
        <v>39.429466811122886</v>
      </c>
      <c r="W3144" s="9">
        <v>39.429466811122886</v>
      </c>
      <c r="X3144" s="9">
        <v>47.435574821920561</v>
      </c>
      <c r="Y3144" s="9">
        <v>47.435574821920561</v>
      </c>
      <c r="Z3144" s="9">
        <v>55.548774102684064</v>
      </c>
      <c r="AA3144" s="9">
        <v>55.548774102684064</v>
      </c>
      <c r="AB3144" s="9">
        <v>63.779773780410025</v>
      </c>
      <c r="AC3144" s="9">
        <v>63.779773780410025</v>
      </c>
      <c r="AD3144" s="9">
        <v>74.232976377209724</v>
      </c>
      <c r="AE3144" s="9">
        <v>81.9014230099272</v>
      </c>
      <c r="AF3144" s="9">
        <v>89.711048815832598</v>
      </c>
      <c r="AG3144" s="9">
        <v>89.711048815832598</v>
      </c>
      <c r="AH3144" s="9">
        <v>98.594438447760481</v>
      </c>
      <c r="AI3144" s="9">
        <v>107.25818871858809</v>
      </c>
      <c r="AJ3144" s="9">
        <v>3.0428788910505911</v>
      </c>
    </row>
    <row r="3145" spans="1:36" x14ac:dyDescent="0.25">
      <c r="A3145" t="s">
        <v>5411</v>
      </c>
      <c r="B3145" t="s">
        <v>16</v>
      </c>
      <c r="C3145" t="s">
        <v>17</v>
      </c>
      <c r="D3145">
        <v>61900000</v>
      </c>
      <c r="E3145">
        <v>61939999</v>
      </c>
      <c r="F3145" t="s">
        <v>2821</v>
      </c>
      <c r="G3145" t="str">
        <f t="shared" si="98"/>
        <v>CEI</v>
      </c>
      <c r="H3145" t="s">
        <v>2815</v>
      </c>
      <c r="I3145" t="s">
        <v>20</v>
      </c>
      <c r="J3145" t="s">
        <v>62</v>
      </c>
      <c r="K3145" s="6">
        <v>0.03</v>
      </c>
      <c r="L3145" s="7">
        <f t="shared" si="99"/>
        <v>2E-3</v>
      </c>
      <c r="M3145" s="7">
        <v>3.0000000000000001E-3</v>
      </c>
      <c r="N3145">
        <v>10</v>
      </c>
      <c r="O3145" s="8">
        <v>20.496511113332595</v>
      </c>
      <c r="P3145" s="9">
        <v>20.496511113332595</v>
      </c>
      <c r="Q3145" s="9">
        <v>20.496511113332595</v>
      </c>
      <c r="R3145" s="9">
        <v>22.369233265005814</v>
      </c>
      <c r="S3145" s="9">
        <v>24.369791582598779</v>
      </c>
      <c r="T3145" s="9">
        <v>26.793872673985138</v>
      </c>
      <c r="U3145" s="9">
        <v>32.749697002694603</v>
      </c>
      <c r="V3145" s="9">
        <v>32.749697002694603</v>
      </c>
      <c r="W3145" s="9">
        <v>32.749697002694603</v>
      </c>
      <c r="X3145" s="9">
        <v>39.508877297592456</v>
      </c>
      <c r="Y3145" s="9">
        <v>39.508877297592456</v>
      </c>
      <c r="Z3145" s="9">
        <v>46.492680996235194</v>
      </c>
      <c r="AA3145" s="9">
        <v>46.492680996235194</v>
      </c>
      <c r="AB3145" s="9">
        <v>53.77149943190107</v>
      </c>
      <c r="AC3145" s="9">
        <v>53.77149943190107</v>
      </c>
      <c r="AD3145" s="9">
        <v>61.22621482724891</v>
      </c>
      <c r="AE3145" s="9">
        <v>68.879452688643582</v>
      </c>
      <c r="AF3145" s="9">
        <v>76.756825666485923</v>
      </c>
      <c r="AG3145" s="9">
        <v>76.756825666485923</v>
      </c>
      <c r="AH3145" s="9">
        <v>84.298379348358239</v>
      </c>
      <c r="AI3145" s="9">
        <v>92.367999054407335</v>
      </c>
      <c r="AJ3145" s="9">
        <v>3.0428788910505911</v>
      </c>
    </row>
    <row r="3146" spans="1:36" x14ac:dyDescent="0.25">
      <c r="A3146" t="s">
        <v>5411</v>
      </c>
      <c r="B3146" t="s">
        <v>16</v>
      </c>
      <c r="C3146" t="s">
        <v>17</v>
      </c>
      <c r="D3146">
        <v>61940000</v>
      </c>
      <c r="E3146">
        <v>61949999</v>
      </c>
      <c r="F3146" t="s">
        <v>2822</v>
      </c>
      <c r="G3146" t="str">
        <f t="shared" si="98"/>
        <v>CEI</v>
      </c>
      <c r="H3146" t="s">
        <v>2815</v>
      </c>
      <c r="I3146" t="s">
        <v>20</v>
      </c>
      <c r="J3146" t="s">
        <v>62</v>
      </c>
      <c r="K3146" s="6">
        <v>0.03</v>
      </c>
      <c r="L3146" s="7">
        <f t="shared" si="99"/>
        <v>2E-3</v>
      </c>
      <c r="M3146" s="7">
        <v>3.0000000000000001E-3</v>
      </c>
      <c r="N3146">
        <v>10</v>
      </c>
      <c r="O3146" s="8">
        <v>20.496511113332595</v>
      </c>
      <c r="P3146" s="9">
        <v>20.496511113332595</v>
      </c>
      <c r="Q3146" s="9">
        <v>20.496511113332595</v>
      </c>
      <c r="R3146" s="9">
        <v>22.369233265005814</v>
      </c>
      <c r="S3146" s="9">
        <v>24.369791582598779</v>
      </c>
      <c r="T3146" s="9">
        <v>26.793872673985138</v>
      </c>
      <c r="U3146" s="9">
        <v>32.749697002694603</v>
      </c>
      <c r="V3146" s="9">
        <v>32.749697002694603</v>
      </c>
      <c r="W3146" s="9">
        <v>32.749697002694603</v>
      </c>
      <c r="X3146" s="9">
        <v>39.508877297592456</v>
      </c>
      <c r="Y3146" s="9">
        <v>39.508877297592456</v>
      </c>
      <c r="Z3146" s="9">
        <v>46.492680996235194</v>
      </c>
      <c r="AA3146" s="9">
        <v>46.492680996235194</v>
      </c>
      <c r="AB3146" s="9">
        <v>53.77149943190107</v>
      </c>
      <c r="AC3146" s="9">
        <v>53.77149943190107</v>
      </c>
      <c r="AD3146" s="9">
        <v>61.22621482724891</v>
      </c>
      <c r="AE3146" s="9">
        <v>68.879452688643582</v>
      </c>
      <c r="AF3146" s="9">
        <v>76.756825666485923</v>
      </c>
      <c r="AG3146" s="9">
        <v>76.756825666485923</v>
      </c>
      <c r="AH3146" s="9">
        <v>84.298379348358239</v>
      </c>
      <c r="AI3146" s="9">
        <v>92.367999054407335</v>
      </c>
      <c r="AJ3146" s="9">
        <v>3.0428788910505911</v>
      </c>
    </row>
    <row r="3147" spans="1:36" x14ac:dyDescent="0.25">
      <c r="A3147" t="s">
        <v>5411</v>
      </c>
      <c r="B3147" t="s">
        <v>16</v>
      </c>
      <c r="C3147" t="s">
        <v>17</v>
      </c>
      <c r="D3147">
        <v>61950000</v>
      </c>
      <c r="E3147">
        <v>61999999</v>
      </c>
      <c r="F3147" t="s">
        <v>2823</v>
      </c>
      <c r="G3147" t="str">
        <f t="shared" si="98"/>
        <v>CEI II</v>
      </c>
      <c r="H3147" t="s">
        <v>2815</v>
      </c>
      <c r="I3147" t="s">
        <v>22</v>
      </c>
      <c r="J3147" t="s">
        <v>64</v>
      </c>
      <c r="K3147" s="6">
        <v>0.03</v>
      </c>
      <c r="L3147" s="7">
        <f t="shared" si="99"/>
        <v>0.03</v>
      </c>
      <c r="M3147" s="7">
        <v>3.0000000000000001E-3</v>
      </c>
      <c r="N3147">
        <v>14</v>
      </c>
      <c r="O3147" s="8">
        <v>25.041947314744238</v>
      </c>
      <c r="P3147" s="9">
        <v>25.041947314744238</v>
      </c>
      <c r="Q3147" s="9">
        <v>25.041947314744238</v>
      </c>
      <c r="R3147" s="9">
        <v>27.456353403762161</v>
      </c>
      <c r="S3147" s="9">
        <v>30.106651570134346</v>
      </c>
      <c r="T3147" s="9">
        <v>32.38507785162065</v>
      </c>
      <c r="U3147" s="9">
        <v>39.429466811122886</v>
      </c>
      <c r="V3147" s="9">
        <v>39.429466811122886</v>
      </c>
      <c r="W3147" s="9">
        <v>39.429466811122886</v>
      </c>
      <c r="X3147" s="9">
        <v>47.435574821920561</v>
      </c>
      <c r="Y3147" s="9">
        <v>47.435574821920561</v>
      </c>
      <c r="Z3147" s="9">
        <v>55.548774102684064</v>
      </c>
      <c r="AA3147" s="9">
        <v>55.548774102684064</v>
      </c>
      <c r="AB3147" s="9">
        <v>63.779773780410025</v>
      </c>
      <c r="AC3147" s="9">
        <v>63.779773780410025</v>
      </c>
      <c r="AD3147" s="9">
        <v>74.232976377209724</v>
      </c>
      <c r="AE3147" s="9">
        <v>81.9014230099272</v>
      </c>
      <c r="AF3147" s="9">
        <v>89.711048815832598</v>
      </c>
      <c r="AG3147" s="9">
        <v>89.711048815832598</v>
      </c>
      <c r="AH3147" s="9">
        <v>98.594438447760481</v>
      </c>
      <c r="AI3147" s="9">
        <v>107.25818871858809</v>
      </c>
      <c r="AJ3147" s="9">
        <v>3.0428788910505911</v>
      </c>
    </row>
    <row r="3148" spans="1:36" x14ac:dyDescent="0.25">
      <c r="A3148" t="s">
        <v>5411</v>
      </c>
      <c r="B3148" t="s">
        <v>16</v>
      </c>
      <c r="C3148" t="s">
        <v>17</v>
      </c>
      <c r="D3148">
        <v>62000000</v>
      </c>
      <c r="E3148">
        <v>62099999</v>
      </c>
      <c r="F3148" t="s">
        <v>2824</v>
      </c>
      <c r="G3148" t="str">
        <f t="shared" si="98"/>
        <v>CEI II</v>
      </c>
      <c r="H3148" t="s">
        <v>2815</v>
      </c>
      <c r="I3148" t="s">
        <v>20</v>
      </c>
      <c r="J3148" t="s">
        <v>64</v>
      </c>
      <c r="K3148" s="6">
        <v>0.03</v>
      </c>
      <c r="L3148" s="7">
        <f t="shared" si="99"/>
        <v>2E-3</v>
      </c>
      <c r="M3148" s="7">
        <v>3.0000000000000001E-3</v>
      </c>
      <c r="N3148">
        <v>13</v>
      </c>
      <c r="O3148" s="8">
        <v>25.041947314744238</v>
      </c>
      <c r="P3148" s="9">
        <v>25.041947314744238</v>
      </c>
      <c r="Q3148" s="9">
        <v>25.041947314744238</v>
      </c>
      <c r="R3148" s="9">
        <v>27.456353403762161</v>
      </c>
      <c r="S3148" s="9">
        <v>30.106651570134346</v>
      </c>
      <c r="T3148" s="9">
        <v>32.38507785162065</v>
      </c>
      <c r="U3148" s="9">
        <v>39.429466811122886</v>
      </c>
      <c r="V3148" s="9">
        <v>39.429466811122886</v>
      </c>
      <c r="W3148" s="9">
        <v>39.429466811122886</v>
      </c>
      <c r="X3148" s="9">
        <v>47.435574821920561</v>
      </c>
      <c r="Y3148" s="9">
        <v>47.435574821920561</v>
      </c>
      <c r="Z3148" s="9">
        <v>55.548774102684064</v>
      </c>
      <c r="AA3148" s="9">
        <v>55.548774102684064</v>
      </c>
      <c r="AB3148" s="9">
        <v>63.779773780410025</v>
      </c>
      <c r="AC3148" s="9">
        <v>63.779773780410025</v>
      </c>
      <c r="AD3148" s="9">
        <v>74.232976377209724</v>
      </c>
      <c r="AE3148" s="9">
        <v>81.9014230099272</v>
      </c>
      <c r="AF3148" s="9">
        <v>89.711048815832598</v>
      </c>
      <c r="AG3148" s="9">
        <v>89.711048815832598</v>
      </c>
      <c r="AH3148" s="9">
        <v>98.594438447760481</v>
      </c>
      <c r="AI3148" s="9">
        <v>107.25818871858809</v>
      </c>
      <c r="AJ3148" s="9">
        <v>3.0428788910505911</v>
      </c>
    </row>
    <row r="3149" spans="1:36" x14ac:dyDescent="0.25">
      <c r="A3149" t="s">
        <v>5411</v>
      </c>
      <c r="B3149" t="s">
        <v>16</v>
      </c>
      <c r="C3149" t="s">
        <v>17</v>
      </c>
      <c r="D3149">
        <v>62100000</v>
      </c>
      <c r="E3149">
        <v>62114999</v>
      </c>
      <c r="F3149" t="s">
        <v>2824</v>
      </c>
      <c r="G3149" t="str">
        <f t="shared" si="98"/>
        <v>CEI II</v>
      </c>
      <c r="H3149" t="s">
        <v>2815</v>
      </c>
      <c r="I3149" t="s">
        <v>20</v>
      </c>
      <c r="J3149" t="s">
        <v>64</v>
      </c>
      <c r="K3149" s="6">
        <v>0.03</v>
      </c>
      <c r="L3149" s="7">
        <f t="shared" si="99"/>
        <v>2E-3</v>
      </c>
      <c r="M3149" s="7">
        <v>3.0000000000000001E-3</v>
      </c>
      <c r="N3149">
        <v>14</v>
      </c>
      <c r="O3149" s="8">
        <v>25.041947314744238</v>
      </c>
      <c r="P3149" s="9">
        <v>25.041947314744238</v>
      </c>
      <c r="Q3149" s="9">
        <v>25.041947314744238</v>
      </c>
      <c r="R3149" s="9">
        <v>27.456353403762161</v>
      </c>
      <c r="S3149" s="9">
        <v>30.106651570134346</v>
      </c>
      <c r="T3149" s="9">
        <v>32.38507785162065</v>
      </c>
      <c r="U3149" s="9">
        <v>39.429466811122886</v>
      </c>
      <c r="V3149" s="9">
        <v>39.429466811122886</v>
      </c>
      <c r="W3149" s="9">
        <v>39.429466811122886</v>
      </c>
      <c r="X3149" s="9">
        <v>47.435574821920561</v>
      </c>
      <c r="Y3149" s="9">
        <v>47.435574821920561</v>
      </c>
      <c r="Z3149" s="9">
        <v>55.548774102684064</v>
      </c>
      <c r="AA3149" s="9">
        <v>55.548774102684064</v>
      </c>
      <c r="AB3149" s="9">
        <v>63.779773780410025</v>
      </c>
      <c r="AC3149" s="9">
        <v>63.779773780410025</v>
      </c>
      <c r="AD3149" s="9">
        <v>74.232976377209724</v>
      </c>
      <c r="AE3149" s="9">
        <v>81.9014230099272</v>
      </c>
      <c r="AF3149" s="9">
        <v>89.711048815832598</v>
      </c>
      <c r="AG3149" s="9">
        <v>89.711048815832598</v>
      </c>
      <c r="AH3149" s="9">
        <v>98.594438447760481</v>
      </c>
      <c r="AI3149" s="9">
        <v>107.25818871858809</v>
      </c>
      <c r="AJ3149" s="9">
        <v>3.0428788910505911</v>
      </c>
    </row>
    <row r="3150" spans="1:36" x14ac:dyDescent="0.25">
      <c r="A3150" t="s">
        <v>5411</v>
      </c>
      <c r="B3150" t="s">
        <v>16</v>
      </c>
      <c r="C3150" t="s">
        <v>17</v>
      </c>
      <c r="D3150">
        <v>62115000</v>
      </c>
      <c r="E3150">
        <v>62119999</v>
      </c>
      <c r="F3150" t="s">
        <v>2825</v>
      </c>
      <c r="G3150" t="str">
        <f t="shared" si="98"/>
        <v>CEI II</v>
      </c>
      <c r="H3150" t="s">
        <v>2815</v>
      </c>
      <c r="I3150" t="s">
        <v>20</v>
      </c>
      <c r="J3150" t="s">
        <v>64</v>
      </c>
      <c r="K3150" s="6">
        <v>0.03</v>
      </c>
      <c r="L3150" s="7">
        <f t="shared" si="99"/>
        <v>2E-3</v>
      </c>
      <c r="M3150" s="7">
        <v>3.0000000000000001E-3</v>
      </c>
      <c r="N3150">
        <v>14</v>
      </c>
      <c r="O3150" s="8">
        <v>25.041947314744238</v>
      </c>
      <c r="P3150" s="9">
        <v>25.041947314744238</v>
      </c>
      <c r="Q3150" s="9">
        <v>25.041947314744238</v>
      </c>
      <c r="R3150" s="9">
        <v>27.456353403762161</v>
      </c>
      <c r="S3150" s="9">
        <v>30.106651570134346</v>
      </c>
      <c r="T3150" s="9">
        <v>32.38507785162065</v>
      </c>
      <c r="U3150" s="9">
        <v>39.429466811122886</v>
      </c>
      <c r="V3150" s="9">
        <v>39.429466811122886</v>
      </c>
      <c r="W3150" s="9">
        <v>39.429466811122886</v>
      </c>
      <c r="X3150" s="9">
        <v>47.435574821920561</v>
      </c>
      <c r="Y3150" s="9">
        <v>47.435574821920561</v>
      </c>
      <c r="Z3150" s="9">
        <v>55.548774102684064</v>
      </c>
      <c r="AA3150" s="9">
        <v>55.548774102684064</v>
      </c>
      <c r="AB3150" s="9">
        <v>63.779773780410025</v>
      </c>
      <c r="AC3150" s="9">
        <v>63.779773780410025</v>
      </c>
      <c r="AD3150" s="9">
        <v>74.232976377209724</v>
      </c>
      <c r="AE3150" s="9">
        <v>81.9014230099272</v>
      </c>
      <c r="AF3150" s="9">
        <v>89.711048815832598</v>
      </c>
      <c r="AG3150" s="9">
        <v>89.711048815832598</v>
      </c>
      <c r="AH3150" s="9">
        <v>98.594438447760481</v>
      </c>
      <c r="AI3150" s="9">
        <v>107.25818871858809</v>
      </c>
      <c r="AJ3150" s="9">
        <v>3.0428788910505911</v>
      </c>
    </row>
    <row r="3151" spans="1:36" x14ac:dyDescent="0.25">
      <c r="A3151" t="s">
        <v>5411</v>
      </c>
      <c r="B3151" t="s">
        <v>16</v>
      </c>
      <c r="C3151" t="s">
        <v>17</v>
      </c>
      <c r="D3151">
        <v>62120000</v>
      </c>
      <c r="E3151">
        <v>62129999</v>
      </c>
      <c r="F3151" t="s">
        <v>2826</v>
      </c>
      <c r="G3151" t="str">
        <f t="shared" si="98"/>
        <v>CEI II</v>
      </c>
      <c r="H3151" t="s">
        <v>2815</v>
      </c>
      <c r="I3151" t="s">
        <v>20</v>
      </c>
      <c r="J3151" t="s">
        <v>64</v>
      </c>
      <c r="K3151" s="6">
        <v>0.03</v>
      </c>
      <c r="L3151" s="7">
        <f t="shared" si="99"/>
        <v>2E-3</v>
      </c>
      <c r="M3151" s="7">
        <v>3.0000000000000001E-3</v>
      </c>
      <c r="N3151">
        <v>14</v>
      </c>
      <c r="O3151" s="8">
        <v>25.041947314744238</v>
      </c>
      <c r="P3151" s="9">
        <v>25.041947314744238</v>
      </c>
      <c r="Q3151" s="9">
        <v>25.041947314744238</v>
      </c>
      <c r="R3151" s="9">
        <v>27.456353403762161</v>
      </c>
      <c r="S3151" s="9">
        <v>30.106651570134346</v>
      </c>
      <c r="T3151" s="9">
        <v>32.38507785162065</v>
      </c>
      <c r="U3151" s="9">
        <v>39.429466811122886</v>
      </c>
      <c r="V3151" s="9">
        <v>39.429466811122886</v>
      </c>
      <c r="W3151" s="9">
        <v>39.429466811122886</v>
      </c>
      <c r="X3151" s="9">
        <v>47.435574821920561</v>
      </c>
      <c r="Y3151" s="9">
        <v>47.435574821920561</v>
      </c>
      <c r="Z3151" s="9">
        <v>55.548774102684064</v>
      </c>
      <c r="AA3151" s="9">
        <v>55.548774102684064</v>
      </c>
      <c r="AB3151" s="9">
        <v>63.779773780410025</v>
      </c>
      <c r="AC3151" s="9">
        <v>63.779773780410025</v>
      </c>
      <c r="AD3151" s="9">
        <v>74.232976377209724</v>
      </c>
      <c r="AE3151" s="9">
        <v>81.9014230099272</v>
      </c>
      <c r="AF3151" s="9">
        <v>89.711048815832598</v>
      </c>
      <c r="AG3151" s="9">
        <v>89.711048815832598</v>
      </c>
      <c r="AH3151" s="9">
        <v>98.594438447760481</v>
      </c>
      <c r="AI3151" s="9">
        <v>107.25818871858809</v>
      </c>
      <c r="AJ3151" s="9">
        <v>3.0428788910505911</v>
      </c>
    </row>
    <row r="3152" spans="1:36" x14ac:dyDescent="0.25">
      <c r="A3152" t="s">
        <v>5411</v>
      </c>
      <c r="B3152" t="s">
        <v>16</v>
      </c>
      <c r="C3152" t="s">
        <v>17</v>
      </c>
      <c r="D3152">
        <v>62130000</v>
      </c>
      <c r="E3152">
        <v>62139999</v>
      </c>
      <c r="F3152" t="s">
        <v>2827</v>
      </c>
      <c r="G3152" t="str">
        <f t="shared" si="98"/>
        <v>CEI II</v>
      </c>
      <c r="H3152" t="s">
        <v>2815</v>
      </c>
      <c r="I3152" t="s">
        <v>20</v>
      </c>
      <c r="J3152" t="s">
        <v>64</v>
      </c>
      <c r="K3152" s="6">
        <v>0.03</v>
      </c>
      <c r="L3152" s="7">
        <f t="shared" si="99"/>
        <v>2E-3</v>
      </c>
      <c r="M3152" s="7">
        <v>3.0000000000000001E-3</v>
      </c>
      <c r="N3152">
        <v>14</v>
      </c>
      <c r="O3152" s="8">
        <v>25.041947314744238</v>
      </c>
      <c r="P3152" s="9">
        <v>25.041947314744238</v>
      </c>
      <c r="Q3152" s="9">
        <v>25.041947314744238</v>
      </c>
      <c r="R3152" s="9">
        <v>27.456353403762161</v>
      </c>
      <c r="S3152" s="9">
        <v>30.106651570134346</v>
      </c>
      <c r="T3152" s="9">
        <v>32.38507785162065</v>
      </c>
      <c r="U3152" s="9">
        <v>39.429466811122886</v>
      </c>
      <c r="V3152" s="9">
        <v>39.429466811122886</v>
      </c>
      <c r="W3152" s="9">
        <v>39.429466811122886</v>
      </c>
      <c r="X3152" s="9">
        <v>47.435574821920561</v>
      </c>
      <c r="Y3152" s="9">
        <v>47.435574821920561</v>
      </c>
      <c r="Z3152" s="9">
        <v>55.548774102684064</v>
      </c>
      <c r="AA3152" s="9">
        <v>55.548774102684064</v>
      </c>
      <c r="AB3152" s="9">
        <v>63.779773780410025</v>
      </c>
      <c r="AC3152" s="9">
        <v>63.779773780410025</v>
      </c>
      <c r="AD3152" s="9">
        <v>74.232976377209724</v>
      </c>
      <c r="AE3152" s="9">
        <v>81.9014230099272</v>
      </c>
      <c r="AF3152" s="9">
        <v>89.711048815832598</v>
      </c>
      <c r="AG3152" s="9">
        <v>89.711048815832598</v>
      </c>
      <c r="AH3152" s="9">
        <v>98.594438447760481</v>
      </c>
      <c r="AI3152" s="9">
        <v>107.25818871858809</v>
      </c>
      <c r="AJ3152" s="9">
        <v>3.0428788910505911</v>
      </c>
    </row>
    <row r="3153" spans="1:36" x14ac:dyDescent="0.25">
      <c r="A3153" t="s">
        <v>5411</v>
      </c>
      <c r="B3153" t="s">
        <v>16</v>
      </c>
      <c r="C3153" t="s">
        <v>17</v>
      </c>
      <c r="D3153">
        <v>62140000</v>
      </c>
      <c r="E3153">
        <v>62149999</v>
      </c>
      <c r="F3153" t="s">
        <v>2828</v>
      </c>
      <c r="G3153" t="str">
        <f t="shared" si="98"/>
        <v>CEI II</v>
      </c>
      <c r="H3153" t="s">
        <v>2815</v>
      </c>
      <c r="I3153" t="s">
        <v>20</v>
      </c>
      <c r="J3153" t="s">
        <v>64</v>
      </c>
      <c r="K3153" s="6">
        <v>0.03</v>
      </c>
      <c r="L3153" s="7">
        <f t="shared" si="99"/>
        <v>2E-3</v>
      </c>
      <c r="M3153" s="7">
        <v>3.0000000000000001E-3</v>
      </c>
      <c r="N3153">
        <v>14</v>
      </c>
      <c r="O3153" s="8">
        <v>25.041947314744238</v>
      </c>
      <c r="P3153" s="9">
        <v>25.041947314744238</v>
      </c>
      <c r="Q3153" s="9">
        <v>25.041947314744238</v>
      </c>
      <c r="R3153" s="9">
        <v>27.456353403762161</v>
      </c>
      <c r="S3153" s="9">
        <v>30.106651570134346</v>
      </c>
      <c r="T3153" s="9">
        <v>32.38507785162065</v>
      </c>
      <c r="U3153" s="9">
        <v>39.429466811122886</v>
      </c>
      <c r="V3153" s="9">
        <v>39.429466811122886</v>
      </c>
      <c r="W3153" s="9">
        <v>39.429466811122886</v>
      </c>
      <c r="X3153" s="9">
        <v>47.435574821920561</v>
      </c>
      <c r="Y3153" s="9">
        <v>47.435574821920561</v>
      </c>
      <c r="Z3153" s="9">
        <v>55.548774102684064</v>
      </c>
      <c r="AA3153" s="9">
        <v>55.548774102684064</v>
      </c>
      <c r="AB3153" s="9">
        <v>63.779773780410025</v>
      </c>
      <c r="AC3153" s="9">
        <v>63.779773780410025</v>
      </c>
      <c r="AD3153" s="9">
        <v>74.232976377209724</v>
      </c>
      <c r="AE3153" s="9">
        <v>81.9014230099272</v>
      </c>
      <c r="AF3153" s="9">
        <v>89.711048815832598</v>
      </c>
      <c r="AG3153" s="9">
        <v>89.711048815832598</v>
      </c>
      <c r="AH3153" s="9">
        <v>98.594438447760481</v>
      </c>
      <c r="AI3153" s="9">
        <v>107.25818871858809</v>
      </c>
      <c r="AJ3153" s="9">
        <v>3.0428788910505911</v>
      </c>
    </row>
    <row r="3154" spans="1:36" x14ac:dyDescent="0.25">
      <c r="A3154" t="s">
        <v>5411</v>
      </c>
      <c r="B3154" t="s">
        <v>16</v>
      </c>
      <c r="C3154" t="s">
        <v>17</v>
      </c>
      <c r="D3154">
        <v>62150000</v>
      </c>
      <c r="E3154">
        <v>62159999</v>
      </c>
      <c r="F3154" t="s">
        <v>2829</v>
      </c>
      <c r="G3154" t="str">
        <f t="shared" si="98"/>
        <v>CEI II</v>
      </c>
      <c r="H3154" t="s">
        <v>2815</v>
      </c>
      <c r="I3154" t="s">
        <v>20</v>
      </c>
      <c r="J3154" t="s">
        <v>64</v>
      </c>
      <c r="K3154" s="6">
        <v>0.03</v>
      </c>
      <c r="L3154" s="7">
        <f t="shared" si="99"/>
        <v>2E-3</v>
      </c>
      <c r="M3154" s="7">
        <v>3.0000000000000001E-3</v>
      </c>
      <c r="N3154">
        <v>14</v>
      </c>
      <c r="O3154" s="8">
        <v>25.041947314744238</v>
      </c>
      <c r="P3154" s="9">
        <v>25.041947314744238</v>
      </c>
      <c r="Q3154" s="9">
        <v>25.041947314744238</v>
      </c>
      <c r="R3154" s="9">
        <v>27.456353403762161</v>
      </c>
      <c r="S3154" s="9">
        <v>30.106651570134346</v>
      </c>
      <c r="T3154" s="9">
        <v>32.38507785162065</v>
      </c>
      <c r="U3154" s="9">
        <v>39.429466811122886</v>
      </c>
      <c r="V3154" s="9">
        <v>39.429466811122886</v>
      </c>
      <c r="W3154" s="9">
        <v>39.429466811122886</v>
      </c>
      <c r="X3154" s="9">
        <v>47.435574821920561</v>
      </c>
      <c r="Y3154" s="9">
        <v>47.435574821920561</v>
      </c>
      <c r="Z3154" s="9">
        <v>55.548774102684064</v>
      </c>
      <c r="AA3154" s="9">
        <v>55.548774102684064</v>
      </c>
      <c r="AB3154" s="9">
        <v>63.779773780410025</v>
      </c>
      <c r="AC3154" s="9">
        <v>63.779773780410025</v>
      </c>
      <c r="AD3154" s="9">
        <v>74.232976377209724</v>
      </c>
      <c r="AE3154" s="9">
        <v>81.9014230099272</v>
      </c>
      <c r="AF3154" s="9">
        <v>89.711048815832598</v>
      </c>
      <c r="AG3154" s="9">
        <v>89.711048815832598</v>
      </c>
      <c r="AH3154" s="9">
        <v>98.594438447760481</v>
      </c>
      <c r="AI3154" s="9">
        <v>107.25818871858809</v>
      </c>
      <c r="AJ3154" s="9">
        <v>3.0428788910505911</v>
      </c>
    </row>
    <row r="3155" spans="1:36" x14ac:dyDescent="0.25">
      <c r="A3155" t="s">
        <v>5411</v>
      </c>
      <c r="B3155" t="s">
        <v>16</v>
      </c>
      <c r="C3155" t="s">
        <v>17</v>
      </c>
      <c r="D3155">
        <v>62160000</v>
      </c>
      <c r="E3155">
        <v>62169999</v>
      </c>
      <c r="F3155" t="s">
        <v>2830</v>
      </c>
      <c r="G3155" t="str">
        <f t="shared" si="98"/>
        <v>CEI II</v>
      </c>
      <c r="H3155" t="s">
        <v>2815</v>
      </c>
      <c r="I3155" t="s">
        <v>20</v>
      </c>
      <c r="J3155" t="s">
        <v>64</v>
      </c>
      <c r="K3155" s="6">
        <v>0.03</v>
      </c>
      <c r="L3155" s="7">
        <f t="shared" si="99"/>
        <v>2E-3</v>
      </c>
      <c r="M3155" s="7">
        <v>3.0000000000000001E-3</v>
      </c>
      <c r="N3155">
        <v>14</v>
      </c>
      <c r="O3155" s="8">
        <v>25.041947314744238</v>
      </c>
      <c r="P3155" s="9">
        <v>25.041947314744238</v>
      </c>
      <c r="Q3155" s="9">
        <v>25.041947314744238</v>
      </c>
      <c r="R3155" s="9">
        <v>27.456353403762161</v>
      </c>
      <c r="S3155" s="9">
        <v>30.106651570134346</v>
      </c>
      <c r="T3155" s="9">
        <v>32.38507785162065</v>
      </c>
      <c r="U3155" s="9">
        <v>39.429466811122886</v>
      </c>
      <c r="V3155" s="9">
        <v>39.429466811122886</v>
      </c>
      <c r="W3155" s="9">
        <v>39.429466811122886</v>
      </c>
      <c r="X3155" s="9">
        <v>47.435574821920561</v>
      </c>
      <c r="Y3155" s="9">
        <v>47.435574821920561</v>
      </c>
      <c r="Z3155" s="9">
        <v>55.548774102684064</v>
      </c>
      <c r="AA3155" s="9">
        <v>55.548774102684064</v>
      </c>
      <c r="AB3155" s="9">
        <v>63.779773780410025</v>
      </c>
      <c r="AC3155" s="9">
        <v>63.779773780410025</v>
      </c>
      <c r="AD3155" s="9">
        <v>74.232976377209724</v>
      </c>
      <c r="AE3155" s="9">
        <v>81.9014230099272</v>
      </c>
      <c r="AF3155" s="9">
        <v>89.711048815832598</v>
      </c>
      <c r="AG3155" s="9">
        <v>89.711048815832598</v>
      </c>
      <c r="AH3155" s="9">
        <v>98.594438447760481</v>
      </c>
      <c r="AI3155" s="9">
        <v>107.25818871858809</v>
      </c>
      <c r="AJ3155" s="9">
        <v>3.0428788910505911</v>
      </c>
    </row>
    <row r="3156" spans="1:36" x14ac:dyDescent="0.25">
      <c r="A3156" t="s">
        <v>5411</v>
      </c>
      <c r="B3156" t="s">
        <v>16</v>
      </c>
      <c r="C3156" t="s">
        <v>17</v>
      </c>
      <c r="D3156">
        <v>62170000</v>
      </c>
      <c r="E3156">
        <v>62179999</v>
      </c>
      <c r="F3156" t="s">
        <v>2831</v>
      </c>
      <c r="G3156" t="str">
        <f t="shared" si="98"/>
        <v>CEI II</v>
      </c>
      <c r="H3156" t="s">
        <v>2815</v>
      </c>
      <c r="I3156" t="s">
        <v>20</v>
      </c>
      <c r="J3156" t="s">
        <v>64</v>
      </c>
      <c r="K3156" s="6">
        <v>0.03</v>
      </c>
      <c r="L3156" s="7">
        <f t="shared" si="99"/>
        <v>2E-3</v>
      </c>
      <c r="M3156" s="7">
        <v>3.0000000000000001E-3</v>
      </c>
      <c r="N3156">
        <v>14</v>
      </c>
      <c r="O3156" s="8">
        <v>25.041947314744238</v>
      </c>
      <c r="P3156" s="9">
        <v>25.041947314744238</v>
      </c>
      <c r="Q3156" s="9">
        <v>25.041947314744238</v>
      </c>
      <c r="R3156" s="9">
        <v>27.456353403762161</v>
      </c>
      <c r="S3156" s="9">
        <v>30.106651570134346</v>
      </c>
      <c r="T3156" s="9">
        <v>32.38507785162065</v>
      </c>
      <c r="U3156" s="9">
        <v>39.429466811122886</v>
      </c>
      <c r="V3156" s="9">
        <v>39.429466811122886</v>
      </c>
      <c r="W3156" s="9">
        <v>39.429466811122886</v>
      </c>
      <c r="X3156" s="9">
        <v>47.435574821920561</v>
      </c>
      <c r="Y3156" s="9">
        <v>47.435574821920561</v>
      </c>
      <c r="Z3156" s="9">
        <v>55.548774102684064</v>
      </c>
      <c r="AA3156" s="9">
        <v>55.548774102684064</v>
      </c>
      <c r="AB3156" s="9">
        <v>63.779773780410025</v>
      </c>
      <c r="AC3156" s="9">
        <v>63.779773780410025</v>
      </c>
      <c r="AD3156" s="9">
        <v>74.232976377209724</v>
      </c>
      <c r="AE3156" s="9">
        <v>81.9014230099272</v>
      </c>
      <c r="AF3156" s="9">
        <v>89.711048815832598</v>
      </c>
      <c r="AG3156" s="9">
        <v>89.711048815832598</v>
      </c>
      <c r="AH3156" s="9">
        <v>98.594438447760481</v>
      </c>
      <c r="AI3156" s="9">
        <v>107.25818871858809</v>
      </c>
      <c r="AJ3156" s="9">
        <v>3.0428788910505911</v>
      </c>
    </row>
    <row r="3157" spans="1:36" x14ac:dyDescent="0.25">
      <c r="A3157" t="s">
        <v>5411</v>
      </c>
      <c r="B3157" t="s">
        <v>16</v>
      </c>
      <c r="C3157" t="s">
        <v>17</v>
      </c>
      <c r="D3157">
        <v>62180000</v>
      </c>
      <c r="E3157">
        <v>62183999</v>
      </c>
      <c r="F3157" t="s">
        <v>2832</v>
      </c>
      <c r="G3157" t="str">
        <f t="shared" si="98"/>
        <v>CEI II</v>
      </c>
      <c r="H3157" t="s">
        <v>2815</v>
      </c>
      <c r="I3157" t="s">
        <v>20</v>
      </c>
      <c r="J3157" t="s">
        <v>64</v>
      </c>
      <c r="K3157" s="6">
        <v>0.03</v>
      </c>
      <c r="L3157" s="7">
        <f t="shared" si="99"/>
        <v>2E-3</v>
      </c>
      <c r="M3157" s="7">
        <v>3.0000000000000001E-3</v>
      </c>
      <c r="N3157">
        <v>14</v>
      </c>
      <c r="O3157" s="8">
        <v>25.041947314744238</v>
      </c>
      <c r="P3157" s="9">
        <v>25.041947314744238</v>
      </c>
      <c r="Q3157" s="9">
        <v>25.041947314744238</v>
      </c>
      <c r="R3157" s="9">
        <v>27.456353403762161</v>
      </c>
      <c r="S3157" s="9">
        <v>30.106651570134346</v>
      </c>
      <c r="T3157" s="9">
        <v>32.38507785162065</v>
      </c>
      <c r="U3157" s="9">
        <v>39.429466811122886</v>
      </c>
      <c r="V3157" s="9">
        <v>39.429466811122886</v>
      </c>
      <c r="W3157" s="9">
        <v>39.429466811122886</v>
      </c>
      <c r="X3157" s="9">
        <v>47.435574821920561</v>
      </c>
      <c r="Y3157" s="9">
        <v>47.435574821920561</v>
      </c>
      <c r="Z3157" s="9">
        <v>55.548774102684064</v>
      </c>
      <c r="AA3157" s="9">
        <v>55.548774102684064</v>
      </c>
      <c r="AB3157" s="9">
        <v>63.779773780410025</v>
      </c>
      <c r="AC3157" s="9">
        <v>63.779773780410025</v>
      </c>
      <c r="AD3157" s="9">
        <v>74.232976377209724</v>
      </c>
      <c r="AE3157" s="9">
        <v>81.9014230099272</v>
      </c>
      <c r="AF3157" s="9">
        <v>89.711048815832598</v>
      </c>
      <c r="AG3157" s="9">
        <v>89.711048815832598</v>
      </c>
      <c r="AH3157" s="9">
        <v>98.594438447760481</v>
      </c>
      <c r="AI3157" s="9">
        <v>107.25818871858809</v>
      </c>
      <c r="AJ3157" s="9">
        <v>3.0428788910505911</v>
      </c>
    </row>
    <row r="3158" spans="1:36" x14ac:dyDescent="0.25">
      <c r="A3158" t="s">
        <v>5411</v>
      </c>
      <c r="B3158" t="s">
        <v>16</v>
      </c>
      <c r="C3158" t="s">
        <v>17</v>
      </c>
      <c r="D3158">
        <v>62184000</v>
      </c>
      <c r="E3158">
        <v>62189999</v>
      </c>
      <c r="F3158" t="s">
        <v>2833</v>
      </c>
      <c r="G3158" t="str">
        <f t="shared" si="98"/>
        <v>CEI II</v>
      </c>
      <c r="H3158" t="s">
        <v>2815</v>
      </c>
      <c r="I3158" t="s">
        <v>20</v>
      </c>
      <c r="J3158" t="s">
        <v>64</v>
      </c>
      <c r="K3158" s="6">
        <v>0.03</v>
      </c>
      <c r="L3158" s="7">
        <f t="shared" si="99"/>
        <v>2E-3</v>
      </c>
      <c r="M3158" s="7">
        <v>3.0000000000000001E-3</v>
      </c>
      <c r="N3158">
        <v>14</v>
      </c>
      <c r="O3158" s="8">
        <v>25.041947314744238</v>
      </c>
      <c r="P3158" s="9">
        <v>25.041947314744238</v>
      </c>
      <c r="Q3158" s="9">
        <v>25.041947314744238</v>
      </c>
      <c r="R3158" s="9">
        <v>27.456353403762161</v>
      </c>
      <c r="S3158" s="9">
        <v>30.106651570134346</v>
      </c>
      <c r="T3158" s="9">
        <v>32.38507785162065</v>
      </c>
      <c r="U3158" s="9">
        <v>39.429466811122886</v>
      </c>
      <c r="V3158" s="9">
        <v>39.429466811122886</v>
      </c>
      <c r="W3158" s="9">
        <v>39.429466811122886</v>
      </c>
      <c r="X3158" s="9">
        <v>47.435574821920561</v>
      </c>
      <c r="Y3158" s="9">
        <v>47.435574821920561</v>
      </c>
      <c r="Z3158" s="9">
        <v>55.548774102684064</v>
      </c>
      <c r="AA3158" s="9">
        <v>55.548774102684064</v>
      </c>
      <c r="AB3158" s="9">
        <v>63.779773780410025</v>
      </c>
      <c r="AC3158" s="9">
        <v>63.779773780410025</v>
      </c>
      <c r="AD3158" s="9">
        <v>74.232976377209724</v>
      </c>
      <c r="AE3158" s="9">
        <v>81.9014230099272</v>
      </c>
      <c r="AF3158" s="9">
        <v>89.711048815832598</v>
      </c>
      <c r="AG3158" s="9">
        <v>89.711048815832598</v>
      </c>
      <c r="AH3158" s="9">
        <v>98.594438447760481</v>
      </c>
      <c r="AI3158" s="9">
        <v>107.25818871858809</v>
      </c>
      <c r="AJ3158" s="9">
        <v>3.0428788910505911</v>
      </c>
    </row>
    <row r="3159" spans="1:36" x14ac:dyDescent="0.25">
      <c r="A3159" t="s">
        <v>5411</v>
      </c>
      <c r="B3159" t="s">
        <v>16</v>
      </c>
      <c r="C3159" t="s">
        <v>17</v>
      </c>
      <c r="D3159">
        <v>62190000</v>
      </c>
      <c r="E3159">
        <v>62199999</v>
      </c>
      <c r="F3159" t="s">
        <v>2834</v>
      </c>
      <c r="G3159" t="str">
        <f t="shared" si="98"/>
        <v>CEI II</v>
      </c>
      <c r="H3159" t="s">
        <v>2815</v>
      </c>
      <c r="I3159" t="s">
        <v>20</v>
      </c>
      <c r="J3159" t="s">
        <v>64</v>
      </c>
      <c r="K3159" s="6">
        <v>0.03</v>
      </c>
      <c r="L3159" s="7">
        <f t="shared" si="99"/>
        <v>2E-3</v>
      </c>
      <c r="M3159" s="7">
        <v>3.0000000000000001E-3</v>
      </c>
      <c r="N3159">
        <v>14</v>
      </c>
      <c r="O3159" s="8">
        <v>25.041947314744238</v>
      </c>
      <c r="P3159" s="9">
        <v>25.041947314744238</v>
      </c>
      <c r="Q3159" s="9">
        <v>25.041947314744238</v>
      </c>
      <c r="R3159" s="9">
        <v>27.456353403762161</v>
      </c>
      <c r="S3159" s="9">
        <v>30.106651570134346</v>
      </c>
      <c r="T3159" s="9">
        <v>32.38507785162065</v>
      </c>
      <c r="U3159" s="9">
        <v>39.429466811122886</v>
      </c>
      <c r="V3159" s="9">
        <v>39.429466811122886</v>
      </c>
      <c r="W3159" s="9">
        <v>39.429466811122886</v>
      </c>
      <c r="X3159" s="9">
        <v>47.435574821920561</v>
      </c>
      <c r="Y3159" s="9">
        <v>47.435574821920561</v>
      </c>
      <c r="Z3159" s="9">
        <v>55.548774102684064</v>
      </c>
      <c r="AA3159" s="9">
        <v>55.548774102684064</v>
      </c>
      <c r="AB3159" s="9">
        <v>63.779773780410025</v>
      </c>
      <c r="AC3159" s="9">
        <v>63.779773780410025</v>
      </c>
      <c r="AD3159" s="9">
        <v>74.232976377209724</v>
      </c>
      <c r="AE3159" s="9">
        <v>81.9014230099272</v>
      </c>
      <c r="AF3159" s="9">
        <v>89.711048815832598</v>
      </c>
      <c r="AG3159" s="9">
        <v>89.711048815832598</v>
      </c>
      <c r="AH3159" s="9">
        <v>98.594438447760481</v>
      </c>
      <c r="AI3159" s="9">
        <v>107.25818871858809</v>
      </c>
      <c r="AJ3159" s="9">
        <v>3.0428788910505911</v>
      </c>
    </row>
    <row r="3160" spans="1:36" x14ac:dyDescent="0.25">
      <c r="A3160" t="s">
        <v>5411</v>
      </c>
      <c r="B3160" t="s">
        <v>16</v>
      </c>
      <c r="C3160" t="s">
        <v>17</v>
      </c>
      <c r="D3160">
        <v>62200000</v>
      </c>
      <c r="E3160">
        <v>62209999</v>
      </c>
      <c r="F3160" t="s">
        <v>2835</v>
      </c>
      <c r="G3160" t="str">
        <f t="shared" si="98"/>
        <v>CEI II</v>
      </c>
      <c r="H3160" t="s">
        <v>2815</v>
      </c>
      <c r="I3160" t="s">
        <v>20</v>
      </c>
      <c r="J3160" t="s">
        <v>64</v>
      </c>
      <c r="K3160" s="6">
        <v>0.03</v>
      </c>
      <c r="L3160" s="7">
        <f t="shared" si="99"/>
        <v>2E-3</v>
      </c>
      <c r="M3160" s="7">
        <v>3.0000000000000001E-3</v>
      </c>
      <c r="N3160">
        <v>14</v>
      </c>
      <c r="O3160" s="8">
        <v>25.041947314744238</v>
      </c>
      <c r="P3160" s="9">
        <v>25.041947314744238</v>
      </c>
      <c r="Q3160" s="9">
        <v>25.041947314744238</v>
      </c>
      <c r="R3160" s="9">
        <v>27.456353403762161</v>
      </c>
      <c r="S3160" s="9">
        <v>30.106651570134346</v>
      </c>
      <c r="T3160" s="9">
        <v>32.38507785162065</v>
      </c>
      <c r="U3160" s="9">
        <v>39.429466811122886</v>
      </c>
      <c r="V3160" s="9">
        <v>39.429466811122886</v>
      </c>
      <c r="W3160" s="9">
        <v>39.429466811122886</v>
      </c>
      <c r="X3160" s="9">
        <v>47.435574821920561</v>
      </c>
      <c r="Y3160" s="9">
        <v>47.435574821920561</v>
      </c>
      <c r="Z3160" s="9">
        <v>55.548774102684064</v>
      </c>
      <c r="AA3160" s="9">
        <v>55.548774102684064</v>
      </c>
      <c r="AB3160" s="9">
        <v>63.779773780410025</v>
      </c>
      <c r="AC3160" s="9">
        <v>63.779773780410025</v>
      </c>
      <c r="AD3160" s="9">
        <v>74.232976377209724</v>
      </c>
      <c r="AE3160" s="9">
        <v>81.9014230099272</v>
      </c>
      <c r="AF3160" s="9">
        <v>89.711048815832598</v>
      </c>
      <c r="AG3160" s="9">
        <v>89.711048815832598</v>
      </c>
      <c r="AH3160" s="9">
        <v>98.594438447760481</v>
      </c>
      <c r="AI3160" s="9">
        <v>107.25818871858809</v>
      </c>
      <c r="AJ3160" s="9">
        <v>3.0428788910505911</v>
      </c>
    </row>
    <row r="3161" spans="1:36" x14ac:dyDescent="0.25">
      <c r="A3161" t="s">
        <v>5411</v>
      </c>
      <c r="B3161" t="s">
        <v>16</v>
      </c>
      <c r="C3161" t="s">
        <v>17</v>
      </c>
      <c r="D3161">
        <v>62210000</v>
      </c>
      <c r="E3161">
        <v>62214999</v>
      </c>
      <c r="F3161" t="s">
        <v>2836</v>
      </c>
      <c r="G3161" t="str">
        <f t="shared" si="98"/>
        <v>CEI II</v>
      </c>
      <c r="H3161" t="s">
        <v>2815</v>
      </c>
      <c r="I3161" t="s">
        <v>20</v>
      </c>
      <c r="J3161" t="s">
        <v>64</v>
      </c>
      <c r="K3161" s="6">
        <v>0.03</v>
      </c>
      <c r="L3161" s="7">
        <f t="shared" si="99"/>
        <v>2E-3</v>
      </c>
      <c r="M3161" s="7">
        <v>3.0000000000000001E-3</v>
      </c>
      <c r="N3161">
        <v>14</v>
      </c>
      <c r="O3161" s="8">
        <v>25.041947314744238</v>
      </c>
      <c r="P3161" s="9">
        <v>25.041947314744238</v>
      </c>
      <c r="Q3161" s="9">
        <v>25.041947314744238</v>
      </c>
      <c r="R3161" s="9">
        <v>27.456353403762161</v>
      </c>
      <c r="S3161" s="9">
        <v>30.106651570134346</v>
      </c>
      <c r="T3161" s="9">
        <v>32.38507785162065</v>
      </c>
      <c r="U3161" s="9">
        <v>39.429466811122886</v>
      </c>
      <c r="V3161" s="9">
        <v>39.429466811122886</v>
      </c>
      <c r="W3161" s="9">
        <v>39.429466811122886</v>
      </c>
      <c r="X3161" s="9">
        <v>47.435574821920561</v>
      </c>
      <c r="Y3161" s="9">
        <v>47.435574821920561</v>
      </c>
      <c r="Z3161" s="9">
        <v>55.548774102684064</v>
      </c>
      <c r="AA3161" s="9">
        <v>55.548774102684064</v>
      </c>
      <c r="AB3161" s="9">
        <v>63.779773780410025</v>
      </c>
      <c r="AC3161" s="9">
        <v>63.779773780410025</v>
      </c>
      <c r="AD3161" s="9">
        <v>74.232976377209724</v>
      </c>
      <c r="AE3161" s="9">
        <v>81.9014230099272</v>
      </c>
      <c r="AF3161" s="9">
        <v>89.711048815832598</v>
      </c>
      <c r="AG3161" s="9">
        <v>89.711048815832598</v>
      </c>
      <c r="AH3161" s="9">
        <v>98.594438447760481</v>
      </c>
      <c r="AI3161" s="9">
        <v>107.25818871858809</v>
      </c>
      <c r="AJ3161" s="9">
        <v>3.0428788910505911</v>
      </c>
    </row>
    <row r="3162" spans="1:36" x14ac:dyDescent="0.25">
      <c r="A3162" t="s">
        <v>5411</v>
      </c>
      <c r="B3162" t="s">
        <v>16</v>
      </c>
      <c r="C3162" t="s">
        <v>17</v>
      </c>
      <c r="D3162">
        <v>62215000</v>
      </c>
      <c r="E3162">
        <v>62219999</v>
      </c>
      <c r="F3162" t="s">
        <v>2837</v>
      </c>
      <c r="G3162" t="str">
        <f t="shared" si="98"/>
        <v>CEI II</v>
      </c>
      <c r="H3162" t="s">
        <v>2815</v>
      </c>
      <c r="I3162" t="s">
        <v>20</v>
      </c>
      <c r="J3162" t="s">
        <v>64</v>
      </c>
      <c r="K3162" s="6">
        <v>0.03</v>
      </c>
      <c r="L3162" s="7">
        <f t="shared" si="99"/>
        <v>2E-3</v>
      </c>
      <c r="M3162" s="7">
        <v>3.0000000000000001E-3</v>
      </c>
      <c r="N3162">
        <v>14</v>
      </c>
      <c r="O3162" s="8">
        <v>25.041947314744238</v>
      </c>
      <c r="P3162" s="9">
        <v>25.041947314744238</v>
      </c>
      <c r="Q3162" s="9">
        <v>25.041947314744238</v>
      </c>
      <c r="R3162" s="9">
        <v>27.456353403762161</v>
      </c>
      <c r="S3162" s="9">
        <v>30.106651570134346</v>
      </c>
      <c r="T3162" s="9">
        <v>32.38507785162065</v>
      </c>
      <c r="U3162" s="9">
        <v>39.429466811122886</v>
      </c>
      <c r="V3162" s="9">
        <v>39.429466811122886</v>
      </c>
      <c r="W3162" s="9">
        <v>39.429466811122886</v>
      </c>
      <c r="X3162" s="9">
        <v>47.435574821920561</v>
      </c>
      <c r="Y3162" s="9">
        <v>47.435574821920561</v>
      </c>
      <c r="Z3162" s="9">
        <v>55.548774102684064</v>
      </c>
      <c r="AA3162" s="9">
        <v>55.548774102684064</v>
      </c>
      <c r="AB3162" s="9">
        <v>63.779773780410025</v>
      </c>
      <c r="AC3162" s="9">
        <v>63.779773780410025</v>
      </c>
      <c r="AD3162" s="9">
        <v>74.232976377209724</v>
      </c>
      <c r="AE3162" s="9">
        <v>81.9014230099272</v>
      </c>
      <c r="AF3162" s="9">
        <v>89.711048815832598</v>
      </c>
      <c r="AG3162" s="9">
        <v>89.711048815832598</v>
      </c>
      <c r="AH3162" s="9">
        <v>98.594438447760481</v>
      </c>
      <c r="AI3162" s="9">
        <v>107.25818871858809</v>
      </c>
      <c r="AJ3162" s="9">
        <v>3.0428788910505911</v>
      </c>
    </row>
    <row r="3163" spans="1:36" x14ac:dyDescent="0.25">
      <c r="A3163" t="s">
        <v>5411</v>
      </c>
      <c r="B3163" t="s">
        <v>16</v>
      </c>
      <c r="C3163" t="s">
        <v>17</v>
      </c>
      <c r="D3163">
        <v>62220000</v>
      </c>
      <c r="E3163">
        <v>62229999</v>
      </c>
      <c r="F3163" t="s">
        <v>2838</v>
      </c>
      <c r="G3163" t="str">
        <f t="shared" si="98"/>
        <v>CEI II</v>
      </c>
      <c r="H3163" t="s">
        <v>2815</v>
      </c>
      <c r="I3163" t="s">
        <v>20</v>
      </c>
      <c r="J3163" t="s">
        <v>64</v>
      </c>
      <c r="K3163" s="6">
        <v>0.03</v>
      </c>
      <c r="L3163" s="7">
        <f t="shared" si="99"/>
        <v>2E-3</v>
      </c>
      <c r="M3163" s="7">
        <v>3.0000000000000001E-3</v>
      </c>
      <c r="N3163">
        <v>14</v>
      </c>
      <c r="O3163" s="8">
        <v>25.041947314744238</v>
      </c>
      <c r="P3163" s="9">
        <v>25.041947314744238</v>
      </c>
      <c r="Q3163" s="9">
        <v>25.041947314744238</v>
      </c>
      <c r="R3163" s="9">
        <v>27.456353403762161</v>
      </c>
      <c r="S3163" s="9">
        <v>30.106651570134346</v>
      </c>
      <c r="T3163" s="9">
        <v>32.38507785162065</v>
      </c>
      <c r="U3163" s="9">
        <v>39.429466811122886</v>
      </c>
      <c r="V3163" s="9">
        <v>39.429466811122886</v>
      </c>
      <c r="W3163" s="9">
        <v>39.429466811122886</v>
      </c>
      <c r="X3163" s="9">
        <v>47.435574821920561</v>
      </c>
      <c r="Y3163" s="9">
        <v>47.435574821920561</v>
      </c>
      <c r="Z3163" s="9">
        <v>55.548774102684064</v>
      </c>
      <c r="AA3163" s="9">
        <v>55.548774102684064</v>
      </c>
      <c r="AB3163" s="9">
        <v>63.779773780410025</v>
      </c>
      <c r="AC3163" s="9">
        <v>63.779773780410025</v>
      </c>
      <c r="AD3163" s="9">
        <v>74.232976377209724</v>
      </c>
      <c r="AE3163" s="9">
        <v>81.9014230099272</v>
      </c>
      <c r="AF3163" s="9">
        <v>89.711048815832598</v>
      </c>
      <c r="AG3163" s="9">
        <v>89.711048815832598</v>
      </c>
      <c r="AH3163" s="9">
        <v>98.594438447760481</v>
      </c>
      <c r="AI3163" s="9">
        <v>107.25818871858809</v>
      </c>
      <c r="AJ3163" s="9">
        <v>3.0428788910505911</v>
      </c>
    </row>
    <row r="3164" spans="1:36" x14ac:dyDescent="0.25">
      <c r="A3164" t="s">
        <v>5411</v>
      </c>
      <c r="B3164" t="s">
        <v>16</v>
      </c>
      <c r="C3164" t="s">
        <v>17</v>
      </c>
      <c r="D3164">
        <v>62230000</v>
      </c>
      <c r="E3164">
        <v>62249999</v>
      </c>
      <c r="F3164" t="s">
        <v>2839</v>
      </c>
      <c r="G3164" t="str">
        <f t="shared" si="98"/>
        <v>CEI II</v>
      </c>
      <c r="H3164" t="s">
        <v>2815</v>
      </c>
      <c r="I3164" t="s">
        <v>20</v>
      </c>
      <c r="J3164" t="s">
        <v>64</v>
      </c>
      <c r="K3164" s="6">
        <v>0.03</v>
      </c>
      <c r="L3164" s="7">
        <f t="shared" si="99"/>
        <v>2E-3</v>
      </c>
      <c r="M3164" s="7">
        <v>3.0000000000000001E-3</v>
      </c>
      <c r="N3164">
        <v>14</v>
      </c>
      <c r="O3164" s="8">
        <v>25.041947314744238</v>
      </c>
      <c r="P3164" s="9">
        <v>25.041947314744238</v>
      </c>
      <c r="Q3164" s="9">
        <v>25.041947314744238</v>
      </c>
      <c r="R3164" s="9">
        <v>27.456353403762161</v>
      </c>
      <c r="S3164" s="9">
        <v>30.106651570134346</v>
      </c>
      <c r="T3164" s="9">
        <v>32.38507785162065</v>
      </c>
      <c r="U3164" s="9">
        <v>39.429466811122886</v>
      </c>
      <c r="V3164" s="9">
        <v>39.429466811122886</v>
      </c>
      <c r="W3164" s="9">
        <v>39.429466811122886</v>
      </c>
      <c r="X3164" s="9">
        <v>47.435574821920561</v>
      </c>
      <c r="Y3164" s="9">
        <v>47.435574821920561</v>
      </c>
      <c r="Z3164" s="9">
        <v>55.548774102684064</v>
      </c>
      <c r="AA3164" s="9">
        <v>55.548774102684064</v>
      </c>
      <c r="AB3164" s="9">
        <v>63.779773780410025</v>
      </c>
      <c r="AC3164" s="9">
        <v>63.779773780410025</v>
      </c>
      <c r="AD3164" s="9">
        <v>74.232976377209724</v>
      </c>
      <c r="AE3164" s="9">
        <v>81.9014230099272</v>
      </c>
      <c r="AF3164" s="9">
        <v>89.711048815832598</v>
      </c>
      <c r="AG3164" s="9">
        <v>89.711048815832598</v>
      </c>
      <c r="AH3164" s="9">
        <v>98.594438447760481</v>
      </c>
      <c r="AI3164" s="9">
        <v>107.25818871858809</v>
      </c>
      <c r="AJ3164" s="9">
        <v>3.0428788910505911</v>
      </c>
    </row>
    <row r="3165" spans="1:36" x14ac:dyDescent="0.25">
      <c r="A3165" t="s">
        <v>5411</v>
      </c>
      <c r="B3165" t="s">
        <v>16</v>
      </c>
      <c r="C3165" t="s">
        <v>17</v>
      </c>
      <c r="D3165">
        <v>62250000</v>
      </c>
      <c r="E3165">
        <v>62254999</v>
      </c>
      <c r="F3165" t="s">
        <v>2840</v>
      </c>
      <c r="G3165" t="str">
        <f t="shared" si="98"/>
        <v>CEI II</v>
      </c>
      <c r="H3165" t="s">
        <v>2815</v>
      </c>
      <c r="I3165" t="s">
        <v>20</v>
      </c>
      <c r="J3165" t="s">
        <v>64</v>
      </c>
      <c r="K3165" s="6">
        <v>0.03</v>
      </c>
      <c r="L3165" s="7">
        <f t="shared" si="99"/>
        <v>2E-3</v>
      </c>
      <c r="M3165" s="7">
        <v>3.0000000000000001E-3</v>
      </c>
      <c r="N3165">
        <v>15</v>
      </c>
      <c r="O3165" s="8">
        <v>25.041947314744238</v>
      </c>
      <c r="P3165" s="9">
        <v>25.041947314744238</v>
      </c>
      <c r="Q3165" s="9">
        <v>25.041947314744238</v>
      </c>
      <c r="R3165" s="9">
        <v>27.456353403762161</v>
      </c>
      <c r="S3165" s="9">
        <v>30.106651570134346</v>
      </c>
      <c r="T3165" s="9">
        <v>32.38507785162065</v>
      </c>
      <c r="U3165" s="9">
        <v>39.429466811122886</v>
      </c>
      <c r="V3165" s="9">
        <v>39.429466811122886</v>
      </c>
      <c r="W3165" s="9">
        <v>39.429466811122886</v>
      </c>
      <c r="X3165" s="9">
        <v>47.435574821920561</v>
      </c>
      <c r="Y3165" s="9">
        <v>47.435574821920561</v>
      </c>
      <c r="Z3165" s="9">
        <v>55.548774102684064</v>
      </c>
      <c r="AA3165" s="9">
        <v>55.548774102684064</v>
      </c>
      <c r="AB3165" s="9">
        <v>63.779773780410025</v>
      </c>
      <c r="AC3165" s="9">
        <v>63.779773780410025</v>
      </c>
      <c r="AD3165" s="9">
        <v>74.232976377209724</v>
      </c>
      <c r="AE3165" s="9">
        <v>81.9014230099272</v>
      </c>
      <c r="AF3165" s="9">
        <v>89.711048815832598</v>
      </c>
      <c r="AG3165" s="9">
        <v>89.711048815832598</v>
      </c>
      <c r="AH3165" s="9">
        <v>98.594438447760481</v>
      </c>
      <c r="AI3165" s="9">
        <v>107.25818871858809</v>
      </c>
      <c r="AJ3165" s="9">
        <v>3.0428788910505911</v>
      </c>
    </row>
    <row r="3166" spans="1:36" x14ac:dyDescent="0.25">
      <c r="A3166" t="s">
        <v>5411</v>
      </c>
      <c r="B3166" t="s">
        <v>16</v>
      </c>
      <c r="C3166" t="s">
        <v>17</v>
      </c>
      <c r="D3166">
        <v>62255000</v>
      </c>
      <c r="E3166">
        <v>62259999</v>
      </c>
      <c r="F3166" t="s">
        <v>2841</v>
      </c>
      <c r="G3166" t="str">
        <f t="shared" si="98"/>
        <v>CEI II</v>
      </c>
      <c r="H3166" t="s">
        <v>2815</v>
      </c>
      <c r="I3166" t="s">
        <v>20</v>
      </c>
      <c r="J3166" t="s">
        <v>64</v>
      </c>
      <c r="K3166" s="6">
        <v>0.03</v>
      </c>
      <c r="L3166" s="7">
        <f t="shared" si="99"/>
        <v>2E-3</v>
      </c>
      <c r="M3166" s="7">
        <v>3.0000000000000001E-3</v>
      </c>
      <c r="N3166">
        <v>15</v>
      </c>
      <c r="O3166" s="8">
        <v>25.041947314744238</v>
      </c>
      <c r="P3166" s="9">
        <v>25.041947314744238</v>
      </c>
      <c r="Q3166" s="9">
        <v>25.041947314744238</v>
      </c>
      <c r="R3166" s="9">
        <v>27.456353403762161</v>
      </c>
      <c r="S3166" s="9">
        <v>30.106651570134346</v>
      </c>
      <c r="T3166" s="9">
        <v>32.38507785162065</v>
      </c>
      <c r="U3166" s="9">
        <v>39.429466811122886</v>
      </c>
      <c r="V3166" s="9">
        <v>39.429466811122886</v>
      </c>
      <c r="W3166" s="9">
        <v>39.429466811122886</v>
      </c>
      <c r="X3166" s="9">
        <v>47.435574821920561</v>
      </c>
      <c r="Y3166" s="9">
        <v>47.435574821920561</v>
      </c>
      <c r="Z3166" s="9">
        <v>55.548774102684064</v>
      </c>
      <c r="AA3166" s="9">
        <v>55.548774102684064</v>
      </c>
      <c r="AB3166" s="9">
        <v>63.779773780410025</v>
      </c>
      <c r="AC3166" s="9">
        <v>63.779773780410025</v>
      </c>
      <c r="AD3166" s="9">
        <v>74.232976377209724</v>
      </c>
      <c r="AE3166" s="9">
        <v>81.9014230099272</v>
      </c>
      <c r="AF3166" s="9">
        <v>89.711048815832598</v>
      </c>
      <c r="AG3166" s="9">
        <v>89.711048815832598</v>
      </c>
      <c r="AH3166" s="9">
        <v>98.594438447760481</v>
      </c>
      <c r="AI3166" s="9">
        <v>107.25818871858809</v>
      </c>
      <c r="AJ3166" s="9">
        <v>3.0428788910505911</v>
      </c>
    </row>
    <row r="3167" spans="1:36" x14ac:dyDescent="0.25">
      <c r="A3167" t="s">
        <v>5411</v>
      </c>
      <c r="B3167" t="s">
        <v>16</v>
      </c>
      <c r="C3167" t="s">
        <v>17</v>
      </c>
      <c r="D3167">
        <v>62260000</v>
      </c>
      <c r="E3167">
        <v>62264999</v>
      </c>
      <c r="F3167" t="s">
        <v>2842</v>
      </c>
      <c r="G3167" t="str">
        <f t="shared" si="98"/>
        <v>CEI II</v>
      </c>
      <c r="H3167" t="s">
        <v>2815</v>
      </c>
      <c r="I3167" t="s">
        <v>20</v>
      </c>
      <c r="J3167" t="s">
        <v>64</v>
      </c>
      <c r="K3167" s="6">
        <v>0.03</v>
      </c>
      <c r="L3167" s="7">
        <f t="shared" si="99"/>
        <v>2E-3</v>
      </c>
      <c r="M3167" s="7">
        <v>3.0000000000000001E-3</v>
      </c>
      <c r="N3167">
        <v>15</v>
      </c>
      <c r="O3167" s="8">
        <v>25.041947314744238</v>
      </c>
      <c r="P3167" s="9">
        <v>25.041947314744238</v>
      </c>
      <c r="Q3167" s="9">
        <v>25.041947314744238</v>
      </c>
      <c r="R3167" s="9">
        <v>27.456353403762161</v>
      </c>
      <c r="S3167" s="9">
        <v>30.106651570134346</v>
      </c>
      <c r="T3167" s="9">
        <v>32.38507785162065</v>
      </c>
      <c r="U3167" s="9">
        <v>39.429466811122886</v>
      </c>
      <c r="V3167" s="9">
        <v>39.429466811122886</v>
      </c>
      <c r="W3167" s="9">
        <v>39.429466811122886</v>
      </c>
      <c r="X3167" s="9">
        <v>47.435574821920561</v>
      </c>
      <c r="Y3167" s="9">
        <v>47.435574821920561</v>
      </c>
      <c r="Z3167" s="9">
        <v>55.548774102684064</v>
      </c>
      <c r="AA3167" s="9">
        <v>55.548774102684064</v>
      </c>
      <c r="AB3167" s="9">
        <v>63.779773780410025</v>
      </c>
      <c r="AC3167" s="9">
        <v>63.779773780410025</v>
      </c>
      <c r="AD3167" s="9">
        <v>74.232976377209724</v>
      </c>
      <c r="AE3167" s="9">
        <v>81.9014230099272</v>
      </c>
      <c r="AF3167" s="9">
        <v>89.711048815832598</v>
      </c>
      <c r="AG3167" s="9">
        <v>89.711048815832598</v>
      </c>
      <c r="AH3167" s="9">
        <v>98.594438447760481</v>
      </c>
      <c r="AI3167" s="9">
        <v>107.25818871858809</v>
      </c>
      <c r="AJ3167" s="9">
        <v>3.0428788910505911</v>
      </c>
    </row>
    <row r="3168" spans="1:36" x14ac:dyDescent="0.25">
      <c r="A3168" t="s">
        <v>5411</v>
      </c>
      <c r="B3168" t="s">
        <v>16</v>
      </c>
      <c r="C3168" t="s">
        <v>17</v>
      </c>
      <c r="D3168">
        <v>62265000</v>
      </c>
      <c r="E3168">
        <v>62269999</v>
      </c>
      <c r="F3168" t="s">
        <v>2843</v>
      </c>
      <c r="G3168" t="str">
        <f t="shared" si="98"/>
        <v>CEI II</v>
      </c>
      <c r="H3168" t="s">
        <v>2815</v>
      </c>
      <c r="I3168" t="s">
        <v>20</v>
      </c>
      <c r="J3168" t="s">
        <v>64</v>
      </c>
      <c r="K3168" s="6">
        <v>0.03</v>
      </c>
      <c r="L3168" s="7">
        <f t="shared" si="99"/>
        <v>2E-3</v>
      </c>
      <c r="M3168" s="7">
        <v>3.0000000000000001E-3</v>
      </c>
      <c r="N3168">
        <v>15</v>
      </c>
      <c r="O3168" s="8">
        <v>25.041947314744238</v>
      </c>
      <c r="P3168" s="9">
        <v>25.041947314744238</v>
      </c>
      <c r="Q3168" s="9">
        <v>25.041947314744238</v>
      </c>
      <c r="R3168" s="9">
        <v>27.456353403762161</v>
      </c>
      <c r="S3168" s="9">
        <v>30.106651570134346</v>
      </c>
      <c r="T3168" s="9">
        <v>32.38507785162065</v>
      </c>
      <c r="U3168" s="9">
        <v>39.429466811122886</v>
      </c>
      <c r="V3168" s="9">
        <v>39.429466811122886</v>
      </c>
      <c r="W3168" s="9">
        <v>39.429466811122886</v>
      </c>
      <c r="X3168" s="9">
        <v>47.435574821920561</v>
      </c>
      <c r="Y3168" s="9">
        <v>47.435574821920561</v>
      </c>
      <c r="Z3168" s="9">
        <v>55.548774102684064</v>
      </c>
      <c r="AA3168" s="9">
        <v>55.548774102684064</v>
      </c>
      <c r="AB3168" s="9">
        <v>63.779773780410025</v>
      </c>
      <c r="AC3168" s="9">
        <v>63.779773780410025</v>
      </c>
      <c r="AD3168" s="9">
        <v>74.232976377209724</v>
      </c>
      <c r="AE3168" s="9">
        <v>81.9014230099272</v>
      </c>
      <c r="AF3168" s="9">
        <v>89.711048815832598</v>
      </c>
      <c r="AG3168" s="9">
        <v>89.711048815832598</v>
      </c>
      <c r="AH3168" s="9">
        <v>98.594438447760481</v>
      </c>
      <c r="AI3168" s="9">
        <v>107.25818871858809</v>
      </c>
      <c r="AJ3168" s="9">
        <v>3.0428788910505911</v>
      </c>
    </row>
    <row r="3169" spans="1:36" x14ac:dyDescent="0.25">
      <c r="A3169" t="s">
        <v>5411</v>
      </c>
      <c r="B3169" t="s">
        <v>16</v>
      </c>
      <c r="C3169" t="s">
        <v>17</v>
      </c>
      <c r="D3169">
        <v>62270000</v>
      </c>
      <c r="E3169">
        <v>62279999</v>
      </c>
      <c r="F3169" t="s">
        <v>2844</v>
      </c>
      <c r="G3169" t="str">
        <f t="shared" si="98"/>
        <v>CEI II</v>
      </c>
      <c r="H3169" t="s">
        <v>2815</v>
      </c>
      <c r="I3169" t="s">
        <v>20</v>
      </c>
      <c r="J3169" t="s">
        <v>64</v>
      </c>
      <c r="K3169" s="6">
        <v>0.03</v>
      </c>
      <c r="L3169" s="7">
        <f t="shared" si="99"/>
        <v>2E-3</v>
      </c>
      <c r="M3169" s="7">
        <v>3.0000000000000001E-3</v>
      </c>
      <c r="N3169">
        <v>15</v>
      </c>
      <c r="O3169" s="8">
        <v>25.041947314744238</v>
      </c>
      <c r="P3169" s="9">
        <v>25.041947314744238</v>
      </c>
      <c r="Q3169" s="9">
        <v>25.041947314744238</v>
      </c>
      <c r="R3169" s="9">
        <v>27.456353403762161</v>
      </c>
      <c r="S3169" s="9">
        <v>30.106651570134346</v>
      </c>
      <c r="T3169" s="9">
        <v>32.38507785162065</v>
      </c>
      <c r="U3169" s="9">
        <v>39.429466811122886</v>
      </c>
      <c r="V3169" s="9">
        <v>39.429466811122886</v>
      </c>
      <c r="W3169" s="9">
        <v>39.429466811122886</v>
      </c>
      <c r="X3169" s="9">
        <v>47.435574821920561</v>
      </c>
      <c r="Y3169" s="9">
        <v>47.435574821920561</v>
      </c>
      <c r="Z3169" s="9">
        <v>55.548774102684064</v>
      </c>
      <c r="AA3169" s="9">
        <v>55.548774102684064</v>
      </c>
      <c r="AB3169" s="9">
        <v>63.779773780410025</v>
      </c>
      <c r="AC3169" s="9">
        <v>63.779773780410025</v>
      </c>
      <c r="AD3169" s="9">
        <v>74.232976377209724</v>
      </c>
      <c r="AE3169" s="9">
        <v>81.9014230099272</v>
      </c>
      <c r="AF3169" s="9">
        <v>89.711048815832598</v>
      </c>
      <c r="AG3169" s="9">
        <v>89.711048815832598</v>
      </c>
      <c r="AH3169" s="9">
        <v>98.594438447760481</v>
      </c>
      <c r="AI3169" s="9">
        <v>107.25818871858809</v>
      </c>
      <c r="AJ3169" s="9">
        <v>3.0428788910505911</v>
      </c>
    </row>
    <row r="3170" spans="1:36" x14ac:dyDescent="0.25">
      <c r="A3170" t="s">
        <v>5411</v>
      </c>
      <c r="B3170" t="s">
        <v>16</v>
      </c>
      <c r="C3170" t="s">
        <v>17</v>
      </c>
      <c r="D3170">
        <v>62280000</v>
      </c>
      <c r="E3170">
        <v>62296999</v>
      </c>
      <c r="F3170" t="s">
        <v>2845</v>
      </c>
      <c r="G3170" t="str">
        <f t="shared" si="98"/>
        <v>CEI II</v>
      </c>
      <c r="H3170" t="s">
        <v>2815</v>
      </c>
      <c r="I3170" t="s">
        <v>20</v>
      </c>
      <c r="J3170" t="s">
        <v>64</v>
      </c>
      <c r="K3170" s="6">
        <v>0.03</v>
      </c>
      <c r="L3170" s="7">
        <f t="shared" si="99"/>
        <v>2E-3</v>
      </c>
      <c r="M3170" s="7">
        <v>3.0000000000000001E-3</v>
      </c>
      <c r="N3170">
        <v>15</v>
      </c>
      <c r="O3170" s="8">
        <v>25.041947314744238</v>
      </c>
      <c r="P3170" s="9">
        <v>25.041947314744238</v>
      </c>
      <c r="Q3170" s="9">
        <v>25.041947314744238</v>
      </c>
      <c r="R3170" s="9">
        <v>27.456353403762161</v>
      </c>
      <c r="S3170" s="9">
        <v>30.106651570134346</v>
      </c>
      <c r="T3170" s="9">
        <v>32.38507785162065</v>
      </c>
      <c r="U3170" s="9">
        <v>39.429466811122886</v>
      </c>
      <c r="V3170" s="9">
        <v>39.429466811122886</v>
      </c>
      <c r="W3170" s="9">
        <v>39.429466811122886</v>
      </c>
      <c r="X3170" s="9">
        <v>47.435574821920561</v>
      </c>
      <c r="Y3170" s="9">
        <v>47.435574821920561</v>
      </c>
      <c r="Z3170" s="9">
        <v>55.548774102684064</v>
      </c>
      <c r="AA3170" s="9">
        <v>55.548774102684064</v>
      </c>
      <c r="AB3170" s="9">
        <v>63.779773780410025</v>
      </c>
      <c r="AC3170" s="9">
        <v>63.779773780410025</v>
      </c>
      <c r="AD3170" s="9">
        <v>74.232976377209724</v>
      </c>
      <c r="AE3170" s="9">
        <v>81.9014230099272</v>
      </c>
      <c r="AF3170" s="9">
        <v>89.711048815832598</v>
      </c>
      <c r="AG3170" s="9">
        <v>89.711048815832598</v>
      </c>
      <c r="AH3170" s="9">
        <v>98.594438447760481</v>
      </c>
      <c r="AI3170" s="9">
        <v>107.25818871858809</v>
      </c>
      <c r="AJ3170" s="9">
        <v>3.0428788910505911</v>
      </c>
    </row>
    <row r="3171" spans="1:36" x14ac:dyDescent="0.25">
      <c r="A3171" t="s">
        <v>5411</v>
      </c>
      <c r="B3171" t="s">
        <v>16</v>
      </c>
      <c r="C3171" t="s">
        <v>17</v>
      </c>
      <c r="D3171">
        <v>62297000</v>
      </c>
      <c r="E3171">
        <v>62299999</v>
      </c>
      <c r="F3171" t="s">
        <v>2846</v>
      </c>
      <c r="G3171" t="str">
        <f t="shared" si="98"/>
        <v>CEI II</v>
      </c>
      <c r="H3171" t="s">
        <v>2815</v>
      </c>
      <c r="I3171" t="s">
        <v>20</v>
      </c>
      <c r="J3171" t="s">
        <v>64</v>
      </c>
      <c r="K3171" s="6">
        <v>0.03</v>
      </c>
      <c r="L3171" s="7">
        <f t="shared" si="99"/>
        <v>2E-3</v>
      </c>
      <c r="M3171" s="7">
        <v>3.0000000000000001E-3</v>
      </c>
      <c r="N3171">
        <v>15</v>
      </c>
      <c r="O3171" s="8">
        <v>25.041947314744238</v>
      </c>
      <c r="P3171" s="9">
        <v>25.041947314744238</v>
      </c>
      <c r="Q3171" s="9">
        <v>25.041947314744238</v>
      </c>
      <c r="R3171" s="9">
        <v>27.456353403762161</v>
      </c>
      <c r="S3171" s="9">
        <v>30.106651570134346</v>
      </c>
      <c r="T3171" s="9">
        <v>32.38507785162065</v>
      </c>
      <c r="U3171" s="9">
        <v>39.429466811122886</v>
      </c>
      <c r="V3171" s="9">
        <v>39.429466811122886</v>
      </c>
      <c r="W3171" s="9">
        <v>39.429466811122886</v>
      </c>
      <c r="X3171" s="9">
        <v>47.435574821920561</v>
      </c>
      <c r="Y3171" s="9">
        <v>47.435574821920561</v>
      </c>
      <c r="Z3171" s="9">
        <v>55.548774102684064</v>
      </c>
      <c r="AA3171" s="9">
        <v>55.548774102684064</v>
      </c>
      <c r="AB3171" s="9">
        <v>63.779773780410025</v>
      </c>
      <c r="AC3171" s="9">
        <v>63.779773780410025</v>
      </c>
      <c r="AD3171" s="9">
        <v>74.232976377209724</v>
      </c>
      <c r="AE3171" s="9">
        <v>81.9014230099272</v>
      </c>
      <c r="AF3171" s="9">
        <v>89.711048815832598</v>
      </c>
      <c r="AG3171" s="9">
        <v>89.711048815832598</v>
      </c>
      <c r="AH3171" s="9">
        <v>98.594438447760481</v>
      </c>
      <c r="AI3171" s="9">
        <v>107.25818871858809</v>
      </c>
      <c r="AJ3171" s="9">
        <v>3.0428788910505911</v>
      </c>
    </row>
    <row r="3172" spans="1:36" x14ac:dyDescent="0.25">
      <c r="A3172" t="s">
        <v>5411</v>
      </c>
      <c r="B3172" t="s">
        <v>16</v>
      </c>
      <c r="C3172" t="s">
        <v>17</v>
      </c>
      <c r="D3172">
        <v>62300000</v>
      </c>
      <c r="E3172">
        <v>62319999</v>
      </c>
      <c r="F3172" t="s">
        <v>2847</v>
      </c>
      <c r="G3172" t="str">
        <f t="shared" si="98"/>
        <v>CEI II</v>
      </c>
      <c r="H3172" t="s">
        <v>2815</v>
      </c>
      <c r="I3172" t="s">
        <v>20</v>
      </c>
      <c r="J3172" t="s">
        <v>64</v>
      </c>
      <c r="K3172" s="6">
        <v>0.03</v>
      </c>
      <c r="L3172" s="7">
        <f t="shared" si="99"/>
        <v>2E-3</v>
      </c>
      <c r="M3172" s="7">
        <v>3.0000000000000001E-3</v>
      </c>
      <c r="N3172">
        <v>14</v>
      </c>
      <c r="O3172" s="8">
        <v>25.041947314744238</v>
      </c>
      <c r="P3172" s="9">
        <v>25.041947314744238</v>
      </c>
      <c r="Q3172" s="9">
        <v>25.041947314744238</v>
      </c>
      <c r="R3172" s="9">
        <v>27.456353403762161</v>
      </c>
      <c r="S3172" s="9">
        <v>30.106651570134346</v>
      </c>
      <c r="T3172" s="9">
        <v>32.38507785162065</v>
      </c>
      <c r="U3172" s="9">
        <v>39.429466811122886</v>
      </c>
      <c r="V3172" s="9">
        <v>39.429466811122886</v>
      </c>
      <c r="W3172" s="9">
        <v>39.429466811122886</v>
      </c>
      <c r="X3172" s="9">
        <v>47.435574821920561</v>
      </c>
      <c r="Y3172" s="9">
        <v>47.435574821920561</v>
      </c>
      <c r="Z3172" s="9">
        <v>55.548774102684064</v>
      </c>
      <c r="AA3172" s="9">
        <v>55.548774102684064</v>
      </c>
      <c r="AB3172" s="9">
        <v>63.779773780410025</v>
      </c>
      <c r="AC3172" s="9">
        <v>63.779773780410025</v>
      </c>
      <c r="AD3172" s="9">
        <v>74.232976377209724</v>
      </c>
      <c r="AE3172" s="9">
        <v>81.9014230099272</v>
      </c>
      <c r="AF3172" s="9">
        <v>89.711048815832598</v>
      </c>
      <c r="AG3172" s="9">
        <v>89.711048815832598</v>
      </c>
      <c r="AH3172" s="9">
        <v>98.594438447760481</v>
      </c>
      <c r="AI3172" s="9">
        <v>107.25818871858809</v>
      </c>
      <c r="AJ3172" s="9">
        <v>3.0428788910505911</v>
      </c>
    </row>
    <row r="3173" spans="1:36" x14ac:dyDescent="0.25">
      <c r="A3173" t="s">
        <v>5411</v>
      </c>
      <c r="B3173" t="s">
        <v>16</v>
      </c>
      <c r="C3173" t="s">
        <v>17</v>
      </c>
      <c r="D3173">
        <v>62320000</v>
      </c>
      <c r="E3173">
        <v>62339999</v>
      </c>
      <c r="F3173" t="s">
        <v>2848</v>
      </c>
      <c r="G3173" t="str">
        <f t="shared" si="98"/>
        <v>CEI II</v>
      </c>
      <c r="H3173" t="s">
        <v>2815</v>
      </c>
      <c r="I3173" t="s">
        <v>20</v>
      </c>
      <c r="J3173" t="s">
        <v>64</v>
      </c>
      <c r="K3173" s="6">
        <v>0.03</v>
      </c>
      <c r="L3173" s="7">
        <f t="shared" si="99"/>
        <v>2E-3</v>
      </c>
      <c r="M3173" s="7">
        <v>3.0000000000000001E-3</v>
      </c>
      <c r="N3173">
        <v>12</v>
      </c>
      <c r="O3173" s="8">
        <v>25.041947314744238</v>
      </c>
      <c r="P3173" s="9">
        <v>25.041947314744238</v>
      </c>
      <c r="Q3173" s="9">
        <v>25.041947314744238</v>
      </c>
      <c r="R3173" s="9">
        <v>27.456353403762161</v>
      </c>
      <c r="S3173" s="9">
        <v>30.106651570134346</v>
      </c>
      <c r="T3173" s="9">
        <v>32.38507785162065</v>
      </c>
      <c r="U3173" s="9">
        <v>39.429466811122886</v>
      </c>
      <c r="V3173" s="9">
        <v>39.429466811122886</v>
      </c>
      <c r="W3173" s="9">
        <v>39.429466811122886</v>
      </c>
      <c r="X3173" s="9">
        <v>47.435574821920561</v>
      </c>
      <c r="Y3173" s="9">
        <v>47.435574821920561</v>
      </c>
      <c r="Z3173" s="9">
        <v>55.548774102684064</v>
      </c>
      <c r="AA3173" s="9">
        <v>55.548774102684064</v>
      </c>
      <c r="AB3173" s="9">
        <v>63.779773780410025</v>
      </c>
      <c r="AC3173" s="9">
        <v>63.779773780410025</v>
      </c>
      <c r="AD3173" s="9">
        <v>74.232976377209724</v>
      </c>
      <c r="AE3173" s="9">
        <v>81.9014230099272</v>
      </c>
      <c r="AF3173" s="9">
        <v>89.711048815832598</v>
      </c>
      <c r="AG3173" s="9">
        <v>89.711048815832598</v>
      </c>
      <c r="AH3173" s="9">
        <v>98.594438447760481</v>
      </c>
      <c r="AI3173" s="9">
        <v>107.25818871858809</v>
      </c>
      <c r="AJ3173" s="9">
        <v>3.0428788910505911</v>
      </c>
    </row>
    <row r="3174" spans="1:36" x14ac:dyDescent="0.25">
      <c r="A3174" t="s">
        <v>5411</v>
      </c>
      <c r="B3174" t="s">
        <v>16</v>
      </c>
      <c r="C3174" t="s">
        <v>17</v>
      </c>
      <c r="D3174">
        <v>62340000</v>
      </c>
      <c r="E3174">
        <v>62349999</v>
      </c>
      <c r="F3174" t="s">
        <v>2849</v>
      </c>
      <c r="G3174" t="str">
        <f t="shared" si="98"/>
        <v>CEI II</v>
      </c>
      <c r="H3174" t="s">
        <v>2815</v>
      </c>
      <c r="I3174" t="s">
        <v>20</v>
      </c>
      <c r="J3174" t="s">
        <v>64</v>
      </c>
      <c r="K3174" s="6">
        <v>0.03</v>
      </c>
      <c r="L3174" s="7">
        <f t="shared" si="99"/>
        <v>2E-3</v>
      </c>
      <c r="M3174" s="7">
        <v>3.0000000000000001E-3</v>
      </c>
      <c r="N3174">
        <v>14</v>
      </c>
      <c r="O3174" s="8">
        <v>25.041947314744238</v>
      </c>
      <c r="P3174" s="9">
        <v>25.041947314744238</v>
      </c>
      <c r="Q3174" s="9">
        <v>25.041947314744238</v>
      </c>
      <c r="R3174" s="9">
        <v>27.456353403762161</v>
      </c>
      <c r="S3174" s="9">
        <v>30.106651570134346</v>
      </c>
      <c r="T3174" s="9">
        <v>32.38507785162065</v>
      </c>
      <c r="U3174" s="9">
        <v>39.429466811122886</v>
      </c>
      <c r="V3174" s="9">
        <v>39.429466811122886</v>
      </c>
      <c r="W3174" s="9">
        <v>39.429466811122886</v>
      </c>
      <c r="X3174" s="9">
        <v>47.435574821920561</v>
      </c>
      <c r="Y3174" s="9">
        <v>47.435574821920561</v>
      </c>
      <c r="Z3174" s="9">
        <v>55.548774102684064</v>
      </c>
      <c r="AA3174" s="9">
        <v>55.548774102684064</v>
      </c>
      <c r="AB3174" s="9">
        <v>63.779773780410025</v>
      </c>
      <c r="AC3174" s="9">
        <v>63.779773780410025</v>
      </c>
      <c r="AD3174" s="9">
        <v>74.232976377209724</v>
      </c>
      <c r="AE3174" s="9">
        <v>81.9014230099272</v>
      </c>
      <c r="AF3174" s="9">
        <v>89.711048815832598</v>
      </c>
      <c r="AG3174" s="9">
        <v>89.711048815832598</v>
      </c>
      <c r="AH3174" s="9">
        <v>98.594438447760481</v>
      </c>
      <c r="AI3174" s="9">
        <v>107.25818871858809</v>
      </c>
      <c r="AJ3174" s="9">
        <v>3.0428788910505911</v>
      </c>
    </row>
    <row r="3175" spans="1:36" x14ac:dyDescent="0.25">
      <c r="A3175" t="s">
        <v>5411</v>
      </c>
      <c r="B3175" t="s">
        <v>16</v>
      </c>
      <c r="C3175" t="s">
        <v>17</v>
      </c>
      <c r="D3175">
        <v>62350000</v>
      </c>
      <c r="E3175">
        <v>62359999</v>
      </c>
      <c r="F3175" t="s">
        <v>2850</v>
      </c>
      <c r="G3175" t="str">
        <f t="shared" si="98"/>
        <v>CEI II</v>
      </c>
      <c r="H3175" t="s">
        <v>2815</v>
      </c>
      <c r="I3175" t="s">
        <v>20</v>
      </c>
      <c r="J3175" t="s">
        <v>64</v>
      </c>
      <c r="K3175" s="6">
        <v>0.03</v>
      </c>
      <c r="L3175" s="7">
        <f t="shared" si="99"/>
        <v>2E-3</v>
      </c>
      <c r="M3175" s="7">
        <v>3.0000000000000001E-3</v>
      </c>
      <c r="N3175">
        <v>14</v>
      </c>
      <c r="O3175" s="8">
        <v>25.041947314744238</v>
      </c>
      <c r="P3175" s="9">
        <v>25.041947314744238</v>
      </c>
      <c r="Q3175" s="9">
        <v>25.041947314744238</v>
      </c>
      <c r="R3175" s="9">
        <v>27.456353403762161</v>
      </c>
      <c r="S3175" s="9">
        <v>30.106651570134346</v>
      </c>
      <c r="T3175" s="9">
        <v>32.38507785162065</v>
      </c>
      <c r="U3175" s="9">
        <v>39.429466811122886</v>
      </c>
      <c r="V3175" s="9">
        <v>39.429466811122886</v>
      </c>
      <c r="W3175" s="9">
        <v>39.429466811122886</v>
      </c>
      <c r="X3175" s="9">
        <v>47.435574821920561</v>
      </c>
      <c r="Y3175" s="9">
        <v>47.435574821920561</v>
      </c>
      <c r="Z3175" s="9">
        <v>55.548774102684064</v>
      </c>
      <c r="AA3175" s="9">
        <v>55.548774102684064</v>
      </c>
      <c r="AB3175" s="9">
        <v>63.779773780410025</v>
      </c>
      <c r="AC3175" s="9">
        <v>63.779773780410025</v>
      </c>
      <c r="AD3175" s="9">
        <v>74.232976377209724</v>
      </c>
      <c r="AE3175" s="9">
        <v>81.9014230099272</v>
      </c>
      <c r="AF3175" s="9">
        <v>89.711048815832598</v>
      </c>
      <c r="AG3175" s="9">
        <v>89.711048815832598</v>
      </c>
      <c r="AH3175" s="9">
        <v>98.594438447760481</v>
      </c>
      <c r="AI3175" s="9">
        <v>107.25818871858809</v>
      </c>
      <c r="AJ3175" s="9">
        <v>3.0428788910505911</v>
      </c>
    </row>
    <row r="3176" spans="1:36" x14ac:dyDescent="0.25">
      <c r="A3176" t="s">
        <v>5411</v>
      </c>
      <c r="B3176" t="s">
        <v>16</v>
      </c>
      <c r="C3176" t="s">
        <v>17</v>
      </c>
      <c r="D3176">
        <v>62360000</v>
      </c>
      <c r="E3176">
        <v>62364999</v>
      </c>
      <c r="F3176" t="s">
        <v>2851</v>
      </c>
      <c r="G3176" t="str">
        <f t="shared" si="98"/>
        <v>CEI II</v>
      </c>
      <c r="H3176" t="s">
        <v>2815</v>
      </c>
      <c r="I3176" t="s">
        <v>20</v>
      </c>
      <c r="J3176" t="s">
        <v>64</v>
      </c>
      <c r="K3176" s="6">
        <v>0.03</v>
      </c>
      <c r="L3176" s="7">
        <f t="shared" si="99"/>
        <v>2E-3</v>
      </c>
      <c r="M3176" s="7">
        <v>3.0000000000000001E-3</v>
      </c>
      <c r="N3176">
        <v>14</v>
      </c>
      <c r="O3176" s="8">
        <v>25.041947314744238</v>
      </c>
      <c r="P3176" s="9">
        <v>25.041947314744238</v>
      </c>
      <c r="Q3176" s="9">
        <v>25.041947314744238</v>
      </c>
      <c r="R3176" s="9">
        <v>27.456353403762161</v>
      </c>
      <c r="S3176" s="9">
        <v>30.106651570134346</v>
      </c>
      <c r="T3176" s="9">
        <v>32.38507785162065</v>
      </c>
      <c r="U3176" s="9">
        <v>39.429466811122886</v>
      </c>
      <c r="V3176" s="9">
        <v>39.429466811122886</v>
      </c>
      <c r="W3176" s="9">
        <v>39.429466811122886</v>
      </c>
      <c r="X3176" s="9">
        <v>47.435574821920561</v>
      </c>
      <c r="Y3176" s="9">
        <v>47.435574821920561</v>
      </c>
      <c r="Z3176" s="9">
        <v>55.548774102684064</v>
      </c>
      <c r="AA3176" s="9">
        <v>55.548774102684064</v>
      </c>
      <c r="AB3176" s="9">
        <v>63.779773780410025</v>
      </c>
      <c r="AC3176" s="9">
        <v>63.779773780410025</v>
      </c>
      <c r="AD3176" s="9">
        <v>74.232976377209724</v>
      </c>
      <c r="AE3176" s="9">
        <v>81.9014230099272</v>
      </c>
      <c r="AF3176" s="9">
        <v>89.711048815832598</v>
      </c>
      <c r="AG3176" s="9">
        <v>89.711048815832598</v>
      </c>
      <c r="AH3176" s="9">
        <v>98.594438447760481</v>
      </c>
      <c r="AI3176" s="9">
        <v>107.25818871858809</v>
      </c>
      <c r="AJ3176" s="9">
        <v>3.0428788910505911</v>
      </c>
    </row>
    <row r="3177" spans="1:36" x14ac:dyDescent="0.25">
      <c r="A3177" t="s">
        <v>5411</v>
      </c>
      <c r="B3177" t="s">
        <v>16</v>
      </c>
      <c r="C3177" t="s">
        <v>17</v>
      </c>
      <c r="D3177">
        <v>62365000</v>
      </c>
      <c r="E3177">
        <v>62369999</v>
      </c>
      <c r="F3177" t="s">
        <v>2852</v>
      </c>
      <c r="G3177" t="str">
        <f t="shared" si="98"/>
        <v>CEI II</v>
      </c>
      <c r="H3177" t="s">
        <v>2815</v>
      </c>
      <c r="I3177" t="s">
        <v>20</v>
      </c>
      <c r="J3177" t="s">
        <v>64</v>
      </c>
      <c r="K3177" s="6">
        <v>0.03</v>
      </c>
      <c r="L3177" s="7">
        <f t="shared" si="99"/>
        <v>2E-3</v>
      </c>
      <c r="M3177" s="7">
        <v>3.0000000000000001E-3</v>
      </c>
      <c r="N3177">
        <v>14</v>
      </c>
      <c r="O3177" s="8">
        <v>25.041947314744238</v>
      </c>
      <c r="P3177" s="9">
        <v>25.041947314744238</v>
      </c>
      <c r="Q3177" s="9">
        <v>25.041947314744238</v>
      </c>
      <c r="R3177" s="9">
        <v>27.456353403762161</v>
      </c>
      <c r="S3177" s="9">
        <v>30.106651570134346</v>
      </c>
      <c r="T3177" s="9">
        <v>32.38507785162065</v>
      </c>
      <c r="U3177" s="9">
        <v>39.429466811122886</v>
      </c>
      <c r="V3177" s="9">
        <v>39.429466811122886</v>
      </c>
      <c r="W3177" s="9">
        <v>39.429466811122886</v>
      </c>
      <c r="X3177" s="9">
        <v>47.435574821920561</v>
      </c>
      <c r="Y3177" s="9">
        <v>47.435574821920561</v>
      </c>
      <c r="Z3177" s="9">
        <v>55.548774102684064</v>
      </c>
      <c r="AA3177" s="9">
        <v>55.548774102684064</v>
      </c>
      <c r="AB3177" s="9">
        <v>63.779773780410025</v>
      </c>
      <c r="AC3177" s="9">
        <v>63.779773780410025</v>
      </c>
      <c r="AD3177" s="9">
        <v>74.232976377209724</v>
      </c>
      <c r="AE3177" s="9">
        <v>81.9014230099272</v>
      </c>
      <c r="AF3177" s="9">
        <v>89.711048815832598</v>
      </c>
      <c r="AG3177" s="9">
        <v>89.711048815832598</v>
      </c>
      <c r="AH3177" s="9">
        <v>98.594438447760481</v>
      </c>
      <c r="AI3177" s="9">
        <v>107.25818871858809</v>
      </c>
      <c r="AJ3177" s="9">
        <v>3.0428788910505911</v>
      </c>
    </row>
    <row r="3178" spans="1:36" x14ac:dyDescent="0.25">
      <c r="A3178" t="s">
        <v>5411</v>
      </c>
      <c r="B3178" t="s">
        <v>16</v>
      </c>
      <c r="C3178" t="s">
        <v>17</v>
      </c>
      <c r="D3178">
        <v>62370000</v>
      </c>
      <c r="E3178">
        <v>62374999</v>
      </c>
      <c r="F3178" t="s">
        <v>2853</v>
      </c>
      <c r="G3178" t="str">
        <f t="shared" si="98"/>
        <v>CEI II</v>
      </c>
      <c r="H3178" t="s">
        <v>2815</v>
      </c>
      <c r="I3178" t="s">
        <v>20</v>
      </c>
      <c r="J3178" t="s">
        <v>64</v>
      </c>
      <c r="K3178" s="6">
        <v>0.03</v>
      </c>
      <c r="L3178" s="7">
        <f t="shared" si="99"/>
        <v>2E-3</v>
      </c>
      <c r="M3178" s="7">
        <v>3.0000000000000001E-3</v>
      </c>
      <c r="N3178">
        <v>14</v>
      </c>
      <c r="O3178" s="8">
        <v>25.041947314744238</v>
      </c>
      <c r="P3178" s="9">
        <v>25.041947314744238</v>
      </c>
      <c r="Q3178" s="9">
        <v>25.041947314744238</v>
      </c>
      <c r="R3178" s="9">
        <v>27.456353403762161</v>
      </c>
      <c r="S3178" s="9">
        <v>30.106651570134346</v>
      </c>
      <c r="T3178" s="9">
        <v>32.38507785162065</v>
      </c>
      <c r="U3178" s="9">
        <v>39.429466811122886</v>
      </c>
      <c r="V3178" s="9">
        <v>39.429466811122886</v>
      </c>
      <c r="W3178" s="9">
        <v>39.429466811122886</v>
      </c>
      <c r="X3178" s="9">
        <v>47.435574821920561</v>
      </c>
      <c r="Y3178" s="9">
        <v>47.435574821920561</v>
      </c>
      <c r="Z3178" s="9">
        <v>55.548774102684064</v>
      </c>
      <c r="AA3178" s="9">
        <v>55.548774102684064</v>
      </c>
      <c r="AB3178" s="9">
        <v>63.779773780410025</v>
      </c>
      <c r="AC3178" s="9">
        <v>63.779773780410025</v>
      </c>
      <c r="AD3178" s="9">
        <v>74.232976377209724</v>
      </c>
      <c r="AE3178" s="9">
        <v>81.9014230099272</v>
      </c>
      <c r="AF3178" s="9">
        <v>89.711048815832598</v>
      </c>
      <c r="AG3178" s="9">
        <v>89.711048815832598</v>
      </c>
      <c r="AH3178" s="9">
        <v>98.594438447760481</v>
      </c>
      <c r="AI3178" s="9">
        <v>107.25818871858809</v>
      </c>
      <c r="AJ3178" s="9">
        <v>3.0428788910505911</v>
      </c>
    </row>
    <row r="3179" spans="1:36" x14ac:dyDescent="0.25">
      <c r="A3179" t="s">
        <v>5411</v>
      </c>
      <c r="B3179" t="s">
        <v>16</v>
      </c>
      <c r="C3179" t="s">
        <v>17</v>
      </c>
      <c r="D3179">
        <v>62375000</v>
      </c>
      <c r="E3179">
        <v>62379999</v>
      </c>
      <c r="F3179" t="s">
        <v>2854</v>
      </c>
      <c r="G3179" t="str">
        <f t="shared" si="98"/>
        <v>CEI II</v>
      </c>
      <c r="H3179" t="s">
        <v>2815</v>
      </c>
      <c r="I3179" t="s">
        <v>20</v>
      </c>
      <c r="J3179" t="s">
        <v>64</v>
      </c>
      <c r="K3179" s="6">
        <v>0.03</v>
      </c>
      <c r="L3179" s="7">
        <f t="shared" si="99"/>
        <v>2E-3</v>
      </c>
      <c r="M3179" s="7">
        <v>3.0000000000000001E-3</v>
      </c>
      <c r="N3179">
        <v>14</v>
      </c>
      <c r="O3179" s="8">
        <v>25.041947314744238</v>
      </c>
      <c r="P3179" s="9">
        <v>25.041947314744238</v>
      </c>
      <c r="Q3179" s="9">
        <v>25.041947314744238</v>
      </c>
      <c r="R3179" s="9">
        <v>27.456353403762161</v>
      </c>
      <c r="S3179" s="9">
        <v>30.106651570134346</v>
      </c>
      <c r="T3179" s="9">
        <v>32.38507785162065</v>
      </c>
      <c r="U3179" s="9">
        <v>39.429466811122886</v>
      </c>
      <c r="V3179" s="9">
        <v>39.429466811122886</v>
      </c>
      <c r="W3179" s="9">
        <v>39.429466811122886</v>
      </c>
      <c r="X3179" s="9">
        <v>47.435574821920561</v>
      </c>
      <c r="Y3179" s="9">
        <v>47.435574821920561</v>
      </c>
      <c r="Z3179" s="9">
        <v>55.548774102684064</v>
      </c>
      <c r="AA3179" s="9">
        <v>55.548774102684064</v>
      </c>
      <c r="AB3179" s="9">
        <v>63.779773780410025</v>
      </c>
      <c r="AC3179" s="9">
        <v>63.779773780410025</v>
      </c>
      <c r="AD3179" s="9">
        <v>74.232976377209724</v>
      </c>
      <c r="AE3179" s="9">
        <v>81.9014230099272</v>
      </c>
      <c r="AF3179" s="9">
        <v>89.711048815832598</v>
      </c>
      <c r="AG3179" s="9">
        <v>89.711048815832598</v>
      </c>
      <c r="AH3179" s="9">
        <v>98.594438447760481</v>
      </c>
      <c r="AI3179" s="9">
        <v>107.25818871858809</v>
      </c>
      <c r="AJ3179" s="9">
        <v>3.0428788910505911</v>
      </c>
    </row>
    <row r="3180" spans="1:36" x14ac:dyDescent="0.25">
      <c r="A3180" t="s">
        <v>5411</v>
      </c>
      <c r="B3180" t="s">
        <v>16</v>
      </c>
      <c r="C3180" t="s">
        <v>17</v>
      </c>
      <c r="D3180">
        <v>62380000</v>
      </c>
      <c r="E3180">
        <v>62389999</v>
      </c>
      <c r="F3180" t="s">
        <v>2855</v>
      </c>
      <c r="G3180" t="str">
        <f t="shared" si="98"/>
        <v>CEI II</v>
      </c>
      <c r="H3180" t="s">
        <v>2815</v>
      </c>
      <c r="I3180" t="s">
        <v>20</v>
      </c>
      <c r="J3180" t="s">
        <v>64</v>
      </c>
      <c r="K3180" s="6">
        <v>0.03</v>
      </c>
      <c r="L3180" s="7">
        <f t="shared" si="99"/>
        <v>2E-3</v>
      </c>
      <c r="M3180" s="7">
        <v>3.0000000000000001E-3</v>
      </c>
      <c r="N3180">
        <v>14</v>
      </c>
      <c r="O3180" s="8">
        <v>25.041947314744238</v>
      </c>
      <c r="P3180" s="9">
        <v>25.041947314744238</v>
      </c>
      <c r="Q3180" s="9">
        <v>25.041947314744238</v>
      </c>
      <c r="R3180" s="9">
        <v>27.456353403762161</v>
      </c>
      <c r="S3180" s="9">
        <v>30.106651570134346</v>
      </c>
      <c r="T3180" s="9">
        <v>32.38507785162065</v>
      </c>
      <c r="U3180" s="9">
        <v>39.429466811122886</v>
      </c>
      <c r="V3180" s="9">
        <v>39.429466811122886</v>
      </c>
      <c r="W3180" s="9">
        <v>39.429466811122886</v>
      </c>
      <c r="X3180" s="9">
        <v>47.435574821920561</v>
      </c>
      <c r="Y3180" s="9">
        <v>47.435574821920561</v>
      </c>
      <c r="Z3180" s="9">
        <v>55.548774102684064</v>
      </c>
      <c r="AA3180" s="9">
        <v>55.548774102684064</v>
      </c>
      <c r="AB3180" s="9">
        <v>63.779773780410025</v>
      </c>
      <c r="AC3180" s="9">
        <v>63.779773780410025</v>
      </c>
      <c r="AD3180" s="9">
        <v>74.232976377209724</v>
      </c>
      <c r="AE3180" s="9">
        <v>81.9014230099272</v>
      </c>
      <c r="AF3180" s="9">
        <v>89.711048815832598</v>
      </c>
      <c r="AG3180" s="9">
        <v>89.711048815832598</v>
      </c>
      <c r="AH3180" s="9">
        <v>98.594438447760481</v>
      </c>
      <c r="AI3180" s="9">
        <v>107.25818871858809</v>
      </c>
      <c r="AJ3180" s="9">
        <v>3.0428788910505911</v>
      </c>
    </row>
    <row r="3181" spans="1:36" x14ac:dyDescent="0.25">
      <c r="A3181" t="s">
        <v>5411</v>
      </c>
      <c r="B3181" t="s">
        <v>16</v>
      </c>
      <c r="C3181" t="s">
        <v>17</v>
      </c>
      <c r="D3181">
        <v>62390000</v>
      </c>
      <c r="E3181">
        <v>62399999</v>
      </c>
      <c r="F3181" t="s">
        <v>2856</v>
      </c>
      <c r="G3181" t="str">
        <f t="shared" si="98"/>
        <v>CEI II</v>
      </c>
      <c r="H3181" t="s">
        <v>2815</v>
      </c>
      <c r="I3181" t="s">
        <v>20</v>
      </c>
      <c r="J3181" t="s">
        <v>64</v>
      </c>
      <c r="K3181" s="6">
        <v>0.03</v>
      </c>
      <c r="L3181" s="7">
        <f t="shared" si="99"/>
        <v>2E-3</v>
      </c>
      <c r="M3181" s="7">
        <v>3.0000000000000001E-3</v>
      </c>
      <c r="N3181">
        <v>14</v>
      </c>
      <c r="O3181" s="8">
        <v>25.041947314744238</v>
      </c>
      <c r="P3181" s="9">
        <v>25.041947314744238</v>
      </c>
      <c r="Q3181" s="9">
        <v>25.041947314744238</v>
      </c>
      <c r="R3181" s="9">
        <v>27.456353403762161</v>
      </c>
      <c r="S3181" s="9">
        <v>30.106651570134346</v>
      </c>
      <c r="T3181" s="9">
        <v>32.38507785162065</v>
      </c>
      <c r="U3181" s="9">
        <v>39.429466811122886</v>
      </c>
      <c r="V3181" s="9">
        <v>39.429466811122886</v>
      </c>
      <c r="W3181" s="9">
        <v>39.429466811122886</v>
      </c>
      <c r="X3181" s="9">
        <v>47.435574821920561</v>
      </c>
      <c r="Y3181" s="9">
        <v>47.435574821920561</v>
      </c>
      <c r="Z3181" s="9">
        <v>55.548774102684064</v>
      </c>
      <c r="AA3181" s="9">
        <v>55.548774102684064</v>
      </c>
      <c r="AB3181" s="9">
        <v>63.779773780410025</v>
      </c>
      <c r="AC3181" s="9">
        <v>63.779773780410025</v>
      </c>
      <c r="AD3181" s="9">
        <v>74.232976377209724</v>
      </c>
      <c r="AE3181" s="9">
        <v>81.9014230099272</v>
      </c>
      <c r="AF3181" s="9">
        <v>89.711048815832598</v>
      </c>
      <c r="AG3181" s="9">
        <v>89.711048815832598</v>
      </c>
      <c r="AH3181" s="9">
        <v>98.594438447760481</v>
      </c>
      <c r="AI3181" s="9">
        <v>107.25818871858809</v>
      </c>
      <c r="AJ3181" s="9">
        <v>3.0428788910505911</v>
      </c>
    </row>
    <row r="3182" spans="1:36" x14ac:dyDescent="0.25">
      <c r="A3182" t="s">
        <v>5411</v>
      </c>
      <c r="B3182" t="s">
        <v>16</v>
      </c>
      <c r="C3182" t="s">
        <v>17</v>
      </c>
      <c r="D3182">
        <v>62400000</v>
      </c>
      <c r="E3182">
        <v>62409999</v>
      </c>
      <c r="F3182" t="s">
        <v>2857</v>
      </c>
      <c r="G3182" t="str">
        <f t="shared" si="98"/>
        <v>CEI II</v>
      </c>
      <c r="H3182" t="s">
        <v>2815</v>
      </c>
      <c r="I3182" t="s">
        <v>20</v>
      </c>
      <c r="J3182" t="s">
        <v>64</v>
      </c>
      <c r="K3182" s="6">
        <v>0.03</v>
      </c>
      <c r="L3182" s="7">
        <f t="shared" si="99"/>
        <v>2E-3</v>
      </c>
      <c r="M3182" s="7">
        <v>3.0000000000000001E-3</v>
      </c>
      <c r="N3182">
        <v>12</v>
      </c>
      <c r="O3182" s="8">
        <v>25.041947314744238</v>
      </c>
      <c r="P3182" s="9">
        <v>25.041947314744238</v>
      </c>
      <c r="Q3182" s="9">
        <v>25.041947314744238</v>
      </c>
      <c r="R3182" s="9">
        <v>27.456353403762161</v>
      </c>
      <c r="S3182" s="9">
        <v>30.106651570134346</v>
      </c>
      <c r="T3182" s="9">
        <v>32.38507785162065</v>
      </c>
      <c r="U3182" s="9">
        <v>39.429466811122886</v>
      </c>
      <c r="V3182" s="9">
        <v>39.429466811122886</v>
      </c>
      <c r="W3182" s="9">
        <v>39.429466811122886</v>
      </c>
      <c r="X3182" s="9">
        <v>47.435574821920561</v>
      </c>
      <c r="Y3182" s="9">
        <v>47.435574821920561</v>
      </c>
      <c r="Z3182" s="9">
        <v>55.548774102684064</v>
      </c>
      <c r="AA3182" s="9">
        <v>55.548774102684064</v>
      </c>
      <c r="AB3182" s="9">
        <v>63.779773780410025</v>
      </c>
      <c r="AC3182" s="9">
        <v>63.779773780410025</v>
      </c>
      <c r="AD3182" s="9">
        <v>74.232976377209724</v>
      </c>
      <c r="AE3182" s="9">
        <v>81.9014230099272</v>
      </c>
      <c r="AF3182" s="9">
        <v>89.711048815832598</v>
      </c>
      <c r="AG3182" s="9">
        <v>89.711048815832598</v>
      </c>
      <c r="AH3182" s="9">
        <v>98.594438447760481</v>
      </c>
      <c r="AI3182" s="9">
        <v>107.25818871858809</v>
      </c>
      <c r="AJ3182" s="9">
        <v>3.0428788910505911</v>
      </c>
    </row>
    <row r="3183" spans="1:36" x14ac:dyDescent="0.25">
      <c r="A3183" t="s">
        <v>5411</v>
      </c>
      <c r="B3183" t="s">
        <v>16</v>
      </c>
      <c r="C3183" t="s">
        <v>17</v>
      </c>
      <c r="D3183">
        <v>62410000</v>
      </c>
      <c r="E3183">
        <v>62419999</v>
      </c>
      <c r="F3183" t="s">
        <v>2858</v>
      </c>
      <c r="G3183" t="str">
        <f t="shared" si="98"/>
        <v>CEI II</v>
      </c>
      <c r="H3183" t="s">
        <v>2815</v>
      </c>
      <c r="I3183" t="s">
        <v>20</v>
      </c>
      <c r="J3183" t="s">
        <v>64</v>
      </c>
      <c r="K3183" s="6">
        <v>0.03</v>
      </c>
      <c r="L3183" s="7">
        <f t="shared" si="99"/>
        <v>2E-3</v>
      </c>
      <c r="M3183" s="7">
        <v>3.0000000000000001E-3</v>
      </c>
      <c r="N3183">
        <v>14</v>
      </c>
      <c r="O3183" s="8">
        <v>25.041947314744238</v>
      </c>
      <c r="P3183" s="9">
        <v>25.041947314744238</v>
      </c>
      <c r="Q3183" s="9">
        <v>25.041947314744238</v>
      </c>
      <c r="R3183" s="9">
        <v>27.456353403762161</v>
      </c>
      <c r="S3183" s="9">
        <v>30.106651570134346</v>
      </c>
      <c r="T3183" s="9">
        <v>32.38507785162065</v>
      </c>
      <c r="U3183" s="9">
        <v>39.429466811122886</v>
      </c>
      <c r="V3183" s="9">
        <v>39.429466811122886</v>
      </c>
      <c r="W3183" s="9">
        <v>39.429466811122886</v>
      </c>
      <c r="X3183" s="9">
        <v>47.435574821920561</v>
      </c>
      <c r="Y3183" s="9">
        <v>47.435574821920561</v>
      </c>
      <c r="Z3183" s="9">
        <v>55.548774102684064</v>
      </c>
      <c r="AA3183" s="9">
        <v>55.548774102684064</v>
      </c>
      <c r="AB3183" s="9">
        <v>63.779773780410025</v>
      </c>
      <c r="AC3183" s="9">
        <v>63.779773780410025</v>
      </c>
      <c r="AD3183" s="9">
        <v>74.232976377209724</v>
      </c>
      <c r="AE3183" s="9">
        <v>81.9014230099272</v>
      </c>
      <c r="AF3183" s="9">
        <v>89.711048815832598</v>
      </c>
      <c r="AG3183" s="9">
        <v>89.711048815832598</v>
      </c>
      <c r="AH3183" s="9">
        <v>98.594438447760481</v>
      </c>
      <c r="AI3183" s="9">
        <v>107.25818871858809</v>
      </c>
      <c r="AJ3183" s="9">
        <v>3.0428788910505911</v>
      </c>
    </row>
    <row r="3184" spans="1:36" x14ac:dyDescent="0.25">
      <c r="A3184" t="s">
        <v>5411</v>
      </c>
      <c r="B3184" t="s">
        <v>16</v>
      </c>
      <c r="C3184" t="s">
        <v>17</v>
      </c>
      <c r="D3184">
        <v>62420000</v>
      </c>
      <c r="E3184">
        <v>62429999</v>
      </c>
      <c r="F3184" t="s">
        <v>2859</v>
      </c>
      <c r="G3184" t="str">
        <f t="shared" si="98"/>
        <v>CEI II</v>
      </c>
      <c r="H3184" t="s">
        <v>2815</v>
      </c>
      <c r="I3184" t="s">
        <v>20</v>
      </c>
      <c r="J3184" t="s">
        <v>64</v>
      </c>
      <c r="K3184" s="6">
        <v>0.03</v>
      </c>
      <c r="L3184" s="7">
        <f t="shared" si="99"/>
        <v>2E-3</v>
      </c>
      <c r="M3184" s="7">
        <v>3.0000000000000001E-3</v>
      </c>
      <c r="N3184">
        <v>14</v>
      </c>
      <c r="O3184" s="8">
        <v>25.041947314744238</v>
      </c>
      <c r="P3184" s="9">
        <v>25.041947314744238</v>
      </c>
      <c r="Q3184" s="9">
        <v>25.041947314744238</v>
      </c>
      <c r="R3184" s="9">
        <v>27.456353403762161</v>
      </c>
      <c r="S3184" s="9">
        <v>30.106651570134346</v>
      </c>
      <c r="T3184" s="9">
        <v>32.38507785162065</v>
      </c>
      <c r="U3184" s="9">
        <v>39.429466811122886</v>
      </c>
      <c r="V3184" s="9">
        <v>39.429466811122886</v>
      </c>
      <c r="W3184" s="9">
        <v>39.429466811122886</v>
      </c>
      <c r="X3184" s="9">
        <v>47.435574821920561</v>
      </c>
      <c r="Y3184" s="9">
        <v>47.435574821920561</v>
      </c>
      <c r="Z3184" s="9">
        <v>55.548774102684064</v>
      </c>
      <c r="AA3184" s="9">
        <v>55.548774102684064</v>
      </c>
      <c r="AB3184" s="9">
        <v>63.779773780410025</v>
      </c>
      <c r="AC3184" s="9">
        <v>63.779773780410025</v>
      </c>
      <c r="AD3184" s="9">
        <v>74.232976377209724</v>
      </c>
      <c r="AE3184" s="9">
        <v>81.9014230099272</v>
      </c>
      <c r="AF3184" s="9">
        <v>89.711048815832598</v>
      </c>
      <c r="AG3184" s="9">
        <v>89.711048815832598</v>
      </c>
      <c r="AH3184" s="9">
        <v>98.594438447760481</v>
      </c>
      <c r="AI3184" s="9">
        <v>107.25818871858809</v>
      </c>
      <c r="AJ3184" s="9">
        <v>3.0428788910505911</v>
      </c>
    </row>
    <row r="3185" spans="1:36" x14ac:dyDescent="0.25">
      <c r="A3185" t="s">
        <v>5411</v>
      </c>
      <c r="B3185" t="s">
        <v>16</v>
      </c>
      <c r="C3185" t="s">
        <v>17</v>
      </c>
      <c r="D3185">
        <v>62430000</v>
      </c>
      <c r="E3185">
        <v>62449999</v>
      </c>
      <c r="F3185" t="s">
        <v>2860</v>
      </c>
      <c r="G3185" t="str">
        <f t="shared" si="98"/>
        <v>CEI II</v>
      </c>
      <c r="H3185" t="s">
        <v>2815</v>
      </c>
      <c r="I3185" t="s">
        <v>20</v>
      </c>
      <c r="J3185" t="s">
        <v>64</v>
      </c>
      <c r="K3185" s="6">
        <v>0.03</v>
      </c>
      <c r="L3185" s="7">
        <f t="shared" si="99"/>
        <v>2E-3</v>
      </c>
      <c r="M3185" s="7">
        <v>3.0000000000000001E-3</v>
      </c>
      <c r="N3185">
        <v>14</v>
      </c>
      <c r="O3185" s="8">
        <v>25.041947314744238</v>
      </c>
      <c r="P3185" s="9">
        <v>25.041947314744238</v>
      </c>
      <c r="Q3185" s="9">
        <v>25.041947314744238</v>
      </c>
      <c r="R3185" s="9">
        <v>27.456353403762161</v>
      </c>
      <c r="S3185" s="9">
        <v>30.106651570134346</v>
      </c>
      <c r="T3185" s="9">
        <v>32.38507785162065</v>
      </c>
      <c r="U3185" s="9">
        <v>39.429466811122886</v>
      </c>
      <c r="V3185" s="9">
        <v>39.429466811122886</v>
      </c>
      <c r="W3185" s="9">
        <v>39.429466811122886</v>
      </c>
      <c r="X3185" s="9">
        <v>47.435574821920561</v>
      </c>
      <c r="Y3185" s="9">
        <v>47.435574821920561</v>
      </c>
      <c r="Z3185" s="9">
        <v>55.548774102684064</v>
      </c>
      <c r="AA3185" s="9">
        <v>55.548774102684064</v>
      </c>
      <c r="AB3185" s="9">
        <v>63.779773780410025</v>
      </c>
      <c r="AC3185" s="9">
        <v>63.779773780410025</v>
      </c>
      <c r="AD3185" s="9">
        <v>74.232976377209724</v>
      </c>
      <c r="AE3185" s="9">
        <v>81.9014230099272</v>
      </c>
      <c r="AF3185" s="9">
        <v>89.711048815832598</v>
      </c>
      <c r="AG3185" s="9">
        <v>89.711048815832598</v>
      </c>
      <c r="AH3185" s="9">
        <v>98.594438447760481</v>
      </c>
      <c r="AI3185" s="9">
        <v>107.25818871858809</v>
      </c>
      <c r="AJ3185" s="9">
        <v>3.0428788910505911</v>
      </c>
    </row>
    <row r="3186" spans="1:36" x14ac:dyDescent="0.25">
      <c r="A3186" t="s">
        <v>5411</v>
      </c>
      <c r="B3186" t="s">
        <v>16</v>
      </c>
      <c r="C3186" t="s">
        <v>17</v>
      </c>
      <c r="D3186">
        <v>62450000</v>
      </c>
      <c r="E3186">
        <v>62459999</v>
      </c>
      <c r="F3186" t="s">
        <v>2861</v>
      </c>
      <c r="G3186" t="str">
        <f t="shared" si="98"/>
        <v>CEI II</v>
      </c>
      <c r="H3186" t="s">
        <v>2815</v>
      </c>
      <c r="I3186" t="s">
        <v>20</v>
      </c>
      <c r="J3186" t="s">
        <v>64</v>
      </c>
      <c r="K3186" s="6">
        <v>0.03</v>
      </c>
      <c r="L3186" s="7">
        <f t="shared" si="99"/>
        <v>2E-3</v>
      </c>
      <c r="M3186" s="7">
        <v>3.0000000000000001E-3</v>
      </c>
      <c r="N3186">
        <v>14</v>
      </c>
      <c r="O3186" s="8">
        <v>25.041947314744238</v>
      </c>
      <c r="P3186" s="9">
        <v>25.041947314744238</v>
      </c>
      <c r="Q3186" s="9">
        <v>25.041947314744238</v>
      </c>
      <c r="R3186" s="9">
        <v>27.456353403762161</v>
      </c>
      <c r="S3186" s="9">
        <v>30.106651570134346</v>
      </c>
      <c r="T3186" s="9">
        <v>32.38507785162065</v>
      </c>
      <c r="U3186" s="9">
        <v>39.429466811122886</v>
      </c>
      <c r="V3186" s="9">
        <v>39.429466811122886</v>
      </c>
      <c r="W3186" s="9">
        <v>39.429466811122886</v>
      </c>
      <c r="X3186" s="9">
        <v>47.435574821920561</v>
      </c>
      <c r="Y3186" s="9">
        <v>47.435574821920561</v>
      </c>
      <c r="Z3186" s="9">
        <v>55.548774102684064</v>
      </c>
      <c r="AA3186" s="9">
        <v>55.548774102684064</v>
      </c>
      <c r="AB3186" s="9">
        <v>63.779773780410025</v>
      </c>
      <c r="AC3186" s="9">
        <v>63.779773780410025</v>
      </c>
      <c r="AD3186" s="9">
        <v>74.232976377209724</v>
      </c>
      <c r="AE3186" s="9">
        <v>81.9014230099272</v>
      </c>
      <c r="AF3186" s="9">
        <v>89.711048815832598</v>
      </c>
      <c r="AG3186" s="9">
        <v>89.711048815832598</v>
      </c>
      <c r="AH3186" s="9">
        <v>98.594438447760481</v>
      </c>
      <c r="AI3186" s="9">
        <v>107.25818871858809</v>
      </c>
      <c r="AJ3186" s="9">
        <v>3.0428788910505911</v>
      </c>
    </row>
    <row r="3187" spans="1:36" x14ac:dyDescent="0.25">
      <c r="A3187" t="s">
        <v>5411</v>
      </c>
      <c r="B3187" t="s">
        <v>16</v>
      </c>
      <c r="C3187" t="s">
        <v>17</v>
      </c>
      <c r="D3187">
        <v>62460000</v>
      </c>
      <c r="E3187">
        <v>62469999</v>
      </c>
      <c r="F3187" t="s">
        <v>2862</v>
      </c>
      <c r="G3187" t="str">
        <f t="shared" si="98"/>
        <v>CEI II</v>
      </c>
      <c r="H3187" t="s">
        <v>2815</v>
      </c>
      <c r="I3187" t="s">
        <v>20</v>
      </c>
      <c r="J3187" t="s">
        <v>64</v>
      </c>
      <c r="K3187" s="6">
        <v>0.03</v>
      </c>
      <c r="L3187" s="7">
        <f t="shared" si="99"/>
        <v>2E-3</v>
      </c>
      <c r="M3187" s="7">
        <v>3.0000000000000001E-3</v>
      </c>
      <c r="N3187">
        <v>14</v>
      </c>
      <c r="O3187" s="8">
        <v>25.041947314744238</v>
      </c>
      <c r="P3187" s="9">
        <v>25.041947314744238</v>
      </c>
      <c r="Q3187" s="9">
        <v>25.041947314744238</v>
      </c>
      <c r="R3187" s="9">
        <v>27.456353403762161</v>
      </c>
      <c r="S3187" s="9">
        <v>30.106651570134346</v>
      </c>
      <c r="T3187" s="9">
        <v>32.38507785162065</v>
      </c>
      <c r="U3187" s="9">
        <v>39.429466811122886</v>
      </c>
      <c r="V3187" s="9">
        <v>39.429466811122886</v>
      </c>
      <c r="W3187" s="9">
        <v>39.429466811122886</v>
      </c>
      <c r="X3187" s="9">
        <v>47.435574821920561</v>
      </c>
      <c r="Y3187" s="9">
        <v>47.435574821920561</v>
      </c>
      <c r="Z3187" s="9">
        <v>55.548774102684064</v>
      </c>
      <c r="AA3187" s="9">
        <v>55.548774102684064</v>
      </c>
      <c r="AB3187" s="9">
        <v>63.779773780410025</v>
      </c>
      <c r="AC3187" s="9">
        <v>63.779773780410025</v>
      </c>
      <c r="AD3187" s="9">
        <v>74.232976377209724</v>
      </c>
      <c r="AE3187" s="9">
        <v>81.9014230099272</v>
      </c>
      <c r="AF3187" s="9">
        <v>89.711048815832598</v>
      </c>
      <c r="AG3187" s="9">
        <v>89.711048815832598</v>
      </c>
      <c r="AH3187" s="9">
        <v>98.594438447760481</v>
      </c>
      <c r="AI3187" s="9">
        <v>107.25818871858809</v>
      </c>
      <c r="AJ3187" s="9">
        <v>3.0428788910505911</v>
      </c>
    </row>
    <row r="3188" spans="1:36" x14ac:dyDescent="0.25">
      <c r="A3188" t="s">
        <v>5411</v>
      </c>
      <c r="B3188" t="s">
        <v>16</v>
      </c>
      <c r="C3188" t="s">
        <v>17</v>
      </c>
      <c r="D3188">
        <v>62470000</v>
      </c>
      <c r="E3188">
        <v>62479999</v>
      </c>
      <c r="F3188" t="s">
        <v>2863</v>
      </c>
      <c r="G3188" t="str">
        <f t="shared" si="98"/>
        <v>CEI II</v>
      </c>
      <c r="H3188" t="s">
        <v>2815</v>
      </c>
      <c r="I3188" t="s">
        <v>20</v>
      </c>
      <c r="J3188" t="s">
        <v>64</v>
      </c>
      <c r="K3188" s="6">
        <v>0.03</v>
      </c>
      <c r="L3188" s="7">
        <f t="shared" si="99"/>
        <v>2E-3</v>
      </c>
      <c r="M3188" s="7">
        <v>3.0000000000000001E-3</v>
      </c>
      <c r="N3188">
        <v>14</v>
      </c>
      <c r="O3188" s="8">
        <v>25.041947314744238</v>
      </c>
      <c r="P3188" s="9">
        <v>25.041947314744238</v>
      </c>
      <c r="Q3188" s="9">
        <v>25.041947314744238</v>
      </c>
      <c r="R3188" s="9">
        <v>27.456353403762161</v>
      </c>
      <c r="S3188" s="9">
        <v>30.106651570134346</v>
      </c>
      <c r="T3188" s="9">
        <v>32.38507785162065</v>
      </c>
      <c r="U3188" s="9">
        <v>39.429466811122886</v>
      </c>
      <c r="V3188" s="9">
        <v>39.429466811122886</v>
      </c>
      <c r="W3188" s="9">
        <v>39.429466811122886</v>
      </c>
      <c r="X3188" s="9">
        <v>47.435574821920561</v>
      </c>
      <c r="Y3188" s="9">
        <v>47.435574821920561</v>
      </c>
      <c r="Z3188" s="9">
        <v>55.548774102684064</v>
      </c>
      <c r="AA3188" s="9">
        <v>55.548774102684064</v>
      </c>
      <c r="AB3188" s="9">
        <v>63.779773780410025</v>
      </c>
      <c r="AC3188" s="9">
        <v>63.779773780410025</v>
      </c>
      <c r="AD3188" s="9">
        <v>74.232976377209724</v>
      </c>
      <c r="AE3188" s="9">
        <v>81.9014230099272</v>
      </c>
      <c r="AF3188" s="9">
        <v>89.711048815832598</v>
      </c>
      <c r="AG3188" s="9">
        <v>89.711048815832598</v>
      </c>
      <c r="AH3188" s="9">
        <v>98.594438447760481</v>
      </c>
      <c r="AI3188" s="9">
        <v>107.25818871858809</v>
      </c>
      <c r="AJ3188" s="9">
        <v>3.0428788910505911</v>
      </c>
    </row>
    <row r="3189" spans="1:36" x14ac:dyDescent="0.25">
      <c r="A3189" t="s">
        <v>5411</v>
      </c>
      <c r="B3189" t="s">
        <v>16</v>
      </c>
      <c r="C3189" t="s">
        <v>17</v>
      </c>
      <c r="D3189">
        <v>62480000</v>
      </c>
      <c r="E3189">
        <v>62499999</v>
      </c>
      <c r="F3189" t="s">
        <v>2864</v>
      </c>
      <c r="G3189" t="str">
        <f t="shared" si="98"/>
        <v>CEI II</v>
      </c>
      <c r="H3189" t="s">
        <v>2815</v>
      </c>
      <c r="I3189" t="s">
        <v>20</v>
      </c>
      <c r="J3189" t="s">
        <v>64</v>
      </c>
      <c r="K3189" s="6">
        <v>0.03</v>
      </c>
      <c r="L3189" s="7">
        <f t="shared" si="99"/>
        <v>2E-3</v>
      </c>
      <c r="M3189" s="7">
        <v>3.0000000000000001E-3</v>
      </c>
      <c r="N3189">
        <v>14</v>
      </c>
      <c r="O3189" s="8">
        <v>25.041947314744238</v>
      </c>
      <c r="P3189" s="9">
        <v>25.041947314744238</v>
      </c>
      <c r="Q3189" s="9">
        <v>25.041947314744238</v>
      </c>
      <c r="R3189" s="9">
        <v>27.456353403762161</v>
      </c>
      <c r="S3189" s="9">
        <v>30.106651570134346</v>
      </c>
      <c r="T3189" s="9">
        <v>32.38507785162065</v>
      </c>
      <c r="U3189" s="9">
        <v>39.429466811122886</v>
      </c>
      <c r="V3189" s="9">
        <v>39.429466811122886</v>
      </c>
      <c r="W3189" s="9">
        <v>39.429466811122886</v>
      </c>
      <c r="X3189" s="9">
        <v>47.435574821920561</v>
      </c>
      <c r="Y3189" s="9">
        <v>47.435574821920561</v>
      </c>
      <c r="Z3189" s="9">
        <v>55.548774102684064</v>
      </c>
      <c r="AA3189" s="9">
        <v>55.548774102684064</v>
      </c>
      <c r="AB3189" s="9">
        <v>63.779773780410025</v>
      </c>
      <c r="AC3189" s="9">
        <v>63.779773780410025</v>
      </c>
      <c r="AD3189" s="9">
        <v>74.232976377209724</v>
      </c>
      <c r="AE3189" s="9">
        <v>81.9014230099272</v>
      </c>
      <c r="AF3189" s="9">
        <v>89.711048815832598</v>
      </c>
      <c r="AG3189" s="9">
        <v>89.711048815832598</v>
      </c>
      <c r="AH3189" s="9">
        <v>98.594438447760481</v>
      </c>
      <c r="AI3189" s="9">
        <v>107.25818871858809</v>
      </c>
      <c r="AJ3189" s="9">
        <v>3.0428788910505911</v>
      </c>
    </row>
    <row r="3190" spans="1:36" x14ac:dyDescent="0.25">
      <c r="A3190" t="s">
        <v>5411</v>
      </c>
      <c r="B3190" t="s">
        <v>16</v>
      </c>
      <c r="C3190" t="s">
        <v>17</v>
      </c>
      <c r="D3190">
        <v>62500000</v>
      </c>
      <c r="E3190">
        <v>62529999</v>
      </c>
      <c r="F3190" t="s">
        <v>2865</v>
      </c>
      <c r="G3190" t="str">
        <f t="shared" si="98"/>
        <v>CEI II</v>
      </c>
      <c r="H3190" t="s">
        <v>2815</v>
      </c>
      <c r="I3190" t="s">
        <v>20</v>
      </c>
      <c r="J3190" t="s">
        <v>64</v>
      </c>
      <c r="K3190" s="6">
        <v>0.03</v>
      </c>
      <c r="L3190" s="7">
        <f t="shared" si="99"/>
        <v>2E-3</v>
      </c>
      <c r="M3190" s="7">
        <v>3.0000000000000001E-3</v>
      </c>
      <c r="N3190">
        <v>12</v>
      </c>
      <c r="O3190" s="8">
        <v>25.041947314744238</v>
      </c>
      <c r="P3190" s="9">
        <v>25.041947314744238</v>
      </c>
      <c r="Q3190" s="9">
        <v>25.041947314744238</v>
      </c>
      <c r="R3190" s="9">
        <v>27.456353403762161</v>
      </c>
      <c r="S3190" s="9">
        <v>30.106651570134346</v>
      </c>
      <c r="T3190" s="9">
        <v>32.38507785162065</v>
      </c>
      <c r="U3190" s="9">
        <v>39.429466811122886</v>
      </c>
      <c r="V3190" s="9">
        <v>39.429466811122886</v>
      </c>
      <c r="W3190" s="9">
        <v>39.429466811122886</v>
      </c>
      <c r="X3190" s="9">
        <v>47.435574821920561</v>
      </c>
      <c r="Y3190" s="9">
        <v>47.435574821920561</v>
      </c>
      <c r="Z3190" s="9">
        <v>55.548774102684064</v>
      </c>
      <c r="AA3190" s="9">
        <v>55.548774102684064</v>
      </c>
      <c r="AB3190" s="9">
        <v>63.779773780410025</v>
      </c>
      <c r="AC3190" s="9">
        <v>63.779773780410025</v>
      </c>
      <c r="AD3190" s="9">
        <v>74.232976377209724</v>
      </c>
      <c r="AE3190" s="9">
        <v>81.9014230099272</v>
      </c>
      <c r="AF3190" s="9">
        <v>89.711048815832598</v>
      </c>
      <c r="AG3190" s="9">
        <v>89.711048815832598</v>
      </c>
      <c r="AH3190" s="9">
        <v>98.594438447760481</v>
      </c>
      <c r="AI3190" s="9">
        <v>107.25818871858809</v>
      </c>
      <c r="AJ3190" s="9">
        <v>3.0428788910505911</v>
      </c>
    </row>
    <row r="3191" spans="1:36" x14ac:dyDescent="0.25">
      <c r="A3191" t="s">
        <v>5411</v>
      </c>
      <c r="B3191" t="s">
        <v>16</v>
      </c>
      <c r="C3191" t="s">
        <v>17</v>
      </c>
      <c r="D3191">
        <v>62530000</v>
      </c>
      <c r="E3191">
        <v>62539999</v>
      </c>
      <c r="F3191" t="s">
        <v>2866</v>
      </c>
      <c r="G3191" t="str">
        <f t="shared" si="98"/>
        <v>CEI II</v>
      </c>
      <c r="H3191" t="s">
        <v>2815</v>
      </c>
      <c r="I3191" t="s">
        <v>20</v>
      </c>
      <c r="J3191" t="s">
        <v>64</v>
      </c>
      <c r="K3191" s="6">
        <v>0.03</v>
      </c>
      <c r="L3191" s="7">
        <f t="shared" si="99"/>
        <v>2E-3</v>
      </c>
      <c r="M3191" s="7">
        <v>3.0000000000000001E-3</v>
      </c>
      <c r="N3191">
        <v>14</v>
      </c>
      <c r="O3191" s="8">
        <v>25.041947314744238</v>
      </c>
      <c r="P3191" s="9">
        <v>25.041947314744238</v>
      </c>
      <c r="Q3191" s="9">
        <v>25.041947314744238</v>
      </c>
      <c r="R3191" s="9">
        <v>27.456353403762161</v>
      </c>
      <c r="S3191" s="9">
        <v>30.106651570134346</v>
      </c>
      <c r="T3191" s="9">
        <v>32.38507785162065</v>
      </c>
      <c r="U3191" s="9">
        <v>39.429466811122886</v>
      </c>
      <c r="V3191" s="9">
        <v>39.429466811122886</v>
      </c>
      <c r="W3191" s="9">
        <v>39.429466811122886</v>
      </c>
      <c r="X3191" s="9">
        <v>47.435574821920561</v>
      </c>
      <c r="Y3191" s="9">
        <v>47.435574821920561</v>
      </c>
      <c r="Z3191" s="9">
        <v>55.548774102684064</v>
      </c>
      <c r="AA3191" s="9">
        <v>55.548774102684064</v>
      </c>
      <c r="AB3191" s="9">
        <v>63.779773780410025</v>
      </c>
      <c r="AC3191" s="9">
        <v>63.779773780410025</v>
      </c>
      <c r="AD3191" s="9">
        <v>74.232976377209724</v>
      </c>
      <c r="AE3191" s="9">
        <v>81.9014230099272</v>
      </c>
      <c r="AF3191" s="9">
        <v>89.711048815832598</v>
      </c>
      <c r="AG3191" s="9">
        <v>89.711048815832598</v>
      </c>
      <c r="AH3191" s="9">
        <v>98.594438447760481</v>
      </c>
      <c r="AI3191" s="9">
        <v>107.25818871858809</v>
      </c>
      <c r="AJ3191" s="9">
        <v>3.0428788910505911</v>
      </c>
    </row>
    <row r="3192" spans="1:36" x14ac:dyDescent="0.25">
      <c r="A3192" t="s">
        <v>5411</v>
      </c>
      <c r="B3192" t="s">
        <v>16</v>
      </c>
      <c r="C3192" t="s">
        <v>17</v>
      </c>
      <c r="D3192">
        <v>62540000</v>
      </c>
      <c r="E3192">
        <v>62549999</v>
      </c>
      <c r="F3192" t="s">
        <v>2867</v>
      </c>
      <c r="G3192" t="str">
        <f t="shared" si="98"/>
        <v>CEI II</v>
      </c>
      <c r="H3192" t="s">
        <v>2815</v>
      </c>
      <c r="I3192" t="s">
        <v>20</v>
      </c>
      <c r="J3192" t="s">
        <v>64</v>
      </c>
      <c r="K3192" s="6">
        <v>0.03</v>
      </c>
      <c r="L3192" s="7">
        <f t="shared" si="99"/>
        <v>2E-3</v>
      </c>
      <c r="M3192" s="7">
        <v>3.0000000000000001E-3</v>
      </c>
      <c r="N3192">
        <v>14</v>
      </c>
      <c r="O3192" s="8">
        <v>25.041947314744238</v>
      </c>
      <c r="P3192" s="9">
        <v>25.041947314744238</v>
      </c>
      <c r="Q3192" s="9">
        <v>25.041947314744238</v>
      </c>
      <c r="R3192" s="9">
        <v>27.456353403762161</v>
      </c>
      <c r="S3192" s="9">
        <v>30.106651570134346</v>
      </c>
      <c r="T3192" s="9">
        <v>32.38507785162065</v>
      </c>
      <c r="U3192" s="9">
        <v>39.429466811122886</v>
      </c>
      <c r="V3192" s="9">
        <v>39.429466811122886</v>
      </c>
      <c r="W3192" s="9">
        <v>39.429466811122886</v>
      </c>
      <c r="X3192" s="9">
        <v>47.435574821920561</v>
      </c>
      <c r="Y3192" s="9">
        <v>47.435574821920561</v>
      </c>
      <c r="Z3192" s="9">
        <v>55.548774102684064</v>
      </c>
      <c r="AA3192" s="9">
        <v>55.548774102684064</v>
      </c>
      <c r="AB3192" s="9">
        <v>63.779773780410025</v>
      </c>
      <c r="AC3192" s="9">
        <v>63.779773780410025</v>
      </c>
      <c r="AD3192" s="9">
        <v>74.232976377209724</v>
      </c>
      <c r="AE3192" s="9">
        <v>81.9014230099272</v>
      </c>
      <c r="AF3192" s="9">
        <v>89.711048815832598</v>
      </c>
      <c r="AG3192" s="9">
        <v>89.711048815832598</v>
      </c>
      <c r="AH3192" s="9">
        <v>98.594438447760481</v>
      </c>
      <c r="AI3192" s="9">
        <v>107.25818871858809</v>
      </c>
      <c r="AJ3192" s="9">
        <v>3.0428788910505911</v>
      </c>
    </row>
    <row r="3193" spans="1:36" x14ac:dyDescent="0.25">
      <c r="A3193" t="s">
        <v>5411</v>
      </c>
      <c r="B3193" t="s">
        <v>16</v>
      </c>
      <c r="C3193" t="s">
        <v>17</v>
      </c>
      <c r="D3193">
        <v>62550000</v>
      </c>
      <c r="E3193">
        <v>62559999</v>
      </c>
      <c r="F3193" t="s">
        <v>2868</v>
      </c>
      <c r="G3193" t="str">
        <f t="shared" si="98"/>
        <v>CEI II</v>
      </c>
      <c r="H3193" t="s">
        <v>2815</v>
      </c>
      <c r="I3193" t="s">
        <v>20</v>
      </c>
      <c r="J3193" t="s">
        <v>64</v>
      </c>
      <c r="K3193" s="6">
        <v>0.03</v>
      </c>
      <c r="L3193" s="7">
        <f t="shared" si="99"/>
        <v>2E-3</v>
      </c>
      <c r="M3193" s="7">
        <v>3.0000000000000001E-3</v>
      </c>
      <c r="N3193">
        <v>14</v>
      </c>
      <c r="O3193" s="8">
        <v>25.041947314744238</v>
      </c>
      <c r="P3193" s="9">
        <v>25.041947314744238</v>
      </c>
      <c r="Q3193" s="9">
        <v>25.041947314744238</v>
      </c>
      <c r="R3193" s="9">
        <v>27.456353403762161</v>
      </c>
      <c r="S3193" s="9">
        <v>30.106651570134346</v>
      </c>
      <c r="T3193" s="9">
        <v>32.38507785162065</v>
      </c>
      <c r="U3193" s="9">
        <v>39.429466811122886</v>
      </c>
      <c r="V3193" s="9">
        <v>39.429466811122886</v>
      </c>
      <c r="W3193" s="9">
        <v>39.429466811122886</v>
      </c>
      <c r="X3193" s="9">
        <v>47.435574821920561</v>
      </c>
      <c r="Y3193" s="9">
        <v>47.435574821920561</v>
      </c>
      <c r="Z3193" s="9">
        <v>55.548774102684064</v>
      </c>
      <c r="AA3193" s="9">
        <v>55.548774102684064</v>
      </c>
      <c r="AB3193" s="9">
        <v>63.779773780410025</v>
      </c>
      <c r="AC3193" s="9">
        <v>63.779773780410025</v>
      </c>
      <c r="AD3193" s="9">
        <v>74.232976377209724</v>
      </c>
      <c r="AE3193" s="9">
        <v>81.9014230099272</v>
      </c>
      <c r="AF3193" s="9">
        <v>89.711048815832598</v>
      </c>
      <c r="AG3193" s="9">
        <v>89.711048815832598</v>
      </c>
      <c r="AH3193" s="9">
        <v>98.594438447760481</v>
      </c>
      <c r="AI3193" s="9">
        <v>107.25818871858809</v>
      </c>
      <c r="AJ3193" s="9">
        <v>3.0428788910505911</v>
      </c>
    </row>
    <row r="3194" spans="1:36" x14ac:dyDescent="0.25">
      <c r="A3194" t="s">
        <v>5411</v>
      </c>
      <c r="B3194" t="s">
        <v>16</v>
      </c>
      <c r="C3194" t="s">
        <v>17</v>
      </c>
      <c r="D3194">
        <v>62560000</v>
      </c>
      <c r="E3194">
        <v>62569999</v>
      </c>
      <c r="F3194" t="s">
        <v>2869</v>
      </c>
      <c r="G3194" t="str">
        <f t="shared" si="98"/>
        <v>CEI II</v>
      </c>
      <c r="H3194" t="s">
        <v>2815</v>
      </c>
      <c r="I3194" t="s">
        <v>20</v>
      </c>
      <c r="J3194" t="s">
        <v>64</v>
      </c>
      <c r="K3194" s="6">
        <v>0.03</v>
      </c>
      <c r="L3194" s="7">
        <f t="shared" si="99"/>
        <v>2E-3</v>
      </c>
      <c r="M3194" s="7">
        <v>3.0000000000000001E-3</v>
      </c>
      <c r="N3194">
        <v>14</v>
      </c>
      <c r="O3194" s="8">
        <v>25.041947314744238</v>
      </c>
      <c r="P3194" s="9">
        <v>25.041947314744238</v>
      </c>
      <c r="Q3194" s="9">
        <v>25.041947314744238</v>
      </c>
      <c r="R3194" s="9">
        <v>27.456353403762161</v>
      </c>
      <c r="S3194" s="9">
        <v>30.106651570134346</v>
      </c>
      <c r="T3194" s="9">
        <v>32.38507785162065</v>
      </c>
      <c r="U3194" s="9">
        <v>39.429466811122886</v>
      </c>
      <c r="V3194" s="9">
        <v>39.429466811122886</v>
      </c>
      <c r="W3194" s="9">
        <v>39.429466811122886</v>
      </c>
      <c r="X3194" s="9">
        <v>47.435574821920561</v>
      </c>
      <c r="Y3194" s="9">
        <v>47.435574821920561</v>
      </c>
      <c r="Z3194" s="9">
        <v>55.548774102684064</v>
      </c>
      <c r="AA3194" s="9">
        <v>55.548774102684064</v>
      </c>
      <c r="AB3194" s="9">
        <v>63.779773780410025</v>
      </c>
      <c r="AC3194" s="9">
        <v>63.779773780410025</v>
      </c>
      <c r="AD3194" s="9">
        <v>74.232976377209724</v>
      </c>
      <c r="AE3194" s="9">
        <v>81.9014230099272</v>
      </c>
      <c r="AF3194" s="9">
        <v>89.711048815832598</v>
      </c>
      <c r="AG3194" s="9">
        <v>89.711048815832598</v>
      </c>
      <c r="AH3194" s="9">
        <v>98.594438447760481</v>
      </c>
      <c r="AI3194" s="9">
        <v>107.25818871858809</v>
      </c>
      <c r="AJ3194" s="9">
        <v>3.0428788910505911</v>
      </c>
    </row>
    <row r="3195" spans="1:36" x14ac:dyDescent="0.25">
      <c r="A3195" t="s">
        <v>5411</v>
      </c>
      <c r="B3195" t="s">
        <v>16</v>
      </c>
      <c r="C3195" t="s">
        <v>17</v>
      </c>
      <c r="D3195">
        <v>62570000</v>
      </c>
      <c r="E3195">
        <v>62579999</v>
      </c>
      <c r="F3195" t="s">
        <v>2870</v>
      </c>
      <c r="G3195" t="str">
        <f t="shared" si="98"/>
        <v>CEI II</v>
      </c>
      <c r="H3195" t="s">
        <v>2815</v>
      </c>
      <c r="I3195" t="s">
        <v>20</v>
      </c>
      <c r="J3195" t="s">
        <v>64</v>
      </c>
      <c r="K3195" s="6">
        <v>0.03</v>
      </c>
      <c r="L3195" s="7">
        <f t="shared" si="99"/>
        <v>2E-3</v>
      </c>
      <c r="M3195" s="7">
        <v>3.0000000000000001E-3</v>
      </c>
      <c r="N3195">
        <v>14</v>
      </c>
      <c r="O3195" s="8">
        <v>25.041947314744238</v>
      </c>
      <c r="P3195" s="9">
        <v>25.041947314744238</v>
      </c>
      <c r="Q3195" s="9">
        <v>25.041947314744238</v>
      </c>
      <c r="R3195" s="9">
        <v>27.456353403762161</v>
      </c>
      <c r="S3195" s="9">
        <v>30.106651570134346</v>
      </c>
      <c r="T3195" s="9">
        <v>32.38507785162065</v>
      </c>
      <c r="U3195" s="9">
        <v>39.429466811122886</v>
      </c>
      <c r="V3195" s="9">
        <v>39.429466811122886</v>
      </c>
      <c r="W3195" s="9">
        <v>39.429466811122886</v>
      </c>
      <c r="X3195" s="9">
        <v>47.435574821920561</v>
      </c>
      <c r="Y3195" s="9">
        <v>47.435574821920561</v>
      </c>
      <c r="Z3195" s="9">
        <v>55.548774102684064</v>
      </c>
      <c r="AA3195" s="9">
        <v>55.548774102684064</v>
      </c>
      <c r="AB3195" s="9">
        <v>63.779773780410025</v>
      </c>
      <c r="AC3195" s="9">
        <v>63.779773780410025</v>
      </c>
      <c r="AD3195" s="9">
        <v>74.232976377209724</v>
      </c>
      <c r="AE3195" s="9">
        <v>81.9014230099272</v>
      </c>
      <c r="AF3195" s="9">
        <v>89.711048815832598</v>
      </c>
      <c r="AG3195" s="9">
        <v>89.711048815832598</v>
      </c>
      <c r="AH3195" s="9">
        <v>98.594438447760481</v>
      </c>
      <c r="AI3195" s="9">
        <v>107.25818871858809</v>
      </c>
      <c r="AJ3195" s="9">
        <v>3.0428788910505911</v>
      </c>
    </row>
    <row r="3196" spans="1:36" x14ac:dyDescent="0.25">
      <c r="A3196" t="s">
        <v>5411</v>
      </c>
      <c r="B3196" t="s">
        <v>16</v>
      </c>
      <c r="C3196" t="s">
        <v>17</v>
      </c>
      <c r="D3196">
        <v>62580000</v>
      </c>
      <c r="E3196">
        <v>62589999</v>
      </c>
      <c r="F3196" t="s">
        <v>2871</v>
      </c>
      <c r="G3196" t="str">
        <f t="shared" si="98"/>
        <v>CEI II</v>
      </c>
      <c r="H3196" t="s">
        <v>2815</v>
      </c>
      <c r="I3196" t="s">
        <v>20</v>
      </c>
      <c r="J3196" t="s">
        <v>64</v>
      </c>
      <c r="K3196" s="6">
        <v>0.03</v>
      </c>
      <c r="L3196" s="7">
        <f t="shared" si="99"/>
        <v>2E-3</v>
      </c>
      <c r="M3196" s="7">
        <v>3.0000000000000001E-3</v>
      </c>
      <c r="N3196">
        <v>14</v>
      </c>
      <c r="O3196" s="8">
        <v>25.041947314744238</v>
      </c>
      <c r="P3196" s="9">
        <v>25.041947314744238</v>
      </c>
      <c r="Q3196" s="9">
        <v>25.041947314744238</v>
      </c>
      <c r="R3196" s="9">
        <v>27.456353403762161</v>
      </c>
      <c r="S3196" s="9">
        <v>30.106651570134346</v>
      </c>
      <c r="T3196" s="9">
        <v>32.38507785162065</v>
      </c>
      <c r="U3196" s="9">
        <v>39.429466811122886</v>
      </c>
      <c r="V3196" s="9">
        <v>39.429466811122886</v>
      </c>
      <c r="W3196" s="9">
        <v>39.429466811122886</v>
      </c>
      <c r="X3196" s="9">
        <v>47.435574821920561</v>
      </c>
      <c r="Y3196" s="9">
        <v>47.435574821920561</v>
      </c>
      <c r="Z3196" s="9">
        <v>55.548774102684064</v>
      </c>
      <c r="AA3196" s="9">
        <v>55.548774102684064</v>
      </c>
      <c r="AB3196" s="9">
        <v>63.779773780410025</v>
      </c>
      <c r="AC3196" s="9">
        <v>63.779773780410025</v>
      </c>
      <c r="AD3196" s="9">
        <v>74.232976377209724</v>
      </c>
      <c r="AE3196" s="9">
        <v>81.9014230099272</v>
      </c>
      <c r="AF3196" s="9">
        <v>89.711048815832598</v>
      </c>
      <c r="AG3196" s="9">
        <v>89.711048815832598</v>
      </c>
      <c r="AH3196" s="9">
        <v>98.594438447760481</v>
      </c>
      <c r="AI3196" s="9">
        <v>107.25818871858809</v>
      </c>
      <c r="AJ3196" s="9">
        <v>3.0428788910505911</v>
      </c>
    </row>
    <row r="3197" spans="1:36" x14ac:dyDescent="0.25">
      <c r="A3197" t="s">
        <v>5411</v>
      </c>
      <c r="B3197" t="s">
        <v>16</v>
      </c>
      <c r="C3197" t="s">
        <v>17</v>
      </c>
      <c r="D3197">
        <v>62590000</v>
      </c>
      <c r="E3197">
        <v>62594999</v>
      </c>
      <c r="F3197" t="s">
        <v>2872</v>
      </c>
      <c r="G3197" t="str">
        <f t="shared" si="98"/>
        <v>CEI II</v>
      </c>
      <c r="H3197" t="s">
        <v>2815</v>
      </c>
      <c r="I3197" t="s">
        <v>20</v>
      </c>
      <c r="J3197" t="s">
        <v>64</v>
      </c>
      <c r="K3197" s="6">
        <v>0.03</v>
      </c>
      <c r="L3197" s="7">
        <f t="shared" si="99"/>
        <v>2E-3</v>
      </c>
      <c r="M3197" s="7">
        <v>3.0000000000000001E-3</v>
      </c>
      <c r="N3197">
        <v>14</v>
      </c>
      <c r="O3197" s="8">
        <v>25.041947314744238</v>
      </c>
      <c r="P3197" s="9">
        <v>25.041947314744238</v>
      </c>
      <c r="Q3197" s="9">
        <v>25.041947314744238</v>
      </c>
      <c r="R3197" s="9">
        <v>27.456353403762161</v>
      </c>
      <c r="S3197" s="9">
        <v>30.106651570134346</v>
      </c>
      <c r="T3197" s="9">
        <v>32.38507785162065</v>
      </c>
      <c r="U3197" s="9">
        <v>39.429466811122886</v>
      </c>
      <c r="V3197" s="9">
        <v>39.429466811122886</v>
      </c>
      <c r="W3197" s="9">
        <v>39.429466811122886</v>
      </c>
      <c r="X3197" s="9">
        <v>47.435574821920561</v>
      </c>
      <c r="Y3197" s="9">
        <v>47.435574821920561</v>
      </c>
      <c r="Z3197" s="9">
        <v>55.548774102684064</v>
      </c>
      <c r="AA3197" s="9">
        <v>55.548774102684064</v>
      </c>
      <c r="AB3197" s="9">
        <v>63.779773780410025</v>
      </c>
      <c r="AC3197" s="9">
        <v>63.779773780410025</v>
      </c>
      <c r="AD3197" s="9">
        <v>74.232976377209724</v>
      </c>
      <c r="AE3197" s="9">
        <v>81.9014230099272</v>
      </c>
      <c r="AF3197" s="9">
        <v>89.711048815832598</v>
      </c>
      <c r="AG3197" s="9">
        <v>89.711048815832598</v>
      </c>
      <c r="AH3197" s="9">
        <v>98.594438447760481</v>
      </c>
      <c r="AI3197" s="9">
        <v>107.25818871858809</v>
      </c>
      <c r="AJ3197" s="9">
        <v>3.0428788910505911</v>
      </c>
    </row>
    <row r="3198" spans="1:36" x14ac:dyDescent="0.25">
      <c r="A3198" t="s">
        <v>5411</v>
      </c>
      <c r="B3198" t="s">
        <v>16</v>
      </c>
      <c r="C3198" t="s">
        <v>17</v>
      </c>
      <c r="D3198">
        <v>62595000</v>
      </c>
      <c r="E3198">
        <v>62597999</v>
      </c>
      <c r="F3198" t="s">
        <v>2873</v>
      </c>
      <c r="G3198" t="str">
        <f t="shared" si="98"/>
        <v>CEI II</v>
      </c>
      <c r="H3198" t="s">
        <v>2815</v>
      </c>
      <c r="I3198" t="s">
        <v>20</v>
      </c>
      <c r="J3198" t="s">
        <v>64</v>
      </c>
      <c r="K3198" s="6">
        <v>0.03</v>
      </c>
      <c r="L3198" s="7">
        <f t="shared" si="99"/>
        <v>2E-3</v>
      </c>
      <c r="M3198" s="7">
        <v>3.0000000000000001E-3</v>
      </c>
      <c r="N3198">
        <v>14</v>
      </c>
      <c r="O3198" s="8">
        <v>25.041947314744238</v>
      </c>
      <c r="P3198" s="9">
        <v>25.041947314744238</v>
      </c>
      <c r="Q3198" s="9">
        <v>25.041947314744238</v>
      </c>
      <c r="R3198" s="9">
        <v>27.456353403762161</v>
      </c>
      <c r="S3198" s="9">
        <v>30.106651570134346</v>
      </c>
      <c r="T3198" s="9">
        <v>32.38507785162065</v>
      </c>
      <c r="U3198" s="9">
        <v>39.429466811122886</v>
      </c>
      <c r="V3198" s="9">
        <v>39.429466811122886</v>
      </c>
      <c r="W3198" s="9">
        <v>39.429466811122886</v>
      </c>
      <c r="X3198" s="9">
        <v>47.435574821920561</v>
      </c>
      <c r="Y3198" s="9">
        <v>47.435574821920561</v>
      </c>
      <c r="Z3198" s="9">
        <v>55.548774102684064</v>
      </c>
      <c r="AA3198" s="9">
        <v>55.548774102684064</v>
      </c>
      <c r="AB3198" s="9">
        <v>63.779773780410025</v>
      </c>
      <c r="AC3198" s="9">
        <v>63.779773780410025</v>
      </c>
      <c r="AD3198" s="9">
        <v>74.232976377209724</v>
      </c>
      <c r="AE3198" s="9">
        <v>81.9014230099272</v>
      </c>
      <c r="AF3198" s="9">
        <v>89.711048815832598</v>
      </c>
      <c r="AG3198" s="9">
        <v>89.711048815832598</v>
      </c>
      <c r="AH3198" s="9">
        <v>98.594438447760481</v>
      </c>
      <c r="AI3198" s="9">
        <v>107.25818871858809</v>
      </c>
      <c r="AJ3198" s="9">
        <v>3.0428788910505911</v>
      </c>
    </row>
    <row r="3199" spans="1:36" x14ac:dyDescent="0.25">
      <c r="A3199" t="s">
        <v>5411</v>
      </c>
      <c r="B3199" t="s">
        <v>16</v>
      </c>
      <c r="C3199" t="s">
        <v>17</v>
      </c>
      <c r="D3199">
        <v>62598000</v>
      </c>
      <c r="E3199">
        <v>62599999</v>
      </c>
      <c r="F3199" t="s">
        <v>2874</v>
      </c>
      <c r="G3199" t="str">
        <f t="shared" si="98"/>
        <v>CEI II</v>
      </c>
      <c r="H3199" t="s">
        <v>2815</v>
      </c>
      <c r="I3199" t="s">
        <v>20</v>
      </c>
      <c r="J3199" t="s">
        <v>64</v>
      </c>
      <c r="K3199" s="6">
        <v>0.03</v>
      </c>
      <c r="L3199" s="7">
        <f t="shared" si="99"/>
        <v>2E-3</v>
      </c>
      <c r="M3199" s="7">
        <v>3.0000000000000001E-3</v>
      </c>
      <c r="N3199">
        <v>14</v>
      </c>
      <c r="O3199" s="8">
        <v>25.041947314744238</v>
      </c>
      <c r="P3199" s="9">
        <v>25.041947314744238</v>
      </c>
      <c r="Q3199" s="9">
        <v>25.041947314744238</v>
      </c>
      <c r="R3199" s="9">
        <v>27.456353403762161</v>
      </c>
      <c r="S3199" s="9">
        <v>30.106651570134346</v>
      </c>
      <c r="T3199" s="9">
        <v>32.38507785162065</v>
      </c>
      <c r="U3199" s="9">
        <v>39.429466811122886</v>
      </c>
      <c r="V3199" s="9">
        <v>39.429466811122886</v>
      </c>
      <c r="W3199" s="9">
        <v>39.429466811122886</v>
      </c>
      <c r="X3199" s="9">
        <v>47.435574821920561</v>
      </c>
      <c r="Y3199" s="9">
        <v>47.435574821920561</v>
      </c>
      <c r="Z3199" s="9">
        <v>55.548774102684064</v>
      </c>
      <c r="AA3199" s="9">
        <v>55.548774102684064</v>
      </c>
      <c r="AB3199" s="9">
        <v>63.779773780410025</v>
      </c>
      <c r="AC3199" s="9">
        <v>63.779773780410025</v>
      </c>
      <c r="AD3199" s="9">
        <v>74.232976377209724</v>
      </c>
      <c r="AE3199" s="9">
        <v>81.9014230099272</v>
      </c>
      <c r="AF3199" s="9">
        <v>89.711048815832598</v>
      </c>
      <c r="AG3199" s="9">
        <v>89.711048815832598</v>
      </c>
      <c r="AH3199" s="9">
        <v>98.594438447760481</v>
      </c>
      <c r="AI3199" s="9">
        <v>107.25818871858809</v>
      </c>
      <c r="AJ3199" s="9">
        <v>3.0428788910505911</v>
      </c>
    </row>
    <row r="3200" spans="1:36" x14ac:dyDescent="0.25">
      <c r="A3200" t="s">
        <v>5411</v>
      </c>
      <c r="B3200" t="s">
        <v>16</v>
      </c>
      <c r="C3200" t="s">
        <v>17</v>
      </c>
      <c r="D3200">
        <v>62600000</v>
      </c>
      <c r="E3200">
        <v>62609999</v>
      </c>
      <c r="F3200" t="s">
        <v>2875</v>
      </c>
      <c r="G3200" t="str">
        <f t="shared" si="98"/>
        <v>CEI II</v>
      </c>
      <c r="H3200" t="s">
        <v>2815</v>
      </c>
      <c r="I3200" t="s">
        <v>20</v>
      </c>
      <c r="J3200" t="s">
        <v>64</v>
      </c>
      <c r="K3200" s="6">
        <v>0.03</v>
      </c>
      <c r="L3200" s="7">
        <f t="shared" si="99"/>
        <v>2E-3</v>
      </c>
      <c r="M3200" s="7">
        <v>3.0000000000000001E-3</v>
      </c>
      <c r="N3200">
        <v>14</v>
      </c>
      <c r="O3200" s="8">
        <v>25.041947314744238</v>
      </c>
      <c r="P3200" s="9">
        <v>25.041947314744238</v>
      </c>
      <c r="Q3200" s="9">
        <v>25.041947314744238</v>
      </c>
      <c r="R3200" s="9">
        <v>27.456353403762161</v>
      </c>
      <c r="S3200" s="9">
        <v>30.106651570134346</v>
      </c>
      <c r="T3200" s="9">
        <v>32.38507785162065</v>
      </c>
      <c r="U3200" s="9">
        <v>39.429466811122886</v>
      </c>
      <c r="V3200" s="9">
        <v>39.429466811122886</v>
      </c>
      <c r="W3200" s="9">
        <v>39.429466811122886</v>
      </c>
      <c r="X3200" s="9">
        <v>47.435574821920561</v>
      </c>
      <c r="Y3200" s="9">
        <v>47.435574821920561</v>
      </c>
      <c r="Z3200" s="9">
        <v>55.548774102684064</v>
      </c>
      <c r="AA3200" s="9">
        <v>55.548774102684064</v>
      </c>
      <c r="AB3200" s="9">
        <v>63.779773780410025</v>
      </c>
      <c r="AC3200" s="9">
        <v>63.779773780410025</v>
      </c>
      <c r="AD3200" s="9">
        <v>74.232976377209724</v>
      </c>
      <c r="AE3200" s="9">
        <v>81.9014230099272</v>
      </c>
      <c r="AF3200" s="9">
        <v>89.711048815832598</v>
      </c>
      <c r="AG3200" s="9">
        <v>89.711048815832598</v>
      </c>
      <c r="AH3200" s="9">
        <v>98.594438447760481</v>
      </c>
      <c r="AI3200" s="9">
        <v>107.25818871858809</v>
      </c>
      <c r="AJ3200" s="9">
        <v>3.0428788910505911</v>
      </c>
    </row>
    <row r="3201" spans="1:36" x14ac:dyDescent="0.25">
      <c r="A3201" t="s">
        <v>5411</v>
      </c>
      <c r="B3201" t="s">
        <v>16</v>
      </c>
      <c r="C3201" t="s">
        <v>17</v>
      </c>
      <c r="D3201">
        <v>62610000</v>
      </c>
      <c r="E3201">
        <v>62619999</v>
      </c>
      <c r="F3201" t="s">
        <v>2876</v>
      </c>
      <c r="G3201" t="str">
        <f t="shared" si="98"/>
        <v>CEI II</v>
      </c>
      <c r="H3201" t="s">
        <v>2815</v>
      </c>
      <c r="I3201" t="s">
        <v>20</v>
      </c>
      <c r="J3201" t="s">
        <v>64</v>
      </c>
      <c r="K3201" s="6">
        <v>0.03</v>
      </c>
      <c r="L3201" s="7">
        <f t="shared" si="99"/>
        <v>2E-3</v>
      </c>
      <c r="M3201" s="7">
        <v>3.0000000000000001E-3</v>
      </c>
      <c r="N3201">
        <v>14</v>
      </c>
      <c r="O3201" s="8">
        <v>25.041947314744238</v>
      </c>
      <c r="P3201" s="9">
        <v>25.041947314744238</v>
      </c>
      <c r="Q3201" s="9">
        <v>25.041947314744238</v>
      </c>
      <c r="R3201" s="9">
        <v>27.456353403762161</v>
      </c>
      <c r="S3201" s="9">
        <v>30.106651570134346</v>
      </c>
      <c r="T3201" s="9">
        <v>32.38507785162065</v>
      </c>
      <c r="U3201" s="9">
        <v>39.429466811122886</v>
      </c>
      <c r="V3201" s="9">
        <v>39.429466811122886</v>
      </c>
      <c r="W3201" s="9">
        <v>39.429466811122886</v>
      </c>
      <c r="X3201" s="9">
        <v>47.435574821920561</v>
      </c>
      <c r="Y3201" s="9">
        <v>47.435574821920561</v>
      </c>
      <c r="Z3201" s="9">
        <v>55.548774102684064</v>
      </c>
      <c r="AA3201" s="9">
        <v>55.548774102684064</v>
      </c>
      <c r="AB3201" s="9">
        <v>63.779773780410025</v>
      </c>
      <c r="AC3201" s="9">
        <v>63.779773780410025</v>
      </c>
      <c r="AD3201" s="9">
        <v>74.232976377209724</v>
      </c>
      <c r="AE3201" s="9">
        <v>81.9014230099272</v>
      </c>
      <c r="AF3201" s="9">
        <v>89.711048815832598</v>
      </c>
      <c r="AG3201" s="9">
        <v>89.711048815832598</v>
      </c>
      <c r="AH3201" s="9">
        <v>98.594438447760481</v>
      </c>
      <c r="AI3201" s="9">
        <v>107.25818871858809</v>
      </c>
      <c r="AJ3201" s="9">
        <v>3.0428788910505911</v>
      </c>
    </row>
    <row r="3202" spans="1:36" x14ac:dyDescent="0.25">
      <c r="A3202" t="s">
        <v>5411</v>
      </c>
      <c r="B3202" t="s">
        <v>16</v>
      </c>
      <c r="C3202" t="s">
        <v>17</v>
      </c>
      <c r="D3202">
        <v>62620000</v>
      </c>
      <c r="E3202">
        <v>62629999</v>
      </c>
      <c r="F3202" t="s">
        <v>2877</v>
      </c>
      <c r="G3202" t="str">
        <f t="shared" si="98"/>
        <v>CEI II</v>
      </c>
      <c r="H3202" t="s">
        <v>2815</v>
      </c>
      <c r="I3202" t="s">
        <v>20</v>
      </c>
      <c r="J3202" t="s">
        <v>64</v>
      </c>
      <c r="K3202" s="6">
        <v>0.03</v>
      </c>
      <c r="L3202" s="7">
        <f t="shared" si="99"/>
        <v>2E-3</v>
      </c>
      <c r="M3202" s="7">
        <v>3.0000000000000001E-3</v>
      </c>
      <c r="N3202">
        <v>14</v>
      </c>
      <c r="O3202" s="8">
        <v>25.041947314744238</v>
      </c>
      <c r="P3202" s="9">
        <v>25.041947314744238</v>
      </c>
      <c r="Q3202" s="9">
        <v>25.041947314744238</v>
      </c>
      <c r="R3202" s="9">
        <v>27.456353403762161</v>
      </c>
      <c r="S3202" s="9">
        <v>30.106651570134346</v>
      </c>
      <c r="T3202" s="9">
        <v>32.38507785162065</v>
      </c>
      <c r="U3202" s="9">
        <v>39.429466811122886</v>
      </c>
      <c r="V3202" s="9">
        <v>39.429466811122886</v>
      </c>
      <c r="W3202" s="9">
        <v>39.429466811122886</v>
      </c>
      <c r="X3202" s="9">
        <v>47.435574821920561</v>
      </c>
      <c r="Y3202" s="9">
        <v>47.435574821920561</v>
      </c>
      <c r="Z3202" s="9">
        <v>55.548774102684064</v>
      </c>
      <c r="AA3202" s="9">
        <v>55.548774102684064</v>
      </c>
      <c r="AB3202" s="9">
        <v>63.779773780410025</v>
      </c>
      <c r="AC3202" s="9">
        <v>63.779773780410025</v>
      </c>
      <c r="AD3202" s="9">
        <v>74.232976377209724</v>
      </c>
      <c r="AE3202" s="9">
        <v>81.9014230099272</v>
      </c>
      <c r="AF3202" s="9">
        <v>89.711048815832598</v>
      </c>
      <c r="AG3202" s="9">
        <v>89.711048815832598</v>
      </c>
      <c r="AH3202" s="9">
        <v>98.594438447760481</v>
      </c>
      <c r="AI3202" s="9">
        <v>107.25818871858809</v>
      </c>
      <c r="AJ3202" s="9">
        <v>3.0428788910505911</v>
      </c>
    </row>
    <row r="3203" spans="1:36" x14ac:dyDescent="0.25">
      <c r="A3203" t="s">
        <v>5411</v>
      </c>
      <c r="B3203" t="s">
        <v>16</v>
      </c>
      <c r="C3203" t="s">
        <v>17</v>
      </c>
      <c r="D3203">
        <v>62630000</v>
      </c>
      <c r="E3203">
        <v>62639999</v>
      </c>
      <c r="F3203" t="s">
        <v>2878</v>
      </c>
      <c r="G3203" t="str">
        <f t="shared" si="98"/>
        <v>CEI II</v>
      </c>
      <c r="H3203" t="s">
        <v>2815</v>
      </c>
      <c r="I3203" t="s">
        <v>20</v>
      </c>
      <c r="J3203" t="s">
        <v>64</v>
      </c>
      <c r="K3203" s="6">
        <v>0.03</v>
      </c>
      <c r="L3203" s="7">
        <f t="shared" si="99"/>
        <v>2E-3</v>
      </c>
      <c r="M3203" s="7">
        <v>3.0000000000000001E-3</v>
      </c>
      <c r="N3203">
        <v>14</v>
      </c>
      <c r="O3203" s="8">
        <v>25.041947314744238</v>
      </c>
      <c r="P3203" s="9">
        <v>25.041947314744238</v>
      </c>
      <c r="Q3203" s="9">
        <v>25.041947314744238</v>
      </c>
      <c r="R3203" s="9">
        <v>27.456353403762161</v>
      </c>
      <c r="S3203" s="9">
        <v>30.106651570134346</v>
      </c>
      <c r="T3203" s="9">
        <v>32.38507785162065</v>
      </c>
      <c r="U3203" s="9">
        <v>39.429466811122886</v>
      </c>
      <c r="V3203" s="9">
        <v>39.429466811122886</v>
      </c>
      <c r="W3203" s="9">
        <v>39.429466811122886</v>
      </c>
      <c r="X3203" s="9">
        <v>47.435574821920561</v>
      </c>
      <c r="Y3203" s="9">
        <v>47.435574821920561</v>
      </c>
      <c r="Z3203" s="9">
        <v>55.548774102684064</v>
      </c>
      <c r="AA3203" s="9">
        <v>55.548774102684064</v>
      </c>
      <c r="AB3203" s="9">
        <v>63.779773780410025</v>
      </c>
      <c r="AC3203" s="9">
        <v>63.779773780410025</v>
      </c>
      <c r="AD3203" s="9">
        <v>74.232976377209724</v>
      </c>
      <c r="AE3203" s="9">
        <v>81.9014230099272</v>
      </c>
      <c r="AF3203" s="9">
        <v>89.711048815832598</v>
      </c>
      <c r="AG3203" s="9">
        <v>89.711048815832598</v>
      </c>
      <c r="AH3203" s="9">
        <v>98.594438447760481</v>
      </c>
      <c r="AI3203" s="9">
        <v>107.25818871858809</v>
      </c>
      <c r="AJ3203" s="9">
        <v>3.0428788910505911</v>
      </c>
    </row>
    <row r="3204" spans="1:36" x14ac:dyDescent="0.25">
      <c r="A3204" t="s">
        <v>5411</v>
      </c>
      <c r="B3204" t="s">
        <v>16</v>
      </c>
      <c r="C3204" t="s">
        <v>17</v>
      </c>
      <c r="D3204">
        <v>62640000</v>
      </c>
      <c r="E3204">
        <v>62649999</v>
      </c>
      <c r="F3204" t="s">
        <v>2879</v>
      </c>
      <c r="G3204" t="str">
        <f t="shared" ref="G3204:G3267" si="100">H3204&amp;IF(J3204="CAPITAL","C",IF(J3204="INTERIOR","I",IF(J3204="INTERIOR II","I II","R")))</f>
        <v>CEI II</v>
      </c>
      <c r="H3204" t="s">
        <v>2815</v>
      </c>
      <c r="I3204" t="s">
        <v>20</v>
      </c>
      <c r="J3204" t="s">
        <v>64</v>
      </c>
      <c r="K3204" s="6">
        <v>0.03</v>
      </c>
      <c r="L3204" s="7">
        <f t="shared" ref="L3204:L3267" si="101">IF(I3204="(0) Não",0.2%,3%)</f>
        <v>2E-3</v>
      </c>
      <c r="M3204" s="7">
        <v>3.0000000000000001E-3</v>
      </c>
      <c r="N3204">
        <v>14</v>
      </c>
      <c r="O3204" s="8">
        <v>25.041947314744238</v>
      </c>
      <c r="P3204" s="9">
        <v>25.041947314744238</v>
      </c>
      <c r="Q3204" s="9">
        <v>25.041947314744238</v>
      </c>
      <c r="R3204" s="9">
        <v>27.456353403762161</v>
      </c>
      <c r="S3204" s="9">
        <v>30.106651570134346</v>
      </c>
      <c r="T3204" s="9">
        <v>32.38507785162065</v>
      </c>
      <c r="U3204" s="9">
        <v>39.429466811122886</v>
      </c>
      <c r="V3204" s="9">
        <v>39.429466811122886</v>
      </c>
      <c r="W3204" s="9">
        <v>39.429466811122886</v>
      </c>
      <c r="X3204" s="9">
        <v>47.435574821920561</v>
      </c>
      <c r="Y3204" s="9">
        <v>47.435574821920561</v>
      </c>
      <c r="Z3204" s="9">
        <v>55.548774102684064</v>
      </c>
      <c r="AA3204" s="9">
        <v>55.548774102684064</v>
      </c>
      <c r="AB3204" s="9">
        <v>63.779773780410025</v>
      </c>
      <c r="AC3204" s="9">
        <v>63.779773780410025</v>
      </c>
      <c r="AD3204" s="9">
        <v>74.232976377209724</v>
      </c>
      <c r="AE3204" s="9">
        <v>81.9014230099272</v>
      </c>
      <c r="AF3204" s="9">
        <v>89.711048815832598</v>
      </c>
      <c r="AG3204" s="9">
        <v>89.711048815832598</v>
      </c>
      <c r="AH3204" s="9">
        <v>98.594438447760481</v>
      </c>
      <c r="AI3204" s="9">
        <v>107.25818871858809</v>
      </c>
      <c r="AJ3204" s="9">
        <v>3.0428788910505911</v>
      </c>
    </row>
    <row r="3205" spans="1:36" x14ac:dyDescent="0.25">
      <c r="A3205" t="s">
        <v>5411</v>
      </c>
      <c r="B3205" t="s">
        <v>16</v>
      </c>
      <c r="C3205" t="s">
        <v>17</v>
      </c>
      <c r="D3205">
        <v>62650000</v>
      </c>
      <c r="E3205">
        <v>62654999</v>
      </c>
      <c r="F3205" t="s">
        <v>2880</v>
      </c>
      <c r="G3205" t="str">
        <f t="shared" si="100"/>
        <v>CEI II</v>
      </c>
      <c r="H3205" t="s">
        <v>2815</v>
      </c>
      <c r="I3205" t="s">
        <v>20</v>
      </c>
      <c r="J3205" t="s">
        <v>64</v>
      </c>
      <c r="K3205" s="6">
        <v>0.03</v>
      </c>
      <c r="L3205" s="7">
        <f t="shared" si="101"/>
        <v>2E-3</v>
      </c>
      <c r="M3205" s="7">
        <v>3.0000000000000001E-3</v>
      </c>
      <c r="N3205">
        <v>14</v>
      </c>
      <c r="O3205" s="8">
        <v>25.041947314744238</v>
      </c>
      <c r="P3205" s="9">
        <v>25.041947314744238</v>
      </c>
      <c r="Q3205" s="9">
        <v>25.041947314744238</v>
      </c>
      <c r="R3205" s="9">
        <v>27.456353403762161</v>
      </c>
      <c r="S3205" s="9">
        <v>30.106651570134346</v>
      </c>
      <c r="T3205" s="9">
        <v>32.38507785162065</v>
      </c>
      <c r="U3205" s="9">
        <v>39.429466811122886</v>
      </c>
      <c r="V3205" s="9">
        <v>39.429466811122886</v>
      </c>
      <c r="W3205" s="9">
        <v>39.429466811122886</v>
      </c>
      <c r="X3205" s="9">
        <v>47.435574821920561</v>
      </c>
      <c r="Y3205" s="9">
        <v>47.435574821920561</v>
      </c>
      <c r="Z3205" s="9">
        <v>55.548774102684064</v>
      </c>
      <c r="AA3205" s="9">
        <v>55.548774102684064</v>
      </c>
      <c r="AB3205" s="9">
        <v>63.779773780410025</v>
      </c>
      <c r="AC3205" s="9">
        <v>63.779773780410025</v>
      </c>
      <c r="AD3205" s="9">
        <v>74.232976377209724</v>
      </c>
      <c r="AE3205" s="9">
        <v>81.9014230099272</v>
      </c>
      <c r="AF3205" s="9">
        <v>89.711048815832598</v>
      </c>
      <c r="AG3205" s="9">
        <v>89.711048815832598</v>
      </c>
      <c r="AH3205" s="9">
        <v>98.594438447760481</v>
      </c>
      <c r="AI3205" s="9">
        <v>107.25818871858809</v>
      </c>
      <c r="AJ3205" s="9">
        <v>3.0428788910505911</v>
      </c>
    </row>
    <row r="3206" spans="1:36" x14ac:dyDescent="0.25">
      <c r="A3206" t="s">
        <v>5411</v>
      </c>
      <c r="B3206" t="s">
        <v>16</v>
      </c>
      <c r="C3206" t="s">
        <v>17</v>
      </c>
      <c r="D3206">
        <v>62655000</v>
      </c>
      <c r="E3206">
        <v>62659999</v>
      </c>
      <c r="F3206" t="s">
        <v>2881</v>
      </c>
      <c r="G3206" t="str">
        <f t="shared" si="100"/>
        <v>CEI II</v>
      </c>
      <c r="H3206" t="s">
        <v>2815</v>
      </c>
      <c r="I3206" t="s">
        <v>20</v>
      </c>
      <c r="J3206" t="s">
        <v>64</v>
      </c>
      <c r="K3206" s="6">
        <v>0.03</v>
      </c>
      <c r="L3206" s="7">
        <f t="shared" si="101"/>
        <v>2E-3</v>
      </c>
      <c r="M3206" s="7">
        <v>3.0000000000000001E-3</v>
      </c>
      <c r="N3206">
        <v>14</v>
      </c>
      <c r="O3206" s="8">
        <v>25.041947314744238</v>
      </c>
      <c r="P3206" s="9">
        <v>25.041947314744238</v>
      </c>
      <c r="Q3206" s="9">
        <v>25.041947314744238</v>
      </c>
      <c r="R3206" s="9">
        <v>27.456353403762161</v>
      </c>
      <c r="S3206" s="9">
        <v>30.106651570134346</v>
      </c>
      <c r="T3206" s="9">
        <v>32.38507785162065</v>
      </c>
      <c r="U3206" s="9">
        <v>39.429466811122886</v>
      </c>
      <c r="V3206" s="9">
        <v>39.429466811122886</v>
      </c>
      <c r="W3206" s="9">
        <v>39.429466811122886</v>
      </c>
      <c r="X3206" s="9">
        <v>47.435574821920561</v>
      </c>
      <c r="Y3206" s="9">
        <v>47.435574821920561</v>
      </c>
      <c r="Z3206" s="9">
        <v>55.548774102684064</v>
      </c>
      <c r="AA3206" s="9">
        <v>55.548774102684064</v>
      </c>
      <c r="AB3206" s="9">
        <v>63.779773780410025</v>
      </c>
      <c r="AC3206" s="9">
        <v>63.779773780410025</v>
      </c>
      <c r="AD3206" s="9">
        <v>74.232976377209724</v>
      </c>
      <c r="AE3206" s="9">
        <v>81.9014230099272</v>
      </c>
      <c r="AF3206" s="9">
        <v>89.711048815832598</v>
      </c>
      <c r="AG3206" s="9">
        <v>89.711048815832598</v>
      </c>
      <c r="AH3206" s="9">
        <v>98.594438447760481</v>
      </c>
      <c r="AI3206" s="9">
        <v>107.25818871858809</v>
      </c>
      <c r="AJ3206" s="9">
        <v>3.0428788910505911</v>
      </c>
    </row>
    <row r="3207" spans="1:36" x14ac:dyDescent="0.25">
      <c r="A3207" t="s">
        <v>5411</v>
      </c>
      <c r="B3207" t="s">
        <v>16</v>
      </c>
      <c r="C3207" t="s">
        <v>17</v>
      </c>
      <c r="D3207">
        <v>62660000</v>
      </c>
      <c r="E3207">
        <v>62664999</v>
      </c>
      <c r="F3207" t="s">
        <v>2882</v>
      </c>
      <c r="G3207" t="str">
        <f t="shared" si="100"/>
        <v>CEI II</v>
      </c>
      <c r="H3207" t="s">
        <v>2815</v>
      </c>
      <c r="I3207" t="s">
        <v>20</v>
      </c>
      <c r="J3207" t="s">
        <v>64</v>
      </c>
      <c r="K3207" s="6">
        <v>0.03</v>
      </c>
      <c r="L3207" s="7">
        <f t="shared" si="101"/>
        <v>2E-3</v>
      </c>
      <c r="M3207" s="7">
        <v>3.0000000000000001E-3</v>
      </c>
      <c r="N3207">
        <v>14</v>
      </c>
      <c r="O3207" s="8">
        <v>25.041947314744238</v>
      </c>
      <c r="P3207" s="9">
        <v>25.041947314744238</v>
      </c>
      <c r="Q3207" s="9">
        <v>25.041947314744238</v>
      </c>
      <c r="R3207" s="9">
        <v>27.456353403762161</v>
      </c>
      <c r="S3207" s="9">
        <v>30.106651570134346</v>
      </c>
      <c r="T3207" s="9">
        <v>32.38507785162065</v>
      </c>
      <c r="U3207" s="9">
        <v>39.429466811122886</v>
      </c>
      <c r="V3207" s="9">
        <v>39.429466811122886</v>
      </c>
      <c r="W3207" s="9">
        <v>39.429466811122886</v>
      </c>
      <c r="X3207" s="9">
        <v>47.435574821920561</v>
      </c>
      <c r="Y3207" s="9">
        <v>47.435574821920561</v>
      </c>
      <c r="Z3207" s="9">
        <v>55.548774102684064</v>
      </c>
      <c r="AA3207" s="9">
        <v>55.548774102684064</v>
      </c>
      <c r="AB3207" s="9">
        <v>63.779773780410025</v>
      </c>
      <c r="AC3207" s="9">
        <v>63.779773780410025</v>
      </c>
      <c r="AD3207" s="9">
        <v>74.232976377209724</v>
      </c>
      <c r="AE3207" s="9">
        <v>81.9014230099272</v>
      </c>
      <c r="AF3207" s="9">
        <v>89.711048815832598</v>
      </c>
      <c r="AG3207" s="9">
        <v>89.711048815832598</v>
      </c>
      <c r="AH3207" s="9">
        <v>98.594438447760481</v>
      </c>
      <c r="AI3207" s="9">
        <v>107.25818871858809</v>
      </c>
      <c r="AJ3207" s="9">
        <v>3.0428788910505911</v>
      </c>
    </row>
    <row r="3208" spans="1:36" x14ac:dyDescent="0.25">
      <c r="A3208" t="s">
        <v>5411</v>
      </c>
      <c r="B3208" t="s">
        <v>16</v>
      </c>
      <c r="C3208" t="s">
        <v>17</v>
      </c>
      <c r="D3208">
        <v>62665000</v>
      </c>
      <c r="E3208">
        <v>62669999</v>
      </c>
      <c r="F3208" t="s">
        <v>2883</v>
      </c>
      <c r="G3208" t="str">
        <f t="shared" si="100"/>
        <v>CEI II</v>
      </c>
      <c r="H3208" t="s">
        <v>2815</v>
      </c>
      <c r="I3208" t="s">
        <v>20</v>
      </c>
      <c r="J3208" t="s">
        <v>64</v>
      </c>
      <c r="K3208" s="6">
        <v>0.03</v>
      </c>
      <c r="L3208" s="7">
        <f t="shared" si="101"/>
        <v>2E-3</v>
      </c>
      <c r="M3208" s="7">
        <v>3.0000000000000001E-3</v>
      </c>
      <c r="N3208">
        <v>14</v>
      </c>
      <c r="O3208" s="8">
        <v>25.041947314744238</v>
      </c>
      <c r="P3208" s="9">
        <v>25.041947314744238</v>
      </c>
      <c r="Q3208" s="9">
        <v>25.041947314744238</v>
      </c>
      <c r="R3208" s="9">
        <v>27.456353403762161</v>
      </c>
      <c r="S3208" s="9">
        <v>30.106651570134346</v>
      </c>
      <c r="T3208" s="9">
        <v>32.38507785162065</v>
      </c>
      <c r="U3208" s="9">
        <v>39.429466811122886</v>
      </c>
      <c r="V3208" s="9">
        <v>39.429466811122886</v>
      </c>
      <c r="W3208" s="9">
        <v>39.429466811122886</v>
      </c>
      <c r="X3208" s="9">
        <v>47.435574821920561</v>
      </c>
      <c r="Y3208" s="9">
        <v>47.435574821920561</v>
      </c>
      <c r="Z3208" s="9">
        <v>55.548774102684064</v>
      </c>
      <c r="AA3208" s="9">
        <v>55.548774102684064</v>
      </c>
      <c r="AB3208" s="9">
        <v>63.779773780410025</v>
      </c>
      <c r="AC3208" s="9">
        <v>63.779773780410025</v>
      </c>
      <c r="AD3208" s="9">
        <v>74.232976377209724</v>
      </c>
      <c r="AE3208" s="9">
        <v>81.9014230099272</v>
      </c>
      <c r="AF3208" s="9">
        <v>89.711048815832598</v>
      </c>
      <c r="AG3208" s="9">
        <v>89.711048815832598</v>
      </c>
      <c r="AH3208" s="9">
        <v>98.594438447760481</v>
      </c>
      <c r="AI3208" s="9">
        <v>107.25818871858809</v>
      </c>
      <c r="AJ3208" s="9">
        <v>3.0428788910505911</v>
      </c>
    </row>
    <row r="3209" spans="1:36" x14ac:dyDescent="0.25">
      <c r="A3209" t="s">
        <v>5411</v>
      </c>
      <c r="B3209" t="s">
        <v>16</v>
      </c>
      <c r="C3209" t="s">
        <v>17</v>
      </c>
      <c r="D3209">
        <v>62670000</v>
      </c>
      <c r="E3209">
        <v>62679999</v>
      </c>
      <c r="F3209" t="s">
        <v>2884</v>
      </c>
      <c r="G3209" t="str">
        <f t="shared" si="100"/>
        <v>CEI II</v>
      </c>
      <c r="H3209" t="s">
        <v>2815</v>
      </c>
      <c r="I3209" t="s">
        <v>20</v>
      </c>
      <c r="J3209" t="s">
        <v>64</v>
      </c>
      <c r="K3209" s="6">
        <v>0.03</v>
      </c>
      <c r="L3209" s="7">
        <f t="shared" si="101"/>
        <v>2E-3</v>
      </c>
      <c r="M3209" s="7">
        <v>3.0000000000000001E-3</v>
      </c>
      <c r="N3209">
        <v>14</v>
      </c>
      <c r="O3209" s="8">
        <v>25.041947314744238</v>
      </c>
      <c r="P3209" s="9">
        <v>25.041947314744238</v>
      </c>
      <c r="Q3209" s="9">
        <v>25.041947314744238</v>
      </c>
      <c r="R3209" s="9">
        <v>27.456353403762161</v>
      </c>
      <c r="S3209" s="9">
        <v>30.106651570134346</v>
      </c>
      <c r="T3209" s="9">
        <v>32.38507785162065</v>
      </c>
      <c r="U3209" s="9">
        <v>39.429466811122886</v>
      </c>
      <c r="V3209" s="9">
        <v>39.429466811122886</v>
      </c>
      <c r="W3209" s="9">
        <v>39.429466811122886</v>
      </c>
      <c r="X3209" s="9">
        <v>47.435574821920561</v>
      </c>
      <c r="Y3209" s="9">
        <v>47.435574821920561</v>
      </c>
      <c r="Z3209" s="9">
        <v>55.548774102684064</v>
      </c>
      <c r="AA3209" s="9">
        <v>55.548774102684064</v>
      </c>
      <c r="AB3209" s="9">
        <v>63.779773780410025</v>
      </c>
      <c r="AC3209" s="9">
        <v>63.779773780410025</v>
      </c>
      <c r="AD3209" s="9">
        <v>74.232976377209724</v>
      </c>
      <c r="AE3209" s="9">
        <v>81.9014230099272</v>
      </c>
      <c r="AF3209" s="9">
        <v>89.711048815832598</v>
      </c>
      <c r="AG3209" s="9">
        <v>89.711048815832598</v>
      </c>
      <c r="AH3209" s="9">
        <v>98.594438447760481</v>
      </c>
      <c r="AI3209" s="9">
        <v>107.25818871858809</v>
      </c>
      <c r="AJ3209" s="9">
        <v>3.0428788910505911</v>
      </c>
    </row>
    <row r="3210" spans="1:36" x14ac:dyDescent="0.25">
      <c r="A3210" t="s">
        <v>5411</v>
      </c>
      <c r="B3210" t="s">
        <v>16</v>
      </c>
      <c r="C3210" t="s">
        <v>17</v>
      </c>
      <c r="D3210">
        <v>62680000</v>
      </c>
      <c r="E3210">
        <v>62684999</v>
      </c>
      <c r="F3210" t="s">
        <v>2885</v>
      </c>
      <c r="G3210" t="str">
        <f t="shared" si="100"/>
        <v>CEI II</v>
      </c>
      <c r="H3210" t="s">
        <v>2815</v>
      </c>
      <c r="I3210" t="s">
        <v>20</v>
      </c>
      <c r="J3210" t="s">
        <v>64</v>
      </c>
      <c r="K3210" s="6">
        <v>0.03</v>
      </c>
      <c r="L3210" s="7">
        <f t="shared" si="101"/>
        <v>2E-3</v>
      </c>
      <c r="M3210" s="7">
        <v>3.0000000000000001E-3</v>
      </c>
      <c r="N3210">
        <v>14</v>
      </c>
      <c r="O3210" s="8">
        <v>25.041947314744238</v>
      </c>
      <c r="P3210" s="9">
        <v>25.041947314744238</v>
      </c>
      <c r="Q3210" s="9">
        <v>25.041947314744238</v>
      </c>
      <c r="R3210" s="9">
        <v>27.456353403762161</v>
      </c>
      <c r="S3210" s="9">
        <v>30.106651570134346</v>
      </c>
      <c r="T3210" s="9">
        <v>32.38507785162065</v>
      </c>
      <c r="U3210" s="9">
        <v>39.429466811122886</v>
      </c>
      <c r="V3210" s="9">
        <v>39.429466811122886</v>
      </c>
      <c r="W3210" s="9">
        <v>39.429466811122886</v>
      </c>
      <c r="X3210" s="9">
        <v>47.435574821920561</v>
      </c>
      <c r="Y3210" s="9">
        <v>47.435574821920561</v>
      </c>
      <c r="Z3210" s="9">
        <v>55.548774102684064</v>
      </c>
      <c r="AA3210" s="9">
        <v>55.548774102684064</v>
      </c>
      <c r="AB3210" s="9">
        <v>63.779773780410025</v>
      </c>
      <c r="AC3210" s="9">
        <v>63.779773780410025</v>
      </c>
      <c r="AD3210" s="9">
        <v>74.232976377209724</v>
      </c>
      <c r="AE3210" s="9">
        <v>81.9014230099272</v>
      </c>
      <c r="AF3210" s="9">
        <v>89.711048815832598</v>
      </c>
      <c r="AG3210" s="9">
        <v>89.711048815832598</v>
      </c>
      <c r="AH3210" s="9">
        <v>98.594438447760481</v>
      </c>
      <c r="AI3210" s="9">
        <v>107.25818871858809</v>
      </c>
      <c r="AJ3210" s="9">
        <v>3.0428788910505911</v>
      </c>
    </row>
    <row r="3211" spans="1:36" x14ac:dyDescent="0.25">
      <c r="A3211" t="s">
        <v>5411</v>
      </c>
      <c r="B3211" t="s">
        <v>16</v>
      </c>
      <c r="C3211" t="s">
        <v>17</v>
      </c>
      <c r="D3211">
        <v>62685000</v>
      </c>
      <c r="E3211">
        <v>62689999</v>
      </c>
      <c r="F3211" t="s">
        <v>2886</v>
      </c>
      <c r="G3211" t="str">
        <f t="shared" si="100"/>
        <v>CEI II</v>
      </c>
      <c r="H3211" t="s">
        <v>2815</v>
      </c>
      <c r="I3211" t="s">
        <v>20</v>
      </c>
      <c r="J3211" t="s">
        <v>64</v>
      </c>
      <c r="K3211" s="6">
        <v>0.03</v>
      </c>
      <c r="L3211" s="7">
        <f t="shared" si="101"/>
        <v>2E-3</v>
      </c>
      <c r="M3211" s="7">
        <v>3.0000000000000001E-3</v>
      </c>
      <c r="N3211">
        <v>14</v>
      </c>
      <c r="O3211" s="8">
        <v>25.041947314744238</v>
      </c>
      <c r="P3211" s="9">
        <v>25.041947314744238</v>
      </c>
      <c r="Q3211" s="9">
        <v>25.041947314744238</v>
      </c>
      <c r="R3211" s="9">
        <v>27.456353403762161</v>
      </c>
      <c r="S3211" s="9">
        <v>30.106651570134346</v>
      </c>
      <c r="T3211" s="9">
        <v>32.38507785162065</v>
      </c>
      <c r="U3211" s="9">
        <v>39.429466811122886</v>
      </c>
      <c r="V3211" s="9">
        <v>39.429466811122886</v>
      </c>
      <c r="W3211" s="9">
        <v>39.429466811122886</v>
      </c>
      <c r="X3211" s="9">
        <v>47.435574821920561</v>
      </c>
      <c r="Y3211" s="9">
        <v>47.435574821920561</v>
      </c>
      <c r="Z3211" s="9">
        <v>55.548774102684064</v>
      </c>
      <c r="AA3211" s="9">
        <v>55.548774102684064</v>
      </c>
      <c r="AB3211" s="9">
        <v>63.779773780410025</v>
      </c>
      <c r="AC3211" s="9">
        <v>63.779773780410025</v>
      </c>
      <c r="AD3211" s="9">
        <v>74.232976377209724</v>
      </c>
      <c r="AE3211" s="9">
        <v>81.9014230099272</v>
      </c>
      <c r="AF3211" s="9">
        <v>89.711048815832598</v>
      </c>
      <c r="AG3211" s="9">
        <v>89.711048815832598</v>
      </c>
      <c r="AH3211" s="9">
        <v>98.594438447760481</v>
      </c>
      <c r="AI3211" s="9">
        <v>107.25818871858809</v>
      </c>
      <c r="AJ3211" s="9">
        <v>3.0428788910505911</v>
      </c>
    </row>
    <row r="3212" spans="1:36" x14ac:dyDescent="0.25">
      <c r="A3212" t="s">
        <v>5411</v>
      </c>
      <c r="B3212" t="s">
        <v>16</v>
      </c>
      <c r="C3212" t="s">
        <v>17</v>
      </c>
      <c r="D3212">
        <v>62690000</v>
      </c>
      <c r="E3212">
        <v>62699999</v>
      </c>
      <c r="F3212" t="s">
        <v>2887</v>
      </c>
      <c r="G3212" t="str">
        <f t="shared" si="100"/>
        <v>CEI II</v>
      </c>
      <c r="H3212" t="s">
        <v>2815</v>
      </c>
      <c r="I3212" t="s">
        <v>20</v>
      </c>
      <c r="J3212" t="s">
        <v>64</v>
      </c>
      <c r="K3212" s="6">
        <v>0.03</v>
      </c>
      <c r="L3212" s="7">
        <f t="shared" si="101"/>
        <v>2E-3</v>
      </c>
      <c r="M3212" s="7">
        <v>3.0000000000000001E-3</v>
      </c>
      <c r="N3212">
        <v>14</v>
      </c>
      <c r="O3212" s="8">
        <v>25.041947314744238</v>
      </c>
      <c r="P3212" s="9">
        <v>25.041947314744238</v>
      </c>
      <c r="Q3212" s="9">
        <v>25.041947314744238</v>
      </c>
      <c r="R3212" s="9">
        <v>27.456353403762161</v>
      </c>
      <c r="S3212" s="9">
        <v>30.106651570134346</v>
      </c>
      <c r="T3212" s="9">
        <v>32.38507785162065</v>
      </c>
      <c r="U3212" s="9">
        <v>39.429466811122886</v>
      </c>
      <c r="V3212" s="9">
        <v>39.429466811122886</v>
      </c>
      <c r="W3212" s="9">
        <v>39.429466811122886</v>
      </c>
      <c r="X3212" s="9">
        <v>47.435574821920561</v>
      </c>
      <c r="Y3212" s="9">
        <v>47.435574821920561</v>
      </c>
      <c r="Z3212" s="9">
        <v>55.548774102684064</v>
      </c>
      <c r="AA3212" s="9">
        <v>55.548774102684064</v>
      </c>
      <c r="AB3212" s="9">
        <v>63.779773780410025</v>
      </c>
      <c r="AC3212" s="9">
        <v>63.779773780410025</v>
      </c>
      <c r="AD3212" s="9">
        <v>74.232976377209724</v>
      </c>
      <c r="AE3212" s="9">
        <v>81.9014230099272</v>
      </c>
      <c r="AF3212" s="9">
        <v>89.711048815832598</v>
      </c>
      <c r="AG3212" s="9">
        <v>89.711048815832598</v>
      </c>
      <c r="AH3212" s="9">
        <v>98.594438447760481</v>
      </c>
      <c r="AI3212" s="9">
        <v>107.25818871858809</v>
      </c>
      <c r="AJ3212" s="9">
        <v>3.0428788910505911</v>
      </c>
    </row>
    <row r="3213" spans="1:36" x14ac:dyDescent="0.25">
      <c r="A3213" t="s">
        <v>5411</v>
      </c>
      <c r="B3213" t="s">
        <v>16</v>
      </c>
      <c r="C3213" t="s">
        <v>17</v>
      </c>
      <c r="D3213">
        <v>62700000</v>
      </c>
      <c r="E3213">
        <v>62719999</v>
      </c>
      <c r="F3213" t="s">
        <v>2888</v>
      </c>
      <c r="G3213" t="str">
        <f t="shared" si="100"/>
        <v>CEI II</v>
      </c>
      <c r="H3213" t="s">
        <v>2815</v>
      </c>
      <c r="I3213" t="s">
        <v>20</v>
      </c>
      <c r="J3213" t="s">
        <v>64</v>
      </c>
      <c r="K3213" s="6">
        <v>0.03</v>
      </c>
      <c r="L3213" s="7">
        <f t="shared" si="101"/>
        <v>2E-3</v>
      </c>
      <c r="M3213" s="7">
        <v>3.0000000000000001E-3</v>
      </c>
      <c r="N3213">
        <v>14</v>
      </c>
      <c r="O3213" s="8">
        <v>25.041947314744238</v>
      </c>
      <c r="P3213" s="9">
        <v>25.041947314744238</v>
      </c>
      <c r="Q3213" s="9">
        <v>25.041947314744238</v>
      </c>
      <c r="R3213" s="9">
        <v>27.456353403762161</v>
      </c>
      <c r="S3213" s="9">
        <v>30.106651570134346</v>
      </c>
      <c r="T3213" s="9">
        <v>32.38507785162065</v>
      </c>
      <c r="U3213" s="9">
        <v>39.429466811122886</v>
      </c>
      <c r="V3213" s="9">
        <v>39.429466811122886</v>
      </c>
      <c r="W3213" s="9">
        <v>39.429466811122886</v>
      </c>
      <c r="X3213" s="9">
        <v>47.435574821920561</v>
      </c>
      <c r="Y3213" s="9">
        <v>47.435574821920561</v>
      </c>
      <c r="Z3213" s="9">
        <v>55.548774102684064</v>
      </c>
      <c r="AA3213" s="9">
        <v>55.548774102684064</v>
      </c>
      <c r="AB3213" s="9">
        <v>63.779773780410025</v>
      </c>
      <c r="AC3213" s="9">
        <v>63.779773780410025</v>
      </c>
      <c r="AD3213" s="9">
        <v>74.232976377209724</v>
      </c>
      <c r="AE3213" s="9">
        <v>81.9014230099272</v>
      </c>
      <c r="AF3213" s="9">
        <v>89.711048815832598</v>
      </c>
      <c r="AG3213" s="9">
        <v>89.711048815832598</v>
      </c>
      <c r="AH3213" s="9">
        <v>98.594438447760481</v>
      </c>
      <c r="AI3213" s="9">
        <v>107.25818871858809</v>
      </c>
      <c r="AJ3213" s="9">
        <v>3.0428788910505911</v>
      </c>
    </row>
    <row r="3214" spans="1:36" x14ac:dyDescent="0.25">
      <c r="A3214" t="s">
        <v>5411</v>
      </c>
      <c r="B3214" t="s">
        <v>16</v>
      </c>
      <c r="C3214" t="s">
        <v>17</v>
      </c>
      <c r="D3214">
        <v>62720000</v>
      </c>
      <c r="E3214">
        <v>62729999</v>
      </c>
      <c r="F3214" t="s">
        <v>2889</v>
      </c>
      <c r="G3214" t="str">
        <f t="shared" si="100"/>
        <v>CEI II</v>
      </c>
      <c r="H3214" t="s">
        <v>2815</v>
      </c>
      <c r="I3214" t="s">
        <v>20</v>
      </c>
      <c r="J3214" t="s">
        <v>64</v>
      </c>
      <c r="K3214" s="6">
        <v>0.03</v>
      </c>
      <c r="L3214" s="7">
        <f t="shared" si="101"/>
        <v>2E-3</v>
      </c>
      <c r="M3214" s="7">
        <v>3.0000000000000001E-3</v>
      </c>
      <c r="N3214">
        <v>15</v>
      </c>
      <c r="O3214" s="8">
        <v>25.041947314744238</v>
      </c>
      <c r="P3214" s="9">
        <v>25.041947314744238</v>
      </c>
      <c r="Q3214" s="9">
        <v>25.041947314744238</v>
      </c>
      <c r="R3214" s="9">
        <v>27.456353403762161</v>
      </c>
      <c r="S3214" s="9">
        <v>30.106651570134346</v>
      </c>
      <c r="T3214" s="9">
        <v>32.38507785162065</v>
      </c>
      <c r="U3214" s="9">
        <v>39.429466811122886</v>
      </c>
      <c r="V3214" s="9">
        <v>39.429466811122886</v>
      </c>
      <c r="W3214" s="9">
        <v>39.429466811122886</v>
      </c>
      <c r="X3214" s="9">
        <v>47.435574821920561</v>
      </c>
      <c r="Y3214" s="9">
        <v>47.435574821920561</v>
      </c>
      <c r="Z3214" s="9">
        <v>55.548774102684064</v>
      </c>
      <c r="AA3214" s="9">
        <v>55.548774102684064</v>
      </c>
      <c r="AB3214" s="9">
        <v>63.779773780410025</v>
      </c>
      <c r="AC3214" s="9">
        <v>63.779773780410025</v>
      </c>
      <c r="AD3214" s="9">
        <v>74.232976377209724</v>
      </c>
      <c r="AE3214" s="9">
        <v>81.9014230099272</v>
      </c>
      <c r="AF3214" s="9">
        <v>89.711048815832598</v>
      </c>
      <c r="AG3214" s="9">
        <v>89.711048815832598</v>
      </c>
      <c r="AH3214" s="9">
        <v>98.594438447760481</v>
      </c>
      <c r="AI3214" s="9">
        <v>107.25818871858809</v>
      </c>
      <c r="AJ3214" s="9">
        <v>3.0428788910505911</v>
      </c>
    </row>
    <row r="3215" spans="1:36" x14ac:dyDescent="0.25">
      <c r="A3215" t="s">
        <v>5411</v>
      </c>
      <c r="B3215" t="s">
        <v>16</v>
      </c>
      <c r="C3215" t="s">
        <v>17</v>
      </c>
      <c r="D3215">
        <v>62730000</v>
      </c>
      <c r="E3215">
        <v>62735999</v>
      </c>
      <c r="F3215" t="s">
        <v>2890</v>
      </c>
      <c r="G3215" t="str">
        <f t="shared" si="100"/>
        <v>CEI II</v>
      </c>
      <c r="H3215" t="s">
        <v>2815</v>
      </c>
      <c r="I3215" t="s">
        <v>20</v>
      </c>
      <c r="J3215" t="s">
        <v>64</v>
      </c>
      <c r="K3215" s="6">
        <v>0.03</v>
      </c>
      <c r="L3215" s="7">
        <f t="shared" si="101"/>
        <v>2E-3</v>
      </c>
      <c r="M3215" s="7">
        <v>3.0000000000000001E-3</v>
      </c>
      <c r="N3215">
        <v>14</v>
      </c>
      <c r="O3215" s="8">
        <v>25.041947314744238</v>
      </c>
      <c r="P3215" s="9">
        <v>25.041947314744238</v>
      </c>
      <c r="Q3215" s="9">
        <v>25.041947314744238</v>
      </c>
      <c r="R3215" s="9">
        <v>27.456353403762161</v>
      </c>
      <c r="S3215" s="9">
        <v>30.106651570134346</v>
      </c>
      <c r="T3215" s="9">
        <v>32.38507785162065</v>
      </c>
      <c r="U3215" s="9">
        <v>39.429466811122886</v>
      </c>
      <c r="V3215" s="9">
        <v>39.429466811122886</v>
      </c>
      <c r="W3215" s="9">
        <v>39.429466811122886</v>
      </c>
      <c r="X3215" s="9">
        <v>47.435574821920561</v>
      </c>
      <c r="Y3215" s="9">
        <v>47.435574821920561</v>
      </c>
      <c r="Z3215" s="9">
        <v>55.548774102684064</v>
      </c>
      <c r="AA3215" s="9">
        <v>55.548774102684064</v>
      </c>
      <c r="AB3215" s="9">
        <v>63.779773780410025</v>
      </c>
      <c r="AC3215" s="9">
        <v>63.779773780410025</v>
      </c>
      <c r="AD3215" s="9">
        <v>74.232976377209724</v>
      </c>
      <c r="AE3215" s="9">
        <v>81.9014230099272</v>
      </c>
      <c r="AF3215" s="9">
        <v>89.711048815832598</v>
      </c>
      <c r="AG3215" s="9">
        <v>89.711048815832598</v>
      </c>
      <c r="AH3215" s="9">
        <v>98.594438447760481</v>
      </c>
      <c r="AI3215" s="9">
        <v>107.25818871858809</v>
      </c>
      <c r="AJ3215" s="9">
        <v>3.0428788910505911</v>
      </c>
    </row>
    <row r="3216" spans="1:36" x14ac:dyDescent="0.25">
      <c r="A3216" t="s">
        <v>5411</v>
      </c>
      <c r="B3216" t="s">
        <v>16</v>
      </c>
      <c r="C3216" t="s">
        <v>17</v>
      </c>
      <c r="D3216">
        <v>62736000</v>
      </c>
      <c r="E3216">
        <v>62737999</v>
      </c>
      <c r="F3216" t="s">
        <v>2891</v>
      </c>
      <c r="G3216" t="str">
        <f t="shared" si="100"/>
        <v>CEI II</v>
      </c>
      <c r="H3216" t="s">
        <v>2815</v>
      </c>
      <c r="I3216" t="s">
        <v>20</v>
      </c>
      <c r="J3216" t="s">
        <v>64</v>
      </c>
      <c r="K3216" s="6">
        <v>0.03</v>
      </c>
      <c r="L3216" s="7">
        <f t="shared" si="101"/>
        <v>2E-3</v>
      </c>
      <c r="M3216" s="7">
        <v>3.0000000000000001E-3</v>
      </c>
      <c r="N3216">
        <v>14</v>
      </c>
      <c r="O3216" s="8">
        <v>25.041947314744238</v>
      </c>
      <c r="P3216" s="9">
        <v>25.041947314744238</v>
      </c>
      <c r="Q3216" s="9">
        <v>25.041947314744238</v>
      </c>
      <c r="R3216" s="9">
        <v>27.456353403762161</v>
      </c>
      <c r="S3216" s="9">
        <v>30.106651570134346</v>
      </c>
      <c r="T3216" s="9">
        <v>32.38507785162065</v>
      </c>
      <c r="U3216" s="9">
        <v>39.429466811122886</v>
      </c>
      <c r="V3216" s="9">
        <v>39.429466811122886</v>
      </c>
      <c r="W3216" s="9">
        <v>39.429466811122886</v>
      </c>
      <c r="X3216" s="9">
        <v>47.435574821920561</v>
      </c>
      <c r="Y3216" s="9">
        <v>47.435574821920561</v>
      </c>
      <c r="Z3216" s="9">
        <v>55.548774102684064</v>
      </c>
      <c r="AA3216" s="9">
        <v>55.548774102684064</v>
      </c>
      <c r="AB3216" s="9">
        <v>63.779773780410025</v>
      </c>
      <c r="AC3216" s="9">
        <v>63.779773780410025</v>
      </c>
      <c r="AD3216" s="9">
        <v>74.232976377209724</v>
      </c>
      <c r="AE3216" s="9">
        <v>81.9014230099272</v>
      </c>
      <c r="AF3216" s="9">
        <v>89.711048815832598</v>
      </c>
      <c r="AG3216" s="9">
        <v>89.711048815832598</v>
      </c>
      <c r="AH3216" s="9">
        <v>98.594438447760481</v>
      </c>
      <c r="AI3216" s="9">
        <v>107.25818871858809</v>
      </c>
      <c r="AJ3216" s="9">
        <v>3.0428788910505911</v>
      </c>
    </row>
    <row r="3217" spans="1:36" x14ac:dyDescent="0.25">
      <c r="A3217" t="s">
        <v>5411</v>
      </c>
      <c r="B3217" t="s">
        <v>16</v>
      </c>
      <c r="C3217" t="s">
        <v>17</v>
      </c>
      <c r="D3217">
        <v>62738000</v>
      </c>
      <c r="E3217">
        <v>62739999</v>
      </c>
      <c r="F3217" t="s">
        <v>2892</v>
      </c>
      <c r="G3217" t="str">
        <f t="shared" si="100"/>
        <v>CEI II</v>
      </c>
      <c r="H3217" t="s">
        <v>2815</v>
      </c>
      <c r="I3217" t="s">
        <v>20</v>
      </c>
      <c r="J3217" t="s">
        <v>64</v>
      </c>
      <c r="K3217" s="6">
        <v>0.03</v>
      </c>
      <c r="L3217" s="7">
        <f t="shared" si="101"/>
        <v>2E-3</v>
      </c>
      <c r="M3217" s="7">
        <v>3.0000000000000001E-3</v>
      </c>
      <c r="N3217">
        <v>14</v>
      </c>
      <c r="O3217" s="8">
        <v>25.041947314744238</v>
      </c>
      <c r="P3217" s="9">
        <v>25.041947314744238</v>
      </c>
      <c r="Q3217" s="9">
        <v>25.041947314744238</v>
      </c>
      <c r="R3217" s="9">
        <v>27.456353403762161</v>
      </c>
      <c r="S3217" s="9">
        <v>30.106651570134346</v>
      </c>
      <c r="T3217" s="9">
        <v>32.38507785162065</v>
      </c>
      <c r="U3217" s="9">
        <v>39.429466811122886</v>
      </c>
      <c r="V3217" s="9">
        <v>39.429466811122886</v>
      </c>
      <c r="W3217" s="9">
        <v>39.429466811122886</v>
      </c>
      <c r="X3217" s="9">
        <v>47.435574821920561</v>
      </c>
      <c r="Y3217" s="9">
        <v>47.435574821920561</v>
      </c>
      <c r="Z3217" s="9">
        <v>55.548774102684064</v>
      </c>
      <c r="AA3217" s="9">
        <v>55.548774102684064</v>
      </c>
      <c r="AB3217" s="9">
        <v>63.779773780410025</v>
      </c>
      <c r="AC3217" s="9">
        <v>63.779773780410025</v>
      </c>
      <c r="AD3217" s="9">
        <v>74.232976377209724</v>
      </c>
      <c r="AE3217" s="9">
        <v>81.9014230099272</v>
      </c>
      <c r="AF3217" s="9">
        <v>89.711048815832598</v>
      </c>
      <c r="AG3217" s="9">
        <v>89.711048815832598</v>
      </c>
      <c r="AH3217" s="9">
        <v>98.594438447760481</v>
      </c>
      <c r="AI3217" s="9">
        <v>107.25818871858809</v>
      </c>
      <c r="AJ3217" s="9">
        <v>3.0428788910505911</v>
      </c>
    </row>
    <row r="3218" spans="1:36" x14ac:dyDescent="0.25">
      <c r="A3218" t="s">
        <v>5411</v>
      </c>
      <c r="B3218" t="s">
        <v>16</v>
      </c>
      <c r="C3218" t="s">
        <v>17</v>
      </c>
      <c r="D3218">
        <v>62740000</v>
      </c>
      <c r="E3218">
        <v>62747999</v>
      </c>
      <c r="F3218" t="s">
        <v>2893</v>
      </c>
      <c r="G3218" t="str">
        <f t="shared" si="100"/>
        <v>CEI II</v>
      </c>
      <c r="H3218" t="s">
        <v>2815</v>
      </c>
      <c r="I3218" t="s">
        <v>20</v>
      </c>
      <c r="J3218" t="s">
        <v>64</v>
      </c>
      <c r="K3218" s="6">
        <v>0.03</v>
      </c>
      <c r="L3218" s="7">
        <f t="shared" si="101"/>
        <v>2E-3</v>
      </c>
      <c r="M3218" s="7">
        <v>3.0000000000000001E-3</v>
      </c>
      <c r="N3218">
        <v>14</v>
      </c>
      <c r="O3218" s="8">
        <v>25.041947314744238</v>
      </c>
      <c r="P3218" s="9">
        <v>25.041947314744238</v>
      </c>
      <c r="Q3218" s="9">
        <v>25.041947314744238</v>
      </c>
      <c r="R3218" s="9">
        <v>27.456353403762161</v>
      </c>
      <c r="S3218" s="9">
        <v>30.106651570134346</v>
      </c>
      <c r="T3218" s="9">
        <v>32.38507785162065</v>
      </c>
      <c r="U3218" s="9">
        <v>39.429466811122886</v>
      </c>
      <c r="V3218" s="9">
        <v>39.429466811122886</v>
      </c>
      <c r="W3218" s="9">
        <v>39.429466811122886</v>
      </c>
      <c r="X3218" s="9">
        <v>47.435574821920561</v>
      </c>
      <c r="Y3218" s="9">
        <v>47.435574821920561</v>
      </c>
      <c r="Z3218" s="9">
        <v>55.548774102684064</v>
      </c>
      <c r="AA3218" s="9">
        <v>55.548774102684064</v>
      </c>
      <c r="AB3218" s="9">
        <v>63.779773780410025</v>
      </c>
      <c r="AC3218" s="9">
        <v>63.779773780410025</v>
      </c>
      <c r="AD3218" s="9">
        <v>74.232976377209724</v>
      </c>
      <c r="AE3218" s="9">
        <v>81.9014230099272</v>
      </c>
      <c r="AF3218" s="9">
        <v>89.711048815832598</v>
      </c>
      <c r="AG3218" s="9">
        <v>89.711048815832598</v>
      </c>
      <c r="AH3218" s="9">
        <v>98.594438447760481</v>
      </c>
      <c r="AI3218" s="9">
        <v>107.25818871858809</v>
      </c>
      <c r="AJ3218" s="9">
        <v>3.0428788910505911</v>
      </c>
    </row>
    <row r="3219" spans="1:36" x14ac:dyDescent="0.25">
      <c r="A3219" t="s">
        <v>5411</v>
      </c>
      <c r="B3219" t="s">
        <v>16</v>
      </c>
      <c r="C3219" t="s">
        <v>17</v>
      </c>
      <c r="D3219">
        <v>62748000</v>
      </c>
      <c r="E3219">
        <v>62749999</v>
      </c>
      <c r="F3219" t="s">
        <v>2894</v>
      </c>
      <c r="G3219" t="str">
        <f t="shared" si="100"/>
        <v>CEI II</v>
      </c>
      <c r="H3219" t="s">
        <v>2815</v>
      </c>
      <c r="I3219" t="s">
        <v>20</v>
      </c>
      <c r="J3219" t="s">
        <v>64</v>
      </c>
      <c r="K3219" s="6">
        <v>0.03</v>
      </c>
      <c r="L3219" s="7">
        <f t="shared" si="101"/>
        <v>2E-3</v>
      </c>
      <c r="M3219" s="7">
        <v>3.0000000000000001E-3</v>
      </c>
      <c r="N3219">
        <v>14</v>
      </c>
      <c r="O3219" s="8">
        <v>25.041947314744238</v>
      </c>
      <c r="P3219" s="9">
        <v>25.041947314744238</v>
      </c>
      <c r="Q3219" s="9">
        <v>25.041947314744238</v>
      </c>
      <c r="R3219" s="9">
        <v>27.456353403762161</v>
      </c>
      <c r="S3219" s="9">
        <v>30.106651570134346</v>
      </c>
      <c r="T3219" s="9">
        <v>32.38507785162065</v>
      </c>
      <c r="U3219" s="9">
        <v>39.429466811122886</v>
      </c>
      <c r="V3219" s="9">
        <v>39.429466811122886</v>
      </c>
      <c r="W3219" s="9">
        <v>39.429466811122886</v>
      </c>
      <c r="X3219" s="9">
        <v>47.435574821920561</v>
      </c>
      <c r="Y3219" s="9">
        <v>47.435574821920561</v>
      </c>
      <c r="Z3219" s="9">
        <v>55.548774102684064</v>
      </c>
      <c r="AA3219" s="9">
        <v>55.548774102684064</v>
      </c>
      <c r="AB3219" s="9">
        <v>63.779773780410025</v>
      </c>
      <c r="AC3219" s="9">
        <v>63.779773780410025</v>
      </c>
      <c r="AD3219" s="9">
        <v>74.232976377209724</v>
      </c>
      <c r="AE3219" s="9">
        <v>81.9014230099272</v>
      </c>
      <c r="AF3219" s="9">
        <v>89.711048815832598</v>
      </c>
      <c r="AG3219" s="9">
        <v>89.711048815832598</v>
      </c>
      <c r="AH3219" s="9">
        <v>98.594438447760481</v>
      </c>
      <c r="AI3219" s="9">
        <v>107.25818871858809</v>
      </c>
      <c r="AJ3219" s="9">
        <v>3.0428788910505911</v>
      </c>
    </row>
    <row r="3220" spans="1:36" x14ac:dyDescent="0.25">
      <c r="A3220" t="s">
        <v>5411</v>
      </c>
      <c r="B3220" t="s">
        <v>16</v>
      </c>
      <c r="C3220" t="s">
        <v>17</v>
      </c>
      <c r="D3220">
        <v>62750000</v>
      </c>
      <c r="E3220">
        <v>62754999</v>
      </c>
      <c r="F3220" t="s">
        <v>2199</v>
      </c>
      <c r="G3220" t="str">
        <f t="shared" si="100"/>
        <v>CEI II</v>
      </c>
      <c r="H3220" t="s">
        <v>2815</v>
      </c>
      <c r="I3220" t="s">
        <v>20</v>
      </c>
      <c r="J3220" t="s">
        <v>64</v>
      </c>
      <c r="K3220" s="6">
        <v>0.03</v>
      </c>
      <c r="L3220" s="7">
        <f t="shared" si="101"/>
        <v>2E-3</v>
      </c>
      <c r="M3220" s="7">
        <v>3.0000000000000001E-3</v>
      </c>
      <c r="N3220">
        <v>14</v>
      </c>
      <c r="O3220" s="8">
        <v>25.041947314744238</v>
      </c>
      <c r="P3220" s="9">
        <v>25.041947314744238</v>
      </c>
      <c r="Q3220" s="9">
        <v>25.041947314744238</v>
      </c>
      <c r="R3220" s="9">
        <v>27.456353403762161</v>
      </c>
      <c r="S3220" s="9">
        <v>30.106651570134346</v>
      </c>
      <c r="T3220" s="9">
        <v>32.38507785162065</v>
      </c>
      <c r="U3220" s="9">
        <v>39.429466811122886</v>
      </c>
      <c r="V3220" s="9">
        <v>39.429466811122886</v>
      </c>
      <c r="W3220" s="9">
        <v>39.429466811122886</v>
      </c>
      <c r="X3220" s="9">
        <v>47.435574821920561</v>
      </c>
      <c r="Y3220" s="9">
        <v>47.435574821920561</v>
      </c>
      <c r="Z3220" s="9">
        <v>55.548774102684064</v>
      </c>
      <c r="AA3220" s="9">
        <v>55.548774102684064</v>
      </c>
      <c r="AB3220" s="9">
        <v>63.779773780410025</v>
      </c>
      <c r="AC3220" s="9">
        <v>63.779773780410025</v>
      </c>
      <c r="AD3220" s="9">
        <v>74.232976377209724</v>
      </c>
      <c r="AE3220" s="9">
        <v>81.9014230099272</v>
      </c>
      <c r="AF3220" s="9">
        <v>89.711048815832598</v>
      </c>
      <c r="AG3220" s="9">
        <v>89.711048815832598</v>
      </c>
      <c r="AH3220" s="9">
        <v>98.594438447760481</v>
      </c>
      <c r="AI3220" s="9">
        <v>107.25818871858809</v>
      </c>
      <c r="AJ3220" s="9">
        <v>3.0428788910505911</v>
      </c>
    </row>
    <row r="3221" spans="1:36" x14ac:dyDescent="0.25">
      <c r="A3221" t="s">
        <v>5411</v>
      </c>
      <c r="B3221" t="s">
        <v>16</v>
      </c>
      <c r="C3221" t="s">
        <v>17</v>
      </c>
      <c r="D3221">
        <v>62755000</v>
      </c>
      <c r="E3221">
        <v>62759999</v>
      </c>
      <c r="F3221" t="s">
        <v>2895</v>
      </c>
      <c r="G3221" t="str">
        <f t="shared" si="100"/>
        <v>CEI II</v>
      </c>
      <c r="H3221" t="s">
        <v>2815</v>
      </c>
      <c r="I3221" t="s">
        <v>20</v>
      </c>
      <c r="J3221" t="s">
        <v>64</v>
      </c>
      <c r="K3221" s="6">
        <v>0.03</v>
      </c>
      <c r="L3221" s="7">
        <f t="shared" si="101"/>
        <v>2E-3</v>
      </c>
      <c r="M3221" s="7">
        <v>3.0000000000000001E-3</v>
      </c>
      <c r="N3221">
        <v>14</v>
      </c>
      <c r="O3221" s="8">
        <v>25.041947314744238</v>
      </c>
      <c r="P3221" s="9">
        <v>25.041947314744238</v>
      </c>
      <c r="Q3221" s="9">
        <v>25.041947314744238</v>
      </c>
      <c r="R3221" s="9">
        <v>27.456353403762161</v>
      </c>
      <c r="S3221" s="9">
        <v>30.106651570134346</v>
      </c>
      <c r="T3221" s="9">
        <v>32.38507785162065</v>
      </c>
      <c r="U3221" s="9">
        <v>39.429466811122886</v>
      </c>
      <c r="V3221" s="9">
        <v>39.429466811122886</v>
      </c>
      <c r="W3221" s="9">
        <v>39.429466811122886</v>
      </c>
      <c r="X3221" s="9">
        <v>47.435574821920561</v>
      </c>
      <c r="Y3221" s="9">
        <v>47.435574821920561</v>
      </c>
      <c r="Z3221" s="9">
        <v>55.548774102684064</v>
      </c>
      <c r="AA3221" s="9">
        <v>55.548774102684064</v>
      </c>
      <c r="AB3221" s="9">
        <v>63.779773780410025</v>
      </c>
      <c r="AC3221" s="9">
        <v>63.779773780410025</v>
      </c>
      <c r="AD3221" s="9">
        <v>74.232976377209724</v>
      </c>
      <c r="AE3221" s="9">
        <v>81.9014230099272</v>
      </c>
      <c r="AF3221" s="9">
        <v>89.711048815832598</v>
      </c>
      <c r="AG3221" s="9">
        <v>89.711048815832598</v>
      </c>
      <c r="AH3221" s="9">
        <v>98.594438447760481</v>
      </c>
      <c r="AI3221" s="9">
        <v>107.25818871858809</v>
      </c>
      <c r="AJ3221" s="9">
        <v>3.0428788910505911</v>
      </c>
    </row>
    <row r="3222" spans="1:36" x14ac:dyDescent="0.25">
      <c r="A3222" t="s">
        <v>5411</v>
      </c>
      <c r="B3222" t="s">
        <v>16</v>
      </c>
      <c r="C3222" t="s">
        <v>17</v>
      </c>
      <c r="D3222">
        <v>62760000</v>
      </c>
      <c r="E3222">
        <v>62761999</v>
      </c>
      <c r="F3222" t="s">
        <v>2896</v>
      </c>
      <c r="G3222" t="str">
        <f t="shared" si="100"/>
        <v>CEI II</v>
      </c>
      <c r="H3222" t="s">
        <v>2815</v>
      </c>
      <c r="I3222" t="s">
        <v>20</v>
      </c>
      <c r="J3222" t="s">
        <v>64</v>
      </c>
      <c r="K3222" s="6">
        <v>0.03</v>
      </c>
      <c r="L3222" s="7">
        <f t="shared" si="101"/>
        <v>2E-3</v>
      </c>
      <c r="M3222" s="7">
        <v>3.0000000000000001E-3</v>
      </c>
      <c r="N3222">
        <v>14</v>
      </c>
      <c r="O3222" s="8">
        <v>25.041947314744238</v>
      </c>
      <c r="P3222" s="9">
        <v>25.041947314744238</v>
      </c>
      <c r="Q3222" s="9">
        <v>25.041947314744238</v>
      </c>
      <c r="R3222" s="9">
        <v>27.456353403762161</v>
      </c>
      <c r="S3222" s="9">
        <v>30.106651570134346</v>
      </c>
      <c r="T3222" s="9">
        <v>32.38507785162065</v>
      </c>
      <c r="U3222" s="9">
        <v>39.429466811122886</v>
      </c>
      <c r="V3222" s="9">
        <v>39.429466811122886</v>
      </c>
      <c r="W3222" s="9">
        <v>39.429466811122886</v>
      </c>
      <c r="X3222" s="9">
        <v>47.435574821920561</v>
      </c>
      <c r="Y3222" s="9">
        <v>47.435574821920561</v>
      </c>
      <c r="Z3222" s="9">
        <v>55.548774102684064</v>
      </c>
      <c r="AA3222" s="9">
        <v>55.548774102684064</v>
      </c>
      <c r="AB3222" s="9">
        <v>63.779773780410025</v>
      </c>
      <c r="AC3222" s="9">
        <v>63.779773780410025</v>
      </c>
      <c r="AD3222" s="9">
        <v>74.232976377209724</v>
      </c>
      <c r="AE3222" s="9">
        <v>81.9014230099272</v>
      </c>
      <c r="AF3222" s="9">
        <v>89.711048815832598</v>
      </c>
      <c r="AG3222" s="9">
        <v>89.711048815832598</v>
      </c>
      <c r="AH3222" s="9">
        <v>98.594438447760481</v>
      </c>
      <c r="AI3222" s="9">
        <v>107.25818871858809</v>
      </c>
      <c r="AJ3222" s="9">
        <v>3.0428788910505911</v>
      </c>
    </row>
    <row r="3223" spans="1:36" x14ac:dyDescent="0.25">
      <c r="A3223" t="s">
        <v>5411</v>
      </c>
      <c r="B3223" t="s">
        <v>16</v>
      </c>
      <c r="C3223" t="s">
        <v>17</v>
      </c>
      <c r="D3223">
        <v>62762000</v>
      </c>
      <c r="E3223">
        <v>62763999</v>
      </c>
      <c r="F3223" t="s">
        <v>2897</v>
      </c>
      <c r="G3223" t="str">
        <f t="shared" si="100"/>
        <v>CEI II</v>
      </c>
      <c r="H3223" t="s">
        <v>2815</v>
      </c>
      <c r="I3223" t="s">
        <v>20</v>
      </c>
      <c r="J3223" t="s">
        <v>64</v>
      </c>
      <c r="K3223" s="6">
        <v>0.03</v>
      </c>
      <c r="L3223" s="7">
        <f t="shared" si="101"/>
        <v>2E-3</v>
      </c>
      <c r="M3223" s="7">
        <v>3.0000000000000001E-3</v>
      </c>
      <c r="N3223">
        <v>14</v>
      </c>
      <c r="O3223" s="8">
        <v>25.041947314744238</v>
      </c>
      <c r="P3223" s="9">
        <v>25.041947314744238</v>
      </c>
      <c r="Q3223" s="9">
        <v>25.041947314744238</v>
      </c>
      <c r="R3223" s="9">
        <v>27.456353403762161</v>
      </c>
      <c r="S3223" s="9">
        <v>30.106651570134346</v>
      </c>
      <c r="T3223" s="9">
        <v>32.38507785162065</v>
      </c>
      <c r="U3223" s="9">
        <v>39.429466811122886</v>
      </c>
      <c r="V3223" s="9">
        <v>39.429466811122886</v>
      </c>
      <c r="W3223" s="9">
        <v>39.429466811122886</v>
      </c>
      <c r="X3223" s="9">
        <v>47.435574821920561</v>
      </c>
      <c r="Y3223" s="9">
        <v>47.435574821920561</v>
      </c>
      <c r="Z3223" s="9">
        <v>55.548774102684064</v>
      </c>
      <c r="AA3223" s="9">
        <v>55.548774102684064</v>
      </c>
      <c r="AB3223" s="9">
        <v>63.779773780410025</v>
      </c>
      <c r="AC3223" s="9">
        <v>63.779773780410025</v>
      </c>
      <c r="AD3223" s="9">
        <v>74.232976377209724</v>
      </c>
      <c r="AE3223" s="9">
        <v>81.9014230099272</v>
      </c>
      <c r="AF3223" s="9">
        <v>89.711048815832598</v>
      </c>
      <c r="AG3223" s="9">
        <v>89.711048815832598</v>
      </c>
      <c r="AH3223" s="9">
        <v>98.594438447760481</v>
      </c>
      <c r="AI3223" s="9">
        <v>107.25818871858809</v>
      </c>
      <c r="AJ3223" s="9">
        <v>3.0428788910505911</v>
      </c>
    </row>
    <row r="3224" spans="1:36" x14ac:dyDescent="0.25">
      <c r="A3224" t="s">
        <v>5411</v>
      </c>
      <c r="B3224" t="s">
        <v>16</v>
      </c>
      <c r="C3224" t="s">
        <v>17</v>
      </c>
      <c r="D3224">
        <v>62764000</v>
      </c>
      <c r="E3224">
        <v>62765999</v>
      </c>
      <c r="F3224" t="s">
        <v>2543</v>
      </c>
      <c r="G3224" t="str">
        <f t="shared" si="100"/>
        <v>CEI II</v>
      </c>
      <c r="H3224" t="s">
        <v>2815</v>
      </c>
      <c r="I3224" t="s">
        <v>20</v>
      </c>
      <c r="J3224" t="s">
        <v>64</v>
      </c>
      <c r="K3224" s="6">
        <v>0.03</v>
      </c>
      <c r="L3224" s="7">
        <f t="shared" si="101"/>
        <v>2E-3</v>
      </c>
      <c r="M3224" s="7">
        <v>3.0000000000000001E-3</v>
      </c>
      <c r="N3224">
        <v>14</v>
      </c>
      <c r="O3224" s="8">
        <v>25.041947314744238</v>
      </c>
      <c r="P3224" s="9">
        <v>25.041947314744238</v>
      </c>
      <c r="Q3224" s="9">
        <v>25.041947314744238</v>
      </c>
      <c r="R3224" s="9">
        <v>27.456353403762161</v>
      </c>
      <c r="S3224" s="9">
        <v>30.106651570134346</v>
      </c>
      <c r="T3224" s="9">
        <v>32.38507785162065</v>
      </c>
      <c r="U3224" s="9">
        <v>39.429466811122886</v>
      </c>
      <c r="V3224" s="9">
        <v>39.429466811122886</v>
      </c>
      <c r="W3224" s="9">
        <v>39.429466811122886</v>
      </c>
      <c r="X3224" s="9">
        <v>47.435574821920561</v>
      </c>
      <c r="Y3224" s="9">
        <v>47.435574821920561</v>
      </c>
      <c r="Z3224" s="9">
        <v>55.548774102684064</v>
      </c>
      <c r="AA3224" s="9">
        <v>55.548774102684064</v>
      </c>
      <c r="AB3224" s="9">
        <v>63.779773780410025</v>
      </c>
      <c r="AC3224" s="9">
        <v>63.779773780410025</v>
      </c>
      <c r="AD3224" s="9">
        <v>74.232976377209724</v>
      </c>
      <c r="AE3224" s="9">
        <v>81.9014230099272</v>
      </c>
      <c r="AF3224" s="9">
        <v>89.711048815832598</v>
      </c>
      <c r="AG3224" s="9">
        <v>89.711048815832598</v>
      </c>
      <c r="AH3224" s="9">
        <v>98.594438447760481</v>
      </c>
      <c r="AI3224" s="9">
        <v>107.25818871858809</v>
      </c>
      <c r="AJ3224" s="9">
        <v>3.0428788910505911</v>
      </c>
    </row>
    <row r="3225" spans="1:36" x14ac:dyDescent="0.25">
      <c r="A3225" t="s">
        <v>5411</v>
      </c>
      <c r="B3225" t="s">
        <v>16</v>
      </c>
      <c r="C3225" t="s">
        <v>17</v>
      </c>
      <c r="D3225">
        <v>62766000</v>
      </c>
      <c r="E3225">
        <v>62769999</v>
      </c>
      <c r="F3225" t="s">
        <v>2898</v>
      </c>
      <c r="G3225" t="str">
        <f t="shared" si="100"/>
        <v>CEI II</v>
      </c>
      <c r="H3225" t="s">
        <v>2815</v>
      </c>
      <c r="I3225" t="s">
        <v>20</v>
      </c>
      <c r="J3225" t="s">
        <v>64</v>
      </c>
      <c r="K3225" s="6">
        <v>0.03</v>
      </c>
      <c r="L3225" s="7">
        <f t="shared" si="101"/>
        <v>2E-3</v>
      </c>
      <c r="M3225" s="7">
        <v>3.0000000000000001E-3</v>
      </c>
      <c r="N3225">
        <v>14</v>
      </c>
      <c r="O3225" s="8">
        <v>25.041947314744238</v>
      </c>
      <c r="P3225" s="9">
        <v>25.041947314744238</v>
      </c>
      <c r="Q3225" s="9">
        <v>25.041947314744238</v>
      </c>
      <c r="R3225" s="9">
        <v>27.456353403762161</v>
      </c>
      <c r="S3225" s="9">
        <v>30.106651570134346</v>
      </c>
      <c r="T3225" s="9">
        <v>32.38507785162065</v>
      </c>
      <c r="U3225" s="9">
        <v>39.429466811122886</v>
      </c>
      <c r="V3225" s="9">
        <v>39.429466811122886</v>
      </c>
      <c r="W3225" s="9">
        <v>39.429466811122886</v>
      </c>
      <c r="X3225" s="9">
        <v>47.435574821920561</v>
      </c>
      <c r="Y3225" s="9">
        <v>47.435574821920561</v>
      </c>
      <c r="Z3225" s="9">
        <v>55.548774102684064</v>
      </c>
      <c r="AA3225" s="9">
        <v>55.548774102684064</v>
      </c>
      <c r="AB3225" s="9">
        <v>63.779773780410025</v>
      </c>
      <c r="AC3225" s="9">
        <v>63.779773780410025</v>
      </c>
      <c r="AD3225" s="9">
        <v>74.232976377209724</v>
      </c>
      <c r="AE3225" s="9">
        <v>81.9014230099272</v>
      </c>
      <c r="AF3225" s="9">
        <v>89.711048815832598</v>
      </c>
      <c r="AG3225" s="9">
        <v>89.711048815832598</v>
      </c>
      <c r="AH3225" s="9">
        <v>98.594438447760481</v>
      </c>
      <c r="AI3225" s="9">
        <v>107.25818871858809</v>
      </c>
      <c r="AJ3225" s="9">
        <v>3.0428788910505911</v>
      </c>
    </row>
    <row r="3226" spans="1:36" x14ac:dyDescent="0.25">
      <c r="A3226" t="s">
        <v>5411</v>
      </c>
      <c r="B3226" t="s">
        <v>16</v>
      </c>
      <c r="C3226" t="s">
        <v>17</v>
      </c>
      <c r="D3226">
        <v>62770000</v>
      </c>
      <c r="E3226">
        <v>62779999</v>
      </c>
      <c r="F3226" t="s">
        <v>2899</v>
      </c>
      <c r="G3226" t="str">
        <f t="shared" si="100"/>
        <v>CEI II</v>
      </c>
      <c r="H3226" t="s">
        <v>2815</v>
      </c>
      <c r="I3226" t="s">
        <v>20</v>
      </c>
      <c r="J3226" t="s">
        <v>64</v>
      </c>
      <c r="K3226" s="6">
        <v>0.03</v>
      </c>
      <c r="L3226" s="7">
        <f t="shared" si="101"/>
        <v>2E-3</v>
      </c>
      <c r="M3226" s="7">
        <v>3.0000000000000001E-3</v>
      </c>
      <c r="N3226">
        <v>14</v>
      </c>
      <c r="O3226" s="8">
        <v>25.041947314744238</v>
      </c>
      <c r="P3226" s="9">
        <v>25.041947314744238</v>
      </c>
      <c r="Q3226" s="9">
        <v>25.041947314744238</v>
      </c>
      <c r="R3226" s="9">
        <v>27.456353403762161</v>
      </c>
      <c r="S3226" s="9">
        <v>30.106651570134346</v>
      </c>
      <c r="T3226" s="9">
        <v>32.38507785162065</v>
      </c>
      <c r="U3226" s="9">
        <v>39.429466811122886</v>
      </c>
      <c r="V3226" s="9">
        <v>39.429466811122886</v>
      </c>
      <c r="W3226" s="9">
        <v>39.429466811122886</v>
      </c>
      <c r="X3226" s="9">
        <v>47.435574821920561</v>
      </c>
      <c r="Y3226" s="9">
        <v>47.435574821920561</v>
      </c>
      <c r="Z3226" s="9">
        <v>55.548774102684064</v>
      </c>
      <c r="AA3226" s="9">
        <v>55.548774102684064</v>
      </c>
      <c r="AB3226" s="9">
        <v>63.779773780410025</v>
      </c>
      <c r="AC3226" s="9">
        <v>63.779773780410025</v>
      </c>
      <c r="AD3226" s="9">
        <v>74.232976377209724</v>
      </c>
      <c r="AE3226" s="9">
        <v>81.9014230099272</v>
      </c>
      <c r="AF3226" s="9">
        <v>89.711048815832598</v>
      </c>
      <c r="AG3226" s="9">
        <v>89.711048815832598</v>
      </c>
      <c r="AH3226" s="9">
        <v>98.594438447760481</v>
      </c>
      <c r="AI3226" s="9">
        <v>107.25818871858809</v>
      </c>
      <c r="AJ3226" s="9">
        <v>3.0428788910505911</v>
      </c>
    </row>
    <row r="3227" spans="1:36" x14ac:dyDescent="0.25">
      <c r="A3227" t="s">
        <v>5411</v>
      </c>
      <c r="B3227" t="s">
        <v>16</v>
      </c>
      <c r="C3227" t="s">
        <v>17</v>
      </c>
      <c r="D3227">
        <v>62780000</v>
      </c>
      <c r="E3227">
        <v>62784999</v>
      </c>
      <c r="F3227" t="s">
        <v>2900</v>
      </c>
      <c r="G3227" t="str">
        <f t="shared" si="100"/>
        <v>CEI II</v>
      </c>
      <c r="H3227" t="s">
        <v>2815</v>
      </c>
      <c r="I3227" t="s">
        <v>20</v>
      </c>
      <c r="J3227" t="s">
        <v>64</v>
      </c>
      <c r="K3227" s="6">
        <v>0.03</v>
      </c>
      <c r="L3227" s="7">
        <f t="shared" si="101"/>
        <v>2E-3</v>
      </c>
      <c r="M3227" s="7">
        <v>3.0000000000000001E-3</v>
      </c>
      <c r="N3227">
        <v>14</v>
      </c>
      <c r="O3227" s="8">
        <v>25.041947314744238</v>
      </c>
      <c r="P3227" s="9">
        <v>25.041947314744238</v>
      </c>
      <c r="Q3227" s="9">
        <v>25.041947314744238</v>
      </c>
      <c r="R3227" s="9">
        <v>27.456353403762161</v>
      </c>
      <c r="S3227" s="9">
        <v>30.106651570134346</v>
      </c>
      <c r="T3227" s="9">
        <v>32.38507785162065</v>
      </c>
      <c r="U3227" s="9">
        <v>39.429466811122886</v>
      </c>
      <c r="V3227" s="9">
        <v>39.429466811122886</v>
      </c>
      <c r="W3227" s="9">
        <v>39.429466811122886</v>
      </c>
      <c r="X3227" s="9">
        <v>47.435574821920561</v>
      </c>
      <c r="Y3227" s="9">
        <v>47.435574821920561</v>
      </c>
      <c r="Z3227" s="9">
        <v>55.548774102684064</v>
      </c>
      <c r="AA3227" s="9">
        <v>55.548774102684064</v>
      </c>
      <c r="AB3227" s="9">
        <v>63.779773780410025</v>
      </c>
      <c r="AC3227" s="9">
        <v>63.779773780410025</v>
      </c>
      <c r="AD3227" s="9">
        <v>74.232976377209724</v>
      </c>
      <c r="AE3227" s="9">
        <v>81.9014230099272</v>
      </c>
      <c r="AF3227" s="9">
        <v>89.711048815832598</v>
      </c>
      <c r="AG3227" s="9">
        <v>89.711048815832598</v>
      </c>
      <c r="AH3227" s="9">
        <v>98.594438447760481</v>
      </c>
      <c r="AI3227" s="9">
        <v>107.25818871858809</v>
      </c>
      <c r="AJ3227" s="9">
        <v>3.0428788910505911</v>
      </c>
    </row>
    <row r="3228" spans="1:36" x14ac:dyDescent="0.25">
      <c r="A3228" t="s">
        <v>5411</v>
      </c>
      <c r="B3228" t="s">
        <v>16</v>
      </c>
      <c r="C3228" t="s">
        <v>17</v>
      </c>
      <c r="D3228">
        <v>62785000</v>
      </c>
      <c r="E3228">
        <v>62789999</v>
      </c>
      <c r="F3228" t="s">
        <v>2901</v>
      </c>
      <c r="G3228" t="str">
        <f t="shared" si="100"/>
        <v>CEI II</v>
      </c>
      <c r="H3228" t="s">
        <v>2815</v>
      </c>
      <c r="I3228" t="s">
        <v>20</v>
      </c>
      <c r="J3228" t="s">
        <v>64</v>
      </c>
      <c r="K3228" s="6">
        <v>0.03</v>
      </c>
      <c r="L3228" s="7">
        <f t="shared" si="101"/>
        <v>2E-3</v>
      </c>
      <c r="M3228" s="7">
        <v>3.0000000000000001E-3</v>
      </c>
      <c r="N3228">
        <v>14</v>
      </c>
      <c r="O3228" s="8">
        <v>25.041947314744238</v>
      </c>
      <c r="P3228" s="9">
        <v>25.041947314744238</v>
      </c>
      <c r="Q3228" s="9">
        <v>25.041947314744238</v>
      </c>
      <c r="R3228" s="9">
        <v>27.456353403762161</v>
      </c>
      <c r="S3228" s="9">
        <v>30.106651570134346</v>
      </c>
      <c r="T3228" s="9">
        <v>32.38507785162065</v>
      </c>
      <c r="U3228" s="9">
        <v>39.429466811122886</v>
      </c>
      <c r="V3228" s="9">
        <v>39.429466811122886</v>
      </c>
      <c r="W3228" s="9">
        <v>39.429466811122886</v>
      </c>
      <c r="X3228" s="9">
        <v>47.435574821920561</v>
      </c>
      <c r="Y3228" s="9">
        <v>47.435574821920561</v>
      </c>
      <c r="Z3228" s="9">
        <v>55.548774102684064</v>
      </c>
      <c r="AA3228" s="9">
        <v>55.548774102684064</v>
      </c>
      <c r="AB3228" s="9">
        <v>63.779773780410025</v>
      </c>
      <c r="AC3228" s="9">
        <v>63.779773780410025</v>
      </c>
      <c r="AD3228" s="9">
        <v>74.232976377209724</v>
      </c>
      <c r="AE3228" s="9">
        <v>81.9014230099272</v>
      </c>
      <c r="AF3228" s="9">
        <v>89.711048815832598</v>
      </c>
      <c r="AG3228" s="9">
        <v>89.711048815832598</v>
      </c>
      <c r="AH3228" s="9">
        <v>98.594438447760481</v>
      </c>
      <c r="AI3228" s="9">
        <v>107.25818871858809</v>
      </c>
      <c r="AJ3228" s="9">
        <v>3.0428788910505911</v>
      </c>
    </row>
    <row r="3229" spans="1:36" x14ac:dyDescent="0.25">
      <c r="A3229" t="s">
        <v>5411</v>
      </c>
      <c r="B3229" t="s">
        <v>16</v>
      </c>
      <c r="C3229" t="s">
        <v>17</v>
      </c>
      <c r="D3229">
        <v>62790000</v>
      </c>
      <c r="E3229">
        <v>62794999</v>
      </c>
      <c r="F3229" t="s">
        <v>2902</v>
      </c>
      <c r="G3229" t="str">
        <f t="shared" si="100"/>
        <v>CEI II</v>
      </c>
      <c r="H3229" t="s">
        <v>2815</v>
      </c>
      <c r="I3229" t="s">
        <v>20</v>
      </c>
      <c r="J3229" t="s">
        <v>64</v>
      </c>
      <c r="K3229" s="6">
        <v>0.03</v>
      </c>
      <c r="L3229" s="7">
        <f t="shared" si="101"/>
        <v>2E-3</v>
      </c>
      <c r="M3229" s="7">
        <v>3.0000000000000001E-3</v>
      </c>
      <c r="N3229">
        <v>14</v>
      </c>
      <c r="O3229" s="8">
        <v>25.041947314744238</v>
      </c>
      <c r="P3229" s="9">
        <v>25.041947314744238</v>
      </c>
      <c r="Q3229" s="9">
        <v>25.041947314744238</v>
      </c>
      <c r="R3229" s="9">
        <v>27.456353403762161</v>
      </c>
      <c r="S3229" s="9">
        <v>30.106651570134346</v>
      </c>
      <c r="T3229" s="9">
        <v>32.38507785162065</v>
      </c>
      <c r="U3229" s="9">
        <v>39.429466811122886</v>
      </c>
      <c r="V3229" s="9">
        <v>39.429466811122886</v>
      </c>
      <c r="W3229" s="9">
        <v>39.429466811122886</v>
      </c>
      <c r="X3229" s="9">
        <v>47.435574821920561</v>
      </c>
      <c r="Y3229" s="9">
        <v>47.435574821920561</v>
      </c>
      <c r="Z3229" s="9">
        <v>55.548774102684064</v>
      </c>
      <c r="AA3229" s="9">
        <v>55.548774102684064</v>
      </c>
      <c r="AB3229" s="9">
        <v>63.779773780410025</v>
      </c>
      <c r="AC3229" s="9">
        <v>63.779773780410025</v>
      </c>
      <c r="AD3229" s="9">
        <v>74.232976377209724</v>
      </c>
      <c r="AE3229" s="9">
        <v>81.9014230099272</v>
      </c>
      <c r="AF3229" s="9">
        <v>89.711048815832598</v>
      </c>
      <c r="AG3229" s="9">
        <v>89.711048815832598</v>
      </c>
      <c r="AH3229" s="9">
        <v>98.594438447760481</v>
      </c>
      <c r="AI3229" s="9">
        <v>107.25818871858809</v>
      </c>
      <c r="AJ3229" s="9">
        <v>3.0428788910505911</v>
      </c>
    </row>
    <row r="3230" spans="1:36" x14ac:dyDescent="0.25">
      <c r="A3230" t="s">
        <v>5411</v>
      </c>
      <c r="B3230" t="s">
        <v>16</v>
      </c>
      <c r="C3230" t="s">
        <v>17</v>
      </c>
      <c r="D3230">
        <v>62795000</v>
      </c>
      <c r="E3230">
        <v>62799999</v>
      </c>
      <c r="F3230" t="s">
        <v>2903</v>
      </c>
      <c r="G3230" t="str">
        <f t="shared" si="100"/>
        <v>CEI II</v>
      </c>
      <c r="H3230" t="s">
        <v>2815</v>
      </c>
      <c r="I3230" t="s">
        <v>20</v>
      </c>
      <c r="J3230" t="s">
        <v>64</v>
      </c>
      <c r="K3230" s="6">
        <v>0.03</v>
      </c>
      <c r="L3230" s="7">
        <f t="shared" si="101"/>
        <v>2E-3</v>
      </c>
      <c r="M3230" s="7">
        <v>3.0000000000000001E-3</v>
      </c>
      <c r="N3230">
        <v>14</v>
      </c>
      <c r="O3230" s="8">
        <v>25.041947314744238</v>
      </c>
      <c r="P3230" s="9">
        <v>25.041947314744238</v>
      </c>
      <c r="Q3230" s="9">
        <v>25.041947314744238</v>
      </c>
      <c r="R3230" s="9">
        <v>27.456353403762161</v>
      </c>
      <c r="S3230" s="9">
        <v>30.106651570134346</v>
      </c>
      <c r="T3230" s="9">
        <v>32.38507785162065</v>
      </c>
      <c r="U3230" s="9">
        <v>39.429466811122886</v>
      </c>
      <c r="V3230" s="9">
        <v>39.429466811122886</v>
      </c>
      <c r="W3230" s="9">
        <v>39.429466811122886</v>
      </c>
      <c r="X3230" s="9">
        <v>47.435574821920561</v>
      </c>
      <c r="Y3230" s="9">
        <v>47.435574821920561</v>
      </c>
      <c r="Z3230" s="9">
        <v>55.548774102684064</v>
      </c>
      <c r="AA3230" s="9">
        <v>55.548774102684064</v>
      </c>
      <c r="AB3230" s="9">
        <v>63.779773780410025</v>
      </c>
      <c r="AC3230" s="9">
        <v>63.779773780410025</v>
      </c>
      <c r="AD3230" s="9">
        <v>74.232976377209724</v>
      </c>
      <c r="AE3230" s="9">
        <v>81.9014230099272</v>
      </c>
      <c r="AF3230" s="9">
        <v>89.711048815832598</v>
      </c>
      <c r="AG3230" s="9">
        <v>89.711048815832598</v>
      </c>
      <c r="AH3230" s="9">
        <v>98.594438447760481</v>
      </c>
      <c r="AI3230" s="9">
        <v>107.25818871858809</v>
      </c>
      <c r="AJ3230" s="9">
        <v>3.0428788910505911</v>
      </c>
    </row>
    <row r="3231" spans="1:36" x14ac:dyDescent="0.25">
      <c r="A3231" t="s">
        <v>5411</v>
      </c>
      <c r="B3231" t="s">
        <v>16</v>
      </c>
      <c r="C3231" t="s">
        <v>17</v>
      </c>
      <c r="D3231">
        <v>62800000</v>
      </c>
      <c r="E3231">
        <v>62809999</v>
      </c>
      <c r="F3231" t="s">
        <v>2904</v>
      </c>
      <c r="G3231" t="str">
        <f t="shared" si="100"/>
        <v>CEI II</v>
      </c>
      <c r="H3231" t="s">
        <v>2815</v>
      </c>
      <c r="I3231" t="s">
        <v>20</v>
      </c>
      <c r="J3231" t="s">
        <v>64</v>
      </c>
      <c r="K3231" s="6">
        <v>0.03</v>
      </c>
      <c r="L3231" s="7">
        <f t="shared" si="101"/>
        <v>2E-3</v>
      </c>
      <c r="M3231" s="7">
        <v>3.0000000000000001E-3</v>
      </c>
      <c r="N3231">
        <v>12</v>
      </c>
      <c r="O3231" s="8">
        <v>25.041947314744238</v>
      </c>
      <c r="P3231" s="9">
        <v>25.041947314744238</v>
      </c>
      <c r="Q3231" s="9">
        <v>25.041947314744238</v>
      </c>
      <c r="R3231" s="9">
        <v>27.456353403762161</v>
      </c>
      <c r="S3231" s="9">
        <v>30.106651570134346</v>
      </c>
      <c r="T3231" s="9">
        <v>32.38507785162065</v>
      </c>
      <c r="U3231" s="9">
        <v>39.429466811122886</v>
      </c>
      <c r="V3231" s="9">
        <v>39.429466811122886</v>
      </c>
      <c r="W3231" s="9">
        <v>39.429466811122886</v>
      </c>
      <c r="X3231" s="9">
        <v>47.435574821920561</v>
      </c>
      <c r="Y3231" s="9">
        <v>47.435574821920561</v>
      </c>
      <c r="Z3231" s="9">
        <v>55.548774102684064</v>
      </c>
      <c r="AA3231" s="9">
        <v>55.548774102684064</v>
      </c>
      <c r="AB3231" s="9">
        <v>63.779773780410025</v>
      </c>
      <c r="AC3231" s="9">
        <v>63.779773780410025</v>
      </c>
      <c r="AD3231" s="9">
        <v>74.232976377209724</v>
      </c>
      <c r="AE3231" s="9">
        <v>81.9014230099272</v>
      </c>
      <c r="AF3231" s="9">
        <v>89.711048815832598</v>
      </c>
      <c r="AG3231" s="9">
        <v>89.711048815832598</v>
      </c>
      <c r="AH3231" s="9">
        <v>98.594438447760481</v>
      </c>
      <c r="AI3231" s="9">
        <v>107.25818871858809</v>
      </c>
      <c r="AJ3231" s="9">
        <v>3.0428788910505911</v>
      </c>
    </row>
    <row r="3232" spans="1:36" x14ac:dyDescent="0.25">
      <c r="A3232" t="s">
        <v>5411</v>
      </c>
      <c r="B3232" t="s">
        <v>16</v>
      </c>
      <c r="C3232" t="s">
        <v>17</v>
      </c>
      <c r="D3232">
        <v>62810000</v>
      </c>
      <c r="E3232">
        <v>62814999</v>
      </c>
      <c r="F3232" t="s">
        <v>2905</v>
      </c>
      <c r="G3232" t="str">
        <f t="shared" si="100"/>
        <v>CEI II</v>
      </c>
      <c r="H3232" t="s">
        <v>2815</v>
      </c>
      <c r="I3232" t="s">
        <v>20</v>
      </c>
      <c r="J3232" t="s">
        <v>64</v>
      </c>
      <c r="K3232" s="6">
        <v>0.03</v>
      </c>
      <c r="L3232" s="7">
        <f t="shared" si="101"/>
        <v>2E-3</v>
      </c>
      <c r="M3232" s="7">
        <v>3.0000000000000001E-3</v>
      </c>
      <c r="N3232">
        <v>14</v>
      </c>
      <c r="O3232" s="8">
        <v>25.041947314744238</v>
      </c>
      <c r="P3232" s="9">
        <v>25.041947314744238</v>
      </c>
      <c r="Q3232" s="9">
        <v>25.041947314744238</v>
      </c>
      <c r="R3232" s="9">
        <v>27.456353403762161</v>
      </c>
      <c r="S3232" s="9">
        <v>30.106651570134346</v>
      </c>
      <c r="T3232" s="9">
        <v>32.38507785162065</v>
      </c>
      <c r="U3232" s="9">
        <v>39.429466811122886</v>
      </c>
      <c r="V3232" s="9">
        <v>39.429466811122886</v>
      </c>
      <c r="W3232" s="9">
        <v>39.429466811122886</v>
      </c>
      <c r="X3232" s="9">
        <v>47.435574821920561</v>
      </c>
      <c r="Y3232" s="9">
        <v>47.435574821920561</v>
      </c>
      <c r="Z3232" s="9">
        <v>55.548774102684064</v>
      </c>
      <c r="AA3232" s="9">
        <v>55.548774102684064</v>
      </c>
      <c r="AB3232" s="9">
        <v>63.779773780410025</v>
      </c>
      <c r="AC3232" s="9">
        <v>63.779773780410025</v>
      </c>
      <c r="AD3232" s="9">
        <v>74.232976377209724</v>
      </c>
      <c r="AE3232" s="9">
        <v>81.9014230099272</v>
      </c>
      <c r="AF3232" s="9">
        <v>89.711048815832598</v>
      </c>
      <c r="AG3232" s="9">
        <v>89.711048815832598</v>
      </c>
      <c r="AH3232" s="9">
        <v>98.594438447760481</v>
      </c>
      <c r="AI3232" s="9">
        <v>107.25818871858809</v>
      </c>
      <c r="AJ3232" s="9">
        <v>3.0428788910505911</v>
      </c>
    </row>
    <row r="3233" spans="1:36" x14ac:dyDescent="0.25">
      <c r="A3233" t="s">
        <v>5411</v>
      </c>
      <c r="B3233" t="s">
        <v>16</v>
      </c>
      <c r="C3233" t="s">
        <v>17</v>
      </c>
      <c r="D3233">
        <v>62815000</v>
      </c>
      <c r="E3233">
        <v>62819999</v>
      </c>
      <c r="F3233" t="s">
        <v>2906</v>
      </c>
      <c r="G3233" t="str">
        <f t="shared" si="100"/>
        <v>CEI II</v>
      </c>
      <c r="H3233" t="s">
        <v>2815</v>
      </c>
      <c r="I3233" t="s">
        <v>20</v>
      </c>
      <c r="J3233" t="s">
        <v>64</v>
      </c>
      <c r="K3233" s="6">
        <v>0.03</v>
      </c>
      <c r="L3233" s="7">
        <f t="shared" si="101"/>
        <v>2E-3</v>
      </c>
      <c r="M3233" s="7">
        <v>3.0000000000000001E-3</v>
      </c>
      <c r="N3233">
        <v>14</v>
      </c>
      <c r="O3233" s="8">
        <v>25.041947314744238</v>
      </c>
      <c r="P3233" s="9">
        <v>25.041947314744238</v>
      </c>
      <c r="Q3233" s="9">
        <v>25.041947314744238</v>
      </c>
      <c r="R3233" s="9">
        <v>27.456353403762161</v>
      </c>
      <c r="S3233" s="9">
        <v>30.106651570134346</v>
      </c>
      <c r="T3233" s="9">
        <v>32.38507785162065</v>
      </c>
      <c r="U3233" s="9">
        <v>39.429466811122886</v>
      </c>
      <c r="V3233" s="9">
        <v>39.429466811122886</v>
      </c>
      <c r="W3233" s="9">
        <v>39.429466811122886</v>
      </c>
      <c r="X3233" s="9">
        <v>47.435574821920561</v>
      </c>
      <c r="Y3233" s="9">
        <v>47.435574821920561</v>
      </c>
      <c r="Z3233" s="9">
        <v>55.548774102684064</v>
      </c>
      <c r="AA3233" s="9">
        <v>55.548774102684064</v>
      </c>
      <c r="AB3233" s="9">
        <v>63.779773780410025</v>
      </c>
      <c r="AC3233" s="9">
        <v>63.779773780410025</v>
      </c>
      <c r="AD3233" s="9">
        <v>74.232976377209724</v>
      </c>
      <c r="AE3233" s="9">
        <v>81.9014230099272</v>
      </c>
      <c r="AF3233" s="9">
        <v>89.711048815832598</v>
      </c>
      <c r="AG3233" s="9">
        <v>89.711048815832598</v>
      </c>
      <c r="AH3233" s="9">
        <v>98.594438447760481</v>
      </c>
      <c r="AI3233" s="9">
        <v>107.25818871858809</v>
      </c>
      <c r="AJ3233" s="9">
        <v>3.0428788910505911</v>
      </c>
    </row>
    <row r="3234" spans="1:36" x14ac:dyDescent="0.25">
      <c r="A3234" t="s">
        <v>5411</v>
      </c>
      <c r="B3234" t="s">
        <v>16</v>
      </c>
      <c r="C3234" t="s">
        <v>17</v>
      </c>
      <c r="D3234">
        <v>62820000</v>
      </c>
      <c r="E3234">
        <v>62822999</v>
      </c>
      <c r="F3234" t="s">
        <v>2907</v>
      </c>
      <c r="G3234" t="str">
        <f t="shared" si="100"/>
        <v>CEI II</v>
      </c>
      <c r="H3234" t="s">
        <v>2815</v>
      </c>
      <c r="I3234" t="s">
        <v>20</v>
      </c>
      <c r="J3234" t="s">
        <v>64</v>
      </c>
      <c r="K3234" s="6">
        <v>0.03</v>
      </c>
      <c r="L3234" s="7">
        <f t="shared" si="101"/>
        <v>2E-3</v>
      </c>
      <c r="M3234" s="7">
        <v>3.0000000000000001E-3</v>
      </c>
      <c r="N3234">
        <v>14</v>
      </c>
      <c r="O3234" s="8">
        <v>25.041947314744238</v>
      </c>
      <c r="P3234" s="9">
        <v>25.041947314744238</v>
      </c>
      <c r="Q3234" s="9">
        <v>25.041947314744238</v>
      </c>
      <c r="R3234" s="9">
        <v>27.456353403762161</v>
      </c>
      <c r="S3234" s="9">
        <v>30.106651570134346</v>
      </c>
      <c r="T3234" s="9">
        <v>32.38507785162065</v>
      </c>
      <c r="U3234" s="9">
        <v>39.429466811122886</v>
      </c>
      <c r="V3234" s="9">
        <v>39.429466811122886</v>
      </c>
      <c r="W3234" s="9">
        <v>39.429466811122886</v>
      </c>
      <c r="X3234" s="9">
        <v>47.435574821920561</v>
      </c>
      <c r="Y3234" s="9">
        <v>47.435574821920561</v>
      </c>
      <c r="Z3234" s="9">
        <v>55.548774102684064</v>
      </c>
      <c r="AA3234" s="9">
        <v>55.548774102684064</v>
      </c>
      <c r="AB3234" s="9">
        <v>63.779773780410025</v>
      </c>
      <c r="AC3234" s="9">
        <v>63.779773780410025</v>
      </c>
      <c r="AD3234" s="9">
        <v>74.232976377209724</v>
      </c>
      <c r="AE3234" s="9">
        <v>81.9014230099272</v>
      </c>
      <c r="AF3234" s="9">
        <v>89.711048815832598</v>
      </c>
      <c r="AG3234" s="9">
        <v>89.711048815832598</v>
      </c>
      <c r="AH3234" s="9">
        <v>98.594438447760481</v>
      </c>
      <c r="AI3234" s="9">
        <v>107.25818871858809</v>
      </c>
      <c r="AJ3234" s="9">
        <v>3.0428788910505911</v>
      </c>
    </row>
    <row r="3235" spans="1:36" x14ac:dyDescent="0.25">
      <c r="A3235" t="s">
        <v>5411</v>
      </c>
      <c r="B3235" t="s">
        <v>16</v>
      </c>
      <c r="C3235" t="s">
        <v>17</v>
      </c>
      <c r="D3235">
        <v>62823000</v>
      </c>
      <c r="E3235">
        <v>62839999</v>
      </c>
      <c r="F3235" t="s">
        <v>2908</v>
      </c>
      <c r="G3235" t="str">
        <f t="shared" si="100"/>
        <v>CEI II</v>
      </c>
      <c r="H3235" t="s">
        <v>2815</v>
      </c>
      <c r="I3235" t="s">
        <v>20</v>
      </c>
      <c r="J3235" t="s">
        <v>64</v>
      </c>
      <c r="K3235" s="6">
        <v>0.03</v>
      </c>
      <c r="L3235" s="7">
        <f t="shared" si="101"/>
        <v>2E-3</v>
      </c>
      <c r="M3235" s="7">
        <v>3.0000000000000001E-3</v>
      </c>
      <c r="N3235">
        <v>14</v>
      </c>
      <c r="O3235" s="8">
        <v>25.041947314744238</v>
      </c>
      <c r="P3235" s="9">
        <v>25.041947314744238</v>
      </c>
      <c r="Q3235" s="9">
        <v>25.041947314744238</v>
      </c>
      <c r="R3235" s="9">
        <v>27.456353403762161</v>
      </c>
      <c r="S3235" s="9">
        <v>30.106651570134346</v>
      </c>
      <c r="T3235" s="9">
        <v>32.38507785162065</v>
      </c>
      <c r="U3235" s="9">
        <v>39.429466811122886</v>
      </c>
      <c r="V3235" s="9">
        <v>39.429466811122886</v>
      </c>
      <c r="W3235" s="9">
        <v>39.429466811122886</v>
      </c>
      <c r="X3235" s="9">
        <v>47.435574821920561</v>
      </c>
      <c r="Y3235" s="9">
        <v>47.435574821920561</v>
      </c>
      <c r="Z3235" s="9">
        <v>55.548774102684064</v>
      </c>
      <c r="AA3235" s="9">
        <v>55.548774102684064</v>
      </c>
      <c r="AB3235" s="9">
        <v>63.779773780410025</v>
      </c>
      <c r="AC3235" s="9">
        <v>63.779773780410025</v>
      </c>
      <c r="AD3235" s="9">
        <v>74.232976377209724</v>
      </c>
      <c r="AE3235" s="9">
        <v>81.9014230099272</v>
      </c>
      <c r="AF3235" s="9">
        <v>89.711048815832598</v>
      </c>
      <c r="AG3235" s="9">
        <v>89.711048815832598</v>
      </c>
      <c r="AH3235" s="9">
        <v>98.594438447760481</v>
      </c>
      <c r="AI3235" s="9">
        <v>107.25818871858809</v>
      </c>
      <c r="AJ3235" s="9">
        <v>3.0428788910505911</v>
      </c>
    </row>
    <row r="3236" spans="1:36" x14ac:dyDescent="0.25">
      <c r="A3236" t="s">
        <v>5411</v>
      </c>
      <c r="B3236" t="s">
        <v>16</v>
      </c>
      <c r="C3236" t="s">
        <v>17</v>
      </c>
      <c r="D3236">
        <v>62840000</v>
      </c>
      <c r="E3236">
        <v>62849999</v>
      </c>
      <c r="F3236" t="s">
        <v>2909</v>
      </c>
      <c r="G3236" t="str">
        <f t="shared" si="100"/>
        <v>CEI II</v>
      </c>
      <c r="H3236" t="s">
        <v>2815</v>
      </c>
      <c r="I3236" t="s">
        <v>20</v>
      </c>
      <c r="J3236" t="s">
        <v>64</v>
      </c>
      <c r="K3236" s="6">
        <v>0.03</v>
      </c>
      <c r="L3236" s="7">
        <f t="shared" si="101"/>
        <v>2E-3</v>
      </c>
      <c r="M3236" s="7">
        <v>3.0000000000000001E-3</v>
      </c>
      <c r="N3236">
        <v>14</v>
      </c>
      <c r="O3236" s="8">
        <v>25.041947314744238</v>
      </c>
      <c r="P3236" s="9">
        <v>25.041947314744238</v>
      </c>
      <c r="Q3236" s="9">
        <v>25.041947314744238</v>
      </c>
      <c r="R3236" s="9">
        <v>27.456353403762161</v>
      </c>
      <c r="S3236" s="9">
        <v>30.106651570134346</v>
      </c>
      <c r="T3236" s="9">
        <v>32.38507785162065</v>
      </c>
      <c r="U3236" s="9">
        <v>39.429466811122886</v>
      </c>
      <c r="V3236" s="9">
        <v>39.429466811122886</v>
      </c>
      <c r="W3236" s="9">
        <v>39.429466811122886</v>
      </c>
      <c r="X3236" s="9">
        <v>47.435574821920561</v>
      </c>
      <c r="Y3236" s="9">
        <v>47.435574821920561</v>
      </c>
      <c r="Z3236" s="9">
        <v>55.548774102684064</v>
      </c>
      <c r="AA3236" s="9">
        <v>55.548774102684064</v>
      </c>
      <c r="AB3236" s="9">
        <v>63.779773780410025</v>
      </c>
      <c r="AC3236" s="9">
        <v>63.779773780410025</v>
      </c>
      <c r="AD3236" s="9">
        <v>74.232976377209724</v>
      </c>
      <c r="AE3236" s="9">
        <v>81.9014230099272</v>
      </c>
      <c r="AF3236" s="9">
        <v>89.711048815832598</v>
      </c>
      <c r="AG3236" s="9">
        <v>89.711048815832598</v>
      </c>
      <c r="AH3236" s="9">
        <v>98.594438447760481</v>
      </c>
      <c r="AI3236" s="9">
        <v>107.25818871858809</v>
      </c>
      <c r="AJ3236" s="9">
        <v>3.0428788910505911</v>
      </c>
    </row>
    <row r="3237" spans="1:36" x14ac:dyDescent="0.25">
      <c r="A3237" t="s">
        <v>5411</v>
      </c>
      <c r="B3237" t="s">
        <v>16</v>
      </c>
      <c r="C3237" t="s">
        <v>17</v>
      </c>
      <c r="D3237">
        <v>62850000</v>
      </c>
      <c r="E3237">
        <v>62859999</v>
      </c>
      <c r="F3237" t="s">
        <v>2910</v>
      </c>
      <c r="G3237" t="str">
        <f t="shared" si="100"/>
        <v>CEI II</v>
      </c>
      <c r="H3237" t="s">
        <v>2815</v>
      </c>
      <c r="I3237" t="s">
        <v>20</v>
      </c>
      <c r="J3237" t="s">
        <v>64</v>
      </c>
      <c r="K3237" s="6">
        <v>0.03</v>
      </c>
      <c r="L3237" s="7">
        <f t="shared" si="101"/>
        <v>2E-3</v>
      </c>
      <c r="M3237" s="7">
        <v>3.0000000000000001E-3</v>
      </c>
      <c r="N3237">
        <v>14</v>
      </c>
      <c r="O3237" s="8">
        <v>25.041947314744238</v>
      </c>
      <c r="P3237" s="9">
        <v>25.041947314744238</v>
      </c>
      <c r="Q3237" s="9">
        <v>25.041947314744238</v>
      </c>
      <c r="R3237" s="9">
        <v>27.456353403762161</v>
      </c>
      <c r="S3237" s="9">
        <v>30.106651570134346</v>
      </c>
      <c r="T3237" s="9">
        <v>32.38507785162065</v>
      </c>
      <c r="U3237" s="9">
        <v>39.429466811122886</v>
      </c>
      <c r="V3237" s="9">
        <v>39.429466811122886</v>
      </c>
      <c r="W3237" s="9">
        <v>39.429466811122886</v>
      </c>
      <c r="X3237" s="9">
        <v>47.435574821920561</v>
      </c>
      <c r="Y3237" s="9">
        <v>47.435574821920561</v>
      </c>
      <c r="Z3237" s="9">
        <v>55.548774102684064</v>
      </c>
      <c r="AA3237" s="9">
        <v>55.548774102684064</v>
      </c>
      <c r="AB3237" s="9">
        <v>63.779773780410025</v>
      </c>
      <c r="AC3237" s="9">
        <v>63.779773780410025</v>
      </c>
      <c r="AD3237" s="9">
        <v>74.232976377209724</v>
      </c>
      <c r="AE3237" s="9">
        <v>81.9014230099272</v>
      </c>
      <c r="AF3237" s="9">
        <v>89.711048815832598</v>
      </c>
      <c r="AG3237" s="9">
        <v>89.711048815832598</v>
      </c>
      <c r="AH3237" s="9">
        <v>98.594438447760481</v>
      </c>
      <c r="AI3237" s="9">
        <v>107.25818871858809</v>
      </c>
      <c r="AJ3237" s="9">
        <v>3.0428788910505911</v>
      </c>
    </row>
    <row r="3238" spans="1:36" x14ac:dyDescent="0.25">
      <c r="A3238" t="s">
        <v>5411</v>
      </c>
      <c r="B3238" t="s">
        <v>16</v>
      </c>
      <c r="C3238" t="s">
        <v>17</v>
      </c>
      <c r="D3238">
        <v>62860000</v>
      </c>
      <c r="E3238">
        <v>62869999</v>
      </c>
      <c r="F3238" t="s">
        <v>2911</v>
      </c>
      <c r="G3238" t="str">
        <f t="shared" si="100"/>
        <v>CEI II</v>
      </c>
      <c r="H3238" t="s">
        <v>2815</v>
      </c>
      <c r="I3238" t="s">
        <v>20</v>
      </c>
      <c r="J3238" t="s">
        <v>64</v>
      </c>
      <c r="K3238" s="6">
        <v>0.03</v>
      </c>
      <c r="L3238" s="7">
        <f t="shared" si="101"/>
        <v>2E-3</v>
      </c>
      <c r="M3238" s="7">
        <v>3.0000000000000001E-3</v>
      </c>
      <c r="N3238">
        <v>14</v>
      </c>
      <c r="O3238" s="8">
        <v>25.041947314744238</v>
      </c>
      <c r="P3238" s="9">
        <v>25.041947314744238</v>
      </c>
      <c r="Q3238" s="9">
        <v>25.041947314744238</v>
      </c>
      <c r="R3238" s="9">
        <v>27.456353403762161</v>
      </c>
      <c r="S3238" s="9">
        <v>30.106651570134346</v>
      </c>
      <c r="T3238" s="9">
        <v>32.38507785162065</v>
      </c>
      <c r="U3238" s="9">
        <v>39.429466811122886</v>
      </c>
      <c r="V3238" s="9">
        <v>39.429466811122886</v>
      </c>
      <c r="W3238" s="9">
        <v>39.429466811122886</v>
      </c>
      <c r="X3238" s="9">
        <v>47.435574821920561</v>
      </c>
      <c r="Y3238" s="9">
        <v>47.435574821920561</v>
      </c>
      <c r="Z3238" s="9">
        <v>55.548774102684064</v>
      </c>
      <c r="AA3238" s="9">
        <v>55.548774102684064</v>
      </c>
      <c r="AB3238" s="9">
        <v>63.779773780410025</v>
      </c>
      <c r="AC3238" s="9">
        <v>63.779773780410025</v>
      </c>
      <c r="AD3238" s="9">
        <v>74.232976377209724</v>
      </c>
      <c r="AE3238" s="9">
        <v>81.9014230099272</v>
      </c>
      <c r="AF3238" s="9">
        <v>89.711048815832598</v>
      </c>
      <c r="AG3238" s="9">
        <v>89.711048815832598</v>
      </c>
      <c r="AH3238" s="9">
        <v>98.594438447760481</v>
      </c>
      <c r="AI3238" s="9">
        <v>107.25818871858809</v>
      </c>
      <c r="AJ3238" s="9">
        <v>3.0428788910505911</v>
      </c>
    </row>
    <row r="3239" spans="1:36" x14ac:dyDescent="0.25">
      <c r="A3239" t="s">
        <v>5411</v>
      </c>
      <c r="B3239" t="s">
        <v>16</v>
      </c>
      <c r="C3239" t="s">
        <v>17</v>
      </c>
      <c r="D3239">
        <v>62870000</v>
      </c>
      <c r="E3239">
        <v>62874999</v>
      </c>
      <c r="F3239" t="s">
        <v>2912</v>
      </c>
      <c r="G3239" t="str">
        <f t="shared" si="100"/>
        <v>CEI</v>
      </c>
      <c r="H3239" t="s">
        <v>2815</v>
      </c>
      <c r="I3239" t="s">
        <v>20</v>
      </c>
      <c r="J3239" t="s">
        <v>62</v>
      </c>
      <c r="K3239" s="6">
        <v>0.03</v>
      </c>
      <c r="L3239" s="7">
        <f t="shared" si="101"/>
        <v>2E-3</v>
      </c>
      <c r="M3239" s="7">
        <v>3.0000000000000001E-3</v>
      </c>
      <c r="N3239">
        <v>10</v>
      </c>
      <c r="O3239" s="8">
        <v>20.496511113332595</v>
      </c>
      <c r="P3239" s="9">
        <v>20.496511113332595</v>
      </c>
      <c r="Q3239" s="9">
        <v>20.496511113332595</v>
      </c>
      <c r="R3239" s="9">
        <v>22.369233265005814</v>
      </c>
      <c r="S3239" s="9">
        <v>24.369791582598779</v>
      </c>
      <c r="T3239" s="9">
        <v>26.793872673985138</v>
      </c>
      <c r="U3239" s="9">
        <v>32.749697002694603</v>
      </c>
      <c r="V3239" s="9">
        <v>32.749697002694603</v>
      </c>
      <c r="W3239" s="9">
        <v>32.749697002694603</v>
      </c>
      <c r="X3239" s="9">
        <v>39.508877297592456</v>
      </c>
      <c r="Y3239" s="9">
        <v>39.508877297592456</v>
      </c>
      <c r="Z3239" s="9">
        <v>46.492680996235194</v>
      </c>
      <c r="AA3239" s="9">
        <v>46.492680996235194</v>
      </c>
      <c r="AB3239" s="9">
        <v>53.77149943190107</v>
      </c>
      <c r="AC3239" s="9">
        <v>53.77149943190107</v>
      </c>
      <c r="AD3239" s="9">
        <v>61.22621482724891</v>
      </c>
      <c r="AE3239" s="9">
        <v>68.879452688643582</v>
      </c>
      <c r="AF3239" s="9">
        <v>76.756825666485923</v>
      </c>
      <c r="AG3239" s="9">
        <v>76.756825666485923</v>
      </c>
      <c r="AH3239" s="9">
        <v>84.298379348358239</v>
      </c>
      <c r="AI3239" s="9">
        <v>92.367999054407335</v>
      </c>
      <c r="AJ3239" s="9">
        <v>3.0428788910505911</v>
      </c>
    </row>
    <row r="3240" spans="1:36" x14ac:dyDescent="0.25">
      <c r="A3240" t="s">
        <v>5411</v>
      </c>
      <c r="B3240" t="s">
        <v>16</v>
      </c>
      <c r="C3240" t="s">
        <v>17</v>
      </c>
      <c r="D3240">
        <v>62875000</v>
      </c>
      <c r="E3240">
        <v>62879999</v>
      </c>
      <c r="F3240" t="s">
        <v>2913</v>
      </c>
      <c r="G3240" t="str">
        <f t="shared" si="100"/>
        <v>CEI II</v>
      </c>
      <c r="H3240" t="s">
        <v>2815</v>
      </c>
      <c r="I3240" t="s">
        <v>20</v>
      </c>
      <c r="J3240" t="s">
        <v>64</v>
      </c>
      <c r="K3240" s="6">
        <v>0.03</v>
      </c>
      <c r="L3240" s="7">
        <f t="shared" si="101"/>
        <v>2E-3</v>
      </c>
      <c r="M3240" s="7">
        <v>3.0000000000000001E-3</v>
      </c>
      <c r="N3240">
        <v>14</v>
      </c>
      <c r="O3240" s="8">
        <v>25.041947314744238</v>
      </c>
      <c r="P3240" s="9">
        <v>25.041947314744238</v>
      </c>
      <c r="Q3240" s="9">
        <v>25.041947314744238</v>
      </c>
      <c r="R3240" s="9">
        <v>27.456353403762161</v>
      </c>
      <c r="S3240" s="9">
        <v>30.106651570134346</v>
      </c>
      <c r="T3240" s="9">
        <v>32.38507785162065</v>
      </c>
      <c r="U3240" s="9">
        <v>39.429466811122886</v>
      </c>
      <c r="V3240" s="9">
        <v>39.429466811122886</v>
      </c>
      <c r="W3240" s="9">
        <v>39.429466811122886</v>
      </c>
      <c r="X3240" s="9">
        <v>47.435574821920561</v>
      </c>
      <c r="Y3240" s="9">
        <v>47.435574821920561</v>
      </c>
      <c r="Z3240" s="9">
        <v>55.548774102684064</v>
      </c>
      <c r="AA3240" s="9">
        <v>55.548774102684064</v>
      </c>
      <c r="AB3240" s="9">
        <v>63.779773780410025</v>
      </c>
      <c r="AC3240" s="9">
        <v>63.779773780410025</v>
      </c>
      <c r="AD3240" s="9">
        <v>74.232976377209724</v>
      </c>
      <c r="AE3240" s="9">
        <v>81.9014230099272</v>
      </c>
      <c r="AF3240" s="9">
        <v>89.711048815832598</v>
      </c>
      <c r="AG3240" s="9">
        <v>89.711048815832598</v>
      </c>
      <c r="AH3240" s="9">
        <v>98.594438447760481</v>
      </c>
      <c r="AI3240" s="9">
        <v>107.25818871858809</v>
      </c>
      <c r="AJ3240" s="9">
        <v>3.0428788910505911</v>
      </c>
    </row>
    <row r="3241" spans="1:36" x14ac:dyDescent="0.25">
      <c r="A3241" t="s">
        <v>5411</v>
      </c>
      <c r="B3241" t="s">
        <v>16</v>
      </c>
      <c r="C3241" t="s">
        <v>17</v>
      </c>
      <c r="D3241">
        <v>62880000</v>
      </c>
      <c r="E3241">
        <v>62899999</v>
      </c>
      <c r="F3241" t="s">
        <v>2914</v>
      </c>
      <c r="G3241" t="str">
        <f t="shared" si="100"/>
        <v>CEI</v>
      </c>
      <c r="H3241" t="s">
        <v>2815</v>
      </c>
      <c r="I3241" t="s">
        <v>20</v>
      </c>
      <c r="J3241" t="s">
        <v>62</v>
      </c>
      <c r="K3241" s="6">
        <v>0.03</v>
      </c>
      <c r="L3241" s="7">
        <f t="shared" si="101"/>
        <v>2E-3</v>
      </c>
      <c r="M3241" s="7">
        <v>3.0000000000000001E-3</v>
      </c>
      <c r="N3241">
        <v>10</v>
      </c>
      <c r="O3241" s="8">
        <v>20.496511113332595</v>
      </c>
      <c r="P3241" s="9">
        <v>20.496511113332595</v>
      </c>
      <c r="Q3241" s="9">
        <v>20.496511113332595</v>
      </c>
      <c r="R3241" s="9">
        <v>22.369233265005814</v>
      </c>
      <c r="S3241" s="9">
        <v>24.369791582598779</v>
      </c>
      <c r="T3241" s="9">
        <v>26.793872673985138</v>
      </c>
      <c r="U3241" s="9">
        <v>32.749697002694603</v>
      </c>
      <c r="V3241" s="9">
        <v>32.749697002694603</v>
      </c>
      <c r="W3241" s="9">
        <v>32.749697002694603</v>
      </c>
      <c r="X3241" s="9">
        <v>39.508877297592456</v>
      </c>
      <c r="Y3241" s="9">
        <v>39.508877297592456</v>
      </c>
      <c r="Z3241" s="9">
        <v>46.492680996235194</v>
      </c>
      <c r="AA3241" s="9">
        <v>46.492680996235194</v>
      </c>
      <c r="AB3241" s="9">
        <v>53.77149943190107</v>
      </c>
      <c r="AC3241" s="9">
        <v>53.77149943190107</v>
      </c>
      <c r="AD3241" s="9">
        <v>61.22621482724891</v>
      </c>
      <c r="AE3241" s="9">
        <v>68.879452688643582</v>
      </c>
      <c r="AF3241" s="9">
        <v>76.756825666485923</v>
      </c>
      <c r="AG3241" s="9">
        <v>76.756825666485923</v>
      </c>
      <c r="AH3241" s="9">
        <v>84.298379348358239</v>
      </c>
      <c r="AI3241" s="9">
        <v>92.367999054407335</v>
      </c>
      <c r="AJ3241" s="9">
        <v>3.0428788910505911</v>
      </c>
    </row>
    <row r="3242" spans="1:36" x14ac:dyDescent="0.25">
      <c r="A3242" t="s">
        <v>5411</v>
      </c>
      <c r="B3242" t="s">
        <v>16</v>
      </c>
      <c r="C3242" t="s">
        <v>17</v>
      </c>
      <c r="D3242">
        <v>62900000</v>
      </c>
      <c r="E3242">
        <v>62909999</v>
      </c>
      <c r="F3242" t="s">
        <v>2915</v>
      </c>
      <c r="G3242" t="str">
        <f t="shared" si="100"/>
        <v>CEI</v>
      </c>
      <c r="H3242" t="s">
        <v>2815</v>
      </c>
      <c r="I3242" t="s">
        <v>20</v>
      </c>
      <c r="J3242" t="s">
        <v>62</v>
      </c>
      <c r="K3242" s="6">
        <v>0.03</v>
      </c>
      <c r="L3242" s="7">
        <f t="shared" si="101"/>
        <v>2E-3</v>
      </c>
      <c r="M3242" s="7">
        <v>3.0000000000000001E-3</v>
      </c>
      <c r="N3242">
        <v>12</v>
      </c>
      <c r="O3242" s="8">
        <v>20.496511113332595</v>
      </c>
      <c r="P3242" s="9">
        <v>20.496511113332595</v>
      </c>
      <c r="Q3242" s="9">
        <v>20.496511113332595</v>
      </c>
      <c r="R3242" s="9">
        <v>22.369233265005814</v>
      </c>
      <c r="S3242" s="9">
        <v>24.369791582598779</v>
      </c>
      <c r="T3242" s="9">
        <v>26.793872673985138</v>
      </c>
      <c r="U3242" s="9">
        <v>32.749697002694603</v>
      </c>
      <c r="V3242" s="9">
        <v>32.749697002694603</v>
      </c>
      <c r="W3242" s="9">
        <v>32.749697002694603</v>
      </c>
      <c r="X3242" s="9">
        <v>39.508877297592456</v>
      </c>
      <c r="Y3242" s="9">
        <v>39.508877297592456</v>
      </c>
      <c r="Z3242" s="9">
        <v>46.492680996235194</v>
      </c>
      <c r="AA3242" s="9">
        <v>46.492680996235194</v>
      </c>
      <c r="AB3242" s="9">
        <v>53.77149943190107</v>
      </c>
      <c r="AC3242" s="9">
        <v>53.77149943190107</v>
      </c>
      <c r="AD3242" s="9">
        <v>61.22621482724891</v>
      </c>
      <c r="AE3242" s="9">
        <v>68.879452688643582</v>
      </c>
      <c r="AF3242" s="9">
        <v>76.756825666485923</v>
      </c>
      <c r="AG3242" s="9">
        <v>76.756825666485923</v>
      </c>
      <c r="AH3242" s="9">
        <v>84.298379348358239</v>
      </c>
      <c r="AI3242" s="9">
        <v>92.367999054407335</v>
      </c>
      <c r="AJ3242" s="9">
        <v>3.0428788910505911</v>
      </c>
    </row>
    <row r="3243" spans="1:36" x14ac:dyDescent="0.25">
      <c r="A3243" t="s">
        <v>5411</v>
      </c>
      <c r="B3243" t="s">
        <v>16</v>
      </c>
      <c r="C3243" t="s">
        <v>17</v>
      </c>
      <c r="D3243">
        <v>62910000</v>
      </c>
      <c r="E3243">
        <v>62919999</v>
      </c>
      <c r="F3243" t="s">
        <v>2916</v>
      </c>
      <c r="G3243" t="str">
        <f t="shared" si="100"/>
        <v>CEI II</v>
      </c>
      <c r="H3243" t="s">
        <v>2815</v>
      </c>
      <c r="I3243" t="s">
        <v>20</v>
      </c>
      <c r="J3243" t="s">
        <v>64</v>
      </c>
      <c r="K3243" s="6">
        <v>0.03</v>
      </c>
      <c r="L3243" s="7">
        <f t="shared" si="101"/>
        <v>2E-3</v>
      </c>
      <c r="M3243" s="7">
        <v>3.0000000000000001E-3</v>
      </c>
      <c r="N3243">
        <v>14</v>
      </c>
      <c r="O3243" s="8">
        <v>25.041947314744238</v>
      </c>
      <c r="P3243" s="9">
        <v>25.041947314744238</v>
      </c>
      <c r="Q3243" s="9">
        <v>25.041947314744238</v>
      </c>
      <c r="R3243" s="9">
        <v>27.456353403762161</v>
      </c>
      <c r="S3243" s="9">
        <v>30.106651570134346</v>
      </c>
      <c r="T3243" s="9">
        <v>32.38507785162065</v>
      </c>
      <c r="U3243" s="9">
        <v>39.429466811122886</v>
      </c>
      <c r="V3243" s="9">
        <v>39.429466811122886</v>
      </c>
      <c r="W3243" s="9">
        <v>39.429466811122886</v>
      </c>
      <c r="X3243" s="9">
        <v>47.435574821920561</v>
      </c>
      <c r="Y3243" s="9">
        <v>47.435574821920561</v>
      </c>
      <c r="Z3243" s="9">
        <v>55.548774102684064</v>
      </c>
      <c r="AA3243" s="9">
        <v>55.548774102684064</v>
      </c>
      <c r="AB3243" s="9">
        <v>63.779773780410025</v>
      </c>
      <c r="AC3243" s="9">
        <v>63.779773780410025</v>
      </c>
      <c r="AD3243" s="9">
        <v>74.232976377209724</v>
      </c>
      <c r="AE3243" s="9">
        <v>81.9014230099272</v>
      </c>
      <c r="AF3243" s="9">
        <v>89.711048815832598</v>
      </c>
      <c r="AG3243" s="9">
        <v>89.711048815832598</v>
      </c>
      <c r="AH3243" s="9">
        <v>98.594438447760481</v>
      </c>
      <c r="AI3243" s="9">
        <v>107.25818871858809</v>
      </c>
      <c r="AJ3243" s="9">
        <v>3.0428788910505911</v>
      </c>
    </row>
    <row r="3244" spans="1:36" x14ac:dyDescent="0.25">
      <c r="A3244" t="s">
        <v>5411</v>
      </c>
      <c r="B3244" t="s">
        <v>16</v>
      </c>
      <c r="C3244" t="s">
        <v>17</v>
      </c>
      <c r="D3244">
        <v>62920000</v>
      </c>
      <c r="E3244">
        <v>62929999</v>
      </c>
      <c r="F3244" t="s">
        <v>2917</v>
      </c>
      <c r="G3244" t="str">
        <f t="shared" si="100"/>
        <v>CEI II</v>
      </c>
      <c r="H3244" t="s">
        <v>2815</v>
      </c>
      <c r="I3244" t="s">
        <v>20</v>
      </c>
      <c r="J3244" t="s">
        <v>64</v>
      </c>
      <c r="K3244" s="6">
        <v>0.03</v>
      </c>
      <c r="L3244" s="7">
        <f t="shared" si="101"/>
        <v>2E-3</v>
      </c>
      <c r="M3244" s="7">
        <v>3.0000000000000001E-3</v>
      </c>
      <c r="N3244">
        <v>14</v>
      </c>
      <c r="O3244" s="8">
        <v>25.041947314744238</v>
      </c>
      <c r="P3244" s="9">
        <v>25.041947314744238</v>
      </c>
      <c r="Q3244" s="9">
        <v>25.041947314744238</v>
      </c>
      <c r="R3244" s="9">
        <v>27.456353403762161</v>
      </c>
      <c r="S3244" s="9">
        <v>30.106651570134346</v>
      </c>
      <c r="T3244" s="9">
        <v>32.38507785162065</v>
      </c>
      <c r="U3244" s="9">
        <v>39.429466811122886</v>
      </c>
      <c r="V3244" s="9">
        <v>39.429466811122886</v>
      </c>
      <c r="W3244" s="9">
        <v>39.429466811122886</v>
      </c>
      <c r="X3244" s="9">
        <v>47.435574821920561</v>
      </c>
      <c r="Y3244" s="9">
        <v>47.435574821920561</v>
      </c>
      <c r="Z3244" s="9">
        <v>55.548774102684064</v>
      </c>
      <c r="AA3244" s="9">
        <v>55.548774102684064</v>
      </c>
      <c r="AB3244" s="9">
        <v>63.779773780410025</v>
      </c>
      <c r="AC3244" s="9">
        <v>63.779773780410025</v>
      </c>
      <c r="AD3244" s="9">
        <v>74.232976377209724</v>
      </c>
      <c r="AE3244" s="9">
        <v>81.9014230099272</v>
      </c>
      <c r="AF3244" s="9">
        <v>89.711048815832598</v>
      </c>
      <c r="AG3244" s="9">
        <v>89.711048815832598</v>
      </c>
      <c r="AH3244" s="9">
        <v>98.594438447760481</v>
      </c>
      <c r="AI3244" s="9">
        <v>107.25818871858809</v>
      </c>
      <c r="AJ3244" s="9">
        <v>3.0428788910505911</v>
      </c>
    </row>
    <row r="3245" spans="1:36" x14ac:dyDescent="0.25">
      <c r="A3245" t="s">
        <v>5411</v>
      </c>
      <c r="B3245" t="s">
        <v>16</v>
      </c>
      <c r="C3245" t="s">
        <v>17</v>
      </c>
      <c r="D3245">
        <v>62930000</v>
      </c>
      <c r="E3245">
        <v>62939999</v>
      </c>
      <c r="F3245" t="s">
        <v>2918</v>
      </c>
      <c r="G3245" t="str">
        <f t="shared" si="100"/>
        <v>CEI II</v>
      </c>
      <c r="H3245" t="s">
        <v>2815</v>
      </c>
      <c r="I3245" t="s">
        <v>20</v>
      </c>
      <c r="J3245" t="s">
        <v>64</v>
      </c>
      <c r="K3245" s="6">
        <v>0.03</v>
      </c>
      <c r="L3245" s="7">
        <f t="shared" si="101"/>
        <v>2E-3</v>
      </c>
      <c r="M3245" s="7">
        <v>3.0000000000000001E-3</v>
      </c>
      <c r="N3245">
        <v>12</v>
      </c>
      <c r="O3245" s="8">
        <v>25.041947314744238</v>
      </c>
      <c r="P3245" s="9">
        <v>25.041947314744238</v>
      </c>
      <c r="Q3245" s="9">
        <v>25.041947314744238</v>
      </c>
      <c r="R3245" s="9">
        <v>27.456353403762161</v>
      </c>
      <c r="S3245" s="9">
        <v>30.106651570134346</v>
      </c>
      <c r="T3245" s="9">
        <v>32.38507785162065</v>
      </c>
      <c r="U3245" s="9">
        <v>39.429466811122886</v>
      </c>
      <c r="V3245" s="9">
        <v>39.429466811122886</v>
      </c>
      <c r="W3245" s="9">
        <v>39.429466811122886</v>
      </c>
      <c r="X3245" s="9">
        <v>47.435574821920561</v>
      </c>
      <c r="Y3245" s="9">
        <v>47.435574821920561</v>
      </c>
      <c r="Z3245" s="9">
        <v>55.548774102684064</v>
      </c>
      <c r="AA3245" s="9">
        <v>55.548774102684064</v>
      </c>
      <c r="AB3245" s="9">
        <v>63.779773780410025</v>
      </c>
      <c r="AC3245" s="9">
        <v>63.779773780410025</v>
      </c>
      <c r="AD3245" s="9">
        <v>74.232976377209724</v>
      </c>
      <c r="AE3245" s="9">
        <v>81.9014230099272</v>
      </c>
      <c r="AF3245" s="9">
        <v>89.711048815832598</v>
      </c>
      <c r="AG3245" s="9">
        <v>89.711048815832598</v>
      </c>
      <c r="AH3245" s="9">
        <v>98.594438447760481</v>
      </c>
      <c r="AI3245" s="9">
        <v>107.25818871858809</v>
      </c>
      <c r="AJ3245" s="9">
        <v>3.0428788910505911</v>
      </c>
    </row>
    <row r="3246" spans="1:36" x14ac:dyDescent="0.25">
      <c r="A3246" t="s">
        <v>5411</v>
      </c>
      <c r="B3246" t="s">
        <v>16</v>
      </c>
      <c r="C3246" t="s">
        <v>17</v>
      </c>
      <c r="D3246">
        <v>62940000</v>
      </c>
      <c r="E3246">
        <v>62954999</v>
      </c>
      <c r="F3246" t="s">
        <v>2919</v>
      </c>
      <c r="G3246" t="str">
        <f t="shared" si="100"/>
        <v>CEI II</v>
      </c>
      <c r="H3246" t="s">
        <v>2815</v>
      </c>
      <c r="I3246" t="s">
        <v>20</v>
      </c>
      <c r="J3246" t="s">
        <v>64</v>
      </c>
      <c r="K3246" s="6">
        <v>0.03</v>
      </c>
      <c r="L3246" s="7">
        <f t="shared" si="101"/>
        <v>2E-3</v>
      </c>
      <c r="M3246" s="7">
        <v>3.0000000000000001E-3</v>
      </c>
      <c r="N3246">
        <v>14</v>
      </c>
      <c r="O3246" s="8">
        <v>25.041947314744238</v>
      </c>
      <c r="P3246" s="9">
        <v>25.041947314744238</v>
      </c>
      <c r="Q3246" s="9">
        <v>25.041947314744238</v>
      </c>
      <c r="R3246" s="9">
        <v>27.456353403762161</v>
      </c>
      <c r="S3246" s="9">
        <v>30.106651570134346</v>
      </c>
      <c r="T3246" s="9">
        <v>32.38507785162065</v>
      </c>
      <c r="U3246" s="9">
        <v>39.429466811122886</v>
      </c>
      <c r="V3246" s="9">
        <v>39.429466811122886</v>
      </c>
      <c r="W3246" s="9">
        <v>39.429466811122886</v>
      </c>
      <c r="X3246" s="9">
        <v>47.435574821920561</v>
      </c>
      <c r="Y3246" s="9">
        <v>47.435574821920561</v>
      </c>
      <c r="Z3246" s="9">
        <v>55.548774102684064</v>
      </c>
      <c r="AA3246" s="9">
        <v>55.548774102684064</v>
      </c>
      <c r="AB3246" s="9">
        <v>63.779773780410025</v>
      </c>
      <c r="AC3246" s="9">
        <v>63.779773780410025</v>
      </c>
      <c r="AD3246" s="9">
        <v>74.232976377209724</v>
      </c>
      <c r="AE3246" s="9">
        <v>81.9014230099272</v>
      </c>
      <c r="AF3246" s="9">
        <v>89.711048815832598</v>
      </c>
      <c r="AG3246" s="9">
        <v>89.711048815832598</v>
      </c>
      <c r="AH3246" s="9">
        <v>98.594438447760481</v>
      </c>
      <c r="AI3246" s="9">
        <v>107.25818871858809</v>
      </c>
      <c r="AJ3246" s="9">
        <v>3.0428788910505911</v>
      </c>
    </row>
    <row r="3247" spans="1:36" x14ac:dyDescent="0.25">
      <c r="A3247" t="s">
        <v>5411</v>
      </c>
      <c r="B3247" t="s">
        <v>16</v>
      </c>
      <c r="C3247" t="s">
        <v>17</v>
      </c>
      <c r="D3247">
        <v>62955000</v>
      </c>
      <c r="E3247">
        <v>62959999</v>
      </c>
      <c r="F3247" t="s">
        <v>2920</v>
      </c>
      <c r="G3247" t="str">
        <f t="shared" si="100"/>
        <v>CEI II</v>
      </c>
      <c r="H3247" t="s">
        <v>2815</v>
      </c>
      <c r="I3247" t="s">
        <v>20</v>
      </c>
      <c r="J3247" t="s">
        <v>64</v>
      </c>
      <c r="K3247" s="6">
        <v>0.03</v>
      </c>
      <c r="L3247" s="7">
        <f t="shared" si="101"/>
        <v>2E-3</v>
      </c>
      <c r="M3247" s="7">
        <v>3.0000000000000001E-3</v>
      </c>
      <c r="N3247">
        <v>14</v>
      </c>
      <c r="O3247" s="8">
        <v>25.041947314744238</v>
      </c>
      <c r="P3247" s="9">
        <v>25.041947314744238</v>
      </c>
      <c r="Q3247" s="9">
        <v>25.041947314744238</v>
      </c>
      <c r="R3247" s="9">
        <v>27.456353403762161</v>
      </c>
      <c r="S3247" s="9">
        <v>30.106651570134346</v>
      </c>
      <c r="T3247" s="9">
        <v>32.38507785162065</v>
      </c>
      <c r="U3247" s="9">
        <v>39.429466811122886</v>
      </c>
      <c r="V3247" s="9">
        <v>39.429466811122886</v>
      </c>
      <c r="W3247" s="9">
        <v>39.429466811122886</v>
      </c>
      <c r="X3247" s="9">
        <v>47.435574821920561</v>
      </c>
      <c r="Y3247" s="9">
        <v>47.435574821920561</v>
      </c>
      <c r="Z3247" s="9">
        <v>55.548774102684064</v>
      </c>
      <c r="AA3247" s="9">
        <v>55.548774102684064</v>
      </c>
      <c r="AB3247" s="9">
        <v>63.779773780410025</v>
      </c>
      <c r="AC3247" s="9">
        <v>63.779773780410025</v>
      </c>
      <c r="AD3247" s="9">
        <v>74.232976377209724</v>
      </c>
      <c r="AE3247" s="9">
        <v>81.9014230099272</v>
      </c>
      <c r="AF3247" s="9">
        <v>89.711048815832598</v>
      </c>
      <c r="AG3247" s="9">
        <v>89.711048815832598</v>
      </c>
      <c r="AH3247" s="9">
        <v>98.594438447760481</v>
      </c>
      <c r="AI3247" s="9">
        <v>107.25818871858809</v>
      </c>
      <c r="AJ3247" s="9">
        <v>3.0428788910505911</v>
      </c>
    </row>
    <row r="3248" spans="1:36" x14ac:dyDescent="0.25">
      <c r="A3248" t="s">
        <v>5411</v>
      </c>
      <c r="B3248" t="s">
        <v>16</v>
      </c>
      <c r="C3248" t="s">
        <v>17</v>
      </c>
      <c r="D3248">
        <v>62960000</v>
      </c>
      <c r="E3248">
        <v>62964999</v>
      </c>
      <c r="F3248" t="s">
        <v>2921</v>
      </c>
      <c r="G3248" t="str">
        <f t="shared" si="100"/>
        <v>CEI II</v>
      </c>
      <c r="H3248" t="s">
        <v>2815</v>
      </c>
      <c r="I3248" t="s">
        <v>20</v>
      </c>
      <c r="J3248" t="s">
        <v>64</v>
      </c>
      <c r="K3248" s="6">
        <v>0.03</v>
      </c>
      <c r="L3248" s="7">
        <f t="shared" si="101"/>
        <v>2E-3</v>
      </c>
      <c r="M3248" s="7">
        <v>3.0000000000000001E-3</v>
      </c>
      <c r="N3248">
        <v>14</v>
      </c>
      <c r="O3248" s="8">
        <v>25.041947314744238</v>
      </c>
      <c r="P3248" s="9">
        <v>25.041947314744238</v>
      </c>
      <c r="Q3248" s="9">
        <v>25.041947314744238</v>
      </c>
      <c r="R3248" s="9">
        <v>27.456353403762161</v>
      </c>
      <c r="S3248" s="9">
        <v>30.106651570134346</v>
      </c>
      <c r="T3248" s="9">
        <v>32.38507785162065</v>
      </c>
      <c r="U3248" s="9">
        <v>39.429466811122886</v>
      </c>
      <c r="V3248" s="9">
        <v>39.429466811122886</v>
      </c>
      <c r="W3248" s="9">
        <v>39.429466811122886</v>
      </c>
      <c r="X3248" s="9">
        <v>47.435574821920561</v>
      </c>
      <c r="Y3248" s="9">
        <v>47.435574821920561</v>
      </c>
      <c r="Z3248" s="9">
        <v>55.548774102684064</v>
      </c>
      <c r="AA3248" s="9">
        <v>55.548774102684064</v>
      </c>
      <c r="AB3248" s="9">
        <v>63.779773780410025</v>
      </c>
      <c r="AC3248" s="9">
        <v>63.779773780410025</v>
      </c>
      <c r="AD3248" s="9">
        <v>74.232976377209724</v>
      </c>
      <c r="AE3248" s="9">
        <v>81.9014230099272</v>
      </c>
      <c r="AF3248" s="9">
        <v>89.711048815832598</v>
      </c>
      <c r="AG3248" s="9">
        <v>89.711048815832598</v>
      </c>
      <c r="AH3248" s="9">
        <v>98.594438447760481</v>
      </c>
      <c r="AI3248" s="9">
        <v>107.25818871858809</v>
      </c>
      <c r="AJ3248" s="9">
        <v>3.0428788910505911</v>
      </c>
    </row>
    <row r="3249" spans="1:36" x14ac:dyDescent="0.25">
      <c r="A3249" t="s">
        <v>5411</v>
      </c>
      <c r="B3249" t="s">
        <v>16</v>
      </c>
      <c r="C3249" t="s">
        <v>17</v>
      </c>
      <c r="D3249">
        <v>62965000</v>
      </c>
      <c r="E3249">
        <v>62969999</v>
      </c>
      <c r="F3249" t="s">
        <v>2922</v>
      </c>
      <c r="G3249" t="str">
        <f t="shared" si="100"/>
        <v>CEI II</v>
      </c>
      <c r="H3249" t="s">
        <v>2815</v>
      </c>
      <c r="I3249" t="s">
        <v>20</v>
      </c>
      <c r="J3249" t="s">
        <v>64</v>
      </c>
      <c r="K3249" s="6">
        <v>0.03</v>
      </c>
      <c r="L3249" s="7">
        <f t="shared" si="101"/>
        <v>2E-3</v>
      </c>
      <c r="M3249" s="7">
        <v>3.0000000000000001E-3</v>
      </c>
      <c r="N3249">
        <v>14</v>
      </c>
      <c r="O3249" s="8">
        <v>25.041947314744238</v>
      </c>
      <c r="P3249" s="9">
        <v>25.041947314744238</v>
      </c>
      <c r="Q3249" s="9">
        <v>25.041947314744238</v>
      </c>
      <c r="R3249" s="9">
        <v>27.456353403762161</v>
      </c>
      <c r="S3249" s="9">
        <v>30.106651570134346</v>
      </c>
      <c r="T3249" s="9">
        <v>32.38507785162065</v>
      </c>
      <c r="U3249" s="9">
        <v>39.429466811122886</v>
      </c>
      <c r="V3249" s="9">
        <v>39.429466811122886</v>
      </c>
      <c r="W3249" s="9">
        <v>39.429466811122886</v>
      </c>
      <c r="X3249" s="9">
        <v>47.435574821920561</v>
      </c>
      <c r="Y3249" s="9">
        <v>47.435574821920561</v>
      </c>
      <c r="Z3249" s="9">
        <v>55.548774102684064</v>
      </c>
      <c r="AA3249" s="9">
        <v>55.548774102684064</v>
      </c>
      <c r="AB3249" s="9">
        <v>63.779773780410025</v>
      </c>
      <c r="AC3249" s="9">
        <v>63.779773780410025</v>
      </c>
      <c r="AD3249" s="9">
        <v>74.232976377209724</v>
      </c>
      <c r="AE3249" s="9">
        <v>81.9014230099272</v>
      </c>
      <c r="AF3249" s="9">
        <v>89.711048815832598</v>
      </c>
      <c r="AG3249" s="9">
        <v>89.711048815832598</v>
      </c>
      <c r="AH3249" s="9">
        <v>98.594438447760481</v>
      </c>
      <c r="AI3249" s="9">
        <v>107.25818871858809</v>
      </c>
      <c r="AJ3249" s="9">
        <v>3.0428788910505911</v>
      </c>
    </row>
    <row r="3250" spans="1:36" x14ac:dyDescent="0.25">
      <c r="A3250" t="s">
        <v>5411</v>
      </c>
      <c r="B3250" t="s">
        <v>16</v>
      </c>
      <c r="C3250" t="s">
        <v>17</v>
      </c>
      <c r="D3250">
        <v>62970000</v>
      </c>
      <c r="E3250">
        <v>62979999</v>
      </c>
      <c r="F3250" t="s">
        <v>2923</v>
      </c>
      <c r="G3250" t="str">
        <f t="shared" si="100"/>
        <v>CEI II</v>
      </c>
      <c r="H3250" t="s">
        <v>2815</v>
      </c>
      <c r="I3250" t="s">
        <v>20</v>
      </c>
      <c r="J3250" t="s">
        <v>64</v>
      </c>
      <c r="K3250" s="6">
        <v>0.03</v>
      </c>
      <c r="L3250" s="7">
        <f t="shared" si="101"/>
        <v>2E-3</v>
      </c>
      <c r="M3250" s="7">
        <v>3.0000000000000001E-3</v>
      </c>
      <c r="N3250">
        <v>14</v>
      </c>
      <c r="O3250" s="8">
        <v>25.041947314744238</v>
      </c>
      <c r="P3250" s="9">
        <v>25.041947314744238</v>
      </c>
      <c r="Q3250" s="9">
        <v>25.041947314744238</v>
      </c>
      <c r="R3250" s="9">
        <v>27.456353403762161</v>
      </c>
      <c r="S3250" s="9">
        <v>30.106651570134346</v>
      </c>
      <c r="T3250" s="9">
        <v>32.38507785162065</v>
      </c>
      <c r="U3250" s="9">
        <v>39.429466811122886</v>
      </c>
      <c r="V3250" s="9">
        <v>39.429466811122886</v>
      </c>
      <c r="W3250" s="9">
        <v>39.429466811122886</v>
      </c>
      <c r="X3250" s="9">
        <v>47.435574821920561</v>
      </c>
      <c r="Y3250" s="9">
        <v>47.435574821920561</v>
      </c>
      <c r="Z3250" s="9">
        <v>55.548774102684064</v>
      </c>
      <c r="AA3250" s="9">
        <v>55.548774102684064</v>
      </c>
      <c r="AB3250" s="9">
        <v>63.779773780410025</v>
      </c>
      <c r="AC3250" s="9">
        <v>63.779773780410025</v>
      </c>
      <c r="AD3250" s="9">
        <v>74.232976377209724</v>
      </c>
      <c r="AE3250" s="9">
        <v>81.9014230099272</v>
      </c>
      <c r="AF3250" s="9">
        <v>89.711048815832598</v>
      </c>
      <c r="AG3250" s="9">
        <v>89.711048815832598</v>
      </c>
      <c r="AH3250" s="9">
        <v>98.594438447760481</v>
      </c>
      <c r="AI3250" s="9">
        <v>107.25818871858809</v>
      </c>
      <c r="AJ3250" s="9">
        <v>3.0428788910505911</v>
      </c>
    </row>
    <row r="3251" spans="1:36" x14ac:dyDescent="0.25">
      <c r="A3251" t="s">
        <v>5411</v>
      </c>
      <c r="B3251" t="s">
        <v>16</v>
      </c>
      <c r="C3251" t="s">
        <v>17</v>
      </c>
      <c r="D3251">
        <v>62980000</v>
      </c>
      <c r="E3251">
        <v>62989999</v>
      </c>
      <c r="F3251" t="s">
        <v>2924</v>
      </c>
      <c r="G3251" t="str">
        <f t="shared" si="100"/>
        <v>CEI II</v>
      </c>
      <c r="H3251" t="s">
        <v>2815</v>
      </c>
      <c r="I3251" t="s">
        <v>20</v>
      </c>
      <c r="J3251" t="s">
        <v>64</v>
      </c>
      <c r="K3251" s="6">
        <v>0.03</v>
      </c>
      <c r="L3251" s="7">
        <f t="shared" si="101"/>
        <v>2E-3</v>
      </c>
      <c r="M3251" s="7">
        <v>3.0000000000000001E-3</v>
      </c>
      <c r="N3251">
        <v>14</v>
      </c>
      <c r="O3251" s="8">
        <v>25.041947314744238</v>
      </c>
      <c r="P3251" s="9">
        <v>25.041947314744238</v>
      </c>
      <c r="Q3251" s="9">
        <v>25.041947314744238</v>
      </c>
      <c r="R3251" s="9">
        <v>27.456353403762161</v>
      </c>
      <c r="S3251" s="9">
        <v>30.106651570134346</v>
      </c>
      <c r="T3251" s="9">
        <v>32.38507785162065</v>
      </c>
      <c r="U3251" s="9">
        <v>39.429466811122886</v>
      </c>
      <c r="V3251" s="9">
        <v>39.429466811122886</v>
      </c>
      <c r="W3251" s="9">
        <v>39.429466811122886</v>
      </c>
      <c r="X3251" s="9">
        <v>47.435574821920561</v>
      </c>
      <c r="Y3251" s="9">
        <v>47.435574821920561</v>
      </c>
      <c r="Z3251" s="9">
        <v>55.548774102684064</v>
      </c>
      <c r="AA3251" s="9">
        <v>55.548774102684064</v>
      </c>
      <c r="AB3251" s="9">
        <v>63.779773780410025</v>
      </c>
      <c r="AC3251" s="9">
        <v>63.779773780410025</v>
      </c>
      <c r="AD3251" s="9">
        <v>74.232976377209724</v>
      </c>
      <c r="AE3251" s="9">
        <v>81.9014230099272</v>
      </c>
      <c r="AF3251" s="9">
        <v>89.711048815832598</v>
      </c>
      <c r="AG3251" s="9">
        <v>89.711048815832598</v>
      </c>
      <c r="AH3251" s="9">
        <v>98.594438447760481</v>
      </c>
      <c r="AI3251" s="9">
        <v>107.25818871858809</v>
      </c>
      <c r="AJ3251" s="9">
        <v>3.0428788910505911</v>
      </c>
    </row>
    <row r="3252" spans="1:36" x14ac:dyDescent="0.25">
      <c r="A3252" t="s">
        <v>5411</v>
      </c>
      <c r="B3252" t="s">
        <v>16</v>
      </c>
      <c r="C3252" t="s">
        <v>17</v>
      </c>
      <c r="D3252">
        <v>62990000</v>
      </c>
      <c r="E3252">
        <v>62999999</v>
      </c>
      <c r="F3252" t="s">
        <v>2925</v>
      </c>
      <c r="G3252" t="str">
        <f t="shared" si="100"/>
        <v>CEI II</v>
      </c>
      <c r="H3252" t="s">
        <v>2815</v>
      </c>
      <c r="I3252" t="s">
        <v>20</v>
      </c>
      <c r="J3252" t="s">
        <v>64</v>
      </c>
      <c r="K3252" s="6">
        <v>0.03</v>
      </c>
      <c r="L3252" s="7">
        <f t="shared" si="101"/>
        <v>2E-3</v>
      </c>
      <c r="M3252" s="7">
        <v>3.0000000000000001E-3</v>
      </c>
      <c r="N3252">
        <v>14</v>
      </c>
      <c r="O3252" s="8">
        <v>25.041947314744238</v>
      </c>
      <c r="P3252" s="9">
        <v>25.041947314744238</v>
      </c>
      <c r="Q3252" s="9">
        <v>25.041947314744238</v>
      </c>
      <c r="R3252" s="9">
        <v>27.456353403762161</v>
      </c>
      <c r="S3252" s="9">
        <v>30.106651570134346</v>
      </c>
      <c r="T3252" s="9">
        <v>32.38507785162065</v>
      </c>
      <c r="U3252" s="9">
        <v>39.429466811122886</v>
      </c>
      <c r="V3252" s="9">
        <v>39.429466811122886</v>
      </c>
      <c r="W3252" s="9">
        <v>39.429466811122886</v>
      </c>
      <c r="X3252" s="9">
        <v>47.435574821920561</v>
      </c>
      <c r="Y3252" s="9">
        <v>47.435574821920561</v>
      </c>
      <c r="Z3252" s="9">
        <v>55.548774102684064</v>
      </c>
      <c r="AA3252" s="9">
        <v>55.548774102684064</v>
      </c>
      <c r="AB3252" s="9">
        <v>63.779773780410025</v>
      </c>
      <c r="AC3252" s="9">
        <v>63.779773780410025</v>
      </c>
      <c r="AD3252" s="9">
        <v>74.232976377209724</v>
      </c>
      <c r="AE3252" s="9">
        <v>81.9014230099272</v>
      </c>
      <c r="AF3252" s="9">
        <v>89.711048815832598</v>
      </c>
      <c r="AG3252" s="9">
        <v>89.711048815832598</v>
      </c>
      <c r="AH3252" s="9">
        <v>98.594438447760481</v>
      </c>
      <c r="AI3252" s="9">
        <v>107.25818871858809</v>
      </c>
      <c r="AJ3252" s="9">
        <v>3.0428788910505911</v>
      </c>
    </row>
    <row r="3253" spans="1:36" x14ac:dyDescent="0.25">
      <c r="A3253" t="s">
        <v>5411</v>
      </c>
      <c r="B3253" t="s">
        <v>16</v>
      </c>
      <c r="C3253" t="s">
        <v>17</v>
      </c>
      <c r="D3253">
        <v>63000000</v>
      </c>
      <c r="E3253">
        <v>63099999</v>
      </c>
      <c r="F3253" t="s">
        <v>2926</v>
      </c>
      <c r="G3253" t="str">
        <f t="shared" si="100"/>
        <v>CEI</v>
      </c>
      <c r="H3253" t="s">
        <v>2815</v>
      </c>
      <c r="I3253" t="s">
        <v>20</v>
      </c>
      <c r="J3253" t="s">
        <v>62</v>
      </c>
      <c r="K3253" s="6">
        <v>0.03</v>
      </c>
      <c r="L3253" s="7">
        <f t="shared" si="101"/>
        <v>2E-3</v>
      </c>
      <c r="M3253" s="7">
        <v>3.0000000000000001E-3</v>
      </c>
      <c r="N3253">
        <v>11</v>
      </c>
      <c r="O3253" s="8">
        <v>20.496511113332595</v>
      </c>
      <c r="P3253" s="9">
        <v>20.496511113332595</v>
      </c>
      <c r="Q3253" s="9">
        <v>20.496511113332595</v>
      </c>
      <c r="R3253" s="9">
        <v>22.369233265005814</v>
      </c>
      <c r="S3253" s="9">
        <v>24.369791582598779</v>
      </c>
      <c r="T3253" s="9">
        <v>26.793872673985138</v>
      </c>
      <c r="U3253" s="9">
        <v>32.749697002694603</v>
      </c>
      <c r="V3253" s="9">
        <v>32.749697002694603</v>
      </c>
      <c r="W3253" s="9">
        <v>32.749697002694603</v>
      </c>
      <c r="X3253" s="9">
        <v>39.508877297592456</v>
      </c>
      <c r="Y3253" s="9">
        <v>39.508877297592456</v>
      </c>
      <c r="Z3253" s="9">
        <v>46.492680996235194</v>
      </c>
      <c r="AA3253" s="9">
        <v>46.492680996235194</v>
      </c>
      <c r="AB3253" s="9">
        <v>53.77149943190107</v>
      </c>
      <c r="AC3253" s="9">
        <v>53.77149943190107</v>
      </c>
      <c r="AD3253" s="9">
        <v>61.22621482724891</v>
      </c>
      <c r="AE3253" s="9">
        <v>68.879452688643582</v>
      </c>
      <c r="AF3253" s="9">
        <v>76.756825666485923</v>
      </c>
      <c r="AG3253" s="9">
        <v>76.756825666485923</v>
      </c>
      <c r="AH3253" s="9">
        <v>84.298379348358239</v>
      </c>
      <c r="AI3253" s="9">
        <v>92.367999054407335</v>
      </c>
      <c r="AJ3253" s="9">
        <v>3.0428788910505911</v>
      </c>
    </row>
    <row r="3254" spans="1:36" x14ac:dyDescent="0.25">
      <c r="A3254" t="s">
        <v>5411</v>
      </c>
      <c r="B3254" t="s">
        <v>16</v>
      </c>
      <c r="C3254" t="s">
        <v>17</v>
      </c>
      <c r="D3254">
        <v>63100000</v>
      </c>
      <c r="E3254">
        <v>63135999</v>
      </c>
      <c r="F3254" t="s">
        <v>2927</v>
      </c>
      <c r="G3254" t="str">
        <f t="shared" si="100"/>
        <v>CEI</v>
      </c>
      <c r="H3254" t="s">
        <v>2815</v>
      </c>
      <c r="I3254" t="s">
        <v>20</v>
      </c>
      <c r="J3254" t="s">
        <v>62</v>
      </c>
      <c r="K3254" s="6">
        <v>0.03</v>
      </c>
      <c r="L3254" s="7">
        <f t="shared" si="101"/>
        <v>2E-3</v>
      </c>
      <c r="M3254" s="7">
        <v>3.0000000000000001E-3</v>
      </c>
      <c r="N3254">
        <v>13</v>
      </c>
      <c r="O3254" s="8">
        <v>20.496511113332595</v>
      </c>
      <c r="P3254" s="9">
        <v>20.496511113332595</v>
      </c>
      <c r="Q3254" s="9">
        <v>20.496511113332595</v>
      </c>
      <c r="R3254" s="9">
        <v>22.369233265005814</v>
      </c>
      <c r="S3254" s="9">
        <v>24.369791582598779</v>
      </c>
      <c r="T3254" s="9">
        <v>26.793872673985138</v>
      </c>
      <c r="U3254" s="9">
        <v>32.749697002694603</v>
      </c>
      <c r="V3254" s="9">
        <v>32.749697002694603</v>
      </c>
      <c r="W3254" s="9">
        <v>32.749697002694603</v>
      </c>
      <c r="X3254" s="9">
        <v>39.508877297592456</v>
      </c>
      <c r="Y3254" s="9">
        <v>39.508877297592456</v>
      </c>
      <c r="Z3254" s="9">
        <v>46.492680996235194</v>
      </c>
      <c r="AA3254" s="9">
        <v>46.492680996235194</v>
      </c>
      <c r="AB3254" s="9">
        <v>53.77149943190107</v>
      </c>
      <c r="AC3254" s="9">
        <v>53.77149943190107</v>
      </c>
      <c r="AD3254" s="9">
        <v>61.22621482724891</v>
      </c>
      <c r="AE3254" s="9">
        <v>68.879452688643582</v>
      </c>
      <c r="AF3254" s="9">
        <v>76.756825666485923</v>
      </c>
      <c r="AG3254" s="9">
        <v>76.756825666485923</v>
      </c>
      <c r="AH3254" s="9">
        <v>84.298379348358239</v>
      </c>
      <c r="AI3254" s="9">
        <v>92.367999054407335</v>
      </c>
      <c r="AJ3254" s="9">
        <v>3.0428788910505911</v>
      </c>
    </row>
    <row r="3255" spans="1:36" x14ac:dyDescent="0.25">
      <c r="A3255" t="s">
        <v>5411</v>
      </c>
      <c r="B3255" t="s">
        <v>16</v>
      </c>
      <c r="C3255" t="s">
        <v>17</v>
      </c>
      <c r="D3255">
        <v>63136000</v>
      </c>
      <c r="E3255">
        <v>63139999</v>
      </c>
      <c r="F3255" t="s">
        <v>2928</v>
      </c>
      <c r="G3255" t="str">
        <f t="shared" si="100"/>
        <v>CEI II</v>
      </c>
      <c r="H3255" t="s">
        <v>2815</v>
      </c>
      <c r="I3255" t="s">
        <v>22</v>
      </c>
      <c r="J3255" t="s">
        <v>64</v>
      </c>
      <c r="K3255" s="6">
        <v>0.03</v>
      </c>
      <c r="L3255" s="7">
        <f t="shared" si="101"/>
        <v>0.03</v>
      </c>
      <c r="M3255" s="7">
        <v>3.0000000000000001E-3</v>
      </c>
      <c r="N3255">
        <v>11</v>
      </c>
      <c r="O3255" s="8">
        <v>25.041947314744238</v>
      </c>
      <c r="P3255" s="9">
        <v>25.041947314744238</v>
      </c>
      <c r="Q3255" s="9">
        <v>25.041947314744238</v>
      </c>
      <c r="R3255" s="9">
        <v>27.456353403762161</v>
      </c>
      <c r="S3255" s="9">
        <v>30.106651570134346</v>
      </c>
      <c r="T3255" s="9">
        <v>32.38507785162065</v>
      </c>
      <c r="U3255" s="9">
        <v>39.429466811122886</v>
      </c>
      <c r="V3255" s="9">
        <v>39.429466811122886</v>
      </c>
      <c r="W3255" s="9">
        <v>39.429466811122886</v>
      </c>
      <c r="X3255" s="9">
        <v>47.435574821920561</v>
      </c>
      <c r="Y3255" s="9">
        <v>47.435574821920561</v>
      </c>
      <c r="Z3255" s="9">
        <v>55.548774102684064</v>
      </c>
      <c r="AA3255" s="9">
        <v>55.548774102684064</v>
      </c>
      <c r="AB3255" s="9">
        <v>63.779773780410025</v>
      </c>
      <c r="AC3255" s="9">
        <v>63.779773780410025</v>
      </c>
      <c r="AD3255" s="9">
        <v>74.232976377209724</v>
      </c>
      <c r="AE3255" s="9">
        <v>81.9014230099272</v>
      </c>
      <c r="AF3255" s="9">
        <v>89.711048815832598</v>
      </c>
      <c r="AG3255" s="9">
        <v>89.711048815832598</v>
      </c>
      <c r="AH3255" s="9">
        <v>98.594438447760481</v>
      </c>
      <c r="AI3255" s="9">
        <v>107.25818871858809</v>
      </c>
      <c r="AJ3255" s="9">
        <v>3.0428788910505911</v>
      </c>
    </row>
    <row r="3256" spans="1:36" x14ac:dyDescent="0.25">
      <c r="A3256" t="s">
        <v>5411</v>
      </c>
      <c r="B3256" t="s">
        <v>16</v>
      </c>
      <c r="C3256" t="s">
        <v>17</v>
      </c>
      <c r="D3256">
        <v>63140000</v>
      </c>
      <c r="E3256">
        <v>63144999</v>
      </c>
      <c r="F3256" t="s">
        <v>2929</v>
      </c>
      <c r="G3256" t="str">
        <f t="shared" si="100"/>
        <v>CEI II</v>
      </c>
      <c r="H3256" t="s">
        <v>2815</v>
      </c>
      <c r="I3256" t="s">
        <v>20</v>
      </c>
      <c r="J3256" t="s">
        <v>64</v>
      </c>
      <c r="K3256" s="6">
        <v>0.03</v>
      </c>
      <c r="L3256" s="7">
        <f t="shared" si="101"/>
        <v>2E-3</v>
      </c>
      <c r="M3256" s="7">
        <v>3.0000000000000001E-3</v>
      </c>
      <c r="N3256">
        <v>14</v>
      </c>
      <c r="O3256" s="8">
        <v>25.041947314744238</v>
      </c>
      <c r="P3256" s="9">
        <v>25.041947314744238</v>
      </c>
      <c r="Q3256" s="9">
        <v>25.041947314744238</v>
      </c>
      <c r="R3256" s="9">
        <v>27.456353403762161</v>
      </c>
      <c r="S3256" s="9">
        <v>30.106651570134346</v>
      </c>
      <c r="T3256" s="9">
        <v>32.38507785162065</v>
      </c>
      <c r="U3256" s="9">
        <v>39.429466811122886</v>
      </c>
      <c r="V3256" s="9">
        <v>39.429466811122886</v>
      </c>
      <c r="W3256" s="9">
        <v>39.429466811122886</v>
      </c>
      <c r="X3256" s="9">
        <v>47.435574821920561</v>
      </c>
      <c r="Y3256" s="9">
        <v>47.435574821920561</v>
      </c>
      <c r="Z3256" s="9">
        <v>55.548774102684064</v>
      </c>
      <c r="AA3256" s="9">
        <v>55.548774102684064</v>
      </c>
      <c r="AB3256" s="9">
        <v>63.779773780410025</v>
      </c>
      <c r="AC3256" s="9">
        <v>63.779773780410025</v>
      </c>
      <c r="AD3256" s="9">
        <v>74.232976377209724</v>
      </c>
      <c r="AE3256" s="9">
        <v>81.9014230099272</v>
      </c>
      <c r="AF3256" s="9">
        <v>89.711048815832598</v>
      </c>
      <c r="AG3256" s="9">
        <v>89.711048815832598</v>
      </c>
      <c r="AH3256" s="9">
        <v>98.594438447760481</v>
      </c>
      <c r="AI3256" s="9">
        <v>107.25818871858809</v>
      </c>
      <c r="AJ3256" s="9">
        <v>3.0428788910505911</v>
      </c>
    </row>
    <row r="3257" spans="1:36" x14ac:dyDescent="0.25">
      <c r="A3257" t="s">
        <v>5411</v>
      </c>
      <c r="B3257" t="s">
        <v>16</v>
      </c>
      <c r="C3257" t="s">
        <v>17</v>
      </c>
      <c r="D3257">
        <v>63145000</v>
      </c>
      <c r="E3257">
        <v>63149999</v>
      </c>
      <c r="F3257" t="s">
        <v>2930</v>
      </c>
      <c r="G3257" t="str">
        <f t="shared" si="100"/>
        <v>CEI II</v>
      </c>
      <c r="H3257" t="s">
        <v>2815</v>
      </c>
      <c r="I3257" t="s">
        <v>20</v>
      </c>
      <c r="J3257" t="s">
        <v>64</v>
      </c>
      <c r="K3257" s="6">
        <v>0.03</v>
      </c>
      <c r="L3257" s="7">
        <f t="shared" si="101"/>
        <v>2E-3</v>
      </c>
      <c r="M3257" s="7">
        <v>3.0000000000000001E-3</v>
      </c>
      <c r="N3257">
        <v>14</v>
      </c>
      <c r="O3257" s="8">
        <v>25.041947314744238</v>
      </c>
      <c r="P3257" s="9">
        <v>25.041947314744238</v>
      </c>
      <c r="Q3257" s="9">
        <v>25.041947314744238</v>
      </c>
      <c r="R3257" s="9">
        <v>27.456353403762161</v>
      </c>
      <c r="S3257" s="9">
        <v>30.106651570134346</v>
      </c>
      <c r="T3257" s="9">
        <v>32.38507785162065</v>
      </c>
      <c r="U3257" s="9">
        <v>39.429466811122886</v>
      </c>
      <c r="V3257" s="9">
        <v>39.429466811122886</v>
      </c>
      <c r="W3257" s="9">
        <v>39.429466811122886</v>
      </c>
      <c r="X3257" s="9">
        <v>47.435574821920561</v>
      </c>
      <c r="Y3257" s="9">
        <v>47.435574821920561</v>
      </c>
      <c r="Z3257" s="9">
        <v>55.548774102684064</v>
      </c>
      <c r="AA3257" s="9">
        <v>55.548774102684064</v>
      </c>
      <c r="AB3257" s="9">
        <v>63.779773780410025</v>
      </c>
      <c r="AC3257" s="9">
        <v>63.779773780410025</v>
      </c>
      <c r="AD3257" s="9">
        <v>74.232976377209724</v>
      </c>
      <c r="AE3257" s="9">
        <v>81.9014230099272</v>
      </c>
      <c r="AF3257" s="9">
        <v>89.711048815832598</v>
      </c>
      <c r="AG3257" s="9">
        <v>89.711048815832598</v>
      </c>
      <c r="AH3257" s="9">
        <v>98.594438447760481</v>
      </c>
      <c r="AI3257" s="9">
        <v>107.25818871858809</v>
      </c>
      <c r="AJ3257" s="9">
        <v>3.0428788910505911</v>
      </c>
    </row>
    <row r="3258" spans="1:36" x14ac:dyDescent="0.25">
      <c r="A3258" t="s">
        <v>5411</v>
      </c>
      <c r="B3258" t="s">
        <v>16</v>
      </c>
      <c r="C3258" t="s">
        <v>17</v>
      </c>
      <c r="D3258">
        <v>63150000</v>
      </c>
      <c r="E3258">
        <v>63154999</v>
      </c>
      <c r="F3258" t="s">
        <v>2931</v>
      </c>
      <c r="G3258" t="str">
        <f t="shared" si="100"/>
        <v>CEI II</v>
      </c>
      <c r="H3258" t="s">
        <v>2815</v>
      </c>
      <c r="I3258" t="s">
        <v>20</v>
      </c>
      <c r="J3258" t="s">
        <v>64</v>
      </c>
      <c r="K3258" s="6">
        <v>0.03</v>
      </c>
      <c r="L3258" s="7">
        <f t="shared" si="101"/>
        <v>2E-3</v>
      </c>
      <c r="M3258" s="7">
        <v>3.0000000000000001E-3</v>
      </c>
      <c r="N3258">
        <v>14</v>
      </c>
      <c r="O3258" s="8">
        <v>25.041947314744238</v>
      </c>
      <c r="P3258" s="9">
        <v>25.041947314744238</v>
      </c>
      <c r="Q3258" s="9">
        <v>25.041947314744238</v>
      </c>
      <c r="R3258" s="9">
        <v>27.456353403762161</v>
      </c>
      <c r="S3258" s="9">
        <v>30.106651570134346</v>
      </c>
      <c r="T3258" s="9">
        <v>32.38507785162065</v>
      </c>
      <c r="U3258" s="9">
        <v>39.429466811122886</v>
      </c>
      <c r="V3258" s="9">
        <v>39.429466811122886</v>
      </c>
      <c r="W3258" s="9">
        <v>39.429466811122886</v>
      </c>
      <c r="X3258" s="9">
        <v>47.435574821920561</v>
      </c>
      <c r="Y3258" s="9">
        <v>47.435574821920561</v>
      </c>
      <c r="Z3258" s="9">
        <v>55.548774102684064</v>
      </c>
      <c r="AA3258" s="9">
        <v>55.548774102684064</v>
      </c>
      <c r="AB3258" s="9">
        <v>63.779773780410025</v>
      </c>
      <c r="AC3258" s="9">
        <v>63.779773780410025</v>
      </c>
      <c r="AD3258" s="9">
        <v>74.232976377209724</v>
      </c>
      <c r="AE3258" s="9">
        <v>81.9014230099272</v>
      </c>
      <c r="AF3258" s="9">
        <v>89.711048815832598</v>
      </c>
      <c r="AG3258" s="9">
        <v>89.711048815832598</v>
      </c>
      <c r="AH3258" s="9">
        <v>98.594438447760481</v>
      </c>
      <c r="AI3258" s="9">
        <v>107.25818871858809</v>
      </c>
      <c r="AJ3258" s="9">
        <v>3.0428788910505911</v>
      </c>
    </row>
    <row r="3259" spans="1:36" x14ac:dyDescent="0.25">
      <c r="A3259" t="s">
        <v>5411</v>
      </c>
      <c r="B3259" t="s">
        <v>16</v>
      </c>
      <c r="C3259" t="s">
        <v>17</v>
      </c>
      <c r="D3259">
        <v>63155000</v>
      </c>
      <c r="E3259">
        <v>63159999</v>
      </c>
      <c r="F3259" t="s">
        <v>2932</v>
      </c>
      <c r="G3259" t="str">
        <f t="shared" si="100"/>
        <v>CEI II</v>
      </c>
      <c r="H3259" t="s">
        <v>2815</v>
      </c>
      <c r="I3259" t="s">
        <v>20</v>
      </c>
      <c r="J3259" t="s">
        <v>64</v>
      </c>
      <c r="K3259" s="6">
        <v>0.03</v>
      </c>
      <c r="L3259" s="7">
        <f t="shared" si="101"/>
        <v>2E-3</v>
      </c>
      <c r="M3259" s="7">
        <v>3.0000000000000001E-3</v>
      </c>
      <c r="N3259">
        <v>14</v>
      </c>
      <c r="O3259" s="8">
        <v>25.041947314744238</v>
      </c>
      <c r="P3259" s="9">
        <v>25.041947314744238</v>
      </c>
      <c r="Q3259" s="9">
        <v>25.041947314744238</v>
      </c>
      <c r="R3259" s="9">
        <v>27.456353403762161</v>
      </c>
      <c r="S3259" s="9">
        <v>30.106651570134346</v>
      </c>
      <c r="T3259" s="9">
        <v>32.38507785162065</v>
      </c>
      <c r="U3259" s="9">
        <v>39.429466811122886</v>
      </c>
      <c r="V3259" s="9">
        <v>39.429466811122886</v>
      </c>
      <c r="W3259" s="9">
        <v>39.429466811122886</v>
      </c>
      <c r="X3259" s="9">
        <v>47.435574821920561</v>
      </c>
      <c r="Y3259" s="9">
        <v>47.435574821920561</v>
      </c>
      <c r="Z3259" s="9">
        <v>55.548774102684064</v>
      </c>
      <c r="AA3259" s="9">
        <v>55.548774102684064</v>
      </c>
      <c r="AB3259" s="9">
        <v>63.779773780410025</v>
      </c>
      <c r="AC3259" s="9">
        <v>63.779773780410025</v>
      </c>
      <c r="AD3259" s="9">
        <v>74.232976377209724</v>
      </c>
      <c r="AE3259" s="9">
        <v>81.9014230099272</v>
      </c>
      <c r="AF3259" s="9">
        <v>89.711048815832598</v>
      </c>
      <c r="AG3259" s="9">
        <v>89.711048815832598</v>
      </c>
      <c r="AH3259" s="9">
        <v>98.594438447760481</v>
      </c>
      <c r="AI3259" s="9">
        <v>107.25818871858809</v>
      </c>
      <c r="AJ3259" s="9">
        <v>3.0428788910505911</v>
      </c>
    </row>
    <row r="3260" spans="1:36" x14ac:dyDescent="0.25">
      <c r="A3260" t="s">
        <v>5411</v>
      </c>
      <c r="B3260" t="s">
        <v>16</v>
      </c>
      <c r="C3260" t="s">
        <v>17</v>
      </c>
      <c r="D3260">
        <v>63160000</v>
      </c>
      <c r="E3260">
        <v>63164999</v>
      </c>
      <c r="F3260" t="s">
        <v>2933</v>
      </c>
      <c r="G3260" t="str">
        <f t="shared" si="100"/>
        <v>CEI II</v>
      </c>
      <c r="H3260" t="s">
        <v>2815</v>
      </c>
      <c r="I3260" t="s">
        <v>20</v>
      </c>
      <c r="J3260" t="s">
        <v>64</v>
      </c>
      <c r="K3260" s="6">
        <v>0.03</v>
      </c>
      <c r="L3260" s="7">
        <f t="shared" si="101"/>
        <v>2E-3</v>
      </c>
      <c r="M3260" s="7">
        <v>3.0000000000000001E-3</v>
      </c>
      <c r="N3260">
        <v>14</v>
      </c>
      <c r="O3260" s="8">
        <v>25.041947314744238</v>
      </c>
      <c r="P3260" s="9">
        <v>25.041947314744238</v>
      </c>
      <c r="Q3260" s="9">
        <v>25.041947314744238</v>
      </c>
      <c r="R3260" s="9">
        <v>27.456353403762161</v>
      </c>
      <c r="S3260" s="9">
        <v>30.106651570134346</v>
      </c>
      <c r="T3260" s="9">
        <v>32.38507785162065</v>
      </c>
      <c r="U3260" s="9">
        <v>39.429466811122886</v>
      </c>
      <c r="V3260" s="9">
        <v>39.429466811122886</v>
      </c>
      <c r="W3260" s="9">
        <v>39.429466811122886</v>
      </c>
      <c r="X3260" s="9">
        <v>47.435574821920561</v>
      </c>
      <c r="Y3260" s="9">
        <v>47.435574821920561</v>
      </c>
      <c r="Z3260" s="9">
        <v>55.548774102684064</v>
      </c>
      <c r="AA3260" s="9">
        <v>55.548774102684064</v>
      </c>
      <c r="AB3260" s="9">
        <v>63.779773780410025</v>
      </c>
      <c r="AC3260" s="9">
        <v>63.779773780410025</v>
      </c>
      <c r="AD3260" s="9">
        <v>74.232976377209724</v>
      </c>
      <c r="AE3260" s="9">
        <v>81.9014230099272</v>
      </c>
      <c r="AF3260" s="9">
        <v>89.711048815832598</v>
      </c>
      <c r="AG3260" s="9">
        <v>89.711048815832598</v>
      </c>
      <c r="AH3260" s="9">
        <v>98.594438447760481</v>
      </c>
      <c r="AI3260" s="9">
        <v>107.25818871858809</v>
      </c>
      <c r="AJ3260" s="9">
        <v>3.0428788910505911</v>
      </c>
    </row>
    <row r="3261" spans="1:36" x14ac:dyDescent="0.25">
      <c r="A3261" t="s">
        <v>5411</v>
      </c>
      <c r="B3261" t="s">
        <v>16</v>
      </c>
      <c r="C3261" t="s">
        <v>17</v>
      </c>
      <c r="D3261">
        <v>63165000</v>
      </c>
      <c r="E3261">
        <v>63169999</v>
      </c>
      <c r="F3261" t="s">
        <v>2625</v>
      </c>
      <c r="G3261" t="str">
        <f t="shared" si="100"/>
        <v>CEI II</v>
      </c>
      <c r="H3261" t="s">
        <v>2815</v>
      </c>
      <c r="I3261" t="s">
        <v>20</v>
      </c>
      <c r="J3261" t="s">
        <v>64</v>
      </c>
      <c r="K3261" s="6">
        <v>0.03</v>
      </c>
      <c r="L3261" s="7">
        <f t="shared" si="101"/>
        <v>2E-3</v>
      </c>
      <c r="M3261" s="7">
        <v>3.0000000000000001E-3</v>
      </c>
      <c r="N3261">
        <v>14</v>
      </c>
      <c r="O3261" s="8">
        <v>25.041947314744238</v>
      </c>
      <c r="P3261" s="9">
        <v>25.041947314744238</v>
      </c>
      <c r="Q3261" s="9">
        <v>25.041947314744238</v>
      </c>
      <c r="R3261" s="9">
        <v>27.456353403762161</v>
      </c>
      <c r="S3261" s="9">
        <v>30.106651570134346</v>
      </c>
      <c r="T3261" s="9">
        <v>32.38507785162065</v>
      </c>
      <c r="U3261" s="9">
        <v>39.429466811122886</v>
      </c>
      <c r="V3261" s="9">
        <v>39.429466811122886</v>
      </c>
      <c r="W3261" s="9">
        <v>39.429466811122886</v>
      </c>
      <c r="X3261" s="9">
        <v>47.435574821920561</v>
      </c>
      <c r="Y3261" s="9">
        <v>47.435574821920561</v>
      </c>
      <c r="Z3261" s="9">
        <v>55.548774102684064</v>
      </c>
      <c r="AA3261" s="9">
        <v>55.548774102684064</v>
      </c>
      <c r="AB3261" s="9">
        <v>63.779773780410025</v>
      </c>
      <c r="AC3261" s="9">
        <v>63.779773780410025</v>
      </c>
      <c r="AD3261" s="9">
        <v>74.232976377209724</v>
      </c>
      <c r="AE3261" s="9">
        <v>81.9014230099272</v>
      </c>
      <c r="AF3261" s="9">
        <v>89.711048815832598</v>
      </c>
      <c r="AG3261" s="9">
        <v>89.711048815832598</v>
      </c>
      <c r="AH3261" s="9">
        <v>98.594438447760481</v>
      </c>
      <c r="AI3261" s="9">
        <v>107.25818871858809</v>
      </c>
      <c r="AJ3261" s="9">
        <v>3.0428788910505911</v>
      </c>
    </row>
    <row r="3262" spans="1:36" x14ac:dyDescent="0.25">
      <c r="A3262" t="s">
        <v>5411</v>
      </c>
      <c r="B3262" t="s">
        <v>16</v>
      </c>
      <c r="C3262" t="s">
        <v>17</v>
      </c>
      <c r="D3262">
        <v>63170000</v>
      </c>
      <c r="E3262">
        <v>63179999</v>
      </c>
      <c r="F3262" t="s">
        <v>2934</v>
      </c>
      <c r="G3262" t="str">
        <f t="shared" si="100"/>
        <v>CEI II</v>
      </c>
      <c r="H3262" t="s">
        <v>2815</v>
      </c>
      <c r="I3262" t="s">
        <v>20</v>
      </c>
      <c r="J3262" t="s">
        <v>64</v>
      </c>
      <c r="K3262" s="6">
        <v>0.03</v>
      </c>
      <c r="L3262" s="7">
        <f t="shared" si="101"/>
        <v>2E-3</v>
      </c>
      <c r="M3262" s="7">
        <v>3.0000000000000001E-3</v>
      </c>
      <c r="N3262">
        <v>14</v>
      </c>
      <c r="O3262" s="8">
        <v>25.041947314744238</v>
      </c>
      <c r="P3262" s="9">
        <v>25.041947314744238</v>
      </c>
      <c r="Q3262" s="9">
        <v>25.041947314744238</v>
      </c>
      <c r="R3262" s="9">
        <v>27.456353403762161</v>
      </c>
      <c r="S3262" s="9">
        <v>30.106651570134346</v>
      </c>
      <c r="T3262" s="9">
        <v>32.38507785162065</v>
      </c>
      <c r="U3262" s="9">
        <v>39.429466811122886</v>
      </c>
      <c r="V3262" s="9">
        <v>39.429466811122886</v>
      </c>
      <c r="W3262" s="9">
        <v>39.429466811122886</v>
      </c>
      <c r="X3262" s="9">
        <v>47.435574821920561</v>
      </c>
      <c r="Y3262" s="9">
        <v>47.435574821920561</v>
      </c>
      <c r="Z3262" s="9">
        <v>55.548774102684064</v>
      </c>
      <c r="AA3262" s="9">
        <v>55.548774102684064</v>
      </c>
      <c r="AB3262" s="9">
        <v>63.779773780410025</v>
      </c>
      <c r="AC3262" s="9">
        <v>63.779773780410025</v>
      </c>
      <c r="AD3262" s="9">
        <v>74.232976377209724</v>
      </c>
      <c r="AE3262" s="9">
        <v>81.9014230099272</v>
      </c>
      <c r="AF3262" s="9">
        <v>89.711048815832598</v>
      </c>
      <c r="AG3262" s="9">
        <v>89.711048815832598</v>
      </c>
      <c r="AH3262" s="9">
        <v>98.594438447760481</v>
      </c>
      <c r="AI3262" s="9">
        <v>107.25818871858809</v>
      </c>
      <c r="AJ3262" s="9">
        <v>3.0428788910505911</v>
      </c>
    </row>
    <row r="3263" spans="1:36" x14ac:dyDescent="0.25">
      <c r="A3263" t="s">
        <v>5411</v>
      </c>
      <c r="B3263" t="s">
        <v>16</v>
      </c>
      <c r="C3263" t="s">
        <v>17</v>
      </c>
      <c r="D3263">
        <v>63180000</v>
      </c>
      <c r="E3263">
        <v>63184999</v>
      </c>
      <c r="F3263" t="s">
        <v>2935</v>
      </c>
      <c r="G3263" t="str">
        <f t="shared" si="100"/>
        <v>CEI</v>
      </c>
      <c r="H3263" t="s">
        <v>2815</v>
      </c>
      <c r="I3263" t="s">
        <v>20</v>
      </c>
      <c r="J3263" t="s">
        <v>62</v>
      </c>
      <c r="K3263" s="6">
        <v>0.03</v>
      </c>
      <c r="L3263" s="7">
        <f t="shared" si="101"/>
        <v>2E-3</v>
      </c>
      <c r="M3263" s="7">
        <v>3.0000000000000001E-3</v>
      </c>
      <c r="N3263">
        <v>13</v>
      </c>
      <c r="O3263" s="8">
        <v>20.496511113332595</v>
      </c>
      <c r="P3263" s="9">
        <v>20.496511113332595</v>
      </c>
      <c r="Q3263" s="9">
        <v>20.496511113332595</v>
      </c>
      <c r="R3263" s="9">
        <v>22.369233265005814</v>
      </c>
      <c r="S3263" s="9">
        <v>24.369791582598779</v>
      </c>
      <c r="T3263" s="9">
        <v>26.793872673985138</v>
      </c>
      <c r="U3263" s="9">
        <v>32.749697002694603</v>
      </c>
      <c r="V3263" s="9">
        <v>32.749697002694603</v>
      </c>
      <c r="W3263" s="9">
        <v>32.749697002694603</v>
      </c>
      <c r="X3263" s="9">
        <v>39.508877297592456</v>
      </c>
      <c r="Y3263" s="9">
        <v>39.508877297592456</v>
      </c>
      <c r="Z3263" s="9">
        <v>46.492680996235194</v>
      </c>
      <c r="AA3263" s="9">
        <v>46.492680996235194</v>
      </c>
      <c r="AB3263" s="9">
        <v>53.77149943190107</v>
      </c>
      <c r="AC3263" s="9">
        <v>53.77149943190107</v>
      </c>
      <c r="AD3263" s="9">
        <v>61.22621482724891</v>
      </c>
      <c r="AE3263" s="9">
        <v>68.879452688643582</v>
      </c>
      <c r="AF3263" s="9">
        <v>76.756825666485923</v>
      </c>
      <c r="AG3263" s="9">
        <v>76.756825666485923</v>
      </c>
      <c r="AH3263" s="9">
        <v>84.298379348358239</v>
      </c>
      <c r="AI3263" s="9">
        <v>92.367999054407335</v>
      </c>
      <c r="AJ3263" s="9">
        <v>3.0428788910505911</v>
      </c>
    </row>
    <row r="3264" spans="1:36" x14ac:dyDescent="0.25">
      <c r="A3264" t="s">
        <v>5411</v>
      </c>
      <c r="B3264" t="s">
        <v>16</v>
      </c>
      <c r="C3264" t="s">
        <v>17</v>
      </c>
      <c r="D3264">
        <v>63185000</v>
      </c>
      <c r="E3264">
        <v>63189999</v>
      </c>
      <c r="F3264" t="s">
        <v>2936</v>
      </c>
      <c r="G3264" t="str">
        <f t="shared" si="100"/>
        <v>CEI II</v>
      </c>
      <c r="H3264" t="s">
        <v>2815</v>
      </c>
      <c r="I3264" t="s">
        <v>20</v>
      </c>
      <c r="J3264" t="s">
        <v>64</v>
      </c>
      <c r="K3264" s="6">
        <v>0.03</v>
      </c>
      <c r="L3264" s="7">
        <f t="shared" si="101"/>
        <v>2E-3</v>
      </c>
      <c r="M3264" s="7">
        <v>3.0000000000000001E-3</v>
      </c>
      <c r="N3264">
        <v>14</v>
      </c>
      <c r="O3264" s="8">
        <v>25.041947314744238</v>
      </c>
      <c r="P3264" s="9">
        <v>25.041947314744238</v>
      </c>
      <c r="Q3264" s="9">
        <v>25.041947314744238</v>
      </c>
      <c r="R3264" s="9">
        <v>27.456353403762161</v>
      </c>
      <c r="S3264" s="9">
        <v>30.106651570134346</v>
      </c>
      <c r="T3264" s="9">
        <v>32.38507785162065</v>
      </c>
      <c r="U3264" s="9">
        <v>39.429466811122886</v>
      </c>
      <c r="V3264" s="9">
        <v>39.429466811122886</v>
      </c>
      <c r="W3264" s="9">
        <v>39.429466811122886</v>
      </c>
      <c r="X3264" s="9">
        <v>47.435574821920561</v>
      </c>
      <c r="Y3264" s="9">
        <v>47.435574821920561</v>
      </c>
      <c r="Z3264" s="9">
        <v>55.548774102684064</v>
      </c>
      <c r="AA3264" s="9">
        <v>55.548774102684064</v>
      </c>
      <c r="AB3264" s="9">
        <v>63.779773780410025</v>
      </c>
      <c r="AC3264" s="9">
        <v>63.779773780410025</v>
      </c>
      <c r="AD3264" s="9">
        <v>74.232976377209724</v>
      </c>
      <c r="AE3264" s="9">
        <v>81.9014230099272</v>
      </c>
      <c r="AF3264" s="9">
        <v>89.711048815832598</v>
      </c>
      <c r="AG3264" s="9">
        <v>89.711048815832598</v>
      </c>
      <c r="AH3264" s="9">
        <v>98.594438447760481</v>
      </c>
      <c r="AI3264" s="9">
        <v>107.25818871858809</v>
      </c>
      <c r="AJ3264" s="9">
        <v>3.0428788910505911</v>
      </c>
    </row>
    <row r="3265" spans="1:36" x14ac:dyDescent="0.25">
      <c r="A3265" t="s">
        <v>5411</v>
      </c>
      <c r="B3265" t="s">
        <v>16</v>
      </c>
      <c r="C3265" t="s">
        <v>17</v>
      </c>
      <c r="D3265">
        <v>63190000</v>
      </c>
      <c r="E3265">
        <v>63194999</v>
      </c>
      <c r="F3265" t="s">
        <v>2937</v>
      </c>
      <c r="G3265" t="str">
        <f t="shared" si="100"/>
        <v>CEI II</v>
      </c>
      <c r="H3265" t="s">
        <v>2815</v>
      </c>
      <c r="I3265" t="s">
        <v>20</v>
      </c>
      <c r="J3265" t="s">
        <v>64</v>
      </c>
      <c r="K3265" s="6">
        <v>0.03</v>
      </c>
      <c r="L3265" s="7">
        <f t="shared" si="101"/>
        <v>2E-3</v>
      </c>
      <c r="M3265" s="7">
        <v>3.0000000000000001E-3</v>
      </c>
      <c r="N3265">
        <v>14</v>
      </c>
      <c r="O3265" s="8">
        <v>25.041947314744238</v>
      </c>
      <c r="P3265" s="9">
        <v>25.041947314744238</v>
      </c>
      <c r="Q3265" s="9">
        <v>25.041947314744238</v>
      </c>
      <c r="R3265" s="9">
        <v>27.456353403762161</v>
      </c>
      <c r="S3265" s="9">
        <v>30.106651570134346</v>
      </c>
      <c r="T3265" s="9">
        <v>32.38507785162065</v>
      </c>
      <c r="U3265" s="9">
        <v>39.429466811122886</v>
      </c>
      <c r="V3265" s="9">
        <v>39.429466811122886</v>
      </c>
      <c r="W3265" s="9">
        <v>39.429466811122886</v>
      </c>
      <c r="X3265" s="9">
        <v>47.435574821920561</v>
      </c>
      <c r="Y3265" s="9">
        <v>47.435574821920561</v>
      </c>
      <c r="Z3265" s="9">
        <v>55.548774102684064</v>
      </c>
      <c r="AA3265" s="9">
        <v>55.548774102684064</v>
      </c>
      <c r="AB3265" s="9">
        <v>63.779773780410025</v>
      </c>
      <c r="AC3265" s="9">
        <v>63.779773780410025</v>
      </c>
      <c r="AD3265" s="9">
        <v>74.232976377209724</v>
      </c>
      <c r="AE3265" s="9">
        <v>81.9014230099272</v>
      </c>
      <c r="AF3265" s="9">
        <v>89.711048815832598</v>
      </c>
      <c r="AG3265" s="9">
        <v>89.711048815832598</v>
      </c>
      <c r="AH3265" s="9">
        <v>98.594438447760481</v>
      </c>
      <c r="AI3265" s="9">
        <v>107.25818871858809</v>
      </c>
      <c r="AJ3265" s="9">
        <v>3.0428788910505911</v>
      </c>
    </row>
    <row r="3266" spans="1:36" x14ac:dyDescent="0.25">
      <c r="A3266" t="s">
        <v>5411</v>
      </c>
      <c r="B3266" t="s">
        <v>16</v>
      </c>
      <c r="C3266" t="s">
        <v>17</v>
      </c>
      <c r="D3266">
        <v>63195000</v>
      </c>
      <c r="E3266">
        <v>63199999</v>
      </c>
      <c r="F3266" t="s">
        <v>2938</v>
      </c>
      <c r="G3266" t="str">
        <f t="shared" si="100"/>
        <v>CEI II</v>
      </c>
      <c r="H3266" t="s">
        <v>2815</v>
      </c>
      <c r="I3266" t="s">
        <v>20</v>
      </c>
      <c r="J3266" t="s">
        <v>64</v>
      </c>
      <c r="K3266" s="6">
        <v>0.03</v>
      </c>
      <c r="L3266" s="7">
        <f t="shared" si="101"/>
        <v>2E-3</v>
      </c>
      <c r="M3266" s="7">
        <v>3.0000000000000001E-3</v>
      </c>
      <c r="N3266">
        <v>14</v>
      </c>
      <c r="O3266" s="8">
        <v>25.041947314744238</v>
      </c>
      <c r="P3266" s="9">
        <v>25.041947314744238</v>
      </c>
      <c r="Q3266" s="9">
        <v>25.041947314744238</v>
      </c>
      <c r="R3266" s="9">
        <v>27.456353403762161</v>
      </c>
      <c r="S3266" s="9">
        <v>30.106651570134346</v>
      </c>
      <c r="T3266" s="9">
        <v>32.38507785162065</v>
      </c>
      <c r="U3266" s="9">
        <v>39.429466811122886</v>
      </c>
      <c r="V3266" s="9">
        <v>39.429466811122886</v>
      </c>
      <c r="W3266" s="9">
        <v>39.429466811122886</v>
      </c>
      <c r="X3266" s="9">
        <v>47.435574821920561</v>
      </c>
      <c r="Y3266" s="9">
        <v>47.435574821920561</v>
      </c>
      <c r="Z3266" s="9">
        <v>55.548774102684064</v>
      </c>
      <c r="AA3266" s="9">
        <v>55.548774102684064</v>
      </c>
      <c r="AB3266" s="9">
        <v>63.779773780410025</v>
      </c>
      <c r="AC3266" s="9">
        <v>63.779773780410025</v>
      </c>
      <c r="AD3266" s="9">
        <v>74.232976377209724</v>
      </c>
      <c r="AE3266" s="9">
        <v>81.9014230099272</v>
      </c>
      <c r="AF3266" s="9">
        <v>89.711048815832598</v>
      </c>
      <c r="AG3266" s="9">
        <v>89.711048815832598</v>
      </c>
      <c r="AH3266" s="9">
        <v>98.594438447760481</v>
      </c>
      <c r="AI3266" s="9">
        <v>107.25818871858809</v>
      </c>
      <c r="AJ3266" s="9">
        <v>3.0428788910505911</v>
      </c>
    </row>
    <row r="3267" spans="1:36" x14ac:dyDescent="0.25">
      <c r="A3267" t="s">
        <v>5411</v>
      </c>
      <c r="B3267" t="s">
        <v>16</v>
      </c>
      <c r="C3267" t="s">
        <v>17</v>
      </c>
      <c r="D3267">
        <v>63200000</v>
      </c>
      <c r="E3267">
        <v>63209999</v>
      </c>
      <c r="F3267" t="s">
        <v>2939</v>
      </c>
      <c r="G3267" t="str">
        <f t="shared" si="100"/>
        <v>CEI II</v>
      </c>
      <c r="H3267" t="s">
        <v>2815</v>
      </c>
      <c r="I3267" t="s">
        <v>20</v>
      </c>
      <c r="J3267" t="s">
        <v>64</v>
      </c>
      <c r="K3267" s="6">
        <v>0.03</v>
      </c>
      <c r="L3267" s="7">
        <f t="shared" si="101"/>
        <v>2E-3</v>
      </c>
      <c r="M3267" s="7">
        <v>3.0000000000000001E-3</v>
      </c>
      <c r="N3267">
        <v>14</v>
      </c>
      <c r="O3267" s="8">
        <v>25.041947314744238</v>
      </c>
      <c r="P3267" s="9">
        <v>25.041947314744238</v>
      </c>
      <c r="Q3267" s="9">
        <v>25.041947314744238</v>
      </c>
      <c r="R3267" s="9">
        <v>27.456353403762161</v>
      </c>
      <c r="S3267" s="9">
        <v>30.106651570134346</v>
      </c>
      <c r="T3267" s="9">
        <v>32.38507785162065</v>
      </c>
      <c r="U3267" s="9">
        <v>39.429466811122886</v>
      </c>
      <c r="V3267" s="9">
        <v>39.429466811122886</v>
      </c>
      <c r="W3267" s="9">
        <v>39.429466811122886</v>
      </c>
      <c r="X3267" s="9">
        <v>47.435574821920561</v>
      </c>
      <c r="Y3267" s="9">
        <v>47.435574821920561</v>
      </c>
      <c r="Z3267" s="9">
        <v>55.548774102684064</v>
      </c>
      <c r="AA3267" s="9">
        <v>55.548774102684064</v>
      </c>
      <c r="AB3267" s="9">
        <v>63.779773780410025</v>
      </c>
      <c r="AC3267" s="9">
        <v>63.779773780410025</v>
      </c>
      <c r="AD3267" s="9">
        <v>74.232976377209724</v>
      </c>
      <c r="AE3267" s="9">
        <v>81.9014230099272</v>
      </c>
      <c r="AF3267" s="9">
        <v>89.711048815832598</v>
      </c>
      <c r="AG3267" s="9">
        <v>89.711048815832598</v>
      </c>
      <c r="AH3267" s="9">
        <v>98.594438447760481</v>
      </c>
      <c r="AI3267" s="9">
        <v>107.25818871858809</v>
      </c>
      <c r="AJ3267" s="9">
        <v>3.0428788910505911</v>
      </c>
    </row>
    <row r="3268" spans="1:36" x14ac:dyDescent="0.25">
      <c r="A3268" t="s">
        <v>5411</v>
      </c>
      <c r="B3268" t="s">
        <v>16</v>
      </c>
      <c r="C3268" t="s">
        <v>17</v>
      </c>
      <c r="D3268">
        <v>63210000</v>
      </c>
      <c r="E3268">
        <v>63219999</v>
      </c>
      <c r="F3268" t="s">
        <v>2940</v>
      </c>
      <c r="G3268" t="str">
        <f t="shared" ref="G3268:G3331" si="102">H3268&amp;IF(J3268="CAPITAL","C",IF(J3268="INTERIOR","I",IF(J3268="INTERIOR II","I II","R")))</f>
        <v>CEI II</v>
      </c>
      <c r="H3268" t="s">
        <v>2815</v>
      </c>
      <c r="I3268" t="s">
        <v>20</v>
      </c>
      <c r="J3268" t="s">
        <v>64</v>
      </c>
      <c r="K3268" s="6">
        <v>0.03</v>
      </c>
      <c r="L3268" s="7">
        <f t="shared" ref="L3268:L3331" si="103">IF(I3268="(0) Não",0.2%,3%)</f>
        <v>2E-3</v>
      </c>
      <c r="M3268" s="7">
        <v>3.0000000000000001E-3</v>
      </c>
      <c r="N3268">
        <v>14</v>
      </c>
      <c r="O3268" s="8">
        <v>25.041947314744238</v>
      </c>
      <c r="P3268" s="9">
        <v>25.041947314744238</v>
      </c>
      <c r="Q3268" s="9">
        <v>25.041947314744238</v>
      </c>
      <c r="R3268" s="9">
        <v>27.456353403762161</v>
      </c>
      <c r="S3268" s="9">
        <v>30.106651570134346</v>
      </c>
      <c r="T3268" s="9">
        <v>32.38507785162065</v>
      </c>
      <c r="U3268" s="9">
        <v>39.429466811122886</v>
      </c>
      <c r="V3268" s="9">
        <v>39.429466811122886</v>
      </c>
      <c r="W3268" s="9">
        <v>39.429466811122886</v>
      </c>
      <c r="X3268" s="9">
        <v>47.435574821920561</v>
      </c>
      <c r="Y3268" s="9">
        <v>47.435574821920561</v>
      </c>
      <c r="Z3268" s="9">
        <v>55.548774102684064</v>
      </c>
      <c r="AA3268" s="9">
        <v>55.548774102684064</v>
      </c>
      <c r="AB3268" s="9">
        <v>63.779773780410025</v>
      </c>
      <c r="AC3268" s="9">
        <v>63.779773780410025</v>
      </c>
      <c r="AD3268" s="9">
        <v>74.232976377209724</v>
      </c>
      <c r="AE3268" s="9">
        <v>81.9014230099272</v>
      </c>
      <c r="AF3268" s="9">
        <v>89.711048815832598</v>
      </c>
      <c r="AG3268" s="9">
        <v>89.711048815832598</v>
      </c>
      <c r="AH3268" s="9">
        <v>98.594438447760481</v>
      </c>
      <c r="AI3268" s="9">
        <v>107.25818871858809</v>
      </c>
      <c r="AJ3268" s="9">
        <v>3.0428788910505911</v>
      </c>
    </row>
    <row r="3269" spans="1:36" x14ac:dyDescent="0.25">
      <c r="A3269" t="s">
        <v>5411</v>
      </c>
      <c r="B3269" t="s">
        <v>16</v>
      </c>
      <c r="C3269" t="s">
        <v>17</v>
      </c>
      <c r="D3269">
        <v>63220000</v>
      </c>
      <c r="E3269">
        <v>63229999</v>
      </c>
      <c r="F3269" t="s">
        <v>2941</v>
      </c>
      <c r="G3269" t="str">
        <f t="shared" si="102"/>
        <v>CEI II</v>
      </c>
      <c r="H3269" t="s">
        <v>2815</v>
      </c>
      <c r="I3269" t="s">
        <v>20</v>
      </c>
      <c r="J3269" t="s">
        <v>64</v>
      </c>
      <c r="K3269" s="6">
        <v>0.03</v>
      </c>
      <c r="L3269" s="7">
        <f t="shared" si="103"/>
        <v>2E-3</v>
      </c>
      <c r="M3269" s="7">
        <v>3.0000000000000001E-3</v>
      </c>
      <c r="N3269">
        <v>14</v>
      </c>
      <c r="O3269" s="8">
        <v>25.041947314744238</v>
      </c>
      <c r="P3269" s="9">
        <v>25.041947314744238</v>
      </c>
      <c r="Q3269" s="9">
        <v>25.041947314744238</v>
      </c>
      <c r="R3269" s="9">
        <v>27.456353403762161</v>
      </c>
      <c r="S3269" s="9">
        <v>30.106651570134346</v>
      </c>
      <c r="T3269" s="9">
        <v>32.38507785162065</v>
      </c>
      <c r="U3269" s="9">
        <v>39.429466811122886</v>
      </c>
      <c r="V3269" s="9">
        <v>39.429466811122886</v>
      </c>
      <c r="W3269" s="9">
        <v>39.429466811122886</v>
      </c>
      <c r="X3269" s="9">
        <v>47.435574821920561</v>
      </c>
      <c r="Y3269" s="9">
        <v>47.435574821920561</v>
      </c>
      <c r="Z3269" s="9">
        <v>55.548774102684064</v>
      </c>
      <c r="AA3269" s="9">
        <v>55.548774102684064</v>
      </c>
      <c r="AB3269" s="9">
        <v>63.779773780410025</v>
      </c>
      <c r="AC3269" s="9">
        <v>63.779773780410025</v>
      </c>
      <c r="AD3269" s="9">
        <v>74.232976377209724</v>
      </c>
      <c r="AE3269" s="9">
        <v>81.9014230099272</v>
      </c>
      <c r="AF3269" s="9">
        <v>89.711048815832598</v>
      </c>
      <c r="AG3269" s="9">
        <v>89.711048815832598</v>
      </c>
      <c r="AH3269" s="9">
        <v>98.594438447760481</v>
      </c>
      <c r="AI3269" s="9">
        <v>107.25818871858809</v>
      </c>
      <c r="AJ3269" s="9">
        <v>3.0428788910505911</v>
      </c>
    </row>
    <row r="3270" spans="1:36" x14ac:dyDescent="0.25">
      <c r="A3270" t="s">
        <v>5411</v>
      </c>
      <c r="B3270" t="s">
        <v>16</v>
      </c>
      <c r="C3270" t="s">
        <v>17</v>
      </c>
      <c r="D3270">
        <v>63230000</v>
      </c>
      <c r="E3270">
        <v>63239999</v>
      </c>
      <c r="F3270" t="s">
        <v>2942</v>
      </c>
      <c r="G3270" t="str">
        <f t="shared" si="102"/>
        <v>CEI II</v>
      </c>
      <c r="H3270" t="s">
        <v>2815</v>
      </c>
      <c r="I3270" t="s">
        <v>20</v>
      </c>
      <c r="J3270" t="s">
        <v>64</v>
      </c>
      <c r="K3270" s="6">
        <v>0.03</v>
      </c>
      <c r="L3270" s="7">
        <f t="shared" si="103"/>
        <v>2E-3</v>
      </c>
      <c r="M3270" s="7">
        <v>3.0000000000000001E-3</v>
      </c>
      <c r="N3270">
        <v>14</v>
      </c>
      <c r="O3270" s="8">
        <v>25.041947314744238</v>
      </c>
      <c r="P3270" s="9">
        <v>25.041947314744238</v>
      </c>
      <c r="Q3270" s="9">
        <v>25.041947314744238</v>
      </c>
      <c r="R3270" s="9">
        <v>27.456353403762161</v>
      </c>
      <c r="S3270" s="9">
        <v>30.106651570134346</v>
      </c>
      <c r="T3270" s="9">
        <v>32.38507785162065</v>
      </c>
      <c r="U3270" s="9">
        <v>39.429466811122886</v>
      </c>
      <c r="V3270" s="9">
        <v>39.429466811122886</v>
      </c>
      <c r="W3270" s="9">
        <v>39.429466811122886</v>
      </c>
      <c r="X3270" s="9">
        <v>47.435574821920561</v>
      </c>
      <c r="Y3270" s="9">
        <v>47.435574821920561</v>
      </c>
      <c r="Z3270" s="9">
        <v>55.548774102684064</v>
      </c>
      <c r="AA3270" s="9">
        <v>55.548774102684064</v>
      </c>
      <c r="AB3270" s="9">
        <v>63.779773780410025</v>
      </c>
      <c r="AC3270" s="9">
        <v>63.779773780410025</v>
      </c>
      <c r="AD3270" s="9">
        <v>74.232976377209724</v>
      </c>
      <c r="AE3270" s="9">
        <v>81.9014230099272</v>
      </c>
      <c r="AF3270" s="9">
        <v>89.711048815832598</v>
      </c>
      <c r="AG3270" s="9">
        <v>89.711048815832598</v>
      </c>
      <c r="AH3270" s="9">
        <v>98.594438447760481</v>
      </c>
      <c r="AI3270" s="9">
        <v>107.25818871858809</v>
      </c>
      <c r="AJ3270" s="9">
        <v>3.0428788910505911</v>
      </c>
    </row>
    <row r="3271" spans="1:36" x14ac:dyDescent="0.25">
      <c r="A3271" t="s">
        <v>5411</v>
      </c>
      <c r="B3271" t="s">
        <v>16</v>
      </c>
      <c r="C3271" t="s">
        <v>17</v>
      </c>
      <c r="D3271">
        <v>63240000</v>
      </c>
      <c r="E3271">
        <v>63249999</v>
      </c>
      <c r="F3271" t="s">
        <v>2943</v>
      </c>
      <c r="G3271" t="str">
        <f t="shared" si="102"/>
        <v>CEI II</v>
      </c>
      <c r="H3271" t="s">
        <v>2815</v>
      </c>
      <c r="I3271" t="s">
        <v>20</v>
      </c>
      <c r="J3271" t="s">
        <v>64</v>
      </c>
      <c r="K3271" s="6">
        <v>0.03</v>
      </c>
      <c r="L3271" s="7">
        <f t="shared" si="103"/>
        <v>2E-3</v>
      </c>
      <c r="M3271" s="7">
        <v>3.0000000000000001E-3</v>
      </c>
      <c r="N3271">
        <v>14</v>
      </c>
      <c r="O3271" s="8">
        <v>25.041947314744238</v>
      </c>
      <c r="P3271" s="9">
        <v>25.041947314744238</v>
      </c>
      <c r="Q3271" s="9">
        <v>25.041947314744238</v>
      </c>
      <c r="R3271" s="9">
        <v>27.456353403762161</v>
      </c>
      <c r="S3271" s="9">
        <v>30.106651570134346</v>
      </c>
      <c r="T3271" s="9">
        <v>32.38507785162065</v>
      </c>
      <c r="U3271" s="9">
        <v>39.429466811122886</v>
      </c>
      <c r="V3271" s="9">
        <v>39.429466811122886</v>
      </c>
      <c r="W3271" s="9">
        <v>39.429466811122886</v>
      </c>
      <c r="X3271" s="9">
        <v>47.435574821920561</v>
      </c>
      <c r="Y3271" s="9">
        <v>47.435574821920561</v>
      </c>
      <c r="Z3271" s="9">
        <v>55.548774102684064</v>
      </c>
      <c r="AA3271" s="9">
        <v>55.548774102684064</v>
      </c>
      <c r="AB3271" s="9">
        <v>63.779773780410025</v>
      </c>
      <c r="AC3271" s="9">
        <v>63.779773780410025</v>
      </c>
      <c r="AD3271" s="9">
        <v>74.232976377209724</v>
      </c>
      <c r="AE3271" s="9">
        <v>81.9014230099272</v>
      </c>
      <c r="AF3271" s="9">
        <v>89.711048815832598</v>
      </c>
      <c r="AG3271" s="9">
        <v>89.711048815832598</v>
      </c>
      <c r="AH3271" s="9">
        <v>98.594438447760481</v>
      </c>
      <c r="AI3271" s="9">
        <v>107.25818871858809</v>
      </c>
      <c r="AJ3271" s="9">
        <v>3.0428788910505911</v>
      </c>
    </row>
    <row r="3272" spans="1:36" x14ac:dyDescent="0.25">
      <c r="A3272" t="s">
        <v>5411</v>
      </c>
      <c r="B3272" t="s">
        <v>16</v>
      </c>
      <c r="C3272" t="s">
        <v>17</v>
      </c>
      <c r="D3272">
        <v>63250000</v>
      </c>
      <c r="E3272">
        <v>63259999</v>
      </c>
      <c r="F3272" t="s">
        <v>1827</v>
      </c>
      <c r="G3272" t="str">
        <f t="shared" si="102"/>
        <v>CEI II</v>
      </c>
      <c r="H3272" t="s">
        <v>2815</v>
      </c>
      <c r="I3272" t="s">
        <v>20</v>
      </c>
      <c r="J3272" t="s">
        <v>64</v>
      </c>
      <c r="K3272" s="6">
        <v>0.03</v>
      </c>
      <c r="L3272" s="7">
        <f t="shared" si="103"/>
        <v>2E-3</v>
      </c>
      <c r="M3272" s="7">
        <v>3.0000000000000001E-3</v>
      </c>
      <c r="N3272">
        <v>14</v>
      </c>
      <c r="O3272" s="8">
        <v>25.041947314744238</v>
      </c>
      <c r="P3272" s="9">
        <v>25.041947314744238</v>
      </c>
      <c r="Q3272" s="9">
        <v>25.041947314744238</v>
      </c>
      <c r="R3272" s="9">
        <v>27.456353403762161</v>
      </c>
      <c r="S3272" s="9">
        <v>30.106651570134346</v>
      </c>
      <c r="T3272" s="9">
        <v>32.38507785162065</v>
      </c>
      <c r="U3272" s="9">
        <v>39.429466811122886</v>
      </c>
      <c r="V3272" s="9">
        <v>39.429466811122886</v>
      </c>
      <c r="W3272" s="9">
        <v>39.429466811122886</v>
      </c>
      <c r="X3272" s="9">
        <v>47.435574821920561</v>
      </c>
      <c r="Y3272" s="9">
        <v>47.435574821920561</v>
      </c>
      <c r="Z3272" s="9">
        <v>55.548774102684064</v>
      </c>
      <c r="AA3272" s="9">
        <v>55.548774102684064</v>
      </c>
      <c r="AB3272" s="9">
        <v>63.779773780410025</v>
      </c>
      <c r="AC3272" s="9">
        <v>63.779773780410025</v>
      </c>
      <c r="AD3272" s="9">
        <v>74.232976377209724</v>
      </c>
      <c r="AE3272" s="9">
        <v>81.9014230099272</v>
      </c>
      <c r="AF3272" s="9">
        <v>89.711048815832598</v>
      </c>
      <c r="AG3272" s="9">
        <v>89.711048815832598</v>
      </c>
      <c r="AH3272" s="9">
        <v>98.594438447760481</v>
      </c>
      <c r="AI3272" s="9">
        <v>107.25818871858809</v>
      </c>
      <c r="AJ3272" s="9">
        <v>3.0428788910505911</v>
      </c>
    </row>
    <row r="3273" spans="1:36" x14ac:dyDescent="0.25">
      <c r="A3273" t="s">
        <v>5411</v>
      </c>
      <c r="B3273" t="s">
        <v>16</v>
      </c>
      <c r="C3273" t="s">
        <v>17</v>
      </c>
      <c r="D3273">
        <v>63260000</v>
      </c>
      <c r="E3273">
        <v>63269999</v>
      </c>
      <c r="F3273" t="s">
        <v>2944</v>
      </c>
      <c r="G3273" t="str">
        <f t="shared" si="102"/>
        <v>CEI II</v>
      </c>
      <c r="H3273" t="s">
        <v>2815</v>
      </c>
      <c r="I3273" t="s">
        <v>20</v>
      </c>
      <c r="J3273" t="s">
        <v>64</v>
      </c>
      <c r="K3273" s="6">
        <v>0.03</v>
      </c>
      <c r="L3273" s="7">
        <f t="shared" si="103"/>
        <v>2E-3</v>
      </c>
      <c r="M3273" s="7">
        <v>3.0000000000000001E-3</v>
      </c>
      <c r="N3273">
        <v>14</v>
      </c>
      <c r="O3273" s="8">
        <v>25.041947314744238</v>
      </c>
      <c r="P3273" s="9">
        <v>25.041947314744238</v>
      </c>
      <c r="Q3273" s="9">
        <v>25.041947314744238</v>
      </c>
      <c r="R3273" s="9">
        <v>27.456353403762161</v>
      </c>
      <c r="S3273" s="9">
        <v>30.106651570134346</v>
      </c>
      <c r="T3273" s="9">
        <v>32.38507785162065</v>
      </c>
      <c r="U3273" s="9">
        <v>39.429466811122886</v>
      </c>
      <c r="V3273" s="9">
        <v>39.429466811122886</v>
      </c>
      <c r="W3273" s="9">
        <v>39.429466811122886</v>
      </c>
      <c r="X3273" s="9">
        <v>47.435574821920561</v>
      </c>
      <c r="Y3273" s="9">
        <v>47.435574821920561</v>
      </c>
      <c r="Z3273" s="9">
        <v>55.548774102684064</v>
      </c>
      <c r="AA3273" s="9">
        <v>55.548774102684064</v>
      </c>
      <c r="AB3273" s="9">
        <v>63.779773780410025</v>
      </c>
      <c r="AC3273" s="9">
        <v>63.779773780410025</v>
      </c>
      <c r="AD3273" s="9">
        <v>74.232976377209724</v>
      </c>
      <c r="AE3273" s="9">
        <v>81.9014230099272</v>
      </c>
      <c r="AF3273" s="9">
        <v>89.711048815832598</v>
      </c>
      <c r="AG3273" s="9">
        <v>89.711048815832598</v>
      </c>
      <c r="AH3273" s="9">
        <v>98.594438447760481</v>
      </c>
      <c r="AI3273" s="9">
        <v>107.25818871858809</v>
      </c>
      <c r="AJ3273" s="9">
        <v>3.0428788910505911</v>
      </c>
    </row>
    <row r="3274" spans="1:36" x14ac:dyDescent="0.25">
      <c r="A3274" t="s">
        <v>5411</v>
      </c>
      <c r="B3274" t="s">
        <v>16</v>
      </c>
      <c r="C3274" t="s">
        <v>17</v>
      </c>
      <c r="D3274">
        <v>63270000</v>
      </c>
      <c r="E3274">
        <v>63274999</v>
      </c>
      <c r="F3274" t="s">
        <v>2945</v>
      </c>
      <c r="G3274" t="str">
        <f t="shared" si="102"/>
        <v>CEI II</v>
      </c>
      <c r="H3274" t="s">
        <v>2815</v>
      </c>
      <c r="I3274" t="s">
        <v>20</v>
      </c>
      <c r="J3274" t="s">
        <v>64</v>
      </c>
      <c r="K3274" s="6">
        <v>0.03</v>
      </c>
      <c r="L3274" s="7">
        <f t="shared" si="103"/>
        <v>2E-3</v>
      </c>
      <c r="M3274" s="7">
        <v>3.0000000000000001E-3</v>
      </c>
      <c r="N3274">
        <v>14</v>
      </c>
      <c r="O3274" s="8">
        <v>25.041947314744238</v>
      </c>
      <c r="P3274" s="9">
        <v>25.041947314744238</v>
      </c>
      <c r="Q3274" s="9">
        <v>25.041947314744238</v>
      </c>
      <c r="R3274" s="9">
        <v>27.456353403762161</v>
      </c>
      <c r="S3274" s="9">
        <v>30.106651570134346</v>
      </c>
      <c r="T3274" s="9">
        <v>32.38507785162065</v>
      </c>
      <c r="U3274" s="9">
        <v>39.429466811122886</v>
      </c>
      <c r="V3274" s="9">
        <v>39.429466811122886</v>
      </c>
      <c r="W3274" s="9">
        <v>39.429466811122886</v>
      </c>
      <c r="X3274" s="9">
        <v>47.435574821920561</v>
      </c>
      <c r="Y3274" s="9">
        <v>47.435574821920561</v>
      </c>
      <c r="Z3274" s="9">
        <v>55.548774102684064</v>
      </c>
      <c r="AA3274" s="9">
        <v>55.548774102684064</v>
      </c>
      <c r="AB3274" s="9">
        <v>63.779773780410025</v>
      </c>
      <c r="AC3274" s="9">
        <v>63.779773780410025</v>
      </c>
      <c r="AD3274" s="9">
        <v>74.232976377209724</v>
      </c>
      <c r="AE3274" s="9">
        <v>81.9014230099272</v>
      </c>
      <c r="AF3274" s="9">
        <v>89.711048815832598</v>
      </c>
      <c r="AG3274" s="9">
        <v>89.711048815832598</v>
      </c>
      <c r="AH3274" s="9">
        <v>98.594438447760481</v>
      </c>
      <c r="AI3274" s="9">
        <v>107.25818871858809</v>
      </c>
      <c r="AJ3274" s="9">
        <v>3.0428788910505911</v>
      </c>
    </row>
    <row r="3275" spans="1:36" x14ac:dyDescent="0.25">
      <c r="A3275" t="s">
        <v>5411</v>
      </c>
      <c r="B3275" t="s">
        <v>16</v>
      </c>
      <c r="C3275" t="s">
        <v>17</v>
      </c>
      <c r="D3275">
        <v>63275000</v>
      </c>
      <c r="E3275">
        <v>63279999</v>
      </c>
      <c r="F3275" t="s">
        <v>2946</v>
      </c>
      <c r="G3275" t="str">
        <f t="shared" si="102"/>
        <v>CEI</v>
      </c>
      <c r="H3275" t="s">
        <v>2815</v>
      </c>
      <c r="I3275" t="s">
        <v>20</v>
      </c>
      <c r="J3275" t="s">
        <v>62</v>
      </c>
      <c r="K3275" s="6">
        <v>0.03</v>
      </c>
      <c r="L3275" s="7">
        <f t="shared" si="103"/>
        <v>2E-3</v>
      </c>
      <c r="M3275" s="7">
        <v>3.0000000000000001E-3</v>
      </c>
      <c r="N3275">
        <v>14</v>
      </c>
      <c r="O3275" s="8">
        <v>20.496511113332595</v>
      </c>
      <c r="P3275" s="9">
        <v>20.496511113332595</v>
      </c>
      <c r="Q3275" s="9">
        <v>20.496511113332595</v>
      </c>
      <c r="R3275" s="9">
        <v>22.369233265005814</v>
      </c>
      <c r="S3275" s="9">
        <v>24.369791582598779</v>
      </c>
      <c r="T3275" s="9">
        <v>26.793872673985138</v>
      </c>
      <c r="U3275" s="9">
        <v>32.749697002694603</v>
      </c>
      <c r="V3275" s="9">
        <v>32.749697002694603</v>
      </c>
      <c r="W3275" s="9">
        <v>32.749697002694603</v>
      </c>
      <c r="X3275" s="9">
        <v>39.508877297592456</v>
      </c>
      <c r="Y3275" s="9">
        <v>39.508877297592456</v>
      </c>
      <c r="Z3275" s="9">
        <v>46.492680996235194</v>
      </c>
      <c r="AA3275" s="9">
        <v>46.492680996235194</v>
      </c>
      <c r="AB3275" s="9">
        <v>53.77149943190107</v>
      </c>
      <c r="AC3275" s="9">
        <v>53.77149943190107</v>
      </c>
      <c r="AD3275" s="9">
        <v>61.22621482724891</v>
      </c>
      <c r="AE3275" s="9">
        <v>68.879452688643582</v>
      </c>
      <c r="AF3275" s="9">
        <v>76.756825666485923</v>
      </c>
      <c r="AG3275" s="9">
        <v>76.756825666485923</v>
      </c>
      <c r="AH3275" s="9">
        <v>84.298379348358239</v>
      </c>
      <c r="AI3275" s="9">
        <v>92.367999054407335</v>
      </c>
      <c r="AJ3275" s="9">
        <v>3.0428788910505911</v>
      </c>
    </row>
    <row r="3276" spans="1:36" x14ac:dyDescent="0.25">
      <c r="A3276" t="s">
        <v>5411</v>
      </c>
      <c r="B3276" t="s">
        <v>16</v>
      </c>
      <c r="C3276" t="s">
        <v>17</v>
      </c>
      <c r="D3276">
        <v>63280000</v>
      </c>
      <c r="E3276">
        <v>63289999</v>
      </c>
      <c r="F3276" t="s">
        <v>2947</v>
      </c>
      <c r="G3276" t="str">
        <f t="shared" si="102"/>
        <v>CEI</v>
      </c>
      <c r="H3276" t="s">
        <v>2815</v>
      </c>
      <c r="I3276" t="s">
        <v>20</v>
      </c>
      <c r="J3276" t="s">
        <v>62</v>
      </c>
      <c r="K3276" s="6">
        <v>0.03</v>
      </c>
      <c r="L3276" s="7">
        <f t="shared" si="103"/>
        <v>2E-3</v>
      </c>
      <c r="M3276" s="7">
        <v>3.0000000000000001E-3</v>
      </c>
      <c r="N3276">
        <v>14</v>
      </c>
      <c r="O3276" s="8">
        <v>20.496511113332595</v>
      </c>
      <c r="P3276" s="9">
        <v>20.496511113332595</v>
      </c>
      <c r="Q3276" s="9">
        <v>20.496511113332595</v>
      </c>
      <c r="R3276" s="9">
        <v>22.369233265005814</v>
      </c>
      <c r="S3276" s="9">
        <v>24.369791582598779</v>
      </c>
      <c r="T3276" s="9">
        <v>26.793872673985138</v>
      </c>
      <c r="U3276" s="9">
        <v>32.749697002694603</v>
      </c>
      <c r="V3276" s="9">
        <v>32.749697002694603</v>
      </c>
      <c r="W3276" s="9">
        <v>32.749697002694603</v>
      </c>
      <c r="X3276" s="9">
        <v>39.508877297592456</v>
      </c>
      <c r="Y3276" s="9">
        <v>39.508877297592456</v>
      </c>
      <c r="Z3276" s="9">
        <v>46.492680996235194</v>
      </c>
      <c r="AA3276" s="9">
        <v>46.492680996235194</v>
      </c>
      <c r="AB3276" s="9">
        <v>53.77149943190107</v>
      </c>
      <c r="AC3276" s="9">
        <v>53.77149943190107</v>
      </c>
      <c r="AD3276" s="9">
        <v>61.22621482724891</v>
      </c>
      <c r="AE3276" s="9">
        <v>68.879452688643582</v>
      </c>
      <c r="AF3276" s="9">
        <v>76.756825666485923</v>
      </c>
      <c r="AG3276" s="9">
        <v>76.756825666485923</v>
      </c>
      <c r="AH3276" s="9">
        <v>84.298379348358239</v>
      </c>
      <c r="AI3276" s="9">
        <v>92.367999054407335</v>
      </c>
      <c r="AJ3276" s="9">
        <v>3.0428788910505911</v>
      </c>
    </row>
    <row r="3277" spans="1:36" x14ac:dyDescent="0.25">
      <c r="A3277" t="s">
        <v>5411</v>
      </c>
      <c r="B3277" t="s">
        <v>16</v>
      </c>
      <c r="C3277" t="s">
        <v>17</v>
      </c>
      <c r="D3277">
        <v>63290000</v>
      </c>
      <c r="E3277">
        <v>63299999</v>
      </c>
      <c r="F3277" t="s">
        <v>2948</v>
      </c>
      <c r="G3277" t="str">
        <f t="shared" si="102"/>
        <v>CEI II</v>
      </c>
      <c r="H3277" t="s">
        <v>2815</v>
      </c>
      <c r="I3277" t="s">
        <v>20</v>
      </c>
      <c r="J3277" t="s">
        <v>64</v>
      </c>
      <c r="K3277" s="6">
        <v>0.03</v>
      </c>
      <c r="L3277" s="7">
        <f t="shared" si="103"/>
        <v>2E-3</v>
      </c>
      <c r="M3277" s="7">
        <v>3.0000000000000001E-3</v>
      </c>
      <c r="N3277">
        <v>14</v>
      </c>
      <c r="O3277" s="8">
        <v>25.041947314744238</v>
      </c>
      <c r="P3277" s="9">
        <v>25.041947314744238</v>
      </c>
      <c r="Q3277" s="9">
        <v>25.041947314744238</v>
      </c>
      <c r="R3277" s="9">
        <v>27.456353403762161</v>
      </c>
      <c r="S3277" s="9">
        <v>30.106651570134346</v>
      </c>
      <c r="T3277" s="9">
        <v>32.38507785162065</v>
      </c>
      <c r="U3277" s="9">
        <v>39.429466811122886</v>
      </c>
      <c r="V3277" s="9">
        <v>39.429466811122886</v>
      </c>
      <c r="W3277" s="9">
        <v>39.429466811122886</v>
      </c>
      <c r="X3277" s="9">
        <v>47.435574821920561</v>
      </c>
      <c r="Y3277" s="9">
        <v>47.435574821920561</v>
      </c>
      <c r="Z3277" s="9">
        <v>55.548774102684064</v>
      </c>
      <c r="AA3277" s="9">
        <v>55.548774102684064</v>
      </c>
      <c r="AB3277" s="9">
        <v>63.779773780410025</v>
      </c>
      <c r="AC3277" s="9">
        <v>63.779773780410025</v>
      </c>
      <c r="AD3277" s="9">
        <v>74.232976377209724</v>
      </c>
      <c r="AE3277" s="9">
        <v>81.9014230099272</v>
      </c>
      <c r="AF3277" s="9">
        <v>89.711048815832598</v>
      </c>
      <c r="AG3277" s="9">
        <v>89.711048815832598</v>
      </c>
      <c r="AH3277" s="9">
        <v>98.594438447760481</v>
      </c>
      <c r="AI3277" s="9">
        <v>107.25818871858809</v>
      </c>
      <c r="AJ3277" s="9">
        <v>3.0428788910505911</v>
      </c>
    </row>
    <row r="3278" spans="1:36" x14ac:dyDescent="0.25">
      <c r="A3278" t="s">
        <v>5411</v>
      </c>
      <c r="B3278" t="s">
        <v>16</v>
      </c>
      <c r="C3278" t="s">
        <v>17</v>
      </c>
      <c r="D3278">
        <v>63300000</v>
      </c>
      <c r="E3278">
        <v>63309999</v>
      </c>
      <c r="F3278" t="s">
        <v>2949</v>
      </c>
      <c r="G3278" t="str">
        <f t="shared" si="102"/>
        <v>CEI II</v>
      </c>
      <c r="H3278" t="s">
        <v>2815</v>
      </c>
      <c r="I3278" t="s">
        <v>20</v>
      </c>
      <c r="J3278" t="s">
        <v>64</v>
      </c>
      <c r="K3278" s="6">
        <v>0.03</v>
      </c>
      <c r="L3278" s="7">
        <f t="shared" si="103"/>
        <v>2E-3</v>
      </c>
      <c r="M3278" s="7">
        <v>3.0000000000000001E-3</v>
      </c>
      <c r="N3278">
        <v>14</v>
      </c>
      <c r="O3278" s="8">
        <v>25.041947314744238</v>
      </c>
      <c r="P3278" s="9">
        <v>25.041947314744238</v>
      </c>
      <c r="Q3278" s="9">
        <v>25.041947314744238</v>
      </c>
      <c r="R3278" s="9">
        <v>27.456353403762161</v>
      </c>
      <c r="S3278" s="9">
        <v>30.106651570134346</v>
      </c>
      <c r="T3278" s="9">
        <v>32.38507785162065</v>
      </c>
      <c r="U3278" s="9">
        <v>39.429466811122886</v>
      </c>
      <c r="V3278" s="9">
        <v>39.429466811122886</v>
      </c>
      <c r="W3278" s="9">
        <v>39.429466811122886</v>
      </c>
      <c r="X3278" s="9">
        <v>47.435574821920561</v>
      </c>
      <c r="Y3278" s="9">
        <v>47.435574821920561</v>
      </c>
      <c r="Z3278" s="9">
        <v>55.548774102684064</v>
      </c>
      <c r="AA3278" s="9">
        <v>55.548774102684064</v>
      </c>
      <c r="AB3278" s="9">
        <v>63.779773780410025</v>
      </c>
      <c r="AC3278" s="9">
        <v>63.779773780410025</v>
      </c>
      <c r="AD3278" s="9">
        <v>74.232976377209724</v>
      </c>
      <c r="AE3278" s="9">
        <v>81.9014230099272</v>
      </c>
      <c r="AF3278" s="9">
        <v>89.711048815832598</v>
      </c>
      <c r="AG3278" s="9">
        <v>89.711048815832598</v>
      </c>
      <c r="AH3278" s="9">
        <v>98.594438447760481</v>
      </c>
      <c r="AI3278" s="9">
        <v>107.25818871858809</v>
      </c>
      <c r="AJ3278" s="9">
        <v>3.0428788910505911</v>
      </c>
    </row>
    <row r="3279" spans="1:36" x14ac:dyDescent="0.25">
      <c r="A3279" t="s">
        <v>5411</v>
      </c>
      <c r="B3279" t="s">
        <v>16</v>
      </c>
      <c r="C3279" t="s">
        <v>17</v>
      </c>
      <c r="D3279">
        <v>63310000</v>
      </c>
      <c r="E3279">
        <v>63319999</v>
      </c>
      <c r="F3279" t="s">
        <v>2950</v>
      </c>
      <c r="G3279" t="str">
        <f t="shared" si="102"/>
        <v>CEI II</v>
      </c>
      <c r="H3279" t="s">
        <v>2815</v>
      </c>
      <c r="I3279" t="s">
        <v>20</v>
      </c>
      <c r="J3279" t="s">
        <v>64</v>
      </c>
      <c r="K3279" s="6">
        <v>0.03</v>
      </c>
      <c r="L3279" s="7">
        <f t="shared" si="103"/>
        <v>2E-3</v>
      </c>
      <c r="M3279" s="7">
        <v>3.0000000000000001E-3</v>
      </c>
      <c r="N3279">
        <v>14</v>
      </c>
      <c r="O3279" s="8">
        <v>25.041947314744238</v>
      </c>
      <c r="P3279" s="9">
        <v>25.041947314744238</v>
      </c>
      <c r="Q3279" s="9">
        <v>25.041947314744238</v>
      </c>
      <c r="R3279" s="9">
        <v>27.456353403762161</v>
      </c>
      <c r="S3279" s="9">
        <v>30.106651570134346</v>
      </c>
      <c r="T3279" s="9">
        <v>32.38507785162065</v>
      </c>
      <c r="U3279" s="9">
        <v>39.429466811122886</v>
      </c>
      <c r="V3279" s="9">
        <v>39.429466811122886</v>
      </c>
      <c r="W3279" s="9">
        <v>39.429466811122886</v>
      </c>
      <c r="X3279" s="9">
        <v>47.435574821920561</v>
      </c>
      <c r="Y3279" s="9">
        <v>47.435574821920561</v>
      </c>
      <c r="Z3279" s="9">
        <v>55.548774102684064</v>
      </c>
      <c r="AA3279" s="9">
        <v>55.548774102684064</v>
      </c>
      <c r="AB3279" s="9">
        <v>63.779773780410025</v>
      </c>
      <c r="AC3279" s="9">
        <v>63.779773780410025</v>
      </c>
      <c r="AD3279" s="9">
        <v>74.232976377209724</v>
      </c>
      <c r="AE3279" s="9">
        <v>81.9014230099272</v>
      </c>
      <c r="AF3279" s="9">
        <v>89.711048815832598</v>
      </c>
      <c r="AG3279" s="9">
        <v>89.711048815832598</v>
      </c>
      <c r="AH3279" s="9">
        <v>98.594438447760481</v>
      </c>
      <c r="AI3279" s="9">
        <v>107.25818871858809</v>
      </c>
      <c r="AJ3279" s="9">
        <v>3.0428788910505911</v>
      </c>
    </row>
    <row r="3280" spans="1:36" x14ac:dyDescent="0.25">
      <c r="A3280" t="s">
        <v>5411</v>
      </c>
      <c r="B3280" t="s">
        <v>16</v>
      </c>
      <c r="C3280" t="s">
        <v>17</v>
      </c>
      <c r="D3280">
        <v>63320000</v>
      </c>
      <c r="E3280">
        <v>63339999</v>
      </c>
      <c r="F3280" t="s">
        <v>2951</v>
      </c>
      <c r="G3280" t="str">
        <f t="shared" si="102"/>
        <v>CEI II</v>
      </c>
      <c r="H3280" t="s">
        <v>2815</v>
      </c>
      <c r="I3280" t="s">
        <v>20</v>
      </c>
      <c r="J3280" t="s">
        <v>64</v>
      </c>
      <c r="K3280" s="6">
        <v>0.03</v>
      </c>
      <c r="L3280" s="7">
        <f t="shared" si="103"/>
        <v>2E-3</v>
      </c>
      <c r="M3280" s="7">
        <v>3.0000000000000001E-3</v>
      </c>
      <c r="N3280">
        <v>14</v>
      </c>
      <c r="O3280" s="8">
        <v>25.041947314744238</v>
      </c>
      <c r="P3280" s="9">
        <v>25.041947314744238</v>
      </c>
      <c r="Q3280" s="9">
        <v>25.041947314744238</v>
      </c>
      <c r="R3280" s="9">
        <v>27.456353403762161</v>
      </c>
      <c r="S3280" s="9">
        <v>30.106651570134346</v>
      </c>
      <c r="T3280" s="9">
        <v>32.38507785162065</v>
      </c>
      <c r="U3280" s="9">
        <v>39.429466811122886</v>
      </c>
      <c r="V3280" s="9">
        <v>39.429466811122886</v>
      </c>
      <c r="W3280" s="9">
        <v>39.429466811122886</v>
      </c>
      <c r="X3280" s="9">
        <v>47.435574821920561</v>
      </c>
      <c r="Y3280" s="9">
        <v>47.435574821920561</v>
      </c>
      <c r="Z3280" s="9">
        <v>55.548774102684064</v>
      </c>
      <c r="AA3280" s="9">
        <v>55.548774102684064</v>
      </c>
      <c r="AB3280" s="9">
        <v>63.779773780410025</v>
      </c>
      <c r="AC3280" s="9">
        <v>63.779773780410025</v>
      </c>
      <c r="AD3280" s="9">
        <v>74.232976377209724</v>
      </c>
      <c r="AE3280" s="9">
        <v>81.9014230099272</v>
      </c>
      <c r="AF3280" s="9">
        <v>89.711048815832598</v>
      </c>
      <c r="AG3280" s="9">
        <v>89.711048815832598</v>
      </c>
      <c r="AH3280" s="9">
        <v>98.594438447760481</v>
      </c>
      <c r="AI3280" s="9">
        <v>107.25818871858809</v>
      </c>
      <c r="AJ3280" s="9">
        <v>3.0428788910505911</v>
      </c>
    </row>
    <row r="3281" spans="1:36" x14ac:dyDescent="0.25">
      <c r="A3281" t="s">
        <v>5411</v>
      </c>
      <c r="B3281" t="s">
        <v>16</v>
      </c>
      <c r="C3281" t="s">
        <v>17</v>
      </c>
      <c r="D3281">
        <v>63340000</v>
      </c>
      <c r="E3281">
        <v>63359999</v>
      </c>
      <c r="F3281" t="s">
        <v>2952</v>
      </c>
      <c r="G3281" t="str">
        <f t="shared" si="102"/>
        <v>CEI II</v>
      </c>
      <c r="H3281" t="s">
        <v>2815</v>
      </c>
      <c r="I3281" t="s">
        <v>20</v>
      </c>
      <c r="J3281" t="s">
        <v>64</v>
      </c>
      <c r="K3281" s="6">
        <v>0.03</v>
      </c>
      <c r="L3281" s="7">
        <f t="shared" si="103"/>
        <v>2E-3</v>
      </c>
      <c r="M3281" s="7">
        <v>3.0000000000000001E-3</v>
      </c>
      <c r="N3281">
        <v>14</v>
      </c>
      <c r="O3281" s="8">
        <v>25.041947314744238</v>
      </c>
      <c r="P3281" s="9">
        <v>25.041947314744238</v>
      </c>
      <c r="Q3281" s="9">
        <v>25.041947314744238</v>
      </c>
      <c r="R3281" s="9">
        <v>27.456353403762161</v>
      </c>
      <c r="S3281" s="9">
        <v>30.106651570134346</v>
      </c>
      <c r="T3281" s="9">
        <v>32.38507785162065</v>
      </c>
      <c r="U3281" s="9">
        <v>39.429466811122886</v>
      </c>
      <c r="V3281" s="9">
        <v>39.429466811122886</v>
      </c>
      <c r="W3281" s="9">
        <v>39.429466811122886</v>
      </c>
      <c r="X3281" s="9">
        <v>47.435574821920561</v>
      </c>
      <c r="Y3281" s="9">
        <v>47.435574821920561</v>
      </c>
      <c r="Z3281" s="9">
        <v>55.548774102684064</v>
      </c>
      <c r="AA3281" s="9">
        <v>55.548774102684064</v>
      </c>
      <c r="AB3281" s="9">
        <v>63.779773780410025</v>
      </c>
      <c r="AC3281" s="9">
        <v>63.779773780410025</v>
      </c>
      <c r="AD3281" s="9">
        <v>74.232976377209724</v>
      </c>
      <c r="AE3281" s="9">
        <v>81.9014230099272</v>
      </c>
      <c r="AF3281" s="9">
        <v>89.711048815832598</v>
      </c>
      <c r="AG3281" s="9">
        <v>89.711048815832598</v>
      </c>
      <c r="AH3281" s="9">
        <v>98.594438447760481</v>
      </c>
      <c r="AI3281" s="9">
        <v>107.25818871858809</v>
      </c>
      <c r="AJ3281" s="9">
        <v>3.0428788910505911</v>
      </c>
    </row>
    <row r="3282" spans="1:36" x14ac:dyDescent="0.25">
      <c r="A3282" t="s">
        <v>5411</v>
      </c>
      <c r="B3282" t="s">
        <v>16</v>
      </c>
      <c r="C3282" t="s">
        <v>17</v>
      </c>
      <c r="D3282">
        <v>63360000</v>
      </c>
      <c r="E3282">
        <v>63379999</v>
      </c>
      <c r="F3282" t="s">
        <v>2953</v>
      </c>
      <c r="G3282" t="str">
        <f t="shared" si="102"/>
        <v>CEI II</v>
      </c>
      <c r="H3282" t="s">
        <v>2815</v>
      </c>
      <c r="I3282" t="s">
        <v>20</v>
      </c>
      <c r="J3282" t="s">
        <v>64</v>
      </c>
      <c r="K3282" s="6">
        <v>0.03</v>
      </c>
      <c r="L3282" s="7">
        <f t="shared" si="103"/>
        <v>2E-3</v>
      </c>
      <c r="M3282" s="7">
        <v>3.0000000000000001E-3</v>
      </c>
      <c r="N3282">
        <v>14</v>
      </c>
      <c r="O3282" s="8">
        <v>25.041947314744238</v>
      </c>
      <c r="P3282" s="9">
        <v>25.041947314744238</v>
      </c>
      <c r="Q3282" s="9">
        <v>25.041947314744238</v>
      </c>
      <c r="R3282" s="9">
        <v>27.456353403762161</v>
      </c>
      <c r="S3282" s="9">
        <v>30.106651570134346</v>
      </c>
      <c r="T3282" s="9">
        <v>32.38507785162065</v>
      </c>
      <c r="U3282" s="9">
        <v>39.429466811122886</v>
      </c>
      <c r="V3282" s="9">
        <v>39.429466811122886</v>
      </c>
      <c r="W3282" s="9">
        <v>39.429466811122886</v>
      </c>
      <c r="X3282" s="9">
        <v>47.435574821920561</v>
      </c>
      <c r="Y3282" s="9">
        <v>47.435574821920561</v>
      </c>
      <c r="Z3282" s="9">
        <v>55.548774102684064</v>
      </c>
      <c r="AA3282" s="9">
        <v>55.548774102684064</v>
      </c>
      <c r="AB3282" s="9">
        <v>63.779773780410025</v>
      </c>
      <c r="AC3282" s="9">
        <v>63.779773780410025</v>
      </c>
      <c r="AD3282" s="9">
        <v>74.232976377209724</v>
      </c>
      <c r="AE3282" s="9">
        <v>81.9014230099272</v>
      </c>
      <c r="AF3282" s="9">
        <v>89.711048815832598</v>
      </c>
      <c r="AG3282" s="9">
        <v>89.711048815832598</v>
      </c>
      <c r="AH3282" s="9">
        <v>98.594438447760481</v>
      </c>
      <c r="AI3282" s="9">
        <v>107.25818871858809</v>
      </c>
      <c r="AJ3282" s="9">
        <v>3.0428788910505911</v>
      </c>
    </row>
    <row r="3283" spans="1:36" x14ac:dyDescent="0.25">
      <c r="A3283" t="s">
        <v>5411</v>
      </c>
      <c r="B3283" t="s">
        <v>16</v>
      </c>
      <c r="C3283" t="s">
        <v>17</v>
      </c>
      <c r="D3283">
        <v>63380000</v>
      </c>
      <c r="E3283">
        <v>63399999</v>
      </c>
      <c r="F3283" t="s">
        <v>2954</v>
      </c>
      <c r="G3283" t="str">
        <f t="shared" si="102"/>
        <v>CEI II</v>
      </c>
      <c r="H3283" t="s">
        <v>2815</v>
      </c>
      <c r="I3283" t="s">
        <v>20</v>
      </c>
      <c r="J3283" t="s">
        <v>64</v>
      </c>
      <c r="K3283" s="6">
        <v>0.03</v>
      </c>
      <c r="L3283" s="7">
        <f t="shared" si="103"/>
        <v>2E-3</v>
      </c>
      <c r="M3283" s="7">
        <v>3.0000000000000001E-3</v>
      </c>
      <c r="N3283">
        <v>14</v>
      </c>
      <c r="O3283" s="8">
        <v>25.041947314744238</v>
      </c>
      <c r="P3283" s="9">
        <v>25.041947314744238</v>
      </c>
      <c r="Q3283" s="9">
        <v>25.041947314744238</v>
      </c>
      <c r="R3283" s="9">
        <v>27.456353403762161</v>
      </c>
      <c r="S3283" s="9">
        <v>30.106651570134346</v>
      </c>
      <c r="T3283" s="9">
        <v>32.38507785162065</v>
      </c>
      <c r="U3283" s="9">
        <v>39.429466811122886</v>
      </c>
      <c r="V3283" s="9">
        <v>39.429466811122886</v>
      </c>
      <c r="W3283" s="9">
        <v>39.429466811122886</v>
      </c>
      <c r="X3283" s="9">
        <v>47.435574821920561</v>
      </c>
      <c r="Y3283" s="9">
        <v>47.435574821920561</v>
      </c>
      <c r="Z3283" s="9">
        <v>55.548774102684064</v>
      </c>
      <c r="AA3283" s="9">
        <v>55.548774102684064</v>
      </c>
      <c r="AB3283" s="9">
        <v>63.779773780410025</v>
      </c>
      <c r="AC3283" s="9">
        <v>63.779773780410025</v>
      </c>
      <c r="AD3283" s="9">
        <v>74.232976377209724</v>
      </c>
      <c r="AE3283" s="9">
        <v>81.9014230099272</v>
      </c>
      <c r="AF3283" s="9">
        <v>89.711048815832598</v>
      </c>
      <c r="AG3283" s="9">
        <v>89.711048815832598</v>
      </c>
      <c r="AH3283" s="9">
        <v>98.594438447760481</v>
      </c>
      <c r="AI3283" s="9">
        <v>107.25818871858809</v>
      </c>
      <c r="AJ3283" s="9">
        <v>3.0428788910505911</v>
      </c>
    </row>
    <row r="3284" spans="1:36" x14ac:dyDescent="0.25">
      <c r="A3284" t="s">
        <v>5411</v>
      </c>
      <c r="B3284" t="s">
        <v>16</v>
      </c>
      <c r="C3284" t="s">
        <v>17</v>
      </c>
      <c r="D3284">
        <v>63400000</v>
      </c>
      <c r="E3284">
        <v>63429999</v>
      </c>
      <c r="F3284" t="s">
        <v>2317</v>
      </c>
      <c r="G3284" t="str">
        <f t="shared" si="102"/>
        <v>CEI II</v>
      </c>
      <c r="H3284" t="s">
        <v>2815</v>
      </c>
      <c r="I3284" t="s">
        <v>20</v>
      </c>
      <c r="J3284" t="s">
        <v>64</v>
      </c>
      <c r="K3284" s="6">
        <v>0.03</v>
      </c>
      <c r="L3284" s="7">
        <f t="shared" si="103"/>
        <v>2E-3</v>
      </c>
      <c r="M3284" s="7">
        <v>3.0000000000000001E-3</v>
      </c>
      <c r="N3284">
        <v>14</v>
      </c>
      <c r="O3284" s="8">
        <v>25.041947314744238</v>
      </c>
      <c r="P3284" s="9">
        <v>25.041947314744238</v>
      </c>
      <c r="Q3284" s="9">
        <v>25.041947314744238</v>
      </c>
      <c r="R3284" s="9">
        <v>27.456353403762161</v>
      </c>
      <c r="S3284" s="9">
        <v>30.106651570134346</v>
      </c>
      <c r="T3284" s="9">
        <v>32.38507785162065</v>
      </c>
      <c r="U3284" s="9">
        <v>39.429466811122886</v>
      </c>
      <c r="V3284" s="9">
        <v>39.429466811122886</v>
      </c>
      <c r="W3284" s="9">
        <v>39.429466811122886</v>
      </c>
      <c r="X3284" s="9">
        <v>47.435574821920561</v>
      </c>
      <c r="Y3284" s="9">
        <v>47.435574821920561</v>
      </c>
      <c r="Z3284" s="9">
        <v>55.548774102684064</v>
      </c>
      <c r="AA3284" s="9">
        <v>55.548774102684064</v>
      </c>
      <c r="AB3284" s="9">
        <v>63.779773780410025</v>
      </c>
      <c r="AC3284" s="9">
        <v>63.779773780410025</v>
      </c>
      <c r="AD3284" s="9">
        <v>74.232976377209724</v>
      </c>
      <c r="AE3284" s="9">
        <v>81.9014230099272</v>
      </c>
      <c r="AF3284" s="9">
        <v>89.711048815832598</v>
      </c>
      <c r="AG3284" s="9">
        <v>89.711048815832598</v>
      </c>
      <c r="AH3284" s="9">
        <v>98.594438447760481</v>
      </c>
      <c r="AI3284" s="9">
        <v>107.25818871858809</v>
      </c>
      <c r="AJ3284" s="9">
        <v>3.0428788910505911</v>
      </c>
    </row>
    <row r="3285" spans="1:36" x14ac:dyDescent="0.25">
      <c r="A3285" t="s">
        <v>5411</v>
      </c>
      <c r="B3285" t="s">
        <v>16</v>
      </c>
      <c r="C3285" t="s">
        <v>17</v>
      </c>
      <c r="D3285">
        <v>63430000</v>
      </c>
      <c r="E3285">
        <v>63459999</v>
      </c>
      <c r="F3285" t="s">
        <v>2955</v>
      </c>
      <c r="G3285" t="str">
        <f t="shared" si="102"/>
        <v>CEI II</v>
      </c>
      <c r="H3285" t="s">
        <v>2815</v>
      </c>
      <c r="I3285" t="s">
        <v>20</v>
      </c>
      <c r="J3285" t="s">
        <v>64</v>
      </c>
      <c r="K3285" s="6">
        <v>0.03</v>
      </c>
      <c r="L3285" s="7">
        <f t="shared" si="103"/>
        <v>2E-3</v>
      </c>
      <c r="M3285" s="7">
        <v>3.0000000000000001E-3</v>
      </c>
      <c r="N3285">
        <v>14</v>
      </c>
      <c r="O3285" s="8">
        <v>25.041947314744238</v>
      </c>
      <c r="P3285" s="9">
        <v>25.041947314744238</v>
      </c>
      <c r="Q3285" s="9">
        <v>25.041947314744238</v>
      </c>
      <c r="R3285" s="9">
        <v>27.456353403762161</v>
      </c>
      <c r="S3285" s="9">
        <v>30.106651570134346</v>
      </c>
      <c r="T3285" s="9">
        <v>32.38507785162065</v>
      </c>
      <c r="U3285" s="9">
        <v>39.429466811122886</v>
      </c>
      <c r="V3285" s="9">
        <v>39.429466811122886</v>
      </c>
      <c r="W3285" s="9">
        <v>39.429466811122886</v>
      </c>
      <c r="X3285" s="9">
        <v>47.435574821920561</v>
      </c>
      <c r="Y3285" s="9">
        <v>47.435574821920561</v>
      </c>
      <c r="Z3285" s="9">
        <v>55.548774102684064</v>
      </c>
      <c r="AA3285" s="9">
        <v>55.548774102684064</v>
      </c>
      <c r="AB3285" s="9">
        <v>63.779773780410025</v>
      </c>
      <c r="AC3285" s="9">
        <v>63.779773780410025</v>
      </c>
      <c r="AD3285" s="9">
        <v>74.232976377209724</v>
      </c>
      <c r="AE3285" s="9">
        <v>81.9014230099272</v>
      </c>
      <c r="AF3285" s="9">
        <v>89.711048815832598</v>
      </c>
      <c r="AG3285" s="9">
        <v>89.711048815832598</v>
      </c>
      <c r="AH3285" s="9">
        <v>98.594438447760481</v>
      </c>
      <c r="AI3285" s="9">
        <v>107.25818871858809</v>
      </c>
      <c r="AJ3285" s="9">
        <v>3.0428788910505911</v>
      </c>
    </row>
    <row r="3286" spans="1:36" x14ac:dyDescent="0.25">
      <c r="A3286" t="s">
        <v>5411</v>
      </c>
      <c r="B3286" t="s">
        <v>16</v>
      </c>
      <c r="C3286" t="s">
        <v>17</v>
      </c>
      <c r="D3286">
        <v>63460000</v>
      </c>
      <c r="E3286">
        <v>63469999</v>
      </c>
      <c r="F3286" t="s">
        <v>2956</v>
      </c>
      <c r="G3286" t="str">
        <f t="shared" si="102"/>
        <v>CEI II</v>
      </c>
      <c r="H3286" t="s">
        <v>2815</v>
      </c>
      <c r="I3286" t="s">
        <v>20</v>
      </c>
      <c r="J3286" t="s">
        <v>64</v>
      </c>
      <c r="K3286" s="6">
        <v>0.03</v>
      </c>
      <c r="L3286" s="7">
        <f t="shared" si="103"/>
        <v>2E-3</v>
      </c>
      <c r="M3286" s="7">
        <v>3.0000000000000001E-3</v>
      </c>
      <c r="N3286">
        <v>14</v>
      </c>
      <c r="O3286" s="8">
        <v>25.041947314744238</v>
      </c>
      <c r="P3286" s="9">
        <v>25.041947314744238</v>
      </c>
      <c r="Q3286" s="9">
        <v>25.041947314744238</v>
      </c>
      <c r="R3286" s="9">
        <v>27.456353403762161</v>
      </c>
      <c r="S3286" s="9">
        <v>30.106651570134346</v>
      </c>
      <c r="T3286" s="9">
        <v>32.38507785162065</v>
      </c>
      <c r="U3286" s="9">
        <v>39.429466811122886</v>
      </c>
      <c r="V3286" s="9">
        <v>39.429466811122886</v>
      </c>
      <c r="W3286" s="9">
        <v>39.429466811122886</v>
      </c>
      <c r="X3286" s="9">
        <v>47.435574821920561</v>
      </c>
      <c r="Y3286" s="9">
        <v>47.435574821920561</v>
      </c>
      <c r="Z3286" s="9">
        <v>55.548774102684064</v>
      </c>
      <c r="AA3286" s="9">
        <v>55.548774102684064</v>
      </c>
      <c r="AB3286" s="9">
        <v>63.779773780410025</v>
      </c>
      <c r="AC3286" s="9">
        <v>63.779773780410025</v>
      </c>
      <c r="AD3286" s="9">
        <v>74.232976377209724</v>
      </c>
      <c r="AE3286" s="9">
        <v>81.9014230099272</v>
      </c>
      <c r="AF3286" s="9">
        <v>89.711048815832598</v>
      </c>
      <c r="AG3286" s="9">
        <v>89.711048815832598</v>
      </c>
      <c r="AH3286" s="9">
        <v>98.594438447760481</v>
      </c>
      <c r="AI3286" s="9">
        <v>107.25818871858809</v>
      </c>
      <c r="AJ3286" s="9">
        <v>3.0428788910505911</v>
      </c>
    </row>
    <row r="3287" spans="1:36" x14ac:dyDescent="0.25">
      <c r="A3287" t="s">
        <v>5411</v>
      </c>
      <c r="B3287" t="s">
        <v>16</v>
      </c>
      <c r="C3287" t="s">
        <v>17</v>
      </c>
      <c r="D3287">
        <v>63470000</v>
      </c>
      <c r="E3287">
        <v>63474999</v>
      </c>
      <c r="F3287" t="s">
        <v>2957</v>
      </c>
      <c r="G3287" t="str">
        <f t="shared" si="102"/>
        <v>CEI II</v>
      </c>
      <c r="H3287" t="s">
        <v>2815</v>
      </c>
      <c r="I3287" t="s">
        <v>20</v>
      </c>
      <c r="J3287" t="s">
        <v>64</v>
      </c>
      <c r="K3287" s="6">
        <v>0.03</v>
      </c>
      <c r="L3287" s="7">
        <f t="shared" si="103"/>
        <v>2E-3</v>
      </c>
      <c r="M3287" s="7">
        <v>3.0000000000000001E-3</v>
      </c>
      <c r="N3287">
        <v>14</v>
      </c>
      <c r="O3287" s="8">
        <v>25.041947314744238</v>
      </c>
      <c r="P3287" s="9">
        <v>25.041947314744238</v>
      </c>
      <c r="Q3287" s="9">
        <v>25.041947314744238</v>
      </c>
      <c r="R3287" s="9">
        <v>27.456353403762161</v>
      </c>
      <c r="S3287" s="9">
        <v>30.106651570134346</v>
      </c>
      <c r="T3287" s="9">
        <v>32.38507785162065</v>
      </c>
      <c r="U3287" s="9">
        <v>39.429466811122886</v>
      </c>
      <c r="V3287" s="9">
        <v>39.429466811122886</v>
      </c>
      <c r="W3287" s="9">
        <v>39.429466811122886</v>
      </c>
      <c r="X3287" s="9">
        <v>47.435574821920561</v>
      </c>
      <c r="Y3287" s="9">
        <v>47.435574821920561</v>
      </c>
      <c r="Z3287" s="9">
        <v>55.548774102684064</v>
      </c>
      <c r="AA3287" s="9">
        <v>55.548774102684064</v>
      </c>
      <c r="AB3287" s="9">
        <v>63.779773780410025</v>
      </c>
      <c r="AC3287" s="9">
        <v>63.779773780410025</v>
      </c>
      <c r="AD3287" s="9">
        <v>74.232976377209724</v>
      </c>
      <c r="AE3287" s="9">
        <v>81.9014230099272</v>
      </c>
      <c r="AF3287" s="9">
        <v>89.711048815832598</v>
      </c>
      <c r="AG3287" s="9">
        <v>89.711048815832598</v>
      </c>
      <c r="AH3287" s="9">
        <v>98.594438447760481</v>
      </c>
      <c r="AI3287" s="9">
        <v>107.25818871858809</v>
      </c>
      <c r="AJ3287" s="9">
        <v>3.0428788910505911</v>
      </c>
    </row>
    <row r="3288" spans="1:36" x14ac:dyDescent="0.25">
      <c r="A3288" t="s">
        <v>5411</v>
      </c>
      <c r="B3288" t="s">
        <v>16</v>
      </c>
      <c r="C3288" t="s">
        <v>17</v>
      </c>
      <c r="D3288">
        <v>63475000</v>
      </c>
      <c r="E3288">
        <v>63479999</v>
      </c>
      <c r="F3288" t="s">
        <v>2958</v>
      </c>
      <c r="G3288" t="str">
        <f t="shared" si="102"/>
        <v>CEI II</v>
      </c>
      <c r="H3288" t="s">
        <v>2815</v>
      </c>
      <c r="I3288" t="s">
        <v>20</v>
      </c>
      <c r="J3288" t="s">
        <v>64</v>
      </c>
      <c r="K3288" s="6">
        <v>0.03</v>
      </c>
      <c r="L3288" s="7">
        <f t="shared" si="103"/>
        <v>2E-3</v>
      </c>
      <c r="M3288" s="7">
        <v>3.0000000000000001E-3</v>
      </c>
      <c r="N3288">
        <v>14</v>
      </c>
      <c r="O3288" s="8">
        <v>25.041947314744238</v>
      </c>
      <c r="P3288" s="9">
        <v>25.041947314744238</v>
      </c>
      <c r="Q3288" s="9">
        <v>25.041947314744238</v>
      </c>
      <c r="R3288" s="9">
        <v>27.456353403762161</v>
      </c>
      <c r="S3288" s="9">
        <v>30.106651570134346</v>
      </c>
      <c r="T3288" s="9">
        <v>32.38507785162065</v>
      </c>
      <c r="U3288" s="9">
        <v>39.429466811122886</v>
      </c>
      <c r="V3288" s="9">
        <v>39.429466811122886</v>
      </c>
      <c r="W3288" s="9">
        <v>39.429466811122886</v>
      </c>
      <c r="X3288" s="9">
        <v>47.435574821920561</v>
      </c>
      <c r="Y3288" s="9">
        <v>47.435574821920561</v>
      </c>
      <c r="Z3288" s="9">
        <v>55.548774102684064</v>
      </c>
      <c r="AA3288" s="9">
        <v>55.548774102684064</v>
      </c>
      <c r="AB3288" s="9">
        <v>63.779773780410025</v>
      </c>
      <c r="AC3288" s="9">
        <v>63.779773780410025</v>
      </c>
      <c r="AD3288" s="9">
        <v>74.232976377209724</v>
      </c>
      <c r="AE3288" s="9">
        <v>81.9014230099272</v>
      </c>
      <c r="AF3288" s="9">
        <v>89.711048815832598</v>
      </c>
      <c r="AG3288" s="9">
        <v>89.711048815832598</v>
      </c>
      <c r="AH3288" s="9">
        <v>98.594438447760481</v>
      </c>
      <c r="AI3288" s="9">
        <v>107.25818871858809</v>
      </c>
      <c r="AJ3288" s="9">
        <v>3.0428788910505911</v>
      </c>
    </row>
    <row r="3289" spans="1:36" x14ac:dyDescent="0.25">
      <c r="A3289" t="s">
        <v>5411</v>
      </c>
      <c r="B3289" t="s">
        <v>16</v>
      </c>
      <c r="C3289" t="s">
        <v>17</v>
      </c>
      <c r="D3289">
        <v>63480000</v>
      </c>
      <c r="E3289">
        <v>63489999</v>
      </c>
      <c r="F3289" t="s">
        <v>2959</v>
      </c>
      <c r="G3289" t="str">
        <f t="shared" si="102"/>
        <v>CEI II</v>
      </c>
      <c r="H3289" t="s">
        <v>2815</v>
      </c>
      <c r="I3289" t="s">
        <v>20</v>
      </c>
      <c r="J3289" t="s">
        <v>64</v>
      </c>
      <c r="K3289" s="6">
        <v>0.03</v>
      </c>
      <c r="L3289" s="7">
        <f t="shared" si="103"/>
        <v>2E-3</v>
      </c>
      <c r="M3289" s="7">
        <v>3.0000000000000001E-3</v>
      </c>
      <c r="N3289">
        <v>14</v>
      </c>
      <c r="O3289" s="8">
        <v>25.041947314744238</v>
      </c>
      <c r="P3289" s="9">
        <v>25.041947314744238</v>
      </c>
      <c r="Q3289" s="9">
        <v>25.041947314744238</v>
      </c>
      <c r="R3289" s="9">
        <v>27.456353403762161</v>
      </c>
      <c r="S3289" s="9">
        <v>30.106651570134346</v>
      </c>
      <c r="T3289" s="9">
        <v>32.38507785162065</v>
      </c>
      <c r="U3289" s="9">
        <v>39.429466811122886</v>
      </c>
      <c r="V3289" s="9">
        <v>39.429466811122886</v>
      </c>
      <c r="W3289" s="9">
        <v>39.429466811122886</v>
      </c>
      <c r="X3289" s="9">
        <v>47.435574821920561</v>
      </c>
      <c r="Y3289" s="9">
        <v>47.435574821920561</v>
      </c>
      <c r="Z3289" s="9">
        <v>55.548774102684064</v>
      </c>
      <c r="AA3289" s="9">
        <v>55.548774102684064</v>
      </c>
      <c r="AB3289" s="9">
        <v>63.779773780410025</v>
      </c>
      <c r="AC3289" s="9">
        <v>63.779773780410025</v>
      </c>
      <c r="AD3289" s="9">
        <v>74.232976377209724</v>
      </c>
      <c r="AE3289" s="9">
        <v>81.9014230099272</v>
      </c>
      <c r="AF3289" s="9">
        <v>89.711048815832598</v>
      </c>
      <c r="AG3289" s="9">
        <v>89.711048815832598</v>
      </c>
      <c r="AH3289" s="9">
        <v>98.594438447760481</v>
      </c>
      <c r="AI3289" s="9">
        <v>107.25818871858809</v>
      </c>
      <c r="AJ3289" s="9">
        <v>3.0428788910505911</v>
      </c>
    </row>
    <row r="3290" spans="1:36" x14ac:dyDescent="0.25">
      <c r="A3290" t="s">
        <v>5411</v>
      </c>
      <c r="B3290" t="s">
        <v>16</v>
      </c>
      <c r="C3290" t="s">
        <v>17</v>
      </c>
      <c r="D3290">
        <v>63490000</v>
      </c>
      <c r="E3290">
        <v>63499999</v>
      </c>
      <c r="F3290" t="s">
        <v>2960</v>
      </c>
      <c r="G3290" t="str">
        <f t="shared" si="102"/>
        <v>CEI II</v>
      </c>
      <c r="H3290" t="s">
        <v>2815</v>
      </c>
      <c r="I3290" t="s">
        <v>20</v>
      </c>
      <c r="J3290" t="s">
        <v>64</v>
      </c>
      <c r="K3290" s="6">
        <v>0.03</v>
      </c>
      <c r="L3290" s="7">
        <f t="shared" si="103"/>
        <v>2E-3</v>
      </c>
      <c r="M3290" s="7">
        <v>3.0000000000000001E-3</v>
      </c>
      <c r="N3290">
        <v>14</v>
      </c>
      <c r="O3290" s="8">
        <v>25.041947314744238</v>
      </c>
      <c r="P3290" s="9">
        <v>25.041947314744238</v>
      </c>
      <c r="Q3290" s="9">
        <v>25.041947314744238</v>
      </c>
      <c r="R3290" s="9">
        <v>27.456353403762161</v>
      </c>
      <c r="S3290" s="9">
        <v>30.106651570134346</v>
      </c>
      <c r="T3290" s="9">
        <v>32.38507785162065</v>
      </c>
      <c r="U3290" s="9">
        <v>39.429466811122886</v>
      </c>
      <c r="V3290" s="9">
        <v>39.429466811122886</v>
      </c>
      <c r="W3290" s="9">
        <v>39.429466811122886</v>
      </c>
      <c r="X3290" s="9">
        <v>47.435574821920561</v>
      </c>
      <c r="Y3290" s="9">
        <v>47.435574821920561</v>
      </c>
      <c r="Z3290" s="9">
        <v>55.548774102684064</v>
      </c>
      <c r="AA3290" s="9">
        <v>55.548774102684064</v>
      </c>
      <c r="AB3290" s="9">
        <v>63.779773780410025</v>
      </c>
      <c r="AC3290" s="9">
        <v>63.779773780410025</v>
      </c>
      <c r="AD3290" s="9">
        <v>74.232976377209724</v>
      </c>
      <c r="AE3290" s="9">
        <v>81.9014230099272</v>
      </c>
      <c r="AF3290" s="9">
        <v>89.711048815832598</v>
      </c>
      <c r="AG3290" s="9">
        <v>89.711048815832598</v>
      </c>
      <c r="AH3290" s="9">
        <v>98.594438447760481</v>
      </c>
      <c r="AI3290" s="9">
        <v>107.25818871858809</v>
      </c>
      <c r="AJ3290" s="9">
        <v>3.0428788910505911</v>
      </c>
    </row>
    <row r="3291" spans="1:36" x14ac:dyDescent="0.25">
      <c r="A3291" t="s">
        <v>5411</v>
      </c>
      <c r="B3291" t="s">
        <v>16</v>
      </c>
      <c r="C3291" t="s">
        <v>17</v>
      </c>
      <c r="D3291">
        <v>63500000</v>
      </c>
      <c r="E3291">
        <v>63514999</v>
      </c>
      <c r="F3291" t="s">
        <v>2961</v>
      </c>
      <c r="G3291" t="str">
        <f t="shared" si="102"/>
        <v>CEI</v>
      </c>
      <c r="H3291" t="s">
        <v>2815</v>
      </c>
      <c r="I3291" t="s">
        <v>20</v>
      </c>
      <c r="J3291" t="s">
        <v>62</v>
      </c>
      <c r="K3291" s="6">
        <v>0.03</v>
      </c>
      <c r="L3291" s="7">
        <f t="shared" si="103"/>
        <v>2E-3</v>
      </c>
      <c r="M3291" s="7">
        <v>3.0000000000000001E-3</v>
      </c>
      <c r="N3291">
        <v>13</v>
      </c>
      <c r="O3291" s="8">
        <v>20.496511113332595</v>
      </c>
      <c r="P3291" s="9">
        <v>20.496511113332595</v>
      </c>
      <c r="Q3291" s="9">
        <v>20.496511113332595</v>
      </c>
      <c r="R3291" s="9">
        <v>22.369233265005814</v>
      </c>
      <c r="S3291" s="9">
        <v>24.369791582598779</v>
      </c>
      <c r="T3291" s="9">
        <v>26.793872673985138</v>
      </c>
      <c r="U3291" s="9">
        <v>32.749697002694603</v>
      </c>
      <c r="V3291" s="9">
        <v>32.749697002694603</v>
      </c>
      <c r="W3291" s="9">
        <v>32.749697002694603</v>
      </c>
      <c r="X3291" s="9">
        <v>39.508877297592456</v>
      </c>
      <c r="Y3291" s="9">
        <v>39.508877297592456</v>
      </c>
      <c r="Z3291" s="9">
        <v>46.492680996235194</v>
      </c>
      <c r="AA3291" s="9">
        <v>46.492680996235194</v>
      </c>
      <c r="AB3291" s="9">
        <v>53.77149943190107</v>
      </c>
      <c r="AC3291" s="9">
        <v>53.77149943190107</v>
      </c>
      <c r="AD3291" s="9">
        <v>61.22621482724891</v>
      </c>
      <c r="AE3291" s="9">
        <v>68.879452688643582</v>
      </c>
      <c r="AF3291" s="9">
        <v>76.756825666485923</v>
      </c>
      <c r="AG3291" s="9">
        <v>76.756825666485923</v>
      </c>
      <c r="AH3291" s="9">
        <v>84.298379348358239</v>
      </c>
      <c r="AI3291" s="9">
        <v>92.367999054407335</v>
      </c>
      <c r="AJ3291" s="9">
        <v>3.0428788910505911</v>
      </c>
    </row>
    <row r="3292" spans="1:36" x14ac:dyDescent="0.25">
      <c r="A3292" t="s">
        <v>5411</v>
      </c>
      <c r="B3292" t="s">
        <v>16</v>
      </c>
      <c r="C3292" t="s">
        <v>17</v>
      </c>
      <c r="D3292">
        <v>63515000</v>
      </c>
      <c r="E3292">
        <v>63519999</v>
      </c>
      <c r="F3292" t="s">
        <v>2962</v>
      </c>
      <c r="G3292" t="str">
        <f t="shared" si="102"/>
        <v>CEI II</v>
      </c>
      <c r="H3292" t="s">
        <v>2815</v>
      </c>
      <c r="I3292" t="s">
        <v>20</v>
      </c>
      <c r="J3292" t="s">
        <v>64</v>
      </c>
      <c r="K3292" s="6">
        <v>0.03</v>
      </c>
      <c r="L3292" s="7">
        <f t="shared" si="103"/>
        <v>2E-3</v>
      </c>
      <c r="M3292" s="7">
        <v>3.0000000000000001E-3</v>
      </c>
      <c r="N3292">
        <v>14</v>
      </c>
      <c r="O3292" s="8">
        <v>25.041947314744238</v>
      </c>
      <c r="P3292" s="9">
        <v>25.041947314744238</v>
      </c>
      <c r="Q3292" s="9">
        <v>25.041947314744238</v>
      </c>
      <c r="R3292" s="9">
        <v>27.456353403762161</v>
      </c>
      <c r="S3292" s="9">
        <v>30.106651570134346</v>
      </c>
      <c r="T3292" s="9">
        <v>32.38507785162065</v>
      </c>
      <c r="U3292" s="9">
        <v>39.429466811122886</v>
      </c>
      <c r="V3292" s="9">
        <v>39.429466811122886</v>
      </c>
      <c r="W3292" s="9">
        <v>39.429466811122886</v>
      </c>
      <c r="X3292" s="9">
        <v>47.435574821920561</v>
      </c>
      <c r="Y3292" s="9">
        <v>47.435574821920561</v>
      </c>
      <c r="Z3292" s="9">
        <v>55.548774102684064</v>
      </c>
      <c r="AA3292" s="9">
        <v>55.548774102684064</v>
      </c>
      <c r="AB3292" s="9">
        <v>63.779773780410025</v>
      </c>
      <c r="AC3292" s="9">
        <v>63.779773780410025</v>
      </c>
      <c r="AD3292" s="9">
        <v>74.232976377209724</v>
      </c>
      <c r="AE3292" s="9">
        <v>81.9014230099272</v>
      </c>
      <c r="AF3292" s="9">
        <v>89.711048815832598</v>
      </c>
      <c r="AG3292" s="9">
        <v>89.711048815832598</v>
      </c>
      <c r="AH3292" s="9">
        <v>98.594438447760481</v>
      </c>
      <c r="AI3292" s="9">
        <v>107.25818871858809</v>
      </c>
      <c r="AJ3292" s="9">
        <v>3.0428788910505911</v>
      </c>
    </row>
    <row r="3293" spans="1:36" x14ac:dyDescent="0.25">
      <c r="A3293" t="s">
        <v>5411</v>
      </c>
      <c r="B3293" t="s">
        <v>16</v>
      </c>
      <c r="C3293" t="s">
        <v>17</v>
      </c>
      <c r="D3293">
        <v>63520000</v>
      </c>
      <c r="E3293">
        <v>63529999</v>
      </c>
      <c r="F3293" t="s">
        <v>2963</v>
      </c>
      <c r="G3293" t="str">
        <f t="shared" si="102"/>
        <v>CEI II</v>
      </c>
      <c r="H3293" t="s">
        <v>2815</v>
      </c>
      <c r="I3293" t="s">
        <v>20</v>
      </c>
      <c r="J3293" t="s">
        <v>64</v>
      </c>
      <c r="K3293" s="6">
        <v>0.03</v>
      </c>
      <c r="L3293" s="7">
        <f t="shared" si="103"/>
        <v>2E-3</v>
      </c>
      <c r="M3293" s="7">
        <v>3.0000000000000001E-3</v>
      </c>
      <c r="N3293">
        <v>14</v>
      </c>
      <c r="O3293" s="8">
        <v>25.041947314744238</v>
      </c>
      <c r="P3293" s="9">
        <v>25.041947314744238</v>
      </c>
      <c r="Q3293" s="9">
        <v>25.041947314744238</v>
      </c>
      <c r="R3293" s="9">
        <v>27.456353403762161</v>
      </c>
      <c r="S3293" s="9">
        <v>30.106651570134346</v>
      </c>
      <c r="T3293" s="9">
        <v>32.38507785162065</v>
      </c>
      <c r="U3293" s="9">
        <v>39.429466811122886</v>
      </c>
      <c r="V3293" s="9">
        <v>39.429466811122886</v>
      </c>
      <c r="W3293" s="9">
        <v>39.429466811122886</v>
      </c>
      <c r="X3293" s="9">
        <v>47.435574821920561</v>
      </c>
      <c r="Y3293" s="9">
        <v>47.435574821920561</v>
      </c>
      <c r="Z3293" s="9">
        <v>55.548774102684064</v>
      </c>
      <c r="AA3293" s="9">
        <v>55.548774102684064</v>
      </c>
      <c r="AB3293" s="9">
        <v>63.779773780410025</v>
      </c>
      <c r="AC3293" s="9">
        <v>63.779773780410025</v>
      </c>
      <c r="AD3293" s="9">
        <v>74.232976377209724</v>
      </c>
      <c r="AE3293" s="9">
        <v>81.9014230099272</v>
      </c>
      <c r="AF3293" s="9">
        <v>89.711048815832598</v>
      </c>
      <c r="AG3293" s="9">
        <v>89.711048815832598</v>
      </c>
      <c r="AH3293" s="9">
        <v>98.594438447760481</v>
      </c>
      <c r="AI3293" s="9">
        <v>107.25818871858809</v>
      </c>
      <c r="AJ3293" s="9">
        <v>3.0428788910505911</v>
      </c>
    </row>
    <row r="3294" spans="1:36" x14ac:dyDescent="0.25">
      <c r="A3294" t="s">
        <v>5411</v>
      </c>
      <c r="B3294" t="s">
        <v>16</v>
      </c>
      <c r="C3294" t="s">
        <v>17</v>
      </c>
      <c r="D3294">
        <v>63530000</v>
      </c>
      <c r="E3294">
        <v>63539999</v>
      </c>
      <c r="F3294" t="s">
        <v>2964</v>
      </c>
      <c r="G3294" t="str">
        <f t="shared" si="102"/>
        <v>CEI II</v>
      </c>
      <c r="H3294" t="s">
        <v>2815</v>
      </c>
      <c r="I3294" t="s">
        <v>20</v>
      </c>
      <c r="J3294" t="s">
        <v>64</v>
      </c>
      <c r="K3294" s="6">
        <v>0.03</v>
      </c>
      <c r="L3294" s="7">
        <f t="shared" si="103"/>
        <v>2E-3</v>
      </c>
      <c r="M3294" s="7">
        <v>3.0000000000000001E-3</v>
      </c>
      <c r="N3294">
        <v>14</v>
      </c>
      <c r="O3294" s="8">
        <v>25.041947314744238</v>
      </c>
      <c r="P3294" s="9">
        <v>25.041947314744238</v>
      </c>
      <c r="Q3294" s="9">
        <v>25.041947314744238</v>
      </c>
      <c r="R3294" s="9">
        <v>27.456353403762161</v>
      </c>
      <c r="S3294" s="9">
        <v>30.106651570134346</v>
      </c>
      <c r="T3294" s="9">
        <v>32.38507785162065</v>
      </c>
      <c r="U3294" s="9">
        <v>39.429466811122886</v>
      </c>
      <c r="V3294" s="9">
        <v>39.429466811122886</v>
      </c>
      <c r="W3294" s="9">
        <v>39.429466811122886</v>
      </c>
      <c r="X3294" s="9">
        <v>47.435574821920561</v>
      </c>
      <c r="Y3294" s="9">
        <v>47.435574821920561</v>
      </c>
      <c r="Z3294" s="9">
        <v>55.548774102684064</v>
      </c>
      <c r="AA3294" s="9">
        <v>55.548774102684064</v>
      </c>
      <c r="AB3294" s="9">
        <v>63.779773780410025</v>
      </c>
      <c r="AC3294" s="9">
        <v>63.779773780410025</v>
      </c>
      <c r="AD3294" s="9">
        <v>74.232976377209724</v>
      </c>
      <c r="AE3294" s="9">
        <v>81.9014230099272</v>
      </c>
      <c r="AF3294" s="9">
        <v>89.711048815832598</v>
      </c>
      <c r="AG3294" s="9">
        <v>89.711048815832598</v>
      </c>
      <c r="AH3294" s="9">
        <v>98.594438447760481</v>
      </c>
      <c r="AI3294" s="9">
        <v>107.25818871858809</v>
      </c>
      <c r="AJ3294" s="9">
        <v>3.0428788910505911</v>
      </c>
    </row>
    <row r="3295" spans="1:36" x14ac:dyDescent="0.25">
      <c r="A3295" t="s">
        <v>5411</v>
      </c>
      <c r="B3295" t="s">
        <v>16</v>
      </c>
      <c r="C3295" t="s">
        <v>17</v>
      </c>
      <c r="D3295">
        <v>63540000</v>
      </c>
      <c r="E3295">
        <v>63559999</v>
      </c>
      <c r="F3295" t="s">
        <v>2965</v>
      </c>
      <c r="G3295" t="str">
        <f t="shared" si="102"/>
        <v>CEI II</v>
      </c>
      <c r="H3295" t="s">
        <v>2815</v>
      </c>
      <c r="I3295" t="s">
        <v>20</v>
      </c>
      <c r="J3295" t="s">
        <v>64</v>
      </c>
      <c r="K3295" s="6">
        <v>0.03</v>
      </c>
      <c r="L3295" s="7">
        <f t="shared" si="103"/>
        <v>2E-3</v>
      </c>
      <c r="M3295" s="7">
        <v>3.0000000000000001E-3</v>
      </c>
      <c r="N3295">
        <v>14</v>
      </c>
      <c r="O3295" s="8">
        <v>25.041947314744238</v>
      </c>
      <c r="P3295" s="9">
        <v>25.041947314744238</v>
      </c>
      <c r="Q3295" s="9">
        <v>25.041947314744238</v>
      </c>
      <c r="R3295" s="9">
        <v>27.456353403762161</v>
      </c>
      <c r="S3295" s="9">
        <v>30.106651570134346</v>
      </c>
      <c r="T3295" s="9">
        <v>32.38507785162065</v>
      </c>
      <c r="U3295" s="9">
        <v>39.429466811122886</v>
      </c>
      <c r="V3295" s="9">
        <v>39.429466811122886</v>
      </c>
      <c r="W3295" s="9">
        <v>39.429466811122886</v>
      </c>
      <c r="X3295" s="9">
        <v>47.435574821920561</v>
      </c>
      <c r="Y3295" s="9">
        <v>47.435574821920561</v>
      </c>
      <c r="Z3295" s="9">
        <v>55.548774102684064</v>
      </c>
      <c r="AA3295" s="9">
        <v>55.548774102684064</v>
      </c>
      <c r="AB3295" s="9">
        <v>63.779773780410025</v>
      </c>
      <c r="AC3295" s="9">
        <v>63.779773780410025</v>
      </c>
      <c r="AD3295" s="9">
        <v>74.232976377209724</v>
      </c>
      <c r="AE3295" s="9">
        <v>81.9014230099272</v>
      </c>
      <c r="AF3295" s="9">
        <v>89.711048815832598</v>
      </c>
      <c r="AG3295" s="9">
        <v>89.711048815832598</v>
      </c>
      <c r="AH3295" s="9">
        <v>98.594438447760481</v>
      </c>
      <c r="AI3295" s="9">
        <v>107.25818871858809</v>
      </c>
      <c r="AJ3295" s="9">
        <v>3.0428788910505911</v>
      </c>
    </row>
    <row r="3296" spans="1:36" x14ac:dyDescent="0.25">
      <c r="A3296" t="s">
        <v>5411</v>
      </c>
      <c r="B3296" t="s">
        <v>16</v>
      </c>
      <c r="C3296" t="s">
        <v>17</v>
      </c>
      <c r="D3296">
        <v>63560000</v>
      </c>
      <c r="E3296">
        <v>63569999</v>
      </c>
      <c r="F3296" t="s">
        <v>2966</v>
      </c>
      <c r="G3296" t="str">
        <f t="shared" si="102"/>
        <v>CEI II</v>
      </c>
      <c r="H3296" t="s">
        <v>2815</v>
      </c>
      <c r="I3296" t="s">
        <v>20</v>
      </c>
      <c r="J3296" t="s">
        <v>64</v>
      </c>
      <c r="K3296" s="6">
        <v>0.03</v>
      </c>
      <c r="L3296" s="7">
        <f t="shared" si="103"/>
        <v>2E-3</v>
      </c>
      <c r="M3296" s="7">
        <v>3.0000000000000001E-3</v>
      </c>
      <c r="N3296">
        <v>14</v>
      </c>
      <c r="O3296" s="8">
        <v>25.041947314744238</v>
      </c>
      <c r="P3296" s="9">
        <v>25.041947314744238</v>
      </c>
      <c r="Q3296" s="9">
        <v>25.041947314744238</v>
      </c>
      <c r="R3296" s="9">
        <v>27.456353403762161</v>
      </c>
      <c r="S3296" s="9">
        <v>30.106651570134346</v>
      </c>
      <c r="T3296" s="9">
        <v>32.38507785162065</v>
      </c>
      <c r="U3296" s="9">
        <v>39.429466811122886</v>
      </c>
      <c r="V3296" s="9">
        <v>39.429466811122886</v>
      </c>
      <c r="W3296" s="9">
        <v>39.429466811122886</v>
      </c>
      <c r="X3296" s="9">
        <v>47.435574821920561</v>
      </c>
      <c r="Y3296" s="9">
        <v>47.435574821920561</v>
      </c>
      <c r="Z3296" s="9">
        <v>55.548774102684064</v>
      </c>
      <c r="AA3296" s="9">
        <v>55.548774102684064</v>
      </c>
      <c r="AB3296" s="9">
        <v>63.779773780410025</v>
      </c>
      <c r="AC3296" s="9">
        <v>63.779773780410025</v>
      </c>
      <c r="AD3296" s="9">
        <v>74.232976377209724</v>
      </c>
      <c r="AE3296" s="9">
        <v>81.9014230099272</v>
      </c>
      <c r="AF3296" s="9">
        <v>89.711048815832598</v>
      </c>
      <c r="AG3296" s="9">
        <v>89.711048815832598</v>
      </c>
      <c r="AH3296" s="9">
        <v>98.594438447760481</v>
      </c>
      <c r="AI3296" s="9">
        <v>107.25818871858809</v>
      </c>
      <c r="AJ3296" s="9">
        <v>3.0428788910505911</v>
      </c>
    </row>
    <row r="3297" spans="1:36" x14ac:dyDescent="0.25">
      <c r="A3297" t="s">
        <v>5411</v>
      </c>
      <c r="B3297" t="s">
        <v>16</v>
      </c>
      <c r="C3297" t="s">
        <v>17</v>
      </c>
      <c r="D3297">
        <v>63570000</v>
      </c>
      <c r="E3297">
        <v>63574999</v>
      </c>
      <c r="F3297" t="s">
        <v>2967</v>
      </c>
      <c r="G3297" t="str">
        <f t="shared" si="102"/>
        <v>CEI II</v>
      </c>
      <c r="H3297" t="s">
        <v>2815</v>
      </c>
      <c r="I3297" t="s">
        <v>20</v>
      </c>
      <c r="J3297" t="s">
        <v>64</v>
      </c>
      <c r="K3297" s="6">
        <v>0.03</v>
      </c>
      <c r="L3297" s="7">
        <f t="shared" si="103"/>
        <v>2E-3</v>
      </c>
      <c r="M3297" s="7">
        <v>3.0000000000000001E-3</v>
      </c>
      <c r="N3297">
        <v>14</v>
      </c>
      <c r="O3297" s="8">
        <v>25.041947314744238</v>
      </c>
      <c r="P3297" s="9">
        <v>25.041947314744238</v>
      </c>
      <c r="Q3297" s="9">
        <v>25.041947314744238</v>
      </c>
      <c r="R3297" s="9">
        <v>27.456353403762161</v>
      </c>
      <c r="S3297" s="9">
        <v>30.106651570134346</v>
      </c>
      <c r="T3297" s="9">
        <v>32.38507785162065</v>
      </c>
      <c r="U3297" s="9">
        <v>39.429466811122886</v>
      </c>
      <c r="V3297" s="9">
        <v>39.429466811122886</v>
      </c>
      <c r="W3297" s="9">
        <v>39.429466811122886</v>
      </c>
      <c r="X3297" s="9">
        <v>47.435574821920561</v>
      </c>
      <c r="Y3297" s="9">
        <v>47.435574821920561</v>
      </c>
      <c r="Z3297" s="9">
        <v>55.548774102684064</v>
      </c>
      <c r="AA3297" s="9">
        <v>55.548774102684064</v>
      </c>
      <c r="AB3297" s="9">
        <v>63.779773780410025</v>
      </c>
      <c r="AC3297" s="9">
        <v>63.779773780410025</v>
      </c>
      <c r="AD3297" s="9">
        <v>74.232976377209724</v>
      </c>
      <c r="AE3297" s="9">
        <v>81.9014230099272</v>
      </c>
      <c r="AF3297" s="9">
        <v>89.711048815832598</v>
      </c>
      <c r="AG3297" s="9">
        <v>89.711048815832598</v>
      </c>
      <c r="AH3297" s="9">
        <v>98.594438447760481</v>
      </c>
      <c r="AI3297" s="9">
        <v>107.25818871858809</v>
      </c>
      <c r="AJ3297" s="9">
        <v>3.0428788910505911</v>
      </c>
    </row>
    <row r="3298" spans="1:36" x14ac:dyDescent="0.25">
      <c r="A3298" t="s">
        <v>5411</v>
      </c>
      <c r="B3298" t="s">
        <v>16</v>
      </c>
      <c r="C3298" t="s">
        <v>17</v>
      </c>
      <c r="D3298">
        <v>63575000</v>
      </c>
      <c r="E3298">
        <v>63579999</v>
      </c>
      <c r="F3298" t="s">
        <v>2968</v>
      </c>
      <c r="G3298" t="str">
        <f t="shared" si="102"/>
        <v>CEI II</v>
      </c>
      <c r="H3298" t="s">
        <v>2815</v>
      </c>
      <c r="I3298" t="s">
        <v>20</v>
      </c>
      <c r="J3298" t="s">
        <v>64</v>
      </c>
      <c r="K3298" s="6">
        <v>0.03</v>
      </c>
      <c r="L3298" s="7">
        <f t="shared" si="103"/>
        <v>2E-3</v>
      </c>
      <c r="M3298" s="7">
        <v>3.0000000000000001E-3</v>
      </c>
      <c r="N3298">
        <v>14</v>
      </c>
      <c r="O3298" s="8">
        <v>25.041947314744238</v>
      </c>
      <c r="P3298" s="9">
        <v>25.041947314744238</v>
      </c>
      <c r="Q3298" s="9">
        <v>25.041947314744238</v>
      </c>
      <c r="R3298" s="9">
        <v>27.456353403762161</v>
      </c>
      <c r="S3298" s="9">
        <v>30.106651570134346</v>
      </c>
      <c r="T3298" s="9">
        <v>32.38507785162065</v>
      </c>
      <c r="U3298" s="9">
        <v>39.429466811122886</v>
      </c>
      <c r="V3298" s="9">
        <v>39.429466811122886</v>
      </c>
      <c r="W3298" s="9">
        <v>39.429466811122886</v>
      </c>
      <c r="X3298" s="9">
        <v>47.435574821920561</v>
      </c>
      <c r="Y3298" s="9">
        <v>47.435574821920561</v>
      </c>
      <c r="Z3298" s="9">
        <v>55.548774102684064</v>
      </c>
      <c r="AA3298" s="9">
        <v>55.548774102684064</v>
      </c>
      <c r="AB3298" s="9">
        <v>63.779773780410025</v>
      </c>
      <c r="AC3298" s="9">
        <v>63.779773780410025</v>
      </c>
      <c r="AD3298" s="9">
        <v>74.232976377209724</v>
      </c>
      <c r="AE3298" s="9">
        <v>81.9014230099272</v>
      </c>
      <c r="AF3298" s="9">
        <v>89.711048815832598</v>
      </c>
      <c r="AG3298" s="9">
        <v>89.711048815832598</v>
      </c>
      <c r="AH3298" s="9">
        <v>98.594438447760481</v>
      </c>
      <c r="AI3298" s="9">
        <v>107.25818871858809</v>
      </c>
      <c r="AJ3298" s="9">
        <v>3.0428788910505911</v>
      </c>
    </row>
    <row r="3299" spans="1:36" x14ac:dyDescent="0.25">
      <c r="A3299" t="s">
        <v>5411</v>
      </c>
      <c r="B3299" t="s">
        <v>16</v>
      </c>
      <c r="C3299" t="s">
        <v>17</v>
      </c>
      <c r="D3299">
        <v>63580000</v>
      </c>
      <c r="E3299">
        <v>63589999</v>
      </c>
      <c r="F3299" t="s">
        <v>2969</v>
      </c>
      <c r="G3299" t="str">
        <f t="shared" si="102"/>
        <v>CEI II</v>
      </c>
      <c r="H3299" t="s">
        <v>2815</v>
      </c>
      <c r="I3299" t="s">
        <v>20</v>
      </c>
      <c r="J3299" t="s">
        <v>64</v>
      </c>
      <c r="K3299" s="6">
        <v>0.03</v>
      </c>
      <c r="L3299" s="7">
        <f t="shared" si="103"/>
        <v>2E-3</v>
      </c>
      <c r="M3299" s="7">
        <v>3.0000000000000001E-3</v>
      </c>
      <c r="N3299">
        <v>14</v>
      </c>
      <c r="O3299" s="8">
        <v>25.041947314744238</v>
      </c>
      <c r="P3299" s="9">
        <v>25.041947314744238</v>
      </c>
      <c r="Q3299" s="9">
        <v>25.041947314744238</v>
      </c>
      <c r="R3299" s="9">
        <v>27.456353403762161</v>
      </c>
      <c r="S3299" s="9">
        <v>30.106651570134346</v>
      </c>
      <c r="T3299" s="9">
        <v>32.38507785162065</v>
      </c>
      <c r="U3299" s="9">
        <v>39.429466811122886</v>
      </c>
      <c r="V3299" s="9">
        <v>39.429466811122886</v>
      </c>
      <c r="W3299" s="9">
        <v>39.429466811122886</v>
      </c>
      <c r="X3299" s="9">
        <v>47.435574821920561</v>
      </c>
      <c r="Y3299" s="9">
        <v>47.435574821920561</v>
      </c>
      <c r="Z3299" s="9">
        <v>55.548774102684064</v>
      </c>
      <c r="AA3299" s="9">
        <v>55.548774102684064</v>
      </c>
      <c r="AB3299" s="9">
        <v>63.779773780410025</v>
      </c>
      <c r="AC3299" s="9">
        <v>63.779773780410025</v>
      </c>
      <c r="AD3299" s="9">
        <v>74.232976377209724</v>
      </c>
      <c r="AE3299" s="9">
        <v>81.9014230099272</v>
      </c>
      <c r="AF3299" s="9">
        <v>89.711048815832598</v>
      </c>
      <c r="AG3299" s="9">
        <v>89.711048815832598</v>
      </c>
      <c r="AH3299" s="9">
        <v>98.594438447760481</v>
      </c>
      <c r="AI3299" s="9">
        <v>107.25818871858809</v>
      </c>
      <c r="AJ3299" s="9">
        <v>3.0428788910505911</v>
      </c>
    </row>
    <row r="3300" spans="1:36" x14ac:dyDescent="0.25">
      <c r="A3300" t="s">
        <v>5411</v>
      </c>
      <c r="B3300" t="s">
        <v>16</v>
      </c>
      <c r="C3300" t="s">
        <v>17</v>
      </c>
      <c r="D3300">
        <v>63590000</v>
      </c>
      <c r="E3300">
        <v>63594999</v>
      </c>
      <c r="F3300" t="s">
        <v>2970</v>
      </c>
      <c r="G3300" t="str">
        <f t="shared" si="102"/>
        <v>CEI II</v>
      </c>
      <c r="H3300" t="s">
        <v>2815</v>
      </c>
      <c r="I3300" t="s">
        <v>20</v>
      </c>
      <c r="J3300" t="s">
        <v>64</v>
      </c>
      <c r="K3300" s="6">
        <v>0.03</v>
      </c>
      <c r="L3300" s="7">
        <f t="shared" si="103"/>
        <v>2E-3</v>
      </c>
      <c r="M3300" s="7">
        <v>3.0000000000000001E-3</v>
      </c>
      <c r="N3300">
        <v>14</v>
      </c>
      <c r="O3300" s="8">
        <v>25.041947314744238</v>
      </c>
      <c r="P3300" s="9">
        <v>25.041947314744238</v>
      </c>
      <c r="Q3300" s="9">
        <v>25.041947314744238</v>
      </c>
      <c r="R3300" s="9">
        <v>27.456353403762161</v>
      </c>
      <c r="S3300" s="9">
        <v>30.106651570134346</v>
      </c>
      <c r="T3300" s="9">
        <v>32.38507785162065</v>
      </c>
      <c r="U3300" s="9">
        <v>39.429466811122886</v>
      </c>
      <c r="V3300" s="9">
        <v>39.429466811122886</v>
      </c>
      <c r="W3300" s="9">
        <v>39.429466811122886</v>
      </c>
      <c r="X3300" s="9">
        <v>47.435574821920561</v>
      </c>
      <c r="Y3300" s="9">
        <v>47.435574821920561</v>
      </c>
      <c r="Z3300" s="9">
        <v>55.548774102684064</v>
      </c>
      <c r="AA3300" s="9">
        <v>55.548774102684064</v>
      </c>
      <c r="AB3300" s="9">
        <v>63.779773780410025</v>
      </c>
      <c r="AC3300" s="9">
        <v>63.779773780410025</v>
      </c>
      <c r="AD3300" s="9">
        <v>74.232976377209724</v>
      </c>
      <c r="AE3300" s="9">
        <v>81.9014230099272</v>
      </c>
      <c r="AF3300" s="9">
        <v>89.711048815832598</v>
      </c>
      <c r="AG3300" s="9">
        <v>89.711048815832598</v>
      </c>
      <c r="AH3300" s="9">
        <v>98.594438447760481</v>
      </c>
      <c r="AI3300" s="9">
        <v>107.25818871858809</v>
      </c>
      <c r="AJ3300" s="9">
        <v>3.0428788910505911</v>
      </c>
    </row>
    <row r="3301" spans="1:36" x14ac:dyDescent="0.25">
      <c r="A3301" t="s">
        <v>5411</v>
      </c>
      <c r="B3301" t="s">
        <v>16</v>
      </c>
      <c r="C3301" t="s">
        <v>17</v>
      </c>
      <c r="D3301">
        <v>63595000</v>
      </c>
      <c r="E3301">
        <v>63599999</v>
      </c>
      <c r="F3301" t="s">
        <v>2971</v>
      </c>
      <c r="G3301" t="str">
        <f t="shared" si="102"/>
        <v>CEI II</v>
      </c>
      <c r="H3301" t="s">
        <v>2815</v>
      </c>
      <c r="I3301" t="s">
        <v>20</v>
      </c>
      <c r="J3301" t="s">
        <v>64</v>
      </c>
      <c r="K3301" s="6">
        <v>0.03</v>
      </c>
      <c r="L3301" s="7">
        <f t="shared" si="103"/>
        <v>2E-3</v>
      </c>
      <c r="M3301" s="7">
        <v>3.0000000000000001E-3</v>
      </c>
      <c r="N3301">
        <v>14</v>
      </c>
      <c r="O3301" s="8">
        <v>25.041947314744238</v>
      </c>
      <c r="P3301" s="9">
        <v>25.041947314744238</v>
      </c>
      <c r="Q3301" s="9">
        <v>25.041947314744238</v>
      </c>
      <c r="R3301" s="9">
        <v>27.456353403762161</v>
      </c>
      <c r="S3301" s="9">
        <v>30.106651570134346</v>
      </c>
      <c r="T3301" s="9">
        <v>32.38507785162065</v>
      </c>
      <c r="U3301" s="9">
        <v>39.429466811122886</v>
      </c>
      <c r="V3301" s="9">
        <v>39.429466811122886</v>
      </c>
      <c r="W3301" s="9">
        <v>39.429466811122886</v>
      </c>
      <c r="X3301" s="9">
        <v>47.435574821920561</v>
      </c>
      <c r="Y3301" s="9">
        <v>47.435574821920561</v>
      </c>
      <c r="Z3301" s="9">
        <v>55.548774102684064</v>
      </c>
      <c r="AA3301" s="9">
        <v>55.548774102684064</v>
      </c>
      <c r="AB3301" s="9">
        <v>63.779773780410025</v>
      </c>
      <c r="AC3301" s="9">
        <v>63.779773780410025</v>
      </c>
      <c r="AD3301" s="9">
        <v>74.232976377209724</v>
      </c>
      <c r="AE3301" s="9">
        <v>81.9014230099272</v>
      </c>
      <c r="AF3301" s="9">
        <v>89.711048815832598</v>
      </c>
      <c r="AG3301" s="9">
        <v>89.711048815832598</v>
      </c>
      <c r="AH3301" s="9">
        <v>98.594438447760481</v>
      </c>
      <c r="AI3301" s="9">
        <v>107.25818871858809</v>
      </c>
      <c r="AJ3301" s="9">
        <v>3.0428788910505911</v>
      </c>
    </row>
    <row r="3302" spans="1:36" x14ac:dyDescent="0.25">
      <c r="A3302" t="s">
        <v>5411</v>
      </c>
      <c r="B3302" t="s">
        <v>16</v>
      </c>
      <c r="C3302" t="s">
        <v>17</v>
      </c>
      <c r="D3302">
        <v>63600000</v>
      </c>
      <c r="E3302">
        <v>63604999</v>
      </c>
      <c r="F3302" t="s">
        <v>2972</v>
      </c>
      <c r="G3302" t="str">
        <f t="shared" si="102"/>
        <v>CEI II</v>
      </c>
      <c r="H3302" t="s">
        <v>2815</v>
      </c>
      <c r="I3302" t="s">
        <v>20</v>
      </c>
      <c r="J3302" t="s">
        <v>64</v>
      </c>
      <c r="K3302" s="6">
        <v>0.03</v>
      </c>
      <c r="L3302" s="7">
        <f t="shared" si="103"/>
        <v>2E-3</v>
      </c>
      <c r="M3302" s="7">
        <v>3.0000000000000001E-3</v>
      </c>
      <c r="N3302">
        <v>14</v>
      </c>
      <c r="O3302" s="8">
        <v>25.041947314744238</v>
      </c>
      <c r="P3302" s="9">
        <v>25.041947314744238</v>
      </c>
      <c r="Q3302" s="9">
        <v>25.041947314744238</v>
      </c>
      <c r="R3302" s="9">
        <v>27.456353403762161</v>
      </c>
      <c r="S3302" s="9">
        <v>30.106651570134346</v>
      </c>
      <c r="T3302" s="9">
        <v>32.38507785162065</v>
      </c>
      <c r="U3302" s="9">
        <v>39.429466811122886</v>
      </c>
      <c r="V3302" s="9">
        <v>39.429466811122886</v>
      </c>
      <c r="W3302" s="9">
        <v>39.429466811122886</v>
      </c>
      <c r="X3302" s="9">
        <v>47.435574821920561</v>
      </c>
      <c r="Y3302" s="9">
        <v>47.435574821920561</v>
      </c>
      <c r="Z3302" s="9">
        <v>55.548774102684064</v>
      </c>
      <c r="AA3302" s="9">
        <v>55.548774102684064</v>
      </c>
      <c r="AB3302" s="9">
        <v>63.779773780410025</v>
      </c>
      <c r="AC3302" s="9">
        <v>63.779773780410025</v>
      </c>
      <c r="AD3302" s="9">
        <v>74.232976377209724</v>
      </c>
      <c r="AE3302" s="9">
        <v>81.9014230099272</v>
      </c>
      <c r="AF3302" s="9">
        <v>89.711048815832598</v>
      </c>
      <c r="AG3302" s="9">
        <v>89.711048815832598</v>
      </c>
      <c r="AH3302" s="9">
        <v>98.594438447760481</v>
      </c>
      <c r="AI3302" s="9">
        <v>107.25818871858809</v>
      </c>
      <c r="AJ3302" s="9">
        <v>3.0428788910505911</v>
      </c>
    </row>
    <row r="3303" spans="1:36" x14ac:dyDescent="0.25">
      <c r="A3303" t="s">
        <v>5411</v>
      </c>
      <c r="B3303" t="s">
        <v>16</v>
      </c>
      <c r="C3303" t="s">
        <v>17</v>
      </c>
      <c r="D3303">
        <v>63605000</v>
      </c>
      <c r="E3303">
        <v>63609999</v>
      </c>
      <c r="F3303" t="s">
        <v>2973</v>
      </c>
      <c r="G3303" t="str">
        <f t="shared" si="102"/>
        <v>CEI II</v>
      </c>
      <c r="H3303" t="s">
        <v>2815</v>
      </c>
      <c r="I3303" t="s">
        <v>20</v>
      </c>
      <c r="J3303" t="s">
        <v>64</v>
      </c>
      <c r="K3303" s="6">
        <v>0.03</v>
      </c>
      <c r="L3303" s="7">
        <f t="shared" si="103"/>
        <v>2E-3</v>
      </c>
      <c r="M3303" s="7">
        <v>3.0000000000000001E-3</v>
      </c>
      <c r="N3303">
        <v>14</v>
      </c>
      <c r="O3303" s="8">
        <v>25.041947314744238</v>
      </c>
      <c r="P3303" s="9">
        <v>25.041947314744238</v>
      </c>
      <c r="Q3303" s="9">
        <v>25.041947314744238</v>
      </c>
      <c r="R3303" s="9">
        <v>27.456353403762161</v>
      </c>
      <c r="S3303" s="9">
        <v>30.106651570134346</v>
      </c>
      <c r="T3303" s="9">
        <v>32.38507785162065</v>
      </c>
      <c r="U3303" s="9">
        <v>39.429466811122886</v>
      </c>
      <c r="V3303" s="9">
        <v>39.429466811122886</v>
      </c>
      <c r="W3303" s="9">
        <v>39.429466811122886</v>
      </c>
      <c r="X3303" s="9">
        <v>47.435574821920561</v>
      </c>
      <c r="Y3303" s="9">
        <v>47.435574821920561</v>
      </c>
      <c r="Z3303" s="9">
        <v>55.548774102684064</v>
      </c>
      <c r="AA3303" s="9">
        <v>55.548774102684064</v>
      </c>
      <c r="AB3303" s="9">
        <v>63.779773780410025</v>
      </c>
      <c r="AC3303" s="9">
        <v>63.779773780410025</v>
      </c>
      <c r="AD3303" s="9">
        <v>74.232976377209724</v>
      </c>
      <c r="AE3303" s="9">
        <v>81.9014230099272</v>
      </c>
      <c r="AF3303" s="9">
        <v>89.711048815832598</v>
      </c>
      <c r="AG3303" s="9">
        <v>89.711048815832598</v>
      </c>
      <c r="AH3303" s="9">
        <v>98.594438447760481</v>
      </c>
      <c r="AI3303" s="9">
        <v>107.25818871858809</v>
      </c>
      <c r="AJ3303" s="9">
        <v>3.0428788910505911</v>
      </c>
    </row>
    <row r="3304" spans="1:36" x14ac:dyDescent="0.25">
      <c r="A3304" t="s">
        <v>5411</v>
      </c>
      <c r="B3304" t="s">
        <v>16</v>
      </c>
      <c r="C3304" t="s">
        <v>17</v>
      </c>
      <c r="D3304">
        <v>63610000</v>
      </c>
      <c r="E3304">
        <v>63619999</v>
      </c>
      <c r="F3304" t="s">
        <v>2974</v>
      </c>
      <c r="G3304" t="str">
        <f t="shared" si="102"/>
        <v>CEI II</v>
      </c>
      <c r="H3304" t="s">
        <v>2815</v>
      </c>
      <c r="I3304" t="s">
        <v>20</v>
      </c>
      <c r="J3304" t="s">
        <v>64</v>
      </c>
      <c r="K3304" s="6">
        <v>0.03</v>
      </c>
      <c r="L3304" s="7">
        <f t="shared" si="103"/>
        <v>2E-3</v>
      </c>
      <c r="M3304" s="7">
        <v>3.0000000000000001E-3</v>
      </c>
      <c r="N3304">
        <v>14</v>
      </c>
      <c r="O3304" s="8">
        <v>25.041947314744238</v>
      </c>
      <c r="P3304" s="9">
        <v>25.041947314744238</v>
      </c>
      <c r="Q3304" s="9">
        <v>25.041947314744238</v>
      </c>
      <c r="R3304" s="9">
        <v>27.456353403762161</v>
      </c>
      <c r="S3304" s="9">
        <v>30.106651570134346</v>
      </c>
      <c r="T3304" s="9">
        <v>32.38507785162065</v>
      </c>
      <c r="U3304" s="9">
        <v>39.429466811122886</v>
      </c>
      <c r="V3304" s="9">
        <v>39.429466811122886</v>
      </c>
      <c r="W3304" s="9">
        <v>39.429466811122886</v>
      </c>
      <c r="X3304" s="9">
        <v>47.435574821920561</v>
      </c>
      <c r="Y3304" s="9">
        <v>47.435574821920561</v>
      </c>
      <c r="Z3304" s="9">
        <v>55.548774102684064</v>
      </c>
      <c r="AA3304" s="9">
        <v>55.548774102684064</v>
      </c>
      <c r="AB3304" s="9">
        <v>63.779773780410025</v>
      </c>
      <c r="AC3304" s="9">
        <v>63.779773780410025</v>
      </c>
      <c r="AD3304" s="9">
        <v>74.232976377209724</v>
      </c>
      <c r="AE3304" s="9">
        <v>81.9014230099272</v>
      </c>
      <c r="AF3304" s="9">
        <v>89.711048815832598</v>
      </c>
      <c r="AG3304" s="9">
        <v>89.711048815832598</v>
      </c>
      <c r="AH3304" s="9">
        <v>98.594438447760481</v>
      </c>
      <c r="AI3304" s="9">
        <v>107.25818871858809</v>
      </c>
      <c r="AJ3304" s="9">
        <v>3.0428788910505911</v>
      </c>
    </row>
    <row r="3305" spans="1:36" x14ac:dyDescent="0.25">
      <c r="A3305" t="s">
        <v>5411</v>
      </c>
      <c r="B3305" t="s">
        <v>16</v>
      </c>
      <c r="C3305" t="s">
        <v>17</v>
      </c>
      <c r="D3305">
        <v>63620000</v>
      </c>
      <c r="E3305">
        <v>63629999</v>
      </c>
      <c r="F3305" t="s">
        <v>2975</v>
      </c>
      <c r="G3305" t="str">
        <f t="shared" si="102"/>
        <v>CEI II</v>
      </c>
      <c r="H3305" t="s">
        <v>2815</v>
      </c>
      <c r="I3305" t="s">
        <v>20</v>
      </c>
      <c r="J3305" t="s">
        <v>64</v>
      </c>
      <c r="K3305" s="6">
        <v>0.03</v>
      </c>
      <c r="L3305" s="7">
        <f t="shared" si="103"/>
        <v>2E-3</v>
      </c>
      <c r="M3305" s="7">
        <v>3.0000000000000001E-3</v>
      </c>
      <c r="N3305">
        <v>14</v>
      </c>
      <c r="O3305" s="8">
        <v>25.041947314744238</v>
      </c>
      <c r="P3305" s="9">
        <v>25.041947314744238</v>
      </c>
      <c r="Q3305" s="9">
        <v>25.041947314744238</v>
      </c>
      <c r="R3305" s="9">
        <v>27.456353403762161</v>
      </c>
      <c r="S3305" s="9">
        <v>30.106651570134346</v>
      </c>
      <c r="T3305" s="9">
        <v>32.38507785162065</v>
      </c>
      <c r="U3305" s="9">
        <v>39.429466811122886</v>
      </c>
      <c r="V3305" s="9">
        <v>39.429466811122886</v>
      </c>
      <c r="W3305" s="9">
        <v>39.429466811122886</v>
      </c>
      <c r="X3305" s="9">
        <v>47.435574821920561</v>
      </c>
      <c r="Y3305" s="9">
        <v>47.435574821920561</v>
      </c>
      <c r="Z3305" s="9">
        <v>55.548774102684064</v>
      </c>
      <c r="AA3305" s="9">
        <v>55.548774102684064</v>
      </c>
      <c r="AB3305" s="9">
        <v>63.779773780410025</v>
      </c>
      <c r="AC3305" s="9">
        <v>63.779773780410025</v>
      </c>
      <c r="AD3305" s="9">
        <v>74.232976377209724</v>
      </c>
      <c r="AE3305" s="9">
        <v>81.9014230099272</v>
      </c>
      <c r="AF3305" s="9">
        <v>89.711048815832598</v>
      </c>
      <c r="AG3305" s="9">
        <v>89.711048815832598</v>
      </c>
      <c r="AH3305" s="9">
        <v>98.594438447760481</v>
      </c>
      <c r="AI3305" s="9">
        <v>107.25818871858809</v>
      </c>
      <c r="AJ3305" s="9">
        <v>3.0428788910505911</v>
      </c>
    </row>
    <row r="3306" spans="1:36" x14ac:dyDescent="0.25">
      <c r="A3306" t="s">
        <v>5411</v>
      </c>
      <c r="B3306" t="s">
        <v>16</v>
      </c>
      <c r="C3306" t="s">
        <v>17</v>
      </c>
      <c r="D3306">
        <v>63630000</v>
      </c>
      <c r="E3306">
        <v>63634999</v>
      </c>
      <c r="F3306" t="s">
        <v>2623</v>
      </c>
      <c r="G3306" t="str">
        <f t="shared" si="102"/>
        <v>CEI II</v>
      </c>
      <c r="H3306" t="s">
        <v>2815</v>
      </c>
      <c r="I3306" t="s">
        <v>20</v>
      </c>
      <c r="J3306" t="s">
        <v>64</v>
      </c>
      <c r="K3306" s="6">
        <v>0.03</v>
      </c>
      <c r="L3306" s="7">
        <f t="shared" si="103"/>
        <v>2E-3</v>
      </c>
      <c r="M3306" s="7">
        <v>3.0000000000000001E-3</v>
      </c>
      <c r="N3306">
        <v>14</v>
      </c>
      <c r="O3306" s="8">
        <v>25.041947314744238</v>
      </c>
      <c r="P3306" s="9">
        <v>25.041947314744238</v>
      </c>
      <c r="Q3306" s="9">
        <v>25.041947314744238</v>
      </c>
      <c r="R3306" s="9">
        <v>27.456353403762161</v>
      </c>
      <c r="S3306" s="9">
        <v>30.106651570134346</v>
      </c>
      <c r="T3306" s="9">
        <v>32.38507785162065</v>
      </c>
      <c r="U3306" s="9">
        <v>39.429466811122886</v>
      </c>
      <c r="V3306" s="9">
        <v>39.429466811122886</v>
      </c>
      <c r="W3306" s="9">
        <v>39.429466811122886</v>
      </c>
      <c r="X3306" s="9">
        <v>47.435574821920561</v>
      </c>
      <c r="Y3306" s="9">
        <v>47.435574821920561</v>
      </c>
      <c r="Z3306" s="9">
        <v>55.548774102684064</v>
      </c>
      <c r="AA3306" s="9">
        <v>55.548774102684064</v>
      </c>
      <c r="AB3306" s="9">
        <v>63.779773780410025</v>
      </c>
      <c r="AC3306" s="9">
        <v>63.779773780410025</v>
      </c>
      <c r="AD3306" s="9">
        <v>74.232976377209724</v>
      </c>
      <c r="AE3306" s="9">
        <v>81.9014230099272</v>
      </c>
      <c r="AF3306" s="9">
        <v>89.711048815832598</v>
      </c>
      <c r="AG3306" s="9">
        <v>89.711048815832598</v>
      </c>
      <c r="AH3306" s="9">
        <v>98.594438447760481</v>
      </c>
      <c r="AI3306" s="9">
        <v>107.25818871858809</v>
      </c>
      <c r="AJ3306" s="9">
        <v>3.0428788910505911</v>
      </c>
    </row>
    <row r="3307" spans="1:36" x14ac:dyDescent="0.25">
      <c r="A3307" t="s">
        <v>5411</v>
      </c>
      <c r="B3307" t="s">
        <v>16</v>
      </c>
      <c r="C3307" t="s">
        <v>17</v>
      </c>
      <c r="D3307">
        <v>63635000</v>
      </c>
      <c r="E3307">
        <v>63639999</v>
      </c>
      <c r="F3307" t="s">
        <v>2976</v>
      </c>
      <c r="G3307" t="str">
        <f t="shared" si="102"/>
        <v>CEI II</v>
      </c>
      <c r="H3307" t="s">
        <v>2815</v>
      </c>
      <c r="I3307" t="s">
        <v>20</v>
      </c>
      <c r="J3307" t="s">
        <v>64</v>
      </c>
      <c r="K3307" s="6">
        <v>0.03</v>
      </c>
      <c r="L3307" s="7">
        <f t="shared" si="103"/>
        <v>2E-3</v>
      </c>
      <c r="M3307" s="7">
        <v>3.0000000000000001E-3</v>
      </c>
      <c r="N3307">
        <v>14</v>
      </c>
      <c r="O3307" s="8">
        <v>25.041947314744238</v>
      </c>
      <c r="P3307" s="9">
        <v>25.041947314744238</v>
      </c>
      <c r="Q3307" s="9">
        <v>25.041947314744238</v>
      </c>
      <c r="R3307" s="9">
        <v>27.456353403762161</v>
      </c>
      <c r="S3307" s="9">
        <v>30.106651570134346</v>
      </c>
      <c r="T3307" s="9">
        <v>32.38507785162065</v>
      </c>
      <c r="U3307" s="9">
        <v>39.429466811122886</v>
      </c>
      <c r="V3307" s="9">
        <v>39.429466811122886</v>
      </c>
      <c r="W3307" s="9">
        <v>39.429466811122886</v>
      </c>
      <c r="X3307" s="9">
        <v>47.435574821920561</v>
      </c>
      <c r="Y3307" s="9">
        <v>47.435574821920561</v>
      </c>
      <c r="Z3307" s="9">
        <v>55.548774102684064</v>
      </c>
      <c r="AA3307" s="9">
        <v>55.548774102684064</v>
      </c>
      <c r="AB3307" s="9">
        <v>63.779773780410025</v>
      </c>
      <c r="AC3307" s="9">
        <v>63.779773780410025</v>
      </c>
      <c r="AD3307" s="9">
        <v>74.232976377209724</v>
      </c>
      <c r="AE3307" s="9">
        <v>81.9014230099272</v>
      </c>
      <c r="AF3307" s="9">
        <v>89.711048815832598</v>
      </c>
      <c r="AG3307" s="9">
        <v>89.711048815832598</v>
      </c>
      <c r="AH3307" s="9">
        <v>98.594438447760481</v>
      </c>
      <c r="AI3307" s="9">
        <v>107.25818871858809</v>
      </c>
      <c r="AJ3307" s="9">
        <v>3.0428788910505911</v>
      </c>
    </row>
    <row r="3308" spans="1:36" x14ac:dyDescent="0.25">
      <c r="A3308" t="s">
        <v>5411</v>
      </c>
      <c r="B3308" t="s">
        <v>16</v>
      </c>
      <c r="C3308" t="s">
        <v>17</v>
      </c>
      <c r="D3308">
        <v>63640000</v>
      </c>
      <c r="E3308">
        <v>63644999</v>
      </c>
      <c r="F3308" t="s">
        <v>2977</v>
      </c>
      <c r="G3308" t="str">
        <f t="shared" si="102"/>
        <v>CEI II</v>
      </c>
      <c r="H3308" t="s">
        <v>2815</v>
      </c>
      <c r="I3308" t="s">
        <v>20</v>
      </c>
      <c r="J3308" t="s">
        <v>64</v>
      </c>
      <c r="K3308" s="6">
        <v>0.03</v>
      </c>
      <c r="L3308" s="7">
        <f t="shared" si="103"/>
        <v>2E-3</v>
      </c>
      <c r="M3308" s="7">
        <v>3.0000000000000001E-3</v>
      </c>
      <c r="N3308">
        <v>14</v>
      </c>
      <c r="O3308" s="8">
        <v>25.041947314744238</v>
      </c>
      <c r="P3308" s="9">
        <v>25.041947314744238</v>
      </c>
      <c r="Q3308" s="9">
        <v>25.041947314744238</v>
      </c>
      <c r="R3308" s="9">
        <v>27.456353403762161</v>
      </c>
      <c r="S3308" s="9">
        <v>30.106651570134346</v>
      </c>
      <c r="T3308" s="9">
        <v>32.38507785162065</v>
      </c>
      <c r="U3308" s="9">
        <v>39.429466811122886</v>
      </c>
      <c r="V3308" s="9">
        <v>39.429466811122886</v>
      </c>
      <c r="W3308" s="9">
        <v>39.429466811122886</v>
      </c>
      <c r="X3308" s="9">
        <v>47.435574821920561</v>
      </c>
      <c r="Y3308" s="9">
        <v>47.435574821920561</v>
      </c>
      <c r="Z3308" s="9">
        <v>55.548774102684064</v>
      </c>
      <c r="AA3308" s="9">
        <v>55.548774102684064</v>
      </c>
      <c r="AB3308" s="9">
        <v>63.779773780410025</v>
      </c>
      <c r="AC3308" s="9">
        <v>63.779773780410025</v>
      </c>
      <c r="AD3308" s="9">
        <v>74.232976377209724</v>
      </c>
      <c r="AE3308" s="9">
        <v>81.9014230099272</v>
      </c>
      <c r="AF3308" s="9">
        <v>89.711048815832598</v>
      </c>
      <c r="AG3308" s="9">
        <v>89.711048815832598</v>
      </c>
      <c r="AH3308" s="9">
        <v>98.594438447760481</v>
      </c>
      <c r="AI3308" s="9">
        <v>107.25818871858809</v>
      </c>
      <c r="AJ3308" s="9">
        <v>3.0428788910505911</v>
      </c>
    </row>
    <row r="3309" spans="1:36" x14ac:dyDescent="0.25">
      <c r="A3309" t="s">
        <v>5411</v>
      </c>
      <c r="B3309" t="s">
        <v>16</v>
      </c>
      <c r="C3309" t="s">
        <v>17</v>
      </c>
      <c r="D3309">
        <v>63645000</v>
      </c>
      <c r="E3309">
        <v>63649999</v>
      </c>
      <c r="F3309" t="s">
        <v>2978</v>
      </c>
      <c r="G3309" t="str">
        <f t="shared" si="102"/>
        <v>CEI II</v>
      </c>
      <c r="H3309" t="s">
        <v>2815</v>
      </c>
      <c r="I3309" t="s">
        <v>20</v>
      </c>
      <c r="J3309" t="s">
        <v>64</v>
      </c>
      <c r="K3309" s="6">
        <v>0.03</v>
      </c>
      <c r="L3309" s="7">
        <f t="shared" si="103"/>
        <v>2E-3</v>
      </c>
      <c r="M3309" s="7">
        <v>3.0000000000000001E-3</v>
      </c>
      <c r="N3309">
        <v>14</v>
      </c>
      <c r="O3309" s="8">
        <v>25.041947314744238</v>
      </c>
      <c r="P3309" s="9">
        <v>25.041947314744238</v>
      </c>
      <c r="Q3309" s="9">
        <v>25.041947314744238</v>
      </c>
      <c r="R3309" s="9">
        <v>27.456353403762161</v>
      </c>
      <c r="S3309" s="9">
        <v>30.106651570134346</v>
      </c>
      <c r="T3309" s="9">
        <v>32.38507785162065</v>
      </c>
      <c r="U3309" s="9">
        <v>39.429466811122886</v>
      </c>
      <c r="V3309" s="9">
        <v>39.429466811122886</v>
      </c>
      <c r="W3309" s="9">
        <v>39.429466811122886</v>
      </c>
      <c r="X3309" s="9">
        <v>47.435574821920561</v>
      </c>
      <c r="Y3309" s="9">
        <v>47.435574821920561</v>
      </c>
      <c r="Z3309" s="9">
        <v>55.548774102684064</v>
      </c>
      <c r="AA3309" s="9">
        <v>55.548774102684064</v>
      </c>
      <c r="AB3309" s="9">
        <v>63.779773780410025</v>
      </c>
      <c r="AC3309" s="9">
        <v>63.779773780410025</v>
      </c>
      <c r="AD3309" s="9">
        <v>74.232976377209724</v>
      </c>
      <c r="AE3309" s="9">
        <v>81.9014230099272</v>
      </c>
      <c r="AF3309" s="9">
        <v>89.711048815832598</v>
      </c>
      <c r="AG3309" s="9">
        <v>89.711048815832598</v>
      </c>
      <c r="AH3309" s="9">
        <v>98.594438447760481</v>
      </c>
      <c r="AI3309" s="9">
        <v>107.25818871858809</v>
      </c>
      <c r="AJ3309" s="9">
        <v>3.0428788910505911</v>
      </c>
    </row>
    <row r="3310" spans="1:36" x14ac:dyDescent="0.25">
      <c r="A3310" t="s">
        <v>5411</v>
      </c>
      <c r="B3310" t="s">
        <v>16</v>
      </c>
      <c r="C3310" t="s">
        <v>17</v>
      </c>
      <c r="D3310">
        <v>63650000</v>
      </c>
      <c r="E3310">
        <v>63659999</v>
      </c>
      <c r="F3310" t="s">
        <v>2979</v>
      </c>
      <c r="G3310" t="str">
        <f t="shared" si="102"/>
        <v>CEI II</v>
      </c>
      <c r="H3310" t="s">
        <v>2815</v>
      </c>
      <c r="I3310" t="s">
        <v>20</v>
      </c>
      <c r="J3310" t="s">
        <v>64</v>
      </c>
      <c r="K3310" s="6">
        <v>0.03</v>
      </c>
      <c r="L3310" s="7">
        <f t="shared" si="103"/>
        <v>2E-3</v>
      </c>
      <c r="M3310" s="7">
        <v>3.0000000000000001E-3</v>
      </c>
      <c r="N3310">
        <v>14</v>
      </c>
      <c r="O3310" s="8">
        <v>25.041947314744238</v>
      </c>
      <c r="P3310" s="9">
        <v>25.041947314744238</v>
      </c>
      <c r="Q3310" s="9">
        <v>25.041947314744238</v>
      </c>
      <c r="R3310" s="9">
        <v>27.456353403762161</v>
      </c>
      <c r="S3310" s="9">
        <v>30.106651570134346</v>
      </c>
      <c r="T3310" s="9">
        <v>32.38507785162065</v>
      </c>
      <c r="U3310" s="9">
        <v>39.429466811122886</v>
      </c>
      <c r="V3310" s="9">
        <v>39.429466811122886</v>
      </c>
      <c r="W3310" s="9">
        <v>39.429466811122886</v>
      </c>
      <c r="X3310" s="9">
        <v>47.435574821920561</v>
      </c>
      <c r="Y3310" s="9">
        <v>47.435574821920561</v>
      </c>
      <c r="Z3310" s="9">
        <v>55.548774102684064</v>
      </c>
      <c r="AA3310" s="9">
        <v>55.548774102684064</v>
      </c>
      <c r="AB3310" s="9">
        <v>63.779773780410025</v>
      </c>
      <c r="AC3310" s="9">
        <v>63.779773780410025</v>
      </c>
      <c r="AD3310" s="9">
        <v>74.232976377209724</v>
      </c>
      <c r="AE3310" s="9">
        <v>81.9014230099272</v>
      </c>
      <c r="AF3310" s="9">
        <v>89.711048815832598</v>
      </c>
      <c r="AG3310" s="9">
        <v>89.711048815832598</v>
      </c>
      <c r="AH3310" s="9">
        <v>98.594438447760481</v>
      </c>
      <c r="AI3310" s="9">
        <v>107.25818871858809</v>
      </c>
      <c r="AJ3310" s="9">
        <v>3.0428788910505911</v>
      </c>
    </row>
    <row r="3311" spans="1:36" x14ac:dyDescent="0.25">
      <c r="A3311" t="s">
        <v>5411</v>
      </c>
      <c r="B3311" t="s">
        <v>16</v>
      </c>
      <c r="C3311" t="s">
        <v>17</v>
      </c>
      <c r="D3311">
        <v>63660000</v>
      </c>
      <c r="E3311">
        <v>63669999</v>
      </c>
      <c r="F3311" t="s">
        <v>2980</v>
      </c>
      <c r="G3311" t="str">
        <f t="shared" si="102"/>
        <v>CEI II</v>
      </c>
      <c r="H3311" t="s">
        <v>2815</v>
      </c>
      <c r="I3311" t="s">
        <v>20</v>
      </c>
      <c r="J3311" t="s">
        <v>64</v>
      </c>
      <c r="K3311" s="6">
        <v>0.03</v>
      </c>
      <c r="L3311" s="7">
        <f t="shared" si="103"/>
        <v>2E-3</v>
      </c>
      <c r="M3311" s="7">
        <v>3.0000000000000001E-3</v>
      </c>
      <c r="N3311">
        <v>14</v>
      </c>
      <c r="O3311" s="8">
        <v>25.041947314744238</v>
      </c>
      <c r="P3311" s="9">
        <v>25.041947314744238</v>
      </c>
      <c r="Q3311" s="9">
        <v>25.041947314744238</v>
      </c>
      <c r="R3311" s="9">
        <v>27.456353403762161</v>
      </c>
      <c r="S3311" s="9">
        <v>30.106651570134346</v>
      </c>
      <c r="T3311" s="9">
        <v>32.38507785162065</v>
      </c>
      <c r="U3311" s="9">
        <v>39.429466811122886</v>
      </c>
      <c r="V3311" s="9">
        <v>39.429466811122886</v>
      </c>
      <c r="W3311" s="9">
        <v>39.429466811122886</v>
      </c>
      <c r="X3311" s="9">
        <v>47.435574821920561</v>
      </c>
      <c r="Y3311" s="9">
        <v>47.435574821920561</v>
      </c>
      <c r="Z3311" s="9">
        <v>55.548774102684064</v>
      </c>
      <c r="AA3311" s="9">
        <v>55.548774102684064</v>
      </c>
      <c r="AB3311" s="9">
        <v>63.779773780410025</v>
      </c>
      <c r="AC3311" s="9">
        <v>63.779773780410025</v>
      </c>
      <c r="AD3311" s="9">
        <v>74.232976377209724</v>
      </c>
      <c r="AE3311" s="9">
        <v>81.9014230099272</v>
      </c>
      <c r="AF3311" s="9">
        <v>89.711048815832598</v>
      </c>
      <c r="AG3311" s="9">
        <v>89.711048815832598</v>
      </c>
      <c r="AH3311" s="9">
        <v>98.594438447760481</v>
      </c>
      <c r="AI3311" s="9">
        <v>107.25818871858809</v>
      </c>
      <c r="AJ3311" s="9">
        <v>3.0428788910505911</v>
      </c>
    </row>
    <row r="3312" spans="1:36" x14ac:dyDescent="0.25">
      <c r="A3312" t="s">
        <v>5411</v>
      </c>
      <c r="B3312" t="s">
        <v>16</v>
      </c>
      <c r="C3312" t="s">
        <v>17</v>
      </c>
      <c r="D3312">
        <v>63670000</v>
      </c>
      <c r="E3312">
        <v>63679999</v>
      </c>
      <c r="F3312" t="s">
        <v>2981</v>
      </c>
      <c r="G3312" t="str">
        <f t="shared" si="102"/>
        <v>CEI II</v>
      </c>
      <c r="H3312" t="s">
        <v>2815</v>
      </c>
      <c r="I3312" t="s">
        <v>20</v>
      </c>
      <c r="J3312" t="s">
        <v>64</v>
      </c>
      <c r="K3312" s="6">
        <v>0.03</v>
      </c>
      <c r="L3312" s="7">
        <f t="shared" si="103"/>
        <v>2E-3</v>
      </c>
      <c r="M3312" s="7">
        <v>3.0000000000000001E-3</v>
      </c>
      <c r="N3312">
        <v>14</v>
      </c>
      <c r="O3312" s="8">
        <v>25.041947314744238</v>
      </c>
      <c r="P3312" s="9">
        <v>25.041947314744238</v>
      </c>
      <c r="Q3312" s="9">
        <v>25.041947314744238</v>
      </c>
      <c r="R3312" s="9">
        <v>27.456353403762161</v>
      </c>
      <c r="S3312" s="9">
        <v>30.106651570134346</v>
      </c>
      <c r="T3312" s="9">
        <v>32.38507785162065</v>
      </c>
      <c r="U3312" s="9">
        <v>39.429466811122886</v>
      </c>
      <c r="V3312" s="9">
        <v>39.429466811122886</v>
      </c>
      <c r="W3312" s="9">
        <v>39.429466811122886</v>
      </c>
      <c r="X3312" s="9">
        <v>47.435574821920561</v>
      </c>
      <c r="Y3312" s="9">
        <v>47.435574821920561</v>
      </c>
      <c r="Z3312" s="9">
        <v>55.548774102684064</v>
      </c>
      <c r="AA3312" s="9">
        <v>55.548774102684064</v>
      </c>
      <c r="AB3312" s="9">
        <v>63.779773780410025</v>
      </c>
      <c r="AC3312" s="9">
        <v>63.779773780410025</v>
      </c>
      <c r="AD3312" s="9">
        <v>74.232976377209724</v>
      </c>
      <c r="AE3312" s="9">
        <v>81.9014230099272</v>
      </c>
      <c r="AF3312" s="9">
        <v>89.711048815832598</v>
      </c>
      <c r="AG3312" s="9">
        <v>89.711048815832598</v>
      </c>
      <c r="AH3312" s="9">
        <v>98.594438447760481</v>
      </c>
      <c r="AI3312" s="9">
        <v>107.25818871858809</v>
      </c>
      <c r="AJ3312" s="9">
        <v>3.0428788910505911</v>
      </c>
    </row>
    <row r="3313" spans="1:36" x14ac:dyDescent="0.25">
      <c r="A3313" t="s">
        <v>5411</v>
      </c>
      <c r="B3313" t="s">
        <v>16</v>
      </c>
      <c r="C3313" t="s">
        <v>17</v>
      </c>
      <c r="D3313">
        <v>63680000</v>
      </c>
      <c r="E3313">
        <v>63699999</v>
      </c>
      <c r="F3313" t="s">
        <v>2982</v>
      </c>
      <c r="G3313" t="str">
        <f t="shared" si="102"/>
        <v>CEI II</v>
      </c>
      <c r="H3313" t="s">
        <v>2815</v>
      </c>
      <c r="I3313" t="s">
        <v>20</v>
      </c>
      <c r="J3313" t="s">
        <v>64</v>
      </c>
      <c r="K3313" s="6">
        <v>0.03</v>
      </c>
      <c r="L3313" s="7">
        <f t="shared" si="103"/>
        <v>2E-3</v>
      </c>
      <c r="M3313" s="7">
        <v>3.0000000000000001E-3</v>
      </c>
      <c r="N3313">
        <v>14</v>
      </c>
      <c r="O3313" s="8">
        <v>25.041947314744238</v>
      </c>
      <c r="P3313" s="9">
        <v>25.041947314744238</v>
      </c>
      <c r="Q3313" s="9">
        <v>25.041947314744238</v>
      </c>
      <c r="R3313" s="9">
        <v>27.456353403762161</v>
      </c>
      <c r="S3313" s="9">
        <v>30.106651570134346</v>
      </c>
      <c r="T3313" s="9">
        <v>32.38507785162065</v>
      </c>
      <c r="U3313" s="9">
        <v>39.429466811122886</v>
      </c>
      <c r="V3313" s="9">
        <v>39.429466811122886</v>
      </c>
      <c r="W3313" s="9">
        <v>39.429466811122886</v>
      </c>
      <c r="X3313" s="9">
        <v>47.435574821920561</v>
      </c>
      <c r="Y3313" s="9">
        <v>47.435574821920561</v>
      </c>
      <c r="Z3313" s="9">
        <v>55.548774102684064</v>
      </c>
      <c r="AA3313" s="9">
        <v>55.548774102684064</v>
      </c>
      <c r="AB3313" s="9">
        <v>63.779773780410025</v>
      </c>
      <c r="AC3313" s="9">
        <v>63.779773780410025</v>
      </c>
      <c r="AD3313" s="9">
        <v>74.232976377209724</v>
      </c>
      <c r="AE3313" s="9">
        <v>81.9014230099272</v>
      </c>
      <c r="AF3313" s="9">
        <v>89.711048815832598</v>
      </c>
      <c r="AG3313" s="9">
        <v>89.711048815832598</v>
      </c>
      <c r="AH3313" s="9">
        <v>98.594438447760481</v>
      </c>
      <c r="AI3313" s="9">
        <v>107.25818871858809</v>
      </c>
      <c r="AJ3313" s="9">
        <v>3.0428788910505911</v>
      </c>
    </row>
    <row r="3314" spans="1:36" x14ac:dyDescent="0.25">
      <c r="A3314" t="s">
        <v>5411</v>
      </c>
      <c r="B3314" t="s">
        <v>16</v>
      </c>
      <c r="C3314" t="s">
        <v>17</v>
      </c>
      <c r="D3314">
        <v>63700000</v>
      </c>
      <c r="E3314">
        <v>63739999</v>
      </c>
      <c r="F3314" t="s">
        <v>2983</v>
      </c>
      <c r="G3314" t="str">
        <f t="shared" si="102"/>
        <v>CEI II</v>
      </c>
      <c r="H3314" t="s">
        <v>2815</v>
      </c>
      <c r="I3314" t="s">
        <v>20</v>
      </c>
      <c r="J3314" t="s">
        <v>64</v>
      </c>
      <c r="K3314" s="6">
        <v>0.03</v>
      </c>
      <c r="L3314" s="7">
        <f t="shared" si="103"/>
        <v>2E-3</v>
      </c>
      <c r="M3314" s="7">
        <v>3.0000000000000001E-3</v>
      </c>
      <c r="N3314">
        <v>12</v>
      </c>
      <c r="O3314" s="8">
        <v>25.041947314744238</v>
      </c>
      <c r="P3314" s="9">
        <v>25.041947314744238</v>
      </c>
      <c r="Q3314" s="9">
        <v>25.041947314744238</v>
      </c>
      <c r="R3314" s="9">
        <v>27.456353403762161</v>
      </c>
      <c r="S3314" s="9">
        <v>30.106651570134346</v>
      </c>
      <c r="T3314" s="9">
        <v>32.38507785162065</v>
      </c>
      <c r="U3314" s="9">
        <v>39.429466811122886</v>
      </c>
      <c r="V3314" s="9">
        <v>39.429466811122886</v>
      </c>
      <c r="W3314" s="9">
        <v>39.429466811122886</v>
      </c>
      <c r="X3314" s="9">
        <v>47.435574821920561</v>
      </c>
      <c r="Y3314" s="9">
        <v>47.435574821920561</v>
      </c>
      <c r="Z3314" s="9">
        <v>55.548774102684064</v>
      </c>
      <c r="AA3314" s="9">
        <v>55.548774102684064</v>
      </c>
      <c r="AB3314" s="9">
        <v>63.779773780410025</v>
      </c>
      <c r="AC3314" s="9">
        <v>63.779773780410025</v>
      </c>
      <c r="AD3314" s="9">
        <v>74.232976377209724</v>
      </c>
      <c r="AE3314" s="9">
        <v>81.9014230099272</v>
      </c>
      <c r="AF3314" s="9">
        <v>89.711048815832598</v>
      </c>
      <c r="AG3314" s="9">
        <v>89.711048815832598</v>
      </c>
      <c r="AH3314" s="9">
        <v>98.594438447760481</v>
      </c>
      <c r="AI3314" s="9">
        <v>107.25818871858809</v>
      </c>
      <c r="AJ3314" s="9">
        <v>3.0428788910505911</v>
      </c>
    </row>
    <row r="3315" spans="1:36" x14ac:dyDescent="0.25">
      <c r="A3315" t="s">
        <v>5411</v>
      </c>
      <c r="B3315" t="s">
        <v>16</v>
      </c>
      <c r="C3315" t="s">
        <v>17</v>
      </c>
      <c r="D3315">
        <v>63740000</v>
      </c>
      <c r="E3315">
        <v>63749999</v>
      </c>
      <c r="F3315" t="s">
        <v>2984</v>
      </c>
      <c r="G3315" t="str">
        <f t="shared" si="102"/>
        <v>CEI II</v>
      </c>
      <c r="H3315" t="s">
        <v>2815</v>
      </c>
      <c r="I3315" t="s">
        <v>20</v>
      </c>
      <c r="J3315" t="s">
        <v>64</v>
      </c>
      <c r="K3315" s="6">
        <v>0.03</v>
      </c>
      <c r="L3315" s="7">
        <f t="shared" si="103"/>
        <v>2E-3</v>
      </c>
      <c r="M3315" s="7">
        <v>3.0000000000000001E-3</v>
      </c>
      <c r="N3315">
        <v>14</v>
      </c>
      <c r="O3315" s="8">
        <v>25.041947314744238</v>
      </c>
      <c r="P3315" s="9">
        <v>25.041947314744238</v>
      </c>
      <c r="Q3315" s="9">
        <v>25.041947314744238</v>
      </c>
      <c r="R3315" s="9">
        <v>27.456353403762161</v>
      </c>
      <c r="S3315" s="9">
        <v>30.106651570134346</v>
      </c>
      <c r="T3315" s="9">
        <v>32.38507785162065</v>
      </c>
      <c r="U3315" s="9">
        <v>39.429466811122886</v>
      </c>
      <c r="V3315" s="9">
        <v>39.429466811122886</v>
      </c>
      <c r="W3315" s="9">
        <v>39.429466811122886</v>
      </c>
      <c r="X3315" s="9">
        <v>47.435574821920561</v>
      </c>
      <c r="Y3315" s="9">
        <v>47.435574821920561</v>
      </c>
      <c r="Z3315" s="9">
        <v>55.548774102684064</v>
      </c>
      <c r="AA3315" s="9">
        <v>55.548774102684064</v>
      </c>
      <c r="AB3315" s="9">
        <v>63.779773780410025</v>
      </c>
      <c r="AC3315" s="9">
        <v>63.779773780410025</v>
      </c>
      <c r="AD3315" s="9">
        <v>74.232976377209724</v>
      </c>
      <c r="AE3315" s="9">
        <v>81.9014230099272</v>
      </c>
      <c r="AF3315" s="9">
        <v>89.711048815832598</v>
      </c>
      <c r="AG3315" s="9">
        <v>89.711048815832598</v>
      </c>
      <c r="AH3315" s="9">
        <v>98.594438447760481</v>
      </c>
      <c r="AI3315" s="9">
        <v>107.25818871858809</v>
      </c>
      <c r="AJ3315" s="9">
        <v>3.0428788910505911</v>
      </c>
    </row>
    <row r="3316" spans="1:36" x14ac:dyDescent="0.25">
      <c r="A3316" t="s">
        <v>5411</v>
      </c>
      <c r="B3316" t="s">
        <v>16</v>
      </c>
      <c r="C3316" t="s">
        <v>17</v>
      </c>
      <c r="D3316">
        <v>63750000</v>
      </c>
      <c r="E3316">
        <v>63779999</v>
      </c>
      <c r="F3316" t="s">
        <v>2985</v>
      </c>
      <c r="G3316" t="str">
        <f t="shared" si="102"/>
        <v>CEI II</v>
      </c>
      <c r="H3316" t="s">
        <v>2815</v>
      </c>
      <c r="I3316" t="s">
        <v>20</v>
      </c>
      <c r="J3316" t="s">
        <v>64</v>
      </c>
      <c r="K3316" s="6">
        <v>0.03</v>
      </c>
      <c r="L3316" s="7">
        <f t="shared" si="103"/>
        <v>2E-3</v>
      </c>
      <c r="M3316" s="7">
        <v>3.0000000000000001E-3</v>
      </c>
      <c r="N3316">
        <v>14</v>
      </c>
      <c r="O3316" s="8">
        <v>25.041947314744238</v>
      </c>
      <c r="P3316" s="9">
        <v>25.041947314744238</v>
      </c>
      <c r="Q3316" s="9">
        <v>25.041947314744238</v>
      </c>
      <c r="R3316" s="9">
        <v>27.456353403762161</v>
      </c>
      <c r="S3316" s="9">
        <v>30.106651570134346</v>
      </c>
      <c r="T3316" s="9">
        <v>32.38507785162065</v>
      </c>
      <c r="U3316" s="9">
        <v>39.429466811122886</v>
      </c>
      <c r="V3316" s="9">
        <v>39.429466811122886</v>
      </c>
      <c r="W3316" s="9">
        <v>39.429466811122886</v>
      </c>
      <c r="X3316" s="9">
        <v>47.435574821920561</v>
      </c>
      <c r="Y3316" s="9">
        <v>47.435574821920561</v>
      </c>
      <c r="Z3316" s="9">
        <v>55.548774102684064</v>
      </c>
      <c r="AA3316" s="9">
        <v>55.548774102684064</v>
      </c>
      <c r="AB3316" s="9">
        <v>63.779773780410025</v>
      </c>
      <c r="AC3316" s="9">
        <v>63.779773780410025</v>
      </c>
      <c r="AD3316" s="9">
        <v>74.232976377209724</v>
      </c>
      <c r="AE3316" s="9">
        <v>81.9014230099272</v>
      </c>
      <c r="AF3316" s="9">
        <v>89.711048815832598</v>
      </c>
      <c r="AG3316" s="9">
        <v>89.711048815832598</v>
      </c>
      <c r="AH3316" s="9">
        <v>98.594438447760481</v>
      </c>
      <c r="AI3316" s="9">
        <v>107.25818871858809</v>
      </c>
      <c r="AJ3316" s="9">
        <v>3.0428788910505911</v>
      </c>
    </row>
    <row r="3317" spans="1:36" x14ac:dyDescent="0.25">
      <c r="A3317" t="s">
        <v>5411</v>
      </c>
      <c r="B3317" t="s">
        <v>16</v>
      </c>
      <c r="C3317" t="s">
        <v>17</v>
      </c>
      <c r="D3317">
        <v>63780000</v>
      </c>
      <c r="E3317">
        <v>63799999</v>
      </c>
      <c r="F3317" t="s">
        <v>2986</v>
      </c>
      <c r="G3317" t="str">
        <f t="shared" si="102"/>
        <v>CEI II</v>
      </c>
      <c r="H3317" t="s">
        <v>2815</v>
      </c>
      <c r="I3317" t="s">
        <v>20</v>
      </c>
      <c r="J3317" t="s">
        <v>64</v>
      </c>
      <c r="K3317" s="6">
        <v>0.03</v>
      </c>
      <c r="L3317" s="7">
        <f t="shared" si="103"/>
        <v>2E-3</v>
      </c>
      <c r="M3317" s="7">
        <v>3.0000000000000001E-3</v>
      </c>
      <c r="N3317">
        <v>15</v>
      </c>
      <c r="O3317" s="8">
        <v>25.041947314744238</v>
      </c>
      <c r="P3317" s="9">
        <v>25.041947314744238</v>
      </c>
      <c r="Q3317" s="9">
        <v>25.041947314744238</v>
      </c>
      <c r="R3317" s="9">
        <v>27.456353403762161</v>
      </c>
      <c r="S3317" s="9">
        <v>30.106651570134346</v>
      </c>
      <c r="T3317" s="9">
        <v>32.38507785162065</v>
      </c>
      <c r="U3317" s="9">
        <v>39.429466811122886</v>
      </c>
      <c r="V3317" s="9">
        <v>39.429466811122886</v>
      </c>
      <c r="W3317" s="9">
        <v>39.429466811122886</v>
      </c>
      <c r="X3317" s="9">
        <v>47.435574821920561</v>
      </c>
      <c r="Y3317" s="9">
        <v>47.435574821920561</v>
      </c>
      <c r="Z3317" s="9">
        <v>55.548774102684064</v>
      </c>
      <c r="AA3317" s="9">
        <v>55.548774102684064</v>
      </c>
      <c r="AB3317" s="9">
        <v>63.779773780410025</v>
      </c>
      <c r="AC3317" s="9">
        <v>63.779773780410025</v>
      </c>
      <c r="AD3317" s="9">
        <v>74.232976377209724</v>
      </c>
      <c r="AE3317" s="9">
        <v>81.9014230099272</v>
      </c>
      <c r="AF3317" s="9">
        <v>89.711048815832598</v>
      </c>
      <c r="AG3317" s="9">
        <v>89.711048815832598</v>
      </c>
      <c r="AH3317" s="9">
        <v>98.594438447760481</v>
      </c>
      <c r="AI3317" s="9">
        <v>107.25818871858809</v>
      </c>
      <c r="AJ3317" s="9">
        <v>3.0428788910505911</v>
      </c>
    </row>
    <row r="3318" spans="1:36" x14ac:dyDescent="0.25">
      <c r="A3318" t="s">
        <v>5411</v>
      </c>
      <c r="B3318" t="s">
        <v>16</v>
      </c>
      <c r="C3318" t="s">
        <v>17</v>
      </c>
      <c r="D3318">
        <v>63800000</v>
      </c>
      <c r="E3318">
        <v>63859999</v>
      </c>
      <c r="F3318" t="s">
        <v>2987</v>
      </c>
      <c r="G3318" t="str">
        <f t="shared" si="102"/>
        <v>CEI II</v>
      </c>
      <c r="H3318" t="s">
        <v>2815</v>
      </c>
      <c r="I3318" t="s">
        <v>20</v>
      </c>
      <c r="J3318" t="s">
        <v>64</v>
      </c>
      <c r="K3318" s="6">
        <v>0.03</v>
      </c>
      <c r="L3318" s="7">
        <f t="shared" si="103"/>
        <v>2E-3</v>
      </c>
      <c r="M3318" s="7">
        <v>3.0000000000000001E-3</v>
      </c>
      <c r="N3318">
        <v>12</v>
      </c>
      <c r="O3318" s="8">
        <v>25.041947314744238</v>
      </c>
      <c r="P3318" s="9">
        <v>25.041947314744238</v>
      </c>
      <c r="Q3318" s="9">
        <v>25.041947314744238</v>
      </c>
      <c r="R3318" s="9">
        <v>27.456353403762161</v>
      </c>
      <c r="S3318" s="9">
        <v>30.106651570134346</v>
      </c>
      <c r="T3318" s="9">
        <v>32.38507785162065</v>
      </c>
      <c r="U3318" s="9">
        <v>39.429466811122886</v>
      </c>
      <c r="V3318" s="9">
        <v>39.429466811122886</v>
      </c>
      <c r="W3318" s="9">
        <v>39.429466811122886</v>
      </c>
      <c r="X3318" s="9">
        <v>47.435574821920561</v>
      </c>
      <c r="Y3318" s="9">
        <v>47.435574821920561</v>
      </c>
      <c r="Z3318" s="9">
        <v>55.548774102684064</v>
      </c>
      <c r="AA3318" s="9">
        <v>55.548774102684064</v>
      </c>
      <c r="AB3318" s="9">
        <v>63.779773780410025</v>
      </c>
      <c r="AC3318" s="9">
        <v>63.779773780410025</v>
      </c>
      <c r="AD3318" s="9">
        <v>74.232976377209724</v>
      </c>
      <c r="AE3318" s="9">
        <v>81.9014230099272</v>
      </c>
      <c r="AF3318" s="9">
        <v>89.711048815832598</v>
      </c>
      <c r="AG3318" s="9">
        <v>89.711048815832598</v>
      </c>
      <c r="AH3318" s="9">
        <v>98.594438447760481</v>
      </c>
      <c r="AI3318" s="9">
        <v>107.25818871858809</v>
      </c>
      <c r="AJ3318" s="9">
        <v>3.0428788910505911</v>
      </c>
    </row>
    <row r="3319" spans="1:36" x14ac:dyDescent="0.25">
      <c r="A3319" t="s">
        <v>5411</v>
      </c>
      <c r="B3319" t="s">
        <v>16</v>
      </c>
      <c r="C3319" t="s">
        <v>17</v>
      </c>
      <c r="D3319">
        <v>63860000</v>
      </c>
      <c r="E3319">
        <v>63869999</v>
      </c>
      <c r="F3319" t="s">
        <v>2988</v>
      </c>
      <c r="G3319" t="str">
        <f t="shared" si="102"/>
        <v>CEI II</v>
      </c>
      <c r="H3319" t="s">
        <v>2815</v>
      </c>
      <c r="I3319" t="s">
        <v>20</v>
      </c>
      <c r="J3319" t="s">
        <v>64</v>
      </c>
      <c r="K3319" s="6">
        <v>0.03</v>
      </c>
      <c r="L3319" s="7">
        <f t="shared" si="103"/>
        <v>2E-3</v>
      </c>
      <c r="M3319" s="7">
        <v>3.0000000000000001E-3</v>
      </c>
      <c r="N3319">
        <v>14</v>
      </c>
      <c r="O3319" s="8">
        <v>25.041947314744238</v>
      </c>
      <c r="P3319" s="9">
        <v>25.041947314744238</v>
      </c>
      <c r="Q3319" s="9">
        <v>25.041947314744238</v>
      </c>
      <c r="R3319" s="9">
        <v>27.456353403762161</v>
      </c>
      <c r="S3319" s="9">
        <v>30.106651570134346</v>
      </c>
      <c r="T3319" s="9">
        <v>32.38507785162065</v>
      </c>
      <c r="U3319" s="9">
        <v>39.429466811122886</v>
      </c>
      <c r="V3319" s="9">
        <v>39.429466811122886</v>
      </c>
      <c r="W3319" s="9">
        <v>39.429466811122886</v>
      </c>
      <c r="X3319" s="9">
        <v>47.435574821920561</v>
      </c>
      <c r="Y3319" s="9">
        <v>47.435574821920561</v>
      </c>
      <c r="Z3319" s="9">
        <v>55.548774102684064</v>
      </c>
      <c r="AA3319" s="9">
        <v>55.548774102684064</v>
      </c>
      <c r="AB3319" s="9">
        <v>63.779773780410025</v>
      </c>
      <c r="AC3319" s="9">
        <v>63.779773780410025</v>
      </c>
      <c r="AD3319" s="9">
        <v>74.232976377209724</v>
      </c>
      <c r="AE3319" s="9">
        <v>81.9014230099272</v>
      </c>
      <c r="AF3319" s="9">
        <v>89.711048815832598</v>
      </c>
      <c r="AG3319" s="9">
        <v>89.711048815832598</v>
      </c>
      <c r="AH3319" s="9">
        <v>98.594438447760481</v>
      </c>
      <c r="AI3319" s="9">
        <v>107.25818871858809</v>
      </c>
      <c r="AJ3319" s="9">
        <v>3.0428788910505911</v>
      </c>
    </row>
    <row r="3320" spans="1:36" x14ac:dyDescent="0.25">
      <c r="A3320" t="s">
        <v>5411</v>
      </c>
      <c r="B3320" t="s">
        <v>16</v>
      </c>
      <c r="C3320" t="s">
        <v>17</v>
      </c>
      <c r="D3320">
        <v>63870000</v>
      </c>
      <c r="E3320">
        <v>63899999</v>
      </c>
      <c r="F3320" t="s">
        <v>2989</v>
      </c>
      <c r="G3320" t="str">
        <f t="shared" si="102"/>
        <v>CEI II</v>
      </c>
      <c r="H3320" t="s">
        <v>2815</v>
      </c>
      <c r="I3320" t="s">
        <v>20</v>
      </c>
      <c r="J3320" t="s">
        <v>64</v>
      </c>
      <c r="K3320" s="6">
        <v>0.03</v>
      </c>
      <c r="L3320" s="7">
        <f t="shared" si="103"/>
        <v>2E-3</v>
      </c>
      <c r="M3320" s="7">
        <v>3.0000000000000001E-3</v>
      </c>
      <c r="N3320">
        <v>14</v>
      </c>
      <c r="O3320" s="8">
        <v>25.041947314744238</v>
      </c>
      <c r="P3320" s="9">
        <v>25.041947314744238</v>
      </c>
      <c r="Q3320" s="9">
        <v>25.041947314744238</v>
      </c>
      <c r="R3320" s="9">
        <v>27.456353403762161</v>
      </c>
      <c r="S3320" s="9">
        <v>30.106651570134346</v>
      </c>
      <c r="T3320" s="9">
        <v>32.38507785162065</v>
      </c>
      <c r="U3320" s="9">
        <v>39.429466811122886</v>
      </c>
      <c r="V3320" s="9">
        <v>39.429466811122886</v>
      </c>
      <c r="W3320" s="9">
        <v>39.429466811122886</v>
      </c>
      <c r="X3320" s="9">
        <v>47.435574821920561</v>
      </c>
      <c r="Y3320" s="9">
        <v>47.435574821920561</v>
      </c>
      <c r="Z3320" s="9">
        <v>55.548774102684064</v>
      </c>
      <c r="AA3320" s="9">
        <v>55.548774102684064</v>
      </c>
      <c r="AB3320" s="9">
        <v>63.779773780410025</v>
      </c>
      <c r="AC3320" s="9">
        <v>63.779773780410025</v>
      </c>
      <c r="AD3320" s="9">
        <v>74.232976377209724</v>
      </c>
      <c r="AE3320" s="9">
        <v>81.9014230099272</v>
      </c>
      <c r="AF3320" s="9">
        <v>89.711048815832598</v>
      </c>
      <c r="AG3320" s="9">
        <v>89.711048815832598</v>
      </c>
      <c r="AH3320" s="9">
        <v>98.594438447760481</v>
      </c>
      <c r="AI3320" s="9">
        <v>107.25818871858809</v>
      </c>
      <c r="AJ3320" s="9">
        <v>3.0428788910505911</v>
      </c>
    </row>
    <row r="3321" spans="1:36" x14ac:dyDescent="0.25">
      <c r="A3321" t="s">
        <v>5411</v>
      </c>
      <c r="B3321" t="s">
        <v>16</v>
      </c>
      <c r="C3321" t="s">
        <v>17</v>
      </c>
      <c r="D3321">
        <v>63900000</v>
      </c>
      <c r="E3321">
        <v>63949999</v>
      </c>
      <c r="F3321" t="s">
        <v>2990</v>
      </c>
      <c r="G3321" t="str">
        <f t="shared" si="102"/>
        <v>CEI II</v>
      </c>
      <c r="H3321" t="s">
        <v>2815</v>
      </c>
      <c r="I3321" t="s">
        <v>20</v>
      </c>
      <c r="J3321" t="s">
        <v>64</v>
      </c>
      <c r="K3321" s="6">
        <v>0.03</v>
      </c>
      <c r="L3321" s="7">
        <f t="shared" si="103"/>
        <v>2E-3</v>
      </c>
      <c r="M3321" s="7">
        <v>3.0000000000000001E-3</v>
      </c>
      <c r="N3321">
        <v>12</v>
      </c>
      <c r="O3321" s="8">
        <v>25.041947314744238</v>
      </c>
      <c r="P3321" s="9">
        <v>25.041947314744238</v>
      </c>
      <c r="Q3321" s="9">
        <v>25.041947314744238</v>
      </c>
      <c r="R3321" s="9">
        <v>27.456353403762161</v>
      </c>
      <c r="S3321" s="9">
        <v>30.106651570134346</v>
      </c>
      <c r="T3321" s="9">
        <v>32.38507785162065</v>
      </c>
      <c r="U3321" s="9">
        <v>39.429466811122886</v>
      </c>
      <c r="V3321" s="9">
        <v>39.429466811122886</v>
      </c>
      <c r="W3321" s="9">
        <v>39.429466811122886</v>
      </c>
      <c r="X3321" s="9">
        <v>47.435574821920561</v>
      </c>
      <c r="Y3321" s="9">
        <v>47.435574821920561</v>
      </c>
      <c r="Z3321" s="9">
        <v>55.548774102684064</v>
      </c>
      <c r="AA3321" s="9">
        <v>55.548774102684064</v>
      </c>
      <c r="AB3321" s="9">
        <v>63.779773780410025</v>
      </c>
      <c r="AC3321" s="9">
        <v>63.779773780410025</v>
      </c>
      <c r="AD3321" s="9">
        <v>74.232976377209724</v>
      </c>
      <c r="AE3321" s="9">
        <v>81.9014230099272</v>
      </c>
      <c r="AF3321" s="9">
        <v>89.711048815832598</v>
      </c>
      <c r="AG3321" s="9">
        <v>89.711048815832598</v>
      </c>
      <c r="AH3321" s="9">
        <v>98.594438447760481</v>
      </c>
      <c r="AI3321" s="9">
        <v>107.25818871858809</v>
      </c>
      <c r="AJ3321" s="9">
        <v>3.0428788910505911</v>
      </c>
    </row>
    <row r="3322" spans="1:36" x14ac:dyDescent="0.25">
      <c r="A3322" t="s">
        <v>5411</v>
      </c>
      <c r="B3322" t="s">
        <v>16</v>
      </c>
      <c r="C3322" t="s">
        <v>17</v>
      </c>
      <c r="D3322">
        <v>63950000</v>
      </c>
      <c r="E3322">
        <v>63959999</v>
      </c>
      <c r="F3322" t="s">
        <v>2991</v>
      </c>
      <c r="G3322" t="str">
        <f t="shared" si="102"/>
        <v>CEI II</v>
      </c>
      <c r="H3322" t="s">
        <v>2815</v>
      </c>
      <c r="I3322" t="s">
        <v>20</v>
      </c>
      <c r="J3322" t="s">
        <v>64</v>
      </c>
      <c r="K3322" s="6">
        <v>0.03</v>
      </c>
      <c r="L3322" s="7">
        <f t="shared" si="103"/>
        <v>2E-3</v>
      </c>
      <c r="M3322" s="7">
        <v>3.0000000000000001E-3</v>
      </c>
      <c r="N3322">
        <v>14</v>
      </c>
      <c r="O3322" s="8">
        <v>25.041947314744238</v>
      </c>
      <c r="P3322" s="9">
        <v>25.041947314744238</v>
      </c>
      <c r="Q3322" s="9">
        <v>25.041947314744238</v>
      </c>
      <c r="R3322" s="9">
        <v>27.456353403762161</v>
      </c>
      <c r="S3322" s="9">
        <v>30.106651570134346</v>
      </c>
      <c r="T3322" s="9">
        <v>32.38507785162065</v>
      </c>
      <c r="U3322" s="9">
        <v>39.429466811122886</v>
      </c>
      <c r="V3322" s="9">
        <v>39.429466811122886</v>
      </c>
      <c r="W3322" s="9">
        <v>39.429466811122886</v>
      </c>
      <c r="X3322" s="9">
        <v>47.435574821920561</v>
      </c>
      <c r="Y3322" s="9">
        <v>47.435574821920561</v>
      </c>
      <c r="Z3322" s="9">
        <v>55.548774102684064</v>
      </c>
      <c r="AA3322" s="9">
        <v>55.548774102684064</v>
      </c>
      <c r="AB3322" s="9">
        <v>63.779773780410025</v>
      </c>
      <c r="AC3322" s="9">
        <v>63.779773780410025</v>
      </c>
      <c r="AD3322" s="9">
        <v>74.232976377209724</v>
      </c>
      <c r="AE3322" s="9">
        <v>81.9014230099272</v>
      </c>
      <c r="AF3322" s="9">
        <v>89.711048815832598</v>
      </c>
      <c r="AG3322" s="9">
        <v>89.711048815832598</v>
      </c>
      <c r="AH3322" s="9">
        <v>98.594438447760481</v>
      </c>
      <c r="AI3322" s="9">
        <v>107.25818871858809</v>
      </c>
      <c r="AJ3322" s="9">
        <v>3.0428788910505911</v>
      </c>
    </row>
    <row r="3323" spans="1:36" x14ac:dyDescent="0.25">
      <c r="A3323" t="s">
        <v>5411</v>
      </c>
      <c r="B3323" t="s">
        <v>16</v>
      </c>
      <c r="C3323" t="s">
        <v>17</v>
      </c>
      <c r="D3323">
        <v>63960000</v>
      </c>
      <c r="E3323">
        <v>63969999</v>
      </c>
      <c r="F3323" t="s">
        <v>2992</v>
      </c>
      <c r="G3323" t="str">
        <f t="shared" si="102"/>
        <v>CEI II</v>
      </c>
      <c r="H3323" t="s">
        <v>2815</v>
      </c>
      <c r="I3323" t="s">
        <v>20</v>
      </c>
      <c r="J3323" t="s">
        <v>64</v>
      </c>
      <c r="K3323" s="6">
        <v>0.03</v>
      </c>
      <c r="L3323" s="7">
        <f t="shared" si="103"/>
        <v>2E-3</v>
      </c>
      <c r="M3323" s="7">
        <v>3.0000000000000001E-3</v>
      </c>
      <c r="N3323">
        <v>14</v>
      </c>
      <c r="O3323" s="8">
        <v>25.041947314744238</v>
      </c>
      <c r="P3323" s="9">
        <v>25.041947314744238</v>
      </c>
      <c r="Q3323" s="9">
        <v>25.041947314744238</v>
      </c>
      <c r="R3323" s="9">
        <v>27.456353403762161</v>
      </c>
      <c r="S3323" s="9">
        <v>30.106651570134346</v>
      </c>
      <c r="T3323" s="9">
        <v>32.38507785162065</v>
      </c>
      <c r="U3323" s="9">
        <v>39.429466811122886</v>
      </c>
      <c r="V3323" s="9">
        <v>39.429466811122886</v>
      </c>
      <c r="W3323" s="9">
        <v>39.429466811122886</v>
      </c>
      <c r="X3323" s="9">
        <v>47.435574821920561</v>
      </c>
      <c r="Y3323" s="9">
        <v>47.435574821920561</v>
      </c>
      <c r="Z3323" s="9">
        <v>55.548774102684064</v>
      </c>
      <c r="AA3323" s="9">
        <v>55.548774102684064</v>
      </c>
      <c r="AB3323" s="9">
        <v>63.779773780410025</v>
      </c>
      <c r="AC3323" s="9">
        <v>63.779773780410025</v>
      </c>
      <c r="AD3323" s="9">
        <v>74.232976377209724</v>
      </c>
      <c r="AE3323" s="9">
        <v>81.9014230099272</v>
      </c>
      <c r="AF3323" s="9">
        <v>89.711048815832598</v>
      </c>
      <c r="AG3323" s="9">
        <v>89.711048815832598</v>
      </c>
      <c r="AH3323" s="9">
        <v>98.594438447760481</v>
      </c>
      <c r="AI3323" s="9">
        <v>107.25818871858809</v>
      </c>
      <c r="AJ3323" s="9">
        <v>3.0428788910505911</v>
      </c>
    </row>
    <row r="3324" spans="1:36" x14ac:dyDescent="0.25">
      <c r="A3324" t="s">
        <v>5411</v>
      </c>
      <c r="B3324" t="s">
        <v>16</v>
      </c>
      <c r="C3324" t="s">
        <v>17</v>
      </c>
      <c r="D3324">
        <v>63970000</v>
      </c>
      <c r="E3324">
        <v>63999999</v>
      </c>
      <c r="F3324" t="s">
        <v>2993</v>
      </c>
      <c r="G3324" t="str">
        <f t="shared" si="102"/>
        <v>CEI II</v>
      </c>
      <c r="H3324" t="s">
        <v>2815</v>
      </c>
      <c r="I3324" t="s">
        <v>20</v>
      </c>
      <c r="J3324" t="s">
        <v>64</v>
      </c>
      <c r="K3324" s="6">
        <v>0.03</v>
      </c>
      <c r="L3324" s="7">
        <f t="shared" si="103"/>
        <v>2E-3</v>
      </c>
      <c r="M3324" s="7">
        <v>3.0000000000000001E-3</v>
      </c>
      <c r="N3324">
        <v>14</v>
      </c>
      <c r="O3324" s="8">
        <v>25.041947314744238</v>
      </c>
      <c r="P3324" s="9">
        <v>25.041947314744238</v>
      </c>
      <c r="Q3324" s="9">
        <v>25.041947314744238</v>
      </c>
      <c r="R3324" s="9">
        <v>27.456353403762161</v>
      </c>
      <c r="S3324" s="9">
        <v>30.106651570134346</v>
      </c>
      <c r="T3324" s="9">
        <v>32.38507785162065</v>
      </c>
      <c r="U3324" s="9">
        <v>39.429466811122886</v>
      </c>
      <c r="V3324" s="9">
        <v>39.429466811122886</v>
      </c>
      <c r="W3324" s="9">
        <v>39.429466811122886</v>
      </c>
      <c r="X3324" s="9">
        <v>47.435574821920561</v>
      </c>
      <c r="Y3324" s="9">
        <v>47.435574821920561</v>
      </c>
      <c r="Z3324" s="9">
        <v>55.548774102684064</v>
      </c>
      <c r="AA3324" s="9">
        <v>55.548774102684064</v>
      </c>
      <c r="AB3324" s="9">
        <v>63.779773780410025</v>
      </c>
      <c r="AC3324" s="9">
        <v>63.779773780410025</v>
      </c>
      <c r="AD3324" s="9">
        <v>74.232976377209724</v>
      </c>
      <c r="AE3324" s="9">
        <v>81.9014230099272</v>
      </c>
      <c r="AF3324" s="9">
        <v>89.711048815832598</v>
      </c>
      <c r="AG3324" s="9">
        <v>89.711048815832598</v>
      </c>
      <c r="AH3324" s="9">
        <v>98.594438447760481</v>
      </c>
      <c r="AI3324" s="9">
        <v>107.25818871858809</v>
      </c>
      <c r="AJ3324" s="9">
        <v>3.0428788910505911</v>
      </c>
    </row>
    <row r="3325" spans="1:36" x14ac:dyDescent="0.25">
      <c r="A3325" t="s">
        <v>5411</v>
      </c>
      <c r="B3325" t="s">
        <v>16</v>
      </c>
      <c r="C3325" t="s">
        <v>17</v>
      </c>
      <c r="D3325">
        <v>64000000</v>
      </c>
      <c r="E3325">
        <v>64099999</v>
      </c>
      <c r="F3325" t="s">
        <v>2994</v>
      </c>
      <c r="G3325" t="str">
        <f t="shared" si="102"/>
        <v>PIC</v>
      </c>
      <c r="H3325" t="s">
        <v>2995</v>
      </c>
      <c r="I3325" t="s">
        <v>20</v>
      </c>
      <c r="J3325" t="s">
        <v>21</v>
      </c>
      <c r="K3325" s="6">
        <v>0.03</v>
      </c>
      <c r="L3325" s="7">
        <f t="shared" si="103"/>
        <v>2E-3</v>
      </c>
      <c r="M3325" s="7">
        <v>3.0000000000000001E-3</v>
      </c>
      <c r="N3325">
        <v>11</v>
      </c>
      <c r="O3325" s="8">
        <v>13.559392306930091</v>
      </c>
      <c r="P3325" s="9">
        <v>13.559392306930091</v>
      </c>
      <c r="Q3325" s="9">
        <v>13.559392306930091</v>
      </c>
      <c r="R3325" s="9">
        <v>14.681239615642447</v>
      </c>
      <c r="S3325" s="9">
        <v>15.73344292035326</v>
      </c>
      <c r="T3325" s="9">
        <v>17.053567232815062</v>
      </c>
      <c r="U3325" s="9">
        <v>20.445412005362016</v>
      </c>
      <c r="V3325" s="9">
        <v>20.445412005362016</v>
      </c>
      <c r="W3325" s="9">
        <v>20.445412005362016</v>
      </c>
      <c r="X3325" s="9">
        <v>26.188094257804462</v>
      </c>
      <c r="Y3325" s="9">
        <v>26.188094257804462</v>
      </c>
      <c r="Z3325" s="9">
        <v>32.191391729951633</v>
      </c>
      <c r="AA3325" s="9">
        <v>32.191391729951633</v>
      </c>
      <c r="AB3325" s="9">
        <v>39.201784811697536</v>
      </c>
      <c r="AC3325" s="9">
        <v>39.201784811697536</v>
      </c>
      <c r="AD3325" s="9">
        <v>48.747261689450426</v>
      </c>
      <c r="AE3325" s="9">
        <v>54.916318725974534</v>
      </c>
      <c r="AF3325" s="9">
        <v>61.176189442629813</v>
      </c>
      <c r="AG3325" s="9">
        <v>61.176189442629813</v>
      </c>
      <c r="AH3325" s="9">
        <v>67.535955207429268</v>
      </c>
      <c r="AI3325" s="9">
        <v>73.696736850583918</v>
      </c>
      <c r="AJ3325" s="9">
        <v>3.0428788910505911</v>
      </c>
    </row>
    <row r="3326" spans="1:36" x14ac:dyDescent="0.25">
      <c r="A3326" t="s">
        <v>5411</v>
      </c>
      <c r="B3326" t="s">
        <v>16</v>
      </c>
      <c r="C3326" t="s">
        <v>17</v>
      </c>
      <c r="D3326">
        <v>64100000</v>
      </c>
      <c r="E3326">
        <v>64104999</v>
      </c>
      <c r="F3326" t="s">
        <v>2996</v>
      </c>
      <c r="G3326" t="str">
        <f t="shared" si="102"/>
        <v>PII</v>
      </c>
      <c r="H3326" t="s">
        <v>2995</v>
      </c>
      <c r="I3326" t="s">
        <v>20</v>
      </c>
      <c r="J3326" t="s">
        <v>62</v>
      </c>
      <c r="K3326" s="6">
        <v>0.03</v>
      </c>
      <c r="L3326" s="7">
        <f t="shared" si="103"/>
        <v>2E-3</v>
      </c>
      <c r="M3326" s="7">
        <v>3.0000000000000001E-3</v>
      </c>
      <c r="N3326">
        <v>15</v>
      </c>
      <c r="O3326" s="8">
        <v>18.523064475870246</v>
      </c>
      <c r="P3326" s="9">
        <v>18.523064475870246</v>
      </c>
      <c r="Q3326" s="9">
        <v>18.523064475870246</v>
      </c>
      <c r="R3326" s="9">
        <v>19.986085921544504</v>
      </c>
      <c r="S3326" s="9">
        <v>22.12943390989907</v>
      </c>
      <c r="T3326" s="9">
        <v>24.361587349653966</v>
      </c>
      <c r="U3326" s="9">
        <v>30.016334788894795</v>
      </c>
      <c r="V3326" s="9">
        <v>30.016334788894795</v>
      </c>
      <c r="W3326" s="9">
        <v>30.016334788894795</v>
      </c>
      <c r="X3326" s="9">
        <v>36.357177991180244</v>
      </c>
      <c r="Y3326" s="9">
        <v>36.357177991180244</v>
      </c>
      <c r="Z3326" s="9">
        <v>42.885327131268298</v>
      </c>
      <c r="AA3326" s="9">
        <v>42.885327131268298</v>
      </c>
      <c r="AB3326" s="9">
        <v>49.659479185845427</v>
      </c>
      <c r="AC3326" s="9">
        <v>49.659479185845427</v>
      </c>
      <c r="AD3326" s="9">
        <v>56.580305827489475</v>
      </c>
      <c r="AE3326" s="9">
        <v>63.666673708638676</v>
      </c>
      <c r="AF3326" s="9">
        <v>70.939940361157198</v>
      </c>
      <c r="AG3326" s="9">
        <v>70.939940361157198</v>
      </c>
      <c r="AH3326" s="9">
        <v>77.933178543288449</v>
      </c>
      <c r="AI3326" s="9">
        <v>85.444390652517114</v>
      </c>
      <c r="AJ3326" s="9">
        <v>3.0428788910505911</v>
      </c>
    </row>
    <row r="3327" spans="1:36" x14ac:dyDescent="0.25">
      <c r="A3327" t="s">
        <v>5411</v>
      </c>
      <c r="B3327" t="s">
        <v>16</v>
      </c>
      <c r="C3327" t="s">
        <v>17</v>
      </c>
      <c r="D3327">
        <v>64105000</v>
      </c>
      <c r="E3327">
        <v>64107999</v>
      </c>
      <c r="F3327" t="s">
        <v>2997</v>
      </c>
      <c r="G3327" t="str">
        <f t="shared" si="102"/>
        <v>PII II</v>
      </c>
      <c r="H3327" t="s">
        <v>2995</v>
      </c>
      <c r="I3327" t="s">
        <v>20</v>
      </c>
      <c r="J3327" t="s">
        <v>64</v>
      </c>
      <c r="K3327" s="6">
        <v>0.03</v>
      </c>
      <c r="L3327" s="7">
        <f t="shared" si="103"/>
        <v>2E-3</v>
      </c>
      <c r="M3327" s="7">
        <v>3.0000000000000001E-3</v>
      </c>
      <c r="N3327">
        <v>15</v>
      </c>
      <c r="O3327" s="8">
        <v>22.680099489425388</v>
      </c>
      <c r="P3327" s="9">
        <v>22.680099489425388</v>
      </c>
      <c r="Q3327" s="9">
        <v>22.680099489425388</v>
      </c>
      <c r="R3327" s="9">
        <v>24.975706415973956</v>
      </c>
      <c r="S3327" s="9">
        <v>27.507757599557678</v>
      </c>
      <c r="T3327" s="9">
        <v>29.643595035649298</v>
      </c>
      <c r="U3327" s="9">
        <v>36.324172615829276</v>
      </c>
      <c r="V3327" s="9">
        <v>36.324172615829276</v>
      </c>
      <c r="W3327" s="9">
        <v>36.324172615829276</v>
      </c>
      <c r="X3327" s="9">
        <v>43.832136422596946</v>
      </c>
      <c r="Y3327" s="9">
        <v>43.832136422596946</v>
      </c>
      <c r="Z3327" s="9">
        <v>51.429400054836968</v>
      </c>
      <c r="AA3327" s="9">
        <v>51.429400054836968</v>
      </c>
      <c r="AB3327" s="9">
        <v>59.124893495096586</v>
      </c>
      <c r="AC3327" s="9">
        <v>59.124893495096586</v>
      </c>
      <c r="AD3327" s="9">
        <v>68.673407568137122</v>
      </c>
      <c r="AE3327" s="9">
        <v>75.899806853903883</v>
      </c>
      <c r="AF3327" s="9">
        <v>83.243930726651769</v>
      </c>
      <c r="AG3327" s="9">
        <v>83.243930726651769</v>
      </c>
      <c r="AH3327" s="9">
        <v>91.483430312965311</v>
      </c>
      <c r="AI3327" s="9">
        <v>99.63294480172658</v>
      </c>
      <c r="AJ3327" s="9">
        <v>3.0428788910505911</v>
      </c>
    </row>
    <row r="3328" spans="1:36" x14ac:dyDescent="0.25">
      <c r="A3328" t="s">
        <v>5411</v>
      </c>
      <c r="B3328" t="s">
        <v>16</v>
      </c>
      <c r="C3328" t="s">
        <v>17</v>
      </c>
      <c r="D3328">
        <v>64108000</v>
      </c>
      <c r="E3328">
        <v>64109999</v>
      </c>
      <c r="F3328" t="s">
        <v>2998</v>
      </c>
      <c r="G3328" t="str">
        <f t="shared" si="102"/>
        <v>PII II</v>
      </c>
      <c r="H3328" t="s">
        <v>2995</v>
      </c>
      <c r="I3328" t="s">
        <v>20</v>
      </c>
      <c r="J3328" t="s">
        <v>64</v>
      </c>
      <c r="K3328" s="6">
        <v>0.03</v>
      </c>
      <c r="L3328" s="7">
        <f t="shared" si="103"/>
        <v>2E-3</v>
      </c>
      <c r="M3328" s="7">
        <v>3.0000000000000001E-3</v>
      </c>
      <c r="N3328">
        <v>15</v>
      </c>
      <c r="O3328" s="8">
        <v>22.680099489425388</v>
      </c>
      <c r="P3328" s="9">
        <v>22.680099489425388</v>
      </c>
      <c r="Q3328" s="9">
        <v>22.680099489425388</v>
      </c>
      <c r="R3328" s="9">
        <v>24.975706415973956</v>
      </c>
      <c r="S3328" s="9">
        <v>27.507757599557678</v>
      </c>
      <c r="T3328" s="9">
        <v>29.643595035649298</v>
      </c>
      <c r="U3328" s="9">
        <v>36.324172615829276</v>
      </c>
      <c r="V3328" s="9">
        <v>36.324172615829276</v>
      </c>
      <c r="W3328" s="9">
        <v>36.324172615829276</v>
      </c>
      <c r="X3328" s="9">
        <v>43.832136422596946</v>
      </c>
      <c r="Y3328" s="9">
        <v>43.832136422596946</v>
      </c>
      <c r="Z3328" s="9">
        <v>51.429400054836968</v>
      </c>
      <c r="AA3328" s="9">
        <v>51.429400054836968</v>
      </c>
      <c r="AB3328" s="9">
        <v>59.124893495096586</v>
      </c>
      <c r="AC3328" s="9">
        <v>59.124893495096586</v>
      </c>
      <c r="AD3328" s="9">
        <v>68.673407568137122</v>
      </c>
      <c r="AE3328" s="9">
        <v>75.899806853903883</v>
      </c>
      <c r="AF3328" s="9">
        <v>83.243930726651769</v>
      </c>
      <c r="AG3328" s="9">
        <v>83.243930726651769</v>
      </c>
      <c r="AH3328" s="9">
        <v>91.483430312965311</v>
      </c>
      <c r="AI3328" s="9">
        <v>99.63294480172658</v>
      </c>
      <c r="AJ3328" s="9">
        <v>3.0428788910505911</v>
      </c>
    </row>
    <row r="3329" spans="1:36" x14ac:dyDescent="0.25">
      <c r="A3329" t="s">
        <v>5411</v>
      </c>
      <c r="B3329" t="s">
        <v>16</v>
      </c>
      <c r="C3329" t="s">
        <v>17</v>
      </c>
      <c r="D3329">
        <v>64110000</v>
      </c>
      <c r="E3329">
        <v>64119999</v>
      </c>
      <c r="F3329" t="s">
        <v>2999</v>
      </c>
      <c r="G3329" t="str">
        <f t="shared" si="102"/>
        <v>PII II</v>
      </c>
      <c r="H3329" t="s">
        <v>2995</v>
      </c>
      <c r="I3329" t="s">
        <v>20</v>
      </c>
      <c r="J3329" t="s">
        <v>64</v>
      </c>
      <c r="K3329" s="6">
        <v>0.03</v>
      </c>
      <c r="L3329" s="7">
        <f t="shared" si="103"/>
        <v>2E-3</v>
      </c>
      <c r="M3329" s="7">
        <v>3.0000000000000001E-3</v>
      </c>
      <c r="N3329">
        <v>13</v>
      </c>
      <c r="O3329" s="8">
        <v>22.680099489425388</v>
      </c>
      <c r="P3329" s="9">
        <v>22.680099489425388</v>
      </c>
      <c r="Q3329" s="9">
        <v>22.680099489425388</v>
      </c>
      <c r="R3329" s="9">
        <v>24.975706415973956</v>
      </c>
      <c r="S3329" s="9">
        <v>27.507757599557678</v>
      </c>
      <c r="T3329" s="9">
        <v>29.643595035649298</v>
      </c>
      <c r="U3329" s="9">
        <v>36.324172615829276</v>
      </c>
      <c r="V3329" s="9">
        <v>36.324172615829276</v>
      </c>
      <c r="W3329" s="9">
        <v>36.324172615829276</v>
      </c>
      <c r="X3329" s="9">
        <v>43.832136422596946</v>
      </c>
      <c r="Y3329" s="9">
        <v>43.832136422596946</v>
      </c>
      <c r="Z3329" s="9">
        <v>51.429400054836968</v>
      </c>
      <c r="AA3329" s="9">
        <v>51.429400054836968</v>
      </c>
      <c r="AB3329" s="9">
        <v>59.124893495096586</v>
      </c>
      <c r="AC3329" s="9">
        <v>59.124893495096586</v>
      </c>
      <c r="AD3329" s="9">
        <v>68.673407568137122</v>
      </c>
      <c r="AE3329" s="9">
        <v>75.899806853903883</v>
      </c>
      <c r="AF3329" s="9">
        <v>83.243930726651769</v>
      </c>
      <c r="AG3329" s="9">
        <v>83.243930726651769</v>
      </c>
      <c r="AH3329" s="9">
        <v>91.483430312965311</v>
      </c>
      <c r="AI3329" s="9">
        <v>99.63294480172658</v>
      </c>
      <c r="AJ3329" s="9">
        <v>3.0428788910505911</v>
      </c>
    </row>
    <row r="3330" spans="1:36" x14ac:dyDescent="0.25">
      <c r="A3330" t="s">
        <v>5411</v>
      </c>
      <c r="B3330" t="s">
        <v>16</v>
      </c>
      <c r="C3330" t="s">
        <v>17</v>
      </c>
      <c r="D3330">
        <v>64120000</v>
      </c>
      <c r="E3330">
        <v>64129999</v>
      </c>
      <c r="F3330" t="s">
        <v>3000</v>
      </c>
      <c r="G3330" t="str">
        <f t="shared" si="102"/>
        <v>PII II</v>
      </c>
      <c r="H3330" t="s">
        <v>2995</v>
      </c>
      <c r="I3330" t="s">
        <v>20</v>
      </c>
      <c r="J3330" t="s">
        <v>64</v>
      </c>
      <c r="K3330" s="6">
        <v>0.03</v>
      </c>
      <c r="L3330" s="7">
        <f t="shared" si="103"/>
        <v>2E-3</v>
      </c>
      <c r="M3330" s="7">
        <v>3.0000000000000001E-3</v>
      </c>
      <c r="N3330">
        <v>13</v>
      </c>
      <c r="O3330" s="8">
        <v>22.680099489425388</v>
      </c>
      <c r="P3330" s="9">
        <v>22.680099489425388</v>
      </c>
      <c r="Q3330" s="9">
        <v>22.680099489425388</v>
      </c>
      <c r="R3330" s="9">
        <v>24.975706415973956</v>
      </c>
      <c r="S3330" s="9">
        <v>27.507757599557678</v>
      </c>
      <c r="T3330" s="9">
        <v>29.643595035649298</v>
      </c>
      <c r="U3330" s="9">
        <v>36.324172615829276</v>
      </c>
      <c r="V3330" s="9">
        <v>36.324172615829276</v>
      </c>
      <c r="W3330" s="9">
        <v>36.324172615829276</v>
      </c>
      <c r="X3330" s="9">
        <v>43.832136422596946</v>
      </c>
      <c r="Y3330" s="9">
        <v>43.832136422596946</v>
      </c>
      <c r="Z3330" s="9">
        <v>51.429400054836968</v>
      </c>
      <c r="AA3330" s="9">
        <v>51.429400054836968</v>
      </c>
      <c r="AB3330" s="9">
        <v>59.124893495096586</v>
      </c>
      <c r="AC3330" s="9">
        <v>59.124893495096586</v>
      </c>
      <c r="AD3330" s="9">
        <v>68.673407568137122</v>
      </c>
      <c r="AE3330" s="9">
        <v>75.899806853903883</v>
      </c>
      <c r="AF3330" s="9">
        <v>83.243930726651769</v>
      </c>
      <c r="AG3330" s="9">
        <v>83.243930726651769</v>
      </c>
      <c r="AH3330" s="9">
        <v>91.483430312965311</v>
      </c>
      <c r="AI3330" s="9">
        <v>99.63294480172658</v>
      </c>
      <c r="AJ3330" s="9">
        <v>3.0428788910505911</v>
      </c>
    </row>
    <row r="3331" spans="1:36" x14ac:dyDescent="0.25">
      <c r="A3331" t="s">
        <v>5411</v>
      </c>
      <c r="B3331" t="s">
        <v>16</v>
      </c>
      <c r="C3331" t="s">
        <v>17</v>
      </c>
      <c r="D3331">
        <v>64130000</v>
      </c>
      <c r="E3331">
        <v>64137999</v>
      </c>
      <c r="F3331" t="s">
        <v>3001</v>
      </c>
      <c r="G3331" t="str">
        <f t="shared" si="102"/>
        <v>PII II</v>
      </c>
      <c r="H3331" t="s">
        <v>2995</v>
      </c>
      <c r="I3331" t="s">
        <v>20</v>
      </c>
      <c r="J3331" t="s">
        <v>64</v>
      </c>
      <c r="K3331" s="6">
        <v>0.03</v>
      </c>
      <c r="L3331" s="7">
        <f t="shared" si="103"/>
        <v>2E-3</v>
      </c>
      <c r="M3331" s="7">
        <v>3.0000000000000001E-3</v>
      </c>
      <c r="N3331">
        <v>15</v>
      </c>
      <c r="O3331" s="8">
        <v>22.680099489425388</v>
      </c>
      <c r="P3331" s="9">
        <v>22.680099489425388</v>
      </c>
      <c r="Q3331" s="9">
        <v>22.680099489425388</v>
      </c>
      <c r="R3331" s="9">
        <v>24.975706415973956</v>
      </c>
      <c r="S3331" s="9">
        <v>27.507757599557678</v>
      </c>
      <c r="T3331" s="9">
        <v>29.643595035649298</v>
      </c>
      <c r="U3331" s="9">
        <v>36.324172615829276</v>
      </c>
      <c r="V3331" s="9">
        <v>36.324172615829276</v>
      </c>
      <c r="W3331" s="9">
        <v>36.324172615829276</v>
      </c>
      <c r="X3331" s="9">
        <v>43.832136422596946</v>
      </c>
      <c r="Y3331" s="9">
        <v>43.832136422596946</v>
      </c>
      <c r="Z3331" s="9">
        <v>51.429400054836968</v>
      </c>
      <c r="AA3331" s="9">
        <v>51.429400054836968</v>
      </c>
      <c r="AB3331" s="9">
        <v>59.124893495096586</v>
      </c>
      <c r="AC3331" s="9">
        <v>59.124893495096586</v>
      </c>
      <c r="AD3331" s="9">
        <v>68.673407568137122</v>
      </c>
      <c r="AE3331" s="9">
        <v>75.899806853903883</v>
      </c>
      <c r="AF3331" s="9">
        <v>83.243930726651769</v>
      </c>
      <c r="AG3331" s="9">
        <v>83.243930726651769</v>
      </c>
      <c r="AH3331" s="9">
        <v>91.483430312965311</v>
      </c>
      <c r="AI3331" s="9">
        <v>99.63294480172658</v>
      </c>
      <c r="AJ3331" s="9">
        <v>3.0428788910505911</v>
      </c>
    </row>
    <row r="3332" spans="1:36" x14ac:dyDescent="0.25">
      <c r="A3332" t="s">
        <v>5411</v>
      </c>
      <c r="B3332" t="s">
        <v>16</v>
      </c>
      <c r="C3332" t="s">
        <v>17</v>
      </c>
      <c r="D3332">
        <v>64138000</v>
      </c>
      <c r="E3332">
        <v>64139999</v>
      </c>
      <c r="F3332" t="s">
        <v>3002</v>
      </c>
      <c r="G3332" t="str">
        <f t="shared" ref="G3332:G3395" si="104">H3332&amp;IF(J3332="CAPITAL","C",IF(J3332="INTERIOR","I",IF(J3332="INTERIOR II","I II","R")))</f>
        <v>PII II</v>
      </c>
      <c r="H3332" t="s">
        <v>2995</v>
      </c>
      <c r="I3332" t="s">
        <v>20</v>
      </c>
      <c r="J3332" t="s">
        <v>64</v>
      </c>
      <c r="K3332" s="6">
        <v>0.03</v>
      </c>
      <c r="L3332" s="7">
        <f t="shared" ref="L3332:L3395" si="105">IF(I3332="(0) Não",0.2%,3%)</f>
        <v>2E-3</v>
      </c>
      <c r="M3332" s="7">
        <v>3.0000000000000001E-3</v>
      </c>
      <c r="N3332">
        <v>15</v>
      </c>
      <c r="O3332" s="8">
        <v>22.680099489425388</v>
      </c>
      <c r="P3332" s="9">
        <v>22.680099489425388</v>
      </c>
      <c r="Q3332" s="9">
        <v>22.680099489425388</v>
      </c>
      <c r="R3332" s="9">
        <v>24.975706415973956</v>
      </c>
      <c r="S3332" s="9">
        <v>27.507757599557678</v>
      </c>
      <c r="T3332" s="9">
        <v>29.643595035649298</v>
      </c>
      <c r="U3332" s="9">
        <v>36.324172615829276</v>
      </c>
      <c r="V3332" s="9">
        <v>36.324172615829276</v>
      </c>
      <c r="W3332" s="9">
        <v>36.324172615829276</v>
      </c>
      <c r="X3332" s="9">
        <v>43.832136422596946</v>
      </c>
      <c r="Y3332" s="9">
        <v>43.832136422596946</v>
      </c>
      <c r="Z3332" s="9">
        <v>51.429400054836968</v>
      </c>
      <c r="AA3332" s="9">
        <v>51.429400054836968</v>
      </c>
      <c r="AB3332" s="9">
        <v>59.124893495096586</v>
      </c>
      <c r="AC3332" s="9">
        <v>59.124893495096586</v>
      </c>
      <c r="AD3332" s="9">
        <v>68.673407568137122</v>
      </c>
      <c r="AE3332" s="9">
        <v>75.899806853903883</v>
      </c>
      <c r="AF3332" s="9">
        <v>83.243930726651769</v>
      </c>
      <c r="AG3332" s="9">
        <v>83.243930726651769</v>
      </c>
      <c r="AH3332" s="9">
        <v>91.483430312965311</v>
      </c>
      <c r="AI3332" s="9">
        <v>99.63294480172658</v>
      </c>
      <c r="AJ3332" s="9">
        <v>3.0428788910505911</v>
      </c>
    </row>
    <row r="3333" spans="1:36" x14ac:dyDescent="0.25">
      <c r="A3333" t="s">
        <v>5411</v>
      </c>
      <c r="B3333" t="s">
        <v>16</v>
      </c>
      <c r="C3333" t="s">
        <v>17</v>
      </c>
      <c r="D3333">
        <v>64140000</v>
      </c>
      <c r="E3333">
        <v>64144999</v>
      </c>
      <c r="F3333" t="s">
        <v>3003</v>
      </c>
      <c r="G3333" t="str">
        <f t="shared" si="104"/>
        <v>PII II</v>
      </c>
      <c r="H3333" t="s">
        <v>2995</v>
      </c>
      <c r="I3333" t="s">
        <v>20</v>
      </c>
      <c r="J3333" t="s">
        <v>64</v>
      </c>
      <c r="K3333" s="6">
        <v>0.03</v>
      </c>
      <c r="L3333" s="7">
        <f t="shared" si="105"/>
        <v>2E-3</v>
      </c>
      <c r="M3333" s="7">
        <v>3.0000000000000001E-3</v>
      </c>
      <c r="N3333">
        <v>15</v>
      </c>
      <c r="O3333" s="8">
        <v>22.680099489425388</v>
      </c>
      <c r="P3333" s="9">
        <v>22.680099489425388</v>
      </c>
      <c r="Q3333" s="9">
        <v>22.680099489425388</v>
      </c>
      <c r="R3333" s="9">
        <v>24.975706415973956</v>
      </c>
      <c r="S3333" s="9">
        <v>27.507757599557678</v>
      </c>
      <c r="T3333" s="9">
        <v>29.643595035649298</v>
      </c>
      <c r="U3333" s="9">
        <v>36.324172615829276</v>
      </c>
      <c r="V3333" s="9">
        <v>36.324172615829276</v>
      </c>
      <c r="W3333" s="9">
        <v>36.324172615829276</v>
      </c>
      <c r="X3333" s="9">
        <v>43.832136422596946</v>
      </c>
      <c r="Y3333" s="9">
        <v>43.832136422596946</v>
      </c>
      <c r="Z3333" s="9">
        <v>51.429400054836968</v>
      </c>
      <c r="AA3333" s="9">
        <v>51.429400054836968</v>
      </c>
      <c r="AB3333" s="9">
        <v>59.124893495096586</v>
      </c>
      <c r="AC3333" s="9">
        <v>59.124893495096586</v>
      </c>
      <c r="AD3333" s="9">
        <v>68.673407568137122</v>
      </c>
      <c r="AE3333" s="9">
        <v>75.899806853903883</v>
      </c>
      <c r="AF3333" s="9">
        <v>83.243930726651769</v>
      </c>
      <c r="AG3333" s="9">
        <v>83.243930726651769</v>
      </c>
      <c r="AH3333" s="9">
        <v>91.483430312965311</v>
      </c>
      <c r="AI3333" s="9">
        <v>99.63294480172658</v>
      </c>
      <c r="AJ3333" s="9">
        <v>3.0428788910505911</v>
      </c>
    </row>
    <row r="3334" spans="1:36" x14ac:dyDescent="0.25">
      <c r="A3334" t="s">
        <v>5411</v>
      </c>
      <c r="B3334" t="s">
        <v>16</v>
      </c>
      <c r="C3334" t="s">
        <v>17</v>
      </c>
      <c r="D3334">
        <v>64145000</v>
      </c>
      <c r="E3334">
        <v>64147999</v>
      </c>
      <c r="F3334" t="s">
        <v>3004</v>
      </c>
      <c r="G3334" t="str">
        <f t="shared" si="104"/>
        <v>PII II</v>
      </c>
      <c r="H3334" t="s">
        <v>2995</v>
      </c>
      <c r="I3334" t="s">
        <v>20</v>
      </c>
      <c r="J3334" t="s">
        <v>64</v>
      </c>
      <c r="K3334" s="6">
        <v>0.03</v>
      </c>
      <c r="L3334" s="7">
        <f t="shared" si="105"/>
        <v>2E-3</v>
      </c>
      <c r="M3334" s="7">
        <v>3.0000000000000001E-3</v>
      </c>
      <c r="N3334">
        <v>15</v>
      </c>
      <c r="O3334" s="8">
        <v>22.680099489425388</v>
      </c>
      <c r="P3334" s="9">
        <v>22.680099489425388</v>
      </c>
      <c r="Q3334" s="9">
        <v>22.680099489425388</v>
      </c>
      <c r="R3334" s="9">
        <v>24.975706415973956</v>
      </c>
      <c r="S3334" s="9">
        <v>27.507757599557678</v>
      </c>
      <c r="T3334" s="9">
        <v>29.643595035649298</v>
      </c>
      <c r="U3334" s="9">
        <v>36.324172615829276</v>
      </c>
      <c r="V3334" s="9">
        <v>36.324172615829276</v>
      </c>
      <c r="W3334" s="9">
        <v>36.324172615829276</v>
      </c>
      <c r="X3334" s="9">
        <v>43.832136422596946</v>
      </c>
      <c r="Y3334" s="9">
        <v>43.832136422596946</v>
      </c>
      <c r="Z3334" s="9">
        <v>51.429400054836968</v>
      </c>
      <c r="AA3334" s="9">
        <v>51.429400054836968</v>
      </c>
      <c r="AB3334" s="9">
        <v>59.124893495096586</v>
      </c>
      <c r="AC3334" s="9">
        <v>59.124893495096586</v>
      </c>
      <c r="AD3334" s="9">
        <v>68.673407568137122</v>
      </c>
      <c r="AE3334" s="9">
        <v>75.899806853903883</v>
      </c>
      <c r="AF3334" s="9">
        <v>83.243930726651769</v>
      </c>
      <c r="AG3334" s="9">
        <v>83.243930726651769</v>
      </c>
      <c r="AH3334" s="9">
        <v>91.483430312965311</v>
      </c>
      <c r="AI3334" s="9">
        <v>99.63294480172658</v>
      </c>
      <c r="AJ3334" s="9">
        <v>3.0428788910505911</v>
      </c>
    </row>
    <row r="3335" spans="1:36" x14ac:dyDescent="0.25">
      <c r="A3335" t="s">
        <v>5411</v>
      </c>
      <c r="B3335" t="s">
        <v>16</v>
      </c>
      <c r="C3335" t="s">
        <v>17</v>
      </c>
      <c r="D3335">
        <v>64148000</v>
      </c>
      <c r="E3335">
        <v>64149999</v>
      </c>
      <c r="F3335" t="s">
        <v>3005</v>
      </c>
      <c r="G3335" t="str">
        <f t="shared" si="104"/>
        <v>PII II</v>
      </c>
      <c r="H3335" t="s">
        <v>2995</v>
      </c>
      <c r="I3335" t="s">
        <v>20</v>
      </c>
      <c r="J3335" t="s">
        <v>64</v>
      </c>
      <c r="K3335" s="6">
        <v>0.03</v>
      </c>
      <c r="L3335" s="7">
        <f t="shared" si="105"/>
        <v>2E-3</v>
      </c>
      <c r="M3335" s="7">
        <v>3.0000000000000001E-3</v>
      </c>
      <c r="N3335">
        <v>15</v>
      </c>
      <c r="O3335" s="8">
        <v>22.680099489425388</v>
      </c>
      <c r="P3335" s="9">
        <v>22.680099489425388</v>
      </c>
      <c r="Q3335" s="9">
        <v>22.680099489425388</v>
      </c>
      <c r="R3335" s="9">
        <v>24.975706415973956</v>
      </c>
      <c r="S3335" s="9">
        <v>27.507757599557678</v>
      </c>
      <c r="T3335" s="9">
        <v>29.643595035649298</v>
      </c>
      <c r="U3335" s="9">
        <v>36.324172615829276</v>
      </c>
      <c r="V3335" s="9">
        <v>36.324172615829276</v>
      </c>
      <c r="W3335" s="9">
        <v>36.324172615829276</v>
      </c>
      <c r="X3335" s="9">
        <v>43.832136422596946</v>
      </c>
      <c r="Y3335" s="9">
        <v>43.832136422596946</v>
      </c>
      <c r="Z3335" s="9">
        <v>51.429400054836968</v>
      </c>
      <c r="AA3335" s="9">
        <v>51.429400054836968</v>
      </c>
      <c r="AB3335" s="9">
        <v>59.124893495096586</v>
      </c>
      <c r="AC3335" s="9">
        <v>59.124893495096586</v>
      </c>
      <c r="AD3335" s="9">
        <v>68.673407568137122</v>
      </c>
      <c r="AE3335" s="9">
        <v>75.899806853903883</v>
      </c>
      <c r="AF3335" s="9">
        <v>83.243930726651769</v>
      </c>
      <c r="AG3335" s="9">
        <v>83.243930726651769</v>
      </c>
      <c r="AH3335" s="9">
        <v>91.483430312965311</v>
      </c>
      <c r="AI3335" s="9">
        <v>99.63294480172658</v>
      </c>
      <c r="AJ3335" s="9">
        <v>3.0428788910505911</v>
      </c>
    </row>
    <row r="3336" spans="1:36" x14ac:dyDescent="0.25">
      <c r="A3336" t="s">
        <v>5411</v>
      </c>
      <c r="B3336" t="s">
        <v>16</v>
      </c>
      <c r="C3336" t="s">
        <v>17</v>
      </c>
      <c r="D3336">
        <v>64150000</v>
      </c>
      <c r="E3336">
        <v>64154999</v>
      </c>
      <c r="F3336" t="s">
        <v>3006</v>
      </c>
      <c r="G3336" t="str">
        <f t="shared" si="104"/>
        <v>PII II</v>
      </c>
      <c r="H3336" t="s">
        <v>2995</v>
      </c>
      <c r="I3336" t="s">
        <v>20</v>
      </c>
      <c r="J3336" t="s">
        <v>64</v>
      </c>
      <c r="K3336" s="6">
        <v>0.03</v>
      </c>
      <c r="L3336" s="7">
        <f t="shared" si="105"/>
        <v>2E-3</v>
      </c>
      <c r="M3336" s="7">
        <v>3.0000000000000001E-3</v>
      </c>
      <c r="N3336">
        <v>15</v>
      </c>
      <c r="O3336" s="8">
        <v>22.680099489425388</v>
      </c>
      <c r="P3336" s="9">
        <v>22.680099489425388</v>
      </c>
      <c r="Q3336" s="9">
        <v>22.680099489425388</v>
      </c>
      <c r="R3336" s="9">
        <v>24.975706415973956</v>
      </c>
      <c r="S3336" s="9">
        <v>27.507757599557678</v>
      </c>
      <c r="T3336" s="9">
        <v>29.643595035649298</v>
      </c>
      <c r="U3336" s="9">
        <v>36.324172615829276</v>
      </c>
      <c r="V3336" s="9">
        <v>36.324172615829276</v>
      </c>
      <c r="W3336" s="9">
        <v>36.324172615829276</v>
      </c>
      <c r="X3336" s="9">
        <v>43.832136422596946</v>
      </c>
      <c r="Y3336" s="9">
        <v>43.832136422596946</v>
      </c>
      <c r="Z3336" s="9">
        <v>51.429400054836968</v>
      </c>
      <c r="AA3336" s="9">
        <v>51.429400054836968</v>
      </c>
      <c r="AB3336" s="9">
        <v>59.124893495096586</v>
      </c>
      <c r="AC3336" s="9">
        <v>59.124893495096586</v>
      </c>
      <c r="AD3336" s="9">
        <v>68.673407568137122</v>
      </c>
      <c r="AE3336" s="9">
        <v>75.899806853903883</v>
      </c>
      <c r="AF3336" s="9">
        <v>83.243930726651769</v>
      </c>
      <c r="AG3336" s="9">
        <v>83.243930726651769</v>
      </c>
      <c r="AH3336" s="9">
        <v>91.483430312965311</v>
      </c>
      <c r="AI3336" s="9">
        <v>99.63294480172658</v>
      </c>
      <c r="AJ3336" s="9">
        <v>3.0428788910505911</v>
      </c>
    </row>
    <row r="3337" spans="1:36" x14ac:dyDescent="0.25">
      <c r="A3337" t="s">
        <v>5411</v>
      </c>
      <c r="B3337" t="s">
        <v>16</v>
      </c>
      <c r="C3337" t="s">
        <v>17</v>
      </c>
      <c r="D3337">
        <v>64155000</v>
      </c>
      <c r="E3337">
        <v>64159999</v>
      </c>
      <c r="F3337" t="s">
        <v>3007</v>
      </c>
      <c r="G3337" t="str">
        <f t="shared" si="104"/>
        <v>PII II</v>
      </c>
      <c r="H3337" t="s">
        <v>2995</v>
      </c>
      <c r="I3337" t="s">
        <v>20</v>
      </c>
      <c r="J3337" t="s">
        <v>64</v>
      </c>
      <c r="K3337" s="6">
        <v>0.03</v>
      </c>
      <c r="L3337" s="7">
        <f t="shared" si="105"/>
        <v>2E-3</v>
      </c>
      <c r="M3337" s="7">
        <v>3.0000000000000001E-3</v>
      </c>
      <c r="N3337">
        <v>15</v>
      </c>
      <c r="O3337" s="8">
        <v>22.680099489425388</v>
      </c>
      <c r="P3337" s="9">
        <v>22.680099489425388</v>
      </c>
      <c r="Q3337" s="9">
        <v>22.680099489425388</v>
      </c>
      <c r="R3337" s="9">
        <v>24.975706415973956</v>
      </c>
      <c r="S3337" s="9">
        <v>27.507757599557678</v>
      </c>
      <c r="T3337" s="9">
        <v>29.643595035649298</v>
      </c>
      <c r="U3337" s="9">
        <v>36.324172615829276</v>
      </c>
      <c r="V3337" s="9">
        <v>36.324172615829276</v>
      </c>
      <c r="W3337" s="9">
        <v>36.324172615829276</v>
      </c>
      <c r="X3337" s="9">
        <v>43.832136422596946</v>
      </c>
      <c r="Y3337" s="9">
        <v>43.832136422596946</v>
      </c>
      <c r="Z3337" s="9">
        <v>51.429400054836968</v>
      </c>
      <c r="AA3337" s="9">
        <v>51.429400054836968</v>
      </c>
      <c r="AB3337" s="9">
        <v>59.124893495096586</v>
      </c>
      <c r="AC3337" s="9">
        <v>59.124893495096586</v>
      </c>
      <c r="AD3337" s="9">
        <v>68.673407568137122</v>
      </c>
      <c r="AE3337" s="9">
        <v>75.899806853903883</v>
      </c>
      <c r="AF3337" s="9">
        <v>83.243930726651769</v>
      </c>
      <c r="AG3337" s="9">
        <v>83.243930726651769</v>
      </c>
      <c r="AH3337" s="9">
        <v>91.483430312965311</v>
      </c>
      <c r="AI3337" s="9">
        <v>99.63294480172658</v>
      </c>
      <c r="AJ3337" s="9">
        <v>3.0428788910505911</v>
      </c>
    </row>
    <row r="3338" spans="1:36" x14ac:dyDescent="0.25">
      <c r="A3338" t="s">
        <v>5411</v>
      </c>
      <c r="B3338" t="s">
        <v>16</v>
      </c>
      <c r="C3338" t="s">
        <v>17</v>
      </c>
      <c r="D3338">
        <v>64160000</v>
      </c>
      <c r="E3338">
        <v>64164999</v>
      </c>
      <c r="F3338" t="s">
        <v>3008</v>
      </c>
      <c r="G3338" t="str">
        <f t="shared" si="104"/>
        <v>PII II</v>
      </c>
      <c r="H3338" t="s">
        <v>2995</v>
      </c>
      <c r="I3338" t="s">
        <v>20</v>
      </c>
      <c r="J3338" t="s">
        <v>64</v>
      </c>
      <c r="K3338" s="6">
        <v>0.03</v>
      </c>
      <c r="L3338" s="7">
        <f t="shared" si="105"/>
        <v>2E-3</v>
      </c>
      <c r="M3338" s="7">
        <v>3.0000000000000001E-3</v>
      </c>
      <c r="N3338">
        <v>15</v>
      </c>
      <c r="O3338" s="8">
        <v>22.680099489425388</v>
      </c>
      <c r="P3338" s="9">
        <v>22.680099489425388</v>
      </c>
      <c r="Q3338" s="9">
        <v>22.680099489425388</v>
      </c>
      <c r="R3338" s="9">
        <v>24.975706415973956</v>
      </c>
      <c r="S3338" s="9">
        <v>27.507757599557678</v>
      </c>
      <c r="T3338" s="9">
        <v>29.643595035649298</v>
      </c>
      <c r="U3338" s="9">
        <v>36.324172615829276</v>
      </c>
      <c r="V3338" s="9">
        <v>36.324172615829276</v>
      </c>
      <c r="W3338" s="9">
        <v>36.324172615829276</v>
      </c>
      <c r="X3338" s="9">
        <v>43.832136422596946</v>
      </c>
      <c r="Y3338" s="9">
        <v>43.832136422596946</v>
      </c>
      <c r="Z3338" s="9">
        <v>51.429400054836968</v>
      </c>
      <c r="AA3338" s="9">
        <v>51.429400054836968</v>
      </c>
      <c r="AB3338" s="9">
        <v>59.124893495096586</v>
      </c>
      <c r="AC3338" s="9">
        <v>59.124893495096586</v>
      </c>
      <c r="AD3338" s="9">
        <v>68.673407568137122</v>
      </c>
      <c r="AE3338" s="9">
        <v>75.899806853903883</v>
      </c>
      <c r="AF3338" s="9">
        <v>83.243930726651769</v>
      </c>
      <c r="AG3338" s="9">
        <v>83.243930726651769</v>
      </c>
      <c r="AH3338" s="9">
        <v>91.483430312965311</v>
      </c>
      <c r="AI3338" s="9">
        <v>99.63294480172658</v>
      </c>
      <c r="AJ3338" s="9">
        <v>3.0428788910505911</v>
      </c>
    </row>
    <row r="3339" spans="1:36" x14ac:dyDescent="0.25">
      <c r="A3339" t="s">
        <v>5411</v>
      </c>
      <c r="B3339" t="s">
        <v>16</v>
      </c>
      <c r="C3339" t="s">
        <v>17</v>
      </c>
      <c r="D3339">
        <v>64165000</v>
      </c>
      <c r="E3339">
        <v>64167999</v>
      </c>
      <c r="F3339" t="s">
        <v>3009</v>
      </c>
      <c r="G3339" t="str">
        <f t="shared" si="104"/>
        <v>PII II</v>
      </c>
      <c r="H3339" t="s">
        <v>2995</v>
      </c>
      <c r="I3339" t="s">
        <v>20</v>
      </c>
      <c r="J3339" t="s">
        <v>64</v>
      </c>
      <c r="K3339" s="6">
        <v>0.03</v>
      </c>
      <c r="L3339" s="7">
        <f t="shared" si="105"/>
        <v>2E-3</v>
      </c>
      <c r="M3339" s="7">
        <v>3.0000000000000001E-3</v>
      </c>
      <c r="N3339">
        <v>15</v>
      </c>
      <c r="O3339" s="8">
        <v>22.680099489425388</v>
      </c>
      <c r="P3339" s="9">
        <v>22.680099489425388</v>
      </c>
      <c r="Q3339" s="9">
        <v>22.680099489425388</v>
      </c>
      <c r="R3339" s="9">
        <v>24.975706415973956</v>
      </c>
      <c r="S3339" s="9">
        <v>27.507757599557678</v>
      </c>
      <c r="T3339" s="9">
        <v>29.643595035649298</v>
      </c>
      <c r="U3339" s="9">
        <v>36.324172615829276</v>
      </c>
      <c r="V3339" s="9">
        <v>36.324172615829276</v>
      </c>
      <c r="W3339" s="9">
        <v>36.324172615829276</v>
      </c>
      <c r="X3339" s="9">
        <v>43.832136422596946</v>
      </c>
      <c r="Y3339" s="9">
        <v>43.832136422596946</v>
      </c>
      <c r="Z3339" s="9">
        <v>51.429400054836968</v>
      </c>
      <c r="AA3339" s="9">
        <v>51.429400054836968</v>
      </c>
      <c r="AB3339" s="9">
        <v>59.124893495096586</v>
      </c>
      <c r="AC3339" s="9">
        <v>59.124893495096586</v>
      </c>
      <c r="AD3339" s="9">
        <v>68.673407568137122</v>
      </c>
      <c r="AE3339" s="9">
        <v>75.899806853903883</v>
      </c>
      <c r="AF3339" s="9">
        <v>83.243930726651769</v>
      </c>
      <c r="AG3339" s="9">
        <v>83.243930726651769</v>
      </c>
      <c r="AH3339" s="9">
        <v>91.483430312965311</v>
      </c>
      <c r="AI3339" s="9">
        <v>99.63294480172658</v>
      </c>
      <c r="AJ3339" s="9">
        <v>3.0428788910505911</v>
      </c>
    </row>
    <row r="3340" spans="1:36" x14ac:dyDescent="0.25">
      <c r="A3340" t="s">
        <v>5411</v>
      </c>
      <c r="B3340" t="s">
        <v>16</v>
      </c>
      <c r="C3340" t="s">
        <v>17</v>
      </c>
      <c r="D3340">
        <v>64168000</v>
      </c>
      <c r="E3340">
        <v>64169999</v>
      </c>
      <c r="F3340" t="s">
        <v>3010</v>
      </c>
      <c r="G3340" t="str">
        <f t="shared" si="104"/>
        <v>PII II</v>
      </c>
      <c r="H3340" t="s">
        <v>2995</v>
      </c>
      <c r="I3340" t="s">
        <v>20</v>
      </c>
      <c r="J3340" t="s">
        <v>64</v>
      </c>
      <c r="K3340" s="6">
        <v>0.03</v>
      </c>
      <c r="L3340" s="7">
        <f t="shared" si="105"/>
        <v>2E-3</v>
      </c>
      <c r="M3340" s="7">
        <v>3.0000000000000001E-3</v>
      </c>
      <c r="N3340">
        <v>15</v>
      </c>
      <c r="O3340" s="8">
        <v>22.680099489425388</v>
      </c>
      <c r="P3340" s="9">
        <v>22.680099489425388</v>
      </c>
      <c r="Q3340" s="9">
        <v>22.680099489425388</v>
      </c>
      <c r="R3340" s="9">
        <v>24.975706415973956</v>
      </c>
      <c r="S3340" s="9">
        <v>27.507757599557678</v>
      </c>
      <c r="T3340" s="9">
        <v>29.643595035649298</v>
      </c>
      <c r="U3340" s="9">
        <v>36.324172615829276</v>
      </c>
      <c r="V3340" s="9">
        <v>36.324172615829276</v>
      </c>
      <c r="W3340" s="9">
        <v>36.324172615829276</v>
      </c>
      <c r="X3340" s="9">
        <v>43.832136422596946</v>
      </c>
      <c r="Y3340" s="9">
        <v>43.832136422596946</v>
      </c>
      <c r="Z3340" s="9">
        <v>51.429400054836968</v>
      </c>
      <c r="AA3340" s="9">
        <v>51.429400054836968</v>
      </c>
      <c r="AB3340" s="9">
        <v>59.124893495096586</v>
      </c>
      <c r="AC3340" s="9">
        <v>59.124893495096586</v>
      </c>
      <c r="AD3340" s="9">
        <v>68.673407568137122</v>
      </c>
      <c r="AE3340" s="9">
        <v>75.899806853903883</v>
      </c>
      <c r="AF3340" s="9">
        <v>83.243930726651769</v>
      </c>
      <c r="AG3340" s="9">
        <v>83.243930726651769</v>
      </c>
      <c r="AH3340" s="9">
        <v>91.483430312965311</v>
      </c>
      <c r="AI3340" s="9">
        <v>99.63294480172658</v>
      </c>
      <c r="AJ3340" s="9">
        <v>3.0428788910505911</v>
      </c>
    </row>
    <row r="3341" spans="1:36" x14ac:dyDescent="0.25">
      <c r="A3341" t="s">
        <v>5411</v>
      </c>
      <c r="B3341" t="s">
        <v>16</v>
      </c>
      <c r="C3341" t="s">
        <v>17</v>
      </c>
      <c r="D3341">
        <v>64170000</v>
      </c>
      <c r="E3341">
        <v>64174999</v>
      </c>
      <c r="F3341" t="s">
        <v>3011</v>
      </c>
      <c r="G3341" t="str">
        <f t="shared" si="104"/>
        <v>PII II</v>
      </c>
      <c r="H3341" t="s">
        <v>2995</v>
      </c>
      <c r="I3341" t="s">
        <v>20</v>
      </c>
      <c r="J3341" t="s">
        <v>64</v>
      </c>
      <c r="K3341" s="6">
        <v>0.03</v>
      </c>
      <c r="L3341" s="7">
        <f t="shared" si="105"/>
        <v>2E-3</v>
      </c>
      <c r="M3341" s="7">
        <v>3.0000000000000001E-3</v>
      </c>
      <c r="N3341">
        <v>15</v>
      </c>
      <c r="O3341" s="8">
        <v>22.680099489425388</v>
      </c>
      <c r="P3341" s="9">
        <v>22.680099489425388</v>
      </c>
      <c r="Q3341" s="9">
        <v>22.680099489425388</v>
      </c>
      <c r="R3341" s="9">
        <v>24.975706415973956</v>
      </c>
      <c r="S3341" s="9">
        <v>27.507757599557678</v>
      </c>
      <c r="T3341" s="9">
        <v>29.643595035649298</v>
      </c>
      <c r="U3341" s="9">
        <v>36.324172615829276</v>
      </c>
      <c r="V3341" s="9">
        <v>36.324172615829276</v>
      </c>
      <c r="W3341" s="9">
        <v>36.324172615829276</v>
      </c>
      <c r="X3341" s="9">
        <v>43.832136422596946</v>
      </c>
      <c r="Y3341" s="9">
        <v>43.832136422596946</v>
      </c>
      <c r="Z3341" s="9">
        <v>51.429400054836968</v>
      </c>
      <c r="AA3341" s="9">
        <v>51.429400054836968</v>
      </c>
      <c r="AB3341" s="9">
        <v>59.124893495096586</v>
      </c>
      <c r="AC3341" s="9">
        <v>59.124893495096586</v>
      </c>
      <c r="AD3341" s="9">
        <v>68.673407568137122</v>
      </c>
      <c r="AE3341" s="9">
        <v>75.899806853903883</v>
      </c>
      <c r="AF3341" s="9">
        <v>83.243930726651769</v>
      </c>
      <c r="AG3341" s="9">
        <v>83.243930726651769</v>
      </c>
      <c r="AH3341" s="9">
        <v>91.483430312965311</v>
      </c>
      <c r="AI3341" s="9">
        <v>99.63294480172658</v>
      </c>
      <c r="AJ3341" s="9">
        <v>3.0428788910505911</v>
      </c>
    </row>
    <row r="3342" spans="1:36" x14ac:dyDescent="0.25">
      <c r="A3342" t="s">
        <v>5411</v>
      </c>
      <c r="B3342" t="s">
        <v>16</v>
      </c>
      <c r="C3342" t="s">
        <v>17</v>
      </c>
      <c r="D3342">
        <v>64175000</v>
      </c>
      <c r="E3342">
        <v>64177999</v>
      </c>
      <c r="F3342" t="s">
        <v>3012</v>
      </c>
      <c r="G3342" t="str">
        <f t="shared" si="104"/>
        <v>PII II</v>
      </c>
      <c r="H3342" t="s">
        <v>2995</v>
      </c>
      <c r="I3342" t="s">
        <v>20</v>
      </c>
      <c r="J3342" t="s">
        <v>64</v>
      </c>
      <c r="K3342" s="6">
        <v>0.03</v>
      </c>
      <c r="L3342" s="7">
        <f t="shared" si="105"/>
        <v>2E-3</v>
      </c>
      <c r="M3342" s="7">
        <v>3.0000000000000001E-3</v>
      </c>
      <c r="N3342">
        <v>15</v>
      </c>
      <c r="O3342" s="8">
        <v>22.680099489425388</v>
      </c>
      <c r="P3342" s="9">
        <v>22.680099489425388</v>
      </c>
      <c r="Q3342" s="9">
        <v>22.680099489425388</v>
      </c>
      <c r="R3342" s="9">
        <v>24.975706415973956</v>
      </c>
      <c r="S3342" s="9">
        <v>27.507757599557678</v>
      </c>
      <c r="T3342" s="9">
        <v>29.643595035649298</v>
      </c>
      <c r="U3342" s="9">
        <v>36.324172615829276</v>
      </c>
      <c r="V3342" s="9">
        <v>36.324172615829276</v>
      </c>
      <c r="W3342" s="9">
        <v>36.324172615829276</v>
      </c>
      <c r="X3342" s="9">
        <v>43.832136422596946</v>
      </c>
      <c r="Y3342" s="9">
        <v>43.832136422596946</v>
      </c>
      <c r="Z3342" s="9">
        <v>51.429400054836968</v>
      </c>
      <c r="AA3342" s="9">
        <v>51.429400054836968</v>
      </c>
      <c r="AB3342" s="9">
        <v>59.124893495096586</v>
      </c>
      <c r="AC3342" s="9">
        <v>59.124893495096586</v>
      </c>
      <c r="AD3342" s="9">
        <v>68.673407568137122</v>
      </c>
      <c r="AE3342" s="9">
        <v>75.899806853903883</v>
      </c>
      <c r="AF3342" s="9">
        <v>83.243930726651769</v>
      </c>
      <c r="AG3342" s="9">
        <v>83.243930726651769</v>
      </c>
      <c r="AH3342" s="9">
        <v>91.483430312965311</v>
      </c>
      <c r="AI3342" s="9">
        <v>99.63294480172658</v>
      </c>
      <c r="AJ3342" s="9">
        <v>3.0428788910505911</v>
      </c>
    </row>
    <row r="3343" spans="1:36" x14ac:dyDescent="0.25">
      <c r="A3343" t="s">
        <v>5411</v>
      </c>
      <c r="B3343" t="s">
        <v>16</v>
      </c>
      <c r="C3343" t="s">
        <v>17</v>
      </c>
      <c r="D3343">
        <v>64178000</v>
      </c>
      <c r="E3343">
        <v>64179999</v>
      </c>
      <c r="F3343" t="s">
        <v>3013</v>
      </c>
      <c r="G3343" t="str">
        <f t="shared" si="104"/>
        <v>PII II</v>
      </c>
      <c r="H3343" t="s">
        <v>2995</v>
      </c>
      <c r="I3343" t="s">
        <v>20</v>
      </c>
      <c r="J3343" t="s">
        <v>64</v>
      </c>
      <c r="K3343" s="6">
        <v>0.03</v>
      </c>
      <c r="L3343" s="7">
        <f t="shared" si="105"/>
        <v>2E-3</v>
      </c>
      <c r="M3343" s="7">
        <v>3.0000000000000001E-3</v>
      </c>
      <c r="N3343">
        <v>15</v>
      </c>
      <c r="O3343" s="8">
        <v>22.680099489425388</v>
      </c>
      <c r="P3343" s="9">
        <v>22.680099489425388</v>
      </c>
      <c r="Q3343" s="9">
        <v>22.680099489425388</v>
      </c>
      <c r="R3343" s="9">
        <v>24.975706415973956</v>
      </c>
      <c r="S3343" s="9">
        <v>27.507757599557678</v>
      </c>
      <c r="T3343" s="9">
        <v>29.643595035649298</v>
      </c>
      <c r="U3343" s="9">
        <v>36.324172615829276</v>
      </c>
      <c r="V3343" s="9">
        <v>36.324172615829276</v>
      </c>
      <c r="W3343" s="9">
        <v>36.324172615829276</v>
      </c>
      <c r="X3343" s="9">
        <v>43.832136422596946</v>
      </c>
      <c r="Y3343" s="9">
        <v>43.832136422596946</v>
      </c>
      <c r="Z3343" s="9">
        <v>51.429400054836968</v>
      </c>
      <c r="AA3343" s="9">
        <v>51.429400054836968</v>
      </c>
      <c r="AB3343" s="9">
        <v>59.124893495096586</v>
      </c>
      <c r="AC3343" s="9">
        <v>59.124893495096586</v>
      </c>
      <c r="AD3343" s="9">
        <v>68.673407568137122</v>
      </c>
      <c r="AE3343" s="9">
        <v>75.899806853903883</v>
      </c>
      <c r="AF3343" s="9">
        <v>83.243930726651769</v>
      </c>
      <c r="AG3343" s="9">
        <v>83.243930726651769</v>
      </c>
      <c r="AH3343" s="9">
        <v>91.483430312965311</v>
      </c>
      <c r="AI3343" s="9">
        <v>99.63294480172658</v>
      </c>
      <c r="AJ3343" s="9">
        <v>3.0428788910505911</v>
      </c>
    </row>
    <row r="3344" spans="1:36" x14ac:dyDescent="0.25">
      <c r="A3344" t="s">
        <v>5411</v>
      </c>
      <c r="B3344" t="s">
        <v>16</v>
      </c>
      <c r="C3344" t="s">
        <v>17</v>
      </c>
      <c r="D3344">
        <v>64180000</v>
      </c>
      <c r="E3344">
        <v>64189999</v>
      </c>
      <c r="F3344" t="s">
        <v>3014</v>
      </c>
      <c r="G3344" t="str">
        <f t="shared" si="104"/>
        <v>PII II</v>
      </c>
      <c r="H3344" t="s">
        <v>2995</v>
      </c>
      <c r="I3344" t="s">
        <v>20</v>
      </c>
      <c r="J3344" t="s">
        <v>64</v>
      </c>
      <c r="K3344" s="6">
        <v>0.03</v>
      </c>
      <c r="L3344" s="7">
        <f t="shared" si="105"/>
        <v>2E-3</v>
      </c>
      <c r="M3344" s="7">
        <v>3.0000000000000001E-3</v>
      </c>
      <c r="N3344">
        <v>15</v>
      </c>
      <c r="O3344" s="8">
        <v>22.680099489425388</v>
      </c>
      <c r="P3344" s="9">
        <v>22.680099489425388</v>
      </c>
      <c r="Q3344" s="9">
        <v>22.680099489425388</v>
      </c>
      <c r="R3344" s="9">
        <v>24.975706415973956</v>
      </c>
      <c r="S3344" s="9">
        <v>27.507757599557678</v>
      </c>
      <c r="T3344" s="9">
        <v>29.643595035649298</v>
      </c>
      <c r="U3344" s="9">
        <v>36.324172615829276</v>
      </c>
      <c r="V3344" s="9">
        <v>36.324172615829276</v>
      </c>
      <c r="W3344" s="9">
        <v>36.324172615829276</v>
      </c>
      <c r="X3344" s="9">
        <v>43.832136422596946</v>
      </c>
      <c r="Y3344" s="9">
        <v>43.832136422596946</v>
      </c>
      <c r="Z3344" s="9">
        <v>51.429400054836968</v>
      </c>
      <c r="AA3344" s="9">
        <v>51.429400054836968</v>
      </c>
      <c r="AB3344" s="9">
        <v>59.124893495096586</v>
      </c>
      <c r="AC3344" s="9">
        <v>59.124893495096586</v>
      </c>
      <c r="AD3344" s="9">
        <v>68.673407568137122</v>
      </c>
      <c r="AE3344" s="9">
        <v>75.899806853903883</v>
      </c>
      <c r="AF3344" s="9">
        <v>83.243930726651769</v>
      </c>
      <c r="AG3344" s="9">
        <v>83.243930726651769</v>
      </c>
      <c r="AH3344" s="9">
        <v>91.483430312965311</v>
      </c>
      <c r="AI3344" s="9">
        <v>99.63294480172658</v>
      </c>
      <c r="AJ3344" s="9">
        <v>3.0428788910505911</v>
      </c>
    </row>
    <row r="3345" spans="1:36" x14ac:dyDescent="0.25">
      <c r="A3345" t="s">
        <v>5411</v>
      </c>
      <c r="B3345" t="s">
        <v>16</v>
      </c>
      <c r="C3345" t="s">
        <v>17</v>
      </c>
      <c r="D3345">
        <v>64190000</v>
      </c>
      <c r="E3345">
        <v>64199999</v>
      </c>
      <c r="F3345" t="s">
        <v>2406</v>
      </c>
      <c r="G3345" t="str">
        <f t="shared" si="104"/>
        <v>PII II</v>
      </c>
      <c r="H3345" t="s">
        <v>2995</v>
      </c>
      <c r="I3345" t="s">
        <v>20</v>
      </c>
      <c r="J3345" t="s">
        <v>64</v>
      </c>
      <c r="K3345" s="6">
        <v>0.03</v>
      </c>
      <c r="L3345" s="7">
        <f t="shared" si="105"/>
        <v>2E-3</v>
      </c>
      <c r="M3345" s="7">
        <v>3.0000000000000001E-3</v>
      </c>
      <c r="N3345">
        <v>15</v>
      </c>
      <c r="O3345" s="8">
        <v>22.680099489425388</v>
      </c>
      <c r="P3345" s="9">
        <v>22.680099489425388</v>
      </c>
      <c r="Q3345" s="9">
        <v>22.680099489425388</v>
      </c>
      <c r="R3345" s="9">
        <v>24.975706415973956</v>
      </c>
      <c r="S3345" s="9">
        <v>27.507757599557678</v>
      </c>
      <c r="T3345" s="9">
        <v>29.643595035649298</v>
      </c>
      <c r="U3345" s="9">
        <v>36.324172615829276</v>
      </c>
      <c r="V3345" s="9">
        <v>36.324172615829276</v>
      </c>
      <c r="W3345" s="9">
        <v>36.324172615829276</v>
      </c>
      <c r="X3345" s="9">
        <v>43.832136422596946</v>
      </c>
      <c r="Y3345" s="9">
        <v>43.832136422596946</v>
      </c>
      <c r="Z3345" s="9">
        <v>51.429400054836968</v>
      </c>
      <c r="AA3345" s="9">
        <v>51.429400054836968</v>
      </c>
      <c r="AB3345" s="9">
        <v>59.124893495096586</v>
      </c>
      <c r="AC3345" s="9">
        <v>59.124893495096586</v>
      </c>
      <c r="AD3345" s="9">
        <v>68.673407568137122</v>
      </c>
      <c r="AE3345" s="9">
        <v>75.899806853903883</v>
      </c>
      <c r="AF3345" s="9">
        <v>83.243930726651769</v>
      </c>
      <c r="AG3345" s="9">
        <v>83.243930726651769</v>
      </c>
      <c r="AH3345" s="9">
        <v>91.483430312965311</v>
      </c>
      <c r="AI3345" s="9">
        <v>99.63294480172658</v>
      </c>
      <c r="AJ3345" s="9">
        <v>3.0428788910505911</v>
      </c>
    </row>
    <row r="3346" spans="1:36" x14ac:dyDescent="0.25">
      <c r="A3346" t="s">
        <v>5411</v>
      </c>
      <c r="B3346" t="s">
        <v>16</v>
      </c>
      <c r="C3346" t="s">
        <v>17</v>
      </c>
      <c r="D3346">
        <v>64200000</v>
      </c>
      <c r="E3346">
        <v>64219999</v>
      </c>
      <c r="F3346" t="s">
        <v>3015</v>
      </c>
      <c r="G3346" t="str">
        <f t="shared" si="104"/>
        <v>PII</v>
      </c>
      <c r="H3346" t="s">
        <v>2995</v>
      </c>
      <c r="I3346" t="s">
        <v>20</v>
      </c>
      <c r="J3346" t="s">
        <v>62</v>
      </c>
      <c r="K3346" s="6">
        <v>0.03</v>
      </c>
      <c r="L3346" s="7">
        <f t="shared" si="105"/>
        <v>2E-3</v>
      </c>
      <c r="M3346" s="7">
        <v>3.0000000000000001E-3</v>
      </c>
      <c r="N3346">
        <v>14</v>
      </c>
      <c r="O3346" s="8">
        <v>18.523064475870246</v>
      </c>
      <c r="P3346" s="9">
        <v>18.523064475870246</v>
      </c>
      <c r="Q3346" s="9">
        <v>18.523064475870246</v>
      </c>
      <c r="R3346" s="9">
        <v>19.986085921544504</v>
      </c>
      <c r="S3346" s="9">
        <v>22.12943390989907</v>
      </c>
      <c r="T3346" s="9">
        <v>24.361587349653966</v>
      </c>
      <c r="U3346" s="9">
        <v>30.016334788894795</v>
      </c>
      <c r="V3346" s="9">
        <v>30.016334788894795</v>
      </c>
      <c r="W3346" s="9">
        <v>30.016334788894795</v>
      </c>
      <c r="X3346" s="9">
        <v>36.357177991180244</v>
      </c>
      <c r="Y3346" s="9">
        <v>36.357177991180244</v>
      </c>
      <c r="Z3346" s="9">
        <v>42.885327131268298</v>
      </c>
      <c r="AA3346" s="9">
        <v>42.885327131268298</v>
      </c>
      <c r="AB3346" s="9">
        <v>49.659479185845427</v>
      </c>
      <c r="AC3346" s="9">
        <v>49.659479185845427</v>
      </c>
      <c r="AD3346" s="9">
        <v>56.580305827489475</v>
      </c>
      <c r="AE3346" s="9">
        <v>63.666673708638676</v>
      </c>
      <c r="AF3346" s="9">
        <v>70.939940361157198</v>
      </c>
      <c r="AG3346" s="9">
        <v>70.939940361157198</v>
      </c>
      <c r="AH3346" s="9">
        <v>77.933178543288449</v>
      </c>
      <c r="AI3346" s="9">
        <v>85.444390652517114</v>
      </c>
      <c r="AJ3346" s="9">
        <v>3.0428788910505911</v>
      </c>
    </row>
    <row r="3347" spans="1:36" x14ac:dyDescent="0.25">
      <c r="A3347" t="s">
        <v>5411</v>
      </c>
      <c r="B3347" t="s">
        <v>16</v>
      </c>
      <c r="C3347" t="s">
        <v>17</v>
      </c>
      <c r="D3347">
        <v>64220000</v>
      </c>
      <c r="E3347">
        <v>64221999</v>
      </c>
      <c r="F3347" t="s">
        <v>3016</v>
      </c>
      <c r="G3347" t="str">
        <f t="shared" si="104"/>
        <v>PII II</v>
      </c>
      <c r="H3347" t="s">
        <v>2995</v>
      </c>
      <c r="I3347" t="s">
        <v>20</v>
      </c>
      <c r="J3347" t="s">
        <v>64</v>
      </c>
      <c r="K3347" s="6">
        <v>0.03</v>
      </c>
      <c r="L3347" s="7">
        <f t="shared" si="105"/>
        <v>2E-3</v>
      </c>
      <c r="M3347" s="7">
        <v>3.0000000000000001E-3</v>
      </c>
      <c r="N3347">
        <v>14</v>
      </c>
      <c r="O3347" s="8">
        <v>22.680099489425388</v>
      </c>
      <c r="P3347" s="9">
        <v>22.680099489425388</v>
      </c>
      <c r="Q3347" s="9">
        <v>22.680099489425388</v>
      </c>
      <c r="R3347" s="9">
        <v>24.975706415973956</v>
      </c>
      <c r="S3347" s="9">
        <v>27.507757599557678</v>
      </c>
      <c r="T3347" s="9">
        <v>29.643595035649298</v>
      </c>
      <c r="U3347" s="9">
        <v>36.324172615829276</v>
      </c>
      <c r="V3347" s="9">
        <v>36.324172615829276</v>
      </c>
      <c r="W3347" s="9">
        <v>36.324172615829276</v>
      </c>
      <c r="X3347" s="9">
        <v>43.832136422596946</v>
      </c>
      <c r="Y3347" s="9">
        <v>43.832136422596946</v>
      </c>
      <c r="Z3347" s="9">
        <v>51.429400054836968</v>
      </c>
      <c r="AA3347" s="9">
        <v>51.429400054836968</v>
      </c>
      <c r="AB3347" s="9">
        <v>59.124893495096586</v>
      </c>
      <c r="AC3347" s="9">
        <v>59.124893495096586</v>
      </c>
      <c r="AD3347" s="9">
        <v>68.673407568137122</v>
      </c>
      <c r="AE3347" s="9">
        <v>75.899806853903883</v>
      </c>
      <c r="AF3347" s="9">
        <v>83.243930726651769</v>
      </c>
      <c r="AG3347" s="9">
        <v>83.243930726651769</v>
      </c>
      <c r="AH3347" s="9">
        <v>91.483430312965311</v>
      </c>
      <c r="AI3347" s="9">
        <v>99.63294480172658</v>
      </c>
      <c r="AJ3347" s="9">
        <v>3.0428788910505911</v>
      </c>
    </row>
    <row r="3348" spans="1:36" x14ac:dyDescent="0.25">
      <c r="A3348" t="s">
        <v>5411</v>
      </c>
      <c r="B3348" t="s">
        <v>16</v>
      </c>
      <c r="C3348" t="s">
        <v>17</v>
      </c>
      <c r="D3348">
        <v>64222000</v>
      </c>
      <c r="E3348">
        <v>64223999</v>
      </c>
      <c r="F3348" t="s">
        <v>3017</v>
      </c>
      <c r="G3348" t="str">
        <f t="shared" si="104"/>
        <v>PII II</v>
      </c>
      <c r="H3348" t="s">
        <v>2995</v>
      </c>
      <c r="I3348" t="s">
        <v>20</v>
      </c>
      <c r="J3348" t="s">
        <v>64</v>
      </c>
      <c r="K3348" s="6">
        <v>0.03</v>
      </c>
      <c r="L3348" s="7">
        <f t="shared" si="105"/>
        <v>2E-3</v>
      </c>
      <c r="M3348" s="7">
        <v>3.0000000000000001E-3</v>
      </c>
      <c r="N3348">
        <v>15</v>
      </c>
      <c r="O3348" s="8">
        <v>22.680099489425388</v>
      </c>
      <c r="P3348" s="9">
        <v>22.680099489425388</v>
      </c>
      <c r="Q3348" s="9">
        <v>22.680099489425388</v>
      </c>
      <c r="R3348" s="9">
        <v>24.975706415973956</v>
      </c>
      <c r="S3348" s="9">
        <v>27.507757599557678</v>
      </c>
      <c r="T3348" s="9">
        <v>29.643595035649298</v>
      </c>
      <c r="U3348" s="9">
        <v>36.324172615829276</v>
      </c>
      <c r="V3348" s="9">
        <v>36.324172615829276</v>
      </c>
      <c r="W3348" s="9">
        <v>36.324172615829276</v>
      </c>
      <c r="X3348" s="9">
        <v>43.832136422596946</v>
      </c>
      <c r="Y3348" s="9">
        <v>43.832136422596946</v>
      </c>
      <c r="Z3348" s="9">
        <v>51.429400054836968</v>
      </c>
      <c r="AA3348" s="9">
        <v>51.429400054836968</v>
      </c>
      <c r="AB3348" s="9">
        <v>59.124893495096586</v>
      </c>
      <c r="AC3348" s="9">
        <v>59.124893495096586</v>
      </c>
      <c r="AD3348" s="9">
        <v>68.673407568137122</v>
      </c>
      <c r="AE3348" s="9">
        <v>75.899806853903883</v>
      </c>
      <c r="AF3348" s="9">
        <v>83.243930726651769</v>
      </c>
      <c r="AG3348" s="9">
        <v>83.243930726651769</v>
      </c>
      <c r="AH3348" s="9">
        <v>91.483430312965311</v>
      </c>
      <c r="AI3348" s="9">
        <v>99.63294480172658</v>
      </c>
      <c r="AJ3348" s="9">
        <v>3.0428788910505911</v>
      </c>
    </row>
    <row r="3349" spans="1:36" x14ac:dyDescent="0.25">
      <c r="A3349" t="s">
        <v>5411</v>
      </c>
      <c r="B3349" t="s">
        <v>16</v>
      </c>
      <c r="C3349" t="s">
        <v>17</v>
      </c>
      <c r="D3349">
        <v>64224000</v>
      </c>
      <c r="E3349">
        <v>64224999</v>
      </c>
      <c r="F3349" t="s">
        <v>3018</v>
      </c>
      <c r="G3349" t="str">
        <f t="shared" si="104"/>
        <v>PII II</v>
      </c>
      <c r="H3349" t="s">
        <v>2995</v>
      </c>
      <c r="I3349" t="s">
        <v>20</v>
      </c>
      <c r="J3349" t="s">
        <v>64</v>
      </c>
      <c r="K3349" s="6">
        <v>0.03</v>
      </c>
      <c r="L3349" s="7">
        <f t="shared" si="105"/>
        <v>2E-3</v>
      </c>
      <c r="M3349" s="7">
        <v>3.0000000000000001E-3</v>
      </c>
      <c r="N3349">
        <v>14</v>
      </c>
      <c r="O3349" s="8">
        <v>22.680099489425388</v>
      </c>
      <c r="P3349" s="9">
        <v>22.680099489425388</v>
      </c>
      <c r="Q3349" s="9">
        <v>22.680099489425388</v>
      </c>
      <c r="R3349" s="9">
        <v>24.975706415973956</v>
      </c>
      <c r="S3349" s="9">
        <v>27.507757599557678</v>
      </c>
      <c r="T3349" s="9">
        <v>29.643595035649298</v>
      </c>
      <c r="U3349" s="9">
        <v>36.324172615829276</v>
      </c>
      <c r="V3349" s="9">
        <v>36.324172615829276</v>
      </c>
      <c r="W3349" s="9">
        <v>36.324172615829276</v>
      </c>
      <c r="X3349" s="9">
        <v>43.832136422596946</v>
      </c>
      <c r="Y3349" s="9">
        <v>43.832136422596946</v>
      </c>
      <c r="Z3349" s="9">
        <v>51.429400054836968</v>
      </c>
      <c r="AA3349" s="9">
        <v>51.429400054836968</v>
      </c>
      <c r="AB3349" s="9">
        <v>59.124893495096586</v>
      </c>
      <c r="AC3349" s="9">
        <v>59.124893495096586</v>
      </c>
      <c r="AD3349" s="9">
        <v>68.673407568137122</v>
      </c>
      <c r="AE3349" s="9">
        <v>75.899806853903883</v>
      </c>
      <c r="AF3349" s="9">
        <v>83.243930726651769</v>
      </c>
      <c r="AG3349" s="9">
        <v>83.243930726651769</v>
      </c>
      <c r="AH3349" s="9">
        <v>91.483430312965311</v>
      </c>
      <c r="AI3349" s="9">
        <v>99.63294480172658</v>
      </c>
      <c r="AJ3349" s="9">
        <v>3.0428788910505911</v>
      </c>
    </row>
    <row r="3350" spans="1:36" x14ac:dyDescent="0.25">
      <c r="A3350" t="s">
        <v>5411</v>
      </c>
      <c r="B3350" t="s">
        <v>16</v>
      </c>
      <c r="C3350" t="s">
        <v>17</v>
      </c>
      <c r="D3350">
        <v>64225000</v>
      </c>
      <c r="E3350">
        <v>64227999</v>
      </c>
      <c r="F3350" t="s">
        <v>3019</v>
      </c>
      <c r="G3350" t="str">
        <f t="shared" si="104"/>
        <v>PII II</v>
      </c>
      <c r="H3350" t="s">
        <v>2995</v>
      </c>
      <c r="I3350" t="s">
        <v>20</v>
      </c>
      <c r="J3350" t="s">
        <v>64</v>
      </c>
      <c r="K3350" s="6">
        <v>0.03</v>
      </c>
      <c r="L3350" s="7">
        <f t="shared" si="105"/>
        <v>2E-3</v>
      </c>
      <c r="M3350" s="7">
        <v>3.0000000000000001E-3</v>
      </c>
      <c r="N3350">
        <v>15</v>
      </c>
      <c r="O3350" s="8">
        <v>22.680099489425388</v>
      </c>
      <c r="P3350" s="9">
        <v>22.680099489425388</v>
      </c>
      <c r="Q3350" s="9">
        <v>22.680099489425388</v>
      </c>
      <c r="R3350" s="9">
        <v>24.975706415973956</v>
      </c>
      <c r="S3350" s="9">
        <v>27.507757599557678</v>
      </c>
      <c r="T3350" s="9">
        <v>29.643595035649298</v>
      </c>
      <c r="U3350" s="9">
        <v>36.324172615829276</v>
      </c>
      <c r="V3350" s="9">
        <v>36.324172615829276</v>
      </c>
      <c r="W3350" s="9">
        <v>36.324172615829276</v>
      </c>
      <c r="X3350" s="9">
        <v>43.832136422596946</v>
      </c>
      <c r="Y3350" s="9">
        <v>43.832136422596946</v>
      </c>
      <c r="Z3350" s="9">
        <v>51.429400054836968</v>
      </c>
      <c r="AA3350" s="9">
        <v>51.429400054836968</v>
      </c>
      <c r="AB3350" s="9">
        <v>59.124893495096586</v>
      </c>
      <c r="AC3350" s="9">
        <v>59.124893495096586</v>
      </c>
      <c r="AD3350" s="9">
        <v>68.673407568137122</v>
      </c>
      <c r="AE3350" s="9">
        <v>75.899806853903883</v>
      </c>
      <c r="AF3350" s="9">
        <v>83.243930726651769</v>
      </c>
      <c r="AG3350" s="9">
        <v>83.243930726651769</v>
      </c>
      <c r="AH3350" s="9">
        <v>91.483430312965311</v>
      </c>
      <c r="AI3350" s="9">
        <v>99.63294480172658</v>
      </c>
      <c r="AJ3350" s="9">
        <v>3.0428788910505911</v>
      </c>
    </row>
    <row r="3351" spans="1:36" x14ac:dyDescent="0.25">
      <c r="A3351" t="s">
        <v>5411</v>
      </c>
      <c r="B3351" t="s">
        <v>16</v>
      </c>
      <c r="C3351" t="s">
        <v>17</v>
      </c>
      <c r="D3351">
        <v>64228000</v>
      </c>
      <c r="E3351">
        <v>64229999</v>
      </c>
      <c r="F3351" t="s">
        <v>3020</v>
      </c>
      <c r="G3351" t="str">
        <f t="shared" si="104"/>
        <v>PII II</v>
      </c>
      <c r="H3351" t="s">
        <v>2995</v>
      </c>
      <c r="I3351" t="s">
        <v>20</v>
      </c>
      <c r="J3351" t="s">
        <v>64</v>
      </c>
      <c r="K3351" s="6">
        <v>0.03</v>
      </c>
      <c r="L3351" s="7">
        <f t="shared" si="105"/>
        <v>2E-3</v>
      </c>
      <c r="M3351" s="7">
        <v>3.0000000000000001E-3</v>
      </c>
      <c r="N3351">
        <v>15</v>
      </c>
      <c r="O3351" s="8">
        <v>22.680099489425388</v>
      </c>
      <c r="P3351" s="9">
        <v>22.680099489425388</v>
      </c>
      <c r="Q3351" s="9">
        <v>22.680099489425388</v>
      </c>
      <c r="R3351" s="9">
        <v>24.975706415973956</v>
      </c>
      <c r="S3351" s="9">
        <v>27.507757599557678</v>
      </c>
      <c r="T3351" s="9">
        <v>29.643595035649298</v>
      </c>
      <c r="U3351" s="9">
        <v>36.324172615829276</v>
      </c>
      <c r="V3351" s="9">
        <v>36.324172615829276</v>
      </c>
      <c r="W3351" s="9">
        <v>36.324172615829276</v>
      </c>
      <c r="X3351" s="9">
        <v>43.832136422596946</v>
      </c>
      <c r="Y3351" s="9">
        <v>43.832136422596946</v>
      </c>
      <c r="Z3351" s="9">
        <v>51.429400054836968</v>
      </c>
      <c r="AA3351" s="9">
        <v>51.429400054836968</v>
      </c>
      <c r="AB3351" s="9">
        <v>59.124893495096586</v>
      </c>
      <c r="AC3351" s="9">
        <v>59.124893495096586</v>
      </c>
      <c r="AD3351" s="9">
        <v>68.673407568137122</v>
      </c>
      <c r="AE3351" s="9">
        <v>75.899806853903883</v>
      </c>
      <c r="AF3351" s="9">
        <v>83.243930726651769</v>
      </c>
      <c r="AG3351" s="9">
        <v>83.243930726651769</v>
      </c>
      <c r="AH3351" s="9">
        <v>91.483430312965311</v>
      </c>
      <c r="AI3351" s="9">
        <v>99.63294480172658</v>
      </c>
      <c r="AJ3351" s="9">
        <v>3.0428788910505911</v>
      </c>
    </row>
    <row r="3352" spans="1:36" x14ac:dyDescent="0.25">
      <c r="A3352" t="s">
        <v>5411</v>
      </c>
      <c r="B3352" t="s">
        <v>16</v>
      </c>
      <c r="C3352" t="s">
        <v>17</v>
      </c>
      <c r="D3352">
        <v>64230000</v>
      </c>
      <c r="E3352">
        <v>64232999</v>
      </c>
      <c r="F3352" t="s">
        <v>3021</v>
      </c>
      <c r="G3352" t="str">
        <f t="shared" si="104"/>
        <v>PII II</v>
      </c>
      <c r="H3352" t="s">
        <v>2995</v>
      </c>
      <c r="I3352" t="s">
        <v>20</v>
      </c>
      <c r="J3352" t="s">
        <v>64</v>
      </c>
      <c r="K3352" s="6">
        <v>0.03</v>
      </c>
      <c r="L3352" s="7">
        <f t="shared" si="105"/>
        <v>2E-3</v>
      </c>
      <c r="M3352" s="7">
        <v>3.0000000000000001E-3</v>
      </c>
      <c r="N3352">
        <v>14</v>
      </c>
      <c r="O3352" s="8">
        <v>22.680099489425388</v>
      </c>
      <c r="P3352" s="9">
        <v>22.680099489425388</v>
      </c>
      <c r="Q3352" s="9">
        <v>22.680099489425388</v>
      </c>
      <c r="R3352" s="9">
        <v>24.975706415973956</v>
      </c>
      <c r="S3352" s="9">
        <v>27.507757599557678</v>
      </c>
      <c r="T3352" s="9">
        <v>29.643595035649298</v>
      </c>
      <c r="U3352" s="9">
        <v>36.324172615829276</v>
      </c>
      <c r="V3352" s="9">
        <v>36.324172615829276</v>
      </c>
      <c r="W3352" s="9">
        <v>36.324172615829276</v>
      </c>
      <c r="X3352" s="9">
        <v>43.832136422596946</v>
      </c>
      <c r="Y3352" s="9">
        <v>43.832136422596946</v>
      </c>
      <c r="Z3352" s="9">
        <v>51.429400054836968</v>
      </c>
      <c r="AA3352" s="9">
        <v>51.429400054836968</v>
      </c>
      <c r="AB3352" s="9">
        <v>59.124893495096586</v>
      </c>
      <c r="AC3352" s="9">
        <v>59.124893495096586</v>
      </c>
      <c r="AD3352" s="9">
        <v>68.673407568137122</v>
      </c>
      <c r="AE3352" s="9">
        <v>75.899806853903883</v>
      </c>
      <c r="AF3352" s="9">
        <v>83.243930726651769</v>
      </c>
      <c r="AG3352" s="9">
        <v>83.243930726651769</v>
      </c>
      <c r="AH3352" s="9">
        <v>91.483430312965311</v>
      </c>
      <c r="AI3352" s="9">
        <v>99.63294480172658</v>
      </c>
      <c r="AJ3352" s="9">
        <v>3.0428788910505911</v>
      </c>
    </row>
    <row r="3353" spans="1:36" x14ac:dyDescent="0.25">
      <c r="A3353" t="s">
        <v>5411</v>
      </c>
      <c r="B3353" t="s">
        <v>16</v>
      </c>
      <c r="C3353" t="s">
        <v>17</v>
      </c>
      <c r="D3353">
        <v>64233000</v>
      </c>
      <c r="E3353">
        <v>64234999</v>
      </c>
      <c r="F3353" t="s">
        <v>3022</v>
      </c>
      <c r="G3353" t="str">
        <f t="shared" si="104"/>
        <v>PII II</v>
      </c>
      <c r="H3353" t="s">
        <v>2995</v>
      </c>
      <c r="I3353" t="s">
        <v>20</v>
      </c>
      <c r="J3353" t="s">
        <v>64</v>
      </c>
      <c r="K3353" s="6">
        <v>0.03</v>
      </c>
      <c r="L3353" s="7">
        <f t="shared" si="105"/>
        <v>2E-3</v>
      </c>
      <c r="M3353" s="7">
        <v>3.0000000000000001E-3</v>
      </c>
      <c r="N3353">
        <v>15</v>
      </c>
      <c r="O3353" s="8">
        <v>22.680099489425388</v>
      </c>
      <c r="P3353" s="9">
        <v>22.680099489425388</v>
      </c>
      <c r="Q3353" s="9">
        <v>22.680099489425388</v>
      </c>
      <c r="R3353" s="9">
        <v>24.975706415973956</v>
      </c>
      <c r="S3353" s="9">
        <v>27.507757599557678</v>
      </c>
      <c r="T3353" s="9">
        <v>29.643595035649298</v>
      </c>
      <c r="U3353" s="9">
        <v>36.324172615829276</v>
      </c>
      <c r="V3353" s="9">
        <v>36.324172615829276</v>
      </c>
      <c r="W3353" s="9">
        <v>36.324172615829276</v>
      </c>
      <c r="X3353" s="9">
        <v>43.832136422596946</v>
      </c>
      <c r="Y3353" s="9">
        <v>43.832136422596946</v>
      </c>
      <c r="Z3353" s="9">
        <v>51.429400054836968</v>
      </c>
      <c r="AA3353" s="9">
        <v>51.429400054836968</v>
      </c>
      <c r="AB3353" s="9">
        <v>59.124893495096586</v>
      </c>
      <c r="AC3353" s="9">
        <v>59.124893495096586</v>
      </c>
      <c r="AD3353" s="9">
        <v>68.673407568137122</v>
      </c>
      <c r="AE3353" s="9">
        <v>75.899806853903883</v>
      </c>
      <c r="AF3353" s="9">
        <v>83.243930726651769</v>
      </c>
      <c r="AG3353" s="9">
        <v>83.243930726651769</v>
      </c>
      <c r="AH3353" s="9">
        <v>91.483430312965311</v>
      </c>
      <c r="AI3353" s="9">
        <v>99.63294480172658</v>
      </c>
      <c r="AJ3353" s="9">
        <v>3.0428788910505911</v>
      </c>
    </row>
    <row r="3354" spans="1:36" x14ac:dyDescent="0.25">
      <c r="A3354" t="s">
        <v>5411</v>
      </c>
      <c r="B3354" t="s">
        <v>16</v>
      </c>
      <c r="C3354" t="s">
        <v>17</v>
      </c>
      <c r="D3354">
        <v>64235000</v>
      </c>
      <c r="E3354">
        <v>64237999</v>
      </c>
      <c r="F3354" t="s">
        <v>3023</v>
      </c>
      <c r="G3354" t="str">
        <f t="shared" si="104"/>
        <v>PII II</v>
      </c>
      <c r="H3354" t="s">
        <v>2995</v>
      </c>
      <c r="I3354" t="s">
        <v>20</v>
      </c>
      <c r="J3354" t="s">
        <v>64</v>
      </c>
      <c r="K3354" s="6">
        <v>0.03</v>
      </c>
      <c r="L3354" s="7">
        <f t="shared" si="105"/>
        <v>2E-3</v>
      </c>
      <c r="M3354" s="7">
        <v>3.0000000000000001E-3</v>
      </c>
      <c r="N3354">
        <v>15</v>
      </c>
      <c r="O3354" s="8">
        <v>22.680099489425388</v>
      </c>
      <c r="P3354" s="9">
        <v>22.680099489425388</v>
      </c>
      <c r="Q3354" s="9">
        <v>22.680099489425388</v>
      </c>
      <c r="R3354" s="9">
        <v>24.975706415973956</v>
      </c>
      <c r="S3354" s="9">
        <v>27.507757599557678</v>
      </c>
      <c r="T3354" s="9">
        <v>29.643595035649298</v>
      </c>
      <c r="U3354" s="9">
        <v>36.324172615829276</v>
      </c>
      <c r="V3354" s="9">
        <v>36.324172615829276</v>
      </c>
      <c r="W3354" s="9">
        <v>36.324172615829276</v>
      </c>
      <c r="X3354" s="9">
        <v>43.832136422596946</v>
      </c>
      <c r="Y3354" s="9">
        <v>43.832136422596946</v>
      </c>
      <c r="Z3354" s="9">
        <v>51.429400054836968</v>
      </c>
      <c r="AA3354" s="9">
        <v>51.429400054836968</v>
      </c>
      <c r="AB3354" s="9">
        <v>59.124893495096586</v>
      </c>
      <c r="AC3354" s="9">
        <v>59.124893495096586</v>
      </c>
      <c r="AD3354" s="9">
        <v>68.673407568137122</v>
      </c>
      <c r="AE3354" s="9">
        <v>75.899806853903883</v>
      </c>
      <c r="AF3354" s="9">
        <v>83.243930726651769</v>
      </c>
      <c r="AG3354" s="9">
        <v>83.243930726651769</v>
      </c>
      <c r="AH3354" s="9">
        <v>91.483430312965311</v>
      </c>
      <c r="AI3354" s="9">
        <v>99.63294480172658</v>
      </c>
      <c r="AJ3354" s="9">
        <v>3.0428788910505911</v>
      </c>
    </row>
    <row r="3355" spans="1:36" x14ac:dyDescent="0.25">
      <c r="A3355" t="s">
        <v>5411</v>
      </c>
      <c r="B3355" t="s">
        <v>16</v>
      </c>
      <c r="C3355" t="s">
        <v>17</v>
      </c>
      <c r="D3355">
        <v>64238000</v>
      </c>
      <c r="E3355">
        <v>64239999</v>
      </c>
      <c r="F3355" t="s">
        <v>3024</v>
      </c>
      <c r="G3355" t="str">
        <f t="shared" si="104"/>
        <v>PII II</v>
      </c>
      <c r="H3355" t="s">
        <v>2995</v>
      </c>
      <c r="I3355" t="s">
        <v>20</v>
      </c>
      <c r="J3355" t="s">
        <v>64</v>
      </c>
      <c r="K3355" s="6">
        <v>0.03</v>
      </c>
      <c r="L3355" s="7">
        <f t="shared" si="105"/>
        <v>2E-3</v>
      </c>
      <c r="M3355" s="7">
        <v>3.0000000000000001E-3</v>
      </c>
      <c r="N3355">
        <v>15</v>
      </c>
      <c r="O3355" s="8">
        <v>22.680099489425388</v>
      </c>
      <c r="P3355" s="9">
        <v>22.680099489425388</v>
      </c>
      <c r="Q3355" s="9">
        <v>22.680099489425388</v>
      </c>
      <c r="R3355" s="9">
        <v>24.975706415973956</v>
      </c>
      <c r="S3355" s="9">
        <v>27.507757599557678</v>
      </c>
      <c r="T3355" s="9">
        <v>29.643595035649298</v>
      </c>
      <c r="U3355" s="9">
        <v>36.324172615829276</v>
      </c>
      <c r="V3355" s="9">
        <v>36.324172615829276</v>
      </c>
      <c r="W3355" s="9">
        <v>36.324172615829276</v>
      </c>
      <c r="X3355" s="9">
        <v>43.832136422596946</v>
      </c>
      <c r="Y3355" s="9">
        <v>43.832136422596946</v>
      </c>
      <c r="Z3355" s="9">
        <v>51.429400054836968</v>
      </c>
      <c r="AA3355" s="9">
        <v>51.429400054836968</v>
      </c>
      <c r="AB3355" s="9">
        <v>59.124893495096586</v>
      </c>
      <c r="AC3355" s="9">
        <v>59.124893495096586</v>
      </c>
      <c r="AD3355" s="9">
        <v>68.673407568137122</v>
      </c>
      <c r="AE3355" s="9">
        <v>75.899806853903883</v>
      </c>
      <c r="AF3355" s="9">
        <v>83.243930726651769</v>
      </c>
      <c r="AG3355" s="9">
        <v>83.243930726651769</v>
      </c>
      <c r="AH3355" s="9">
        <v>91.483430312965311</v>
      </c>
      <c r="AI3355" s="9">
        <v>99.63294480172658</v>
      </c>
      <c r="AJ3355" s="9">
        <v>3.0428788910505911</v>
      </c>
    </row>
    <row r="3356" spans="1:36" x14ac:dyDescent="0.25">
      <c r="A3356" t="s">
        <v>5411</v>
      </c>
      <c r="B3356" t="s">
        <v>16</v>
      </c>
      <c r="C3356" t="s">
        <v>17</v>
      </c>
      <c r="D3356">
        <v>64240000</v>
      </c>
      <c r="E3356">
        <v>64242999</v>
      </c>
      <c r="F3356" t="s">
        <v>3025</v>
      </c>
      <c r="G3356" t="str">
        <f t="shared" si="104"/>
        <v>PII</v>
      </c>
      <c r="H3356" t="s">
        <v>2995</v>
      </c>
      <c r="I3356" t="s">
        <v>20</v>
      </c>
      <c r="J3356" t="s">
        <v>62</v>
      </c>
      <c r="K3356" s="6">
        <v>0.03</v>
      </c>
      <c r="L3356" s="7">
        <f t="shared" si="105"/>
        <v>2E-3</v>
      </c>
      <c r="M3356" s="7">
        <v>3.0000000000000001E-3</v>
      </c>
      <c r="N3356">
        <v>12</v>
      </c>
      <c r="O3356" s="8">
        <v>18.523064475870246</v>
      </c>
      <c r="P3356" s="9">
        <v>18.523064475870246</v>
      </c>
      <c r="Q3356" s="9">
        <v>18.523064475870246</v>
      </c>
      <c r="R3356" s="9">
        <v>19.986085921544504</v>
      </c>
      <c r="S3356" s="9">
        <v>22.12943390989907</v>
      </c>
      <c r="T3356" s="9">
        <v>24.361587349653966</v>
      </c>
      <c r="U3356" s="9">
        <v>30.016334788894795</v>
      </c>
      <c r="V3356" s="9">
        <v>30.016334788894795</v>
      </c>
      <c r="W3356" s="9">
        <v>30.016334788894795</v>
      </c>
      <c r="X3356" s="9">
        <v>36.357177991180244</v>
      </c>
      <c r="Y3356" s="9">
        <v>36.357177991180244</v>
      </c>
      <c r="Z3356" s="9">
        <v>42.885327131268298</v>
      </c>
      <c r="AA3356" s="9">
        <v>42.885327131268298</v>
      </c>
      <c r="AB3356" s="9">
        <v>49.659479185845427</v>
      </c>
      <c r="AC3356" s="9">
        <v>49.659479185845427</v>
      </c>
      <c r="AD3356" s="9">
        <v>56.580305827489475</v>
      </c>
      <c r="AE3356" s="9">
        <v>63.666673708638676</v>
      </c>
      <c r="AF3356" s="9">
        <v>70.939940361157198</v>
      </c>
      <c r="AG3356" s="9">
        <v>70.939940361157198</v>
      </c>
      <c r="AH3356" s="9">
        <v>77.933178543288449</v>
      </c>
      <c r="AI3356" s="9">
        <v>85.444390652517114</v>
      </c>
      <c r="AJ3356" s="9">
        <v>3.0428788910505911</v>
      </c>
    </row>
    <row r="3357" spans="1:36" x14ac:dyDescent="0.25">
      <c r="A3357" t="s">
        <v>5411</v>
      </c>
      <c r="B3357" t="s">
        <v>16</v>
      </c>
      <c r="C3357" t="s">
        <v>17</v>
      </c>
      <c r="D3357">
        <v>64243000</v>
      </c>
      <c r="E3357">
        <v>64244999</v>
      </c>
      <c r="F3357" t="s">
        <v>3026</v>
      </c>
      <c r="G3357" t="str">
        <f t="shared" si="104"/>
        <v>PII II</v>
      </c>
      <c r="H3357" t="s">
        <v>2995</v>
      </c>
      <c r="I3357" t="s">
        <v>20</v>
      </c>
      <c r="J3357" t="s">
        <v>64</v>
      </c>
      <c r="K3357" s="6">
        <v>0.03</v>
      </c>
      <c r="L3357" s="7">
        <f t="shared" si="105"/>
        <v>2E-3</v>
      </c>
      <c r="M3357" s="7">
        <v>3.0000000000000001E-3</v>
      </c>
      <c r="N3357">
        <v>14</v>
      </c>
      <c r="O3357" s="8">
        <v>22.680099489425388</v>
      </c>
      <c r="P3357" s="9">
        <v>22.680099489425388</v>
      </c>
      <c r="Q3357" s="9">
        <v>22.680099489425388</v>
      </c>
      <c r="R3357" s="9">
        <v>24.975706415973956</v>
      </c>
      <c r="S3357" s="9">
        <v>27.507757599557678</v>
      </c>
      <c r="T3357" s="9">
        <v>29.643595035649298</v>
      </c>
      <c r="U3357" s="9">
        <v>36.324172615829276</v>
      </c>
      <c r="V3357" s="9">
        <v>36.324172615829276</v>
      </c>
      <c r="W3357" s="9">
        <v>36.324172615829276</v>
      </c>
      <c r="X3357" s="9">
        <v>43.832136422596946</v>
      </c>
      <c r="Y3357" s="9">
        <v>43.832136422596946</v>
      </c>
      <c r="Z3357" s="9">
        <v>51.429400054836968</v>
      </c>
      <c r="AA3357" s="9">
        <v>51.429400054836968</v>
      </c>
      <c r="AB3357" s="9">
        <v>59.124893495096586</v>
      </c>
      <c r="AC3357" s="9">
        <v>59.124893495096586</v>
      </c>
      <c r="AD3357" s="9">
        <v>68.673407568137122</v>
      </c>
      <c r="AE3357" s="9">
        <v>75.899806853903883</v>
      </c>
      <c r="AF3357" s="9">
        <v>83.243930726651769</v>
      </c>
      <c r="AG3357" s="9">
        <v>83.243930726651769</v>
      </c>
      <c r="AH3357" s="9">
        <v>91.483430312965311</v>
      </c>
      <c r="AI3357" s="9">
        <v>99.63294480172658</v>
      </c>
      <c r="AJ3357" s="9">
        <v>3.0428788910505911</v>
      </c>
    </row>
    <row r="3358" spans="1:36" x14ac:dyDescent="0.25">
      <c r="A3358" t="s">
        <v>5411</v>
      </c>
      <c r="B3358" t="s">
        <v>16</v>
      </c>
      <c r="C3358" t="s">
        <v>17</v>
      </c>
      <c r="D3358">
        <v>64245000</v>
      </c>
      <c r="E3358">
        <v>64249999</v>
      </c>
      <c r="F3358" t="s">
        <v>1666</v>
      </c>
      <c r="G3358" t="str">
        <f t="shared" si="104"/>
        <v>PII II</v>
      </c>
      <c r="H3358" t="s">
        <v>2995</v>
      </c>
      <c r="I3358" t="s">
        <v>20</v>
      </c>
      <c r="J3358" t="s">
        <v>64</v>
      </c>
      <c r="K3358" s="6">
        <v>0.03</v>
      </c>
      <c r="L3358" s="7">
        <f t="shared" si="105"/>
        <v>2E-3</v>
      </c>
      <c r="M3358" s="7">
        <v>3.0000000000000001E-3</v>
      </c>
      <c r="N3358">
        <v>13</v>
      </c>
      <c r="O3358" s="8">
        <v>22.680099489425388</v>
      </c>
      <c r="P3358" s="9">
        <v>22.680099489425388</v>
      </c>
      <c r="Q3358" s="9">
        <v>22.680099489425388</v>
      </c>
      <c r="R3358" s="9">
        <v>24.975706415973956</v>
      </c>
      <c r="S3358" s="9">
        <v>27.507757599557678</v>
      </c>
      <c r="T3358" s="9">
        <v>29.643595035649298</v>
      </c>
      <c r="U3358" s="9">
        <v>36.324172615829276</v>
      </c>
      <c r="V3358" s="9">
        <v>36.324172615829276</v>
      </c>
      <c r="W3358" s="9">
        <v>36.324172615829276</v>
      </c>
      <c r="X3358" s="9">
        <v>43.832136422596946</v>
      </c>
      <c r="Y3358" s="9">
        <v>43.832136422596946</v>
      </c>
      <c r="Z3358" s="9">
        <v>51.429400054836968</v>
      </c>
      <c r="AA3358" s="9">
        <v>51.429400054836968</v>
      </c>
      <c r="AB3358" s="9">
        <v>59.124893495096586</v>
      </c>
      <c r="AC3358" s="9">
        <v>59.124893495096586</v>
      </c>
      <c r="AD3358" s="9">
        <v>68.673407568137122</v>
      </c>
      <c r="AE3358" s="9">
        <v>75.899806853903883</v>
      </c>
      <c r="AF3358" s="9">
        <v>83.243930726651769</v>
      </c>
      <c r="AG3358" s="9">
        <v>83.243930726651769</v>
      </c>
      <c r="AH3358" s="9">
        <v>91.483430312965311</v>
      </c>
      <c r="AI3358" s="9">
        <v>99.63294480172658</v>
      </c>
      <c r="AJ3358" s="9">
        <v>3.0428788910505911</v>
      </c>
    </row>
    <row r="3359" spans="1:36" x14ac:dyDescent="0.25">
      <c r="A3359" t="s">
        <v>5411</v>
      </c>
      <c r="B3359" t="s">
        <v>16</v>
      </c>
      <c r="C3359" t="s">
        <v>17</v>
      </c>
      <c r="D3359">
        <v>64250000</v>
      </c>
      <c r="E3359">
        <v>64252999</v>
      </c>
      <c r="F3359" t="s">
        <v>3027</v>
      </c>
      <c r="G3359" t="str">
        <f t="shared" si="104"/>
        <v>PII II</v>
      </c>
      <c r="H3359" t="s">
        <v>2995</v>
      </c>
      <c r="I3359" t="s">
        <v>20</v>
      </c>
      <c r="J3359" t="s">
        <v>64</v>
      </c>
      <c r="K3359" s="6">
        <v>0.03</v>
      </c>
      <c r="L3359" s="7">
        <f t="shared" si="105"/>
        <v>2E-3</v>
      </c>
      <c r="M3359" s="7">
        <v>3.0000000000000001E-3</v>
      </c>
      <c r="N3359">
        <v>14</v>
      </c>
      <c r="O3359" s="8">
        <v>22.680099489425388</v>
      </c>
      <c r="P3359" s="9">
        <v>22.680099489425388</v>
      </c>
      <c r="Q3359" s="9">
        <v>22.680099489425388</v>
      </c>
      <c r="R3359" s="9">
        <v>24.975706415973956</v>
      </c>
      <c r="S3359" s="9">
        <v>27.507757599557678</v>
      </c>
      <c r="T3359" s="9">
        <v>29.643595035649298</v>
      </c>
      <c r="U3359" s="9">
        <v>36.324172615829276</v>
      </c>
      <c r="V3359" s="9">
        <v>36.324172615829276</v>
      </c>
      <c r="W3359" s="9">
        <v>36.324172615829276</v>
      </c>
      <c r="X3359" s="9">
        <v>43.832136422596946</v>
      </c>
      <c r="Y3359" s="9">
        <v>43.832136422596946</v>
      </c>
      <c r="Z3359" s="9">
        <v>51.429400054836968</v>
      </c>
      <c r="AA3359" s="9">
        <v>51.429400054836968</v>
      </c>
      <c r="AB3359" s="9">
        <v>59.124893495096586</v>
      </c>
      <c r="AC3359" s="9">
        <v>59.124893495096586</v>
      </c>
      <c r="AD3359" s="9">
        <v>68.673407568137122</v>
      </c>
      <c r="AE3359" s="9">
        <v>75.899806853903883</v>
      </c>
      <c r="AF3359" s="9">
        <v>83.243930726651769</v>
      </c>
      <c r="AG3359" s="9">
        <v>83.243930726651769</v>
      </c>
      <c r="AH3359" s="9">
        <v>91.483430312965311</v>
      </c>
      <c r="AI3359" s="9">
        <v>99.63294480172658</v>
      </c>
      <c r="AJ3359" s="9">
        <v>3.0428788910505911</v>
      </c>
    </row>
    <row r="3360" spans="1:36" x14ac:dyDescent="0.25">
      <c r="A3360" t="s">
        <v>5411</v>
      </c>
      <c r="B3360" t="s">
        <v>16</v>
      </c>
      <c r="C3360" t="s">
        <v>17</v>
      </c>
      <c r="D3360">
        <v>64253000</v>
      </c>
      <c r="E3360">
        <v>64254999</v>
      </c>
      <c r="F3360" t="s">
        <v>3028</v>
      </c>
      <c r="G3360" t="str">
        <f t="shared" si="104"/>
        <v>PII II</v>
      </c>
      <c r="H3360" t="s">
        <v>2995</v>
      </c>
      <c r="I3360" t="s">
        <v>20</v>
      </c>
      <c r="J3360" t="s">
        <v>64</v>
      </c>
      <c r="K3360" s="6">
        <v>0.03</v>
      </c>
      <c r="L3360" s="7">
        <f t="shared" si="105"/>
        <v>2E-3</v>
      </c>
      <c r="M3360" s="7">
        <v>3.0000000000000001E-3</v>
      </c>
      <c r="N3360">
        <v>14</v>
      </c>
      <c r="O3360" s="8">
        <v>22.680099489425388</v>
      </c>
      <c r="P3360" s="9">
        <v>22.680099489425388</v>
      </c>
      <c r="Q3360" s="9">
        <v>22.680099489425388</v>
      </c>
      <c r="R3360" s="9">
        <v>24.975706415973956</v>
      </c>
      <c r="S3360" s="9">
        <v>27.507757599557678</v>
      </c>
      <c r="T3360" s="9">
        <v>29.643595035649298</v>
      </c>
      <c r="U3360" s="9">
        <v>36.324172615829276</v>
      </c>
      <c r="V3360" s="9">
        <v>36.324172615829276</v>
      </c>
      <c r="W3360" s="9">
        <v>36.324172615829276</v>
      </c>
      <c r="X3360" s="9">
        <v>43.832136422596946</v>
      </c>
      <c r="Y3360" s="9">
        <v>43.832136422596946</v>
      </c>
      <c r="Z3360" s="9">
        <v>51.429400054836968</v>
      </c>
      <c r="AA3360" s="9">
        <v>51.429400054836968</v>
      </c>
      <c r="AB3360" s="9">
        <v>59.124893495096586</v>
      </c>
      <c r="AC3360" s="9">
        <v>59.124893495096586</v>
      </c>
      <c r="AD3360" s="9">
        <v>68.673407568137122</v>
      </c>
      <c r="AE3360" s="9">
        <v>75.899806853903883</v>
      </c>
      <c r="AF3360" s="9">
        <v>83.243930726651769</v>
      </c>
      <c r="AG3360" s="9">
        <v>83.243930726651769</v>
      </c>
      <c r="AH3360" s="9">
        <v>91.483430312965311</v>
      </c>
      <c r="AI3360" s="9">
        <v>99.63294480172658</v>
      </c>
      <c r="AJ3360" s="9">
        <v>3.0428788910505911</v>
      </c>
    </row>
    <row r="3361" spans="1:36" x14ac:dyDescent="0.25">
      <c r="A3361" t="s">
        <v>5411</v>
      </c>
      <c r="B3361" t="s">
        <v>16</v>
      </c>
      <c r="C3361" t="s">
        <v>17</v>
      </c>
      <c r="D3361">
        <v>64255000</v>
      </c>
      <c r="E3361">
        <v>64257999</v>
      </c>
      <c r="F3361" t="s">
        <v>3029</v>
      </c>
      <c r="G3361" t="str">
        <f t="shared" si="104"/>
        <v>PII II</v>
      </c>
      <c r="H3361" t="s">
        <v>2995</v>
      </c>
      <c r="I3361" t="s">
        <v>20</v>
      </c>
      <c r="J3361" t="s">
        <v>64</v>
      </c>
      <c r="K3361" s="6">
        <v>0.03</v>
      </c>
      <c r="L3361" s="7">
        <f t="shared" si="105"/>
        <v>2E-3</v>
      </c>
      <c r="M3361" s="7">
        <v>3.0000000000000001E-3</v>
      </c>
      <c r="N3361">
        <v>14</v>
      </c>
      <c r="O3361" s="8">
        <v>22.680099489425388</v>
      </c>
      <c r="P3361" s="9">
        <v>22.680099489425388</v>
      </c>
      <c r="Q3361" s="9">
        <v>22.680099489425388</v>
      </c>
      <c r="R3361" s="9">
        <v>24.975706415973956</v>
      </c>
      <c r="S3361" s="9">
        <v>27.507757599557678</v>
      </c>
      <c r="T3361" s="9">
        <v>29.643595035649298</v>
      </c>
      <c r="U3361" s="9">
        <v>36.324172615829276</v>
      </c>
      <c r="V3361" s="9">
        <v>36.324172615829276</v>
      </c>
      <c r="W3361" s="9">
        <v>36.324172615829276</v>
      </c>
      <c r="X3361" s="9">
        <v>43.832136422596946</v>
      </c>
      <c r="Y3361" s="9">
        <v>43.832136422596946</v>
      </c>
      <c r="Z3361" s="9">
        <v>51.429400054836968</v>
      </c>
      <c r="AA3361" s="9">
        <v>51.429400054836968</v>
      </c>
      <c r="AB3361" s="9">
        <v>59.124893495096586</v>
      </c>
      <c r="AC3361" s="9">
        <v>59.124893495096586</v>
      </c>
      <c r="AD3361" s="9">
        <v>68.673407568137122</v>
      </c>
      <c r="AE3361" s="9">
        <v>75.899806853903883</v>
      </c>
      <c r="AF3361" s="9">
        <v>83.243930726651769</v>
      </c>
      <c r="AG3361" s="9">
        <v>83.243930726651769</v>
      </c>
      <c r="AH3361" s="9">
        <v>91.483430312965311</v>
      </c>
      <c r="AI3361" s="9">
        <v>99.63294480172658</v>
      </c>
      <c r="AJ3361" s="9">
        <v>3.0428788910505911</v>
      </c>
    </row>
    <row r="3362" spans="1:36" x14ac:dyDescent="0.25">
      <c r="A3362" t="s">
        <v>5411</v>
      </c>
      <c r="B3362" t="s">
        <v>16</v>
      </c>
      <c r="C3362" t="s">
        <v>17</v>
      </c>
      <c r="D3362">
        <v>64258000</v>
      </c>
      <c r="E3362">
        <v>64259999</v>
      </c>
      <c r="F3362" t="s">
        <v>3030</v>
      </c>
      <c r="G3362" t="str">
        <f t="shared" si="104"/>
        <v>PII II</v>
      </c>
      <c r="H3362" t="s">
        <v>2995</v>
      </c>
      <c r="I3362" t="s">
        <v>20</v>
      </c>
      <c r="J3362" t="s">
        <v>64</v>
      </c>
      <c r="K3362" s="6">
        <v>0.03</v>
      </c>
      <c r="L3362" s="7">
        <f t="shared" si="105"/>
        <v>2E-3</v>
      </c>
      <c r="M3362" s="7">
        <v>3.0000000000000001E-3</v>
      </c>
      <c r="N3362">
        <v>14</v>
      </c>
      <c r="O3362" s="8">
        <v>22.680099489425388</v>
      </c>
      <c r="P3362" s="9">
        <v>22.680099489425388</v>
      </c>
      <c r="Q3362" s="9">
        <v>22.680099489425388</v>
      </c>
      <c r="R3362" s="9">
        <v>24.975706415973956</v>
      </c>
      <c r="S3362" s="9">
        <v>27.507757599557678</v>
      </c>
      <c r="T3362" s="9">
        <v>29.643595035649298</v>
      </c>
      <c r="U3362" s="9">
        <v>36.324172615829276</v>
      </c>
      <c r="V3362" s="9">
        <v>36.324172615829276</v>
      </c>
      <c r="W3362" s="9">
        <v>36.324172615829276</v>
      </c>
      <c r="X3362" s="9">
        <v>43.832136422596946</v>
      </c>
      <c r="Y3362" s="9">
        <v>43.832136422596946</v>
      </c>
      <c r="Z3362" s="9">
        <v>51.429400054836968</v>
      </c>
      <c r="AA3362" s="9">
        <v>51.429400054836968</v>
      </c>
      <c r="AB3362" s="9">
        <v>59.124893495096586</v>
      </c>
      <c r="AC3362" s="9">
        <v>59.124893495096586</v>
      </c>
      <c r="AD3362" s="9">
        <v>68.673407568137122</v>
      </c>
      <c r="AE3362" s="9">
        <v>75.899806853903883</v>
      </c>
      <c r="AF3362" s="9">
        <v>83.243930726651769</v>
      </c>
      <c r="AG3362" s="9">
        <v>83.243930726651769</v>
      </c>
      <c r="AH3362" s="9">
        <v>91.483430312965311</v>
      </c>
      <c r="AI3362" s="9">
        <v>99.63294480172658</v>
      </c>
      <c r="AJ3362" s="9">
        <v>3.0428788910505911</v>
      </c>
    </row>
    <row r="3363" spans="1:36" x14ac:dyDescent="0.25">
      <c r="A3363" t="s">
        <v>5411</v>
      </c>
      <c r="B3363" t="s">
        <v>16</v>
      </c>
      <c r="C3363" t="s">
        <v>17</v>
      </c>
      <c r="D3363">
        <v>64260000</v>
      </c>
      <c r="E3363">
        <v>64264999</v>
      </c>
      <c r="F3363" t="s">
        <v>3031</v>
      </c>
      <c r="G3363" t="str">
        <f t="shared" si="104"/>
        <v>PII</v>
      </c>
      <c r="H3363" t="s">
        <v>2995</v>
      </c>
      <c r="I3363" t="s">
        <v>20</v>
      </c>
      <c r="J3363" t="s">
        <v>62</v>
      </c>
      <c r="K3363" s="6">
        <v>0.03</v>
      </c>
      <c r="L3363" s="7">
        <f t="shared" si="105"/>
        <v>2E-3</v>
      </c>
      <c r="M3363" s="7">
        <v>3.0000000000000001E-3</v>
      </c>
      <c r="N3363">
        <v>14</v>
      </c>
      <c r="O3363" s="8">
        <v>18.523064475870246</v>
      </c>
      <c r="P3363" s="9">
        <v>18.523064475870246</v>
      </c>
      <c r="Q3363" s="9">
        <v>18.523064475870246</v>
      </c>
      <c r="R3363" s="9">
        <v>19.986085921544504</v>
      </c>
      <c r="S3363" s="9">
        <v>22.12943390989907</v>
      </c>
      <c r="T3363" s="9">
        <v>24.361587349653966</v>
      </c>
      <c r="U3363" s="9">
        <v>30.016334788894795</v>
      </c>
      <c r="V3363" s="9">
        <v>30.016334788894795</v>
      </c>
      <c r="W3363" s="9">
        <v>30.016334788894795</v>
      </c>
      <c r="X3363" s="9">
        <v>36.357177991180244</v>
      </c>
      <c r="Y3363" s="9">
        <v>36.357177991180244</v>
      </c>
      <c r="Z3363" s="9">
        <v>42.885327131268298</v>
      </c>
      <c r="AA3363" s="9">
        <v>42.885327131268298</v>
      </c>
      <c r="AB3363" s="9">
        <v>49.659479185845427</v>
      </c>
      <c r="AC3363" s="9">
        <v>49.659479185845427</v>
      </c>
      <c r="AD3363" s="9">
        <v>56.580305827489475</v>
      </c>
      <c r="AE3363" s="9">
        <v>63.666673708638676</v>
      </c>
      <c r="AF3363" s="9">
        <v>70.939940361157198</v>
      </c>
      <c r="AG3363" s="9">
        <v>70.939940361157198</v>
      </c>
      <c r="AH3363" s="9">
        <v>77.933178543288449</v>
      </c>
      <c r="AI3363" s="9">
        <v>85.444390652517114</v>
      </c>
      <c r="AJ3363" s="9">
        <v>3.0428788910505911</v>
      </c>
    </row>
    <row r="3364" spans="1:36" x14ac:dyDescent="0.25">
      <c r="A3364" t="s">
        <v>5411</v>
      </c>
      <c r="B3364" t="s">
        <v>16</v>
      </c>
      <c r="C3364" t="s">
        <v>17</v>
      </c>
      <c r="D3364">
        <v>64265000</v>
      </c>
      <c r="E3364">
        <v>64269999</v>
      </c>
      <c r="F3364" t="s">
        <v>3032</v>
      </c>
      <c r="G3364" t="str">
        <f t="shared" si="104"/>
        <v>PII II</v>
      </c>
      <c r="H3364" t="s">
        <v>2995</v>
      </c>
      <c r="I3364" t="s">
        <v>20</v>
      </c>
      <c r="J3364" t="s">
        <v>64</v>
      </c>
      <c r="K3364" s="6">
        <v>0.03</v>
      </c>
      <c r="L3364" s="7">
        <f t="shared" si="105"/>
        <v>2E-3</v>
      </c>
      <c r="M3364" s="7">
        <v>3.0000000000000001E-3</v>
      </c>
      <c r="N3364">
        <v>14</v>
      </c>
      <c r="O3364" s="8">
        <v>22.680099489425388</v>
      </c>
      <c r="P3364" s="9">
        <v>22.680099489425388</v>
      </c>
      <c r="Q3364" s="9">
        <v>22.680099489425388</v>
      </c>
      <c r="R3364" s="9">
        <v>24.975706415973956</v>
      </c>
      <c r="S3364" s="9">
        <v>27.507757599557678</v>
      </c>
      <c r="T3364" s="9">
        <v>29.643595035649298</v>
      </c>
      <c r="U3364" s="9">
        <v>36.324172615829276</v>
      </c>
      <c r="V3364" s="9">
        <v>36.324172615829276</v>
      </c>
      <c r="W3364" s="9">
        <v>36.324172615829276</v>
      </c>
      <c r="X3364" s="9">
        <v>43.832136422596946</v>
      </c>
      <c r="Y3364" s="9">
        <v>43.832136422596946</v>
      </c>
      <c r="Z3364" s="9">
        <v>51.429400054836968</v>
      </c>
      <c r="AA3364" s="9">
        <v>51.429400054836968</v>
      </c>
      <c r="AB3364" s="9">
        <v>59.124893495096586</v>
      </c>
      <c r="AC3364" s="9">
        <v>59.124893495096586</v>
      </c>
      <c r="AD3364" s="9">
        <v>68.673407568137122</v>
      </c>
      <c r="AE3364" s="9">
        <v>75.899806853903883</v>
      </c>
      <c r="AF3364" s="9">
        <v>83.243930726651769</v>
      </c>
      <c r="AG3364" s="9">
        <v>83.243930726651769</v>
      </c>
      <c r="AH3364" s="9">
        <v>91.483430312965311</v>
      </c>
      <c r="AI3364" s="9">
        <v>99.63294480172658</v>
      </c>
      <c r="AJ3364" s="9">
        <v>3.0428788910505911</v>
      </c>
    </row>
    <row r="3365" spans="1:36" x14ac:dyDescent="0.25">
      <c r="A3365" t="s">
        <v>5411</v>
      </c>
      <c r="B3365" t="s">
        <v>16</v>
      </c>
      <c r="C3365" t="s">
        <v>17</v>
      </c>
      <c r="D3365">
        <v>64270000</v>
      </c>
      <c r="E3365">
        <v>64274999</v>
      </c>
      <c r="F3365" t="s">
        <v>3033</v>
      </c>
      <c r="G3365" t="str">
        <f t="shared" si="104"/>
        <v>PII II</v>
      </c>
      <c r="H3365" t="s">
        <v>2995</v>
      </c>
      <c r="I3365" t="s">
        <v>20</v>
      </c>
      <c r="J3365" t="s">
        <v>64</v>
      </c>
      <c r="K3365" s="6">
        <v>0.03</v>
      </c>
      <c r="L3365" s="7">
        <f t="shared" si="105"/>
        <v>2E-3</v>
      </c>
      <c r="M3365" s="7">
        <v>3.0000000000000001E-3</v>
      </c>
      <c r="N3365">
        <v>14</v>
      </c>
      <c r="O3365" s="8">
        <v>22.680099489425388</v>
      </c>
      <c r="P3365" s="9">
        <v>22.680099489425388</v>
      </c>
      <c r="Q3365" s="9">
        <v>22.680099489425388</v>
      </c>
      <c r="R3365" s="9">
        <v>24.975706415973956</v>
      </c>
      <c r="S3365" s="9">
        <v>27.507757599557678</v>
      </c>
      <c r="T3365" s="9">
        <v>29.643595035649298</v>
      </c>
      <c r="U3365" s="9">
        <v>36.324172615829276</v>
      </c>
      <c r="V3365" s="9">
        <v>36.324172615829276</v>
      </c>
      <c r="W3365" s="9">
        <v>36.324172615829276</v>
      </c>
      <c r="X3365" s="9">
        <v>43.832136422596946</v>
      </c>
      <c r="Y3365" s="9">
        <v>43.832136422596946</v>
      </c>
      <c r="Z3365" s="9">
        <v>51.429400054836968</v>
      </c>
      <c r="AA3365" s="9">
        <v>51.429400054836968</v>
      </c>
      <c r="AB3365" s="9">
        <v>59.124893495096586</v>
      </c>
      <c r="AC3365" s="9">
        <v>59.124893495096586</v>
      </c>
      <c r="AD3365" s="9">
        <v>68.673407568137122</v>
      </c>
      <c r="AE3365" s="9">
        <v>75.899806853903883</v>
      </c>
      <c r="AF3365" s="9">
        <v>83.243930726651769</v>
      </c>
      <c r="AG3365" s="9">
        <v>83.243930726651769</v>
      </c>
      <c r="AH3365" s="9">
        <v>91.483430312965311</v>
      </c>
      <c r="AI3365" s="9">
        <v>99.63294480172658</v>
      </c>
      <c r="AJ3365" s="9">
        <v>3.0428788910505911</v>
      </c>
    </row>
    <row r="3366" spans="1:36" x14ac:dyDescent="0.25">
      <c r="A3366" t="s">
        <v>5411</v>
      </c>
      <c r="B3366" t="s">
        <v>16</v>
      </c>
      <c r="C3366" t="s">
        <v>17</v>
      </c>
      <c r="D3366">
        <v>64275000</v>
      </c>
      <c r="E3366">
        <v>64277999</v>
      </c>
      <c r="F3366" t="s">
        <v>3034</v>
      </c>
      <c r="G3366" t="str">
        <f t="shared" si="104"/>
        <v>PII II</v>
      </c>
      <c r="H3366" t="s">
        <v>2995</v>
      </c>
      <c r="I3366" t="s">
        <v>20</v>
      </c>
      <c r="J3366" t="s">
        <v>64</v>
      </c>
      <c r="K3366" s="6">
        <v>0.03</v>
      </c>
      <c r="L3366" s="7">
        <f t="shared" si="105"/>
        <v>2E-3</v>
      </c>
      <c r="M3366" s="7">
        <v>3.0000000000000001E-3</v>
      </c>
      <c r="N3366">
        <v>15</v>
      </c>
      <c r="O3366" s="8">
        <v>22.680099489425388</v>
      </c>
      <c r="P3366" s="9">
        <v>22.680099489425388</v>
      </c>
      <c r="Q3366" s="9">
        <v>22.680099489425388</v>
      </c>
      <c r="R3366" s="9">
        <v>24.975706415973956</v>
      </c>
      <c r="S3366" s="9">
        <v>27.507757599557678</v>
      </c>
      <c r="T3366" s="9">
        <v>29.643595035649298</v>
      </c>
      <c r="U3366" s="9">
        <v>36.324172615829276</v>
      </c>
      <c r="V3366" s="9">
        <v>36.324172615829276</v>
      </c>
      <c r="W3366" s="9">
        <v>36.324172615829276</v>
      </c>
      <c r="X3366" s="9">
        <v>43.832136422596946</v>
      </c>
      <c r="Y3366" s="9">
        <v>43.832136422596946</v>
      </c>
      <c r="Z3366" s="9">
        <v>51.429400054836968</v>
      </c>
      <c r="AA3366" s="9">
        <v>51.429400054836968</v>
      </c>
      <c r="AB3366" s="9">
        <v>59.124893495096586</v>
      </c>
      <c r="AC3366" s="9">
        <v>59.124893495096586</v>
      </c>
      <c r="AD3366" s="9">
        <v>68.673407568137122</v>
      </c>
      <c r="AE3366" s="9">
        <v>75.899806853903883</v>
      </c>
      <c r="AF3366" s="9">
        <v>83.243930726651769</v>
      </c>
      <c r="AG3366" s="9">
        <v>83.243930726651769</v>
      </c>
      <c r="AH3366" s="9">
        <v>91.483430312965311</v>
      </c>
      <c r="AI3366" s="9">
        <v>99.63294480172658</v>
      </c>
      <c r="AJ3366" s="9">
        <v>3.0428788910505911</v>
      </c>
    </row>
    <row r="3367" spans="1:36" x14ac:dyDescent="0.25">
      <c r="A3367" t="s">
        <v>5411</v>
      </c>
      <c r="B3367" t="s">
        <v>16</v>
      </c>
      <c r="C3367" t="s">
        <v>17</v>
      </c>
      <c r="D3367">
        <v>64278000</v>
      </c>
      <c r="E3367">
        <v>64279999</v>
      </c>
      <c r="F3367" t="s">
        <v>3035</v>
      </c>
      <c r="G3367" t="str">
        <f t="shared" si="104"/>
        <v>PII II</v>
      </c>
      <c r="H3367" t="s">
        <v>2995</v>
      </c>
      <c r="I3367" t="s">
        <v>20</v>
      </c>
      <c r="J3367" t="s">
        <v>64</v>
      </c>
      <c r="K3367" s="6">
        <v>0.03</v>
      </c>
      <c r="L3367" s="7">
        <f t="shared" si="105"/>
        <v>2E-3</v>
      </c>
      <c r="M3367" s="7">
        <v>3.0000000000000001E-3</v>
      </c>
      <c r="N3367">
        <v>14</v>
      </c>
      <c r="O3367" s="8">
        <v>22.680099489425388</v>
      </c>
      <c r="P3367" s="9">
        <v>22.680099489425388</v>
      </c>
      <c r="Q3367" s="9">
        <v>22.680099489425388</v>
      </c>
      <c r="R3367" s="9">
        <v>24.975706415973956</v>
      </c>
      <c r="S3367" s="9">
        <v>27.507757599557678</v>
      </c>
      <c r="T3367" s="9">
        <v>29.643595035649298</v>
      </c>
      <c r="U3367" s="9">
        <v>36.324172615829276</v>
      </c>
      <c r="V3367" s="9">
        <v>36.324172615829276</v>
      </c>
      <c r="W3367" s="9">
        <v>36.324172615829276</v>
      </c>
      <c r="X3367" s="9">
        <v>43.832136422596946</v>
      </c>
      <c r="Y3367" s="9">
        <v>43.832136422596946</v>
      </c>
      <c r="Z3367" s="9">
        <v>51.429400054836968</v>
      </c>
      <c r="AA3367" s="9">
        <v>51.429400054836968</v>
      </c>
      <c r="AB3367" s="9">
        <v>59.124893495096586</v>
      </c>
      <c r="AC3367" s="9">
        <v>59.124893495096586</v>
      </c>
      <c r="AD3367" s="9">
        <v>68.673407568137122</v>
      </c>
      <c r="AE3367" s="9">
        <v>75.899806853903883</v>
      </c>
      <c r="AF3367" s="9">
        <v>83.243930726651769</v>
      </c>
      <c r="AG3367" s="9">
        <v>83.243930726651769</v>
      </c>
      <c r="AH3367" s="9">
        <v>91.483430312965311</v>
      </c>
      <c r="AI3367" s="9">
        <v>99.63294480172658</v>
      </c>
      <c r="AJ3367" s="9">
        <v>3.0428788910505911</v>
      </c>
    </row>
    <row r="3368" spans="1:36" x14ac:dyDescent="0.25">
      <c r="A3368" t="s">
        <v>5411</v>
      </c>
      <c r="B3368" t="s">
        <v>16</v>
      </c>
      <c r="C3368" t="s">
        <v>17</v>
      </c>
      <c r="D3368">
        <v>64280000</v>
      </c>
      <c r="E3368">
        <v>64282999</v>
      </c>
      <c r="F3368" t="s">
        <v>3036</v>
      </c>
      <c r="G3368" t="str">
        <f t="shared" si="104"/>
        <v>PII</v>
      </c>
      <c r="H3368" t="s">
        <v>2995</v>
      </c>
      <c r="I3368" t="s">
        <v>20</v>
      </c>
      <c r="J3368" t="s">
        <v>62</v>
      </c>
      <c r="K3368" s="6">
        <v>0.03</v>
      </c>
      <c r="L3368" s="7">
        <f t="shared" si="105"/>
        <v>2E-3</v>
      </c>
      <c r="M3368" s="7">
        <v>3.0000000000000001E-3</v>
      </c>
      <c r="N3368">
        <v>14</v>
      </c>
      <c r="O3368" s="8">
        <v>18.523064475870246</v>
      </c>
      <c r="P3368" s="9">
        <v>18.523064475870246</v>
      </c>
      <c r="Q3368" s="9">
        <v>18.523064475870246</v>
      </c>
      <c r="R3368" s="9">
        <v>19.986085921544504</v>
      </c>
      <c r="S3368" s="9">
        <v>22.12943390989907</v>
      </c>
      <c r="T3368" s="9">
        <v>24.361587349653966</v>
      </c>
      <c r="U3368" s="9">
        <v>30.016334788894795</v>
      </c>
      <c r="V3368" s="9">
        <v>30.016334788894795</v>
      </c>
      <c r="W3368" s="9">
        <v>30.016334788894795</v>
      </c>
      <c r="X3368" s="9">
        <v>36.357177991180244</v>
      </c>
      <c r="Y3368" s="9">
        <v>36.357177991180244</v>
      </c>
      <c r="Z3368" s="9">
        <v>42.885327131268298</v>
      </c>
      <c r="AA3368" s="9">
        <v>42.885327131268298</v>
      </c>
      <c r="AB3368" s="9">
        <v>49.659479185845427</v>
      </c>
      <c r="AC3368" s="9">
        <v>49.659479185845427</v>
      </c>
      <c r="AD3368" s="9">
        <v>56.580305827489475</v>
      </c>
      <c r="AE3368" s="9">
        <v>63.666673708638676</v>
      </c>
      <c r="AF3368" s="9">
        <v>70.939940361157198</v>
      </c>
      <c r="AG3368" s="9">
        <v>70.939940361157198</v>
      </c>
      <c r="AH3368" s="9">
        <v>77.933178543288449</v>
      </c>
      <c r="AI3368" s="9">
        <v>85.444390652517114</v>
      </c>
      <c r="AJ3368" s="9">
        <v>3.0428788910505911</v>
      </c>
    </row>
    <row r="3369" spans="1:36" x14ac:dyDescent="0.25">
      <c r="A3369" t="s">
        <v>5411</v>
      </c>
      <c r="B3369" t="s">
        <v>16</v>
      </c>
      <c r="C3369" t="s">
        <v>17</v>
      </c>
      <c r="D3369">
        <v>64283000</v>
      </c>
      <c r="E3369">
        <v>64284999</v>
      </c>
      <c r="F3369" t="s">
        <v>3037</v>
      </c>
      <c r="G3369" t="str">
        <f t="shared" si="104"/>
        <v>PII II</v>
      </c>
      <c r="H3369" t="s">
        <v>2995</v>
      </c>
      <c r="I3369" t="s">
        <v>20</v>
      </c>
      <c r="J3369" t="s">
        <v>64</v>
      </c>
      <c r="K3369" s="6">
        <v>0.03</v>
      </c>
      <c r="L3369" s="7">
        <f t="shared" si="105"/>
        <v>2E-3</v>
      </c>
      <c r="M3369" s="7">
        <v>3.0000000000000001E-3</v>
      </c>
      <c r="N3369">
        <v>15</v>
      </c>
      <c r="O3369" s="8">
        <v>22.680099489425388</v>
      </c>
      <c r="P3369" s="9">
        <v>22.680099489425388</v>
      </c>
      <c r="Q3369" s="9">
        <v>22.680099489425388</v>
      </c>
      <c r="R3369" s="9">
        <v>24.975706415973956</v>
      </c>
      <c r="S3369" s="9">
        <v>27.507757599557678</v>
      </c>
      <c r="T3369" s="9">
        <v>29.643595035649298</v>
      </c>
      <c r="U3369" s="9">
        <v>36.324172615829276</v>
      </c>
      <c r="V3369" s="9">
        <v>36.324172615829276</v>
      </c>
      <c r="W3369" s="9">
        <v>36.324172615829276</v>
      </c>
      <c r="X3369" s="9">
        <v>43.832136422596946</v>
      </c>
      <c r="Y3369" s="9">
        <v>43.832136422596946</v>
      </c>
      <c r="Z3369" s="9">
        <v>51.429400054836968</v>
      </c>
      <c r="AA3369" s="9">
        <v>51.429400054836968</v>
      </c>
      <c r="AB3369" s="9">
        <v>59.124893495096586</v>
      </c>
      <c r="AC3369" s="9">
        <v>59.124893495096586</v>
      </c>
      <c r="AD3369" s="9">
        <v>68.673407568137122</v>
      </c>
      <c r="AE3369" s="9">
        <v>75.899806853903883</v>
      </c>
      <c r="AF3369" s="9">
        <v>83.243930726651769</v>
      </c>
      <c r="AG3369" s="9">
        <v>83.243930726651769</v>
      </c>
      <c r="AH3369" s="9">
        <v>91.483430312965311</v>
      </c>
      <c r="AI3369" s="9">
        <v>99.63294480172658</v>
      </c>
      <c r="AJ3369" s="9">
        <v>3.0428788910505911</v>
      </c>
    </row>
    <row r="3370" spans="1:36" x14ac:dyDescent="0.25">
      <c r="A3370" t="s">
        <v>5411</v>
      </c>
      <c r="B3370" t="s">
        <v>16</v>
      </c>
      <c r="C3370" t="s">
        <v>17</v>
      </c>
      <c r="D3370">
        <v>64285000</v>
      </c>
      <c r="E3370">
        <v>64287999</v>
      </c>
      <c r="F3370" t="s">
        <v>3038</v>
      </c>
      <c r="G3370" t="str">
        <f t="shared" si="104"/>
        <v>PII II</v>
      </c>
      <c r="H3370" t="s">
        <v>2995</v>
      </c>
      <c r="I3370" t="s">
        <v>20</v>
      </c>
      <c r="J3370" t="s">
        <v>64</v>
      </c>
      <c r="K3370" s="6">
        <v>0.03</v>
      </c>
      <c r="L3370" s="7">
        <f t="shared" si="105"/>
        <v>2E-3</v>
      </c>
      <c r="M3370" s="7">
        <v>3.0000000000000001E-3</v>
      </c>
      <c r="N3370">
        <v>15</v>
      </c>
      <c r="O3370" s="8">
        <v>22.680099489425388</v>
      </c>
      <c r="P3370" s="9">
        <v>22.680099489425388</v>
      </c>
      <c r="Q3370" s="9">
        <v>22.680099489425388</v>
      </c>
      <c r="R3370" s="9">
        <v>24.975706415973956</v>
      </c>
      <c r="S3370" s="9">
        <v>27.507757599557678</v>
      </c>
      <c r="T3370" s="9">
        <v>29.643595035649298</v>
      </c>
      <c r="U3370" s="9">
        <v>36.324172615829276</v>
      </c>
      <c r="V3370" s="9">
        <v>36.324172615829276</v>
      </c>
      <c r="W3370" s="9">
        <v>36.324172615829276</v>
      </c>
      <c r="X3370" s="9">
        <v>43.832136422596946</v>
      </c>
      <c r="Y3370" s="9">
        <v>43.832136422596946</v>
      </c>
      <c r="Z3370" s="9">
        <v>51.429400054836968</v>
      </c>
      <c r="AA3370" s="9">
        <v>51.429400054836968</v>
      </c>
      <c r="AB3370" s="9">
        <v>59.124893495096586</v>
      </c>
      <c r="AC3370" s="9">
        <v>59.124893495096586</v>
      </c>
      <c r="AD3370" s="9">
        <v>68.673407568137122</v>
      </c>
      <c r="AE3370" s="9">
        <v>75.899806853903883</v>
      </c>
      <c r="AF3370" s="9">
        <v>83.243930726651769</v>
      </c>
      <c r="AG3370" s="9">
        <v>83.243930726651769</v>
      </c>
      <c r="AH3370" s="9">
        <v>91.483430312965311</v>
      </c>
      <c r="AI3370" s="9">
        <v>99.63294480172658</v>
      </c>
      <c r="AJ3370" s="9">
        <v>3.0428788910505911</v>
      </c>
    </row>
    <row r="3371" spans="1:36" x14ac:dyDescent="0.25">
      <c r="A3371" t="s">
        <v>5411</v>
      </c>
      <c r="B3371" t="s">
        <v>16</v>
      </c>
      <c r="C3371" t="s">
        <v>17</v>
      </c>
      <c r="D3371">
        <v>64288000</v>
      </c>
      <c r="E3371">
        <v>64289999</v>
      </c>
      <c r="F3371" t="s">
        <v>3039</v>
      </c>
      <c r="G3371" t="str">
        <f t="shared" si="104"/>
        <v>PII II</v>
      </c>
      <c r="H3371" t="s">
        <v>2995</v>
      </c>
      <c r="I3371" t="s">
        <v>20</v>
      </c>
      <c r="J3371" t="s">
        <v>64</v>
      </c>
      <c r="K3371" s="6">
        <v>0.03</v>
      </c>
      <c r="L3371" s="7">
        <f t="shared" si="105"/>
        <v>2E-3</v>
      </c>
      <c r="M3371" s="7">
        <v>3.0000000000000001E-3</v>
      </c>
      <c r="N3371">
        <v>14</v>
      </c>
      <c r="O3371" s="8">
        <v>22.680099489425388</v>
      </c>
      <c r="P3371" s="9">
        <v>22.680099489425388</v>
      </c>
      <c r="Q3371" s="9">
        <v>22.680099489425388</v>
      </c>
      <c r="R3371" s="9">
        <v>24.975706415973956</v>
      </c>
      <c r="S3371" s="9">
        <v>27.507757599557678</v>
      </c>
      <c r="T3371" s="9">
        <v>29.643595035649298</v>
      </c>
      <c r="U3371" s="9">
        <v>36.324172615829276</v>
      </c>
      <c r="V3371" s="9">
        <v>36.324172615829276</v>
      </c>
      <c r="W3371" s="9">
        <v>36.324172615829276</v>
      </c>
      <c r="X3371" s="9">
        <v>43.832136422596946</v>
      </c>
      <c r="Y3371" s="9">
        <v>43.832136422596946</v>
      </c>
      <c r="Z3371" s="9">
        <v>51.429400054836968</v>
      </c>
      <c r="AA3371" s="9">
        <v>51.429400054836968</v>
      </c>
      <c r="AB3371" s="9">
        <v>59.124893495096586</v>
      </c>
      <c r="AC3371" s="9">
        <v>59.124893495096586</v>
      </c>
      <c r="AD3371" s="9">
        <v>68.673407568137122</v>
      </c>
      <c r="AE3371" s="9">
        <v>75.899806853903883</v>
      </c>
      <c r="AF3371" s="9">
        <v>83.243930726651769</v>
      </c>
      <c r="AG3371" s="9">
        <v>83.243930726651769</v>
      </c>
      <c r="AH3371" s="9">
        <v>91.483430312965311</v>
      </c>
      <c r="AI3371" s="9">
        <v>99.63294480172658</v>
      </c>
      <c r="AJ3371" s="9">
        <v>3.0428788910505911</v>
      </c>
    </row>
    <row r="3372" spans="1:36" x14ac:dyDescent="0.25">
      <c r="A3372" t="s">
        <v>5411</v>
      </c>
      <c r="B3372" t="s">
        <v>16</v>
      </c>
      <c r="C3372" t="s">
        <v>17</v>
      </c>
      <c r="D3372">
        <v>64290000</v>
      </c>
      <c r="E3372">
        <v>64294999</v>
      </c>
      <c r="F3372" t="s">
        <v>3040</v>
      </c>
      <c r="G3372" t="str">
        <f t="shared" si="104"/>
        <v>PII</v>
      </c>
      <c r="H3372" t="s">
        <v>2995</v>
      </c>
      <c r="I3372" t="s">
        <v>20</v>
      </c>
      <c r="J3372" t="s">
        <v>62</v>
      </c>
      <c r="K3372" s="6">
        <v>0.03</v>
      </c>
      <c r="L3372" s="7">
        <f t="shared" si="105"/>
        <v>2E-3</v>
      </c>
      <c r="M3372" s="7">
        <v>3.0000000000000001E-3</v>
      </c>
      <c r="N3372">
        <v>12</v>
      </c>
      <c r="O3372" s="8">
        <v>18.523064475870246</v>
      </c>
      <c r="P3372" s="9">
        <v>18.523064475870246</v>
      </c>
      <c r="Q3372" s="9">
        <v>18.523064475870246</v>
      </c>
      <c r="R3372" s="9">
        <v>19.986085921544504</v>
      </c>
      <c r="S3372" s="9">
        <v>22.12943390989907</v>
      </c>
      <c r="T3372" s="9">
        <v>24.361587349653966</v>
      </c>
      <c r="U3372" s="9">
        <v>30.016334788894795</v>
      </c>
      <c r="V3372" s="9">
        <v>30.016334788894795</v>
      </c>
      <c r="W3372" s="9">
        <v>30.016334788894795</v>
      </c>
      <c r="X3372" s="9">
        <v>36.357177991180244</v>
      </c>
      <c r="Y3372" s="9">
        <v>36.357177991180244</v>
      </c>
      <c r="Z3372" s="9">
        <v>42.885327131268298</v>
      </c>
      <c r="AA3372" s="9">
        <v>42.885327131268298</v>
      </c>
      <c r="AB3372" s="9">
        <v>49.659479185845427</v>
      </c>
      <c r="AC3372" s="9">
        <v>49.659479185845427</v>
      </c>
      <c r="AD3372" s="9">
        <v>56.580305827489475</v>
      </c>
      <c r="AE3372" s="9">
        <v>63.666673708638676</v>
      </c>
      <c r="AF3372" s="9">
        <v>70.939940361157198</v>
      </c>
      <c r="AG3372" s="9">
        <v>70.939940361157198</v>
      </c>
      <c r="AH3372" s="9">
        <v>77.933178543288449</v>
      </c>
      <c r="AI3372" s="9">
        <v>85.444390652517114</v>
      </c>
      <c r="AJ3372" s="9">
        <v>3.0428788910505911</v>
      </c>
    </row>
    <row r="3373" spans="1:36" x14ac:dyDescent="0.25">
      <c r="A3373" t="s">
        <v>5411</v>
      </c>
      <c r="B3373" t="s">
        <v>16</v>
      </c>
      <c r="C3373" t="s">
        <v>17</v>
      </c>
      <c r="D3373">
        <v>64295000</v>
      </c>
      <c r="E3373">
        <v>64299999</v>
      </c>
      <c r="F3373" t="s">
        <v>3041</v>
      </c>
      <c r="G3373" t="str">
        <f t="shared" si="104"/>
        <v>PII II</v>
      </c>
      <c r="H3373" t="s">
        <v>2995</v>
      </c>
      <c r="I3373" t="s">
        <v>20</v>
      </c>
      <c r="J3373" t="s">
        <v>64</v>
      </c>
      <c r="K3373" s="6">
        <v>0.03</v>
      </c>
      <c r="L3373" s="7">
        <f t="shared" si="105"/>
        <v>2E-3</v>
      </c>
      <c r="M3373" s="7">
        <v>3.0000000000000001E-3</v>
      </c>
      <c r="N3373">
        <v>15</v>
      </c>
      <c r="O3373" s="8">
        <v>22.680099489425388</v>
      </c>
      <c r="P3373" s="9">
        <v>22.680099489425388</v>
      </c>
      <c r="Q3373" s="9">
        <v>22.680099489425388</v>
      </c>
      <c r="R3373" s="9">
        <v>24.975706415973956</v>
      </c>
      <c r="S3373" s="9">
        <v>27.507757599557678</v>
      </c>
      <c r="T3373" s="9">
        <v>29.643595035649298</v>
      </c>
      <c r="U3373" s="9">
        <v>36.324172615829276</v>
      </c>
      <c r="V3373" s="9">
        <v>36.324172615829276</v>
      </c>
      <c r="W3373" s="9">
        <v>36.324172615829276</v>
      </c>
      <c r="X3373" s="9">
        <v>43.832136422596946</v>
      </c>
      <c r="Y3373" s="9">
        <v>43.832136422596946</v>
      </c>
      <c r="Z3373" s="9">
        <v>51.429400054836968</v>
      </c>
      <c r="AA3373" s="9">
        <v>51.429400054836968</v>
      </c>
      <c r="AB3373" s="9">
        <v>59.124893495096586</v>
      </c>
      <c r="AC3373" s="9">
        <v>59.124893495096586</v>
      </c>
      <c r="AD3373" s="9">
        <v>68.673407568137122</v>
      </c>
      <c r="AE3373" s="9">
        <v>75.899806853903883</v>
      </c>
      <c r="AF3373" s="9">
        <v>83.243930726651769</v>
      </c>
      <c r="AG3373" s="9">
        <v>83.243930726651769</v>
      </c>
      <c r="AH3373" s="9">
        <v>91.483430312965311</v>
      </c>
      <c r="AI3373" s="9">
        <v>99.63294480172658</v>
      </c>
      <c r="AJ3373" s="9">
        <v>3.0428788910505911</v>
      </c>
    </row>
    <row r="3374" spans="1:36" x14ac:dyDescent="0.25">
      <c r="A3374" t="s">
        <v>5411</v>
      </c>
      <c r="B3374" t="s">
        <v>16</v>
      </c>
      <c r="C3374" t="s">
        <v>17</v>
      </c>
      <c r="D3374">
        <v>64300000</v>
      </c>
      <c r="E3374">
        <v>64307999</v>
      </c>
      <c r="F3374" t="s">
        <v>3042</v>
      </c>
      <c r="G3374" t="str">
        <f t="shared" si="104"/>
        <v>PII II</v>
      </c>
      <c r="H3374" t="s">
        <v>2995</v>
      </c>
      <c r="I3374" t="s">
        <v>20</v>
      </c>
      <c r="J3374" t="s">
        <v>64</v>
      </c>
      <c r="K3374" s="6">
        <v>0.03</v>
      </c>
      <c r="L3374" s="7">
        <f t="shared" si="105"/>
        <v>2E-3</v>
      </c>
      <c r="M3374" s="7">
        <v>3.0000000000000001E-3</v>
      </c>
      <c r="N3374">
        <v>15</v>
      </c>
      <c r="O3374" s="8">
        <v>22.680099489425388</v>
      </c>
      <c r="P3374" s="9">
        <v>22.680099489425388</v>
      </c>
      <c r="Q3374" s="9">
        <v>22.680099489425388</v>
      </c>
      <c r="R3374" s="9">
        <v>24.975706415973956</v>
      </c>
      <c r="S3374" s="9">
        <v>27.507757599557678</v>
      </c>
      <c r="T3374" s="9">
        <v>29.643595035649298</v>
      </c>
      <c r="U3374" s="9">
        <v>36.324172615829276</v>
      </c>
      <c r="V3374" s="9">
        <v>36.324172615829276</v>
      </c>
      <c r="W3374" s="9">
        <v>36.324172615829276</v>
      </c>
      <c r="X3374" s="9">
        <v>43.832136422596946</v>
      </c>
      <c r="Y3374" s="9">
        <v>43.832136422596946</v>
      </c>
      <c r="Z3374" s="9">
        <v>51.429400054836968</v>
      </c>
      <c r="AA3374" s="9">
        <v>51.429400054836968</v>
      </c>
      <c r="AB3374" s="9">
        <v>59.124893495096586</v>
      </c>
      <c r="AC3374" s="9">
        <v>59.124893495096586</v>
      </c>
      <c r="AD3374" s="9">
        <v>68.673407568137122</v>
      </c>
      <c r="AE3374" s="9">
        <v>75.899806853903883</v>
      </c>
      <c r="AF3374" s="9">
        <v>83.243930726651769</v>
      </c>
      <c r="AG3374" s="9">
        <v>83.243930726651769</v>
      </c>
      <c r="AH3374" s="9">
        <v>91.483430312965311</v>
      </c>
      <c r="AI3374" s="9">
        <v>99.63294480172658</v>
      </c>
      <c r="AJ3374" s="9">
        <v>3.0428788910505911</v>
      </c>
    </row>
    <row r="3375" spans="1:36" x14ac:dyDescent="0.25">
      <c r="A3375" t="s">
        <v>5411</v>
      </c>
      <c r="B3375" t="s">
        <v>16</v>
      </c>
      <c r="C3375" t="s">
        <v>17</v>
      </c>
      <c r="D3375">
        <v>64308000</v>
      </c>
      <c r="E3375">
        <v>64309999</v>
      </c>
      <c r="F3375" t="s">
        <v>3043</v>
      </c>
      <c r="G3375" t="str">
        <f t="shared" si="104"/>
        <v>PII II</v>
      </c>
      <c r="H3375" t="s">
        <v>2995</v>
      </c>
      <c r="I3375" t="s">
        <v>20</v>
      </c>
      <c r="J3375" t="s">
        <v>64</v>
      </c>
      <c r="K3375" s="6">
        <v>0.03</v>
      </c>
      <c r="L3375" s="7">
        <f t="shared" si="105"/>
        <v>2E-3</v>
      </c>
      <c r="M3375" s="7">
        <v>3.0000000000000001E-3</v>
      </c>
      <c r="N3375">
        <v>14</v>
      </c>
      <c r="O3375" s="8">
        <v>22.680099489425388</v>
      </c>
      <c r="P3375" s="9">
        <v>22.680099489425388</v>
      </c>
      <c r="Q3375" s="9">
        <v>22.680099489425388</v>
      </c>
      <c r="R3375" s="9">
        <v>24.975706415973956</v>
      </c>
      <c r="S3375" s="9">
        <v>27.507757599557678</v>
      </c>
      <c r="T3375" s="9">
        <v>29.643595035649298</v>
      </c>
      <c r="U3375" s="9">
        <v>36.324172615829276</v>
      </c>
      <c r="V3375" s="9">
        <v>36.324172615829276</v>
      </c>
      <c r="W3375" s="9">
        <v>36.324172615829276</v>
      </c>
      <c r="X3375" s="9">
        <v>43.832136422596946</v>
      </c>
      <c r="Y3375" s="9">
        <v>43.832136422596946</v>
      </c>
      <c r="Z3375" s="9">
        <v>51.429400054836968</v>
      </c>
      <c r="AA3375" s="9">
        <v>51.429400054836968</v>
      </c>
      <c r="AB3375" s="9">
        <v>59.124893495096586</v>
      </c>
      <c r="AC3375" s="9">
        <v>59.124893495096586</v>
      </c>
      <c r="AD3375" s="9">
        <v>68.673407568137122</v>
      </c>
      <c r="AE3375" s="9">
        <v>75.899806853903883</v>
      </c>
      <c r="AF3375" s="9">
        <v>83.243930726651769</v>
      </c>
      <c r="AG3375" s="9">
        <v>83.243930726651769</v>
      </c>
      <c r="AH3375" s="9">
        <v>91.483430312965311</v>
      </c>
      <c r="AI3375" s="9">
        <v>99.63294480172658</v>
      </c>
      <c r="AJ3375" s="9">
        <v>3.0428788910505911</v>
      </c>
    </row>
    <row r="3376" spans="1:36" x14ac:dyDescent="0.25">
      <c r="A3376" t="s">
        <v>5411</v>
      </c>
      <c r="B3376" t="s">
        <v>16</v>
      </c>
      <c r="C3376" t="s">
        <v>17</v>
      </c>
      <c r="D3376">
        <v>64310000</v>
      </c>
      <c r="E3376">
        <v>64314999</v>
      </c>
      <c r="F3376" t="s">
        <v>3044</v>
      </c>
      <c r="G3376" t="str">
        <f t="shared" si="104"/>
        <v>PII II</v>
      </c>
      <c r="H3376" t="s">
        <v>2995</v>
      </c>
      <c r="I3376" t="s">
        <v>20</v>
      </c>
      <c r="J3376" t="s">
        <v>64</v>
      </c>
      <c r="K3376" s="6">
        <v>0.03</v>
      </c>
      <c r="L3376" s="7">
        <f t="shared" si="105"/>
        <v>2E-3</v>
      </c>
      <c r="M3376" s="7">
        <v>3.0000000000000001E-3</v>
      </c>
      <c r="N3376">
        <v>14</v>
      </c>
      <c r="O3376" s="8">
        <v>22.680099489425388</v>
      </c>
      <c r="P3376" s="9">
        <v>22.680099489425388</v>
      </c>
      <c r="Q3376" s="9">
        <v>22.680099489425388</v>
      </c>
      <c r="R3376" s="9">
        <v>24.975706415973956</v>
      </c>
      <c r="S3376" s="9">
        <v>27.507757599557678</v>
      </c>
      <c r="T3376" s="9">
        <v>29.643595035649298</v>
      </c>
      <c r="U3376" s="9">
        <v>36.324172615829276</v>
      </c>
      <c r="V3376" s="9">
        <v>36.324172615829276</v>
      </c>
      <c r="W3376" s="9">
        <v>36.324172615829276</v>
      </c>
      <c r="X3376" s="9">
        <v>43.832136422596946</v>
      </c>
      <c r="Y3376" s="9">
        <v>43.832136422596946</v>
      </c>
      <c r="Z3376" s="9">
        <v>51.429400054836968</v>
      </c>
      <c r="AA3376" s="9">
        <v>51.429400054836968</v>
      </c>
      <c r="AB3376" s="9">
        <v>59.124893495096586</v>
      </c>
      <c r="AC3376" s="9">
        <v>59.124893495096586</v>
      </c>
      <c r="AD3376" s="9">
        <v>68.673407568137122</v>
      </c>
      <c r="AE3376" s="9">
        <v>75.899806853903883</v>
      </c>
      <c r="AF3376" s="9">
        <v>83.243930726651769</v>
      </c>
      <c r="AG3376" s="9">
        <v>83.243930726651769</v>
      </c>
      <c r="AH3376" s="9">
        <v>91.483430312965311</v>
      </c>
      <c r="AI3376" s="9">
        <v>99.63294480172658</v>
      </c>
      <c r="AJ3376" s="9">
        <v>3.0428788910505911</v>
      </c>
    </row>
    <row r="3377" spans="1:36" x14ac:dyDescent="0.25">
      <c r="A3377" t="s">
        <v>5411</v>
      </c>
      <c r="B3377" t="s">
        <v>16</v>
      </c>
      <c r="C3377" t="s">
        <v>17</v>
      </c>
      <c r="D3377">
        <v>64315000</v>
      </c>
      <c r="E3377">
        <v>64319999</v>
      </c>
      <c r="F3377" t="s">
        <v>3045</v>
      </c>
      <c r="G3377" t="str">
        <f t="shared" si="104"/>
        <v>PII</v>
      </c>
      <c r="H3377" t="s">
        <v>2995</v>
      </c>
      <c r="I3377" t="s">
        <v>20</v>
      </c>
      <c r="J3377" t="s">
        <v>62</v>
      </c>
      <c r="K3377" s="6">
        <v>0.03</v>
      </c>
      <c r="L3377" s="7">
        <f t="shared" si="105"/>
        <v>2E-3</v>
      </c>
      <c r="M3377" s="7">
        <v>3.0000000000000001E-3</v>
      </c>
      <c r="N3377">
        <v>14</v>
      </c>
      <c r="O3377" s="8">
        <v>18.523064475870246</v>
      </c>
      <c r="P3377" s="9">
        <v>18.523064475870246</v>
      </c>
      <c r="Q3377" s="9">
        <v>18.523064475870246</v>
      </c>
      <c r="R3377" s="9">
        <v>19.986085921544504</v>
      </c>
      <c r="S3377" s="9">
        <v>22.12943390989907</v>
      </c>
      <c r="T3377" s="9">
        <v>24.361587349653966</v>
      </c>
      <c r="U3377" s="9">
        <v>30.016334788894795</v>
      </c>
      <c r="V3377" s="9">
        <v>30.016334788894795</v>
      </c>
      <c r="W3377" s="9">
        <v>30.016334788894795</v>
      </c>
      <c r="X3377" s="9">
        <v>36.357177991180244</v>
      </c>
      <c r="Y3377" s="9">
        <v>36.357177991180244</v>
      </c>
      <c r="Z3377" s="9">
        <v>42.885327131268298</v>
      </c>
      <c r="AA3377" s="9">
        <v>42.885327131268298</v>
      </c>
      <c r="AB3377" s="9">
        <v>49.659479185845427</v>
      </c>
      <c r="AC3377" s="9">
        <v>49.659479185845427</v>
      </c>
      <c r="AD3377" s="9">
        <v>56.580305827489475</v>
      </c>
      <c r="AE3377" s="9">
        <v>63.666673708638676</v>
      </c>
      <c r="AF3377" s="9">
        <v>70.939940361157198</v>
      </c>
      <c r="AG3377" s="9">
        <v>70.939940361157198</v>
      </c>
      <c r="AH3377" s="9">
        <v>77.933178543288449</v>
      </c>
      <c r="AI3377" s="9">
        <v>85.444390652517114</v>
      </c>
      <c r="AJ3377" s="9">
        <v>3.0428788910505911</v>
      </c>
    </row>
    <row r="3378" spans="1:36" x14ac:dyDescent="0.25">
      <c r="A3378" t="s">
        <v>5411</v>
      </c>
      <c r="B3378" t="s">
        <v>16</v>
      </c>
      <c r="C3378" t="s">
        <v>17</v>
      </c>
      <c r="D3378">
        <v>64320000</v>
      </c>
      <c r="E3378">
        <v>64324999</v>
      </c>
      <c r="F3378" t="s">
        <v>3046</v>
      </c>
      <c r="G3378" t="str">
        <f t="shared" si="104"/>
        <v>PII II</v>
      </c>
      <c r="H3378" t="s">
        <v>2995</v>
      </c>
      <c r="I3378" t="s">
        <v>20</v>
      </c>
      <c r="J3378" t="s">
        <v>64</v>
      </c>
      <c r="K3378" s="6">
        <v>0.03</v>
      </c>
      <c r="L3378" s="7">
        <f t="shared" si="105"/>
        <v>2E-3</v>
      </c>
      <c r="M3378" s="7">
        <v>3.0000000000000001E-3</v>
      </c>
      <c r="N3378">
        <v>15</v>
      </c>
      <c r="O3378" s="8">
        <v>22.680099489425388</v>
      </c>
      <c r="P3378" s="9">
        <v>22.680099489425388</v>
      </c>
      <c r="Q3378" s="9">
        <v>22.680099489425388</v>
      </c>
      <c r="R3378" s="9">
        <v>24.975706415973956</v>
      </c>
      <c r="S3378" s="9">
        <v>27.507757599557678</v>
      </c>
      <c r="T3378" s="9">
        <v>29.643595035649298</v>
      </c>
      <c r="U3378" s="9">
        <v>36.324172615829276</v>
      </c>
      <c r="V3378" s="9">
        <v>36.324172615829276</v>
      </c>
      <c r="W3378" s="9">
        <v>36.324172615829276</v>
      </c>
      <c r="X3378" s="9">
        <v>43.832136422596946</v>
      </c>
      <c r="Y3378" s="9">
        <v>43.832136422596946</v>
      </c>
      <c r="Z3378" s="9">
        <v>51.429400054836968</v>
      </c>
      <c r="AA3378" s="9">
        <v>51.429400054836968</v>
      </c>
      <c r="AB3378" s="9">
        <v>59.124893495096586</v>
      </c>
      <c r="AC3378" s="9">
        <v>59.124893495096586</v>
      </c>
      <c r="AD3378" s="9">
        <v>68.673407568137122</v>
      </c>
      <c r="AE3378" s="9">
        <v>75.899806853903883</v>
      </c>
      <c r="AF3378" s="9">
        <v>83.243930726651769</v>
      </c>
      <c r="AG3378" s="9">
        <v>83.243930726651769</v>
      </c>
      <c r="AH3378" s="9">
        <v>91.483430312965311</v>
      </c>
      <c r="AI3378" s="9">
        <v>99.63294480172658</v>
      </c>
      <c r="AJ3378" s="9">
        <v>3.0428788910505911</v>
      </c>
    </row>
    <row r="3379" spans="1:36" x14ac:dyDescent="0.25">
      <c r="A3379" t="s">
        <v>5411</v>
      </c>
      <c r="B3379" t="s">
        <v>16</v>
      </c>
      <c r="C3379" t="s">
        <v>17</v>
      </c>
      <c r="D3379">
        <v>64325000</v>
      </c>
      <c r="E3379">
        <v>64329999</v>
      </c>
      <c r="F3379" t="s">
        <v>3047</v>
      </c>
      <c r="G3379" t="str">
        <f t="shared" si="104"/>
        <v>PII</v>
      </c>
      <c r="H3379" t="s">
        <v>2995</v>
      </c>
      <c r="I3379" t="s">
        <v>20</v>
      </c>
      <c r="J3379" t="s">
        <v>62</v>
      </c>
      <c r="K3379" s="6">
        <v>0.03</v>
      </c>
      <c r="L3379" s="7">
        <f t="shared" si="105"/>
        <v>2E-3</v>
      </c>
      <c r="M3379" s="7">
        <v>3.0000000000000001E-3</v>
      </c>
      <c r="N3379">
        <v>14</v>
      </c>
      <c r="O3379" s="8">
        <v>18.523064475870246</v>
      </c>
      <c r="P3379" s="9">
        <v>18.523064475870246</v>
      </c>
      <c r="Q3379" s="9">
        <v>18.523064475870246</v>
      </c>
      <c r="R3379" s="9">
        <v>19.986085921544504</v>
      </c>
      <c r="S3379" s="9">
        <v>22.12943390989907</v>
      </c>
      <c r="T3379" s="9">
        <v>24.361587349653966</v>
      </c>
      <c r="U3379" s="9">
        <v>30.016334788894795</v>
      </c>
      <c r="V3379" s="9">
        <v>30.016334788894795</v>
      </c>
      <c r="W3379" s="9">
        <v>30.016334788894795</v>
      </c>
      <c r="X3379" s="9">
        <v>36.357177991180244</v>
      </c>
      <c r="Y3379" s="9">
        <v>36.357177991180244</v>
      </c>
      <c r="Z3379" s="9">
        <v>42.885327131268298</v>
      </c>
      <c r="AA3379" s="9">
        <v>42.885327131268298</v>
      </c>
      <c r="AB3379" s="9">
        <v>49.659479185845427</v>
      </c>
      <c r="AC3379" s="9">
        <v>49.659479185845427</v>
      </c>
      <c r="AD3379" s="9">
        <v>56.580305827489475</v>
      </c>
      <c r="AE3379" s="9">
        <v>63.666673708638676</v>
      </c>
      <c r="AF3379" s="9">
        <v>70.939940361157198</v>
      </c>
      <c r="AG3379" s="9">
        <v>70.939940361157198</v>
      </c>
      <c r="AH3379" s="9">
        <v>77.933178543288449</v>
      </c>
      <c r="AI3379" s="9">
        <v>85.444390652517114</v>
      </c>
      <c r="AJ3379" s="9">
        <v>3.0428788910505911</v>
      </c>
    </row>
    <row r="3380" spans="1:36" x14ac:dyDescent="0.25">
      <c r="A3380" t="s">
        <v>5411</v>
      </c>
      <c r="B3380" t="s">
        <v>16</v>
      </c>
      <c r="C3380" t="s">
        <v>17</v>
      </c>
      <c r="D3380">
        <v>64330000</v>
      </c>
      <c r="E3380">
        <v>64332999</v>
      </c>
      <c r="F3380" t="s">
        <v>3048</v>
      </c>
      <c r="G3380" t="str">
        <f t="shared" si="104"/>
        <v>PII II</v>
      </c>
      <c r="H3380" t="s">
        <v>2995</v>
      </c>
      <c r="I3380" t="s">
        <v>20</v>
      </c>
      <c r="J3380" t="s">
        <v>64</v>
      </c>
      <c r="K3380" s="6">
        <v>0.03</v>
      </c>
      <c r="L3380" s="7">
        <f t="shared" si="105"/>
        <v>2E-3</v>
      </c>
      <c r="M3380" s="7">
        <v>3.0000000000000001E-3</v>
      </c>
      <c r="N3380">
        <v>15</v>
      </c>
      <c r="O3380" s="8">
        <v>22.680099489425388</v>
      </c>
      <c r="P3380" s="9">
        <v>22.680099489425388</v>
      </c>
      <c r="Q3380" s="9">
        <v>22.680099489425388</v>
      </c>
      <c r="R3380" s="9">
        <v>24.975706415973956</v>
      </c>
      <c r="S3380" s="9">
        <v>27.507757599557678</v>
      </c>
      <c r="T3380" s="9">
        <v>29.643595035649298</v>
      </c>
      <c r="U3380" s="9">
        <v>36.324172615829276</v>
      </c>
      <c r="V3380" s="9">
        <v>36.324172615829276</v>
      </c>
      <c r="W3380" s="9">
        <v>36.324172615829276</v>
      </c>
      <c r="X3380" s="9">
        <v>43.832136422596946</v>
      </c>
      <c r="Y3380" s="9">
        <v>43.832136422596946</v>
      </c>
      <c r="Z3380" s="9">
        <v>51.429400054836968</v>
      </c>
      <c r="AA3380" s="9">
        <v>51.429400054836968</v>
      </c>
      <c r="AB3380" s="9">
        <v>59.124893495096586</v>
      </c>
      <c r="AC3380" s="9">
        <v>59.124893495096586</v>
      </c>
      <c r="AD3380" s="9">
        <v>68.673407568137122</v>
      </c>
      <c r="AE3380" s="9">
        <v>75.899806853903883</v>
      </c>
      <c r="AF3380" s="9">
        <v>83.243930726651769</v>
      </c>
      <c r="AG3380" s="9">
        <v>83.243930726651769</v>
      </c>
      <c r="AH3380" s="9">
        <v>91.483430312965311</v>
      </c>
      <c r="AI3380" s="9">
        <v>99.63294480172658</v>
      </c>
      <c r="AJ3380" s="9">
        <v>3.0428788910505911</v>
      </c>
    </row>
    <row r="3381" spans="1:36" x14ac:dyDescent="0.25">
      <c r="A3381" t="s">
        <v>5411</v>
      </c>
      <c r="B3381" t="s">
        <v>16</v>
      </c>
      <c r="C3381" t="s">
        <v>17</v>
      </c>
      <c r="D3381">
        <v>64333000</v>
      </c>
      <c r="E3381">
        <v>64334999</v>
      </c>
      <c r="F3381" t="s">
        <v>3049</v>
      </c>
      <c r="G3381" t="str">
        <f t="shared" si="104"/>
        <v>PII II</v>
      </c>
      <c r="H3381" t="s">
        <v>2995</v>
      </c>
      <c r="I3381" t="s">
        <v>20</v>
      </c>
      <c r="J3381" t="s">
        <v>64</v>
      </c>
      <c r="K3381" s="6">
        <v>0.03</v>
      </c>
      <c r="L3381" s="7">
        <f t="shared" si="105"/>
        <v>2E-3</v>
      </c>
      <c r="M3381" s="7">
        <v>3.0000000000000001E-3</v>
      </c>
      <c r="N3381">
        <v>15</v>
      </c>
      <c r="O3381" s="8">
        <v>22.680099489425388</v>
      </c>
      <c r="P3381" s="9">
        <v>22.680099489425388</v>
      </c>
      <c r="Q3381" s="9">
        <v>22.680099489425388</v>
      </c>
      <c r="R3381" s="9">
        <v>24.975706415973956</v>
      </c>
      <c r="S3381" s="9">
        <v>27.507757599557678</v>
      </c>
      <c r="T3381" s="9">
        <v>29.643595035649298</v>
      </c>
      <c r="U3381" s="9">
        <v>36.324172615829276</v>
      </c>
      <c r="V3381" s="9">
        <v>36.324172615829276</v>
      </c>
      <c r="W3381" s="9">
        <v>36.324172615829276</v>
      </c>
      <c r="X3381" s="9">
        <v>43.832136422596946</v>
      </c>
      <c r="Y3381" s="9">
        <v>43.832136422596946</v>
      </c>
      <c r="Z3381" s="9">
        <v>51.429400054836968</v>
      </c>
      <c r="AA3381" s="9">
        <v>51.429400054836968</v>
      </c>
      <c r="AB3381" s="9">
        <v>59.124893495096586</v>
      </c>
      <c r="AC3381" s="9">
        <v>59.124893495096586</v>
      </c>
      <c r="AD3381" s="9">
        <v>68.673407568137122</v>
      </c>
      <c r="AE3381" s="9">
        <v>75.899806853903883</v>
      </c>
      <c r="AF3381" s="9">
        <v>83.243930726651769</v>
      </c>
      <c r="AG3381" s="9">
        <v>83.243930726651769</v>
      </c>
      <c r="AH3381" s="9">
        <v>91.483430312965311</v>
      </c>
      <c r="AI3381" s="9">
        <v>99.63294480172658</v>
      </c>
      <c r="AJ3381" s="9">
        <v>3.0428788910505911</v>
      </c>
    </row>
    <row r="3382" spans="1:36" x14ac:dyDescent="0.25">
      <c r="A3382" t="s">
        <v>5411</v>
      </c>
      <c r="B3382" t="s">
        <v>16</v>
      </c>
      <c r="C3382" t="s">
        <v>17</v>
      </c>
      <c r="D3382">
        <v>64335000</v>
      </c>
      <c r="E3382">
        <v>64339999</v>
      </c>
      <c r="F3382" t="s">
        <v>3050</v>
      </c>
      <c r="G3382" t="str">
        <f t="shared" si="104"/>
        <v>PII II</v>
      </c>
      <c r="H3382" t="s">
        <v>2995</v>
      </c>
      <c r="I3382" t="s">
        <v>20</v>
      </c>
      <c r="J3382" t="s">
        <v>64</v>
      </c>
      <c r="K3382" s="6">
        <v>0.03</v>
      </c>
      <c r="L3382" s="7">
        <f t="shared" si="105"/>
        <v>2E-3</v>
      </c>
      <c r="M3382" s="7">
        <v>3.0000000000000001E-3</v>
      </c>
      <c r="N3382">
        <v>15</v>
      </c>
      <c r="O3382" s="8">
        <v>22.680099489425388</v>
      </c>
      <c r="P3382" s="9">
        <v>22.680099489425388</v>
      </c>
      <c r="Q3382" s="9">
        <v>22.680099489425388</v>
      </c>
      <c r="R3382" s="9">
        <v>24.975706415973956</v>
      </c>
      <c r="S3382" s="9">
        <v>27.507757599557678</v>
      </c>
      <c r="T3382" s="9">
        <v>29.643595035649298</v>
      </c>
      <c r="U3382" s="9">
        <v>36.324172615829276</v>
      </c>
      <c r="V3382" s="9">
        <v>36.324172615829276</v>
      </c>
      <c r="W3382" s="9">
        <v>36.324172615829276</v>
      </c>
      <c r="X3382" s="9">
        <v>43.832136422596946</v>
      </c>
      <c r="Y3382" s="9">
        <v>43.832136422596946</v>
      </c>
      <c r="Z3382" s="9">
        <v>51.429400054836968</v>
      </c>
      <c r="AA3382" s="9">
        <v>51.429400054836968</v>
      </c>
      <c r="AB3382" s="9">
        <v>59.124893495096586</v>
      </c>
      <c r="AC3382" s="9">
        <v>59.124893495096586</v>
      </c>
      <c r="AD3382" s="9">
        <v>68.673407568137122</v>
      </c>
      <c r="AE3382" s="9">
        <v>75.899806853903883</v>
      </c>
      <c r="AF3382" s="9">
        <v>83.243930726651769</v>
      </c>
      <c r="AG3382" s="9">
        <v>83.243930726651769</v>
      </c>
      <c r="AH3382" s="9">
        <v>91.483430312965311</v>
      </c>
      <c r="AI3382" s="9">
        <v>99.63294480172658</v>
      </c>
      <c r="AJ3382" s="9">
        <v>3.0428788910505911</v>
      </c>
    </row>
    <row r="3383" spans="1:36" x14ac:dyDescent="0.25">
      <c r="A3383" t="s">
        <v>5411</v>
      </c>
      <c r="B3383" t="s">
        <v>16</v>
      </c>
      <c r="C3383" t="s">
        <v>17</v>
      </c>
      <c r="D3383">
        <v>64340000</v>
      </c>
      <c r="E3383">
        <v>64342999</v>
      </c>
      <c r="F3383" t="s">
        <v>3051</v>
      </c>
      <c r="G3383" t="str">
        <f t="shared" si="104"/>
        <v>PII</v>
      </c>
      <c r="H3383" t="s">
        <v>2995</v>
      </c>
      <c r="I3383" t="s">
        <v>20</v>
      </c>
      <c r="J3383" t="s">
        <v>62</v>
      </c>
      <c r="K3383" s="6">
        <v>0.03</v>
      </c>
      <c r="L3383" s="7">
        <f t="shared" si="105"/>
        <v>2E-3</v>
      </c>
      <c r="M3383" s="7">
        <v>3.0000000000000001E-3</v>
      </c>
      <c r="N3383">
        <v>15</v>
      </c>
      <c r="O3383" s="8">
        <v>18.523064475870246</v>
      </c>
      <c r="P3383" s="9">
        <v>18.523064475870246</v>
      </c>
      <c r="Q3383" s="9">
        <v>18.523064475870246</v>
      </c>
      <c r="R3383" s="9">
        <v>19.986085921544504</v>
      </c>
      <c r="S3383" s="9">
        <v>22.12943390989907</v>
      </c>
      <c r="T3383" s="9">
        <v>24.361587349653966</v>
      </c>
      <c r="U3383" s="9">
        <v>30.016334788894795</v>
      </c>
      <c r="V3383" s="9">
        <v>30.016334788894795</v>
      </c>
      <c r="W3383" s="9">
        <v>30.016334788894795</v>
      </c>
      <c r="X3383" s="9">
        <v>36.357177991180244</v>
      </c>
      <c r="Y3383" s="9">
        <v>36.357177991180244</v>
      </c>
      <c r="Z3383" s="9">
        <v>42.885327131268298</v>
      </c>
      <c r="AA3383" s="9">
        <v>42.885327131268298</v>
      </c>
      <c r="AB3383" s="9">
        <v>49.659479185845427</v>
      </c>
      <c r="AC3383" s="9">
        <v>49.659479185845427</v>
      </c>
      <c r="AD3383" s="9">
        <v>56.580305827489475</v>
      </c>
      <c r="AE3383" s="9">
        <v>63.666673708638676</v>
      </c>
      <c r="AF3383" s="9">
        <v>70.939940361157198</v>
      </c>
      <c r="AG3383" s="9">
        <v>70.939940361157198</v>
      </c>
      <c r="AH3383" s="9">
        <v>77.933178543288449</v>
      </c>
      <c r="AI3383" s="9">
        <v>85.444390652517114</v>
      </c>
      <c r="AJ3383" s="9">
        <v>3.0428788910505911</v>
      </c>
    </row>
    <row r="3384" spans="1:36" x14ac:dyDescent="0.25">
      <c r="A3384" t="s">
        <v>5411</v>
      </c>
      <c r="B3384" t="s">
        <v>16</v>
      </c>
      <c r="C3384" t="s">
        <v>17</v>
      </c>
      <c r="D3384">
        <v>64343000</v>
      </c>
      <c r="E3384">
        <v>64344999</v>
      </c>
      <c r="F3384" t="s">
        <v>3052</v>
      </c>
      <c r="G3384" t="str">
        <f t="shared" si="104"/>
        <v>PII II</v>
      </c>
      <c r="H3384" t="s">
        <v>2995</v>
      </c>
      <c r="I3384" t="s">
        <v>20</v>
      </c>
      <c r="J3384" t="s">
        <v>64</v>
      </c>
      <c r="K3384" s="6">
        <v>0.03</v>
      </c>
      <c r="L3384" s="7">
        <f t="shared" si="105"/>
        <v>2E-3</v>
      </c>
      <c r="M3384" s="7">
        <v>3.0000000000000001E-3</v>
      </c>
      <c r="N3384">
        <v>15</v>
      </c>
      <c r="O3384" s="8">
        <v>22.680099489425388</v>
      </c>
      <c r="P3384" s="9">
        <v>22.680099489425388</v>
      </c>
      <c r="Q3384" s="9">
        <v>22.680099489425388</v>
      </c>
      <c r="R3384" s="9">
        <v>24.975706415973956</v>
      </c>
      <c r="S3384" s="9">
        <v>27.507757599557678</v>
      </c>
      <c r="T3384" s="9">
        <v>29.643595035649298</v>
      </c>
      <c r="U3384" s="9">
        <v>36.324172615829276</v>
      </c>
      <c r="V3384" s="9">
        <v>36.324172615829276</v>
      </c>
      <c r="W3384" s="9">
        <v>36.324172615829276</v>
      </c>
      <c r="X3384" s="9">
        <v>43.832136422596946</v>
      </c>
      <c r="Y3384" s="9">
        <v>43.832136422596946</v>
      </c>
      <c r="Z3384" s="9">
        <v>51.429400054836968</v>
      </c>
      <c r="AA3384" s="9">
        <v>51.429400054836968</v>
      </c>
      <c r="AB3384" s="9">
        <v>59.124893495096586</v>
      </c>
      <c r="AC3384" s="9">
        <v>59.124893495096586</v>
      </c>
      <c r="AD3384" s="9">
        <v>68.673407568137122</v>
      </c>
      <c r="AE3384" s="9">
        <v>75.899806853903883</v>
      </c>
      <c r="AF3384" s="9">
        <v>83.243930726651769</v>
      </c>
      <c r="AG3384" s="9">
        <v>83.243930726651769</v>
      </c>
      <c r="AH3384" s="9">
        <v>91.483430312965311</v>
      </c>
      <c r="AI3384" s="9">
        <v>99.63294480172658</v>
      </c>
      <c r="AJ3384" s="9">
        <v>3.0428788910505911</v>
      </c>
    </row>
    <row r="3385" spans="1:36" x14ac:dyDescent="0.25">
      <c r="A3385" t="s">
        <v>5411</v>
      </c>
      <c r="B3385" t="s">
        <v>16</v>
      </c>
      <c r="C3385" t="s">
        <v>17</v>
      </c>
      <c r="D3385">
        <v>64345000</v>
      </c>
      <c r="E3385">
        <v>64349999</v>
      </c>
      <c r="F3385" t="s">
        <v>3053</v>
      </c>
      <c r="G3385" t="str">
        <f t="shared" si="104"/>
        <v>PII II</v>
      </c>
      <c r="H3385" t="s">
        <v>2995</v>
      </c>
      <c r="I3385" t="s">
        <v>20</v>
      </c>
      <c r="J3385" t="s">
        <v>64</v>
      </c>
      <c r="K3385" s="6">
        <v>0.03</v>
      </c>
      <c r="L3385" s="7">
        <f t="shared" si="105"/>
        <v>2E-3</v>
      </c>
      <c r="M3385" s="7">
        <v>3.0000000000000001E-3</v>
      </c>
      <c r="N3385">
        <v>15</v>
      </c>
      <c r="O3385" s="8">
        <v>22.680099489425388</v>
      </c>
      <c r="P3385" s="9">
        <v>22.680099489425388</v>
      </c>
      <c r="Q3385" s="9">
        <v>22.680099489425388</v>
      </c>
      <c r="R3385" s="9">
        <v>24.975706415973956</v>
      </c>
      <c r="S3385" s="9">
        <v>27.507757599557678</v>
      </c>
      <c r="T3385" s="9">
        <v>29.643595035649298</v>
      </c>
      <c r="U3385" s="9">
        <v>36.324172615829276</v>
      </c>
      <c r="V3385" s="9">
        <v>36.324172615829276</v>
      </c>
      <c r="W3385" s="9">
        <v>36.324172615829276</v>
      </c>
      <c r="X3385" s="9">
        <v>43.832136422596946</v>
      </c>
      <c r="Y3385" s="9">
        <v>43.832136422596946</v>
      </c>
      <c r="Z3385" s="9">
        <v>51.429400054836968</v>
      </c>
      <c r="AA3385" s="9">
        <v>51.429400054836968</v>
      </c>
      <c r="AB3385" s="9">
        <v>59.124893495096586</v>
      </c>
      <c r="AC3385" s="9">
        <v>59.124893495096586</v>
      </c>
      <c r="AD3385" s="9">
        <v>68.673407568137122</v>
      </c>
      <c r="AE3385" s="9">
        <v>75.899806853903883</v>
      </c>
      <c r="AF3385" s="9">
        <v>83.243930726651769</v>
      </c>
      <c r="AG3385" s="9">
        <v>83.243930726651769</v>
      </c>
      <c r="AH3385" s="9">
        <v>91.483430312965311</v>
      </c>
      <c r="AI3385" s="9">
        <v>99.63294480172658</v>
      </c>
      <c r="AJ3385" s="9">
        <v>3.0428788910505911</v>
      </c>
    </row>
    <row r="3386" spans="1:36" x14ac:dyDescent="0.25">
      <c r="A3386" t="s">
        <v>5411</v>
      </c>
      <c r="B3386" t="s">
        <v>16</v>
      </c>
      <c r="C3386" t="s">
        <v>17</v>
      </c>
      <c r="D3386">
        <v>64350000</v>
      </c>
      <c r="E3386">
        <v>64359999</v>
      </c>
      <c r="F3386" t="s">
        <v>3054</v>
      </c>
      <c r="G3386" t="str">
        <f t="shared" si="104"/>
        <v>PII II</v>
      </c>
      <c r="H3386" t="s">
        <v>2995</v>
      </c>
      <c r="I3386" t="s">
        <v>20</v>
      </c>
      <c r="J3386" t="s">
        <v>64</v>
      </c>
      <c r="K3386" s="6">
        <v>0.03</v>
      </c>
      <c r="L3386" s="7">
        <f t="shared" si="105"/>
        <v>2E-3</v>
      </c>
      <c r="M3386" s="7">
        <v>3.0000000000000001E-3</v>
      </c>
      <c r="N3386">
        <v>15</v>
      </c>
      <c r="O3386" s="8">
        <v>22.680099489425388</v>
      </c>
      <c r="P3386" s="9">
        <v>22.680099489425388</v>
      </c>
      <c r="Q3386" s="9">
        <v>22.680099489425388</v>
      </c>
      <c r="R3386" s="9">
        <v>24.975706415973956</v>
      </c>
      <c r="S3386" s="9">
        <v>27.507757599557678</v>
      </c>
      <c r="T3386" s="9">
        <v>29.643595035649298</v>
      </c>
      <c r="U3386" s="9">
        <v>36.324172615829276</v>
      </c>
      <c r="V3386" s="9">
        <v>36.324172615829276</v>
      </c>
      <c r="W3386" s="9">
        <v>36.324172615829276</v>
      </c>
      <c r="X3386" s="9">
        <v>43.832136422596946</v>
      </c>
      <c r="Y3386" s="9">
        <v>43.832136422596946</v>
      </c>
      <c r="Z3386" s="9">
        <v>51.429400054836968</v>
      </c>
      <c r="AA3386" s="9">
        <v>51.429400054836968</v>
      </c>
      <c r="AB3386" s="9">
        <v>59.124893495096586</v>
      </c>
      <c r="AC3386" s="9">
        <v>59.124893495096586</v>
      </c>
      <c r="AD3386" s="9">
        <v>68.673407568137122</v>
      </c>
      <c r="AE3386" s="9">
        <v>75.899806853903883</v>
      </c>
      <c r="AF3386" s="9">
        <v>83.243930726651769</v>
      </c>
      <c r="AG3386" s="9">
        <v>83.243930726651769</v>
      </c>
      <c r="AH3386" s="9">
        <v>91.483430312965311</v>
      </c>
      <c r="AI3386" s="9">
        <v>99.63294480172658</v>
      </c>
      <c r="AJ3386" s="9">
        <v>3.0428788910505911</v>
      </c>
    </row>
    <row r="3387" spans="1:36" x14ac:dyDescent="0.25">
      <c r="A3387" t="s">
        <v>5411</v>
      </c>
      <c r="B3387" t="s">
        <v>16</v>
      </c>
      <c r="C3387" t="s">
        <v>17</v>
      </c>
      <c r="D3387">
        <v>64360000</v>
      </c>
      <c r="E3387">
        <v>64364999</v>
      </c>
      <c r="F3387" t="s">
        <v>3055</v>
      </c>
      <c r="G3387" t="str">
        <f t="shared" si="104"/>
        <v>PII II</v>
      </c>
      <c r="H3387" t="s">
        <v>2995</v>
      </c>
      <c r="I3387" t="s">
        <v>20</v>
      </c>
      <c r="J3387" t="s">
        <v>64</v>
      </c>
      <c r="K3387" s="6">
        <v>0.03</v>
      </c>
      <c r="L3387" s="7">
        <f t="shared" si="105"/>
        <v>2E-3</v>
      </c>
      <c r="M3387" s="7">
        <v>3.0000000000000001E-3</v>
      </c>
      <c r="N3387">
        <v>15</v>
      </c>
      <c r="O3387" s="8">
        <v>22.680099489425388</v>
      </c>
      <c r="P3387" s="9">
        <v>22.680099489425388</v>
      </c>
      <c r="Q3387" s="9">
        <v>22.680099489425388</v>
      </c>
      <c r="R3387" s="9">
        <v>24.975706415973956</v>
      </c>
      <c r="S3387" s="9">
        <v>27.507757599557678</v>
      </c>
      <c r="T3387" s="9">
        <v>29.643595035649298</v>
      </c>
      <c r="U3387" s="9">
        <v>36.324172615829276</v>
      </c>
      <c r="V3387" s="9">
        <v>36.324172615829276</v>
      </c>
      <c r="W3387" s="9">
        <v>36.324172615829276</v>
      </c>
      <c r="X3387" s="9">
        <v>43.832136422596946</v>
      </c>
      <c r="Y3387" s="9">
        <v>43.832136422596946</v>
      </c>
      <c r="Z3387" s="9">
        <v>51.429400054836968</v>
      </c>
      <c r="AA3387" s="9">
        <v>51.429400054836968</v>
      </c>
      <c r="AB3387" s="9">
        <v>59.124893495096586</v>
      </c>
      <c r="AC3387" s="9">
        <v>59.124893495096586</v>
      </c>
      <c r="AD3387" s="9">
        <v>68.673407568137122</v>
      </c>
      <c r="AE3387" s="9">
        <v>75.899806853903883</v>
      </c>
      <c r="AF3387" s="9">
        <v>83.243930726651769</v>
      </c>
      <c r="AG3387" s="9">
        <v>83.243930726651769</v>
      </c>
      <c r="AH3387" s="9">
        <v>91.483430312965311</v>
      </c>
      <c r="AI3387" s="9">
        <v>99.63294480172658</v>
      </c>
      <c r="AJ3387" s="9">
        <v>3.0428788910505911</v>
      </c>
    </row>
    <row r="3388" spans="1:36" x14ac:dyDescent="0.25">
      <c r="A3388" t="s">
        <v>5411</v>
      </c>
      <c r="B3388" t="s">
        <v>16</v>
      </c>
      <c r="C3388" t="s">
        <v>17</v>
      </c>
      <c r="D3388">
        <v>64365000</v>
      </c>
      <c r="E3388">
        <v>64369999</v>
      </c>
      <c r="F3388" t="s">
        <v>3056</v>
      </c>
      <c r="G3388" t="str">
        <f t="shared" si="104"/>
        <v>PII II</v>
      </c>
      <c r="H3388" t="s">
        <v>2995</v>
      </c>
      <c r="I3388" t="s">
        <v>20</v>
      </c>
      <c r="J3388" t="s">
        <v>64</v>
      </c>
      <c r="K3388" s="6">
        <v>0.03</v>
      </c>
      <c r="L3388" s="7">
        <f t="shared" si="105"/>
        <v>2E-3</v>
      </c>
      <c r="M3388" s="7">
        <v>3.0000000000000001E-3</v>
      </c>
      <c r="N3388">
        <v>15</v>
      </c>
      <c r="O3388" s="8">
        <v>22.680099489425388</v>
      </c>
      <c r="P3388" s="9">
        <v>22.680099489425388</v>
      </c>
      <c r="Q3388" s="9">
        <v>22.680099489425388</v>
      </c>
      <c r="R3388" s="9">
        <v>24.975706415973956</v>
      </c>
      <c r="S3388" s="9">
        <v>27.507757599557678</v>
      </c>
      <c r="T3388" s="9">
        <v>29.643595035649298</v>
      </c>
      <c r="U3388" s="9">
        <v>36.324172615829276</v>
      </c>
      <c r="V3388" s="9">
        <v>36.324172615829276</v>
      </c>
      <c r="W3388" s="9">
        <v>36.324172615829276</v>
      </c>
      <c r="X3388" s="9">
        <v>43.832136422596946</v>
      </c>
      <c r="Y3388" s="9">
        <v>43.832136422596946</v>
      </c>
      <c r="Z3388" s="9">
        <v>51.429400054836968</v>
      </c>
      <c r="AA3388" s="9">
        <v>51.429400054836968</v>
      </c>
      <c r="AB3388" s="9">
        <v>59.124893495096586</v>
      </c>
      <c r="AC3388" s="9">
        <v>59.124893495096586</v>
      </c>
      <c r="AD3388" s="9">
        <v>68.673407568137122</v>
      </c>
      <c r="AE3388" s="9">
        <v>75.899806853903883</v>
      </c>
      <c r="AF3388" s="9">
        <v>83.243930726651769</v>
      </c>
      <c r="AG3388" s="9">
        <v>83.243930726651769</v>
      </c>
      <c r="AH3388" s="9">
        <v>91.483430312965311</v>
      </c>
      <c r="AI3388" s="9">
        <v>99.63294480172658</v>
      </c>
      <c r="AJ3388" s="9">
        <v>3.0428788910505911</v>
      </c>
    </row>
    <row r="3389" spans="1:36" x14ac:dyDescent="0.25">
      <c r="A3389" t="s">
        <v>5411</v>
      </c>
      <c r="B3389" t="s">
        <v>16</v>
      </c>
      <c r="C3389" t="s">
        <v>17</v>
      </c>
      <c r="D3389">
        <v>64370000</v>
      </c>
      <c r="E3389">
        <v>64374999</v>
      </c>
      <c r="F3389" t="s">
        <v>3057</v>
      </c>
      <c r="G3389" t="str">
        <f t="shared" si="104"/>
        <v>PII</v>
      </c>
      <c r="H3389" t="s">
        <v>2995</v>
      </c>
      <c r="I3389" t="s">
        <v>20</v>
      </c>
      <c r="J3389" t="s">
        <v>62</v>
      </c>
      <c r="K3389" s="6">
        <v>0.03</v>
      </c>
      <c r="L3389" s="7">
        <f t="shared" si="105"/>
        <v>2E-3</v>
      </c>
      <c r="M3389" s="7">
        <v>3.0000000000000001E-3</v>
      </c>
      <c r="N3389">
        <v>14</v>
      </c>
      <c r="O3389" s="8">
        <v>18.523064475870246</v>
      </c>
      <c r="P3389" s="9">
        <v>18.523064475870246</v>
      </c>
      <c r="Q3389" s="9">
        <v>18.523064475870246</v>
      </c>
      <c r="R3389" s="9">
        <v>19.986085921544504</v>
      </c>
      <c r="S3389" s="9">
        <v>22.12943390989907</v>
      </c>
      <c r="T3389" s="9">
        <v>24.361587349653966</v>
      </c>
      <c r="U3389" s="9">
        <v>30.016334788894795</v>
      </c>
      <c r="V3389" s="9">
        <v>30.016334788894795</v>
      </c>
      <c r="W3389" s="9">
        <v>30.016334788894795</v>
      </c>
      <c r="X3389" s="9">
        <v>36.357177991180244</v>
      </c>
      <c r="Y3389" s="9">
        <v>36.357177991180244</v>
      </c>
      <c r="Z3389" s="9">
        <v>42.885327131268298</v>
      </c>
      <c r="AA3389" s="9">
        <v>42.885327131268298</v>
      </c>
      <c r="AB3389" s="9">
        <v>49.659479185845427</v>
      </c>
      <c r="AC3389" s="9">
        <v>49.659479185845427</v>
      </c>
      <c r="AD3389" s="9">
        <v>56.580305827489475</v>
      </c>
      <c r="AE3389" s="9">
        <v>63.666673708638676</v>
      </c>
      <c r="AF3389" s="9">
        <v>70.939940361157198</v>
      </c>
      <c r="AG3389" s="9">
        <v>70.939940361157198</v>
      </c>
      <c r="AH3389" s="9">
        <v>77.933178543288449</v>
      </c>
      <c r="AI3389" s="9">
        <v>85.444390652517114</v>
      </c>
      <c r="AJ3389" s="9">
        <v>3.0428788910505911</v>
      </c>
    </row>
    <row r="3390" spans="1:36" x14ac:dyDescent="0.25">
      <c r="A3390" t="s">
        <v>5411</v>
      </c>
      <c r="B3390" t="s">
        <v>16</v>
      </c>
      <c r="C3390" t="s">
        <v>17</v>
      </c>
      <c r="D3390">
        <v>64375000</v>
      </c>
      <c r="E3390">
        <v>64377999</v>
      </c>
      <c r="F3390" t="s">
        <v>3058</v>
      </c>
      <c r="G3390" t="str">
        <f t="shared" si="104"/>
        <v>PII</v>
      </c>
      <c r="H3390" t="s">
        <v>2995</v>
      </c>
      <c r="I3390" t="s">
        <v>20</v>
      </c>
      <c r="J3390" t="s">
        <v>62</v>
      </c>
      <c r="K3390" s="6">
        <v>0.03</v>
      </c>
      <c r="L3390" s="7">
        <f t="shared" si="105"/>
        <v>2E-3</v>
      </c>
      <c r="M3390" s="7">
        <v>3.0000000000000001E-3</v>
      </c>
      <c r="N3390">
        <v>14</v>
      </c>
      <c r="O3390" s="8">
        <v>18.523064475870246</v>
      </c>
      <c r="P3390" s="9">
        <v>18.523064475870246</v>
      </c>
      <c r="Q3390" s="9">
        <v>18.523064475870246</v>
      </c>
      <c r="R3390" s="9">
        <v>19.986085921544504</v>
      </c>
      <c r="S3390" s="9">
        <v>22.12943390989907</v>
      </c>
      <c r="T3390" s="9">
        <v>24.361587349653966</v>
      </c>
      <c r="U3390" s="9">
        <v>30.016334788894795</v>
      </c>
      <c r="V3390" s="9">
        <v>30.016334788894795</v>
      </c>
      <c r="W3390" s="9">
        <v>30.016334788894795</v>
      </c>
      <c r="X3390" s="9">
        <v>36.357177991180244</v>
      </c>
      <c r="Y3390" s="9">
        <v>36.357177991180244</v>
      </c>
      <c r="Z3390" s="9">
        <v>42.885327131268298</v>
      </c>
      <c r="AA3390" s="9">
        <v>42.885327131268298</v>
      </c>
      <c r="AB3390" s="9">
        <v>49.659479185845427</v>
      </c>
      <c r="AC3390" s="9">
        <v>49.659479185845427</v>
      </c>
      <c r="AD3390" s="9">
        <v>56.580305827489475</v>
      </c>
      <c r="AE3390" s="9">
        <v>63.666673708638676</v>
      </c>
      <c r="AF3390" s="9">
        <v>70.939940361157198</v>
      </c>
      <c r="AG3390" s="9">
        <v>70.939940361157198</v>
      </c>
      <c r="AH3390" s="9">
        <v>77.933178543288449</v>
      </c>
      <c r="AI3390" s="9">
        <v>85.444390652517114</v>
      </c>
      <c r="AJ3390" s="9">
        <v>3.0428788910505911</v>
      </c>
    </row>
    <row r="3391" spans="1:36" x14ac:dyDescent="0.25">
      <c r="A3391" t="s">
        <v>5411</v>
      </c>
      <c r="B3391" t="s">
        <v>16</v>
      </c>
      <c r="C3391" t="s">
        <v>17</v>
      </c>
      <c r="D3391">
        <v>64378000</v>
      </c>
      <c r="E3391">
        <v>64379999</v>
      </c>
      <c r="F3391" t="s">
        <v>3059</v>
      </c>
      <c r="G3391" t="str">
        <f t="shared" si="104"/>
        <v>PII</v>
      </c>
      <c r="H3391" t="s">
        <v>2995</v>
      </c>
      <c r="I3391" t="s">
        <v>20</v>
      </c>
      <c r="J3391" t="s">
        <v>62</v>
      </c>
      <c r="K3391" s="6">
        <v>0.03</v>
      </c>
      <c r="L3391" s="7">
        <f t="shared" si="105"/>
        <v>2E-3</v>
      </c>
      <c r="M3391" s="7">
        <v>3.0000000000000001E-3</v>
      </c>
      <c r="N3391">
        <v>14</v>
      </c>
      <c r="O3391" s="8">
        <v>18.523064475870246</v>
      </c>
      <c r="P3391" s="9">
        <v>18.523064475870246</v>
      </c>
      <c r="Q3391" s="9">
        <v>18.523064475870246</v>
      </c>
      <c r="R3391" s="9">
        <v>19.986085921544504</v>
      </c>
      <c r="S3391" s="9">
        <v>22.12943390989907</v>
      </c>
      <c r="T3391" s="9">
        <v>24.361587349653966</v>
      </c>
      <c r="U3391" s="9">
        <v>30.016334788894795</v>
      </c>
      <c r="V3391" s="9">
        <v>30.016334788894795</v>
      </c>
      <c r="W3391" s="9">
        <v>30.016334788894795</v>
      </c>
      <c r="X3391" s="9">
        <v>36.357177991180244</v>
      </c>
      <c r="Y3391" s="9">
        <v>36.357177991180244</v>
      </c>
      <c r="Z3391" s="9">
        <v>42.885327131268298</v>
      </c>
      <c r="AA3391" s="9">
        <v>42.885327131268298</v>
      </c>
      <c r="AB3391" s="9">
        <v>49.659479185845427</v>
      </c>
      <c r="AC3391" s="9">
        <v>49.659479185845427</v>
      </c>
      <c r="AD3391" s="9">
        <v>56.580305827489475</v>
      </c>
      <c r="AE3391" s="9">
        <v>63.666673708638676</v>
      </c>
      <c r="AF3391" s="9">
        <v>70.939940361157198</v>
      </c>
      <c r="AG3391" s="9">
        <v>70.939940361157198</v>
      </c>
      <c r="AH3391" s="9">
        <v>77.933178543288449</v>
      </c>
      <c r="AI3391" s="9">
        <v>85.444390652517114</v>
      </c>
      <c r="AJ3391" s="9">
        <v>3.0428788910505911</v>
      </c>
    </row>
    <row r="3392" spans="1:36" x14ac:dyDescent="0.25">
      <c r="A3392" t="s">
        <v>5411</v>
      </c>
      <c r="B3392" t="s">
        <v>16</v>
      </c>
      <c r="C3392" t="s">
        <v>17</v>
      </c>
      <c r="D3392">
        <v>64380000</v>
      </c>
      <c r="E3392">
        <v>64387999</v>
      </c>
      <c r="F3392" t="s">
        <v>3060</v>
      </c>
      <c r="G3392" t="str">
        <f t="shared" si="104"/>
        <v>PII II</v>
      </c>
      <c r="H3392" t="s">
        <v>2995</v>
      </c>
      <c r="I3392" t="s">
        <v>20</v>
      </c>
      <c r="J3392" t="s">
        <v>64</v>
      </c>
      <c r="K3392" s="6">
        <v>0.03</v>
      </c>
      <c r="L3392" s="7">
        <f t="shared" si="105"/>
        <v>2E-3</v>
      </c>
      <c r="M3392" s="7">
        <v>3.0000000000000001E-3</v>
      </c>
      <c r="N3392">
        <v>15</v>
      </c>
      <c r="O3392" s="8">
        <v>22.680099489425388</v>
      </c>
      <c r="P3392" s="9">
        <v>22.680099489425388</v>
      </c>
      <c r="Q3392" s="9">
        <v>22.680099489425388</v>
      </c>
      <c r="R3392" s="9">
        <v>24.975706415973956</v>
      </c>
      <c r="S3392" s="9">
        <v>27.507757599557678</v>
      </c>
      <c r="T3392" s="9">
        <v>29.643595035649298</v>
      </c>
      <c r="U3392" s="9">
        <v>36.324172615829276</v>
      </c>
      <c r="V3392" s="9">
        <v>36.324172615829276</v>
      </c>
      <c r="W3392" s="9">
        <v>36.324172615829276</v>
      </c>
      <c r="X3392" s="9">
        <v>43.832136422596946</v>
      </c>
      <c r="Y3392" s="9">
        <v>43.832136422596946</v>
      </c>
      <c r="Z3392" s="9">
        <v>51.429400054836968</v>
      </c>
      <c r="AA3392" s="9">
        <v>51.429400054836968</v>
      </c>
      <c r="AB3392" s="9">
        <v>59.124893495096586</v>
      </c>
      <c r="AC3392" s="9">
        <v>59.124893495096586</v>
      </c>
      <c r="AD3392" s="9">
        <v>68.673407568137122</v>
      </c>
      <c r="AE3392" s="9">
        <v>75.899806853903883</v>
      </c>
      <c r="AF3392" s="9">
        <v>83.243930726651769</v>
      </c>
      <c r="AG3392" s="9">
        <v>83.243930726651769</v>
      </c>
      <c r="AH3392" s="9">
        <v>91.483430312965311</v>
      </c>
      <c r="AI3392" s="9">
        <v>99.63294480172658</v>
      </c>
      <c r="AJ3392" s="9">
        <v>3.0428788910505911</v>
      </c>
    </row>
    <row r="3393" spans="1:36" x14ac:dyDescent="0.25">
      <c r="A3393" t="s">
        <v>5411</v>
      </c>
      <c r="B3393" t="s">
        <v>16</v>
      </c>
      <c r="C3393" t="s">
        <v>17</v>
      </c>
      <c r="D3393">
        <v>64388000</v>
      </c>
      <c r="E3393">
        <v>64389999</v>
      </c>
      <c r="F3393" t="s">
        <v>3061</v>
      </c>
      <c r="G3393" t="str">
        <f t="shared" si="104"/>
        <v>PII II</v>
      </c>
      <c r="H3393" t="s">
        <v>2995</v>
      </c>
      <c r="I3393" t="s">
        <v>20</v>
      </c>
      <c r="J3393" t="s">
        <v>64</v>
      </c>
      <c r="K3393" s="6">
        <v>0.03</v>
      </c>
      <c r="L3393" s="7">
        <f t="shared" si="105"/>
        <v>2E-3</v>
      </c>
      <c r="M3393" s="7">
        <v>3.0000000000000001E-3</v>
      </c>
      <c r="N3393">
        <v>15</v>
      </c>
      <c r="O3393" s="8">
        <v>22.680099489425388</v>
      </c>
      <c r="P3393" s="9">
        <v>22.680099489425388</v>
      </c>
      <c r="Q3393" s="9">
        <v>22.680099489425388</v>
      </c>
      <c r="R3393" s="9">
        <v>24.975706415973956</v>
      </c>
      <c r="S3393" s="9">
        <v>27.507757599557678</v>
      </c>
      <c r="T3393" s="9">
        <v>29.643595035649298</v>
      </c>
      <c r="U3393" s="9">
        <v>36.324172615829276</v>
      </c>
      <c r="V3393" s="9">
        <v>36.324172615829276</v>
      </c>
      <c r="W3393" s="9">
        <v>36.324172615829276</v>
      </c>
      <c r="X3393" s="9">
        <v>43.832136422596946</v>
      </c>
      <c r="Y3393" s="9">
        <v>43.832136422596946</v>
      </c>
      <c r="Z3393" s="9">
        <v>51.429400054836968</v>
      </c>
      <c r="AA3393" s="9">
        <v>51.429400054836968</v>
      </c>
      <c r="AB3393" s="9">
        <v>59.124893495096586</v>
      </c>
      <c r="AC3393" s="9">
        <v>59.124893495096586</v>
      </c>
      <c r="AD3393" s="9">
        <v>68.673407568137122</v>
      </c>
      <c r="AE3393" s="9">
        <v>75.899806853903883</v>
      </c>
      <c r="AF3393" s="9">
        <v>83.243930726651769</v>
      </c>
      <c r="AG3393" s="9">
        <v>83.243930726651769</v>
      </c>
      <c r="AH3393" s="9">
        <v>91.483430312965311</v>
      </c>
      <c r="AI3393" s="9">
        <v>99.63294480172658</v>
      </c>
      <c r="AJ3393" s="9">
        <v>3.0428788910505911</v>
      </c>
    </row>
    <row r="3394" spans="1:36" x14ac:dyDescent="0.25">
      <c r="A3394" t="s">
        <v>5411</v>
      </c>
      <c r="B3394" t="s">
        <v>16</v>
      </c>
      <c r="C3394" t="s">
        <v>17</v>
      </c>
      <c r="D3394">
        <v>64390000</v>
      </c>
      <c r="E3394">
        <v>64394999</v>
      </c>
      <c r="F3394" t="s">
        <v>3062</v>
      </c>
      <c r="G3394" t="str">
        <f t="shared" si="104"/>
        <v>PII II</v>
      </c>
      <c r="H3394" t="s">
        <v>2995</v>
      </c>
      <c r="I3394" t="s">
        <v>20</v>
      </c>
      <c r="J3394" t="s">
        <v>64</v>
      </c>
      <c r="K3394" s="6">
        <v>0.03</v>
      </c>
      <c r="L3394" s="7">
        <f t="shared" si="105"/>
        <v>2E-3</v>
      </c>
      <c r="M3394" s="7">
        <v>3.0000000000000001E-3</v>
      </c>
      <c r="N3394">
        <v>13</v>
      </c>
      <c r="O3394" s="8">
        <v>22.680099489425388</v>
      </c>
      <c r="P3394" s="9">
        <v>22.680099489425388</v>
      </c>
      <c r="Q3394" s="9">
        <v>22.680099489425388</v>
      </c>
      <c r="R3394" s="9">
        <v>24.975706415973956</v>
      </c>
      <c r="S3394" s="9">
        <v>27.507757599557678</v>
      </c>
      <c r="T3394" s="9">
        <v>29.643595035649298</v>
      </c>
      <c r="U3394" s="9">
        <v>36.324172615829276</v>
      </c>
      <c r="V3394" s="9">
        <v>36.324172615829276</v>
      </c>
      <c r="W3394" s="9">
        <v>36.324172615829276</v>
      </c>
      <c r="X3394" s="9">
        <v>43.832136422596946</v>
      </c>
      <c r="Y3394" s="9">
        <v>43.832136422596946</v>
      </c>
      <c r="Z3394" s="9">
        <v>51.429400054836968</v>
      </c>
      <c r="AA3394" s="9">
        <v>51.429400054836968</v>
      </c>
      <c r="AB3394" s="9">
        <v>59.124893495096586</v>
      </c>
      <c r="AC3394" s="9">
        <v>59.124893495096586</v>
      </c>
      <c r="AD3394" s="9">
        <v>68.673407568137122</v>
      </c>
      <c r="AE3394" s="9">
        <v>75.899806853903883</v>
      </c>
      <c r="AF3394" s="9">
        <v>83.243930726651769</v>
      </c>
      <c r="AG3394" s="9">
        <v>83.243930726651769</v>
      </c>
      <c r="AH3394" s="9">
        <v>91.483430312965311</v>
      </c>
      <c r="AI3394" s="9">
        <v>99.63294480172658</v>
      </c>
      <c r="AJ3394" s="9">
        <v>3.0428788910505911</v>
      </c>
    </row>
    <row r="3395" spans="1:36" x14ac:dyDescent="0.25">
      <c r="A3395" t="s">
        <v>5411</v>
      </c>
      <c r="B3395" t="s">
        <v>16</v>
      </c>
      <c r="C3395" t="s">
        <v>17</v>
      </c>
      <c r="D3395">
        <v>64395000</v>
      </c>
      <c r="E3395">
        <v>64399999</v>
      </c>
      <c r="F3395" t="s">
        <v>3063</v>
      </c>
      <c r="G3395" t="str">
        <f t="shared" si="104"/>
        <v>PII</v>
      </c>
      <c r="H3395" t="s">
        <v>2995</v>
      </c>
      <c r="I3395" t="s">
        <v>20</v>
      </c>
      <c r="J3395" t="s">
        <v>62</v>
      </c>
      <c r="K3395" s="6">
        <v>0.03</v>
      </c>
      <c r="L3395" s="7">
        <f t="shared" si="105"/>
        <v>2E-3</v>
      </c>
      <c r="M3395" s="7">
        <v>3.0000000000000001E-3</v>
      </c>
      <c r="N3395">
        <v>14</v>
      </c>
      <c r="O3395" s="8">
        <v>18.523064475870246</v>
      </c>
      <c r="P3395" s="9">
        <v>18.523064475870246</v>
      </c>
      <c r="Q3395" s="9">
        <v>18.523064475870246</v>
      </c>
      <c r="R3395" s="9">
        <v>19.986085921544504</v>
      </c>
      <c r="S3395" s="9">
        <v>22.12943390989907</v>
      </c>
      <c r="T3395" s="9">
        <v>24.361587349653966</v>
      </c>
      <c r="U3395" s="9">
        <v>30.016334788894795</v>
      </c>
      <c r="V3395" s="9">
        <v>30.016334788894795</v>
      </c>
      <c r="W3395" s="9">
        <v>30.016334788894795</v>
      </c>
      <c r="X3395" s="9">
        <v>36.357177991180244</v>
      </c>
      <c r="Y3395" s="9">
        <v>36.357177991180244</v>
      </c>
      <c r="Z3395" s="9">
        <v>42.885327131268298</v>
      </c>
      <c r="AA3395" s="9">
        <v>42.885327131268298</v>
      </c>
      <c r="AB3395" s="9">
        <v>49.659479185845427</v>
      </c>
      <c r="AC3395" s="9">
        <v>49.659479185845427</v>
      </c>
      <c r="AD3395" s="9">
        <v>56.580305827489475</v>
      </c>
      <c r="AE3395" s="9">
        <v>63.666673708638676</v>
      </c>
      <c r="AF3395" s="9">
        <v>70.939940361157198</v>
      </c>
      <c r="AG3395" s="9">
        <v>70.939940361157198</v>
      </c>
      <c r="AH3395" s="9">
        <v>77.933178543288449</v>
      </c>
      <c r="AI3395" s="9">
        <v>85.444390652517114</v>
      </c>
      <c r="AJ3395" s="9">
        <v>3.0428788910505911</v>
      </c>
    </row>
    <row r="3396" spans="1:36" x14ac:dyDescent="0.25">
      <c r="A3396" t="s">
        <v>5411</v>
      </c>
      <c r="B3396" t="s">
        <v>16</v>
      </c>
      <c r="C3396" t="s">
        <v>17</v>
      </c>
      <c r="D3396">
        <v>64400000</v>
      </c>
      <c r="E3396">
        <v>64409999</v>
      </c>
      <c r="F3396" t="s">
        <v>3064</v>
      </c>
      <c r="G3396" t="str">
        <f t="shared" ref="G3396:G3459" si="106">H3396&amp;IF(J3396="CAPITAL","C",IF(J3396="INTERIOR","I",IF(J3396="INTERIOR II","I II","R")))</f>
        <v>PII II</v>
      </c>
      <c r="H3396" t="s">
        <v>2995</v>
      </c>
      <c r="I3396" t="s">
        <v>20</v>
      </c>
      <c r="J3396" t="s">
        <v>64</v>
      </c>
      <c r="K3396" s="6">
        <v>0.03</v>
      </c>
      <c r="L3396" s="7">
        <f t="shared" ref="L3396:L3459" si="107">IF(I3396="(0) Não",0.2%,3%)</f>
        <v>2E-3</v>
      </c>
      <c r="M3396" s="7">
        <v>3.0000000000000001E-3</v>
      </c>
      <c r="N3396">
        <v>15</v>
      </c>
      <c r="O3396" s="8">
        <v>22.680099489425388</v>
      </c>
      <c r="P3396" s="9">
        <v>22.680099489425388</v>
      </c>
      <c r="Q3396" s="9">
        <v>22.680099489425388</v>
      </c>
      <c r="R3396" s="9">
        <v>24.975706415973956</v>
      </c>
      <c r="S3396" s="9">
        <v>27.507757599557678</v>
      </c>
      <c r="T3396" s="9">
        <v>29.643595035649298</v>
      </c>
      <c r="U3396" s="9">
        <v>36.324172615829276</v>
      </c>
      <c r="V3396" s="9">
        <v>36.324172615829276</v>
      </c>
      <c r="W3396" s="9">
        <v>36.324172615829276</v>
      </c>
      <c r="X3396" s="9">
        <v>43.832136422596946</v>
      </c>
      <c r="Y3396" s="9">
        <v>43.832136422596946</v>
      </c>
      <c r="Z3396" s="9">
        <v>51.429400054836968</v>
      </c>
      <c r="AA3396" s="9">
        <v>51.429400054836968</v>
      </c>
      <c r="AB3396" s="9">
        <v>59.124893495096586</v>
      </c>
      <c r="AC3396" s="9">
        <v>59.124893495096586</v>
      </c>
      <c r="AD3396" s="9">
        <v>68.673407568137122</v>
      </c>
      <c r="AE3396" s="9">
        <v>75.899806853903883</v>
      </c>
      <c r="AF3396" s="9">
        <v>83.243930726651769</v>
      </c>
      <c r="AG3396" s="9">
        <v>83.243930726651769</v>
      </c>
      <c r="AH3396" s="9">
        <v>91.483430312965311</v>
      </c>
      <c r="AI3396" s="9">
        <v>99.63294480172658</v>
      </c>
      <c r="AJ3396" s="9">
        <v>3.0428788910505911</v>
      </c>
    </row>
    <row r="3397" spans="1:36" x14ac:dyDescent="0.25">
      <c r="A3397" t="s">
        <v>5411</v>
      </c>
      <c r="B3397" t="s">
        <v>16</v>
      </c>
      <c r="C3397" t="s">
        <v>17</v>
      </c>
      <c r="D3397">
        <v>64410000</v>
      </c>
      <c r="E3397">
        <v>64414999</v>
      </c>
      <c r="F3397" t="s">
        <v>3065</v>
      </c>
      <c r="G3397" t="str">
        <f t="shared" si="106"/>
        <v>PII</v>
      </c>
      <c r="H3397" t="s">
        <v>2995</v>
      </c>
      <c r="I3397" t="s">
        <v>20</v>
      </c>
      <c r="J3397" t="s">
        <v>62</v>
      </c>
      <c r="K3397" s="6">
        <v>0.03</v>
      </c>
      <c r="L3397" s="7">
        <f t="shared" si="107"/>
        <v>2E-3</v>
      </c>
      <c r="M3397" s="7">
        <v>3.0000000000000001E-3</v>
      </c>
      <c r="N3397">
        <v>14</v>
      </c>
      <c r="O3397" s="8">
        <v>18.523064475870246</v>
      </c>
      <c r="P3397" s="9">
        <v>18.523064475870246</v>
      </c>
      <c r="Q3397" s="9">
        <v>18.523064475870246</v>
      </c>
      <c r="R3397" s="9">
        <v>19.986085921544504</v>
      </c>
      <c r="S3397" s="9">
        <v>22.12943390989907</v>
      </c>
      <c r="T3397" s="9">
        <v>24.361587349653966</v>
      </c>
      <c r="U3397" s="9">
        <v>30.016334788894795</v>
      </c>
      <c r="V3397" s="9">
        <v>30.016334788894795</v>
      </c>
      <c r="W3397" s="9">
        <v>30.016334788894795</v>
      </c>
      <c r="X3397" s="9">
        <v>36.357177991180244</v>
      </c>
      <c r="Y3397" s="9">
        <v>36.357177991180244</v>
      </c>
      <c r="Z3397" s="9">
        <v>42.885327131268298</v>
      </c>
      <c r="AA3397" s="9">
        <v>42.885327131268298</v>
      </c>
      <c r="AB3397" s="9">
        <v>49.659479185845427</v>
      </c>
      <c r="AC3397" s="9">
        <v>49.659479185845427</v>
      </c>
      <c r="AD3397" s="9">
        <v>56.580305827489475</v>
      </c>
      <c r="AE3397" s="9">
        <v>63.666673708638676</v>
      </c>
      <c r="AF3397" s="9">
        <v>70.939940361157198</v>
      </c>
      <c r="AG3397" s="9">
        <v>70.939940361157198</v>
      </c>
      <c r="AH3397" s="9">
        <v>77.933178543288449</v>
      </c>
      <c r="AI3397" s="9">
        <v>85.444390652517114</v>
      </c>
      <c r="AJ3397" s="9">
        <v>3.0428788910505911</v>
      </c>
    </row>
    <row r="3398" spans="1:36" x14ac:dyDescent="0.25">
      <c r="A3398" t="s">
        <v>5411</v>
      </c>
      <c r="B3398" t="s">
        <v>16</v>
      </c>
      <c r="C3398" t="s">
        <v>17</v>
      </c>
      <c r="D3398">
        <v>64415000</v>
      </c>
      <c r="E3398">
        <v>64419999</v>
      </c>
      <c r="F3398" t="s">
        <v>3066</v>
      </c>
      <c r="G3398" t="str">
        <f t="shared" si="106"/>
        <v>PII II</v>
      </c>
      <c r="H3398" t="s">
        <v>2995</v>
      </c>
      <c r="I3398" t="s">
        <v>20</v>
      </c>
      <c r="J3398" t="s">
        <v>64</v>
      </c>
      <c r="K3398" s="6">
        <v>0.03</v>
      </c>
      <c r="L3398" s="7">
        <f t="shared" si="107"/>
        <v>2E-3</v>
      </c>
      <c r="M3398" s="7">
        <v>3.0000000000000001E-3</v>
      </c>
      <c r="N3398">
        <v>15</v>
      </c>
      <c r="O3398" s="8">
        <v>22.680099489425388</v>
      </c>
      <c r="P3398" s="9">
        <v>22.680099489425388</v>
      </c>
      <c r="Q3398" s="9">
        <v>22.680099489425388</v>
      </c>
      <c r="R3398" s="9">
        <v>24.975706415973956</v>
      </c>
      <c r="S3398" s="9">
        <v>27.507757599557678</v>
      </c>
      <c r="T3398" s="9">
        <v>29.643595035649298</v>
      </c>
      <c r="U3398" s="9">
        <v>36.324172615829276</v>
      </c>
      <c r="V3398" s="9">
        <v>36.324172615829276</v>
      </c>
      <c r="W3398" s="9">
        <v>36.324172615829276</v>
      </c>
      <c r="X3398" s="9">
        <v>43.832136422596946</v>
      </c>
      <c r="Y3398" s="9">
        <v>43.832136422596946</v>
      </c>
      <c r="Z3398" s="9">
        <v>51.429400054836968</v>
      </c>
      <c r="AA3398" s="9">
        <v>51.429400054836968</v>
      </c>
      <c r="AB3398" s="9">
        <v>59.124893495096586</v>
      </c>
      <c r="AC3398" s="9">
        <v>59.124893495096586</v>
      </c>
      <c r="AD3398" s="9">
        <v>68.673407568137122</v>
      </c>
      <c r="AE3398" s="9">
        <v>75.899806853903883</v>
      </c>
      <c r="AF3398" s="9">
        <v>83.243930726651769</v>
      </c>
      <c r="AG3398" s="9">
        <v>83.243930726651769</v>
      </c>
      <c r="AH3398" s="9">
        <v>91.483430312965311</v>
      </c>
      <c r="AI3398" s="9">
        <v>99.63294480172658</v>
      </c>
      <c r="AJ3398" s="9">
        <v>3.0428788910505911</v>
      </c>
    </row>
    <row r="3399" spans="1:36" x14ac:dyDescent="0.25">
      <c r="A3399" t="s">
        <v>5411</v>
      </c>
      <c r="B3399" t="s">
        <v>16</v>
      </c>
      <c r="C3399" t="s">
        <v>17</v>
      </c>
      <c r="D3399">
        <v>64420000</v>
      </c>
      <c r="E3399">
        <v>64429999</v>
      </c>
      <c r="F3399" t="s">
        <v>3067</v>
      </c>
      <c r="G3399" t="str">
        <f t="shared" si="106"/>
        <v>PII II</v>
      </c>
      <c r="H3399" t="s">
        <v>2995</v>
      </c>
      <c r="I3399" t="s">
        <v>20</v>
      </c>
      <c r="J3399" t="s">
        <v>64</v>
      </c>
      <c r="K3399" s="6">
        <v>0.03</v>
      </c>
      <c r="L3399" s="7">
        <f t="shared" si="107"/>
        <v>2E-3</v>
      </c>
      <c r="M3399" s="7">
        <v>3.0000000000000001E-3</v>
      </c>
      <c r="N3399">
        <v>14</v>
      </c>
      <c r="O3399" s="8">
        <v>22.680099489425388</v>
      </c>
      <c r="P3399" s="9">
        <v>22.680099489425388</v>
      </c>
      <c r="Q3399" s="9">
        <v>22.680099489425388</v>
      </c>
      <c r="R3399" s="9">
        <v>24.975706415973956</v>
      </c>
      <c r="S3399" s="9">
        <v>27.507757599557678</v>
      </c>
      <c r="T3399" s="9">
        <v>29.643595035649298</v>
      </c>
      <c r="U3399" s="9">
        <v>36.324172615829276</v>
      </c>
      <c r="V3399" s="9">
        <v>36.324172615829276</v>
      </c>
      <c r="W3399" s="9">
        <v>36.324172615829276</v>
      </c>
      <c r="X3399" s="9">
        <v>43.832136422596946</v>
      </c>
      <c r="Y3399" s="9">
        <v>43.832136422596946</v>
      </c>
      <c r="Z3399" s="9">
        <v>51.429400054836968</v>
      </c>
      <c r="AA3399" s="9">
        <v>51.429400054836968</v>
      </c>
      <c r="AB3399" s="9">
        <v>59.124893495096586</v>
      </c>
      <c r="AC3399" s="9">
        <v>59.124893495096586</v>
      </c>
      <c r="AD3399" s="9">
        <v>68.673407568137122</v>
      </c>
      <c r="AE3399" s="9">
        <v>75.899806853903883</v>
      </c>
      <c r="AF3399" s="9">
        <v>83.243930726651769</v>
      </c>
      <c r="AG3399" s="9">
        <v>83.243930726651769</v>
      </c>
      <c r="AH3399" s="9">
        <v>91.483430312965311</v>
      </c>
      <c r="AI3399" s="9">
        <v>99.63294480172658</v>
      </c>
      <c r="AJ3399" s="9">
        <v>3.0428788910505911</v>
      </c>
    </row>
    <row r="3400" spans="1:36" x14ac:dyDescent="0.25">
      <c r="A3400" t="s">
        <v>5411</v>
      </c>
      <c r="B3400" t="s">
        <v>16</v>
      </c>
      <c r="C3400" t="s">
        <v>17</v>
      </c>
      <c r="D3400">
        <v>64430000</v>
      </c>
      <c r="E3400">
        <v>64434999</v>
      </c>
      <c r="F3400" t="s">
        <v>3068</v>
      </c>
      <c r="G3400" t="str">
        <f t="shared" si="106"/>
        <v>PII</v>
      </c>
      <c r="H3400" t="s">
        <v>2995</v>
      </c>
      <c r="I3400" t="s">
        <v>20</v>
      </c>
      <c r="J3400" t="s">
        <v>62</v>
      </c>
      <c r="K3400" s="6">
        <v>0.03</v>
      </c>
      <c r="L3400" s="7">
        <f t="shared" si="107"/>
        <v>2E-3</v>
      </c>
      <c r="M3400" s="7">
        <v>3.0000000000000001E-3</v>
      </c>
      <c r="N3400">
        <v>14</v>
      </c>
      <c r="O3400" s="8">
        <v>18.523064475870246</v>
      </c>
      <c r="P3400" s="9">
        <v>18.523064475870246</v>
      </c>
      <c r="Q3400" s="9">
        <v>18.523064475870246</v>
      </c>
      <c r="R3400" s="9">
        <v>19.986085921544504</v>
      </c>
      <c r="S3400" s="9">
        <v>22.12943390989907</v>
      </c>
      <c r="T3400" s="9">
        <v>24.361587349653966</v>
      </c>
      <c r="U3400" s="9">
        <v>30.016334788894795</v>
      </c>
      <c r="V3400" s="9">
        <v>30.016334788894795</v>
      </c>
      <c r="W3400" s="9">
        <v>30.016334788894795</v>
      </c>
      <c r="X3400" s="9">
        <v>36.357177991180244</v>
      </c>
      <c r="Y3400" s="9">
        <v>36.357177991180244</v>
      </c>
      <c r="Z3400" s="9">
        <v>42.885327131268298</v>
      </c>
      <c r="AA3400" s="9">
        <v>42.885327131268298</v>
      </c>
      <c r="AB3400" s="9">
        <v>49.659479185845427</v>
      </c>
      <c r="AC3400" s="9">
        <v>49.659479185845427</v>
      </c>
      <c r="AD3400" s="9">
        <v>56.580305827489475</v>
      </c>
      <c r="AE3400" s="9">
        <v>63.666673708638676</v>
      </c>
      <c r="AF3400" s="9">
        <v>70.939940361157198</v>
      </c>
      <c r="AG3400" s="9">
        <v>70.939940361157198</v>
      </c>
      <c r="AH3400" s="9">
        <v>77.933178543288449</v>
      </c>
      <c r="AI3400" s="9">
        <v>85.444390652517114</v>
      </c>
      <c r="AJ3400" s="9">
        <v>3.0428788910505911</v>
      </c>
    </row>
    <row r="3401" spans="1:36" x14ac:dyDescent="0.25">
      <c r="A3401" t="s">
        <v>5411</v>
      </c>
      <c r="B3401" t="s">
        <v>16</v>
      </c>
      <c r="C3401" t="s">
        <v>17</v>
      </c>
      <c r="D3401">
        <v>64435000</v>
      </c>
      <c r="E3401">
        <v>64437999</v>
      </c>
      <c r="F3401" t="s">
        <v>3069</v>
      </c>
      <c r="G3401" t="str">
        <f t="shared" si="106"/>
        <v>PII</v>
      </c>
      <c r="H3401" t="s">
        <v>2995</v>
      </c>
      <c r="I3401" t="s">
        <v>20</v>
      </c>
      <c r="J3401" t="s">
        <v>62</v>
      </c>
      <c r="K3401" s="6">
        <v>0.03</v>
      </c>
      <c r="L3401" s="7">
        <f t="shared" si="107"/>
        <v>2E-3</v>
      </c>
      <c r="M3401" s="7">
        <v>3.0000000000000001E-3</v>
      </c>
      <c r="N3401">
        <v>14</v>
      </c>
      <c r="O3401" s="8">
        <v>18.523064475870246</v>
      </c>
      <c r="P3401" s="9">
        <v>18.523064475870246</v>
      </c>
      <c r="Q3401" s="9">
        <v>18.523064475870246</v>
      </c>
      <c r="R3401" s="9">
        <v>19.986085921544504</v>
      </c>
      <c r="S3401" s="9">
        <v>22.12943390989907</v>
      </c>
      <c r="T3401" s="9">
        <v>24.361587349653966</v>
      </c>
      <c r="U3401" s="9">
        <v>30.016334788894795</v>
      </c>
      <c r="V3401" s="9">
        <v>30.016334788894795</v>
      </c>
      <c r="W3401" s="9">
        <v>30.016334788894795</v>
      </c>
      <c r="X3401" s="9">
        <v>36.357177991180244</v>
      </c>
      <c r="Y3401" s="9">
        <v>36.357177991180244</v>
      </c>
      <c r="Z3401" s="9">
        <v>42.885327131268298</v>
      </c>
      <c r="AA3401" s="9">
        <v>42.885327131268298</v>
      </c>
      <c r="AB3401" s="9">
        <v>49.659479185845427</v>
      </c>
      <c r="AC3401" s="9">
        <v>49.659479185845427</v>
      </c>
      <c r="AD3401" s="9">
        <v>56.580305827489475</v>
      </c>
      <c r="AE3401" s="9">
        <v>63.666673708638676</v>
      </c>
      <c r="AF3401" s="9">
        <v>70.939940361157198</v>
      </c>
      <c r="AG3401" s="9">
        <v>70.939940361157198</v>
      </c>
      <c r="AH3401" s="9">
        <v>77.933178543288449</v>
      </c>
      <c r="AI3401" s="9">
        <v>85.444390652517114</v>
      </c>
      <c r="AJ3401" s="9">
        <v>3.0428788910505911</v>
      </c>
    </row>
    <row r="3402" spans="1:36" x14ac:dyDescent="0.25">
      <c r="A3402" t="s">
        <v>5411</v>
      </c>
      <c r="B3402" t="s">
        <v>16</v>
      </c>
      <c r="C3402" t="s">
        <v>17</v>
      </c>
      <c r="D3402">
        <v>64438000</v>
      </c>
      <c r="E3402">
        <v>64439999</v>
      </c>
      <c r="F3402" t="s">
        <v>3070</v>
      </c>
      <c r="G3402" t="str">
        <f t="shared" si="106"/>
        <v>PII</v>
      </c>
      <c r="H3402" t="s">
        <v>2995</v>
      </c>
      <c r="I3402" t="s">
        <v>20</v>
      </c>
      <c r="J3402" t="s">
        <v>62</v>
      </c>
      <c r="K3402" s="6">
        <v>0.03</v>
      </c>
      <c r="L3402" s="7">
        <f t="shared" si="107"/>
        <v>2E-3</v>
      </c>
      <c r="M3402" s="7">
        <v>3.0000000000000001E-3</v>
      </c>
      <c r="N3402">
        <v>14</v>
      </c>
      <c r="O3402" s="8">
        <v>18.523064475870246</v>
      </c>
      <c r="P3402" s="9">
        <v>18.523064475870246</v>
      </c>
      <c r="Q3402" s="9">
        <v>18.523064475870246</v>
      </c>
      <c r="R3402" s="9">
        <v>19.986085921544504</v>
      </c>
      <c r="S3402" s="9">
        <v>22.12943390989907</v>
      </c>
      <c r="T3402" s="9">
        <v>24.361587349653966</v>
      </c>
      <c r="U3402" s="9">
        <v>30.016334788894795</v>
      </c>
      <c r="V3402" s="9">
        <v>30.016334788894795</v>
      </c>
      <c r="W3402" s="9">
        <v>30.016334788894795</v>
      </c>
      <c r="X3402" s="9">
        <v>36.357177991180244</v>
      </c>
      <c r="Y3402" s="9">
        <v>36.357177991180244</v>
      </c>
      <c r="Z3402" s="9">
        <v>42.885327131268298</v>
      </c>
      <c r="AA3402" s="9">
        <v>42.885327131268298</v>
      </c>
      <c r="AB3402" s="9">
        <v>49.659479185845427</v>
      </c>
      <c r="AC3402" s="9">
        <v>49.659479185845427</v>
      </c>
      <c r="AD3402" s="9">
        <v>56.580305827489475</v>
      </c>
      <c r="AE3402" s="9">
        <v>63.666673708638676</v>
      </c>
      <c r="AF3402" s="9">
        <v>70.939940361157198</v>
      </c>
      <c r="AG3402" s="9">
        <v>70.939940361157198</v>
      </c>
      <c r="AH3402" s="9">
        <v>77.933178543288449</v>
      </c>
      <c r="AI3402" s="9">
        <v>85.444390652517114</v>
      </c>
      <c r="AJ3402" s="9">
        <v>3.0428788910505911</v>
      </c>
    </row>
    <row r="3403" spans="1:36" x14ac:dyDescent="0.25">
      <c r="A3403" t="s">
        <v>5411</v>
      </c>
      <c r="B3403" t="s">
        <v>16</v>
      </c>
      <c r="C3403" t="s">
        <v>17</v>
      </c>
      <c r="D3403">
        <v>64440000</v>
      </c>
      <c r="E3403">
        <v>64444999</v>
      </c>
      <c r="F3403" t="s">
        <v>3071</v>
      </c>
      <c r="G3403" t="str">
        <f t="shared" si="106"/>
        <v>PII</v>
      </c>
      <c r="H3403" t="s">
        <v>2995</v>
      </c>
      <c r="I3403" t="s">
        <v>20</v>
      </c>
      <c r="J3403" t="s">
        <v>62</v>
      </c>
      <c r="K3403" s="6">
        <v>0.03</v>
      </c>
      <c r="L3403" s="7">
        <f t="shared" si="107"/>
        <v>2E-3</v>
      </c>
      <c r="M3403" s="7">
        <v>3.0000000000000001E-3</v>
      </c>
      <c r="N3403">
        <v>14</v>
      </c>
      <c r="O3403" s="8">
        <v>18.523064475870246</v>
      </c>
      <c r="P3403" s="9">
        <v>18.523064475870246</v>
      </c>
      <c r="Q3403" s="9">
        <v>18.523064475870246</v>
      </c>
      <c r="R3403" s="9">
        <v>19.986085921544504</v>
      </c>
      <c r="S3403" s="9">
        <v>22.12943390989907</v>
      </c>
      <c r="T3403" s="9">
        <v>24.361587349653966</v>
      </c>
      <c r="U3403" s="9">
        <v>30.016334788894795</v>
      </c>
      <c r="V3403" s="9">
        <v>30.016334788894795</v>
      </c>
      <c r="W3403" s="9">
        <v>30.016334788894795</v>
      </c>
      <c r="X3403" s="9">
        <v>36.357177991180244</v>
      </c>
      <c r="Y3403" s="9">
        <v>36.357177991180244</v>
      </c>
      <c r="Z3403" s="9">
        <v>42.885327131268298</v>
      </c>
      <c r="AA3403" s="9">
        <v>42.885327131268298</v>
      </c>
      <c r="AB3403" s="9">
        <v>49.659479185845427</v>
      </c>
      <c r="AC3403" s="9">
        <v>49.659479185845427</v>
      </c>
      <c r="AD3403" s="9">
        <v>56.580305827489475</v>
      </c>
      <c r="AE3403" s="9">
        <v>63.666673708638676</v>
      </c>
      <c r="AF3403" s="9">
        <v>70.939940361157198</v>
      </c>
      <c r="AG3403" s="9">
        <v>70.939940361157198</v>
      </c>
      <c r="AH3403" s="9">
        <v>77.933178543288449</v>
      </c>
      <c r="AI3403" s="9">
        <v>85.444390652517114</v>
      </c>
      <c r="AJ3403" s="9">
        <v>3.0428788910505911</v>
      </c>
    </row>
    <row r="3404" spans="1:36" x14ac:dyDescent="0.25">
      <c r="A3404" t="s">
        <v>5411</v>
      </c>
      <c r="B3404" t="s">
        <v>16</v>
      </c>
      <c r="C3404" t="s">
        <v>17</v>
      </c>
      <c r="D3404">
        <v>64445000</v>
      </c>
      <c r="E3404">
        <v>64449999</v>
      </c>
      <c r="F3404" t="s">
        <v>3072</v>
      </c>
      <c r="G3404" t="str">
        <f t="shared" si="106"/>
        <v>PII</v>
      </c>
      <c r="H3404" t="s">
        <v>2995</v>
      </c>
      <c r="I3404" t="s">
        <v>20</v>
      </c>
      <c r="J3404" t="s">
        <v>62</v>
      </c>
      <c r="K3404" s="6">
        <v>0.03</v>
      </c>
      <c r="L3404" s="7">
        <f t="shared" si="107"/>
        <v>2E-3</v>
      </c>
      <c r="M3404" s="7">
        <v>3.0000000000000001E-3</v>
      </c>
      <c r="N3404">
        <v>14</v>
      </c>
      <c r="O3404" s="8">
        <v>18.523064475870246</v>
      </c>
      <c r="P3404" s="9">
        <v>18.523064475870246</v>
      </c>
      <c r="Q3404" s="9">
        <v>18.523064475870246</v>
      </c>
      <c r="R3404" s="9">
        <v>19.986085921544504</v>
      </c>
      <c r="S3404" s="9">
        <v>22.12943390989907</v>
      </c>
      <c r="T3404" s="9">
        <v>24.361587349653966</v>
      </c>
      <c r="U3404" s="9">
        <v>30.016334788894795</v>
      </c>
      <c r="V3404" s="9">
        <v>30.016334788894795</v>
      </c>
      <c r="W3404" s="9">
        <v>30.016334788894795</v>
      </c>
      <c r="X3404" s="9">
        <v>36.357177991180244</v>
      </c>
      <c r="Y3404" s="9">
        <v>36.357177991180244</v>
      </c>
      <c r="Z3404" s="9">
        <v>42.885327131268298</v>
      </c>
      <c r="AA3404" s="9">
        <v>42.885327131268298</v>
      </c>
      <c r="AB3404" s="9">
        <v>49.659479185845427</v>
      </c>
      <c r="AC3404" s="9">
        <v>49.659479185845427</v>
      </c>
      <c r="AD3404" s="9">
        <v>56.580305827489475</v>
      </c>
      <c r="AE3404" s="9">
        <v>63.666673708638676</v>
      </c>
      <c r="AF3404" s="9">
        <v>70.939940361157198</v>
      </c>
      <c r="AG3404" s="9">
        <v>70.939940361157198</v>
      </c>
      <c r="AH3404" s="9">
        <v>77.933178543288449</v>
      </c>
      <c r="AI3404" s="9">
        <v>85.444390652517114</v>
      </c>
      <c r="AJ3404" s="9">
        <v>3.0428788910505911</v>
      </c>
    </row>
    <row r="3405" spans="1:36" x14ac:dyDescent="0.25">
      <c r="A3405" t="s">
        <v>5411</v>
      </c>
      <c r="B3405" t="s">
        <v>16</v>
      </c>
      <c r="C3405" t="s">
        <v>17</v>
      </c>
      <c r="D3405">
        <v>64450000</v>
      </c>
      <c r="E3405">
        <v>64452999</v>
      </c>
      <c r="F3405" t="s">
        <v>3073</v>
      </c>
      <c r="G3405" t="str">
        <f t="shared" si="106"/>
        <v>PII II</v>
      </c>
      <c r="H3405" t="s">
        <v>2995</v>
      </c>
      <c r="I3405" t="s">
        <v>20</v>
      </c>
      <c r="J3405" t="s">
        <v>64</v>
      </c>
      <c r="K3405" s="6">
        <v>0.03</v>
      </c>
      <c r="L3405" s="7">
        <f t="shared" si="107"/>
        <v>2E-3</v>
      </c>
      <c r="M3405" s="7">
        <v>3.0000000000000001E-3</v>
      </c>
      <c r="N3405">
        <v>13</v>
      </c>
      <c r="O3405" s="8">
        <v>22.680099489425388</v>
      </c>
      <c r="P3405" s="9">
        <v>22.680099489425388</v>
      </c>
      <c r="Q3405" s="9">
        <v>22.680099489425388</v>
      </c>
      <c r="R3405" s="9">
        <v>24.975706415973956</v>
      </c>
      <c r="S3405" s="9">
        <v>27.507757599557678</v>
      </c>
      <c r="T3405" s="9">
        <v>29.643595035649298</v>
      </c>
      <c r="U3405" s="9">
        <v>36.324172615829276</v>
      </c>
      <c r="V3405" s="9">
        <v>36.324172615829276</v>
      </c>
      <c r="W3405" s="9">
        <v>36.324172615829276</v>
      </c>
      <c r="X3405" s="9">
        <v>43.832136422596946</v>
      </c>
      <c r="Y3405" s="9">
        <v>43.832136422596946</v>
      </c>
      <c r="Z3405" s="9">
        <v>51.429400054836968</v>
      </c>
      <c r="AA3405" s="9">
        <v>51.429400054836968</v>
      </c>
      <c r="AB3405" s="9">
        <v>59.124893495096586</v>
      </c>
      <c r="AC3405" s="9">
        <v>59.124893495096586</v>
      </c>
      <c r="AD3405" s="9">
        <v>68.673407568137122</v>
      </c>
      <c r="AE3405" s="9">
        <v>75.899806853903883</v>
      </c>
      <c r="AF3405" s="9">
        <v>83.243930726651769</v>
      </c>
      <c r="AG3405" s="9">
        <v>83.243930726651769</v>
      </c>
      <c r="AH3405" s="9">
        <v>91.483430312965311</v>
      </c>
      <c r="AI3405" s="9">
        <v>99.63294480172658</v>
      </c>
      <c r="AJ3405" s="9">
        <v>3.0428788910505911</v>
      </c>
    </row>
    <row r="3406" spans="1:36" x14ac:dyDescent="0.25">
      <c r="A3406" t="s">
        <v>5411</v>
      </c>
      <c r="B3406" t="s">
        <v>16</v>
      </c>
      <c r="C3406" t="s">
        <v>17</v>
      </c>
      <c r="D3406">
        <v>64453000</v>
      </c>
      <c r="E3406">
        <v>64454999</v>
      </c>
      <c r="F3406" t="s">
        <v>3074</v>
      </c>
      <c r="G3406" t="str">
        <f t="shared" si="106"/>
        <v>PII</v>
      </c>
      <c r="H3406" t="s">
        <v>2995</v>
      </c>
      <c r="I3406" t="s">
        <v>20</v>
      </c>
      <c r="J3406" t="s">
        <v>62</v>
      </c>
      <c r="K3406" s="6">
        <v>0.03</v>
      </c>
      <c r="L3406" s="7">
        <f t="shared" si="107"/>
        <v>2E-3</v>
      </c>
      <c r="M3406" s="7">
        <v>3.0000000000000001E-3</v>
      </c>
      <c r="N3406">
        <v>14</v>
      </c>
      <c r="O3406" s="8">
        <v>18.523064475870246</v>
      </c>
      <c r="P3406" s="9">
        <v>18.523064475870246</v>
      </c>
      <c r="Q3406" s="9">
        <v>18.523064475870246</v>
      </c>
      <c r="R3406" s="9">
        <v>19.986085921544504</v>
      </c>
      <c r="S3406" s="9">
        <v>22.12943390989907</v>
      </c>
      <c r="T3406" s="9">
        <v>24.361587349653966</v>
      </c>
      <c r="U3406" s="9">
        <v>30.016334788894795</v>
      </c>
      <c r="V3406" s="9">
        <v>30.016334788894795</v>
      </c>
      <c r="W3406" s="9">
        <v>30.016334788894795</v>
      </c>
      <c r="X3406" s="9">
        <v>36.357177991180244</v>
      </c>
      <c r="Y3406" s="9">
        <v>36.357177991180244</v>
      </c>
      <c r="Z3406" s="9">
        <v>42.885327131268298</v>
      </c>
      <c r="AA3406" s="9">
        <v>42.885327131268298</v>
      </c>
      <c r="AB3406" s="9">
        <v>49.659479185845427</v>
      </c>
      <c r="AC3406" s="9">
        <v>49.659479185845427</v>
      </c>
      <c r="AD3406" s="9">
        <v>56.580305827489475</v>
      </c>
      <c r="AE3406" s="9">
        <v>63.666673708638676</v>
      </c>
      <c r="AF3406" s="9">
        <v>70.939940361157198</v>
      </c>
      <c r="AG3406" s="9">
        <v>70.939940361157198</v>
      </c>
      <c r="AH3406" s="9">
        <v>77.933178543288449</v>
      </c>
      <c r="AI3406" s="9">
        <v>85.444390652517114</v>
      </c>
      <c r="AJ3406" s="9">
        <v>3.0428788910505911</v>
      </c>
    </row>
    <row r="3407" spans="1:36" x14ac:dyDescent="0.25">
      <c r="A3407" t="s">
        <v>5411</v>
      </c>
      <c r="B3407" t="s">
        <v>16</v>
      </c>
      <c r="C3407" t="s">
        <v>17</v>
      </c>
      <c r="D3407">
        <v>64455000</v>
      </c>
      <c r="E3407">
        <v>64459999</v>
      </c>
      <c r="F3407" t="s">
        <v>3075</v>
      </c>
      <c r="G3407" t="str">
        <f t="shared" si="106"/>
        <v>PII</v>
      </c>
      <c r="H3407" t="s">
        <v>2995</v>
      </c>
      <c r="I3407" t="s">
        <v>20</v>
      </c>
      <c r="J3407" t="s">
        <v>62</v>
      </c>
      <c r="K3407" s="6">
        <v>0.03</v>
      </c>
      <c r="L3407" s="7">
        <f t="shared" si="107"/>
        <v>2E-3</v>
      </c>
      <c r="M3407" s="7">
        <v>3.0000000000000001E-3</v>
      </c>
      <c r="N3407">
        <v>14</v>
      </c>
      <c r="O3407" s="8">
        <v>18.523064475870246</v>
      </c>
      <c r="P3407" s="9">
        <v>18.523064475870246</v>
      </c>
      <c r="Q3407" s="9">
        <v>18.523064475870246</v>
      </c>
      <c r="R3407" s="9">
        <v>19.986085921544504</v>
      </c>
      <c r="S3407" s="9">
        <v>22.12943390989907</v>
      </c>
      <c r="T3407" s="9">
        <v>24.361587349653966</v>
      </c>
      <c r="U3407" s="9">
        <v>30.016334788894795</v>
      </c>
      <c r="V3407" s="9">
        <v>30.016334788894795</v>
      </c>
      <c r="W3407" s="9">
        <v>30.016334788894795</v>
      </c>
      <c r="X3407" s="9">
        <v>36.357177991180244</v>
      </c>
      <c r="Y3407" s="9">
        <v>36.357177991180244</v>
      </c>
      <c r="Z3407" s="9">
        <v>42.885327131268298</v>
      </c>
      <c r="AA3407" s="9">
        <v>42.885327131268298</v>
      </c>
      <c r="AB3407" s="9">
        <v>49.659479185845427</v>
      </c>
      <c r="AC3407" s="9">
        <v>49.659479185845427</v>
      </c>
      <c r="AD3407" s="9">
        <v>56.580305827489475</v>
      </c>
      <c r="AE3407" s="9">
        <v>63.666673708638676</v>
      </c>
      <c r="AF3407" s="9">
        <v>70.939940361157198</v>
      </c>
      <c r="AG3407" s="9">
        <v>70.939940361157198</v>
      </c>
      <c r="AH3407" s="9">
        <v>77.933178543288449</v>
      </c>
      <c r="AI3407" s="9">
        <v>85.444390652517114</v>
      </c>
      <c r="AJ3407" s="9">
        <v>3.0428788910505911</v>
      </c>
    </row>
    <row r="3408" spans="1:36" x14ac:dyDescent="0.25">
      <c r="A3408" t="s">
        <v>5411</v>
      </c>
      <c r="B3408" t="s">
        <v>16</v>
      </c>
      <c r="C3408" t="s">
        <v>17</v>
      </c>
      <c r="D3408">
        <v>64460000</v>
      </c>
      <c r="E3408">
        <v>64464999</v>
      </c>
      <c r="F3408" t="s">
        <v>2417</v>
      </c>
      <c r="G3408" t="str">
        <f t="shared" si="106"/>
        <v>PII</v>
      </c>
      <c r="H3408" t="s">
        <v>2995</v>
      </c>
      <c r="I3408" t="s">
        <v>20</v>
      </c>
      <c r="J3408" t="s">
        <v>62</v>
      </c>
      <c r="K3408" s="6">
        <v>0.03</v>
      </c>
      <c r="L3408" s="7">
        <f t="shared" si="107"/>
        <v>2E-3</v>
      </c>
      <c r="M3408" s="7">
        <v>3.0000000000000001E-3</v>
      </c>
      <c r="N3408">
        <v>14</v>
      </c>
      <c r="O3408" s="8">
        <v>18.523064475870246</v>
      </c>
      <c r="P3408" s="9">
        <v>18.523064475870246</v>
      </c>
      <c r="Q3408" s="9">
        <v>18.523064475870246</v>
      </c>
      <c r="R3408" s="9">
        <v>19.986085921544504</v>
      </c>
      <c r="S3408" s="9">
        <v>22.12943390989907</v>
      </c>
      <c r="T3408" s="9">
        <v>24.361587349653966</v>
      </c>
      <c r="U3408" s="9">
        <v>30.016334788894795</v>
      </c>
      <c r="V3408" s="9">
        <v>30.016334788894795</v>
      </c>
      <c r="W3408" s="9">
        <v>30.016334788894795</v>
      </c>
      <c r="X3408" s="9">
        <v>36.357177991180244</v>
      </c>
      <c r="Y3408" s="9">
        <v>36.357177991180244</v>
      </c>
      <c r="Z3408" s="9">
        <v>42.885327131268298</v>
      </c>
      <c r="AA3408" s="9">
        <v>42.885327131268298</v>
      </c>
      <c r="AB3408" s="9">
        <v>49.659479185845427</v>
      </c>
      <c r="AC3408" s="9">
        <v>49.659479185845427</v>
      </c>
      <c r="AD3408" s="9">
        <v>56.580305827489475</v>
      </c>
      <c r="AE3408" s="9">
        <v>63.666673708638676</v>
      </c>
      <c r="AF3408" s="9">
        <v>70.939940361157198</v>
      </c>
      <c r="AG3408" s="9">
        <v>70.939940361157198</v>
      </c>
      <c r="AH3408" s="9">
        <v>77.933178543288449</v>
      </c>
      <c r="AI3408" s="9">
        <v>85.444390652517114</v>
      </c>
      <c r="AJ3408" s="9">
        <v>3.0428788910505911</v>
      </c>
    </row>
    <row r="3409" spans="1:36" x14ac:dyDescent="0.25">
      <c r="A3409" t="s">
        <v>5411</v>
      </c>
      <c r="B3409" t="s">
        <v>16</v>
      </c>
      <c r="C3409" t="s">
        <v>17</v>
      </c>
      <c r="D3409">
        <v>64465000</v>
      </c>
      <c r="E3409">
        <v>64467999</v>
      </c>
      <c r="F3409" t="s">
        <v>3076</v>
      </c>
      <c r="G3409" t="str">
        <f t="shared" si="106"/>
        <v>PII II</v>
      </c>
      <c r="H3409" t="s">
        <v>2995</v>
      </c>
      <c r="I3409" t="s">
        <v>20</v>
      </c>
      <c r="J3409" t="s">
        <v>64</v>
      </c>
      <c r="K3409" s="6">
        <v>0.03</v>
      </c>
      <c r="L3409" s="7">
        <f t="shared" si="107"/>
        <v>2E-3</v>
      </c>
      <c r="M3409" s="7">
        <v>3.0000000000000001E-3</v>
      </c>
      <c r="N3409">
        <v>15</v>
      </c>
      <c r="O3409" s="8">
        <v>22.680099489425388</v>
      </c>
      <c r="P3409" s="9">
        <v>22.680099489425388</v>
      </c>
      <c r="Q3409" s="9">
        <v>22.680099489425388</v>
      </c>
      <c r="R3409" s="9">
        <v>24.975706415973956</v>
      </c>
      <c r="S3409" s="9">
        <v>27.507757599557678</v>
      </c>
      <c r="T3409" s="9">
        <v>29.643595035649298</v>
      </c>
      <c r="U3409" s="9">
        <v>36.324172615829276</v>
      </c>
      <c r="V3409" s="9">
        <v>36.324172615829276</v>
      </c>
      <c r="W3409" s="9">
        <v>36.324172615829276</v>
      </c>
      <c r="X3409" s="9">
        <v>43.832136422596946</v>
      </c>
      <c r="Y3409" s="9">
        <v>43.832136422596946</v>
      </c>
      <c r="Z3409" s="9">
        <v>51.429400054836968</v>
      </c>
      <c r="AA3409" s="9">
        <v>51.429400054836968</v>
      </c>
      <c r="AB3409" s="9">
        <v>59.124893495096586</v>
      </c>
      <c r="AC3409" s="9">
        <v>59.124893495096586</v>
      </c>
      <c r="AD3409" s="9">
        <v>68.673407568137122</v>
      </c>
      <c r="AE3409" s="9">
        <v>75.899806853903883</v>
      </c>
      <c r="AF3409" s="9">
        <v>83.243930726651769</v>
      </c>
      <c r="AG3409" s="9">
        <v>83.243930726651769</v>
      </c>
      <c r="AH3409" s="9">
        <v>91.483430312965311</v>
      </c>
      <c r="AI3409" s="9">
        <v>99.63294480172658</v>
      </c>
      <c r="AJ3409" s="9">
        <v>3.0428788910505911</v>
      </c>
    </row>
    <row r="3410" spans="1:36" x14ac:dyDescent="0.25">
      <c r="A3410" t="s">
        <v>5411</v>
      </c>
      <c r="B3410" t="s">
        <v>16</v>
      </c>
      <c r="C3410" t="s">
        <v>17</v>
      </c>
      <c r="D3410">
        <v>64468000</v>
      </c>
      <c r="E3410">
        <v>64469999</v>
      </c>
      <c r="F3410" t="s">
        <v>3077</v>
      </c>
      <c r="G3410" t="str">
        <f t="shared" si="106"/>
        <v>PII II</v>
      </c>
      <c r="H3410" t="s">
        <v>2995</v>
      </c>
      <c r="I3410" t="s">
        <v>20</v>
      </c>
      <c r="J3410" t="s">
        <v>64</v>
      </c>
      <c r="K3410" s="6">
        <v>0.03</v>
      </c>
      <c r="L3410" s="7">
        <f t="shared" si="107"/>
        <v>2E-3</v>
      </c>
      <c r="M3410" s="7">
        <v>3.0000000000000001E-3</v>
      </c>
      <c r="N3410">
        <v>15</v>
      </c>
      <c r="O3410" s="8">
        <v>22.680099489425388</v>
      </c>
      <c r="P3410" s="9">
        <v>22.680099489425388</v>
      </c>
      <c r="Q3410" s="9">
        <v>22.680099489425388</v>
      </c>
      <c r="R3410" s="9">
        <v>24.975706415973956</v>
      </c>
      <c r="S3410" s="9">
        <v>27.507757599557678</v>
      </c>
      <c r="T3410" s="9">
        <v>29.643595035649298</v>
      </c>
      <c r="U3410" s="9">
        <v>36.324172615829276</v>
      </c>
      <c r="V3410" s="9">
        <v>36.324172615829276</v>
      </c>
      <c r="W3410" s="9">
        <v>36.324172615829276</v>
      </c>
      <c r="X3410" s="9">
        <v>43.832136422596946</v>
      </c>
      <c r="Y3410" s="9">
        <v>43.832136422596946</v>
      </c>
      <c r="Z3410" s="9">
        <v>51.429400054836968</v>
      </c>
      <c r="AA3410" s="9">
        <v>51.429400054836968</v>
      </c>
      <c r="AB3410" s="9">
        <v>59.124893495096586</v>
      </c>
      <c r="AC3410" s="9">
        <v>59.124893495096586</v>
      </c>
      <c r="AD3410" s="9">
        <v>68.673407568137122</v>
      </c>
      <c r="AE3410" s="9">
        <v>75.899806853903883</v>
      </c>
      <c r="AF3410" s="9">
        <v>83.243930726651769</v>
      </c>
      <c r="AG3410" s="9">
        <v>83.243930726651769</v>
      </c>
      <c r="AH3410" s="9">
        <v>91.483430312965311</v>
      </c>
      <c r="AI3410" s="9">
        <v>99.63294480172658</v>
      </c>
      <c r="AJ3410" s="9">
        <v>3.0428788910505911</v>
      </c>
    </row>
    <row r="3411" spans="1:36" x14ac:dyDescent="0.25">
      <c r="A3411" t="s">
        <v>5411</v>
      </c>
      <c r="B3411" t="s">
        <v>16</v>
      </c>
      <c r="C3411" t="s">
        <v>17</v>
      </c>
      <c r="D3411">
        <v>64470000</v>
      </c>
      <c r="E3411">
        <v>64474999</v>
      </c>
      <c r="F3411" t="s">
        <v>3078</v>
      </c>
      <c r="G3411" t="str">
        <f t="shared" si="106"/>
        <v>PII</v>
      </c>
      <c r="H3411" t="s">
        <v>2995</v>
      </c>
      <c r="I3411" t="s">
        <v>20</v>
      </c>
      <c r="J3411" t="s">
        <v>62</v>
      </c>
      <c r="K3411" s="6">
        <v>0.03</v>
      </c>
      <c r="L3411" s="7">
        <f t="shared" si="107"/>
        <v>2E-3</v>
      </c>
      <c r="M3411" s="7">
        <v>3.0000000000000001E-3</v>
      </c>
      <c r="N3411">
        <v>14</v>
      </c>
      <c r="O3411" s="8">
        <v>18.523064475870246</v>
      </c>
      <c r="P3411" s="9">
        <v>18.523064475870246</v>
      </c>
      <c r="Q3411" s="9">
        <v>18.523064475870246</v>
      </c>
      <c r="R3411" s="9">
        <v>19.986085921544504</v>
      </c>
      <c r="S3411" s="9">
        <v>22.12943390989907</v>
      </c>
      <c r="T3411" s="9">
        <v>24.361587349653966</v>
      </c>
      <c r="U3411" s="9">
        <v>30.016334788894795</v>
      </c>
      <c r="V3411" s="9">
        <v>30.016334788894795</v>
      </c>
      <c r="W3411" s="9">
        <v>30.016334788894795</v>
      </c>
      <c r="X3411" s="9">
        <v>36.357177991180244</v>
      </c>
      <c r="Y3411" s="9">
        <v>36.357177991180244</v>
      </c>
      <c r="Z3411" s="9">
        <v>42.885327131268298</v>
      </c>
      <c r="AA3411" s="9">
        <v>42.885327131268298</v>
      </c>
      <c r="AB3411" s="9">
        <v>49.659479185845427</v>
      </c>
      <c r="AC3411" s="9">
        <v>49.659479185845427</v>
      </c>
      <c r="AD3411" s="9">
        <v>56.580305827489475</v>
      </c>
      <c r="AE3411" s="9">
        <v>63.666673708638676</v>
      </c>
      <c r="AF3411" s="9">
        <v>70.939940361157198</v>
      </c>
      <c r="AG3411" s="9">
        <v>70.939940361157198</v>
      </c>
      <c r="AH3411" s="9">
        <v>77.933178543288449</v>
      </c>
      <c r="AI3411" s="9">
        <v>85.444390652517114</v>
      </c>
      <c r="AJ3411" s="9">
        <v>3.0428788910505911</v>
      </c>
    </row>
    <row r="3412" spans="1:36" x14ac:dyDescent="0.25">
      <c r="A3412" t="s">
        <v>5411</v>
      </c>
      <c r="B3412" t="s">
        <v>16</v>
      </c>
      <c r="C3412" t="s">
        <v>17</v>
      </c>
      <c r="D3412">
        <v>64475000</v>
      </c>
      <c r="E3412">
        <v>64479999</v>
      </c>
      <c r="F3412" t="s">
        <v>3079</v>
      </c>
      <c r="G3412" t="str">
        <f t="shared" si="106"/>
        <v>PII II</v>
      </c>
      <c r="H3412" t="s">
        <v>2995</v>
      </c>
      <c r="I3412" t="s">
        <v>20</v>
      </c>
      <c r="J3412" t="s">
        <v>64</v>
      </c>
      <c r="K3412" s="6">
        <v>0.03</v>
      </c>
      <c r="L3412" s="7">
        <f t="shared" si="107"/>
        <v>2E-3</v>
      </c>
      <c r="M3412" s="7">
        <v>3.0000000000000001E-3</v>
      </c>
      <c r="N3412">
        <v>15</v>
      </c>
      <c r="O3412" s="8">
        <v>22.680099489425388</v>
      </c>
      <c r="P3412" s="9">
        <v>22.680099489425388</v>
      </c>
      <c r="Q3412" s="9">
        <v>22.680099489425388</v>
      </c>
      <c r="R3412" s="9">
        <v>24.975706415973956</v>
      </c>
      <c r="S3412" s="9">
        <v>27.507757599557678</v>
      </c>
      <c r="T3412" s="9">
        <v>29.643595035649298</v>
      </c>
      <c r="U3412" s="9">
        <v>36.324172615829276</v>
      </c>
      <c r="V3412" s="9">
        <v>36.324172615829276</v>
      </c>
      <c r="W3412" s="9">
        <v>36.324172615829276</v>
      </c>
      <c r="X3412" s="9">
        <v>43.832136422596946</v>
      </c>
      <c r="Y3412" s="9">
        <v>43.832136422596946</v>
      </c>
      <c r="Z3412" s="9">
        <v>51.429400054836968</v>
      </c>
      <c r="AA3412" s="9">
        <v>51.429400054836968</v>
      </c>
      <c r="AB3412" s="9">
        <v>59.124893495096586</v>
      </c>
      <c r="AC3412" s="9">
        <v>59.124893495096586</v>
      </c>
      <c r="AD3412" s="9">
        <v>68.673407568137122</v>
      </c>
      <c r="AE3412" s="9">
        <v>75.899806853903883</v>
      </c>
      <c r="AF3412" s="9">
        <v>83.243930726651769</v>
      </c>
      <c r="AG3412" s="9">
        <v>83.243930726651769</v>
      </c>
      <c r="AH3412" s="9">
        <v>91.483430312965311</v>
      </c>
      <c r="AI3412" s="9">
        <v>99.63294480172658</v>
      </c>
      <c r="AJ3412" s="9">
        <v>3.0428788910505911</v>
      </c>
    </row>
    <row r="3413" spans="1:36" x14ac:dyDescent="0.25">
      <c r="A3413" t="s">
        <v>5411</v>
      </c>
      <c r="B3413" t="s">
        <v>16</v>
      </c>
      <c r="C3413" t="s">
        <v>17</v>
      </c>
      <c r="D3413">
        <v>64480000</v>
      </c>
      <c r="E3413">
        <v>64489999</v>
      </c>
      <c r="F3413" t="s">
        <v>3080</v>
      </c>
      <c r="G3413" t="str">
        <f t="shared" si="106"/>
        <v>PII II</v>
      </c>
      <c r="H3413" t="s">
        <v>2995</v>
      </c>
      <c r="I3413" t="s">
        <v>20</v>
      </c>
      <c r="J3413" t="s">
        <v>64</v>
      </c>
      <c r="K3413" s="6">
        <v>0.03</v>
      </c>
      <c r="L3413" s="7">
        <f t="shared" si="107"/>
        <v>2E-3</v>
      </c>
      <c r="M3413" s="7">
        <v>3.0000000000000001E-3</v>
      </c>
      <c r="N3413">
        <v>15</v>
      </c>
      <c r="O3413" s="8">
        <v>22.680099489425388</v>
      </c>
      <c r="P3413" s="9">
        <v>22.680099489425388</v>
      </c>
      <c r="Q3413" s="9">
        <v>22.680099489425388</v>
      </c>
      <c r="R3413" s="9">
        <v>24.975706415973956</v>
      </c>
      <c r="S3413" s="9">
        <v>27.507757599557678</v>
      </c>
      <c r="T3413" s="9">
        <v>29.643595035649298</v>
      </c>
      <c r="U3413" s="9">
        <v>36.324172615829276</v>
      </c>
      <c r="V3413" s="9">
        <v>36.324172615829276</v>
      </c>
      <c r="W3413" s="9">
        <v>36.324172615829276</v>
      </c>
      <c r="X3413" s="9">
        <v>43.832136422596946</v>
      </c>
      <c r="Y3413" s="9">
        <v>43.832136422596946</v>
      </c>
      <c r="Z3413" s="9">
        <v>51.429400054836968</v>
      </c>
      <c r="AA3413" s="9">
        <v>51.429400054836968</v>
      </c>
      <c r="AB3413" s="9">
        <v>59.124893495096586</v>
      </c>
      <c r="AC3413" s="9">
        <v>59.124893495096586</v>
      </c>
      <c r="AD3413" s="9">
        <v>68.673407568137122</v>
      </c>
      <c r="AE3413" s="9">
        <v>75.899806853903883</v>
      </c>
      <c r="AF3413" s="9">
        <v>83.243930726651769</v>
      </c>
      <c r="AG3413" s="9">
        <v>83.243930726651769</v>
      </c>
      <c r="AH3413" s="9">
        <v>91.483430312965311</v>
      </c>
      <c r="AI3413" s="9">
        <v>99.63294480172658</v>
      </c>
      <c r="AJ3413" s="9">
        <v>3.0428788910505911</v>
      </c>
    </row>
    <row r="3414" spans="1:36" x14ac:dyDescent="0.25">
      <c r="A3414" t="s">
        <v>5411</v>
      </c>
      <c r="B3414" t="s">
        <v>16</v>
      </c>
      <c r="C3414" t="s">
        <v>17</v>
      </c>
      <c r="D3414">
        <v>64490000</v>
      </c>
      <c r="E3414">
        <v>64494999</v>
      </c>
      <c r="F3414" t="s">
        <v>3081</v>
      </c>
      <c r="G3414" t="str">
        <f t="shared" si="106"/>
        <v>PII</v>
      </c>
      <c r="H3414" t="s">
        <v>2995</v>
      </c>
      <c r="I3414" t="s">
        <v>20</v>
      </c>
      <c r="J3414" t="s">
        <v>62</v>
      </c>
      <c r="K3414" s="6">
        <v>0.03</v>
      </c>
      <c r="L3414" s="7">
        <f t="shared" si="107"/>
        <v>2E-3</v>
      </c>
      <c r="M3414" s="7">
        <v>3.0000000000000001E-3</v>
      </c>
      <c r="N3414">
        <v>14</v>
      </c>
      <c r="O3414" s="8">
        <v>18.523064475870246</v>
      </c>
      <c r="P3414" s="9">
        <v>18.523064475870246</v>
      </c>
      <c r="Q3414" s="9">
        <v>18.523064475870246</v>
      </c>
      <c r="R3414" s="9">
        <v>19.986085921544504</v>
      </c>
      <c r="S3414" s="9">
        <v>22.12943390989907</v>
      </c>
      <c r="T3414" s="9">
        <v>24.361587349653966</v>
      </c>
      <c r="U3414" s="9">
        <v>30.016334788894795</v>
      </c>
      <c r="V3414" s="9">
        <v>30.016334788894795</v>
      </c>
      <c r="W3414" s="9">
        <v>30.016334788894795</v>
      </c>
      <c r="X3414" s="9">
        <v>36.357177991180244</v>
      </c>
      <c r="Y3414" s="9">
        <v>36.357177991180244</v>
      </c>
      <c r="Z3414" s="9">
        <v>42.885327131268298</v>
      </c>
      <c r="AA3414" s="9">
        <v>42.885327131268298</v>
      </c>
      <c r="AB3414" s="9">
        <v>49.659479185845427</v>
      </c>
      <c r="AC3414" s="9">
        <v>49.659479185845427</v>
      </c>
      <c r="AD3414" s="9">
        <v>56.580305827489475</v>
      </c>
      <c r="AE3414" s="9">
        <v>63.666673708638676</v>
      </c>
      <c r="AF3414" s="9">
        <v>70.939940361157198</v>
      </c>
      <c r="AG3414" s="9">
        <v>70.939940361157198</v>
      </c>
      <c r="AH3414" s="9">
        <v>77.933178543288449</v>
      </c>
      <c r="AI3414" s="9">
        <v>85.444390652517114</v>
      </c>
      <c r="AJ3414" s="9">
        <v>3.0428788910505911</v>
      </c>
    </row>
    <row r="3415" spans="1:36" x14ac:dyDescent="0.25">
      <c r="A3415" t="s">
        <v>5411</v>
      </c>
      <c r="B3415" t="s">
        <v>16</v>
      </c>
      <c r="C3415" t="s">
        <v>17</v>
      </c>
      <c r="D3415">
        <v>64495000</v>
      </c>
      <c r="E3415">
        <v>64499999</v>
      </c>
      <c r="F3415" t="s">
        <v>3082</v>
      </c>
      <c r="G3415" t="str">
        <f t="shared" si="106"/>
        <v>PII</v>
      </c>
      <c r="H3415" t="s">
        <v>2995</v>
      </c>
      <c r="I3415" t="s">
        <v>20</v>
      </c>
      <c r="J3415" t="s">
        <v>62</v>
      </c>
      <c r="K3415" s="6">
        <v>0.03</v>
      </c>
      <c r="L3415" s="7">
        <f t="shared" si="107"/>
        <v>2E-3</v>
      </c>
      <c r="M3415" s="7">
        <v>3.0000000000000001E-3</v>
      </c>
      <c r="N3415">
        <v>14</v>
      </c>
      <c r="O3415" s="8">
        <v>18.523064475870246</v>
      </c>
      <c r="P3415" s="9">
        <v>18.523064475870246</v>
      </c>
      <c r="Q3415" s="9">
        <v>18.523064475870246</v>
      </c>
      <c r="R3415" s="9">
        <v>19.986085921544504</v>
      </c>
      <c r="S3415" s="9">
        <v>22.12943390989907</v>
      </c>
      <c r="T3415" s="9">
        <v>24.361587349653966</v>
      </c>
      <c r="U3415" s="9">
        <v>30.016334788894795</v>
      </c>
      <c r="V3415" s="9">
        <v>30.016334788894795</v>
      </c>
      <c r="W3415" s="9">
        <v>30.016334788894795</v>
      </c>
      <c r="X3415" s="9">
        <v>36.357177991180244</v>
      </c>
      <c r="Y3415" s="9">
        <v>36.357177991180244</v>
      </c>
      <c r="Z3415" s="9">
        <v>42.885327131268298</v>
      </c>
      <c r="AA3415" s="9">
        <v>42.885327131268298</v>
      </c>
      <c r="AB3415" s="9">
        <v>49.659479185845427</v>
      </c>
      <c r="AC3415" s="9">
        <v>49.659479185845427</v>
      </c>
      <c r="AD3415" s="9">
        <v>56.580305827489475</v>
      </c>
      <c r="AE3415" s="9">
        <v>63.666673708638676</v>
      </c>
      <c r="AF3415" s="9">
        <v>70.939940361157198</v>
      </c>
      <c r="AG3415" s="9">
        <v>70.939940361157198</v>
      </c>
      <c r="AH3415" s="9">
        <v>77.933178543288449</v>
      </c>
      <c r="AI3415" s="9">
        <v>85.444390652517114</v>
      </c>
      <c r="AJ3415" s="9">
        <v>3.0428788910505911</v>
      </c>
    </row>
    <row r="3416" spans="1:36" x14ac:dyDescent="0.25">
      <c r="A3416" t="s">
        <v>5411</v>
      </c>
      <c r="B3416" t="s">
        <v>16</v>
      </c>
      <c r="C3416" t="s">
        <v>17</v>
      </c>
      <c r="D3416">
        <v>64500000</v>
      </c>
      <c r="E3416">
        <v>64509999</v>
      </c>
      <c r="F3416" t="s">
        <v>3083</v>
      </c>
      <c r="G3416" t="str">
        <f t="shared" si="106"/>
        <v>PII II</v>
      </c>
      <c r="H3416" t="s">
        <v>2995</v>
      </c>
      <c r="I3416" t="s">
        <v>20</v>
      </c>
      <c r="J3416" t="s">
        <v>64</v>
      </c>
      <c r="K3416" s="6">
        <v>0.03</v>
      </c>
      <c r="L3416" s="7">
        <f t="shared" si="107"/>
        <v>2E-3</v>
      </c>
      <c r="M3416" s="7">
        <v>3.0000000000000001E-3</v>
      </c>
      <c r="N3416">
        <v>15</v>
      </c>
      <c r="O3416" s="8">
        <v>22.680099489425388</v>
      </c>
      <c r="P3416" s="9">
        <v>22.680099489425388</v>
      </c>
      <c r="Q3416" s="9">
        <v>22.680099489425388</v>
      </c>
      <c r="R3416" s="9">
        <v>24.975706415973956</v>
      </c>
      <c r="S3416" s="9">
        <v>27.507757599557678</v>
      </c>
      <c r="T3416" s="9">
        <v>29.643595035649298</v>
      </c>
      <c r="U3416" s="9">
        <v>36.324172615829276</v>
      </c>
      <c r="V3416" s="9">
        <v>36.324172615829276</v>
      </c>
      <c r="W3416" s="9">
        <v>36.324172615829276</v>
      </c>
      <c r="X3416" s="9">
        <v>43.832136422596946</v>
      </c>
      <c r="Y3416" s="9">
        <v>43.832136422596946</v>
      </c>
      <c r="Z3416" s="9">
        <v>51.429400054836968</v>
      </c>
      <c r="AA3416" s="9">
        <v>51.429400054836968</v>
      </c>
      <c r="AB3416" s="9">
        <v>59.124893495096586</v>
      </c>
      <c r="AC3416" s="9">
        <v>59.124893495096586</v>
      </c>
      <c r="AD3416" s="9">
        <v>68.673407568137122</v>
      </c>
      <c r="AE3416" s="9">
        <v>75.899806853903883</v>
      </c>
      <c r="AF3416" s="9">
        <v>83.243930726651769</v>
      </c>
      <c r="AG3416" s="9">
        <v>83.243930726651769</v>
      </c>
      <c r="AH3416" s="9">
        <v>91.483430312965311</v>
      </c>
      <c r="AI3416" s="9">
        <v>99.63294480172658</v>
      </c>
      <c r="AJ3416" s="9">
        <v>3.0428788910505911</v>
      </c>
    </row>
    <row r="3417" spans="1:36" x14ac:dyDescent="0.25">
      <c r="A3417" t="s">
        <v>5411</v>
      </c>
      <c r="B3417" t="s">
        <v>16</v>
      </c>
      <c r="C3417" t="s">
        <v>17</v>
      </c>
      <c r="D3417">
        <v>64510000</v>
      </c>
      <c r="E3417">
        <v>64511999</v>
      </c>
      <c r="F3417" t="s">
        <v>3084</v>
      </c>
      <c r="G3417" t="str">
        <f t="shared" si="106"/>
        <v>PII II</v>
      </c>
      <c r="H3417" t="s">
        <v>2995</v>
      </c>
      <c r="I3417" t="s">
        <v>20</v>
      </c>
      <c r="J3417" t="s">
        <v>64</v>
      </c>
      <c r="K3417" s="6">
        <v>0.03</v>
      </c>
      <c r="L3417" s="7">
        <f t="shared" si="107"/>
        <v>2E-3</v>
      </c>
      <c r="M3417" s="7">
        <v>3.0000000000000001E-3</v>
      </c>
      <c r="N3417">
        <v>15</v>
      </c>
      <c r="O3417" s="8">
        <v>22.680099489425388</v>
      </c>
      <c r="P3417" s="9">
        <v>22.680099489425388</v>
      </c>
      <c r="Q3417" s="9">
        <v>22.680099489425388</v>
      </c>
      <c r="R3417" s="9">
        <v>24.975706415973956</v>
      </c>
      <c r="S3417" s="9">
        <v>27.507757599557678</v>
      </c>
      <c r="T3417" s="9">
        <v>29.643595035649298</v>
      </c>
      <c r="U3417" s="9">
        <v>36.324172615829276</v>
      </c>
      <c r="V3417" s="9">
        <v>36.324172615829276</v>
      </c>
      <c r="W3417" s="9">
        <v>36.324172615829276</v>
      </c>
      <c r="X3417" s="9">
        <v>43.832136422596946</v>
      </c>
      <c r="Y3417" s="9">
        <v>43.832136422596946</v>
      </c>
      <c r="Z3417" s="9">
        <v>51.429400054836968</v>
      </c>
      <c r="AA3417" s="9">
        <v>51.429400054836968</v>
      </c>
      <c r="AB3417" s="9">
        <v>59.124893495096586</v>
      </c>
      <c r="AC3417" s="9">
        <v>59.124893495096586</v>
      </c>
      <c r="AD3417" s="9">
        <v>68.673407568137122</v>
      </c>
      <c r="AE3417" s="9">
        <v>75.899806853903883</v>
      </c>
      <c r="AF3417" s="9">
        <v>83.243930726651769</v>
      </c>
      <c r="AG3417" s="9">
        <v>83.243930726651769</v>
      </c>
      <c r="AH3417" s="9">
        <v>91.483430312965311</v>
      </c>
      <c r="AI3417" s="9">
        <v>99.63294480172658</v>
      </c>
      <c r="AJ3417" s="9">
        <v>3.0428788910505911</v>
      </c>
    </row>
    <row r="3418" spans="1:36" x14ac:dyDescent="0.25">
      <c r="A3418" t="s">
        <v>5411</v>
      </c>
      <c r="B3418" t="s">
        <v>16</v>
      </c>
      <c r="C3418" t="s">
        <v>17</v>
      </c>
      <c r="D3418">
        <v>64512000</v>
      </c>
      <c r="E3418">
        <v>64513999</v>
      </c>
      <c r="F3418" t="s">
        <v>3085</v>
      </c>
      <c r="G3418" t="str">
        <f t="shared" si="106"/>
        <v>PII</v>
      </c>
      <c r="H3418" t="s">
        <v>2995</v>
      </c>
      <c r="I3418" t="s">
        <v>20</v>
      </c>
      <c r="J3418" t="s">
        <v>62</v>
      </c>
      <c r="K3418" s="6">
        <v>0.03</v>
      </c>
      <c r="L3418" s="7">
        <f t="shared" si="107"/>
        <v>2E-3</v>
      </c>
      <c r="M3418" s="7">
        <v>3.0000000000000001E-3</v>
      </c>
      <c r="N3418">
        <v>14</v>
      </c>
      <c r="O3418" s="8">
        <v>18.523064475870246</v>
      </c>
      <c r="P3418" s="9">
        <v>18.523064475870246</v>
      </c>
      <c r="Q3418" s="9">
        <v>18.523064475870246</v>
      </c>
      <c r="R3418" s="9">
        <v>19.986085921544504</v>
      </c>
      <c r="S3418" s="9">
        <v>22.12943390989907</v>
      </c>
      <c r="T3418" s="9">
        <v>24.361587349653966</v>
      </c>
      <c r="U3418" s="9">
        <v>30.016334788894795</v>
      </c>
      <c r="V3418" s="9">
        <v>30.016334788894795</v>
      </c>
      <c r="W3418" s="9">
        <v>30.016334788894795</v>
      </c>
      <c r="X3418" s="9">
        <v>36.357177991180244</v>
      </c>
      <c r="Y3418" s="9">
        <v>36.357177991180244</v>
      </c>
      <c r="Z3418" s="9">
        <v>42.885327131268298</v>
      </c>
      <c r="AA3418" s="9">
        <v>42.885327131268298</v>
      </c>
      <c r="AB3418" s="9">
        <v>49.659479185845427</v>
      </c>
      <c r="AC3418" s="9">
        <v>49.659479185845427</v>
      </c>
      <c r="AD3418" s="9">
        <v>56.580305827489475</v>
      </c>
      <c r="AE3418" s="9">
        <v>63.666673708638676</v>
      </c>
      <c r="AF3418" s="9">
        <v>70.939940361157198</v>
      </c>
      <c r="AG3418" s="9">
        <v>70.939940361157198</v>
      </c>
      <c r="AH3418" s="9">
        <v>77.933178543288449</v>
      </c>
      <c r="AI3418" s="9">
        <v>85.444390652517114</v>
      </c>
      <c r="AJ3418" s="9">
        <v>3.0428788910505911</v>
      </c>
    </row>
    <row r="3419" spans="1:36" x14ac:dyDescent="0.25">
      <c r="A3419" t="s">
        <v>5411</v>
      </c>
      <c r="B3419" t="s">
        <v>16</v>
      </c>
      <c r="C3419" t="s">
        <v>17</v>
      </c>
      <c r="D3419">
        <v>64514000</v>
      </c>
      <c r="E3419">
        <v>64515999</v>
      </c>
      <c r="F3419" t="s">
        <v>3086</v>
      </c>
      <c r="G3419" t="str">
        <f t="shared" si="106"/>
        <v>PII II</v>
      </c>
      <c r="H3419" t="s">
        <v>2995</v>
      </c>
      <c r="I3419" t="s">
        <v>20</v>
      </c>
      <c r="J3419" t="s">
        <v>64</v>
      </c>
      <c r="K3419" s="6">
        <v>0.03</v>
      </c>
      <c r="L3419" s="7">
        <f t="shared" si="107"/>
        <v>2E-3</v>
      </c>
      <c r="M3419" s="7">
        <v>3.0000000000000001E-3</v>
      </c>
      <c r="N3419">
        <v>15</v>
      </c>
      <c r="O3419" s="8">
        <v>22.680099489425388</v>
      </c>
      <c r="P3419" s="9">
        <v>22.680099489425388</v>
      </c>
      <c r="Q3419" s="9">
        <v>22.680099489425388</v>
      </c>
      <c r="R3419" s="9">
        <v>24.975706415973956</v>
      </c>
      <c r="S3419" s="9">
        <v>27.507757599557678</v>
      </c>
      <c r="T3419" s="9">
        <v>29.643595035649298</v>
      </c>
      <c r="U3419" s="9">
        <v>36.324172615829276</v>
      </c>
      <c r="V3419" s="9">
        <v>36.324172615829276</v>
      </c>
      <c r="W3419" s="9">
        <v>36.324172615829276</v>
      </c>
      <c r="X3419" s="9">
        <v>43.832136422596946</v>
      </c>
      <c r="Y3419" s="9">
        <v>43.832136422596946</v>
      </c>
      <c r="Z3419" s="9">
        <v>51.429400054836968</v>
      </c>
      <c r="AA3419" s="9">
        <v>51.429400054836968</v>
      </c>
      <c r="AB3419" s="9">
        <v>59.124893495096586</v>
      </c>
      <c r="AC3419" s="9">
        <v>59.124893495096586</v>
      </c>
      <c r="AD3419" s="9">
        <v>68.673407568137122</v>
      </c>
      <c r="AE3419" s="9">
        <v>75.899806853903883</v>
      </c>
      <c r="AF3419" s="9">
        <v>83.243930726651769</v>
      </c>
      <c r="AG3419" s="9">
        <v>83.243930726651769</v>
      </c>
      <c r="AH3419" s="9">
        <v>91.483430312965311</v>
      </c>
      <c r="AI3419" s="9">
        <v>99.63294480172658</v>
      </c>
      <c r="AJ3419" s="9">
        <v>3.0428788910505911</v>
      </c>
    </row>
    <row r="3420" spans="1:36" x14ac:dyDescent="0.25">
      <c r="A3420" t="s">
        <v>5411</v>
      </c>
      <c r="B3420" t="s">
        <v>16</v>
      </c>
      <c r="C3420" t="s">
        <v>17</v>
      </c>
      <c r="D3420">
        <v>64516000</v>
      </c>
      <c r="E3420">
        <v>64517999</v>
      </c>
      <c r="F3420" t="s">
        <v>3087</v>
      </c>
      <c r="G3420" t="str">
        <f t="shared" si="106"/>
        <v>PII II</v>
      </c>
      <c r="H3420" t="s">
        <v>2995</v>
      </c>
      <c r="I3420" t="s">
        <v>20</v>
      </c>
      <c r="J3420" t="s">
        <v>64</v>
      </c>
      <c r="K3420" s="6">
        <v>0.03</v>
      </c>
      <c r="L3420" s="7">
        <f t="shared" si="107"/>
        <v>2E-3</v>
      </c>
      <c r="M3420" s="7">
        <v>3.0000000000000001E-3</v>
      </c>
      <c r="N3420">
        <v>15</v>
      </c>
      <c r="O3420" s="8">
        <v>22.680099489425388</v>
      </c>
      <c r="P3420" s="9">
        <v>22.680099489425388</v>
      </c>
      <c r="Q3420" s="9">
        <v>22.680099489425388</v>
      </c>
      <c r="R3420" s="9">
        <v>24.975706415973956</v>
      </c>
      <c r="S3420" s="9">
        <v>27.507757599557678</v>
      </c>
      <c r="T3420" s="9">
        <v>29.643595035649298</v>
      </c>
      <c r="U3420" s="9">
        <v>36.324172615829276</v>
      </c>
      <c r="V3420" s="9">
        <v>36.324172615829276</v>
      </c>
      <c r="W3420" s="9">
        <v>36.324172615829276</v>
      </c>
      <c r="X3420" s="9">
        <v>43.832136422596946</v>
      </c>
      <c r="Y3420" s="9">
        <v>43.832136422596946</v>
      </c>
      <c r="Z3420" s="9">
        <v>51.429400054836968</v>
      </c>
      <c r="AA3420" s="9">
        <v>51.429400054836968</v>
      </c>
      <c r="AB3420" s="9">
        <v>59.124893495096586</v>
      </c>
      <c r="AC3420" s="9">
        <v>59.124893495096586</v>
      </c>
      <c r="AD3420" s="9">
        <v>68.673407568137122</v>
      </c>
      <c r="AE3420" s="9">
        <v>75.899806853903883</v>
      </c>
      <c r="AF3420" s="9">
        <v>83.243930726651769</v>
      </c>
      <c r="AG3420" s="9">
        <v>83.243930726651769</v>
      </c>
      <c r="AH3420" s="9">
        <v>91.483430312965311</v>
      </c>
      <c r="AI3420" s="9">
        <v>99.63294480172658</v>
      </c>
      <c r="AJ3420" s="9">
        <v>3.0428788910505911</v>
      </c>
    </row>
    <row r="3421" spans="1:36" x14ac:dyDescent="0.25">
      <c r="A3421" t="s">
        <v>5411</v>
      </c>
      <c r="B3421" t="s">
        <v>16</v>
      </c>
      <c r="C3421" t="s">
        <v>17</v>
      </c>
      <c r="D3421">
        <v>64518000</v>
      </c>
      <c r="E3421">
        <v>64519999</v>
      </c>
      <c r="F3421" t="s">
        <v>3088</v>
      </c>
      <c r="G3421" t="str">
        <f t="shared" si="106"/>
        <v>PII II</v>
      </c>
      <c r="H3421" t="s">
        <v>2995</v>
      </c>
      <c r="I3421" t="s">
        <v>20</v>
      </c>
      <c r="J3421" t="s">
        <v>64</v>
      </c>
      <c r="K3421" s="6">
        <v>0.03</v>
      </c>
      <c r="L3421" s="7">
        <f t="shared" si="107"/>
        <v>2E-3</v>
      </c>
      <c r="M3421" s="7">
        <v>3.0000000000000001E-3</v>
      </c>
      <c r="N3421">
        <v>15</v>
      </c>
      <c r="O3421" s="8">
        <v>22.680099489425388</v>
      </c>
      <c r="P3421" s="9">
        <v>22.680099489425388</v>
      </c>
      <c r="Q3421" s="9">
        <v>22.680099489425388</v>
      </c>
      <c r="R3421" s="9">
        <v>24.975706415973956</v>
      </c>
      <c r="S3421" s="9">
        <v>27.507757599557678</v>
      </c>
      <c r="T3421" s="9">
        <v>29.643595035649298</v>
      </c>
      <c r="U3421" s="9">
        <v>36.324172615829276</v>
      </c>
      <c r="V3421" s="9">
        <v>36.324172615829276</v>
      </c>
      <c r="W3421" s="9">
        <v>36.324172615829276</v>
      </c>
      <c r="X3421" s="9">
        <v>43.832136422596946</v>
      </c>
      <c r="Y3421" s="9">
        <v>43.832136422596946</v>
      </c>
      <c r="Z3421" s="9">
        <v>51.429400054836968</v>
      </c>
      <c r="AA3421" s="9">
        <v>51.429400054836968</v>
      </c>
      <c r="AB3421" s="9">
        <v>59.124893495096586</v>
      </c>
      <c r="AC3421" s="9">
        <v>59.124893495096586</v>
      </c>
      <c r="AD3421" s="9">
        <v>68.673407568137122</v>
      </c>
      <c r="AE3421" s="9">
        <v>75.899806853903883</v>
      </c>
      <c r="AF3421" s="9">
        <v>83.243930726651769</v>
      </c>
      <c r="AG3421" s="9">
        <v>83.243930726651769</v>
      </c>
      <c r="AH3421" s="9">
        <v>91.483430312965311</v>
      </c>
      <c r="AI3421" s="9">
        <v>99.63294480172658</v>
      </c>
      <c r="AJ3421" s="9">
        <v>3.0428788910505911</v>
      </c>
    </row>
    <row r="3422" spans="1:36" x14ac:dyDescent="0.25">
      <c r="A3422" t="s">
        <v>5411</v>
      </c>
      <c r="B3422" t="s">
        <v>16</v>
      </c>
      <c r="C3422" t="s">
        <v>17</v>
      </c>
      <c r="D3422">
        <v>64520000</v>
      </c>
      <c r="E3422">
        <v>64524999</v>
      </c>
      <c r="F3422" t="s">
        <v>3089</v>
      </c>
      <c r="G3422" t="str">
        <f t="shared" si="106"/>
        <v>PII</v>
      </c>
      <c r="H3422" t="s">
        <v>2995</v>
      </c>
      <c r="I3422" t="s">
        <v>20</v>
      </c>
      <c r="J3422" t="s">
        <v>62</v>
      </c>
      <c r="K3422" s="6">
        <v>0.03</v>
      </c>
      <c r="L3422" s="7">
        <f t="shared" si="107"/>
        <v>2E-3</v>
      </c>
      <c r="M3422" s="7">
        <v>3.0000000000000001E-3</v>
      </c>
      <c r="N3422">
        <v>14</v>
      </c>
      <c r="O3422" s="8">
        <v>18.523064475870246</v>
      </c>
      <c r="P3422" s="9">
        <v>18.523064475870246</v>
      </c>
      <c r="Q3422" s="9">
        <v>18.523064475870246</v>
      </c>
      <c r="R3422" s="9">
        <v>19.986085921544504</v>
      </c>
      <c r="S3422" s="9">
        <v>22.12943390989907</v>
      </c>
      <c r="T3422" s="9">
        <v>24.361587349653966</v>
      </c>
      <c r="U3422" s="9">
        <v>30.016334788894795</v>
      </c>
      <c r="V3422" s="9">
        <v>30.016334788894795</v>
      </c>
      <c r="W3422" s="9">
        <v>30.016334788894795</v>
      </c>
      <c r="X3422" s="9">
        <v>36.357177991180244</v>
      </c>
      <c r="Y3422" s="9">
        <v>36.357177991180244</v>
      </c>
      <c r="Z3422" s="9">
        <v>42.885327131268298</v>
      </c>
      <c r="AA3422" s="9">
        <v>42.885327131268298</v>
      </c>
      <c r="AB3422" s="9">
        <v>49.659479185845427</v>
      </c>
      <c r="AC3422" s="9">
        <v>49.659479185845427</v>
      </c>
      <c r="AD3422" s="9">
        <v>56.580305827489475</v>
      </c>
      <c r="AE3422" s="9">
        <v>63.666673708638676</v>
      </c>
      <c r="AF3422" s="9">
        <v>70.939940361157198</v>
      </c>
      <c r="AG3422" s="9">
        <v>70.939940361157198</v>
      </c>
      <c r="AH3422" s="9">
        <v>77.933178543288449</v>
      </c>
      <c r="AI3422" s="9">
        <v>85.444390652517114</v>
      </c>
      <c r="AJ3422" s="9">
        <v>3.0428788910505911</v>
      </c>
    </row>
    <row r="3423" spans="1:36" x14ac:dyDescent="0.25">
      <c r="A3423" t="s">
        <v>5411</v>
      </c>
      <c r="B3423" t="s">
        <v>16</v>
      </c>
      <c r="C3423" t="s">
        <v>17</v>
      </c>
      <c r="D3423">
        <v>64525000</v>
      </c>
      <c r="E3423">
        <v>64527999</v>
      </c>
      <c r="F3423" t="s">
        <v>3090</v>
      </c>
      <c r="G3423" t="str">
        <f t="shared" si="106"/>
        <v>PII</v>
      </c>
      <c r="H3423" t="s">
        <v>2995</v>
      </c>
      <c r="I3423" t="s">
        <v>20</v>
      </c>
      <c r="J3423" t="s">
        <v>62</v>
      </c>
      <c r="K3423" s="6">
        <v>0.03</v>
      </c>
      <c r="L3423" s="7">
        <f t="shared" si="107"/>
        <v>2E-3</v>
      </c>
      <c r="M3423" s="7">
        <v>3.0000000000000001E-3</v>
      </c>
      <c r="N3423">
        <v>14</v>
      </c>
      <c r="O3423" s="8">
        <v>18.523064475870246</v>
      </c>
      <c r="P3423" s="9">
        <v>18.523064475870246</v>
      </c>
      <c r="Q3423" s="9">
        <v>18.523064475870246</v>
      </c>
      <c r="R3423" s="9">
        <v>19.986085921544504</v>
      </c>
      <c r="S3423" s="9">
        <v>22.12943390989907</v>
      </c>
      <c r="T3423" s="9">
        <v>24.361587349653966</v>
      </c>
      <c r="U3423" s="9">
        <v>30.016334788894795</v>
      </c>
      <c r="V3423" s="9">
        <v>30.016334788894795</v>
      </c>
      <c r="W3423" s="9">
        <v>30.016334788894795</v>
      </c>
      <c r="X3423" s="9">
        <v>36.357177991180244</v>
      </c>
      <c r="Y3423" s="9">
        <v>36.357177991180244</v>
      </c>
      <c r="Z3423" s="9">
        <v>42.885327131268298</v>
      </c>
      <c r="AA3423" s="9">
        <v>42.885327131268298</v>
      </c>
      <c r="AB3423" s="9">
        <v>49.659479185845427</v>
      </c>
      <c r="AC3423" s="9">
        <v>49.659479185845427</v>
      </c>
      <c r="AD3423" s="9">
        <v>56.580305827489475</v>
      </c>
      <c r="AE3423" s="9">
        <v>63.666673708638676</v>
      </c>
      <c r="AF3423" s="9">
        <v>70.939940361157198</v>
      </c>
      <c r="AG3423" s="9">
        <v>70.939940361157198</v>
      </c>
      <c r="AH3423" s="9">
        <v>77.933178543288449</v>
      </c>
      <c r="AI3423" s="9">
        <v>85.444390652517114</v>
      </c>
      <c r="AJ3423" s="9">
        <v>3.0428788910505911</v>
      </c>
    </row>
    <row r="3424" spans="1:36" x14ac:dyDescent="0.25">
      <c r="A3424" t="s">
        <v>5411</v>
      </c>
      <c r="B3424" t="s">
        <v>16</v>
      </c>
      <c r="C3424" t="s">
        <v>17</v>
      </c>
      <c r="D3424">
        <v>64528000</v>
      </c>
      <c r="E3424">
        <v>64529999</v>
      </c>
      <c r="F3424" t="s">
        <v>3091</v>
      </c>
      <c r="G3424" t="str">
        <f t="shared" si="106"/>
        <v>PII II</v>
      </c>
      <c r="H3424" t="s">
        <v>2995</v>
      </c>
      <c r="I3424" t="s">
        <v>20</v>
      </c>
      <c r="J3424" t="s">
        <v>64</v>
      </c>
      <c r="K3424" s="6">
        <v>0.03</v>
      </c>
      <c r="L3424" s="7">
        <f t="shared" si="107"/>
        <v>2E-3</v>
      </c>
      <c r="M3424" s="7">
        <v>3.0000000000000001E-3</v>
      </c>
      <c r="N3424">
        <v>15</v>
      </c>
      <c r="O3424" s="8">
        <v>22.680099489425388</v>
      </c>
      <c r="P3424" s="9">
        <v>22.680099489425388</v>
      </c>
      <c r="Q3424" s="9">
        <v>22.680099489425388</v>
      </c>
      <c r="R3424" s="9">
        <v>24.975706415973956</v>
      </c>
      <c r="S3424" s="9">
        <v>27.507757599557678</v>
      </c>
      <c r="T3424" s="9">
        <v>29.643595035649298</v>
      </c>
      <c r="U3424" s="9">
        <v>36.324172615829276</v>
      </c>
      <c r="V3424" s="9">
        <v>36.324172615829276</v>
      </c>
      <c r="W3424" s="9">
        <v>36.324172615829276</v>
      </c>
      <c r="X3424" s="9">
        <v>43.832136422596946</v>
      </c>
      <c r="Y3424" s="9">
        <v>43.832136422596946</v>
      </c>
      <c r="Z3424" s="9">
        <v>51.429400054836968</v>
      </c>
      <c r="AA3424" s="9">
        <v>51.429400054836968</v>
      </c>
      <c r="AB3424" s="9">
        <v>59.124893495096586</v>
      </c>
      <c r="AC3424" s="9">
        <v>59.124893495096586</v>
      </c>
      <c r="AD3424" s="9">
        <v>68.673407568137122</v>
      </c>
      <c r="AE3424" s="9">
        <v>75.899806853903883</v>
      </c>
      <c r="AF3424" s="9">
        <v>83.243930726651769</v>
      </c>
      <c r="AG3424" s="9">
        <v>83.243930726651769</v>
      </c>
      <c r="AH3424" s="9">
        <v>91.483430312965311</v>
      </c>
      <c r="AI3424" s="9">
        <v>99.63294480172658</v>
      </c>
      <c r="AJ3424" s="9">
        <v>3.0428788910505911</v>
      </c>
    </row>
    <row r="3425" spans="1:36" x14ac:dyDescent="0.25">
      <c r="A3425" t="s">
        <v>5411</v>
      </c>
      <c r="B3425" t="s">
        <v>16</v>
      </c>
      <c r="C3425" t="s">
        <v>17</v>
      </c>
      <c r="D3425">
        <v>64530000</v>
      </c>
      <c r="E3425">
        <v>64534999</v>
      </c>
      <c r="F3425" t="s">
        <v>3092</v>
      </c>
      <c r="G3425" t="str">
        <f t="shared" si="106"/>
        <v>PII II</v>
      </c>
      <c r="H3425" t="s">
        <v>2995</v>
      </c>
      <c r="I3425" t="s">
        <v>20</v>
      </c>
      <c r="J3425" t="s">
        <v>64</v>
      </c>
      <c r="K3425" s="6">
        <v>0.03</v>
      </c>
      <c r="L3425" s="7">
        <f t="shared" si="107"/>
        <v>2E-3</v>
      </c>
      <c r="M3425" s="7">
        <v>3.0000000000000001E-3</v>
      </c>
      <c r="N3425">
        <v>14</v>
      </c>
      <c r="O3425" s="8">
        <v>22.680099489425388</v>
      </c>
      <c r="P3425" s="9">
        <v>22.680099489425388</v>
      </c>
      <c r="Q3425" s="9">
        <v>22.680099489425388</v>
      </c>
      <c r="R3425" s="9">
        <v>24.975706415973956</v>
      </c>
      <c r="S3425" s="9">
        <v>27.507757599557678</v>
      </c>
      <c r="T3425" s="9">
        <v>29.643595035649298</v>
      </c>
      <c r="U3425" s="9">
        <v>36.324172615829276</v>
      </c>
      <c r="V3425" s="9">
        <v>36.324172615829276</v>
      </c>
      <c r="W3425" s="9">
        <v>36.324172615829276</v>
      </c>
      <c r="X3425" s="9">
        <v>43.832136422596946</v>
      </c>
      <c r="Y3425" s="9">
        <v>43.832136422596946</v>
      </c>
      <c r="Z3425" s="9">
        <v>51.429400054836968</v>
      </c>
      <c r="AA3425" s="9">
        <v>51.429400054836968</v>
      </c>
      <c r="AB3425" s="9">
        <v>59.124893495096586</v>
      </c>
      <c r="AC3425" s="9">
        <v>59.124893495096586</v>
      </c>
      <c r="AD3425" s="9">
        <v>68.673407568137122</v>
      </c>
      <c r="AE3425" s="9">
        <v>75.899806853903883</v>
      </c>
      <c r="AF3425" s="9">
        <v>83.243930726651769</v>
      </c>
      <c r="AG3425" s="9">
        <v>83.243930726651769</v>
      </c>
      <c r="AH3425" s="9">
        <v>91.483430312965311</v>
      </c>
      <c r="AI3425" s="9">
        <v>99.63294480172658</v>
      </c>
      <c r="AJ3425" s="9">
        <v>3.0428788910505911</v>
      </c>
    </row>
    <row r="3426" spans="1:36" x14ac:dyDescent="0.25">
      <c r="A3426" t="s">
        <v>5411</v>
      </c>
      <c r="B3426" t="s">
        <v>16</v>
      </c>
      <c r="C3426" t="s">
        <v>17</v>
      </c>
      <c r="D3426">
        <v>64535000</v>
      </c>
      <c r="E3426">
        <v>64539999</v>
      </c>
      <c r="F3426" t="s">
        <v>3093</v>
      </c>
      <c r="G3426" t="str">
        <f t="shared" si="106"/>
        <v>PII II</v>
      </c>
      <c r="H3426" t="s">
        <v>2995</v>
      </c>
      <c r="I3426" t="s">
        <v>20</v>
      </c>
      <c r="J3426" t="s">
        <v>64</v>
      </c>
      <c r="K3426" s="6">
        <v>0.03</v>
      </c>
      <c r="L3426" s="7">
        <f t="shared" si="107"/>
        <v>2E-3</v>
      </c>
      <c r="M3426" s="7">
        <v>3.0000000000000001E-3</v>
      </c>
      <c r="N3426">
        <v>15</v>
      </c>
      <c r="O3426" s="8">
        <v>22.680099489425388</v>
      </c>
      <c r="P3426" s="9">
        <v>22.680099489425388</v>
      </c>
      <c r="Q3426" s="9">
        <v>22.680099489425388</v>
      </c>
      <c r="R3426" s="9">
        <v>24.975706415973956</v>
      </c>
      <c r="S3426" s="9">
        <v>27.507757599557678</v>
      </c>
      <c r="T3426" s="9">
        <v>29.643595035649298</v>
      </c>
      <c r="U3426" s="9">
        <v>36.324172615829276</v>
      </c>
      <c r="V3426" s="9">
        <v>36.324172615829276</v>
      </c>
      <c r="W3426" s="9">
        <v>36.324172615829276</v>
      </c>
      <c r="X3426" s="9">
        <v>43.832136422596946</v>
      </c>
      <c r="Y3426" s="9">
        <v>43.832136422596946</v>
      </c>
      <c r="Z3426" s="9">
        <v>51.429400054836968</v>
      </c>
      <c r="AA3426" s="9">
        <v>51.429400054836968</v>
      </c>
      <c r="AB3426" s="9">
        <v>59.124893495096586</v>
      </c>
      <c r="AC3426" s="9">
        <v>59.124893495096586</v>
      </c>
      <c r="AD3426" s="9">
        <v>68.673407568137122</v>
      </c>
      <c r="AE3426" s="9">
        <v>75.899806853903883</v>
      </c>
      <c r="AF3426" s="9">
        <v>83.243930726651769</v>
      </c>
      <c r="AG3426" s="9">
        <v>83.243930726651769</v>
      </c>
      <c r="AH3426" s="9">
        <v>91.483430312965311</v>
      </c>
      <c r="AI3426" s="9">
        <v>99.63294480172658</v>
      </c>
      <c r="AJ3426" s="9">
        <v>3.0428788910505911</v>
      </c>
    </row>
    <row r="3427" spans="1:36" x14ac:dyDescent="0.25">
      <c r="A3427" t="s">
        <v>5411</v>
      </c>
      <c r="B3427" t="s">
        <v>16</v>
      </c>
      <c r="C3427" t="s">
        <v>17</v>
      </c>
      <c r="D3427">
        <v>64540000</v>
      </c>
      <c r="E3427">
        <v>64544999</v>
      </c>
      <c r="F3427" t="s">
        <v>3094</v>
      </c>
      <c r="G3427" t="str">
        <f t="shared" si="106"/>
        <v>PII II</v>
      </c>
      <c r="H3427" t="s">
        <v>2995</v>
      </c>
      <c r="I3427" t="s">
        <v>20</v>
      </c>
      <c r="J3427" t="s">
        <v>64</v>
      </c>
      <c r="K3427" s="6">
        <v>0.03</v>
      </c>
      <c r="L3427" s="7">
        <f t="shared" si="107"/>
        <v>2E-3</v>
      </c>
      <c r="M3427" s="7">
        <v>3.0000000000000001E-3</v>
      </c>
      <c r="N3427">
        <v>14</v>
      </c>
      <c r="O3427" s="8">
        <v>22.680099489425388</v>
      </c>
      <c r="P3427" s="9">
        <v>22.680099489425388</v>
      </c>
      <c r="Q3427" s="9">
        <v>22.680099489425388</v>
      </c>
      <c r="R3427" s="9">
        <v>24.975706415973956</v>
      </c>
      <c r="S3427" s="9">
        <v>27.507757599557678</v>
      </c>
      <c r="T3427" s="9">
        <v>29.643595035649298</v>
      </c>
      <c r="U3427" s="9">
        <v>36.324172615829276</v>
      </c>
      <c r="V3427" s="9">
        <v>36.324172615829276</v>
      </c>
      <c r="W3427" s="9">
        <v>36.324172615829276</v>
      </c>
      <c r="X3427" s="9">
        <v>43.832136422596946</v>
      </c>
      <c r="Y3427" s="9">
        <v>43.832136422596946</v>
      </c>
      <c r="Z3427" s="9">
        <v>51.429400054836968</v>
      </c>
      <c r="AA3427" s="9">
        <v>51.429400054836968</v>
      </c>
      <c r="AB3427" s="9">
        <v>59.124893495096586</v>
      </c>
      <c r="AC3427" s="9">
        <v>59.124893495096586</v>
      </c>
      <c r="AD3427" s="9">
        <v>68.673407568137122</v>
      </c>
      <c r="AE3427" s="9">
        <v>75.899806853903883</v>
      </c>
      <c r="AF3427" s="9">
        <v>83.243930726651769</v>
      </c>
      <c r="AG3427" s="9">
        <v>83.243930726651769</v>
      </c>
      <c r="AH3427" s="9">
        <v>91.483430312965311</v>
      </c>
      <c r="AI3427" s="9">
        <v>99.63294480172658</v>
      </c>
      <c r="AJ3427" s="9">
        <v>3.0428788910505911</v>
      </c>
    </row>
    <row r="3428" spans="1:36" x14ac:dyDescent="0.25">
      <c r="A3428" t="s">
        <v>5411</v>
      </c>
      <c r="B3428" t="s">
        <v>16</v>
      </c>
      <c r="C3428" t="s">
        <v>17</v>
      </c>
      <c r="D3428">
        <v>64545000</v>
      </c>
      <c r="E3428">
        <v>64547999</v>
      </c>
      <c r="F3428" t="s">
        <v>3095</v>
      </c>
      <c r="G3428" t="str">
        <f t="shared" si="106"/>
        <v>PII II</v>
      </c>
      <c r="H3428" t="s">
        <v>2995</v>
      </c>
      <c r="I3428" t="s">
        <v>20</v>
      </c>
      <c r="J3428" t="s">
        <v>64</v>
      </c>
      <c r="K3428" s="6">
        <v>0.03</v>
      </c>
      <c r="L3428" s="7">
        <f t="shared" si="107"/>
        <v>2E-3</v>
      </c>
      <c r="M3428" s="7">
        <v>3.0000000000000001E-3</v>
      </c>
      <c r="N3428">
        <v>14</v>
      </c>
      <c r="O3428" s="8">
        <v>22.680099489425388</v>
      </c>
      <c r="P3428" s="9">
        <v>22.680099489425388</v>
      </c>
      <c r="Q3428" s="9">
        <v>22.680099489425388</v>
      </c>
      <c r="R3428" s="9">
        <v>24.975706415973956</v>
      </c>
      <c r="S3428" s="9">
        <v>27.507757599557678</v>
      </c>
      <c r="T3428" s="9">
        <v>29.643595035649298</v>
      </c>
      <c r="U3428" s="9">
        <v>36.324172615829276</v>
      </c>
      <c r="V3428" s="9">
        <v>36.324172615829276</v>
      </c>
      <c r="W3428" s="9">
        <v>36.324172615829276</v>
      </c>
      <c r="X3428" s="9">
        <v>43.832136422596946</v>
      </c>
      <c r="Y3428" s="9">
        <v>43.832136422596946</v>
      </c>
      <c r="Z3428" s="9">
        <v>51.429400054836968</v>
      </c>
      <c r="AA3428" s="9">
        <v>51.429400054836968</v>
      </c>
      <c r="AB3428" s="9">
        <v>59.124893495096586</v>
      </c>
      <c r="AC3428" s="9">
        <v>59.124893495096586</v>
      </c>
      <c r="AD3428" s="9">
        <v>68.673407568137122</v>
      </c>
      <c r="AE3428" s="9">
        <v>75.899806853903883</v>
      </c>
      <c r="AF3428" s="9">
        <v>83.243930726651769</v>
      </c>
      <c r="AG3428" s="9">
        <v>83.243930726651769</v>
      </c>
      <c r="AH3428" s="9">
        <v>91.483430312965311</v>
      </c>
      <c r="AI3428" s="9">
        <v>99.63294480172658</v>
      </c>
      <c r="AJ3428" s="9">
        <v>3.0428788910505911</v>
      </c>
    </row>
    <row r="3429" spans="1:36" x14ac:dyDescent="0.25">
      <c r="A3429" t="s">
        <v>5411</v>
      </c>
      <c r="B3429" t="s">
        <v>16</v>
      </c>
      <c r="C3429" t="s">
        <v>17</v>
      </c>
      <c r="D3429">
        <v>64548000</v>
      </c>
      <c r="E3429">
        <v>64549999</v>
      </c>
      <c r="F3429" t="s">
        <v>3096</v>
      </c>
      <c r="G3429" t="str">
        <f t="shared" si="106"/>
        <v>PII II</v>
      </c>
      <c r="H3429" t="s">
        <v>2995</v>
      </c>
      <c r="I3429" t="s">
        <v>20</v>
      </c>
      <c r="J3429" t="s">
        <v>64</v>
      </c>
      <c r="K3429" s="6">
        <v>0.03</v>
      </c>
      <c r="L3429" s="7">
        <f t="shared" si="107"/>
        <v>2E-3</v>
      </c>
      <c r="M3429" s="7">
        <v>3.0000000000000001E-3</v>
      </c>
      <c r="N3429">
        <v>14</v>
      </c>
      <c r="O3429" s="8">
        <v>22.680099489425388</v>
      </c>
      <c r="P3429" s="9">
        <v>22.680099489425388</v>
      </c>
      <c r="Q3429" s="9">
        <v>22.680099489425388</v>
      </c>
      <c r="R3429" s="9">
        <v>24.975706415973956</v>
      </c>
      <c r="S3429" s="9">
        <v>27.507757599557678</v>
      </c>
      <c r="T3429" s="9">
        <v>29.643595035649298</v>
      </c>
      <c r="U3429" s="9">
        <v>36.324172615829276</v>
      </c>
      <c r="V3429" s="9">
        <v>36.324172615829276</v>
      </c>
      <c r="W3429" s="9">
        <v>36.324172615829276</v>
      </c>
      <c r="X3429" s="9">
        <v>43.832136422596946</v>
      </c>
      <c r="Y3429" s="9">
        <v>43.832136422596946</v>
      </c>
      <c r="Z3429" s="9">
        <v>51.429400054836968</v>
      </c>
      <c r="AA3429" s="9">
        <v>51.429400054836968</v>
      </c>
      <c r="AB3429" s="9">
        <v>59.124893495096586</v>
      </c>
      <c r="AC3429" s="9">
        <v>59.124893495096586</v>
      </c>
      <c r="AD3429" s="9">
        <v>68.673407568137122</v>
      </c>
      <c r="AE3429" s="9">
        <v>75.899806853903883</v>
      </c>
      <c r="AF3429" s="9">
        <v>83.243930726651769</v>
      </c>
      <c r="AG3429" s="9">
        <v>83.243930726651769</v>
      </c>
      <c r="AH3429" s="9">
        <v>91.483430312965311</v>
      </c>
      <c r="AI3429" s="9">
        <v>99.63294480172658</v>
      </c>
      <c r="AJ3429" s="9">
        <v>3.0428788910505911</v>
      </c>
    </row>
    <row r="3430" spans="1:36" x14ac:dyDescent="0.25">
      <c r="A3430" t="s">
        <v>5411</v>
      </c>
      <c r="B3430" t="s">
        <v>16</v>
      </c>
      <c r="C3430" t="s">
        <v>17</v>
      </c>
      <c r="D3430">
        <v>64550000</v>
      </c>
      <c r="E3430">
        <v>64554999</v>
      </c>
      <c r="F3430" t="s">
        <v>3097</v>
      </c>
      <c r="G3430" t="str">
        <f t="shared" si="106"/>
        <v>PII II</v>
      </c>
      <c r="H3430" t="s">
        <v>2995</v>
      </c>
      <c r="I3430" t="s">
        <v>20</v>
      </c>
      <c r="J3430" t="s">
        <v>64</v>
      </c>
      <c r="K3430" s="6">
        <v>0.03</v>
      </c>
      <c r="L3430" s="7">
        <f t="shared" si="107"/>
        <v>2E-3</v>
      </c>
      <c r="M3430" s="7">
        <v>3.0000000000000001E-3</v>
      </c>
      <c r="N3430">
        <v>14</v>
      </c>
      <c r="O3430" s="8">
        <v>22.680099489425388</v>
      </c>
      <c r="P3430" s="9">
        <v>22.680099489425388</v>
      </c>
      <c r="Q3430" s="9">
        <v>22.680099489425388</v>
      </c>
      <c r="R3430" s="9">
        <v>24.975706415973956</v>
      </c>
      <c r="S3430" s="9">
        <v>27.507757599557678</v>
      </c>
      <c r="T3430" s="9">
        <v>29.643595035649298</v>
      </c>
      <c r="U3430" s="9">
        <v>36.324172615829276</v>
      </c>
      <c r="V3430" s="9">
        <v>36.324172615829276</v>
      </c>
      <c r="W3430" s="9">
        <v>36.324172615829276</v>
      </c>
      <c r="X3430" s="9">
        <v>43.832136422596946</v>
      </c>
      <c r="Y3430" s="9">
        <v>43.832136422596946</v>
      </c>
      <c r="Z3430" s="9">
        <v>51.429400054836968</v>
      </c>
      <c r="AA3430" s="9">
        <v>51.429400054836968</v>
      </c>
      <c r="AB3430" s="9">
        <v>59.124893495096586</v>
      </c>
      <c r="AC3430" s="9">
        <v>59.124893495096586</v>
      </c>
      <c r="AD3430" s="9">
        <v>68.673407568137122</v>
      </c>
      <c r="AE3430" s="9">
        <v>75.899806853903883</v>
      </c>
      <c r="AF3430" s="9">
        <v>83.243930726651769</v>
      </c>
      <c r="AG3430" s="9">
        <v>83.243930726651769</v>
      </c>
      <c r="AH3430" s="9">
        <v>91.483430312965311</v>
      </c>
      <c r="AI3430" s="9">
        <v>99.63294480172658</v>
      </c>
      <c r="AJ3430" s="9">
        <v>3.0428788910505911</v>
      </c>
    </row>
    <row r="3431" spans="1:36" x14ac:dyDescent="0.25">
      <c r="A3431" t="s">
        <v>5411</v>
      </c>
      <c r="B3431" t="s">
        <v>16</v>
      </c>
      <c r="C3431" t="s">
        <v>17</v>
      </c>
      <c r="D3431">
        <v>64555000</v>
      </c>
      <c r="E3431">
        <v>64557999</v>
      </c>
      <c r="F3431" t="s">
        <v>3098</v>
      </c>
      <c r="G3431" t="str">
        <f t="shared" si="106"/>
        <v>PII II</v>
      </c>
      <c r="H3431" t="s">
        <v>2995</v>
      </c>
      <c r="I3431" t="s">
        <v>20</v>
      </c>
      <c r="J3431" t="s">
        <v>64</v>
      </c>
      <c r="K3431" s="6">
        <v>0.03</v>
      </c>
      <c r="L3431" s="7">
        <f t="shared" si="107"/>
        <v>2E-3</v>
      </c>
      <c r="M3431" s="7">
        <v>3.0000000000000001E-3</v>
      </c>
      <c r="N3431">
        <v>15</v>
      </c>
      <c r="O3431" s="8">
        <v>22.680099489425388</v>
      </c>
      <c r="P3431" s="9">
        <v>22.680099489425388</v>
      </c>
      <c r="Q3431" s="9">
        <v>22.680099489425388</v>
      </c>
      <c r="R3431" s="9">
        <v>24.975706415973956</v>
      </c>
      <c r="S3431" s="9">
        <v>27.507757599557678</v>
      </c>
      <c r="T3431" s="9">
        <v>29.643595035649298</v>
      </c>
      <c r="U3431" s="9">
        <v>36.324172615829276</v>
      </c>
      <c r="V3431" s="9">
        <v>36.324172615829276</v>
      </c>
      <c r="W3431" s="9">
        <v>36.324172615829276</v>
      </c>
      <c r="X3431" s="9">
        <v>43.832136422596946</v>
      </c>
      <c r="Y3431" s="9">
        <v>43.832136422596946</v>
      </c>
      <c r="Z3431" s="9">
        <v>51.429400054836968</v>
      </c>
      <c r="AA3431" s="9">
        <v>51.429400054836968</v>
      </c>
      <c r="AB3431" s="9">
        <v>59.124893495096586</v>
      </c>
      <c r="AC3431" s="9">
        <v>59.124893495096586</v>
      </c>
      <c r="AD3431" s="9">
        <v>68.673407568137122</v>
      </c>
      <c r="AE3431" s="9">
        <v>75.899806853903883</v>
      </c>
      <c r="AF3431" s="9">
        <v>83.243930726651769</v>
      </c>
      <c r="AG3431" s="9">
        <v>83.243930726651769</v>
      </c>
      <c r="AH3431" s="9">
        <v>91.483430312965311</v>
      </c>
      <c r="AI3431" s="9">
        <v>99.63294480172658</v>
      </c>
      <c r="AJ3431" s="9">
        <v>3.0428788910505911</v>
      </c>
    </row>
    <row r="3432" spans="1:36" x14ac:dyDescent="0.25">
      <c r="A3432" t="s">
        <v>5411</v>
      </c>
      <c r="B3432" t="s">
        <v>16</v>
      </c>
      <c r="C3432" t="s">
        <v>17</v>
      </c>
      <c r="D3432">
        <v>64558000</v>
      </c>
      <c r="E3432">
        <v>64559999</v>
      </c>
      <c r="F3432" t="s">
        <v>3099</v>
      </c>
      <c r="G3432" t="str">
        <f t="shared" si="106"/>
        <v>PII II</v>
      </c>
      <c r="H3432" t="s">
        <v>2995</v>
      </c>
      <c r="I3432" t="s">
        <v>20</v>
      </c>
      <c r="J3432" t="s">
        <v>64</v>
      </c>
      <c r="K3432" s="6">
        <v>0.03</v>
      </c>
      <c r="L3432" s="7">
        <f t="shared" si="107"/>
        <v>2E-3</v>
      </c>
      <c r="M3432" s="7">
        <v>3.0000000000000001E-3</v>
      </c>
      <c r="N3432">
        <v>15</v>
      </c>
      <c r="O3432" s="8">
        <v>22.680099489425388</v>
      </c>
      <c r="P3432" s="9">
        <v>22.680099489425388</v>
      </c>
      <c r="Q3432" s="9">
        <v>22.680099489425388</v>
      </c>
      <c r="R3432" s="9">
        <v>24.975706415973956</v>
      </c>
      <c r="S3432" s="9">
        <v>27.507757599557678</v>
      </c>
      <c r="T3432" s="9">
        <v>29.643595035649298</v>
      </c>
      <c r="U3432" s="9">
        <v>36.324172615829276</v>
      </c>
      <c r="V3432" s="9">
        <v>36.324172615829276</v>
      </c>
      <c r="W3432" s="9">
        <v>36.324172615829276</v>
      </c>
      <c r="X3432" s="9">
        <v>43.832136422596946</v>
      </c>
      <c r="Y3432" s="9">
        <v>43.832136422596946</v>
      </c>
      <c r="Z3432" s="9">
        <v>51.429400054836968</v>
      </c>
      <c r="AA3432" s="9">
        <v>51.429400054836968</v>
      </c>
      <c r="AB3432" s="9">
        <v>59.124893495096586</v>
      </c>
      <c r="AC3432" s="9">
        <v>59.124893495096586</v>
      </c>
      <c r="AD3432" s="9">
        <v>68.673407568137122</v>
      </c>
      <c r="AE3432" s="9">
        <v>75.899806853903883</v>
      </c>
      <c r="AF3432" s="9">
        <v>83.243930726651769</v>
      </c>
      <c r="AG3432" s="9">
        <v>83.243930726651769</v>
      </c>
      <c r="AH3432" s="9">
        <v>91.483430312965311</v>
      </c>
      <c r="AI3432" s="9">
        <v>99.63294480172658</v>
      </c>
      <c r="AJ3432" s="9">
        <v>3.0428788910505911</v>
      </c>
    </row>
    <row r="3433" spans="1:36" x14ac:dyDescent="0.25">
      <c r="A3433" t="s">
        <v>5411</v>
      </c>
      <c r="B3433" t="s">
        <v>16</v>
      </c>
      <c r="C3433" t="s">
        <v>17</v>
      </c>
      <c r="D3433">
        <v>64560000</v>
      </c>
      <c r="E3433">
        <v>64562999</v>
      </c>
      <c r="F3433" t="s">
        <v>3100</v>
      </c>
      <c r="G3433" t="str">
        <f t="shared" si="106"/>
        <v>PII II</v>
      </c>
      <c r="H3433" t="s">
        <v>2995</v>
      </c>
      <c r="I3433" t="s">
        <v>20</v>
      </c>
      <c r="J3433" t="s">
        <v>64</v>
      </c>
      <c r="K3433" s="6">
        <v>0.03</v>
      </c>
      <c r="L3433" s="7">
        <f t="shared" si="107"/>
        <v>2E-3</v>
      </c>
      <c r="M3433" s="7">
        <v>3.0000000000000001E-3</v>
      </c>
      <c r="N3433">
        <v>14</v>
      </c>
      <c r="O3433" s="8">
        <v>22.680099489425388</v>
      </c>
      <c r="P3433" s="9">
        <v>22.680099489425388</v>
      </c>
      <c r="Q3433" s="9">
        <v>22.680099489425388</v>
      </c>
      <c r="R3433" s="9">
        <v>24.975706415973956</v>
      </c>
      <c r="S3433" s="9">
        <v>27.507757599557678</v>
      </c>
      <c r="T3433" s="9">
        <v>29.643595035649298</v>
      </c>
      <c r="U3433" s="9">
        <v>36.324172615829276</v>
      </c>
      <c r="V3433" s="9">
        <v>36.324172615829276</v>
      </c>
      <c r="W3433" s="9">
        <v>36.324172615829276</v>
      </c>
      <c r="X3433" s="9">
        <v>43.832136422596946</v>
      </c>
      <c r="Y3433" s="9">
        <v>43.832136422596946</v>
      </c>
      <c r="Z3433" s="9">
        <v>51.429400054836968</v>
      </c>
      <c r="AA3433" s="9">
        <v>51.429400054836968</v>
      </c>
      <c r="AB3433" s="9">
        <v>59.124893495096586</v>
      </c>
      <c r="AC3433" s="9">
        <v>59.124893495096586</v>
      </c>
      <c r="AD3433" s="9">
        <v>68.673407568137122</v>
      </c>
      <c r="AE3433" s="9">
        <v>75.899806853903883</v>
      </c>
      <c r="AF3433" s="9">
        <v>83.243930726651769</v>
      </c>
      <c r="AG3433" s="9">
        <v>83.243930726651769</v>
      </c>
      <c r="AH3433" s="9">
        <v>91.483430312965311</v>
      </c>
      <c r="AI3433" s="9">
        <v>99.63294480172658</v>
      </c>
      <c r="AJ3433" s="9">
        <v>3.0428788910505911</v>
      </c>
    </row>
    <row r="3434" spans="1:36" x14ac:dyDescent="0.25">
      <c r="A3434" t="s">
        <v>5411</v>
      </c>
      <c r="B3434" t="s">
        <v>16</v>
      </c>
      <c r="C3434" t="s">
        <v>17</v>
      </c>
      <c r="D3434">
        <v>64563000</v>
      </c>
      <c r="E3434">
        <v>64564999</v>
      </c>
      <c r="F3434" t="s">
        <v>3101</v>
      </c>
      <c r="G3434" t="str">
        <f t="shared" si="106"/>
        <v>PII II</v>
      </c>
      <c r="H3434" t="s">
        <v>2995</v>
      </c>
      <c r="I3434" t="s">
        <v>20</v>
      </c>
      <c r="J3434" t="s">
        <v>64</v>
      </c>
      <c r="K3434" s="6">
        <v>0.03</v>
      </c>
      <c r="L3434" s="7">
        <f t="shared" si="107"/>
        <v>2E-3</v>
      </c>
      <c r="M3434" s="7">
        <v>3.0000000000000001E-3</v>
      </c>
      <c r="N3434">
        <v>14</v>
      </c>
      <c r="O3434" s="8">
        <v>22.680099489425388</v>
      </c>
      <c r="P3434" s="9">
        <v>22.680099489425388</v>
      </c>
      <c r="Q3434" s="9">
        <v>22.680099489425388</v>
      </c>
      <c r="R3434" s="9">
        <v>24.975706415973956</v>
      </c>
      <c r="S3434" s="9">
        <v>27.507757599557678</v>
      </c>
      <c r="T3434" s="9">
        <v>29.643595035649298</v>
      </c>
      <c r="U3434" s="9">
        <v>36.324172615829276</v>
      </c>
      <c r="V3434" s="9">
        <v>36.324172615829276</v>
      </c>
      <c r="W3434" s="9">
        <v>36.324172615829276</v>
      </c>
      <c r="X3434" s="9">
        <v>43.832136422596946</v>
      </c>
      <c r="Y3434" s="9">
        <v>43.832136422596946</v>
      </c>
      <c r="Z3434" s="9">
        <v>51.429400054836968</v>
      </c>
      <c r="AA3434" s="9">
        <v>51.429400054836968</v>
      </c>
      <c r="AB3434" s="9">
        <v>59.124893495096586</v>
      </c>
      <c r="AC3434" s="9">
        <v>59.124893495096586</v>
      </c>
      <c r="AD3434" s="9">
        <v>68.673407568137122</v>
      </c>
      <c r="AE3434" s="9">
        <v>75.899806853903883</v>
      </c>
      <c r="AF3434" s="9">
        <v>83.243930726651769</v>
      </c>
      <c r="AG3434" s="9">
        <v>83.243930726651769</v>
      </c>
      <c r="AH3434" s="9">
        <v>91.483430312965311</v>
      </c>
      <c r="AI3434" s="9">
        <v>99.63294480172658</v>
      </c>
      <c r="AJ3434" s="9">
        <v>3.0428788910505911</v>
      </c>
    </row>
    <row r="3435" spans="1:36" x14ac:dyDescent="0.25">
      <c r="A3435" t="s">
        <v>5411</v>
      </c>
      <c r="B3435" t="s">
        <v>16</v>
      </c>
      <c r="C3435" t="s">
        <v>17</v>
      </c>
      <c r="D3435">
        <v>64565000</v>
      </c>
      <c r="E3435">
        <v>64567999</v>
      </c>
      <c r="F3435" t="s">
        <v>3102</v>
      </c>
      <c r="G3435" t="str">
        <f t="shared" si="106"/>
        <v>PII II</v>
      </c>
      <c r="H3435" t="s">
        <v>2995</v>
      </c>
      <c r="I3435" t="s">
        <v>20</v>
      </c>
      <c r="J3435" t="s">
        <v>64</v>
      </c>
      <c r="K3435" s="6">
        <v>0.03</v>
      </c>
      <c r="L3435" s="7">
        <f t="shared" si="107"/>
        <v>2E-3</v>
      </c>
      <c r="M3435" s="7">
        <v>3.0000000000000001E-3</v>
      </c>
      <c r="N3435">
        <v>15</v>
      </c>
      <c r="O3435" s="8">
        <v>22.680099489425388</v>
      </c>
      <c r="P3435" s="9">
        <v>22.680099489425388</v>
      </c>
      <c r="Q3435" s="9">
        <v>22.680099489425388</v>
      </c>
      <c r="R3435" s="9">
        <v>24.975706415973956</v>
      </c>
      <c r="S3435" s="9">
        <v>27.507757599557678</v>
      </c>
      <c r="T3435" s="9">
        <v>29.643595035649298</v>
      </c>
      <c r="U3435" s="9">
        <v>36.324172615829276</v>
      </c>
      <c r="V3435" s="9">
        <v>36.324172615829276</v>
      </c>
      <c r="W3435" s="9">
        <v>36.324172615829276</v>
      </c>
      <c r="X3435" s="9">
        <v>43.832136422596946</v>
      </c>
      <c r="Y3435" s="9">
        <v>43.832136422596946</v>
      </c>
      <c r="Z3435" s="9">
        <v>51.429400054836968</v>
      </c>
      <c r="AA3435" s="9">
        <v>51.429400054836968</v>
      </c>
      <c r="AB3435" s="9">
        <v>59.124893495096586</v>
      </c>
      <c r="AC3435" s="9">
        <v>59.124893495096586</v>
      </c>
      <c r="AD3435" s="9">
        <v>68.673407568137122</v>
      </c>
      <c r="AE3435" s="9">
        <v>75.899806853903883</v>
      </c>
      <c r="AF3435" s="9">
        <v>83.243930726651769</v>
      </c>
      <c r="AG3435" s="9">
        <v>83.243930726651769</v>
      </c>
      <c r="AH3435" s="9">
        <v>91.483430312965311</v>
      </c>
      <c r="AI3435" s="9">
        <v>99.63294480172658</v>
      </c>
      <c r="AJ3435" s="9">
        <v>3.0428788910505911</v>
      </c>
    </row>
    <row r="3436" spans="1:36" x14ac:dyDescent="0.25">
      <c r="A3436" t="s">
        <v>5411</v>
      </c>
      <c r="B3436" t="s">
        <v>16</v>
      </c>
      <c r="C3436" t="s">
        <v>17</v>
      </c>
      <c r="D3436">
        <v>64568000</v>
      </c>
      <c r="E3436">
        <v>64569999</v>
      </c>
      <c r="F3436" t="s">
        <v>3103</v>
      </c>
      <c r="G3436" t="str">
        <f t="shared" si="106"/>
        <v>PII II</v>
      </c>
      <c r="H3436" t="s">
        <v>2995</v>
      </c>
      <c r="I3436" t="s">
        <v>20</v>
      </c>
      <c r="J3436" t="s">
        <v>64</v>
      </c>
      <c r="K3436" s="6">
        <v>0.03</v>
      </c>
      <c r="L3436" s="7">
        <f t="shared" si="107"/>
        <v>2E-3</v>
      </c>
      <c r="M3436" s="7">
        <v>3.0000000000000001E-3</v>
      </c>
      <c r="N3436">
        <v>14</v>
      </c>
      <c r="O3436" s="8">
        <v>22.680099489425388</v>
      </c>
      <c r="P3436" s="9">
        <v>22.680099489425388</v>
      </c>
      <c r="Q3436" s="9">
        <v>22.680099489425388</v>
      </c>
      <c r="R3436" s="9">
        <v>24.975706415973956</v>
      </c>
      <c r="S3436" s="9">
        <v>27.507757599557678</v>
      </c>
      <c r="T3436" s="9">
        <v>29.643595035649298</v>
      </c>
      <c r="U3436" s="9">
        <v>36.324172615829276</v>
      </c>
      <c r="V3436" s="9">
        <v>36.324172615829276</v>
      </c>
      <c r="W3436" s="9">
        <v>36.324172615829276</v>
      </c>
      <c r="X3436" s="9">
        <v>43.832136422596946</v>
      </c>
      <c r="Y3436" s="9">
        <v>43.832136422596946</v>
      </c>
      <c r="Z3436" s="9">
        <v>51.429400054836968</v>
      </c>
      <c r="AA3436" s="9">
        <v>51.429400054836968</v>
      </c>
      <c r="AB3436" s="9">
        <v>59.124893495096586</v>
      </c>
      <c r="AC3436" s="9">
        <v>59.124893495096586</v>
      </c>
      <c r="AD3436" s="9">
        <v>68.673407568137122</v>
      </c>
      <c r="AE3436" s="9">
        <v>75.899806853903883</v>
      </c>
      <c r="AF3436" s="9">
        <v>83.243930726651769</v>
      </c>
      <c r="AG3436" s="9">
        <v>83.243930726651769</v>
      </c>
      <c r="AH3436" s="9">
        <v>91.483430312965311</v>
      </c>
      <c r="AI3436" s="9">
        <v>99.63294480172658</v>
      </c>
      <c r="AJ3436" s="9">
        <v>3.0428788910505911</v>
      </c>
    </row>
    <row r="3437" spans="1:36" x14ac:dyDescent="0.25">
      <c r="A3437" t="s">
        <v>5411</v>
      </c>
      <c r="B3437" t="s">
        <v>16</v>
      </c>
      <c r="C3437" t="s">
        <v>17</v>
      </c>
      <c r="D3437">
        <v>64570000</v>
      </c>
      <c r="E3437">
        <v>64572999</v>
      </c>
      <c r="F3437" t="s">
        <v>3104</v>
      </c>
      <c r="G3437" t="str">
        <f t="shared" si="106"/>
        <v>PII II</v>
      </c>
      <c r="H3437" t="s">
        <v>2995</v>
      </c>
      <c r="I3437" t="s">
        <v>20</v>
      </c>
      <c r="J3437" t="s">
        <v>64</v>
      </c>
      <c r="K3437" s="6">
        <v>0.03</v>
      </c>
      <c r="L3437" s="7">
        <f t="shared" si="107"/>
        <v>2E-3</v>
      </c>
      <c r="M3437" s="7">
        <v>3.0000000000000001E-3</v>
      </c>
      <c r="N3437">
        <v>15</v>
      </c>
      <c r="O3437" s="8">
        <v>22.680099489425388</v>
      </c>
      <c r="P3437" s="9">
        <v>22.680099489425388</v>
      </c>
      <c r="Q3437" s="9">
        <v>22.680099489425388</v>
      </c>
      <c r="R3437" s="9">
        <v>24.975706415973956</v>
      </c>
      <c r="S3437" s="9">
        <v>27.507757599557678</v>
      </c>
      <c r="T3437" s="9">
        <v>29.643595035649298</v>
      </c>
      <c r="U3437" s="9">
        <v>36.324172615829276</v>
      </c>
      <c r="V3437" s="9">
        <v>36.324172615829276</v>
      </c>
      <c r="W3437" s="9">
        <v>36.324172615829276</v>
      </c>
      <c r="X3437" s="9">
        <v>43.832136422596946</v>
      </c>
      <c r="Y3437" s="9">
        <v>43.832136422596946</v>
      </c>
      <c r="Z3437" s="9">
        <v>51.429400054836968</v>
      </c>
      <c r="AA3437" s="9">
        <v>51.429400054836968</v>
      </c>
      <c r="AB3437" s="9">
        <v>59.124893495096586</v>
      </c>
      <c r="AC3437" s="9">
        <v>59.124893495096586</v>
      </c>
      <c r="AD3437" s="9">
        <v>68.673407568137122</v>
      </c>
      <c r="AE3437" s="9">
        <v>75.899806853903883</v>
      </c>
      <c r="AF3437" s="9">
        <v>83.243930726651769</v>
      </c>
      <c r="AG3437" s="9">
        <v>83.243930726651769</v>
      </c>
      <c r="AH3437" s="9">
        <v>91.483430312965311</v>
      </c>
      <c r="AI3437" s="9">
        <v>99.63294480172658</v>
      </c>
      <c r="AJ3437" s="9">
        <v>3.0428788910505911</v>
      </c>
    </row>
    <row r="3438" spans="1:36" x14ac:dyDescent="0.25">
      <c r="A3438" t="s">
        <v>5411</v>
      </c>
      <c r="B3438" t="s">
        <v>16</v>
      </c>
      <c r="C3438" t="s">
        <v>17</v>
      </c>
      <c r="D3438">
        <v>64573000</v>
      </c>
      <c r="E3438">
        <v>64574999</v>
      </c>
      <c r="F3438" t="s">
        <v>3105</v>
      </c>
      <c r="G3438" t="str">
        <f t="shared" si="106"/>
        <v>PII II</v>
      </c>
      <c r="H3438" t="s">
        <v>2995</v>
      </c>
      <c r="I3438" t="s">
        <v>20</v>
      </c>
      <c r="J3438" t="s">
        <v>64</v>
      </c>
      <c r="K3438" s="6">
        <v>0.03</v>
      </c>
      <c r="L3438" s="7">
        <f t="shared" si="107"/>
        <v>2E-3</v>
      </c>
      <c r="M3438" s="7">
        <v>3.0000000000000001E-3</v>
      </c>
      <c r="N3438">
        <v>15</v>
      </c>
      <c r="O3438" s="8">
        <v>22.680099489425388</v>
      </c>
      <c r="P3438" s="9">
        <v>22.680099489425388</v>
      </c>
      <c r="Q3438" s="9">
        <v>22.680099489425388</v>
      </c>
      <c r="R3438" s="9">
        <v>24.975706415973956</v>
      </c>
      <c r="S3438" s="9">
        <v>27.507757599557678</v>
      </c>
      <c r="T3438" s="9">
        <v>29.643595035649298</v>
      </c>
      <c r="U3438" s="9">
        <v>36.324172615829276</v>
      </c>
      <c r="V3438" s="9">
        <v>36.324172615829276</v>
      </c>
      <c r="W3438" s="9">
        <v>36.324172615829276</v>
      </c>
      <c r="X3438" s="9">
        <v>43.832136422596946</v>
      </c>
      <c r="Y3438" s="9">
        <v>43.832136422596946</v>
      </c>
      <c r="Z3438" s="9">
        <v>51.429400054836968</v>
      </c>
      <c r="AA3438" s="9">
        <v>51.429400054836968</v>
      </c>
      <c r="AB3438" s="9">
        <v>59.124893495096586</v>
      </c>
      <c r="AC3438" s="9">
        <v>59.124893495096586</v>
      </c>
      <c r="AD3438" s="9">
        <v>68.673407568137122</v>
      </c>
      <c r="AE3438" s="9">
        <v>75.899806853903883</v>
      </c>
      <c r="AF3438" s="9">
        <v>83.243930726651769</v>
      </c>
      <c r="AG3438" s="9">
        <v>83.243930726651769</v>
      </c>
      <c r="AH3438" s="9">
        <v>91.483430312965311</v>
      </c>
      <c r="AI3438" s="9">
        <v>99.63294480172658</v>
      </c>
      <c r="AJ3438" s="9">
        <v>3.0428788910505911</v>
      </c>
    </row>
    <row r="3439" spans="1:36" x14ac:dyDescent="0.25">
      <c r="A3439" t="s">
        <v>5411</v>
      </c>
      <c r="B3439" t="s">
        <v>16</v>
      </c>
      <c r="C3439" t="s">
        <v>17</v>
      </c>
      <c r="D3439">
        <v>64575000</v>
      </c>
      <c r="E3439">
        <v>64577999</v>
      </c>
      <c r="F3439" t="s">
        <v>3106</v>
      </c>
      <c r="G3439" t="str">
        <f t="shared" si="106"/>
        <v>PII II</v>
      </c>
      <c r="H3439" t="s">
        <v>2995</v>
      </c>
      <c r="I3439" t="s">
        <v>20</v>
      </c>
      <c r="J3439" t="s">
        <v>64</v>
      </c>
      <c r="K3439" s="6">
        <v>0.03</v>
      </c>
      <c r="L3439" s="7">
        <f t="shared" si="107"/>
        <v>2E-3</v>
      </c>
      <c r="M3439" s="7">
        <v>3.0000000000000001E-3</v>
      </c>
      <c r="N3439">
        <v>14</v>
      </c>
      <c r="O3439" s="8">
        <v>22.680099489425388</v>
      </c>
      <c r="P3439" s="9">
        <v>22.680099489425388</v>
      </c>
      <c r="Q3439" s="9">
        <v>22.680099489425388</v>
      </c>
      <c r="R3439" s="9">
        <v>24.975706415973956</v>
      </c>
      <c r="S3439" s="9">
        <v>27.507757599557678</v>
      </c>
      <c r="T3439" s="9">
        <v>29.643595035649298</v>
      </c>
      <c r="U3439" s="9">
        <v>36.324172615829276</v>
      </c>
      <c r="V3439" s="9">
        <v>36.324172615829276</v>
      </c>
      <c r="W3439" s="9">
        <v>36.324172615829276</v>
      </c>
      <c r="X3439" s="9">
        <v>43.832136422596946</v>
      </c>
      <c r="Y3439" s="9">
        <v>43.832136422596946</v>
      </c>
      <c r="Z3439" s="9">
        <v>51.429400054836968</v>
      </c>
      <c r="AA3439" s="9">
        <v>51.429400054836968</v>
      </c>
      <c r="AB3439" s="9">
        <v>59.124893495096586</v>
      </c>
      <c r="AC3439" s="9">
        <v>59.124893495096586</v>
      </c>
      <c r="AD3439" s="9">
        <v>68.673407568137122</v>
      </c>
      <c r="AE3439" s="9">
        <v>75.899806853903883</v>
      </c>
      <c r="AF3439" s="9">
        <v>83.243930726651769</v>
      </c>
      <c r="AG3439" s="9">
        <v>83.243930726651769</v>
      </c>
      <c r="AH3439" s="9">
        <v>91.483430312965311</v>
      </c>
      <c r="AI3439" s="9">
        <v>99.63294480172658</v>
      </c>
      <c r="AJ3439" s="9">
        <v>3.0428788910505911</v>
      </c>
    </row>
    <row r="3440" spans="1:36" x14ac:dyDescent="0.25">
      <c r="A3440" t="s">
        <v>5411</v>
      </c>
      <c r="B3440" t="s">
        <v>16</v>
      </c>
      <c r="C3440" t="s">
        <v>17</v>
      </c>
      <c r="D3440">
        <v>64578000</v>
      </c>
      <c r="E3440">
        <v>64579999</v>
      </c>
      <c r="F3440" t="s">
        <v>3107</v>
      </c>
      <c r="G3440" t="str">
        <f t="shared" si="106"/>
        <v>PII II</v>
      </c>
      <c r="H3440" t="s">
        <v>2995</v>
      </c>
      <c r="I3440" t="s">
        <v>20</v>
      </c>
      <c r="J3440" t="s">
        <v>64</v>
      </c>
      <c r="K3440" s="6">
        <v>0.03</v>
      </c>
      <c r="L3440" s="7">
        <f t="shared" si="107"/>
        <v>2E-3</v>
      </c>
      <c r="M3440" s="7">
        <v>3.0000000000000001E-3</v>
      </c>
      <c r="N3440">
        <v>15</v>
      </c>
      <c r="O3440" s="8">
        <v>22.680099489425388</v>
      </c>
      <c r="P3440" s="9">
        <v>22.680099489425388</v>
      </c>
      <c r="Q3440" s="9">
        <v>22.680099489425388</v>
      </c>
      <c r="R3440" s="9">
        <v>24.975706415973956</v>
      </c>
      <c r="S3440" s="9">
        <v>27.507757599557678</v>
      </c>
      <c r="T3440" s="9">
        <v>29.643595035649298</v>
      </c>
      <c r="U3440" s="9">
        <v>36.324172615829276</v>
      </c>
      <c r="V3440" s="9">
        <v>36.324172615829276</v>
      </c>
      <c r="W3440" s="9">
        <v>36.324172615829276</v>
      </c>
      <c r="X3440" s="9">
        <v>43.832136422596946</v>
      </c>
      <c r="Y3440" s="9">
        <v>43.832136422596946</v>
      </c>
      <c r="Z3440" s="9">
        <v>51.429400054836968</v>
      </c>
      <c r="AA3440" s="9">
        <v>51.429400054836968</v>
      </c>
      <c r="AB3440" s="9">
        <v>59.124893495096586</v>
      </c>
      <c r="AC3440" s="9">
        <v>59.124893495096586</v>
      </c>
      <c r="AD3440" s="9">
        <v>68.673407568137122</v>
      </c>
      <c r="AE3440" s="9">
        <v>75.899806853903883</v>
      </c>
      <c r="AF3440" s="9">
        <v>83.243930726651769</v>
      </c>
      <c r="AG3440" s="9">
        <v>83.243930726651769</v>
      </c>
      <c r="AH3440" s="9">
        <v>91.483430312965311</v>
      </c>
      <c r="AI3440" s="9">
        <v>99.63294480172658</v>
      </c>
      <c r="AJ3440" s="9">
        <v>3.0428788910505911</v>
      </c>
    </row>
    <row r="3441" spans="1:36" x14ac:dyDescent="0.25">
      <c r="A3441" t="s">
        <v>5411</v>
      </c>
      <c r="B3441" t="s">
        <v>16</v>
      </c>
      <c r="C3441" t="s">
        <v>17</v>
      </c>
      <c r="D3441">
        <v>64580000</v>
      </c>
      <c r="E3441">
        <v>64584999</v>
      </c>
      <c r="F3441" t="s">
        <v>3108</v>
      </c>
      <c r="G3441" t="str">
        <f t="shared" si="106"/>
        <v>PII II</v>
      </c>
      <c r="H3441" t="s">
        <v>2995</v>
      </c>
      <c r="I3441" t="s">
        <v>20</v>
      </c>
      <c r="J3441" t="s">
        <v>64</v>
      </c>
      <c r="K3441" s="6">
        <v>0.03</v>
      </c>
      <c r="L3441" s="7">
        <f t="shared" si="107"/>
        <v>2E-3</v>
      </c>
      <c r="M3441" s="7">
        <v>3.0000000000000001E-3</v>
      </c>
      <c r="N3441">
        <v>14</v>
      </c>
      <c r="O3441" s="8">
        <v>22.680099489425388</v>
      </c>
      <c r="P3441" s="9">
        <v>22.680099489425388</v>
      </c>
      <c r="Q3441" s="9">
        <v>22.680099489425388</v>
      </c>
      <c r="R3441" s="9">
        <v>24.975706415973956</v>
      </c>
      <c r="S3441" s="9">
        <v>27.507757599557678</v>
      </c>
      <c r="T3441" s="9">
        <v>29.643595035649298</v>
      </c>
      <c r="U3441" s="9">
        <v>36.324172615829276</v>
      </c>
      <c r="V3441" s="9">
        <v>36.324172615829276</v>
      </c>
      <c r="W3441" s="9">
        <v>36.324172615829276</v>
      </c>
      <c r="X3441" s="9">
        <v>43.832136422596946</v>
      </c>
      <c r="Y3441" s="9">
        <v>43.832136422596946</v>
      </c>
      <c r="Z3441" s="9">
        <v>51.429400054836968</v>
      </c>
      <c r="AA3441" s="9">
        <v>51.429400054836968</v>
      </c>
      <c r="AB3441" s="9">
        <v>59.124893495096586</v>
      </c>
      <c r="AC3441" s="9">
        <v>59.124893495096586</v>
      </c>
      <c r="AD3441" s="9">
        <v>68.673407568137122</v>
      </c>
      <c r="AE3441" s="9">
        <v>75.899806853903883</v>
      </c>
      <c r="AF3441" s="9">
        <v>83.243930726651769</v>
      </c>
      <c r="AG3441" s="9">
        <v>83.243930726651769</v>
      </c>
      <c r="AH3441" s="9">
        <v>91.483430312965311</v>
      </c>
      <c r="AI3441" s="9">
        <v>99.63294480172658</v>
      </c>
      <c r="AJ3441" s="9">
        <v>3.0428788910505911</v>
      </c>
    </row>
    <row r="3442" spans="1:36" x14ac:dyDescent="0.25">
      <c r="A3442" t="s">
        <v>5411</v>
      </c>
      <c r="B3442" t="s">
        <v>16</v>
      </c>
      <c r="C3442" t="s">
        <v>17</v>
      </c>
      <c r="D3442">
        <v>64585000</v>
      </c>
      <c r="E3442">
        <v>64589999</v>
      </c>
      <c r="F3442" t="s">
        <v>3109</v>
      </c>
      <c r="G3442" t="str">
        <f t="shared" si="106"/>
        <v>PII II</v>
      </c>
      <c r="H3442" t="s">
        <v>2995</v>
      </c>
      <c r="I3442" t="s">
        <v>20</v>
      </c>
      <c r="J3442" t="s">
        <v>64</v>
      </c>
      <c r="K3442" s="6">
        <v>0.03</v>
      </c>
      <c r="L3442" s="7">
        <f t="shared" si="107"/>
        <v>2E-3</v>
      </c>
      <c r="M3442" s="7">
        <v>3.0000000000000001E-3</v>
      </c>
      <c r="N3442">
        <v>15</v>
      </c>
      <c r="O3442" s="8">
        <v>22.680099489425388</v>
      </c>
      <c r="P3442" s="9">
        <v>22.680099489425388</v>
      </c>
      <c r="Q3442" s="9">
        <v>22.680099489425388</v>
      </c>
      <c r="R3442" s="9">
        <v>24.975706415973956</v>
      </c>
      <c r="S3442" s="9">
        <v>27.507757599557678</v>
      </c>
      <c r="T3442" s="9">
        <v>29.643595035649298</v>
      </c>
      <c r="U3442" s="9">
        <v>36.324172615829276</v>
      </c>
      <c r="V3442" s="9">
        <v>36.324172615829276</v>
      </c>
      <c r="W3442" s="9">
        <v>36.324172615829276</v>
      </c>
      <c r="X3442" s="9">
        <v>43.832136422596946</v>
      </c>
      <c r="Y3442" s="9">
        <v>43.832136422596946</v>
      </c>
      <c r="Z3442" s="9">
        <v>51.429400054836968</v>
      </c>
      <c r="AA3442" s="9">
        <v>51.429400054836968</v>
      </c>
      <c r="AB3442" s="9">
        <v>59.124893495096586</v>
      </c>
      <c r="AC3442" s="9">
        <v>59.124893495096586</v>
      </c>
      <c r="AD3442" s="9">
        <v>68.673407568137122</v>
      </c>
      <c r="AE3442" s="9">
        <v>75.899806853903883</v>
      </c>
      <c r="AF3442" s="9">
        <v>83.243930726651769</v>
      </c>
      <c r="AG3442" s="9">
        <v>83.243930726651769</v>
      </c>
      <c r="AH3442" s="9">
        <v>91.483430312965311</v>
      </c>
      <c r="AI3442" s="9">
        <v>99.63294480172658</v>
      </c>
      <c r="AJ3442" s="9">
        <v>3.0428788910505911</v>
      </c>
    </row>
    <row r="3443" spans="1:36" x14ac:dyDescent="0.25">
      <c r="A3443" t="s">
        <v>5411</v>
      </c>
      <c r="B3443" t="s">
        <v>16</v>
      </c>
      <c r="C3443" t="s">
        <v>17</v>
      </c>
      <c r="D3443">
        <v>64590000</v>
      </c>
      <c r="E3443">
        <v>64594999</v>
      </c>
      <c r="F3443" t="s">
        <v>3110</v>
      </c>
      <c r="G3443" t="str">
        <f t="shared" si="106"/>
        <v>PII II</v>
      </c>
      <c r="H3443" t="s">
        <v>2995</v>
      </c>
      <c r="I3443" t="s">
        <v>20</v>
      </c>
      <c r="J3443" t="s">
        <v>64</v>
      </c>
      <c r="K3443" s="6">
        <v>0.03</v>
      </c>
      <c r="L3443" s="7">
        <f t="shared" si="107"/>
        <v>2E-3</v>
      </c>
      <c r="M3443" s="7">
        <v>3.0000000000000001E-3</v>
      </c>
      <c r="N3443">
        <v>14</v>
      </c>
      <c r="O3443" s="8">
        <v>22.680099489425388</v>
      </c>
      <c r="P3443" s="9">
        <v>22.680099489425388</v>
      </c>
      <c r="Q3443" s="9">
        <v>22.680099489425388</v>
      </c>
      <c r="R3443" s="9">
        <v>24.975706415973956</v>
      </c>
      <c r="S3443" s="9">
        <v>27.507757599557678</v>
      </c>
      <c r="T3443" s="9">
        <v>29.643595035649298</v>
      </c>
      <c r="U3443" s="9">
        <v>36.324172615829276</v>
      </c>
      <c r="V3443" s="9">
        <v>36.324172615829276</v>
      </c>
      <c r="W3443" s="9">
        <v>36.324172615829276</v>
      </c>
      <c r="X3443" s="9">
        <v>43.832136422596946</v>
      </c>
      <c r="Y3443" s="9">
        <v>43.832136422596946</v>
      </c>
      <c r="Z3443" s="9">
        <v>51.429400054836968</v>
      </c>
      <c r="AA3443" s="9">
        <v>51.429400054836968</v>
      </c>
      <c r="AB3443" s="9">
        <v>59.124893495096586</v>
      </c>
      <c r="AC3443" s="9">
        <v>59.124893495096586</v>
      </c>
      <c r="AD3443" s="9">
        <v>68.673407568137122</v>
      </c>
      <c r="AE3443" s="9">
        <v>75.899806853903883</v>
      </c>
      <c r="AF3443" s="9">
        <v>83.243930726651769</v>
      </c>
      <c r="AG3443" s="9">
        <v>83.243930726651769</v>
      </c>
      <c r="AH3443" s="9">
        <v>91.483430312965311</v>
      </c>
      <c r="AI3443" s="9">
        <v>99.63294480172658</v>
      </c>
      <c r="AJ3443" s="9">
        <v>3.0428788910505911</v>
      </c>
    </row>
    <row r="3444" spans="1:36" x14ac:dyDescent="0.25">
      <c r="A3444" t="s">
        <v>5411</v>
      </c>
      <c r="B3444" t="s">
        <v>16</v>
      </c>
      <c r="C3444" t="s">
        <v>17</v>
      </c>
      <c r="D3444">
        <v>64595000</v>
      </c>
      <c r="E3444">
        <v>64599999</v>
      </c>
      <c r="F3444" t="s">
        <v>3111</v>
      </c>
      <c r="G3444" t="str">
        <f t="shared" si="106"/>
        <v>PII II</v>
      </c>
      <c r="H3444" t="s">
        <v>2995</v>
      </c>
      <c r="I3444" t="s">
        <v>20</v>
      </c>
      <c r="J3444" t="s">
        <v>64</v>
      </c>
      <c r="K3444" s="6">
        <v>0.03</v>
      </c>
      <c r="L3444" s="7">
        <f t="shared" si="107"/>
        <v>2E-3</v>
      </c>
      <c r="M3444" s="7">
        <v>3.0000000000000001E-3</v>
      </c>
      <c r="N3444">
        <v>14</v>
      </c>
      <c r="O3444" s="8">
        <v>22.680099489425388</v>
      </c>
      <c r="P3444" s="9">
        <v>22.680099489425388</v>
      </c>
      <c r="Q3444" s="9">
        <v>22.680099489425388</v>
      </c>
      <c r="R3444" s="9">
        <v>24.975706415973956</v>
      </c>
      <c r="S3444" s="9">
        <v>27.507757599557678</v>
      </c>
      <c r="T3444" s="9">
        <v>29.643595035649298</v>
      </c>
      <c r="U3444" s="9">
        <v>36.324172615829276</v>
      </c>
      <c r="V3444" s="9">
        <v>36.324172615829276</v>
      </c>
      <c r="W3444" s="9">
        <v>36.324172615829276</v>
      </c>
      <c r="X3444" s="9">
        <v>43.832136422596946</v>
      </c>
      <c r="Y3444" s="9">
        <v>43.832136422596946</v>
      </c>
      <c r="Z3444" s="9">
        <v>51.429400054836968</v>
      </c>
      <c r="AA3444" s="9">
        <v>51.429400054836968</v>
      </c>
      <c r="AB3444" s="9">
        <v>59.124893495096586</v>
      </c>
      <c r="AC3444" s="9">
        <v>59.124893495096586</v>
      </c>
      <c r="AD3444" s="9">
        <v>68.673407568137122</v>
      </c>
      <c r="AE3444" s="9">
        <v>75.899806853903883</v>
      </c>
      <c r="AF3444" s="9">
        <v>83.243930726651769</v>
      </c>
      <c r="AG3444" s="9">
        <v>83.243930726651769</v>
      </c>
      <c r="AH3444" s="9">
        <v>91.483430312965311</v>
      </c>
      <c r="AI3444" s="9">
        <v>99.63294480172658</v>
      </c>
      <c r="AJ3444" s="9">
        <v>3.0428788910505911</v>
      </c>
    </row>
    <row r="3445" spans="1:36" x14ac:dyDescent="0.25">
      <c r="A3445" t="s">
        <v>5411</v>
      </c>
      <c r="B3445" t="s">
        <v>16</v>
      </c>
      <c r="C3445" t="s">
        <v>17</v>
      </c>
      <c r="D3445">
        <v>64600000</v>
      </c>
      <c r="E3445">
        <v>64609999</v>
      </c>
      <c r="F3445" t="s">
        <v>3112</v>
      </c>
      <c r="G3445" t="str">
        <f t="shared" si="106"/>
        <v>PII</v>
      </c>
      <c r="H3445" t="s">
        <v>2995</v>
      </c>
      <c r="I3445" t="s">
        <v>20</v>
      </c>
      <c r="J3445" t="s">
        <v>62</v>
      </c>
      <c r="K3445" s="6">
        <v>0.03</v>
      </c>
      <c r="L3445" s="7">
        <f t="shared" si="107"/>
        <v>2E-3</v>
      </c>
      <c r="M3445" s="7">
        <v>3.0000000000000001E-3</v>
      </c>
      <c r="N3445">
        <v>14</v>
      </c>
      <c r="O3445" s="8">
        <v>18.523064475870246</v>
      </c>
      <c r="P3445" s="9">
        <v>18.523064475870246</v>
      </c>
      <c r="Q3445" s="9">
        <v>18.523064475870246</v>
      </c>
      <c r="R3445" s="9">
        <v>19.986085921544504</v>
      </c>
      <c r="S3445" s="9">
        <v>22.12943390989907</v>
      </c>
      <c r="T3445" s="9">
        <v>24.361587349653966</v>
      </c>
      <c r="U3445" s="9">
        <v>30.016334788894795</v>
      </c>
      <c r="V3445" s="9">
        <v>30.016334788894795</v>
      </c>
      <c r="W3445" s="9">
        <v>30.016334788894795</v>
      </c>
      <c r="X3445" s="9">
        <v>36.357177991180244</v>
      </c>
      <c r="Y3445" s="9">
        <v>36.357177991180244</v>
      </c>
      <c r="Z3445" s="9">
        <v>42.885327131268298</v>
      </c>
      <c r="AA3445" s="9">
        <v>42.885327131268298</v>
      </c>
      <c r="AB3445" s="9">
        <v>49.659479185845427</v>
      </c>
      <c r="AC3445" s="9">
        <v>49.659479185845427</v>
      </c>
      <c r="AD3445" s="9">
        <v>56.580305827489475</v>
      </c>
      <c r="AE3445" s="9">
        <v>63.666673708638676</v>
      </c>
      <c r="AF3445" s="9">
        <v>70.939940361157198</v>
      </c>
      <c r="AG3445" s="9">
        <v>70.939940361157198</v>
      </c>
      <c r="AH3445" s="9">
        <v>77.933178543288449</v>
      </c>
      <c r="AI3445" s="9">
        <v>85.444390652517114</v>
      </c>
      <c r="AJ3445" s="9">
        <v>3.0428788910505911</v>
      </c>
    </row>
    <row r="3446" spans="1:36" x14ac:dyDescent="0.25">
      <c r="A3446" t="s">
        <v>5411</v>
      </c>
      <c r="B3446" t="s">
        <v>16</v>
      </c>
      <c r="C3446" t="s">
        <v>17</v>
      </c>
      <c r="D3446">
        <v>64610000</v>
      </c>
      <c r="E3446">
        <v>64611999</v>
      </c>
      <c r="F3446" t="s">
        <v>3113</v>
      </c>
      <c r="G3446" t="str">
        <f t="shared" si="106"/>
        <v>PII II</v>
      </c>
      <c r="H3446" t="s">
        <v>2995</v>
      </c>
      <c r="I3446" t="s">
        <v>20</v>
      </c>
      <c r="J3446" t="s">
        <v>64</v>
      </c>
      <c r="K3446" s="6">
        <v>0.03</v>
      </c>
      <c r="L3446" s="7">
        <f t="shared" si="107"/>
        <v>2E-3</v>
      </c>
      <c r="M3446" s="7">
        <v>3.0000000000000001E-3</v>
      </c>
      <c r="N3446">
        <v>15</v>
      </c>
      <c r="O3446" s="8">
        <v>22.680099489425388</v>
      </c>
      <c r="P3446" s="9">
        <v>22.680099489425388</v>
      </c>
      <c r="Q3446" s="9">
        <v>22.680099489425388</v>
      </c>
      <c r="R3446" s="9">
        <v>24.975706415973956</v>
      </c>
      <c r="S3446" s="9">
        <v>27.507757599557678</v>
      </c>
      <c r="T3446" s="9">
        <v>29.643595035649298</v>
      </c>
      <c r="U3446" s="9">
        <v>36.324172615829276</v>
      </c>
      <c r="V3446" s="9">
        <v>36.324172615829276</v>
      </c>
      <c r="W3446" s="9">
        <v>36.324172615829276</v>
      </c>
      <c r="X3446" s="9">
        <v>43.832136422596946</v>
      </c>
      <c r="Y3446" s="9">
        <v>43.832136422596946</v>
      </c>
      <c r="Z3446" s="9">
        <v>51.429400054836968</v>
      </c>
      <c r="AA3446" s="9">
        <v>51.429400054836968</v>
      </c>
      <c r="AB3446" s="9">
        <v>59.124893495096586</v>
      </c>
      <c r="AC3446" s="9">
        <v>59.124893495096586</v>
      </c>
      <c r="AD3446" s="9">
        <v>68.673407568137122</v>
      </c>
      <c r="AE3446" s="9">
        <v>75.899806853903883</v>
      </c>
      <c r="AF3446" s="9">
        <v>83.243930726651769</v>
      </c>
      <c r="AG3446" s="9">
        <v>83.243930726651769</v>
      </c>
      <c r="AH3446" s="9">
        <v>91.483430312965311</v>
      </c>
      <c r="AI3446" s="9">
        <v>99.63294480172658</v>
      </c>
      <c r="AJ3446" s="9">
        <v>3.0428788910505911</v>
      </c>
    </row>
    <row r="3447" spans="1:36" x14ac:dyDescent="0.25">
      <c r="A3447" t="s">
        <v>5411</v>
      </c>
      <c r="B3447" t="s">
        <v>16</v>
      </c>
      <c r="C3447" t="s">
        <v>17</v>
      </c>
      <c r="D3447">
        <v>64612000</v>
      </c>
      <c r="E3447">
        <v>64612999</v>
      </c>
      <c r="F3447" t="s">
        <v>3114</v>
      </c>
      <c r="G3447" t="str">
        <f t="shared" si="106"/>
        <v>PII II</v>
      </c>
      <c r="H3447" t="s">
        <v>2995</v>
      </c>
      <c r="I3447" t="s">
        <v>20</v>
      </c>
      <c r="J3447" t="s">
        <v>64</v>
      </c>
      <c r="K3447" s="6">
        <v>0.03</v>
      </c>
      <c r="L3447" s="7">
        <f t="shared" si="107"/>
        <v>2E-3</v>
      </c>
      <c r="M3447" s="7">
        <v>3.0000000000000001E-3</v>
      </c>
      <c r="N3447">
        <v>14</v>
      </c>
      <c r="O3447" s="8">
        <v>22.680099489425388</v>
      </c>
      <c r="P3447" s="9">
        <v>22.680099489425388</v>
      </c>
      <c r="Q3447" s="9">
        <v>22.680099489425388</v>
      </c>
      <c r="R3447" s="9">
        <v>24.975706415973956</v>
      </c>
      <c r="S3447" s="9">
        <v>27.507757599557678</v>
      </c>
      <c r="T3447" s="9">
        <v>29.643595035649298</v>
      </c>
      <c r="U3447" s="9">
        <v>36.324172615829276</v>
      </c>
      <c r="V3447" s="9">
        <v>36.324172615829276</v>
      </c>
      <c r="W3447" s="9">
        <v>36.324172615829276</v>
      </c>
      <c r="X3447" s="9">
        <v>43.832136422596946</v>
      </c>
      <c r="Y3447" s="9">
        <v>43.832136422596946</v>
      </c>
      <c r="Z3447" s="9">
        <v>51.429400054836968</v>
      </c>
      <c r="AA3447" s="9">
        <v>51.429400054836968</v>
      </c>
      <c r="AB3447" s="9">
        <v>59.124893495096586</v>
      </c>
      <c r="AC3447" s="9">
        <v>59.124893495096586</v>
      </c>
      <c r="AD3447" s="9">
        <v>68.673407568137122</v>
      </c>
      <c r="AE3447" s="9">
        <v>75.899806853903883</v>
      </c>
      <c r="AF3447" s="9">
        <v>83.243930726651769</v>
      </c>
      <c r="AG3447" s="9">
        <v>83.243930726651769</v>
      </c>
      <c r="AH3447" s="9">
        <v>91.483430312965311</v>
      </c>
      <c r="AI3447" s="9">
        <v>99.63294480172658</v>
      </c>
      <c r="AJ3447" s="9">
        <v>3.0428788910505911</v>
      </c>
    </row>
    <row r="3448" spans="1:36" x14ac:dyDescent="0.25">
      <c r="A3448" t="s">
        <v>5411</v>
      </c>
      <c r="B3448" t="s">
        <v>16</v>
      </c>
      <c r="C3448" t="s">
        <v>17</v>
      </c>
      <c r="D3448">
        <v>64613000</v>
      </c>
      <c r="E3448">
        <v>64614999</v>
      </c>
      <c r="F3448" t="s">
        <v>3115</v>
      </c>
      <c r="G3448" t="str">
        <f t="shared" si="106"/>
        <v>PII II</v>
      </c>
      <c r="H3448" t="s">
        <v>2995</v>
      </c>
      <c r="I3448" t="s">
        <v>20</v>
      </c>
      <c r="J3448" t="s">
        <v>64</v>
      </c>
      <c r="K3448" s="6">
        <v>0.03</v>
      </c>
      <c r="L3448" s="7">
        <f t="shared" si="107"/>
        <v>2E-3</v>
      </c>
      <c r="M3448" s="7">
        <v>3.0000000000000001E-3</v>
      </c>
      <c r="N3448">
        <v>14</v>
      </c>
      <c r="O3448" s="8">
        <v>22.680099489425388</v>
      </c>
      <c r="P3448" s="9">
        <v>22.680099489425388</v>
      </c>
      <c r="Q3448" s="9">
        <v>22.680099489425388</v>
      </c>
      <c r="R3448" s="9">
        <v>24.975706415973956</v>
      </c>
      <c r="S3448" s="9">
        <v>27.507757599557678</v>
      </c>
      <c r="T3448" s="9">
        <v>29.643595035649298</v>
      </c>
      <c r="U3448" s="9">
        <v>36.324172615829276</v>
      </c>
      <c r="V3448" s="9">
        <v>36.324172615829276</v>
      </c>
      <c r="W3448" s="9">
        <v>36.324172615829276</v>
      </c>
      <c r="X3448" s="9">
        <v>43.832136422596946</v>
      </c>
      <c r="Y3448" s="9">
        <v>43.832136422596946</v>
      </c>
      <c r="Z3448" s="9">
        <v>51.429400054836968</v>
      </c>
      <c r="AA3448" s="9">
        <v>51.429400054836968</v>
      </c>
      <c r="AB3448" s="9">
        <v>59.124893495096586</v>
      </c>
      <c r="AC3448" s="9">
        <v>59.124893495096586</v>
      </c>
      <c r="AD3448" s="9">
        <v>68.673407568137122</v>
      </c>
      <c r="AE3448" s="9">
        <v>75.899806853903883</v>
      </c>
      <c r="AF3448" s="9">
        <v>83.243930726651769</v>
      </c>
      <c r="AG3448" s="9">
        <v>83.243930726651769</v>
      </c>
      <c r="AH3448" s="9">
        <v>91.483430312965311</v>
      </c>
      <c r="AI3448" s="9">
        <v>99.63294480172658</v>
      </c>
      <c r="AJ3448" s="9">
        <v>3.0428788910505911</v>
      </c>
    </row>
    <row r="3449" spans="1:36" x14ac:dyDescent="0.25">
      <c r="A3449" t="s">
        <v>5411</v>
      </c>
      <c r="B3449" t="s">
        <v>16</v>
      </c>
      <c r="C3449" t="s">
        <v>17</v>
      </c>
      <c r="D3449">
        <v>64615000</v>
      </c>
      <c r="E3449">
        <v>64617999</v>
      </c>
      <c r="F3449" t="s">
        <v>3116</v>
      </c>
      <c r="G3449" t="str">
        <f t="shared" si="106"/>
        <v>PII II</v>
      </c>
      <c r="H3449" t="s">
        <v>2995</v>
      </c>
      <c r="I3449" t="s">
        <v>20</v>
      </c>
      <c r="J3449" t="s">
        <v>64</v>
      </c>
      <c r="K3449" s="6">
        <v>0.03</v>
      </c>
      <c r="L3449" s="7">
        <f t="shared" si="107"/>
        <v>2E-3</v>
      </c>
      <c r="M3449" s="7">
        <v>3.0000000000000001E-3</v>
      </c>
      <c r="N3449">
        <v>14</v>
      </c>
      <c r="O3449" s="8">
        <v>22.680099489425388</v>
      </c>
      <c r="P3449" s="9">
        <v>22.680099489425388</v>
      </c>
      <c r="Q3449" s="9">
        <v>22.680099489425388</v>
      </c>
      <c r="R3449" s="9">
        <v>24.975706415973956</v>
      </c>
      <c r="S3449" s="9">
        <v>27.507757599557678</v>
      </c>
      <c r="T3449" s="9">
        <v>29.643595035649298</v>
      </c>
      <c r="U3449" s="9">
        <v>36.324172615829276</v>
      </c>
      <c r="V3449" s="9">
        <v>36.324172615829276</v>
      </c>
      <c r="W3449" s="9">
        <v>36.324172615829276</v>
      </c>
      <c r="X3449" s="9">
        <v>43.832136422596946</v>
      </c>
      <c r="Y3449" s="9">
        <v>43.832136422596946</v>
      </c>
      <c r="Z3449" s="9">
        <v>51.429400054836968</v>
      </c>
      <c r="AA3449" s="9">
        <v>51.429400054836968</v>
      </c>
      <c r="AB3449" s="9">
        <v>59.124893495096586</v>
      </c>
      <c r="AC3449" s="9">
        <v>59.124893495096586</v>
      </c>
      <c r="AD3449" s="9">
        <v>68.673407568137122</v>
      </c>
      <c r="AE3449" s="9">
        <v>75.899806853903883</v>
      </c>
      <c r="AF3449" s="9">
        <v>83.243930726651769</v>
      </c>
      <c r="AG3449" s="9">
        <v>83.243930726651769</v>
      </c>
      <c r="AH3449" s="9">
        <v>91.483430312965311</v>
      </c>
      <c r="AI3449" s="9">
        <v>99.63294480172658</v>
      </c>
      <c r="AJ3449" s="9">
        <v>3.0428788910505911</v>
      </c>
    </row>
    <row r="3450" spans="1:36" x14ac:dyDescent="0.25">
      <c r="A3450" t="s">
        <v>5411</v>
      </c>
      <c r="B3450" t="s">
        <v>16</v>
      </c>
      <c r="C3450" t="s">
        <v>17</v>
      </c>
      <c r="D3450">
        <v>64618000</v>
      </c>
      <c r="E3450">
        <v>64619999</v>
      </c>
      <c r="F3450" t="s">
        <v>3117</v>
      </c>
      <c r="G3450" t="str">
        <f t="shared" si="106"/>
        <v>PII II</v>
      </c>
      <c r="H3450" t="s">
        <v>2995</v>
      </c>
      <c r="I3450" t="s">
        <v>20</v>
      </c>
      <c r="J3450" t="s">
        <v>64</v>
      </c>
      <c r="K3450" s="6">
        <v>0.03</v>
      </c>
      <c r="L3450" s="7">
        <f t="shared" si="107"/>
        <v>2E-3</v>
      </c>
      <c r="M3450" s="7">
        <v>3.0000000000000001E-3</v>
      </c>
      <c r="N3450">
        <v>14</v>
      </c>
      <c r="O3450" s="8">
        <v>22.680099489425388</v>
      </c>
      <c r="P3450" s="9">
        <v>22.680099489425388</v>
      </c>
      <c r="Q3450" s="9">
        <v>22.680099489425388</v>
      </c>
      <c r="R3450" s="9">
        <v>24.975706415973956</v>
      </c>
      <c r="S3450" s="9">
        <v>27.507757599557678</v>
      </c>
      <c r="T3450" s="9">
        <v>29.643595035649298</v>
      </c>
      <c r="U3450" s="9">
        <v>36.324172615829276</v>
      </c>
      <c r="V3450" s="9">
        <v>36.324172615829276</v>
      </c>
      <c r="W3450" s="9">
        <v>36.324172615829276</v>
      </c>
      <c r="X3450" s="9">
        <v>43.832136422596946</v>
      </c>
      <c r="Y3450" s="9">
        <v>43.832136422596946</v>
      </c>
      <c r="Z3450" s="9">
        <v>51.429400054836968</v>
      </c>
      <c r="AA3450" s="9">
        <v>51.429400054836968</v>
      </c>
      <c r="AB3450" s="9">
        <v>59.124893495096586</v>
      </c>
      <c r="AC3450" s="9">
        <v>59.124893495096586</v>
      </c>
      <c r="AD3450" s="9">
        <v>68.673407568137122</v>
      </c>
      <c r="AE3450" s="9">
        <v>75.899806853903883</v>
      </c>
      <c r="AF3450" s="9">
        <v>83.243930726651769</v>
      </c>
      <c r="AG3450" s="9">
        <v>83.243930726651769</v>
      </c>
      <c r="AH3450" s="9">
        <v>91.483430312965311</v>
      </c>
      <c r="AI3450" s="9">
        <v>99.63294480172658</v>
      </c>
      <c r="AJ3450" s="9">
        <v>3.0428788910505911</v>
      </c>
    </row>
    <row r="3451" spans="1:36" x14ac:dyDescent="0.25">
      <c r="A3451" t="s">
        <v>5411</v>
      </c>
      <c r="B3451" t="s">
        <v>16</v>
      </c>
      <c r="C3451" t="s">
        <v>17</v>
      </c>
      <c r="D3451">
        <v>64620000</v>
      </c>
      <c r="E3451">
        <v>64624999</v>
      </c>
      <c r="F3451" t="s">
        <v>3118</v>
      </c>
      <c r="G3451" t="str">
        <f t="shared" si="106"/>
        <v>PII II</v>
      </c>
      <c r="H3451" t="s">
        <v>2995</v>
      </c>
      <c r="I3451" t="s">
        <v>20</v>
      </c>
      <c r="J3451" t="s">
        <v>64</v>
      </c>
      <c r="K3451" s="6">
        <v>0.03</v>
      </c>
      <c r="L3451" s="7">
        <f t="shared" si="107"/>
        <v>2E-3</v>
      </c>
      <c r="M3451" s="7">
        <v>3.0000000000000001E-3</v>
      </c>
      <c r="N3451">
        <v>14</v>
      </c>
      <c r="O3451" s="8">
        <v>22.680099489425388</v>
      </c>
      <c r="P3451" s="9">
        <v>22.680099489425388</v>
      </c>
      <c r="Q3451" s="9">
        <v>22.680099489425388</v>
      </c>
      <c r="R3451" s="9">
        <v>24.975706415973956</v>
      </c>
      <c r="S3451" s="9">
        <v>27.507757599557678</v>
      </c>
      <c r="T3451" s="9">
        <v>29.643595035649298</v>
      </c>
      <c r="U3451" s="9">
        <v>36.324172615829276</v>
      </c>
      <c r="V3451" s="9">
        <v>36.324172615829276</v>
      </c>
      <c r="W3451" s="9">
        <v>36.324172615829276</v>
      </c>
      <c r="X3451" s="9">
        <v>43.832136422596946</v>
      </c>
      <c r="Y3451" s="9">
        <v>43.832136422596946</v>
      </c>
      <c r="Z3451" s="9">
        <v>51.429400054836968</v>
      </c>
      <c r="AA3451" s="9">
        <v>51.429400054836968</v>
      </c>
      <c r="AB3451" s="9">
        <v>59.124893495096586</v>
      </c>
      <c r="AC3451" s="9">
        <v>59.124893495096586</v>
      </c>
      <c r="AD3451" s="9">
        <v>68.673407568137122</v>
      </c>
      <c r="AE3451" s="9">
        <v>75.899806853903883</v>
      </c>
      <c r="AF3451" s="9">
        <v>83.243930726651769</v>
      </c>
      <c r="AG3451" s="9">
        <v>83.243930726651769</v>
      </c>
      <c r="AH3451" s="9">
        <v>91.483430312965311</v>
      </c>
      <c r="AI3451" s="9">
        <v>99.63294480172658</v>
      </c>
      <c r="AJ3451" s="9">
        <v>3.0428788910505911</v>
      </c>
    </row>
    <row r="3452" spans="1:36" x14ac:dyDescent="0.25">
      <c r="A3452" t="s">
        <v>5411</v>
      </c>
      <c r="B3452" t="s">
        <v>16</v>
      </c>
      <c r="C3452" t="s">
        <v>17</v>
      </c>
      <c r="D3452">
        <v>64625000</v>
      </c>
      <c r="E3452">
        <v>64629999</v>
      </c>
      <c r="F3452" t="s">
        <v>3119</v>
      </c>
      <c r="G3452" t="str">
        <f t="shared" si="106"/>
        <v>PII II</v>
      </c>
      <c r="H3452" t="s">
        <v>2995</v>
      </c>
      <c r="I3452" t="s">
        <v>20</v>
      </c>
      <c r="J3452" t="s">
        <v>64</v>
      </c>
      <c r="K3452" s="6">
        <v>0.03</v>
      </c>
      <c r="L3452" s="7">
        <f t="shared" si="107"/>
        <v>2E-3</v>
      </c>
      <c r="M3452" s="7">
        <v>3.0000000000000001E-3</v>
      </c>
      <c r="N3452">
        <v>14</v>
      </c>
      <c r="O3452" s="8">
        <v>22.680099489425388</v>
      </c>
      <c r="P3452" s="9">
        <v>22.680099489425388</v>
      </c>
      <c r="Q3452" s="9">
        <v>22.680099489425388</v>
      </c>
      <c r="R3452" s="9">
        <v>24.975706415973956</v>
      </c>
      <c r="S3452" s="9">
        <v>27.507757599557678</v>
      </c>
      <c r="T3452" s="9">
        <v>29.643595035649298</v>
      </c>
      <c r="U3452" s="9">
        <v>36.324172615829276</v>
      </c>
      <c r="V3452" s="9">
        <v>36.324172615829276</v>
      </c>
      <c r="W3452" s="9">
        <v>36.324172615829276</v>
      </c>
      <c r="X3452" s="9">
        <v>43.832136422596946</v>
      </c>
      <c r="Y3452" s="9">
        <v>43.832136422596946</v>
      </c>
      <c r="Z3452" s="9">
        <v>51.429400054836968</v>
      </c>
      <c r="AA3452" s="9">
        <v>51.429400054836968</v>
      </c>
      <c r="AB3452" s="9">
        <v>59.124893495096586</v>
      </c>
      <c r="AC3452" s="9">
        <v>59.124893495096586</v>
      </c>
      <c r="AD3452" s="9">
        <v>68.673407568137122</v>
      </c>
      <c r="AE3452" s="9">
        <v>75.899806853903883</v>
      </c>
      <c r="AF3452" s="9">
        <v>83.243930726651769</v>
      </c>
      <c r="AG3452" s="9">
        <v>83.243930726651769</v>
      </c>
      <c r="AH3452" s="9">
        <v>91.483430312965311</v>
      </c>
      <c r="AI3452" s="9">
        <v>99.63294480172658</v>
      </c>
      <c r="AJ3452" s="9">
        <v>3.0428788910505911</v>
      </c>
    </row>
    <row r="3453" spans="1:36" x14ac:dyDescent="0.25">
      <c r="A3453" t="s">
        <v>5411</v>
      </c>
      <c r="B3453" t="s">
        <v>16</v>
      </c>
      <c r="C3453" t="s">
        <v>17</v>
      </c>
      <c r="D3453">
        <v>64630000</v>
      </c>
      <c r="E3453">
        <v>64634999</v>
      </c>
      <c r="F3453" t="s">
        <v>464</v>
      </c>
      <c r="G3453" t="str">
        <f t="shared" si="106"/>
        <v>PII II</v>
      </c>
      <c r="H3453" t="s">
        <v>2995</v>
      </c>
      <c r="I3453" t="s">
        <v>20</v>
      </c>
      <c r="J3453" t="s">
        <v>64</v>
      </c>
      <c r="K3453" s="6">
        <v>0.03</v>
      </c>
      <c r="L3453" s="7">
        <f t="shared" si="107"/>
        <v>2E-3</v>
      </c>
      <c r="M3453" s="7">
        <v>3.0000000000000001E-3</v>
      </c>
      <c r="N3453">
        <v>15</v>
      </c>
      <c r="O3453" s="8">
        <v>22.680099489425388</v>
      </c>
      <c r="P3453" s="9">
        <v>22.680099489425388</v>
      </c>
      <c r="Q3453" s="9">
        <v>22.680099489425388</v>
      </c>
      <c r="R3453" s="9">
        <v>24.975706415973956</v>
      </c>
      <c r="S3453" s="9">
        <v>27.507757599557678</v>
      </c>
      <c r="T3453" s="9">
        <v>29.643595035649298</v>
      </c>
      <c r="U3453" s="9">
        <v>36.324172615829276</v>
      </c>
      <c r="V3453" s="9">
        <v>36.324172615829276</v>
      </c>
      <c r="W3453" s="9">
        <v>36.324172615829276</v>
      </c>
      <c r="X3453" s="9">
        <v>43.832136422596946</v>
      </c>
      <c r="Y3453" s="9">
        <v>43.832136422596946</v>
      </c>
      <c r="Z3453" s="9">
        <v>51.429400054836968</v>
      </c>
      <c r="AA3453" s="9">
        <v>51.429400054836968</v>
      </c>
      <c r="AB3453" s="9">
        <v>59.124893495096586</v>
      </c>
      <c r="AC3453" s="9">
        <v>59.124893495096586</v>
      </c>
      <c r="AD3453" s="9">
        <v>68.673407568137122</v>
      </c>
      <c r="AE3453" s="9">
        <v>75.899806853903883</v>
      </c>
      <c r="AF3453" s="9">
        <v>83.243930726651769</v>
      </c>
      <c r="AG3453" s="9">
        <v>83.243930726651769</v>
      </c>
      <c r="AH3453" s="9">
        <v>91.483430312965311</v>
      </c>
      <c r="AI3453" s="9">
        <v>99.63294480172658</v>
      </c>
      <c r="AJ3453" s="9">
        <v>3.0428788910505911</v>
      </c>
    </row>
    <row r="3454" spans="1:36" x14ac:dyDescent="0.25">
      <c r="A3454" t="s">
        <v>5411</v>
      </c>
      <c r="B3454" t="s">
        <v>16</v>
      </c>
      <c r="C3454" t="s">
        <v>17</v>
      </c>
      <c r="D3454">
        <v>64635000</v>
      </c>
      <c r="E3454">
        <v>64637999</v>
      </c>
      <c r="F3454" t="s">
        <v>3120</v>
      </c>
      <c r="G3454" t="str">
        <f t="shared" si="106"/>
        <v>PII II</v>
      </c>
      <c r="H3454" t="s">
        <v>2995</v>
      </c>
      <c r="I3454" t="s">
        <v>20</v>
      </c>
      <c r="J3454" t="s">
        <v>64</v>
      </c>
      <c r="K3454" s="6">
        <v>0.03</v>
      </c>
      <c r="L3454" s="7">
        <f t="shared" si="107"/>
        <v>2E-3</v>
      </c>
      <c r="M3454" s="7">
        <v>3.0000000000000001E-3</v>
      </c>
      <c r="N3454">
        <v>15</v>
      </c>
      <c r="O3454" s="8">
        <v>22.680099489425388</v>
      </c>
      <c r="P3454" s="9">
        <v>22.680099489425388</v>
      </c>
      <c r="Q3454" s="9">
        <v>22.680099489425388</v>
      </c>
      <c r="R3454" s="9">
        <v>24.975706415973956</v>
      </c>
      <c r="S3454" s="9">
        <v>27.507757599557678</v>
      </c>
      <c r="T3454" s="9">
        <v>29.643595035649298</v>
      </c>
      <c r="U3454" s="9">
        <v>36.324172615829276</v>
      </c>
      <c r="V3454" s="9">
        <v>36.324172615829276</v>
      </c>
      <c r="W3454" s="9">
        <v>36.324172615829276</v>
      </c>
      <c r="X3454" s="9">
        <v>43.832136422596946</v>
      </c>
      <c r="Y3454" s="9">
        <v>43.832136422596946</v>
      </c>
      <c r="Z3454" s="9">
        <v>51.429400054836968</v>
      </c>
      <c r="AA3454" s="9">
        <v>51.429400054836968</v>
      </c>
      <c r="AB3454" s="9">
        <v>59.124893495096586</v>
      </c>
      <c r="AC3454" s="9">
        <v>59.124893495096586</v>
      </c>
      <c r="AD3454" s="9">
        <v>68.673407568137122</v>
      </c>
      <c r="AE3454" s="9">
        <v>75.899806853903883</v>
      </c>
      <c r="AF3454" s="9">
        <v>83.243930726651769</v>
      </c>
      <c r="AG3454" s="9">
        <v>83.243930726651769</v>
      </c>
      <c r="AH3454" s="9">
        <v>91.483430312965311</v>
      </c>
      <c r="AI3454" s="9">
        <v>99.63294480172658</v>
      </c>
      <c r="AJ3454" s="9">
        <v>3.0428788910505911</v>
      </c>
    </row>
    <row r="3455" spans="1:36" x14ac:dyDescent="0.25">
      <c r="A3455" t="s">
        <v>5411</v>
      </c>
      <c r="B3455" t="s">
        <v>16</v>
      </c>
      <c r="C3455" t="s">
        <v>17</v>
      </c>
      <c r="D3455">
        <v>64638000</v>
      </c>
      <c r="E3455">
        <v>64639999</v>
      </c>
      <c r="F3455" t="s">
        <v>3121</v>
      </c>
      <c r="G3455" t="str">
        <f t="shared" si="106"/>
        <v>PII II</v>
      </c>
      <c r="H3455" t="s">
        <v>2995</v>
      </c>
      <c r="I3455" t="s">
        <v>20</v>
      </c>
      <c r="J3455" t="s">
        <v>64</v>
      </c>
      <c r="K3455" s="6">
        <v>0.03</v>
      </c>
      <c r="L3455" s="7">
        <f t="shared" si="107"/>
        <v>2E-3</v>
      </c>
      <c r="M3455" s="7">
        <v>3.0000000000000001E-3</v>
      </c>
      <c r="N3455">
        <v>15</v>
      </c>
      <c r="O3455" s="8">
        <v>22.680099489425388</v>
      </c>
      <c r="P3455" s="9">
        <v>22.680099489425388</v>
      </c>
      <c r="Q3455" s="9">
        <v>22.680099489425388</v>
      </c>
      <c r="R3455" s="9">
        <v>24.975706415973956</v>
      </c>
      <c r="S3455" s="9">
        <v>27.507757599557678</v>
      </c>
      <c r="T3455" s="9">
        <v>29.643595035649298</v>
      </c>
      <c r="U3455" s="9">
        <v>36.324172615829276</v>
      </c>
      <c r="V3455" s="9">
        <v>36.324172615829276</v>
      </c>
      <c r="W3455" s="9">
        <v>36.324172615829276</v>
      </c>
      <c r="X3455" s="9">
        <v>43.832136422596946</v>
      </c>
      <c r="Y3455" s="9">
        <v>43.832136422596946</v>
      </c>
      <c r="Z3455" s="9">
        <v>51.429400054836968</v>
      </c>
      <c r="AA3455" s="9">
        <v>51.429400054836968</v>
      </c>
      <c r="AB3455" s="9">
        <v>59.124893495096586</v>
      </c>
      <c r="AC3455" s="9">
        <v>59.124893495096586</v>
      </c>
      <c r="AD3455" s="9">
        <v>68.673407568137122</v>
      </c>
      <c r="AE3455" s="9">
        <v>75.899806853903883</v>
      </c>
      <c r="AF3455" s="9">
        <v>83.243930726651769</v>
      </c>
      <c r="AG3455" s="9">
        <v>83.243930726651769</v>
      </c>
      <c r="AH3455" s="9">
        <v>91.483430312965311</v>
      </c>
      <c r="AI3455" s="9">
        <v>99.63294480172658</v>
      </c>
      <c r="AJ3455" s="9">
        <v>3.0428788910505911</v>
      </c>
    </row>
    <row r="3456" spans="1:36" x14ac:dyDescent="0.25">
      <c r="A3456" t="s">
        <v>5411</v>
      </c>
      <c r="B3456" t="s">
        <v>16</v>
      </c>
      <c r="C3456" t="s">
        <v>17</v>
      </c>
      <c r="D3456">
        <v>64640000</v>
      </c>
      <c r="E3456">
        <v>64644999</v>
      </c>
      <c r="F3456" t="s">
        <v>3122</v>
      </c>
      <c r="G3456" t="str">
        <f t="shared" si="106"/>
        <v>PII II</v>
      </c>
      <c r="H3456" t="s">
        <v>2995</v>
      </c>
      <c r="I3456" t="s">
        <v>20</v>
      </c>
      <c r="J3456" t="s">
        <v>64</v>
      </c>
      <c r="K3456" s="6">
        <v>0.03</v>
      </c>
      <c r="L3456" s="7">
        <f t="shared" si="107"/>
        <v>2E-3</v>
      </c>
      <c r="M3456" s="7">
        <v>3.0000000000000001E-3</v>
      </c>
      <c r="N3456">
        <v>15</v>
      </c>
      <c r="O3456" s="8">
        <v>22.680099489425388</v>
      </c>
      <c r="P3456" s="9">
        <v>22.680099489425388</v>
      </c>
      <c r="Q3456" s="9">
        <v>22.680099489425388</v>
      </c>
      <c r="R3456" s="9">
        <v>24.975706415973956</v>
      </c>
      <c r="S3456" s="9">
        <v>27.507757599557678</v>
      </c>
      <c r="T3456" s="9">
        <v>29.643595035649298</v>
      </c>
      <c r="U3456" s="9">
        <v>36.324172615829276</v>
      </c>
      <c r="V3456" s="9">
        <v>36.324172615829276</v>
      </c>
      <c r="W3456" s="9">
        <v>36.324172615829276</v>
      </c>
      <c r="X3456" s="9">
        <v>43.832136422596946</v>
      </c>
      <c r="Y3456" s="9">
        <v>43.832136422596946</v>
      </c>
      <c r="Z3456" s="9">
        <v>51.429400054836968</v>
      </c>
      <c r="AA3456" s="9">
        <v>51.429400054836968</v>
      </c>
      <c r="AB3456" s="9">
        <v>59.124893495096586</v>
      </c>
      <c r="AC3456" s="9">
        <v>59.124893495096586</v>
      </c>
      <c r="AD3456" s="9">
        <v>68.673407568137122</v>
      </c>
      <c r="AE3456" s="9">
        <v>75.899806853903883</v>
      </c>
      <c r="AF3456" s="9">
        <v>83.243930726651769</v>
      </c>
      <c r="AG3456" s="9">
        <v>83.243930726651769</v>
      </c>
      <c r="AH3456" s="9">
        <v>91.483430312965311</v>
      </c>
      <c r="AI3456" s="9">
        <v>99.63294480172658</v>
      </c>
      <c r="AJ3456" s="9">
        <v>3.0428788910505911</v>
      </c>
    </row>
    <row r="3457" spans="1:36" x14ac:dyDescent="0.25">
      <c r="A3457" t="s">
        <v>5411</v>
      </c>
      <c r="B3457" t="s">
        <v>16</v>
      </c>
      <c r="C3457" t="s">
        <v>17</v>
      </c>
      <c r="D3457">
        <v>64645000</v>
      </c>
      <c r="E3457">
        <v>64649999</v>
      </c>
      <c r="F3457" t="s">
        <v>3123</v>
      </c>
      <c r="G3457" t="str">
        <f t="shared" si="106"/>
        <v>PII</v>
      </c>
      <c r="H3457" t="s">
        <v>2995</v>
      </c>
      <c r="I3457" t="s">
        <v>20</v>
      </c>
      <c r="J3457" t="s">
        <v>62</v>
      </c>
      <c r="K3457" s="6">
        <v>0.03</v>
      </c>
      <c r="L3457" s="7">
        <f t="shared" si="107"/>
        <v>2E-3</v>
      </c>
      <c r="M3457" s="7">
        <v>3.0000000000000001E-3</v>
      </c>
      <c r="N3457">
        <v>14</v>
      </c>
      <c r="O3457" s="8">
        <v>18.523064475870246</v>
      </c>
      <c r="P3457" s="9">
        <v>18.523064475870246</v>
      </c>
      <c r="Q3457" s="9">
        <v>18.523064475870246</v>
      </c>
      <c r="R3457" s="9">
        <v>19.986085921544504</v>
      </c>
      <c r="S3457" s="9">
        <v>22.12943390989907</v>
      </c>
      <c r="T3457" s="9">
        <v>24.361587349653966</v>
      </c>
      <c r="U3457" s="9">
        <v>30.016334788894795</v>
      </c>
      <c r="V3457" s="9">
        <v>30.016334788894795</v>
      </c>
      <c r="W3457" s="9">
        <v>30.016334788894795</v>
      </c>
      <c r="X3457" s="9">
        <v>36.357177991180244</v>
      </c>
      <c r="Y3457" s="9">
        <v>36.357177991180244</v>
      </c>
      <c r="Z3457" s="9">
        <v>42.885327131268298</v>
      </c>
      <c r="AA3457" s="9">
        <v>42.885327131268298</v>
      </c>
      <c r="AB3457" s="9">
        <v>49.659479185845427</v>
      </c>
      <c r="AC3457" s="9">
        <v>49.659479185845427</v>
      </c>
      <c r="AD3457" s="9">
        <v>56.580305827489475</v>
      </c>
      <c r="AE3457" s="9">
        <v>63.666673708638676</v>
      </c>
      <c r="AF3457" s="9">
        <v>70.939940361157198</v>
      </c>
      <c r="AG3457" s="9">
        <v>70.939940361157198</v>
      </c>
      <c r="AH3457" s="9">
        <v>77.933178543288449</v>
      </c>
      <c r="AI3457" s="9">
        <v>85.444390652517114</v>
      </c>
      <c r="AJ3457" s="9">
        <v>3.0428788910505911</v>
      </c>
    </row>
    <row r="3458" spans="1:36" x14ac:dyDescent="0.25">
      <c r="A3458" t="s">
        <v>5411</v>
      </c>
      <c r="B3458" t="s">
        <v>16</v>
      </c>
      <c r="C3458" t="s">
        <v>17</v>
      </c>
      <c r="D3458">
        <v>64650000</v>
      </c>
      <c r="E3458">
        <v>64654999</v>
      </c>
      <c r="F3458" t="s">
        <v>3124</v>
      </c>
      <c r="G3458" t="str">
        <f t="shared" si="106"/>
        <v>PII II</v>
      </c>
      <c r="H3458" t="s">
        <v>2995</v>
      </c>
      <c r="I3458" t="s">
        <v>20</v>
      </c>
      <c r="J3458" t="s">
        <v>64</v>
      </c>
      <c r="K3458" s="6">
        <v>0.03</v>
      </c>
      <c r="L3458" s="7">
        <f t="shared" si="107"/>
        <v>2E-3</v>
      </c>
      <c r="M3458" s="7">
        <v>3.0000000000000001E-3</v>
      </c>
      <c r="N3458">
        <v>14</v>
      </c>
      <c r="O3458" s="8">
        <v>22.680099489425388</v>
      </c>
      <c r="P3458" s="9">
        <v>22.680099489425388</v>
      </c>
      <c r="Q3458" s="9">
        <v>22.680099489425388</v>
      </c>
      <c r="R3458" s="9">
        <v>24.975706415973956</v>
      </c>
      <c r="S3458" s="9">
        <v>27.507757599557678</v>
      </c>
      <c r="T3458" s="9">
        <v>29.643595035649298</v>
      </c>
      <c r="U3458" s="9">
        <v>36.324172615829276</v>
      </c>
      <c r="V3458" s="9">
        <v>36.324172615829276</v>
      </c>
      <c r="W3458" s="9">
        <v>36.324172615829276</v>
      </c>
      <c r="X3458" s="9">
        <v>43.832136422596946</v>
      </c>
      <c r="Y3458" s="9">
        <v>43.832136422596946</v>
      </c>
      <c r="Z3458" s="9">
        <v>51.429400054836968</v>
      </c>
      <c r="AA3458" s="9">
        <v>51.429400054836968</v>
      </c>
      <c r="AB3458" s="9">
        <v>59.124893495096586</v>
      </c>
      <c r="AC3458" s="9">
        <v>59.124893495096586</v>
      </c>
      <c r="AD3458" s="9">
        <v>68.673407568137122</v>
      </c>
      <c r="AE3458" s="9">
        <v>75.899806853903883</v>
      </c>
      <c r="AF3458" s="9">
        <v>83.243930726651769</v>
      </c>
      <c r="AG3458" s="9">
        <v>83.243930726651769</v>
      </c>
      <c r="AH3458" s="9">
        <v>91.483430312965311</v>
      </c>
      <c r="AI3458" s="9">
        <v>99.63294480172658</v>
      </c>
      <c r="AJ3458" s="9">
        <v>3.0428788910505911</v>
      </c>
    </row>
    <row r="3459" spans="1:36" x14ac:dyDescent="0.25">
      <c r="A3459" t="s">
        <v>5411</v>
      </c>
      <c r="B3459" t="s">
        <v>16</v>
      </c>
      <c r="C3459" t="s">
        <v>17</v>
      </c>
      <c r="D3459">
        <v>64655000</v>
      </c>
      <c r="E3459">
        <v>64659999</v>
      </c>
      <c r="F3459" t="s">
        <v>3125</v>
      </c>
      <c r="G3459" t="str">
        <f t="shared" si="106"/>
        <v>PII II</v>
      </c>
      <c r="H3459" t="s">
        <v>2995</v>
      </c>
      <c r="I3459" t="s">
        <v>20</v>
      </c>
      <c r="J3459" t="s">
        <v>64</v>
      </c>
      <c r="K3459" s="6">
        <v>0.03</v>
      </c>
      <c r="L3459" s="7">
        <f t="shared" si="107"/>
        <v>2E-3</v>
      </c>
      <c r="M3459" s="7">
        <v>3.0000000000000001E-3</v>
      </c>
      <c r="N3459">
        <v>15</v>
      </c>
      <c r="O3459" s="8">
        <v>22.680099489425388</v>
      </c>
      <c r="P3459" s="9">
        <v>22.680099489425388</v>
      </c>
      <c r="Q3459" s="9">
        <v>22.680099489425388</v>
      </c>
      <c r="R3459" s="9">
        <v>24.975706415973956</v>
      </c>
      <c r="S3459" s="9">
        <v>27.507757599557678</v>
      </c>
      <c r="T3459" s="9">
        <v>29.643595035649298</v>
      </c>
      <c r="U3459" s="9">
        <v>36.324172615829276</v>
      </c>
      <c r="V3459" s="9">
        <v>36.324172615829276</v>
      </c>
      <c r="W3459" s="9">
        <v>36.324172615829276</v>
      </c>
      <c r="X3459" s="9">
        <v>43.832136422596946</v>
      </c>
      <c r="Y3459" s="9">
        <v>43.832136422596946</v>
      </c>
      <c r="Z3459" s="9">
        <v>51.429400054836968</v>
      </c>
      <c r="AA3459" s="9">
        <v>51.429400054836968</v>
      </c>
      <c r="AB3459" s="9">
        <v>59.124893495096586</v>
      </c>
      <c r="AC3459" s="9">
        <v>59.124893495096586</v>
      </c>
      <c r="AD3459" s="9">
        <v>68.673407568137122</v>
      </c>
      <c r="AE3459" s="9">
        <v>75.899806853903883</v>
      </c>
      <c r="AF3459" s="9">
        <v>83.243930726651769</v>
      </c>
      <c r="AG3459" s="9">
        <v>83.243930726651769</v>
      </c>
      <c r="AH3459" s="9">
        <v>91.483430312965311</v>
      </c>
      <c r="AI3459" s="9">
        <v>99.63294480172658</v>
      </c>
      <c r="AJ3459" s="9">
        <v>3.0428788910505911</v>
      </c>
    </row>
    <row r="3460" spans="1:36" x14ac:dyDescent="0.25">
      <c r="A3460" t="s">
        <v>5411</v>
      </c>
      <c r="B3460" t="s">
        <v>16</v>
      </c>
      <c r="C3460" t="s">
        <v>17</v>
      </c>
      <c r="D3460">
        <v>64660000</v>
      </c>
      <c r="E3460">
        <v>64669999</v>
      </c>
      <c r="F3460" t="s">
        <v>3126</v>
      </c>
      <c r="G3460" t="str">
        <f t="shared" ref="G3460:G3523" si="108">H3460&amp;IF(J3460="CAPITAL","C",IF(J3460="INTERIOR","I",IF(J3460="INTERIOR II","I II","R")))</f>
        <v>PII II</v>
      </c>
      <c r="H3460" t="s">
        <v>2995</v>
      </c>
      <c r="I3460" t="s">
        <v>20</v>
      </c>
      <c r="J3460" t="s">
        <v>64</v>
      </c>
      <c r="K3460" s="6">
        <v>0.03</v>
      </c>
      <c r="L3460" s="7">
        <f t="shared" ref="L3460:L3523" si="109">IF(I3460="(0) Não",0.2%,3%)</f>
        <v>2E-3</v>
      </c>
      <c r="M3460" s="7">
        <v>3.0000000000000001E-3</v>
      </c>
      <c r="N3460">
        <v>14</v>
      </c>
      <c r="O3460" s="8">
        <v>22.680099489425388</v>
      </c>
      <c r="P3460" s="9">
        <v>22.680099489425388</v>
      </c>
      <c r="Q3460" s="9">
        <v>22.680099489425388</v>
      </c>
      <c r="R3460" s="9">
        <v>24.975706415973956</v>
      </c>
      <c r="S3460" s="9">
        <v>27.507757599557678</v>
      </c>
      <c r="T3460" s="9">
        <v>29.643595035649298</v>
      </c>
      <c r="U3460" s="9">
        <v>36.324172615829276</v>
      </c>
      <c r="V3460" s="9">
        <v>36.324172615829276</v>
      </c>
      <c r="W3460" s="9">
        <v>36.324172615829276</v>
      </c>
      <c r="X3460" s="9">
        <v>43.832136422596946</v>
      </c>
      <c r="Y3460" s="9">
        <v>43.832136422596946</v>
      </c>
      <c r="Z3460" s="9">
        <v>51.429400054836968</v>
      </c>
      <c r="AA3460" s="9">
        <v>51.429400054836968</v>
      </c>
      <c r="AB3460" s="9">
        <v>59.124893495096586</v>
      </c>
      <c r="AC3460" s="9">
        <v>59.124893495096586</v>
      </c>
      <c r="AD3460" s="9">
        <v>68.673407568137122</v>
      </c>
      <c r="AE3460" s="9">
        <v>75.899806853903883</v>
      </c>
      <c r="AF3460" s="9">
        <v>83.243930726651769</v>
      </c>
      <c r="AG3460" s="9">
        <v>83.243930726651769</v>
      </c>
      <c r="AH3460" s="9">
        <v>91.483430312965311</v>
      </c>
      <c r="AI3460" s="9">
        <v>99.63294480172658</v>
      </c>
      <c r="AJ3460" s="9">
        <v>3.0428788910505911</v>
      </c>
    </row>
    <row r="3461" spans="1:36" x14ac:dyDescent="0.25">
      <c r="A3461" t="s">
        <v>5411</v>
      </c>
      <c r="B3461" t="s">
        <v>16</v>
      </c>
      <c r="C3461" t="s">
        <v>17</v>
      </c>
      <c r="D3461">
        <v>64670000</v>
      </c>
      <c r="E3461">
        <v>64674999</v>
      </c>
      <c r="F3461" t="s">
        <v>3127</v>
      </c>
      <c r="G3461" t="str">
        <f t="shared" si="108"/>
        <v>PII II</v>
      </c>
      <c r="H3461" t="s">
        <v>2995</v>
      </c>
      <c r="I3461" t="s">
        <v>20</v>
      </c>
      <c r="J3461" t="s">
        <v>64</v>
      </c>
      <c r="K3461" s="6">
        <v>0.03</v>
      </c>
      <c r="L3461" s="7">
        <f t="shared" si="109"/>
        <v>2E-3</v>
      </c>
      <c r="M3461" s="7">
        <v>3.0000000000000001E-3</v>
      </c>
      <c r="N3461">
        <v>15</v>
      </c>
      <c r="O3461" s="8">
        <v>22.680099489425388</v>
      </c>
      <c r="P3461" s="9">
        <v>22.680099489425388</v>
      </c>
      <c r="Q3461" s="9">
        <v>22.680099489425388</v>
      </c>
      <c r="R3461" s="9">
        <v>24.975706415973956</v>
      </c>
      <c r="S3461" s="9">
        <v>27.507757599557678</v>
      </c>
      <c r="T3461" s="9">
        <v>29.643595035649298</v>
      </c>
      <c r="U3461" s="9">
        <v>36.324172615829276</v>
      </c>
      <c r="V3461" s="9">
        <v>36.324172615829276</v>
      </c>
      <c r="W3461" s="9">
        <v>36.324172615829276</v>
      </c>
      <c r="X3461" s="9">
        <v>43.832136422596946</v>
      </c>
      <c r="Y3461" s="9">
        <v>43.832136422596946</v>
      </c>
      <c r="Z3461" s="9">
        <v>51.429400054836968</v>
      </c>
      <c r="AA3461" s="9">
        <v>51.429400054836968</v>
      </c>
      <c r="AB3461" s="9">
        <v>59.124893495096586</v>
      </c>
      <c r="AC3461" s="9">
        <v>59.124893495096586</v>
      </c>
      <c r="AD3461" s="9">
        <v>68.673407568137122</v>
      </c>
      <c r="AE3461" s="9">
        <v>75.899806853903883</v>
      </c>
      <c r="AF3461" s="9">
        <v>83.243930726651769</v>
      </c>
      <c r="AG3461" s="9">
        <v>83.243930726651769</v>
      </c>
      <c r="AH3461" s="9">
        <v>91.483430312965311</v>
      </c>
      <c r="AI3461" s="9">
        <v>99.63294480172658</v>
      </c>
      <c r="AJ3461" s="9">
        <v>3.0428788910505911</v>
      </c>
    </row>
    <row r="3462" spans="1:36" x14ac:dyDescent="0.25">
      <c r="A3462" t="s">
        <v>5411</v>
      </c>
      <c r="B3462" t="s">
        <v>16</v>
      </c>
      <c r="C3462" t="s">
        <v>17</v>
      </c>
      <c r="D3462">
        <v>64675000</v>
      </c>
      <c r="E3462">
        <v>64677999</v>
      </c>
      <c r="F3462" t="s">
        <v>3128</v>
      </c>
      <c r="G3462" t="str">
        <f t="shared" si="108"/>
        <v>PII II</v>
      </c>
      <c r="H3462" t="s">
        <v>2995</v>
      </c>
      <c r="I3462" t="s">
        <v>20</v>
      </c>
      <c r="J3462" t="s">
        <v>64</v>
      </c>
      <c r="K3462" s="6">
        <v>0.03</v>
      </c>
      <c r="L3462" s="7">
        <f t="shared" si="109"/>
        <v>2E-3</v>
      </c>
      <c r="M3462" s="7">
        <v>3.0000000000000001E-3</v>
      </c>
      <c r="N3462">
        <v>15</v>
      </c>
      <c r="O3462" s="8">
        <v>22.680099489425388</v>
      </c>
      <c r="P3462" s="9">
        <v>22.680099489425388</v>
      </c>
      <c r="Q3462" s="9">
        <v>22.680099489425388</v>
      </c>
      <c r="R3462" s="9">
        <v>24.975706415973956</v>
      </c>
      <c r="S3462" s="9">
        <v>27.507757599557678</v>
      </c>
      <c r="T3462" s="9">
        <v>29.643595035649298</v>
      </c>
      <c r="U3462" s="9">
        <v>36.324172615829276</v>
      </c>
      <c r="V3462" s="9">
        <v>36.324172615829276</v>
      </c>
      <c r="W3462" s="9">
        <v>36.324172615829276</v>
      </c>
      <c r="X3462" s="9">
        <v>43.832136422596946</v>
      </c>
      <c r="Y3462" s="9">
        <v>43.832136422596946</v>
      </c>
      <c r="Z3462" s="9">
        <v>51.429400054836968</v>
      </c>
      <c r="AA3462" s="9">
        <v>51.429400054836968</v>
      </c>
      <c r="AB3462" s="9">
        <v>59.124893495096586</v>
      </c>
      <c r="AC3462" s="9">
        <v>59.124893495096586</v>
      </c>
      <c r="AD3462" s="9">
        <v>68.673407568137122</v>
      </c>
      <c r="AE3462" s="9">
        <v>75.899806853903883</v>
      </c>
      <c r="AF3462" s="9">
        <v>83.243930726651769</v>
      </c>
      <c r="AG3462" s="9">
        <v>83.243930726651769</v>
      </c>
      <c r="AH3462" s="9">
        <v>91.483430312965311</v>
      </c>
      <c r="AI3462" s="9">
        <v>99.63294480172658</v>
      </c>
      <c r="AJ3462" s="9">
        <v>3.0428788910505911</v>
      </c>
    </row>
    <row r="3463" spans="1:36" x14ac:dyDescent="0.25">
      <c r="A3463" t="s">
        <v>5411</v>
      </c>
      <c r="B3463" t="s">
        <v>16</v>
      </c>
      <c r="C3463" t="s">
        <v>17</v>
      </c>
      <c r="D3463">
        <v>64678000</v>
      </c>
      <c r="E3463">
        <v>64679999</v>
      </c>
      <c r="F3463" t="s">
        <v>3129</v>
      </c>
      <c r="G3463" t="str">
        <f t="shared" si="108"/>
        <v>PII II</v>
      </c>
      <c r="H3463" t="s">
        <v>2995</v>
      </c>
      <c r="I3463" t="s">
        <v>20</v>
      </c>
      <c r="J3463" t="s">
        <v>64</v>
      </c>
      <c r="K3463" s="6">
        <v>0.03</v>
      </c>
      <c r="L3463" s="7">
        <f t="shared" si="109"/>
        <v>2E-3</v>
      </c>
      <c r="M3463" s="7">
        <v>3.0000000000000001E-3</v>
      </c>
      <c r="N3463">
        <v>15</v>
      </c>
      <c r="O3463" s="8">
        <v>22.680099489425388</v>
      </c>
      <c r="P3463" s="9">
        <v>22.680099489425388</v>
      </c>
      <c r="Q3463" s="9">
        <v>22.680099489425388</v>
      </c>
      <c r="R3463" s="9">
        <v>24.975706415973956</v>
      </c>
      <c r="S3463" s="9">
        <v>27.507757599557678</v>
      </c>
      <c r="T3463" s="9">
        <v>29.643595035649298</v>
      </c>
      <c r="U3463" s="9">
        <v>36.324172615829276</v>
      </c>
      <c r="V3463" s="9">
        <v>36.324172615829276</v>
      </c>
      <c r="W3463" s="9">
        <v>36.324172615829276</v>
      </c>
      <c r="X3463" s="9">
        <v>43.832136422596946</v>
      </c>
      <c r="Y3463" s="9">
        <v>43.832136422596946</v>
      </c>
      <c r="Z3463" s="9">
        <v>51.429400054836968</v>
      </c>
      <c r="AA3463" s="9">
        <v>51.429400054836968</v>
      </c>
      <c r="AB3463" s="9">
        <v>59.124893495096586</v>
      </c>
      <c r="AC3463" s="9">
        <v>59.124893495096586</v>
      </c>
      <c r="AD3463" s="9">
        <v>68.673407568137122</v>
      </c>
      <c r="AE3463" s="9">
        <v>75.899806853903883</v>
      </c>
      <c r="AF3463" s="9">
        <v>83.243930726651769</v>
      </c>
      <c r="AG3463" s="9">
        <v>83.243930726651769</v>
      </c>
      <c r="AH3463" s="9">
        <v>91.483430312965311</v>
      </c>
      <c r="AI3463" s="9">
        <v>99.63294480172658</v>
      </c>
      <c r="AJ3463" s="9">
        <v>3.0428788910505911</v>
      </c>
    </row>
    <row r="3464" spans="1:36" x14ac:dyDescent="0.25">
      <c r="A3464" t="s">
        <v>5411</v>
      </c>
      <c r="B3464" t="s">
        <v>16</v>
      </c>
      <c r="C3464" t="s">
        <v>17</v>
      </c>
      <c r="D3464">
        <v>64680000</v>
      </c>
      <c r="E3464">
        <v>64682999</v>
      </c>
      <c r="F3464" t="s">
        <v>3130</v>
      </c>
      <c r="G3464" t="str">
        <f t="shared" si="108"/>
        <v>PII II</v>
      </c>
      <c r="H3464" t="s">
        <v>2995</v>
      </c>
      <c r="I3464" t="s">
        <v>20</v>
      </c>
      <c r="J3464" t="s">
        <v>64</v>
      </c>
      <c r="K3464" s="6">
        <v>0.03</v>
      </c>
      <c r="L3464" s="7">
        <f t="shared" si="109"/>
        <v>2E-3</v>
      </c>
      <c r="M3464" s="7">
        <v>3.0000000000000001E-3</v>
      </c>
      <c r="N3464">
        <v>15</v>
      </c>
      <c r="O3464" s="8">
        <v>22.680099489425388</v>
      </c>
      <c r="P3464" s="9">
        <v>22.680099489425388</v>
      </c>
      <c r="Q3464" s="9">
        <v>22.680099489425388</v>
      </c>
      <c r="R3464" s="9">
        <v>24.975706415973956</v>
      </c>
      <c r="S3464" s="9">
        <v>27.507757599557678</v>
      </c>
      <c r="T3464" s="9">
        <v>29.643595035649298</v>
      </c>
      <c r="U3464" s="9">
        <v>36.324172615829276</v>
      </c>
      <c r="V3464" s="9">
        <v>36.324172615829276</v>
      </c>
      <c r="W3464" s="9">
        <v>36.324172615829276</v>
      </c>
      <c r="X3464" s="9">
        <v>43.832136422596946</v>
      </c>
      <c r="Y3464" s="9">
        <v>43.832136422596946</v>
      </c>
      <c r="Z3464" s="9">
        <v>51.429400054836968</v>
      </c>
      <c r="AA3464" s="9">
        <v>51.429400054836968</v>
      </c>
      <c r="AB3464" s="9">
        <v>59.124893495096586</v>
      </c>
      <c r="AC3464" s="9">
        <v>59.124893495096586</v>
      </c>
      <c r="AD3464" s="9">
        <v>68.673407568137122</v>
      </c>
      <c r="AE3464" s="9">
        <v>75.899806853903883</v>
      </c>
      <c r="AF3464" s="9">
        <v>83.243930726651769</v>
      </c>
      <c r="AG3464" s="9">
        <v>83.243930726651769</v>
      </c>
      <c r="AH3464" s="9">
        <v>91.483430312965311</v>
      </c>
      <c r="AI3464" s="9">
        <v>99.63294480172658</v>
      </c>
      <c r="AJ3464" s="9">
        <v>3.0428788910505911</v>
      </c>
    </row>
    <row r="3465" spans="1:36" x14ac:dyDescent="0.25">
      <c r="A3465" t="s">
        <v>5411</v>
      </c>
      <c r="B3465" t="s">
        <v>16</v>
      </c>
      <c r="C3465" t="s">
        <v>17</v>
      </c>
      <c r="D3465">
        <v>64683000</v>
      </c>
      <c r="E3465">
        <v>64684999</v>
      </c>
      <c r="F3465" t="s">
        <v>3131</v>
      </c>
      <c r="G3465" t="str">
        <f t="shared" si="108"/>
        <v>PII II</v>
      </c>
      <c r="H3465" t="s">
        <v>2995</v>
      </c>
      <c r="I3465" t="s">
        <v>20</v>
      </c>
      <c r="J3465" t="s">
        <v>64</v>
      </c>
      <c r="K3465" s="6">
        <v>0.03</v>
      </c>
      <c r="L3465" s="7">
        <f t="shared" si="109"/>
        <v>2E-3</v>
      </c>
      <c r="M3465" s="7">
        <v>3.0000000000000001E-3</v>
      </c>
      <c r="N3465">
        <v>15</v>
      </c>
      <c r="O3465" s="8">
        <v>22.680099489425388</v>
      </c>
      <c r="P3465" s="9">
        <v>22.680099489425388</v>
      </c>
      <c r="Q3465" s="9">
        <v>22.680099489425388</v>
      </c>
      <c r="R3465" s="9">
        <v>24.975706415973956</v>
      </c>
      <c r="S3465" s="9">
        <v>27.507757599557678</v>
      </c>
      <c r="T3465" s="9">
        <v>29.643595035649298</v>
      </c>
      <c r="U3465" s="9">
        <v>36.324172615829276</v>
      </c>
      <c r="V3465" s="9">
        <v>36.324172615829276</v>
      </c>
      <c r="W3465" s="9">
        <v>36.324172615829276</v>
      </c>
      <c r="X3465" s="9">
        <v>43.832136422596946</v>
      </c>
      <c r="Y3465" s="9">
        <v>43.832136422596946</v>
      </c>
      <c r="Z3465" s="9">
        <v>51.429400054836968</v>
      </c>
      <c r="AA3465" s="9">
        <v>51.429400054836968</v>
      </c>
      <c r="AB3465" s="9">
        <v>59.124893495096586</v>
      </c>
      <c r="AC3465" s="9">
        <v>59.124893495096586</v>
      </c>
      <c r="AD3465" s="9">
        <v>68.673407568137122</v>
      </c>
      <c r="AE3465" s="9">
        <v>75.899806853903883</v>
      </c>
      <c r="AF3465" s="9">
        <v>83.243930726651769</v>
      </c>
      <c r="AG3465" s="9">
        <v>83.243930726651769</v>
      </c>
      <c r="AH3465" s="9">
        <v>91.483430312965311</v>
      </c>
      <c r="AI3465" s="9">
        <v>99.63294480172658</v>
      </c>
      <c r="AJ3465" s="9">
        <v>3.0428788910505911</v>
      </c>
    </row>
    <row r="3466" spans="1:36" x14ac:dyDescent="0.25">
      <c r="A3466" t="s">
        <v>5411</v>
      </c>
      <c r="B3466" t="s">
        <v>16</v>
      </c>
      <c r="C3466" t="s">
        <v>17</v>
      </c>
      <c r="D3466">
        <v>64685000</v>
      </c>
      <c r="E3466">
        <v>64687999</v>
      </c>
      <c r="F3466" t="s">
        <v>3132</v>
      </c>
      <c r="G3466" t="str">
        <f t="shared" si="108"/>
        <v>PII II</v>
      </c>
      <c r="H3466" t="s">
        <v>2995</v>
      </c>
      <c r="I3466" t="s">
        <v>20</v>
      </c>
      <c r="J3466" t="s">
        <v>64</v>
      </c>
      <c r="K3466" s="6">
        <v>0.03</v>
      </c>
      <c r="L3466" s="7">
        <f t="shared" si="109"/>
        <v>2E-3</v>
      </c>
      <c r="M3466" s="7">
        <v>3.0000000000000001E-3</v>
      </c>
      <c r="N3466">
        <v>15</v>
      </c>
      <c r="O3466" s="8">
        <v>22.680099489425388</v>
      </c>
      <c r="P3466" s="9">
        <v>22.680099489425388</v>
      </c>
      <c r="Q3466" s="9">
        <v>22.680099489425388</v>
      </c>
      <c r="R3466" s="9">
        <v>24.975706415973956</v>
      </c>
      <c r="S3466" s="9">
        <v>27.507757599557678</v>
      </c>
      <c r="T3466" s="9">
        <v>29.643595035649298</v>
      </c>
      <c r="U3466" s="9">
        <v>36.324172615829276</v>
      </c>
      <c r="V3466" s="9">
        <v>36.324172615829276</v>
      </c>
      <c r="W3466" s="9">
        <v>36.324172615829276</v>
      </c>
      <c r="X3466" s="9">
        <v>43.832136422596946</v>
      </c>
      <c r="Y3466" s="9">
        <v>43.832136422596946</v>
      </c>
      <c r="Z3466" s="9">
        <v>51.429400054836968</v>
      </c>
      <c r="AA3466" s="9">
        <v>51.429400054836968</v>
      </c>
      <c r="AB3466" s="9">
        <v>59.124893495096586</v>
      </c>
      <c r="AC3466" s="9">
        <v>59.124893495096586</v>
      </c>
      <c r="AD3466" s="9">
        <v>68.673407568137122</v>
      </c>
      <c r="AE3466" s="9">
        <v>75.899806853903883</v>
      </c>
      <c r="AF3466" s="9">
        <v>83.243930726651769</v>
      </c>
      <c r="AG3466" s="9">
        <v>83.243930726651769</v>
      </c>
      <c r="AH3466" s="9">
        <v>91.483430312965311</v>
      </c>
      <c r="AI3466" s="9">
        <v>99.63294480172658</v>
      </c>
      <c r="AJ3466" s="9">
        <v>3.0428788910505911</v>
      </c>
    </row>
    <row r="3467" spans="1:36" x14ac:dyDescent="0.25">
      <c r="A3467" t="s">
        <v>5411</v>
      </c>
      <c r="B3467" t="s">
        <v>16</v>
      </c>
      <c r="C3467" t="s">
        <v>17</v>
      </c>
      <c r="D3467">
        <v>64688000</v>
      </c>
      <c r="E3467">
        <v>64689999</v>
      </c>
      <c r="F3467" t="s">
        <v>3133</v>
      </c>
      <c r="G3467" t="str">
        <f t="shared" si="108"/>
        <v>PII II</v>
      </c>
      <c r="H3467" t="s">
        <v>2995</v>
      </c>
      <c r="I3467" t="s">
        <v>20</v>
      </c>
      <c r="J3467" t="s">
        <v>64</v>
      </c>
      <c r="K3467" s="6">
        <v>0.03</v>
      </c>
      <c r="L3467" s="7">
        <f t="shared" si="109"/>
        <v>2E-3</v>
      </c>
      <c r="M3467" s="7">
        <v>3.0000000000000001E-3</v>
      </c>
      <c r="N3467">
        <v>15</v>
      </c>
      <c r="O3467" s="8">
        <v>22.680099489425388</v>
      </c>
      <c r="P3467" s="9">
        <v>22.680099489425388</v>
      </c>
      <c r="Q3467" s="9">
        <v>22.680099489425388</v>
      </c>
      <c r="R3467" s="9">
        <v>24.975706415973956</v>
      </c>
      <c r="S3467" s="9">
        <v>27.507757599557678</v>
      </c>
      <c r="T3467" s="9">
        <v>29.643595035649298</v>
      </c>
      <c r="U3467" s="9">
        <v>36.324172615829276</v>
      </c>
      <c r="V3467" s="9">
        <v>36.324172615829276</v>
      </c>
      <c r="W3467" s="9">
        <v>36.324172615829276</v>
      </c>
      <c r="X3467" s="9">
        <v>43.832136422596946</v>
      </c>
      <c r="Y3467" s="9">
        <v>43.832136422596946</v>
      </c>
      <c r="Z3467" s="9">
        <v>51.429400054836968</v>
      </c>
      <c r="AA3467" s="9">
        <v>51.429400054836968</v>
      </c>
      <c r="AB3467" s="9">
        <v>59.124893495096586</v>
      </c>
      <c r="AC3467" s="9">
        <v>59.124893495096586</v>
      </c>
      <c r="AD3467" s="9">
        <v>68.673407568137122</v>
      </c>
      <c r="AE3467" s="9">
        <v>75.899806853903883</v>
      </c>
      <c r="AF3467" s="9">
        <v>83.243930726651769</v>
      </c>
      <c r="AG3467" s="9">
        <v>83.243930726651769</v>
      </c>
      <c r="AH3467" s="9">
        <v>91.483430312965311</v>
      </c>
      <c r="AI3467" s="9">
        <v>99.63294480172658</v>
      </c>
      <c r="AJ3467" s="9">
        <v>3.0428788910505911</v>
      </c>
    </row>
    <row r="3468" spans="1:36" x14ac:dyDescent="0.25">
      <c r="A3468" t="s">
        <v>5411</v>
      </c>
      <c r="B3468" t="s">
        <v>16</v>
      </c>
      <c r="C3468" t="s">
        <v>17</v>
      </c>
      <c r="D3468">
        <v>64690000</v>
      </c>
      <c r="E3468">
        <v>64694999</v>
      </c>
      <c r="F3468" t="s">
        <v>3134</v>
      </c>
      <c r="G3468" t="str">
        <f t="shared" si="108"/>
        <v>PII II</v>
      </c>
      <c r="H3468" t="s">
        <v>2995</v>
      </c>
      <c r="I3468" t="s">
        <v>20</v>
      </c>
      <c r="J3468" t="s">
        <v>64</v>
      </c>
      <c r="K3468" s="6">
        <v>0.03</v>
      </c>
      <c r="L3468" s="7">
        <f t="shared" si="109"/>
        <v>2E-3</v>
      </c>
      <c r="M3468" s="7">
        <v>3.0000000000000001E-3</v>
      </c>
      <c r="N3468">
        <v>15</v>
      </c>
      <c r="O3468" s="8">
        <v>22.680099489425388</v>
      </c>
      <c r="P3468" s="9">
        <v>22.680099489425388</v>
      </c>
      <c r="Q3468" s="9">
        <v>22.680099489425388</v>
      </c>
      <c r="R3468" s="9">
        <v>24.975706415973956</v>
      </c>
      <c r="S3468" s="9">
        <v>27.507757599557678</v>
      </c>
      <c r="T3468" s="9">
        <v>29.643595035649298</v>
      </c>
      <c r="U3468" s="9">
        <v>36.324172615829276</v>
      </c>
      <c r="V3468" s="9">
        <v>36.324172615829276</v>
      </c>
      <c r="W3468" s="9">
        <v>36.324172615829276</v>
      </c>
      <c r="X3468" s="9">
        <v>43.832136422596946</v>
      </c>
      <c r="Y3468" s="9">
        <v>43.832136422596946</v>
      </c>
      <c r="Z3468" s="9">
        <v>51.429400054836968</v>
      </c>
      <c r="AA3468" s="9">
        <v>51.429400054836968</v>
      </c>
      <c r="AB3468" s="9">
        <v>59.124893495096586</v>
      </c>
      <c r="AC3468" s="9">
        <v>59.124893495096586</v>
      </c>
      <c r="AD3468" s="9">
        <v>68.673407568137122</v>
      </c>
      <c r="AE3468" s="9">
        <v>75.899806853903883</v>
      </c>
      <c r="AF3468" s="9">
        <v>83.243930726651769</v>
      </c>
      <c r="AG3468" s="9">
        <v>83.243930726651769</v>
      </c>
      <c r="AH3468" s="9">
        <v>91.483430312965311</v>
      </c>
      <c r="AI3468" s="9">
        <v>99.63294480172658</v>
      </c>
      <c r="AJ3468" s="9">
        <v>3.0428788910505911</v>
      </c>
    </row>
    <row r="3469" spans="1:36" x14ac:dyDescent="0.25">
      <c r="A3469" t="s">
        <v>5411</v>
      </c>
      <c r="B3469" t="s">
        <v>16</v>
      </c>
      <c r="C3469" t="s">
        <v>17</v>
      </c>
      <c r="D3469">
        <v>64695000</v>
      </c>
      <c r="E3469">
        <v>64699999</v>
      </c>
      <c r="F3469" t="s">
        <v>3135</v>
      </c>
      <c r="G3469" t="str">
        <f t="shared" si="108"/>
        <v>PII II</v>
      </c>
      <c r="H3469" t="s">
        <v>2995</v>
      </c>
      <c r="I3469" t="s">
        <v>20</v>
      </c>
      <c r="J3469" t="s">
        <v>64</v>
      </c>
      <c r="K3469" s="6">
        <v>0.03</v>
      </c>
      <c r="L3469" s="7">
        <f t="shared" si="109"/>
        <v>2E-3</v>
      </c>
      <c r="M3469" s="7">
        <v>3.0000000000000001E-3</v>
      </c>
      <c r="N3469">
        <v>15</v>
      </c>
      <c r="O3469" s="8">
        <v>22.680099489425388</v>
      </c>
      <c r="P3469" s="9">
        <v>22.680099489425388</v>
      </c>
      <c r="Q3469" s="9">
        <v>22.680099489425388</v>
      </c>
      <c r="R3469" s="9">
        <v>24.975706415973956</v>
      </c>
      <c r="S3469" s="9">
        <v>27.507757599557678</v>
      </c>
      <c r="T3469" s="9">
        <v>29.643595035649298</v>
      </c>
      <c r="U3469" s="9">
        <v>36.324172615829276</v>
      </c>
      <c r="V3469" s="9">
        <v>36.324172615829276</v>
      </c>
      <c r="W3469" s="9">
        <v>36.324172615829276</v>
      </c>
      <c r="X3469" s="9">
        <v>43.832136422596946</v>
      </c>
      <c r="Y3469" s="9">
        <v>43.832136422596946</v>
      </c>
      <c r="Z3469" s="9">
        <v>51.429400054836968</v>
      </c>
      <c r="AA3469" s="9">
        <v>51.429400054836968</v>
      </c>
      <c r="AB3469" s="9">
        <v>59.124893495096586</v>
      </c>
      <c r="AC3469" s="9">
        <v>59.124893495096586</v>
      </c>
      <c r="AD3469" s="9">
        <v>68.673407568137122</v>
      </c>
      <c r="AE3469" s="9">
        <v>75.899806853903883</v>
      </c>
      <c r="AF3469" s="9">
        <v>83.243930726651769</v>
      </c>
      <c r="AG3469" s="9">
        <v>83.243930726651769</v>
      </c>
      <c r="AH3469" s="9">
        <v>91.483430312965311</v>
      </c>
      <c r="AI3469" s="9">
        <v>99.63294480172658</v>
      </c>
      <c r="AJ3469" s="9">
        <v>3.0428788910505911</v>
      </c>
    </row>
    <row r="3470" spans="1:36" x14ac:dyDescent="0.25">
      <c r="A3470" t="s">
        <v>5411</v>
      </c>
      <c r="B3470" t="s">
        <v>16</v>
      </c>
      <c r="C3470" t="s">
        <v>17</v>
      </c>
      <c r="D3470">
        <v>64700000</v>
      </c>
      <c r="E3470">
        <v>64704999</v>
      </c>
      <c r="F3470" t="s">
        <v>3136</v>
      </c>
      <c r="G3470" t="str">
        <f t="shared" si="108"/>
        <v>PII II</v>
      </c>
      <c r="H3470" t="s">
        <v>2995</v>
      </c>
      <c r="I3470" t="s">
        <v>20</v>
      </c>
      <c r="J3470" t="s">
        <v>64</v>
      </c>
      <c r="K3470" s="6">
        <v>0.03</v>
      </c>
      <c r="L3470" s="7">
        <f t="shared" si="109"/>
        <v>2E-3</v>
      </c>
      <c r="M3470" s="7">
        <v>3.0000000000000001E-3</v>
      </c>
      <c r="N3470">
        <v>14</v>
      </c>
      <c r="O3470" s="8">
        <v>22.680099489425388</v>
      </c>
      <c r="P3470" s="9">
        <v>22.680099489425388</v>
      </c>
      <c r="Q3470" s="9">
        <v>22.680099489425388</v>
      </c>
      <c r="R3470" s="9">
        <v>24.975706415973956</v>
      </c>
      <c r="S3470" s="9">
        <v>27.507757599557678</v>
      </c>
      <c r="T3470" s="9">
        <v>29.643595035649298</v>
      </c>
      <c r="U3470" s="9">
        <v>36.324172615829276</v>
      </c>
      <c r="V3470" s="9">
        <v>36.324172615829276</v>
      </c>
      <c r="W3470" s="9">
        <v>36.324172615829276</v>
      </c>
      <c r="X3470" s="9">
        <v>43.832136422596946</v>
      </c>
      <c r="Y3470" s="9">
        <v>43.832136422596946</v>
      </c>
      <c r="Z3470" s="9">
        <v>51.429400054836968</v>
      </c>
      <c r="AA3470" s="9">
        <v>51.429400054836968</v>
      </c>
      <c r="AB3470" s="9">
        <v>59.124893495096586</v>
      </c>
      <c r="AC3470" s="9">
        <v>59.124893495096586</v>
      </c>
      <c r="AD3470" s="9">
        <v>68.673407568137122</v>
      </c>
      <c r="AE3470" s="9">
        <v>75.899806853903883</v>
      </c>
      <c r="AF3470" s="9">
        <v>83.243930726651769</v>
      </c>
      <c r="AG3470" s="9">
        <v>83.243930726651769</v>
      </c>
      <c r="AH3470" s="9">
        <v>91.483430312965311</v>
      </c>
      <c r="AI3470" s="9">
        <v>99.63294480172658</v>
      </c>
      <c r="AJ3470" s="9">
        <v>3.0428788910505911</v>
      </c>
    </row>
    <row r="3471" spans="1:36" x14ac:dyDescent="0.25">
      <c r="A3471" t="s">
        <v>5411</v>
      </c>
      <c r="B3471" t="s">
        <v>16</v>
      </c>
      <c r="C3471" t="s">
        <v>17</v>
      </c>
      <c r="D3471">
        <v>64705000</v>
      </c>
      <c r="E3471">
        <v>64709999</v>
      </c>
      <c r="F3471" t="s">
        <v>3137</v>
      </c>
      <c r="G3471" t="str">
        <f t="shared" si="108"/>
        <v>PII II</v>
      </c>
      <c r="H3471" t="s">
        <v>2995</v>
      </c>
      <c r="I3471" t="s">
        <v>20</v>
      </c>
      <c r="J3471" t="s">
        <v>64</v>
      </c>
      <c r="K3471" s="6">
        <v>0.03</v>
      </c>
      <c r="L3471" s="7">
        <f t="shared" si="109"/>
        <v>2E-3</v>
      </c>
      <c r="M3471" s="7">
        <v>3.0000000000000001E-3</v>
      </c>
      <c r="N3471">
        <v>14</v>
      </c>
      <c r="O3471" s="8">
        <v>22.680099489425388</v>
      </c>
      <c r="P3471" s="9">
        <v>22.680099489425388</v>
      </c>
      <c r="Q3471" s="9">
        <v>22.680099489425388</v>
      </c>
      <c r="R3471" s="9">
        <v>24.975706415973956</v>
      </c>
      <c r="S3471" s="9">
        <v>27.507757599557678</v>
      </c>
      <c r="T3471" s="9">
        <v>29.643595035649298</v>
      </c>
      <c r="U3471" s="9">
        <v>36.324172615829276</v>
      </c>
      <c r="V3471" s="9">
        <v>36.324172615829276</v>
      </c>
      <c r="W3471" s="9">
        <v>36.324172615829276</v>
      </c>
      <c r="X3471" s="9">
        <v>43.832136422596946</v>
      </c>
      <c r="Y3471" s="9">
        <v>43.832136422596946</v>
      </c>
      <c r="Z3471" s="9">
        <v>51.429400054836968</v>
      </c>
      <c r="AA3471" s="9">
        <v>51.429400054836968</v>
      </c>
      <c r="AB3471" s="9">
        <v>59.124893495096586</v>
      </c>
      <c r="AC3471" s="9">
        <v>59.124893495096586</v>
      </c>
      <c r="AD3471" s="9">
        <v>68.673407568137122</v>
      </c>
      <c r="AE3471" s="9">
        <v>75.899806853903883</v>
      </c>
      <c r="AF3471" s="9">
        <v>83.243930726651769</v>
      </c>
      <c r="AG3471" s="9">
        <v>83.243930726651769</v>
      </c>
      <c r="AH3471" s="9">
        <v>91.483430312965311</v>
      </c>
      <c r="AI3471" s="9">
        <v>99.63294480172658</v>
      </c>
      <c r="AJ3471" s="9">
        <v>3.0428788910505911</v>
      </c>
    </row>
    <row r="3472" spans="1:36" x14ac:dyDescent="0.25">
      <c r="A3472" t="s">
        <v>5411</v>
      </c>
      <c r="B3472" t="s">
        <v>16</v>
      </c>
      <c r="C3472" t="s">
        <v>17</v>
      </c>
      <c r="D3472">
        <v>64710000</v>
      </c>
      <c r="E3472">
        <v>64719999</v>
      </c>
      <c r="F3472" t="s">
        <v>3138</v>
      </c>
      <c r="G3472" t="str">
        <f t="shared" si="108"/>
        <v>PII II</v>
      </c>
      <c r="H3472" t="s">
        <v>2995</v>
      </c>
      <c r="I3472" t="s">
        <v>20</v>
      </c>
      <c r="J3472" t="s">
        <v>64</v>
      </c>
      <c r="K3472" s="6">
        <v>0.03</v>
      </c>
      <c r="L3472" s="7">
        <f t="shared" si="109"/>
        <v>2E-3</v>
      </c>
      <c r="M3472" s="7">
        <v>3.0000000000000001E-3</v>
      </c>
      <c r="N3472">
        <v>15</v>
      </c>
      <c r="O3472" s="8">
        <v>22.680099489425388</v>
      </c>
      <c r="P3472" s="9">
        <v>22.680099489425388</v>
      </c>
      <c r="Q3472" s="9">
        <v>22.680099489425388</v>
      </c>
      <c r="R3472" s="9">
        <v>24.975706415973956</v>
      </c>
      <c r="S3472" s="9">
        <v>27.507757599557678</v>
      </c>
      <c r="T3472" s="9">
        <v>29.643595035649298</v>
      </c>
      <c r="U3472" s="9">
        <v>36.324172615829276</v>
      </c>
      <c r="V3472" s="9">
        <v>36.324172615829276</v>
      </c>
      <c r="W3472" s="9">
        <v>36.324172615829276</v>
      </c>
      <c r="X3472" s="9">
        <v>43.832136422596946</v>
      </c>
      <c r="Y3472" s="9">
        <v>43.832136422596946</v>
      </c>
      <c r="Z3472" s="9">
        <v>51.429400054836968</v>
      </c>
      <c r="AA3472" s="9">
        <v>51.429400054836968</v>
      </c>
      <c r="AB3472" s="9">
        <v>59.124893495096586</v>
      </c>
      <c r="AC3472" s="9">
        <v>59.124893495096586</v>
      </c>
      <c r="AD3472" s="9">
        <v>68.673407568137122</v>
      </c>
      <c r="AE3472" s="9">
        <v>75.899806853903883</v>
      </c>
      <c r="AF3472" s="9">
        <v>83.243930726651769</v>
      </c>
      <c r="AG3472" s="9">
        <v>83.243930726651769</v>
      </c>
      <c r="AH3472" s="9">
        <v>91.483430312965311</v>
      </c>
      <c r="AI3472" s="9">
        <v>99.63294480172658</v>
      </c>
      <c r="AJ3472" s="9">
        <v>3.0428788910505911</v>
      </c>
    </row>
    <row r="3473" spans="1:36" x14ac:dyDescent="0.25">
      <c r="A3473" t="s">
        <v>5411</v>
      </c>
      <c r="B3473" t="s">
        <v>16</v>
      </c>
      <c r="C3473" t="s">
        <v>17</v>
      </c>
      <c r="D3473">
        <v>64720000</v>
      </c>
      <c r="E3473">
        <v>64724999</v>
      </c>
      <c r="F3473" t="s">
        <v>3139</v>
      </c>
      <c r="G3473" t="str">
        <f t="shared" si="108"/>
        <v>PII II</v>
      </c>
      <c r="H3473" t="s">
        <v>2995</v>
      </c>
      <c r="I3473" t="s">
        <v>20</v>
      </c>
      <c r="J3473" t="s">
        <v>64</v>
      </c>
      <c r="K3473" s="6">
        <v>0.03</v>
      </c>
      <c r="L3473" s="7">
        <f t="shared" si="109"/>
        <v>2E-3</v>
      </c>
      <c r="M3473" s="7">
        <v>3.0000000000000001E-3</v>
      </c>
      <c r="N3473">
        <v>15</v>
      </c>
      <c r="O3473" s="8">
        <v>22.680099489425388</v>
      </c>
      <c r="P3473" s="9">
        <v>22.680099489425388</v>
      </c>
      <c r="Q3473" s="9">
        <v>22.680099489425388</v>
      </c>
      <c r="R3473" s="9">
        <v>24.975706415973956</v>
      </c>
      <c r="S3473" s="9">
        <v>27.507757599557678</v>
      </c>
      <c r="T3473" s="9">
        <v>29.643595035649298</v>
      </c>
      <c r="U3473" s="9">
        <v>36.324172615829276</v>
      </c>
      <c r="V3473" s="9">
        <v>36.324172615829276</v>
      </c>
      <c r="W3473" s="9">
        <v>36.324172615829276</v>
      </c>
      <c r="X3473" s="9">
        <v>43.832136422596946</v>
      </c>
      <c r="Y3473" s="9">
        <v>43.832136422596946</v>
      </c>
      <c r="Z3473" s="9">
        <v>51.429400054836968</v>
      </c>
      <c r="AA3473" s="9">
        <v>51.429400054836968</v>
      </c>
      <c r="AB3473" s="9">
        <v>59.124893495096586</v>
      </c>
      <c r="AC3473" s="9">
        <v>59.124893495096586</v>
      </c>
      <c r="AD3473" s="9">
        <v>68.673407568137122</v>
      </c>
      <c r="AE3473" s="9">
        <v>75.899806853903883</v>
      </c>
      <c r="AF3473" s="9">
        <v>83.243930726651769</v>
      </c>
      <c r="AG3473" s="9">
        <v>83.243930726651769</v>
      </c>
      <c r="AH3473" s="9">
        <v>91.483430312965311</v>
      </c>
      <c r="AI3473" s="9">
        <v>99.63294480172658</v>
      </c>
      <c r="AJ3473" s="9">
        <v>3.0428788910505911</v>
      </c>
    </row>
    <row r="3474" spans="1:36" x14ac:dyDescent="0.25">
      <c r="A3474" t="s">
        <v>5411</v>
      </c>
      <c r="B3474" t="s">
        <v>16</v>
      </c>
      <c r="C3474" t="s">
        <v>17</v>
      </c>
      <c r="D3474">
        <v>64725000</v>
      </c>
      <c r="E3474">
        <v>64727999</v>
      </c>
      <c r="F3474" t="s">
        <v>3140</v>
      </c>
      <c r="G3474" t="str">
        <f t="shared" si="108"/>
        <v>PII II</v>
      </c>
      <c r="H3474" t="s">
        <v>2995</v>
      </c>
      <c r="I3474" t="s">
        <v>20</v>
      </c>
      <c r="J3474" t="s">
        <v>64</v>
      </c>
      <c r="K3474" s="6">
        <v>0.03</v>
      </c>
      <c r="L3474" s="7">
        <f t="shared" si="109"/>
        <v>2E-3</v>
      </c>
      <c r="M3474" s="7">
        <v>3.0000000000000001E-3</v>
      </c>
      <c r="N3474">
        <v>15</v>
      </c>
      <c r="O3474" s="8">
        <v>22.680099489425388</v>
      </c>
      <c r="P3474" s="9">
        <v>22.680099489425388</v>
      </c>
      <c r="Q3474" s="9">
        <v>22.680099489425388</v>
      </c>
      <c r="R3474" s="9">
        <v>24.975706415973956</v>
      </c>
      <c r="S3474" s="9">
        <v>27.507757599557678</v>
      </c>
      <c r="T3474" s="9">
        <v>29.643595035649298</v>
      </c>
      <c r="U3474" s="9">
        <v>36.324172615829276</v>
      </c>
      <c r="V3474" s="9">
        <v>36.324172615829276</v>
      </c>
      <c r="W3474" s="9">
        <v>36.324172615829276</v>
      </c>
      <c r="X3474" s="9">
        <v>43.832136422596946</v>
      </c>
      <c r="Y3474" s="9">
        <v>43.832136422596946</v>
      </c>
      <c r="Z3474" s="9">
        <v>51.429400054836968</v>
      </c>
      <c r="AA3474" s="9">
        <v>51.429400054836968</v>
      </c>
      <c r="AB3474" s="9">
        <v>59.124893495096586</v>
      </c>
      <c r="AC3474" s="9">
        <v>59.124893495096586</v>
      </c>
      <c r="AD3474" s="9">
        <v>68.673407568137122</v>
      </c>
      <c r="AE3474" s="9">
        <v>75.899806853903883</v>
      </c>
      <c r="AF3474" s="9">
        <v>83.243930726651769</v>
      </c>
      <c r="AG3474" s="9">
        <v>83.243930726651769</v>
      </c>
      <c r="AH3474" s="9">
        <v>91.483430312965311</v>
      </c>
      <c r="AI3474" s="9">
        <v>99.63294480172658</v>
      </c>
      <c r="AJ3474" s="9">
        <v>3.0428788910505911</v>
      </c>
    </row>
    <row r="3475" spans="1:36" x14ac:dyDescent="0.25">
      <c r="A3475" t="s">
        <v>5411</v>
      </c>
      <c r="B3475" t="s">
        <v>16</v>
      </c>
      <c r="C3475" t="s">
        <v>17</v>
      </c>
      <c r="D3475">
        <v>64728000</v>
      </c>
      <c r="E3475">
        <v>64729999</v>
      </c>
      <c r="F3475" t="s">
        <v>3141</v>
      </c>
      <c r="G3475" t="str">
        <f t="shared" si="108"/>
        <v>PII II</v>
      </c>
      <c r="H3475" t="s">
        <v>2995</v>
      </c>
      <c r="I3475" t="s">
        <v>20</v>
      </c>
      <c r="J3475" t="s">
        <v>64</v>
      </c>
      <c r="K3475" s="6">
        <v>0.03</v>
      </c>
      <c r="L3475" s="7">
        <f t="shared" si="109"/>
        <v>2E-3</v>
      </c>
      <c r="M3475" s="7">
        <v>3.0000000000000001E-3</v>
      </c>
      <c r="N3475">
        <v>15</v>
      </c>
      <c r="O3475" s="8">
        <v>22.680099489425388</v>
      </c>
      <c r="P3475" s="9">
        <v>22.680099489425388</v>
      </c>
      <c r="Q3475" s="9">
        <v>22.680099489425388</v>
      </c>
      <c r="R3475" s="9">
        <v>24.975706415973956</v>
      </c>
      <c r="S3475" s="9">
        <v>27.507757599557678</v>
      </c>
      <c r="T3475" s="9">
        <v>29.643595035649298</v>
      </c>
      <c r="U3475" s="9">
        <v>36.324172615829276</v>
      </c>
      <c r="V3475" s="9">
        <v>36.324172615829276</v>
      </c>
      <c r="W3475" s="9">
        <v>36.324172615829276</v>
      </c>
      <c r="X3475" s="9">
        <v>43.832136422596946</v>
      </c>
      <c r="Y3475" s="9">
        <v>43.832136422596946</v>
      </c>
      <c r="Z3475" s="9">
        <v>51.429400054836968</v>
      </c>
      <c r="AA3475" s="9">
        <v>51.429400054836968</v>
      </c>
      <c r="AB3475" s="9">
        <v>59.124893495096586</v>
      </c>
      <c r="AC3475" s="9">
        <v>59.124893495096586</v>
      </c>
      <c r="AD3475" s="9">
        <v>68.673407568137122</v>
      </c>
      <c r="AE3475" s="9">
        <v>75.899806853903883</v>
      </c>
      <c r="AF3475" s="9">
        <v>83.243930726651769</v>
      </c>
      <c r="AG3475" s="9">
        <v>83.243930726651769</v>
      </c>
      <c r="AH3475" s="9">
        <v>91.483430312965311</v>
      </c>
      <c r="AI3475" s="9">
        <v>99.63294480172658</v>
      </c>
      <c r="AJ3475" s="9">
        <v>3.0428788910505911</v>
      </c>
    </row>
    <row r="3476" spans="1:36" x14ac:dyDescent="0.25">
      <c r="A3476" t="s">
        <v>5411</v>
      </c>
      <c r="B3476" t="s">
        <v>16</v>
      </c>
      <c r="C3476" t="s">
        <v>17</v>
      </c>
      <c r="D3476">
        <v>64730000</v>
      </c>
      <c r="E3476">
        <v>64739999</v>
      </c>
      <c r="F3476" t="s">
        <v>3142</v>
      </c>
      <c r="G3476" t="str">
        <f t="shared" si="108"/>
        <v>PII II</v>
      </c>
      <c r="H3476" t="s">
        <v>2995</v>
      </c>
      <c r="I3476" t="s">
        <v>20</v>
      </c>
      <c r="J3476" t="s">
        <v>64</v>
      </c>
      <c r="K3476" s="6">
        <v>0.03</v>
      </c>
      <c r="L3476" s="7">
        <f t="shared" si="109"/>
        <v>2E-3</v>
      </c>
      <c r="M3476" s="7">
        <v>3.0000000000000001E-3</v>
      </c>
      <c r="N3476">
        <v>14</v>
      </c>
      <c r="O3476" s="8">
        <v>22.680099489425388</v>
      </c>
      <c r="P3476" s="9">
        <v>22.680099489425388</v>
      </c>
      <c r="Q3476" s="9">
        <v>22.680099489425388</v>
      </c>
      <c r="R3476" s="9">
        <v>24.975706415973956</v>
      </c>
      <c r="S3476" s="9">
        <v>27.507757599557678</v>
      </c>
      <c r="T3476" s="9">
        <v>29.643595035649298</v>
      </c>
      <c r="U3476" s="9">
        <v>36.324172615829276</v>
      </c>
      <c r="V3476" s="9">
        <v>36.324172615829276</v>
      </c>
      <c r="W3476" s="9">
        <v>36.324172615829276</v>
      </c>
      <c r="X3476" s="9">
        <v>43.832136422596946</v>
      </c>
      <c r="Y3476" s="9">
        <v>43.832136422596946</v>
      </c>
      <c r="Z3476" s="9">
        <v>51.429400054836968</v>
      </c>
      <c r="AA3476" s="9">
        <v>51.429400054836968</v>
      </c>
      <c r="AB3476" s="9">
        <v>59.124893495096586</v>
      </c>
      <c r="AC3476" s="9">
        <v>59.124893495096586</v>
      </c>
      <c r="AD3476" s="9">
        <v>68.673407568137122</v>
      </c>
      <c r="AE3476" s="9">
        <v>75.899806853903883</v>
      </c>
      <c r="AF3476" s="9">
        <v>83.243930726651769</v>
      </c>
      <c r="AG3476" s="9">
        <v>83.243930726651769</v>
      </c>
      <c r="AH3476" s="9">
        <v>91.483430312965311</v>
      </c>
      <c r="AI3476" s="9">
        <v>99.63294480172658</v>
      </c>
      <c r="AJ3476" s="9">
        <v>3.0428788910505911</v>
      </c>
    </row>
    <row r="3477" spans="1:36" x14ac:dyDescent="0.25">
      <c r="A3477" t="s">
        <v>5411</v>
      </c>
      <c r="B3477" t="s">
        <v>16</v>
      </c>
      <c r="C3477" t="s">
        <v>17</v>
      </c>
      <c r="D3477">
        <v>64740000</v>
      </c>
      <c r="E3477">
        <v>64744999</v>
      </c>
      <c r="F3477" t="s">
        <v>3143</v>
      </c>
      <c r="G3477" t="str">
        <f t="shared" si="108"/>
        <v>PII II</v>
      </c>
      <c r="H3477" t="s">
        <v>2995</v>
      </c>
      <c r="I3477" t="s">
        <v>20</v>
      </c>
      <c r="J3477" t="s">
        <v>64</v>
      </c>
      <c r="K3477" s="6">
        <v>0.03</v>
      </c>
      <c r="L3477" s="7">
        <f t="shared" si="109"/>
        <v>2E-3</v>
      </c>
      <c r="M3477" s="7">
        <v>3.0000000000000001E-3</v>
      </c>
      <c r="N3477">
        <v>14</v>
      </c>
      <c r="O3477" s="8">
        <v>22.680099489425388</v>
      </c>
      <c r="P3477" s="9">
        <v>22.680099489425388</v>
      </c>
      <c r="Q3477" s="9">
        <v>22.680099489425388</v>
      </c>
      <c r="R3477" s="9">
        <v>24.975706415973956</v>
      </c>
      <c r="S3477" s="9">
        <v>27.507757599557678</v>
      </c>
      <c r="T3477" s="9">
        <v>29.643595035649298</v>
      </c>
      <c r="U3477" s="9">
        <v>36.324172615829276</v>
      </c>
      <c r="V3477" s="9">
        <v>36.324172615829276</v>
      </c>
      <c r="W3477" s="9">
        <v>36.324172615829276</v>
      </c>
      <c r="X3477" s="9">
        <v>43.832136422596946</v>
      </c>
      <c r="Y3477" s="9">
        <v>43.832136422596946</v>
      </c>
      <c r="Z3477" s="9">
        <v>51.429400054836968</v>
      </c>
      <c r="AA3477" s="9">
        <v>51.429400054836968</v>
      </c>
      <c r="AB3477" s="9">
        <v>59.124893495096586</v>
      </c>
      <c r="AC3477" s="9">
        <v>59.124893495096586</v>
      </c>
      <c r="AD3477" s="9">
        <v>68.673407568137122</v>
      </c>
      <c r="AE3477" s="9">
        <v>75.899806853903883</v>
      </c>
      <c r="AF3477" s="9">
        <v>83.243930726651769</v>
      </c>
      <c r="AG3477" s="9">
        <v>83.243930726651769</v>
      </c>
      <c r="AH3477" s="9">
        <v>91.483430312965311</v>
      </c>
      <c r="AI3477" s="9">
        <v>99.63294480172658</v>
      </c>
      <c r="AJ3477" s="9">
        <v>3.0428788910505911</v>
      </c>
    </row>
    <row r="3478" spans="1:36" x14ac:dyDescent="0.25">
      <c r="A3478" t="s">
        <v>5411</v>
      </c>
      <c r="B3478" t="s">
        <v>16</v>
      </c>
      <c r="C3478" t="s">
        <v>17</v>
      </c>
      <c r="D3478">
        <v>64745000</v>
      </c>
      <c r="E3478">
        <v>64747999</v>
      </c>
      <c r="F3478" t="s">
        <v>3144</v>
      </c>
      <c r="G3478" t="str">
        <f t="shared" si="108"/>
        <v>PII II</v>
      </c>
      <c r="H3478" t="s">
        <v>2995</v>
      </c>
      <c r="I3478" t="s">
        <v>20</v>
      </c>
      <c r="J3478" t="s">
        <v>64</v>
      </c>
      <c r="K3478" s="6">
        <v>0.03</v>
      </c>
      <c r="L3478" s="7">
        <f t="shared" si="109"/>
        <v>2E-3</v>
      </c>
      <c r="M3478" s="7">
        <v>3.0000000000000001E-3</v>
      </c>
      <c r="N3478">
        <v>14</v>
      </c>
      <c r="O3478" s="8">
        <v>22.680099489425388</v>
      </c>
      <c r="P3478" s="9">
        <v>22.680099489425388</v>
      </c>
      <c r="Q3478" s="9">
        <v>22.680099489425388</v>
      </c>
      <c r="R3478" s="9">
        <v>24.975706415973956</v>
      </c>
      <c r="S3478" s="9">
        <v>27.507757599557678</v>
      </c>
      <c r="T3478" s="9">
        <v>29.643595035649298</v>
      </c>
      <c r="U3478" s="9">
        <v>36.324172615829276</v>
      </c>
      <c r="V3478" s="9">
        <v>36.324172615829276</v>
      </c>
      <c r="W3478" s="9">
        <v>36.324172615829276</v>
      </c>
      <c r="X3478" s="9">
        <v>43.832136422596946</v>
      </c>
      <c r="Y3478" s="9">
        <v>43.832136422596946</v>
      </c>
      <c r="Z3478" s="9">
        <v>51.429400054836968</v>
      </c>
      <c r="AA3478" s="9">
        <v>51.429400054836968</v>
      </c>
      <c r="AB3478" s="9">
        <v>59.124893495096586</v>
      </c>
      <c r="AC3478" s="9">
        <v>59.124893495096586</v>
      </c>
      <c r="AD3478" s="9">
        <v>68.673407568137122</v>
      </c>
      <c r="AE3478" s="9">
        <v>75.899806853903883</v>
      </c>
      <c r="AF3478" s="9">
        <v>83.243930726651769</v>
      </c>
      <c r="AG3478" s="9">
        <v>83.243930726651769</v>
      </c>
      <c r="AH3478" s="9">
        <v>91.483430312965311</v>
      </c>
      <c r="AI3478" s="9">
        <v>99.63294480172658</v>
      </c>
      <c r="AJ3478" s="9">
        <v>3.0428788910505911</v>
      </c>
    </row>
    <row r="3479" spans="1:36" x14ac:dyDescent="0.25">
      <c r="A3479" t="s">
        <v>5411</v>
      </c>
      <c r="B3479" t="s">
        <v>16</v>
      </c>
      <c r="C3479" t="s">
        <v>17</v>
      </c>
      <c r="D3479">
        <v>64748000</v>
      </c>
      <c r="E3479">
        <v>64749999</v>
      </c>
      <c r="F3479" t="s">
        <v>3145</v>
      </c>
      <c r="G3479" t="str">
        <f t="shared" si="108"/>
        <v>PII II</v>
      </c>
      <c r="H3479" t="s">
        <v>2995</v>
      </c>
      <c r="I3479" t="s">
        <v>20</v>
      </c>
      <c r="J3479" t="s">
        <v>64</v>
      </c>
      <c r="K3479" s="6">
        <v>0.03</v>
      </c>
      <c r="L3479" s="7">
        <f t="shared" si="109"/>
        <v>2E-3</v>
      </c>
      <c r="M3479" s="7">
        <v>3.0000000000000001E-3</v>
      </c>
      <c r="N3479">
        <v>14</v>
      </c>
      <c r="O3479" s="8">
        <v>22.680099489425388</v>
      </c>
      <c r="P3479" s="9">
        <v>22.680099489425388</v>
      </c>
      <c r="Q3479" s="9">
        <v>22.680099489425388</v>
      </c>
      <c r="R3479" s="9">
        <v>24.975706415973956</v>
      </c>
      <c r="S3479" s="9">
        <v>27.507757599557678</v>
      </c>
      <c r="T3479" s="9">
        <v>29.643595035649298</v>
      </c>
      <c r="U3479" s="9">
        <v>36.324172615829276</v>
      </c>
      <c r="V3479" s="9">
        <v>36.324172615829276</v>
      </c>
      <c r="W3479" s="9">
        <v>36.324172615829276</v>
      </c>
      <c r="X3479" s="9">
        <v>43.832136422596946</v>
      </c>
      <c r="Y3479" s="9">
        <v>43.832136422596946</v>
      </c>
      <c r="Z3479" s="9">
        <v>51.429400054836968</v>
      </c>
      <c r="AA3479" s="9">
        <v>51.429400054836968</v>
      </c>
      <c r="AB3479" s="9">
        <v>59.124893495096586</v>
      </c>
      <c r="AC3479" s="9">
        <v>59.124893495096586</v>
      </c>
      <c r="AD3479" s="9">
        <v>68.673407568137122</v>
      </c>
      <c r="AE3479" s="9">
        <v>75.899806853903883</v>
      </c>
      <c r="AF3479" s="9">
        <v>83.243930726651769</v>
      </c>
      <c r="AG3479" s="9">
        <v>83.243930726651769</v>
      </c>
      <c r="AH3479" s="9">
        <v>91.483430312965311</v>
      </c>
      <c r="AI3479" s="9">
        <v>99.63294480172658</v>
      </c>
      <c r="AJ3479" s="9">
        <v>3.0428788910505911</v>
      </c>
    </row>
    <row r="3480" spans="1:36" x14ac:dyDescent="0.25">
      <c r="A3480" t="s">
        <v>5411</v>
      </c>
      <c r="B3480" t="s">
        <v>16</v>
      </c>
      <c r="C3480" t="s">
        <v>17</v>
      </c>
      <c r="D3480">
        <v>64750000</v>
      </c>
      <c r="E3480">
        <v>64752999</v>
      </c>
      <c r="F3480" t="s">
        <v>3146</v>
      </c>
      <c r="G3480" t="str">
        <f t="shared" si="108"/>
        <v>PII II</v>
      </c>
      <c r="H3480" t="s">
        <v>2995</v>
      </c>
      <c r="I3480" t="s">
        <v>20</v>
      </c>
      <c r="J3480" t="s">
        <v>64</v>
      </c>
      <c r="K3480" s="6">
        <v>0.03</v>
      </c>
      <c r="L3480" s="7">
        <f t="shared" si="109"/>
        <v>2E-3</v>
      </c>
      <c r="M3480" s="7">
        <v>3.0000000000000001E-3</v>
      </c>
      <c r="N3480">
        <v>14</v>
      </c>
      <c r="O3480" s="8">
        <v>22.680099489425388</v>
      </c>
      <c r="P3480" s="9">
        <v>22.680099489425388</v>
      </c>
      <c r="Q3480" s="9">
        <v>22.680099489425388</v>
      </c>
      <c r="R3480" s="9">
        <v>24.975706415973956</v>
      </c>
      <c r="S3480" s="9">
        <v>27.507757599557678</v>
      </c>
      <c r="T3480" s="9">
        <v>29.643595035649298</v>
      </c>
      <c r="U3480" s="9">
        <v>36.324172615829276</v>
      </c>
      <c r="V3480" s="9">
        <v>36.324172615829276</v>
      </c>
      <c r="W3480" s="9">
        <v>36.324172615829276</v>
      </c>
      <c r="X3480" s="9">
        <v>43.832136422596946</v>
      </c>
      <c r="Y3480" s="9">
        <v>43.832136422596946</v>
      </c>
      <c r="Z3480" s="9">
        <v>51.429400054836968</v>
      </c>
      <c r="AA3480" s="9">
        <v>51.429400054836968</v>
      </c>
      <c r="AB3480" s="9">
        <v>59.124893495096586</v>
      </c>
      <c r="AC3480" s="9">
        <v>59.124893495096586</v>
      </c>
      <c r="AD3480" s="9">
        <v>68.673407568137122</v>
      </c>
      <c r="AE3480" s="9">
        <v>75.899806853903883</v>
      </c>
      <c r="AF3480" s="9">
        <v>83.243930726651769</v>
      </c>
      <c r="AG3480" s="9">
        <v>83.243930726651769</v>
      </c>
      <c r="AH3480" s="9">
        <v>91.483430312965311</v>
      </c>
      <c r="AI3480" s="9">
        <v>99.63294480172658</v>
      </c>
      <c r="AJ3480" s="9">
        <v>3.0428788910505911</v>
      </c>
    </row>
    <row r="3481" spans="1:36" x14ac:dyDescent="0.25">
      <c r="A3481" t="s">
        <v>5411</v>
      </c>
      <c r="B3481" t="s">
        <v>16</v>
      </c>
      <c r="C3481" t="s">
        <v>17</v>
      </c>
      <c r="D3481">
        <v>64753000</v>
      </c>
      <c r="E3481">
        <v>64754999</v>
      </c>
      <c r="F3481" t="s">
        <v>3147</v>
      </c>
      <c r="G3481" t="str">
        <f t="shared" si="108"/>
        <v>PII II</v>
      </c>
      <c r="H3481" t="s">
        <v>2995</v>
      </c>
      <c r="I3481" t="s">
        <v>20</v>
      </c>
      <c r="J3481" t="s">
        <v>64</v>
      </c>
      <c r="K3481" s="6">
        <v>0.03</v>
      </c>
      <c r="L3481" s="7">
        <f t="shared" si="109"/>
        <v>2E-3</v>
      </c>
      <c r="M3481" s="7">
        <v>3.0000000000000001E-3</v>
      </c>
      <c r="N3481">
        <v>14</v>
      </c>
      <c r="O3481" s="8">
        <v>22.680099489425388</v>
      </c>
      <c r="P3481" s="9">
        <v>22.680099489425388</v>
      </c>
      <c r="Q3481" s="9">
        <v>22.680099489425388</v>
      </c>
      <c r="R3481" s="9">
        <v>24.975706415973956</v>
      </c>
      <c r="S3481" s="9">
        <v>27.507757599557678</v>
      </c>
      <c r="T3481" s="9">
        <v>29.643595035649298</v>
      </c>
      <c r="U3481" s="9">
        <v>36.324172615829276</v>
      </c>
      <c r="V3481" s="9">
        <v>36.324172615829276</v>
      </c>
      <c r="W3481" s="9">
        <v>36.324172615829276</v>
      </c>
      <c r="X3481" s="9">
        <v>43.832136422596946</v>
      </c>
      <c r="Y3481" s="9">
        <v>43.832136422596946</v>
      </c>
      <c r="Z3481" s="9">
        <v>51.429400054836968</v>
      </c>
      <c r="AA3481" s="9">
        <v>51.429400054836968</v>
      </c>
      <c r="AB3481" s="9">
        <v>59.124893495096586</v>
      </c>
      <c r="AC3481" s="9">
        <v>59.124893495096586</v>
      </c>
      <c r="AD3481" s="9">
        <v>68.673407568137122</v>
      </c>
      <c r="AE3481" s="9">
        <v>75.899806853903883</v>
      </c>
      <c r="AF3481" s="9">
        <v>83.243930726651769</v>
      </c>
      <c r="AG3481" s="9">
        <v>83.243930726651769</v>
      </c>
      <c r="AH3481" s="9">
        <v>91.483430312965311</v>
      </c>
      <c r="AI3481" s="9">
        <v>99.63294480172658</v>
      </c>
      <c r="AJ3481" s="9">
        <v>3.0428788910505911</v>
      </c>
    </row>
    <row r="3482" spans="1:36" x14ac:dyDescent="0.25">
      <c r="A3482" t="s">
        <v>5411</v>
      </c>
      <c r="B3482" t="s">
        <v>16</v>
      </c>
      <c r="C3482" t="s">
        <v>17</v>
      </c>
      <c r="D3482">
        <v>64755000</v>
      </c>
      <c r="E3482">
        <v>64757999</v>
      </c>
      <c r="F3482" t="s">
        <v>3148</v>
      </c>
      <c r="G3482" t="str">
        <f t="shared" si="108"/>
        <v>PII II</v>
      </c>
      <c r="H3482" t="s">
        <v>2995</v>
      </c>
      <c r="I3482" t="s">
        <v>20</v>
      </c>
      <c r="J3482" t="s">
        <v>64</v>
      </c>
      <c r="K3482" s="6">
        <v>0.03</v>
      </c>
      <c r="L3482" s="7">
        <f t="shared" si="109"/>
        <v>2E-3</v>
      </c>
      <c r="M3482" s="7">
        <v>3.0000000000000001E-3</v>
      </c>
      <c r="N3482">
        <v>14</v>
      </c>
      <c r="O3482" s="8">
        <v>22.680099489425388</v>
      </c>
      <c r="P3482" s="9">
        <v>22.680099489425388</v>
      </c>
      <c r="Q3482" s="9">
        <v>22.680099489425388</v>
      </c>
      <c r="R3482" s="9">
        <v>24.975706415973956</v>
      </c>
      <c r="S3482" s="9">
        <v>27.507757599557678</v>
      </c>
      <c r="T3482" s="9">
        <v>29.643595035649298</v>
      </c>
      <c r="U3482" s="9">
        <v>36.324172615829276</v>
      </c>
      <c r="V3482" s="9">
        <v>36.324172615829276</v>
      </c>
      <c r="W3482" s="9">
        <v>36.324172615829276</v>
      </c>
      <c r="X3482" s="9">
        <v>43.832136422596946</v>
      </c>
      <c r="Y3482" s="9">
        <v>43.832136422596946</v>
      </c>
      <c r="Z3482" s="9">
        <v>51.429400054836968</v>
      </c>
      <c r="AA3482" s="9">
        <v>51.429400054836968</v>
      </c>
      <c r="AB3482" s="9">
        <v>59.124893495096586</v>
      </c>
      <c r="AC3482" s="9">
        <v>59.124893495096586</v>
      </c>
      <c r="AD3482" s="9">
        <v>68.673407568137122</v>
      </c>
      <c r="AE3482" s="9">
        <v>75.899806853903883</v>
      </c>
      <c r="AF3482" s="9">
        <v>83.243930726651769</v>
      </c>
      <c r="AG3482" s="9">
        <v>83.243930726651769</v>
      </c>
      <c r="AH3482" s="9">
        <v>91.483430312965311</v>
      </c>
      <c r="AI3482" s="9">
        <v>99.63294480172658</v>
      </c>
      <c r="AJ3482" s="9">
        <v>3.0428788910505911</v>
      </c>
    </row>
    <row r="3483" spans="1:36" x14ac:dyDescent="0.25">
      <c r="A3483" t="s">
        <v>5411</v>
      </c>
      <c r="B3483" t="s">
        <v>16</v>
      </c>
      <c r="C3483" t="s">
        <v>17</v>
      </c>
      <c r="D3483">
        <v>64758000</v>
      </c>
      <c r="E3483">
        <v>64759999</v>
      </c>
      <c r="F3483" t="s">
        <v>3149</v>
      </c>
      <c r="G3483" t="str">
        <f t="shared" si="108"/>
        <v>PII II</v>
      </c>
      <c r="H3483" t="s">
        <v>2995</v>
      </c>
      <c r="I3483" t="s">
        <v>20</v>
      </c>
      <c r="J3483" t="s">
        <v>64</v>
      </c>
      <c r="K3483" s="6">
        <v>0.03</v>
      </c>
      <c r="L3483" s="7">
        <f t="shared" si="109"/>
        <v>2E-3</v>
      </c>
      <c r="M3483" s="7">
        <v>3.0000000000000001E-3</v>
      </c>
      <c r="N3483">
        <v>12</v>
      </c>
      <c r="O3483" s="8">
        <v>22.680099489425388</v>
      </c>
      <c r="P3483" s="9">
        <v>22.680099489425388</v>
      </c>
      <c r="Q3483" s="9">
        <v>22.680099489425388</v>
      </c>
      <c r="R3483" s="9">
        <v>24.975706415973956</v>
      </c>
      <c r="S3483" s="9">
        <v>27.507757599557678</v>
      </c>
      <c r="T3483" s="9">
        <v>29.643595035649298</v>
      </c>
      <c r="U3483" s="9">
        <v>36.324172615829276</v>
      </c>
      <c r="V3483" s="9">
        <v>36.324172615829276</v>
      </c>
      <c r="W3483" s="9">
        <v>36.324172615829276</v>
      </c>
      <c r="X3483" s="9">
        <v>43.832136422596946</v>
      </c>
      <c r="Y3483" s="9">
        <v>43.832136422596946</v>
      </c>
      <c r="Z3483" s="9">
        <v>51.429400054836968</v>
      </c>
      <c r="AA3483" s="9">
        <v>51.429400054836968</v>
      </c>
      <c r="AB3483" s="9">
        <v>59.124893495096586</v>
      </c>
      <c r="AC3483" s="9">
        <v>59.124893495096586</v>
      </c>
      <c r="AD3483" s="9">
        <v>68.673407568137122</v>
      </c>
      <c r="AE3483" s="9">
        <v>75.899806853903883</v>
      </c>
      <c r="AF3483" s="9">
        <v>83.243930726651769</v>
      </c>
      <c r="AG3483" s="9">
        <v>83.243930726651769</v>
      </c>
      <c r="AH3483" s="9">
        <v>91.483430312965311</v>
      </c>
      <c r="AI3483" s="9">
        <v>99.63294480172658</v>
      </c>
      <c r="AJ3483" s="9">
        <v>3.0428788910505911</v>
      </c>
    </row>
    <row r="3484" spans="1:36" x14ac:dyDescent="0.25">
      <c r="A3484" t="s">
        <v>5411</v>
      </c>
      <c r="B3484" t="s">
        <v>16</v>
      </c>
      <c r="C3484" t="s">
        <v>17</v>
      </c>
      <c r="D3484">
        <v>64760000</v>
      </c>
      <c r="E3484">
        <v>64762999</v>
      </c>
      <c r="F3484" t="s">
        <v>3150</v>
      </c>
      <c r="G3484" t="str">
        <f t="shared" si="108"/>
        <v>PII II</v>
      </c>
      <c r="H3484" t="s">
        <v>2995</v>
      </c>
      <c r="I3484" t="s">
        <v>20</v>
      </c>
      <c r="J3484" t="s">
        <v>64</v>
      </c>
      <c r="K3484" s="6">
        <v>0.03</v>
      </c>
      <c r="L3484" s="7">
        <f t="shared" si="109"/>
        <v>2E-3</v>
      </c>
      <c r="M3484" s="7">
        <v>3.0000000000000001E-3</v>
      </c>
      <c r="N3484">
        <v>15</v>
      </c>
      <c r="O3484" s="8">
        <v>22.680099489425388</v>
      </c>
      <c r="P3484" s="9">
        <v>22.680099489425388</v>
      </c>
      <c r="Q3484" s="9">
        <v>22.680099489425388</v>
      </c>
      <c r="R3484" s="9">
        <v>24.975706415973956</v>
      </c>
      <c r="S3484" s="9">
        <v>27.507757599557678</v>
      </c>
      <c r="T3484" s="9">
        <v>29.643595035649298</v>
      </c>
      <c r="U3484" s="9">
        <v>36.324172615829276</v>
      </c>
      <c r="V3484" s="9">
        <v>36.324172615829276</v>
      </c>
      <c r="W3484" s="9">
        <v>36.324172615829276</v>
      </c>
      <c r="X3484" s="9">
        <v>43.832136422596946</v>
      </c>
      <c r="Y3484" s="9">
        <v>43.832136422596946</v>
      </c>
      <c r="Z3484" s="9">
        <v>51.429400054836968</v>
      </c>
      <c r="AA3484" s="9">
        <v>51.429400054836968</v>
      </c>
      <c r="AB3484" s="9">
        <v>59.124893495096586</v>
      </c>
      <c r="AC3484" s="9">
        <v>59.124893495096586</v>
      </c>
      <c r="AD3484" s="9">
        <v>68.673407568137122</v>
      </c>
      <c r="AE3484" s="9">
        <v>75.899806853903883</v>
      </c>
      <c r="AF3484" s="9">
        <v>83.243930726651769</v>
      </c>
      <c r="AG3484" s="9">
        <v>83.243930726651769</v>
      </c>
      <c r="AH3484" s="9">
        <v>91.483430312965311</v>
      </c>
      <c r="AI3484" s="9">
        <v>99.63294480172658</v>
      </c>
      <c r="AJ3484" s="9">
        <v>3.0428788910505911</v>
      </c>
    </row>
    <row r="3485" spans="1:36" x14ac:dyDescent="0.25">
      <c r="A3485" t="s">
        <v>5411</v>
      </c>
      <c r="B3485" t="s">
        <v>16</v>
      </c>
      <c r="C3485" t="s">
        <v>17</v>
      </c>
      <c r="D3485">
        <v>64763000</v>
      </c>
      <c r="E3485">
        <v>64763999</v>
      </c>
      <c r="F3485" t="s">
        <v>3151</v>
      </c>
      <c r="G3485" t="str">
        <f t="shared" si="108"/>
        <v>PII II</v>
      </c>
      <c r="H3485" t="s">
        <v>2995</v>
      </c>
      <c r="I3485" t="s">
        <v>20</v>
      </c>
      <c r="J3485" t="s">
        <v>64</v>
      </c>
      <c r="K3485" s="6">
        <v>0.03</v>
      </c>
      <c r="L3485" s="7">
        <f t="shared" si="109"/>
        <v>2E-3</v>
      </c>
      <c r="M3485" s="7">
        <v>3.0000000000000001E-3</v>
      </c>
      <c r="N3485">
        <v>12</v>
      </c>
      <c r="O3485" s="8">
        <v>22.680099489425388</v>
      </c>
      <c r="P3485" s="9">
        <v>22.680099489425388</v>
      </c>
      <c r="Q3485" s="9">
        <v>22.680099489425388</v>
      </c>
      <c r="R3485" s="9">
        <v>24.975706415973956</v>
      </c>
      <c r="S3485" s="9">
        <v>27.507757599557678</v>
      </c>
      <c r="T3485" s="9">
        <v>29.643595035649298</v>
      </c>
      <c r="U3485" s="9">
        <v>36.324172615829276</v>
      </c>
      <c r="V3485" s="9">
        <v>36.324172615829276</v>
      </c>
      <c r="W3485" s="9">
        <v>36.324172615829276</v>
      </c>
      <c r="X3485" s="9">
        <v>43.832136422596946</v>
      </c>
      <c r="Y3485" s="9">
        <v>43.832136422596946</v>
      </c>
      <c r="Z3485" s="9">
        <v>51.429400054836968</v>
      </c>
      <c r="AA3485" s="9">
        <v>51.429400054836968</v>
      </c>
      <c r="AB3485" s="9">
        <v>59.124893495096586</v>
      </c>
      <c r="AC3485" s="9">
        <v>59.124893495096586</v>
      </c>
      <c r="AD3485" s="9">
        <v>68.673407568137122</v>
      </c>
      <c r="AE3485" s="9">
        <v>75.899806853903883</v>
      </c>
      <c r="AF3485" s="9">
        <v>83.243930726651769</v>
      </c>
      <c r="AG3485" s="9">
        <v>83.243930726651769</v>
      </c>
      <c r="AH3485" s="9">
        <v>91.483430312965311</v>
      </c>
      <c r="AI3485" s="9">
        <v>99.63294480172658</v>
      </c>
      <c r="AJ3485" s="9">
        <v>3.0428788910505911</v>
      </c>
    </row>
    <row r="3486" spans="1:36" x14ac:dyDescent="0.25">
      <c r="A3486" t="s">
        <v>5411</v>
      </c>
      <c r="B3486" t="s">
        <v>16</v>
      </c>
      <c r="C3486" t="s">
        <v>17</v>
      </c>
      <c r="D3486">
        <v>64764000</v>
      </c>
      <c r="E3486">
        <v>64764999</v>
      </c>
      <c r="F3486" t="s">
        <v>3152</v>
      </c>
      <c r="G3486" t="str">
        <f t="shared" si="108"/>
        <v>PII II</v>
      </c>
      <c r="H3486" t="s">
        <v>2995</v>
      </c>
      <c r="I3486" t="s">
        <v>20</v>
      </c>
      <c r="J3486" t="s">
        <v>64</v>
      </c>
      <c r="K3486" s="6">
        <v>0.03</v>
      </c>
      <c r="L3486" s="7">
        <f t="shared" si="109"/>
        <v>2E-3</v>
      </c>
      <c r="M3486" s="7">
        <v>3.0000000000000001E-3</v>
      </c>
      <c r="N3486">
        <v>15</v>
      </c>
      <c r="O3486" s="8">
        <v>22.680099489425388</v>
      </c>
      <c r="P3486" s="9">
        <v>22.680099489425388</v>
      </c>
      <c r="Q3486" s="9">
        <v>22.680099489425388</v>
      </c>
      <c r="R3486" s="9">
        <v>24.975706415973956</v>
      </c>
      <c r="S3486" s="9">
        <v>27.507757599557678</v>
      </c>
      <c r="T3486" s="9">
        <v>29.643595035649298</v>
      </c>
      <c r="U3486" s="9">
        <v>36.324172615829276</v>
      </c>
      <c r="V3486" s="9">
        <v>36.324172615829276</v>
      </c>
      <c r="W3486" s="9">
        <v>36.324172615829276</v>
      </c>
      <c r="X3486" s="9">
        <v>43.832136422596946</v>
      </c>
      <c r="Y3486" s="9">
        <v>43.832136422596946</v>
      </c>
      <c r="Z3486" s="9">
        <v>51.429400054836968</v>
      </c>
      <c r="AA3486" s="9">
        <v>51.429400054836968</v>
      </c>
      <c r="AB3486" s="9">
        <v>59.124893495096586</v>
      </c>
      <c r="AC3486" s="9">
        <v>59.124893495096586</v>
      </c>
      <c r="AD3486" s="9">
        <v>68.673407568137122</v>
      </c>
      <c r="AE3486" s="9">
        <v>75.899806853903883</v>
      </c>
      <c r="AF3486" s="9">
        <v>83.243930726651769</v>
      </c>
      <c r="AG3486" s="9">
        <v>83.243930726651769</v>
      </c>
      <c r="AH3486" s="9">
        <v>91.483430312965311</v>
      </c>
      <c r="AI3486" s="9">
        <v>99.63294480172658</v>
      </c>
      <c r="AJ3486" s="9">
        <v>3.0428788910505911</v>
      </c>
    </row>
    <row r="3487" spans="1:36" x14ac:dyDescent="0.25">
      <c r="A3487" t="s">
        <v>5411</v>
      </c>
      <c r="B3487" t="s">
        <v>16</v>
      </c>
      <c r="C3487" t="s">
        <v>17</v>
      </c>
      <c r="D3487">
        <v>64765000</v>
      </c>
      <c r="E3487">
        <v>64766999</v>
      </c>
      <c r="F3487" t="s">
        <v>3153</v>
      </c>
      <c r="G3487" t="str">
        <f t="shared" si="108"/>
        <v>PII II</v>
      </c>
      <c r="H3487" t="s">
        <v>2995</v>
      </c>
      <c r="I3487" t="s">
        <v>20</v>
      </c>
      <c r="J3487" t="s">
        <v>64</v>
      </c>
      <c r="K3487" s="6">
        <v>0.03</v>
      </c>
      <c r="L3487" s="7">
        <f t="shared" si="109"/>
        <v>2E-3</v>
      </c>
      <c r="M3487" s="7">
        <v>3.0000000000000001E-3</v>
      </c>
      <c r="N3487">
        <v>12</v>
      </c>
      <c r="O3487" s="8">
        <v>22.680099489425388</v>
      </c>
      <c r="P3487" s="9">
        <v>22.680099489425388</v>
      </c>
      <c r="Q3487" s="9">
        <v>22.680099489425388</v>
      </c>
      <c r="R3487" s="9">
        <v>24.975706415973956</v>
      </c>
      <c r="S3487" s="9">
        <v>27.507757599557678</v>
      </c>
      <c r="T3487" s="9">
        <v>29.643595035649298</v>
      </c>
      <c r="U3487" s="9">
        <v>36.324172615829276</v>
      </c>
      <c r="V3487" s="9">
        <v>36.324172615829276</v>
      </c>
      <c r="W3487" s="9">
        <v>36.324172615829276</v>
      </c>
      <c r="X3487" s="9">
        <v>43.832136422596946</v>
      </c>
      <c r="Y3487" s="9">
        <v>43.832136422596946</v>
      </c>
      <c r="Z3487" s="9">
        <v>51.429400054836968</v>
      </c>
      <c r="AA3487" s="9">
        <v>51.429400054836968</v>
      </c>
      <c r="AB3487" s="9">
        <v>59.124893495096586</v>
      </c>
      <c r="AC3487" s="9">
        <v>59.124893495096586</v>
      </c>
      <c r="AD3487" s="9">
        <v>68.673407568137122</v>
      </c>
      <c r="AE3487" s="9">
        <v>75.899806853903883</v>
      </c>
      <c r="AF3487" s="9">
        <v>83.243930726651769</v>
      </c>
      <c r="AG3487" s="9">
        <v>83.243930726651769</v>
      </c>
      <c r="AH3487" s="9">
        <v>91.483430312965311</v>
      </c>
      <c r="AI3487" s="9">
        <v>99.63294480172658</v>
      </c>
      <c r="AJ3487" s="9">
        <v>3.0428788910505911</v>
      </c>
    </row>
    <row r="3488" spans="1:36" x14ac:dyDescent="0.25">
      <c r="A3488" t="s">
        <v>5411</v>
      </c>
      <c r="B3488" t="s">
        <v>16</v>
      </c>
      <c r="C3488" t="s">
        <v>17</v>
      </c>
      <c r="D3488">
        <v>64767000</v>
      </c>
      <c r="E3488">
        <v>64767999</v>
      </c>
      <c r="F3488" t="s">
        <v>3154</v>
      </c>
      <c r="G3488" t="str">
        <f t="shared" si="108"/>
        <v>PII II</v>
      </c>
      <c r="H3488" t="s">
        <v>2995</v>
      </c>
      <c r="I3488" t="s">
        <v>20</v>
      </c>
      <c r="J3488" t="s">
        <v>64</v>
      </c>
      <c r="K3488" s="6">
        <v>0.03</v>
      </c>
      <c r="L3488" s="7">
        <f t="shared" si="109"/>
        <v>2E-3</v>
      </c>
      <c r="M3488" s="7">
        <v>3.0000000000000001E-3</v>
      </c>
      <c r="N3488">
        <v>12</v>
      </c>
      <c r="O3488" s="8">
        <v>22.680099489425388</v>
      </c>
      <c r="P3488" s="9">
        <v>22.680099489425388</v>
      </c>
      <c r="Q3488" s="9">
        <v>22.680099489425388</v>
      </c>
      <c r="R3488" s="9">
        <v>24.975706415973956</v>
      </c>
      <c r="S3488" s="9">
        <v>27.507757599557678</v>
      </c>
      <c r="T3488" s="9">
        <v>29.643595035649298</v>
      </c>
      <c r="U3488" s="9">
        <v>36.324172615829276</v>
      </c>
      <c r="V3488" s="9">
        <v>36.324172615829276</v>
      </c>
      <c r="W3488" s="9">
        <v>36.324172615829276</v>
      </c>
      <c r="X3488" s="9">
        <v>43.832136422596946</v>
      </c>
      <c r="Y3488" s="9">
        <v>43.832136422596946</v>
      </c>
      <c r="Z3488" s="9">
        <v>51.429400054836968</v>
      </c>
      <c r="AA3488" s="9">
        <v>51.429400054836968</v>
      </c>
      <c r="AB3488" s="9">
        <v>59.124893495096586</v>
      </c>
      <c r="AC3488" s="9">
        <v>59.124893495096586</v>
      </c>
      <c r="AD3488" s="9">
        <v>68.673407568137122</v>
      </c>
      <c r="AE3488" s="9">
        <v>75.899806853903883</v>
      </c>
      <c r="AF3488" s="9">
        <v>83.243930726651769</v>
      </c>
      <c r="AG3488" s="9">
        <v>83.243930726651769</v>
      </c>
      <c r="AH3488" s="9">
        <v>91.483430312965311</v>
      </c>
      <c r="AI3488" s="9">
        <v>99.63294480172658</v>
      </c>
      <c r="AJ3488" s="9">
        <v>3.0428788910505911</v>
      </c>
    </row>
    <row r="3489" spans="1:36" x14ac:dyDescent="0.25">
      <c r="A3489" t="s">
        <v>5411</v>
      </c>
      <c r="B3489" t="s">
        <v>16</v>
      </c>
      <c r="C3489" t="s">
        <v>17</v>
      </c>
      <c r="D3489">
        <v>64768000</v>
      </c>
      <c r="E3489">
        <v>64769999</v>
      </c>
      <c r="F3489" t="s">
        <v>3155</v>
      </c>
      <c r="G3489" t="str">
        <f t="shared" si="108"/>
        <v>PII II</v>
      </c>
      <c r="H3489" t="s">
        <v>2995</v>
      </c>
      <c r="I3489" t="s">
        <v>20</v>
      </c>
      <c r="J3489" t="s">
        <v>64</v>
      </c>
      <c r="K3489" s="6">
        <v>0.03</v>
      </c>
      <c r="L3489" s="7">
        <f t="shared" si="109"/>
        <v>2E-3</v>
      </c>
      <c r="M3489" s="7">
        <v>3.0000000000000001E-3</v>
      </c>
      <c r="N3489">
        <v>12</v>
      </c>
      <c r="O3489" s="8">
        <v>22.680099489425388</v>
      </c>
      <c r="P3489" s="9">
        <v>22.680099489425388</v>
      </c>
      <c r="Q3489" s="9">
        <v>22.680099489425388</v>
      </c>
      <c r="R3489" s="9">
        <v>24.975706415973956</v>
      </c>
      <c r="S3489" s="9">
        <v>27.507757599557678</v>
      </c>
      <c r="T3489" s="9">
        <v>29.643595035649298</v>
      </c>
      <c r="U3489" s="9">
        <v>36.324172615829276</v>
      </c>
      <c r="V3489" s="9">
        <v>36.324172615829276</v>
      </c>
      <c r="W3489" s="9">
        <v>36.324172615829276</v>
      </c>
      <c r="X3489" s="9">
        <v>43.832136422596946</v>
      </c>
      <c r="Y3489" s="9">
        <v>43.832136422596946</v>
      </c>
      <c r="Z3489" s="9">
        <v>51.429400054836968</v>
      </c>
      <c r="AA3489" s="9">
        <v>51.429400054836968</v>
      </c>
      <c r="AB3489" s="9">
        <v>59.124893495096586</v>
      </c>
      <c r="AC3489" s="9">
        <v>59.124893495096586</v>
      </c>
      <c r="AD3489" s="9">
        <v>68.673407568137122</v>
      </c>
      <c r="AE3489" s="9">
        <v>75.899806853903883</v>
      </c>
      <c r="AF3489" s="9">
        <v>83.243930726651769</v>
      </c>
      <c r="AG3489" s="9">
        <v>83.243930726651769</v>
      </c>
      <c r="AH3489" s="9">
        <v>91.483430312965311</v>
      </c>
      <c r="AI3489" s="9">
        <v>99.63294480172658</v>
      </c>
      <c r="AJ3489" s="9">
        <v>3.0428788910505911</v>
      </c>
    </row>
    <row r="3490" spans="1:36" x14ac:dyDescent="0.25">
      <c r="A3490" t="s">
        <v>5411</v>
      </c>
      <c r="B3490" t="s">
        <v>16</v>
      </c>
      <c r="C3490" t="s">
        <v>17</v>
      </c>
      <c r="D3490">
        <v>64770000</v>
      </c>
      <c r="E3490">
        <v>64772999</v>
      </c>
      <c r="F3490" t="s">
        <v>3156</v>
      </c>
      <c r="G3490" t="str">
        <f t="shared" si="108"/>
        <v>PII II</v>
      </c>
      <c r="H3490" t="s">
        <v>2995</v>
      </c>
      <c r="I3490" t="s">
        <v>20</v>
      </c>
      <c r="J3490" t="s">
        <v>64</v>
      </c>
      <c r="K3490" s="6">
        <v>0.03</v>
      </c>
      <c r="L3490" s="7">
        <f t="shared" si="109"/>
        <v>2E-3</v>
      </c>
      <c r="M3490" s="7">
        <v>3.0000000000000001E-3</v>
      </c>
      <c r="N3490">
        <v>12</v>
      </c>
      <c r="O3490" s="8">
        <v>22.680099489425388</v>
      </c>
      <c r="P3490" s="9">
        <v>22.680099489425388</v>
      </c>
      <c r="Q3490" s="9">
        <v>22.680099489425388</v>
      </c>
      <c r="R3490" s="9">
        <v>24.975706415973956</v>
      </c>
      <c r="S3490" s="9">
        <v>27.507757599557678</v>
      </c>
      <c r="T3490" s="9">
        <v>29.643595035649298</v>
      </c>
      <c r="U3490" s="9">
        <v>36.324172615829276</v>
      </c>
      <c r="V3490" s="9">
        <v>36.324172615829276</v>
      </c>
      <c r="W3490" s="9">
        <v>36.324172615829276</v>
      </c>
      <c r="X3490" s="9">
        <v>43.832136422596946</v>
      </c>
      <c r="Y3490" s="9">
        <v>43.832136422596946</v>
      </c>
      <c r="Z3490" s="9">
        <v>51.429400054836968</v>
      </c>
      <c r="AA3490" s="9">
        <v>51.429400054836968</v>
      </c>
      <c r="AB3490" s="9">
        <v>59.124893495096586</v>
      </c>
      <c r="AC3490" s="9">
        <v>59.124893495096586</v>
      </c>
      <c r="AD3490" s="9">
        <v>68.673407568137122</v>
      </c>
      <c r="AE3490" s="9">
        <v>75.899806853903883</v>
      </c>
      <c r="AF3490" s="9">
        <v>83.243930726651769</v>
      </c>
      <c r="AG3490" s="9">
        <v>83.243930726651769</v>
      </c>
      <c r="AH3490" s="9">
        <v>91.483430312965311</v>
      </c>
      <c r="AI3490" s="9">
        <v>99.63294480172658</v>
      </c>
      <c r="AJ3490" s="9">
        <v>3.0428788910505911</v>
      </c>
    </row>
    <row r="3491" spans="1:36" x14ac:dyDescent="0.25">
      <c r="A3491" t="s">
        <v>5411</v>
      </c>
      <c r="B3491" t="s">
        <v>16</v>
      </c>
      <c r="C3491" t="s">
        <v>17</v>
      </c>
      <c r="D3491">
        <v>64773000</v>
      </c>
      <c r="E3491">
        <v>64774999</v>
      </c>
      <c r="F3491" t="s">
        <v>3157</v>
      </c>
      <c r="G3491" t="str">
        <f t="shared" si="108"/>
        <v>PII II</v>
      </c>
      <c r="H3491" t="s">
        <v>2995</v>
      </c>
      <c r="I3491" t="s">
        <v>20</v>
      </c>
      <c r="J3491" t="s">
        <v>64</v>
      </c>
      <c r="K3491" s="6">
        <v>0.03</v>
      </c>
      <c r="L3491" s="7">
        <f t="shared" si="109"/>
        <v>2E-3</v>
      </c>
      <c r="M3491" s="7">
        <v>3.0000000000000001E-3</v>
      </c>
      <c r="N3491">
        <v>12</v>
      </c>
      <c r="O3491" s="8">
        <v>22.680099489425388</v>
      </c>
      <c r="P3491" s="9">
        <v>22.680099489425388</v>
      </c>
      <c r="Q3491" s="9">
        <v>22.680099489425388</v>
      </c>
      <c r="R3491" s="9">
        <v>24.975706415973956</v>
      </c>
      <c r="S3491" s="9">
        <v>27.507757599557678</v>
      </c>
      <c r="T3491" s="9">
        <v>29.643595035649298</v>
      </c>
      <c r="U3491" s="9">
        <v>36.324172615829276</v>
      </c>
      <c r="V3491" s="9">
        <v>36.324172615829276</v>
      </c>
      <c r="W3491" s="9">
        <v>36.324172615829276</v>
      </c>
      <c r="X3491" s="9">
        <v>43.832136422596946</v>
      </c>
      <c r="Y3491" s="9">
        <v>43.832136422596946</v>
      </c>
      <c r="Z3491" s="9">
        <v>51.429400054836968</v>
      </c>
      <c r="AA3491" s="9">
        <v>51.429400054836968</v>
      </c>
      <c r="AB3491" s="9">
        <v>59.124893495096586</v>
      </c>
      <c r="AC3491" s="9">
        <v>59.124893495096586</v>
      </c>
      <c r="AD3491" s="9">
        <v>68.673407568137122</v>
      </c>
      <c r="AE3491" s="9">
        <v>75.899806853903883</v>
      </c>
      <c r="AF3491" s="9">
        <v>83.243930726651769</v>
      </c>
      <c r="AG3491" s="9">
        <v>83.243930726651769</v>
      </c>
      <c r="AH3491" s="9">
        <v>91.483430312965311</v>
      </c>
      <c r="AI3491" s="9">
        <v>99.63294480172658</v>
      </c>
      <c r="AJ3491" s="9">
        <v>3.0428788910505911</v>
      </c>
    </row>
    <row r="3492" spans="1:36" x14ac:dyDescent="0.25">
      <c r="A3492" t="s">
        <v>5411</v>
      </c>
      <c r="B3492" t="s">
        <v>16</v>
      </c>
      <c r="C3492" t="s">
        <v>17</v>
      </c>
      <c r="D3492">
        <v>64775000</v>
      </c>
      <c r="E3492">
        <v>64777999</v>
      </c>
      <c r="F3492" t="s">
        <v>3158</v>
      </c>
      <c r="G3492" t="str">
        <f t="shared" si="108"/>
        <v>PII II</v>
      </c>
      <c r="H3492" t="s">
        <v>2995</v>
      </c>
      <c r="I3492" t="s">
        <v>20</v>
      </c>
      <c r="J3492" t="s">
        <v>64</v>
      </c>
      <c r="K3492" s="6">
        <v>0.03</v>
      </c>
      <c r="L3492" s="7">
        <f t="shared" si="109"/>
        <v>2E-3</v>
      </c>
      <c r="M3492" s="7">
        <v>3.0000000000000001E-3</v>
      </c>
      <c r="N3492">
        <v>12</v>
      </c>
      <c r="O3492" s="8">
        <v>22.680099489425388</v>
      </c>
      <c r="P3492" s="9">
        <v>22.680099489425388</v>
      </c>
      <c r="Q3492" s="9">
        <v>22.680099489425388</v>
      </c>
      <c r="R3492" s="9">
        <v>24.975706415973956</v>
      </c>
      <c r="S3492" s="9">
        <v>27.507757599557678</v>
      </c>
      <c r="T3492" s="9">
        <v>29.643595035649298</v>
      </c>
      <c r="U3492" s="9">
        <v>36.324172615829276</v>
      </c>
      <c r="V3492" s="9">
        <v>36.324172615829276</v>
      </c>
      <c r="W3492" s="9">
        <v>36.324172615829276</v>
      </c>
      <c r="X3492" s="9">
        <v>43.832136422596946</v>
      </c>
      <c r="Y3492" s="9">
        <v>43.832136422596946</v>
      </c>
      <c r="Z3492" s="9">
        <v>51.429400054836968</v>
      </c>
      <c r="AA3492" s="9">
        <v>51.429400054836968</v>
      </c>
      <c r="AB3492" s="9">
        <v>59.124893495096586</v>
      </c>
      <c r="AC3492" s="9">
        <v>59.124893495096586</v>
      </c>
      <c r="AD3492" s="9">
        <v>68.673407568137122</v>
      </c>
      <c r="AE3492" s="9">
        <v>75.899806853903883</v>
      </c>
      <c r="AF3492" s="9">
        <v>83.243930726651769</v>
      </c>
      <c r="AG3492" s="9">
        <v>83.243930726651769</v>
      </c>
      <c r="AH3492" s="9">
        <v>91.483430312965311</v>
      </c>
      <c r="AI3492" s="9">
        <v>99.63294480172658</v>
      </c>
      <c r="AJ3492" s="9">
        <v>3.0428788910505911</v>
      </c>
    </row>
    <row r="3493" spans="1:36" x14ac:dyDescent="0.25">
      <c r="A3493" t="s">
        <v>5411</v>
      </c>
      <c r="B3493" t="s">
        <v>16</v>
      </c>
      <c r="C3493" t="s">
        <v>17</v>
      </c>
      <c r="D3493">
        <v>64778000</v>
      </c>
      <c r="E3493">
        <v>64779999</v>
      </c>
      <c r="F3493" t="s">
        <v>3159</v>
      </c>
      <c r="G3493" t="str">
        <f t="shared" si="108"/>
        <v>PII II</v>
      </c>
      <c r="H3493" t="s">
        <v>2995</v>
      </c>
      <c r="I3493" t="s">
        <v>20</v>
      </c>
      <c r="J3493" t="s">
        <v>64</v>
      </c>
      <c r="K3493" s="6">
        <v>0.03</v>
      </c>
      <c r="L3493" s="7">
        <f t="shared" si="109"/>
        <v>2E-3</v>
      </c>
      <c r="M3493" s="7">
        <v>3.0000000000000001E-3</v>
      </c>
      <c r="N3493">
        <v>12</v>
      </c>
      <c r="O3493" s="8">
        <v>22.680099489425388</v>
      </c>
      <c r="P3493" s="9">
        <v>22.680099489425388</v>
      </c>
      <c r="Q3493" s="9">
        <v>22.680099489425388</v>
      </c>
      <c r="R3493" s="9">
        <v>24.975706415973956</v>
      </c>
      <c r="S3493" s="9">
        <v>27.507757599557678</v>
      </c>
      <c r="T3493" s="9">
        <v>29.643595035649298</v>
      </c>
      <c r="U3493" s="9">
        <v>36.324172615829276</v>
      </c>
      <c r="V3493" s="9">
        <v>36.324172615829276</v>
      </c>
      <c r="W3493" s="9">
        <v>36.324172615829276</v>
      </c>
      <c r="X3493" s="9">
        <v>43.832136422596946</v>
      </c>
      <c r="Y3493" s="9">
        <v>43.832136422596946</v>
      </c>
      <c r="Z3493" s="9">
        <v>51.429400054836968</v>
      </c>
      <c r="AA3493" s="9">
        <v>51.429400054836968</v>
      </c>
      <c r="AB3493" s="9">
        <v>59.124893495096586</v>
      </c>
      <c r="AC3493" s="9">
        <v>59.124893495096586</v>
      </c>
      <c r="AD3493" s="9">
        <v>68.673407568137122</v>
      </c>
      <c r="AE3493" s="9">
        <v>75.899806853903883</v>
      </c>
      <c r="AF3493" s="9">
        <v>83.243930726651769</v>
      </c>
      <c r="AG3493" s="9">
        <v>83.243930726651769</v>
      </c>
      <c r="AH3493" s="9">
        <v>91.483430312965311</v>
      </c>
      <c r="AI3493" s="9">
        <v>99.63294480172658</v>
      </c>
      <c r="AJ3493" s="9">
        <v>3.0428788910505911</v>
      </c>
    </row>
    <row r="3494" spans="1:36" x14ac:dyDescent="0.25">
      <c r="A3494" t="s">
        <v>5411</v>
      </c>
      <c r="B3494" t="s">
        <v>16</v>
      </c>
      <c r="C3494" t="s">
        <v>17</v>
      </c>
      <c r="D3494">
        <v>64780000</v>
      </c>
      <c r="E3494">
        <v>64781999</v>
      </c>
      <c r="F3494" t="s">
        <v>3160</v>
      </c>
      <c r="G3494" t="str">
        <f t="shared" si="108"/>
        <v>PII II</v>
      </c>
      <c r="H3494" t="s">
        <v>2995</v>
      </c>
      <c r="I3494" t="s">
        <v>20</v>
      </c>
      <c r="J3494" t="s">
        <v>64</v>
      </c>
      <c r="K3494" s="6">
        <v>0.03</v>
      </c>
      <c r="L3494" s="7">
        <f t="shared" si="109"/>
        <v>2E-3</v>
      </c>
      <c r="M3494" s="7">
        <v>3.0000000000000001E-3</v>
      </c>
      <c r="N3494">
        <v>12</v>
      </c>
      <c r="O3494" s="8">
        <v>22.680099489425388</v>
      </c>
      <c r="P3494" s="9">
        <v>22.680099489425388</v>
      </c>
      <c r="Q3494" s="9">
        <v>22.680099489425388</v>
      </c>
      <c r="R3494" s="9">
        <v>24.975706415973956</v>
      </c>
      <c r="S3494" s="9">
        <v>27.507757599557678</v>
      </c>
      <c r="T3494" s="9">
        <v>29.643595035649298</v>
      </c>
      <c r="U3494" s="9">
        <v>36.324172615829276</v>
      </c>
      <c r="V3494" s="9">
        <v>36.324172615829276</v>
      </c>
      <c r="W3494" s="9">
        <v>36.324172615829276</v>
      </c>
      <c r="X3494" s="9">
        <v>43.832136422596946</v>
      </c>
      <c r="Y3494" s="9">
        <v>43.832136422596946</v>
      </c>
      <c r="Z3494" s="9">
        <v>51.429400054836968</v>
      </c>
      <c r="AA3494" s="9">
        <v>51.429400054836968</v>
      </c>
      <c r="AB3494" s="9">
        <v>59.124893495096586</v>
      </c>
      <c r="AC3494" s="9">
        <v>59.124893495096586</v>
      </c>
      <c r="AD3494" s="9">
        <v>68.673407568137122</v>
      </c>
      <c r="AE3494" s="9">
        <v>75.899806853903883</v>
      </c>
      <c r="AF3494" s="9">
        <v>83.243930726651769</v>
      </c>
      <c r="AG3494" s="9">
        <v>83.243930726651769</v>
      </c>
      <c r="AH3494" s="9">
        <v>91.483430312965311</v>
      </c>
      <c r="AI3494" s="9">
        <v>99.63294480172658</v>
      </c>
      <c r="AJ3494" s="9">
        <v>3.0428788910505911</v>
      </c>
    </row>
    <row r="3495" spans="1:36" x14ac:dyDescent="0.25">
      <c r="A3495" t="s">
        <v>5411</v>
      </c>
      <c r="B3495" t="s">
        <v>16</v>
      </c>
      <c r="C3495" t="s">
        <v>17</v>
      </c>
      <c r="D3495">
        <v>64782000</v>
      </c>
      <c r="E3495">
        <v>64782999</v>
      </c>
      <c r="F3495" t="s">
        <v>2255</v>
      </c>
      <c r="G3495" t="str">
        <f t="shared" si="108"/>
        <v>PII II</v>
      </c>
      <c r="H3495" t="s">
        <v>2995</v>
      </c>
      <c r="I3495" t="s">
        <v>20</v>
      </c>
      <c r="J3495" t="s">
        <v>64</v>
      </c>
      <c r="K3495" s="6">
        <v>0.03</v>
      </c>
      <c r="L3495" s="7">
        <f t="shared" si="109"/>
        <v>2E-3</v>
      </c>
      <c r="M3495" s="7">
        <v>3.0000000000000001E-3</v>
      </c>
      <c r="N3495">
        <v>12</v>
      </c>
      <c r="O3495" s="8">
        <v>22.680099489425388</v>
      </c>
      <c r="P3495" s="9">
        <v>22.680099489425388</v>
      </c>
      <c r="Q3495" s="9">
        <v>22.680099489425388</v>
      </c>
      <c r="R3495" s="9">
        <v>24.975706415973956</v>
      </c>
      <c r="S3495" s="9">
        <v>27.507757599557678</v>
      </c>
      <c r="T3495" s="9">
        <v>29.643595035649298</v>
      </c>
      <c r="U3495" s="9">
        <v>36.324172615829276</v>
      </c>
      <c r="V3495" s="9">
        <v>36.324172615829276</v>
      </c>
      <c r="W3495" s="9">
        <v>36.324172615829276</v>
      </c>
      <c r="X3495" s="9">
        <v>43.832136422596946</v>
      </c>
      <c r="Y3495" s="9">
        <v>43.832136422596946</v>
      </c>
      <c r="Z3495" s="9">
        <v>51.429400054836968</v>
      </c>
      <c r="AA3495" s="9">
        <v>51.429400054836968</v>
      </c>
      <c r="AB3495" s="9">
        <v>59.124893495096586</v>
      </c>
      <c r="AC3495" s="9">
        <v>59.124893495096586</v>
      </c>
      <c r="AD3495" s="9">
        <v>68.673407568137122</v>
      </c>
      <c r="AE3495" s="9">
        <v>75.899806853903883</v>
      </c>
      <c r="AF3495" s="9">
        <v>83.243930726651769</v>
      </c>
      <c r="AG3495" s="9">
        <v>83.243930726651769</v>
      </c>
      <c r="AH3495" s="9">
        <v>91.483430312965311</v>
      </c>
      <c r="AI3495" s="9">
        <v>99.63294480172658</v>
      </c>
      <c r="AJ3495" s="9">
        <v>3.0428788910505911</v>
      </c>
    </row>
    <row r="3496" spans="1:36" x14ac:dyDescent="0.25">
      <c r="A3496" t="s">
        <v>5411</v>
      </c>
      <c r="B3496" t="s">
        <v>16</v>
      </c>
      <c r="C3496" t="s">
        <v>17</v>
      </c>
      <c r="D3496">
        <v>64783000</v>
      </c>
      <c r="E3496">
        <v>64784999</v>
      </c>
      <c r="F3496" t="s">
        <v>3161</v>
      </c>
      <c r="G3496" t="str">
        <f t="shared" si="108"/>
        <v>PII II</v>
      </c>
      <c r="H3496" t="s">
        <v>2995</v>
      </c>
      <c r="I3496" t="s">
        <v>20</v>
      </c>
      <c r="J3496" t="s">
        <v>64</v>
      </c>
      <c r="K3496" s="6">
        <v>0.03</v>
      </c>
      <c r="L3496" s="7">
        <f t="shared" si="109"/>
        <v>2E-3</v>
      </c>
      <c r="M3496" s="7">
        <v>3.0000000000000001E-3</v>
      </c>
      <c r="N3496">
        <v>12</v>
      </c>
      <c r="O3496" s="8">
        <v>22.680099489425388</v>
      </c>
      <c r="P3496" s="9">
        <v>22.680099489425388</v>
      </c>
      <c r="Q3496" s="9">
        <v>22.680099489425388</v>
      </c>
      <c r="R3496" s="9">
        <v>24.975706415973956</v>
      </c>
      <c r="S3496" s="9">
        <v>27.507757599557678</v>
      </c>
      <c r="T3496" s="9">
        <v>29.643595035649298</v>
      </c>
      <c r="U3496" s="9">
        <v>36.324172615829276</v>
      </c>
      <c r="V3496" s="9">
        <v>36.324172615829276</v>
      </c>
      <c r="W3496" s="9">
        <v>36.324172615829276</v>
      </c>
      <c r="X3496" s="9">
        <v>43.832136422596946</v>
      </c>
      <c r="Y3496" s="9">
        <v>43.832136422596946</v>
      </c>
      <c r="Z3496" s="9">
        <v>51.429400054836968</v>
      </c>
      <c r="AA3496" s="9">
        <v>51.429400054836968</v>
      </c>
      <c r="AB3496" s="9">
        <v>59.124893495096586</v>
      </c>
      <c r="AC3496" s="9">
        <v>59.124893495096586</v>
      </c>
      <c r="AD3496" s="9">
        <v>68.673407568137122</v>
      </c>
      <c r="AE3496" s="9">
        <v>75.899806853903883</v>
      </c>
      <c r="AF3496" s="9">
        <v>83.243930726651769</v>
      </c>
      <c r="AG3496" s="9">
        <v>83.243930726651769</v>
      </c>
      <c r="AH3496" s="9">
        <v>91.483430312965311</v>
      </c>
      <c r="AI3496" s="9">
        <v>99.63294480172658</v>
      </c>
      <c r="AJ3496" s="9">
        <v>3.0428788910505911</v>
      </c>
    </row>
    <row r="3497" spans="1:36" x14ac:dyDescent="0.25">
      <c r="A3497" t="s">
        <v>5411</v>
      </c>
      <c r="B3497" t="s">
        <v>16</v>
      </c>
      <c r="C3497" t="s">
        <v>17</v>
      </c>
      <c r="D3497">
        <v>64785000</v>
      </c>
      <c r="E3497">
        <v>64787999</v>
      </c>
      <c r="F3497" t="s">
        <v>3162</v>
      </c>
      <c r="G3497" t="str">
        <f t="shared" si="108"/>
        <v>PII II</v>
      </c>
      <c r="H3497" t="s">
        <v>2995</v>
      </c>
      <c r="I3497" t="s">
        <v>20</v>
      </c>
      <c r="J3497" t="s">
        <v>64</v>
      </c>
      <c r="K3497" s="6">
        <v>0.03</v>
      </c>
      <c r="L3497" s="7">
        <f t="shared" si="109"/>
        <v>2E-3</v>
      </c>
      <c r="M3497" s="7">
        <v>3.0000000000000001E-3</v>
      </c>
      <c r="N3497">
        <v>12</v>
      </c>
      <c r="O3497" s="8">
        <v>22.680099489425388</v>
      </c>
      <c r="P3497" s="9">
        <v>22.680099489425388</v>
      </c>
      <c r="Q3497" s="9">
        <v>22.680099489425388</v>
      </c>
      <c r="R3497" s="9">
        <v>24.975706415973956</v>
      </c>
      <c r="S3497" s="9">
        <v>27.507757599557678</v>
      </c>
      <c r="T3497" s="9">
        <v>29.643595035649298</v>
      </c>
      <c r="U3497" s="9">
        <v>36.324172615829276</v>
      </c>
      <c r="V3497" s="9">
        <v>36.324172615829276</v>
      </c>
      <c r="W3497" s="9">
        <v>36.324172615829276</v>
      </c>
      <c r="X3497" s="9">
        <v>43.832136422596946</v>
      </c>
      <c r="Y3497" s="9">
        <v>43.832136422596946</v>
      </c>
      <c r="Z3497" s="9">
        <v>51.429400054836968</v>
      </c>
      <c r="AA3497" s="9">
        <v>51.429400054836968</v>
      </c>
      <c r="AB3497" s="9">
        <v>59.124893495096586</v>
      </c>
      <c r="AC3497" s="9">
        <v>59.124893495096586</v>
      </c>
      <c r="AD3497" s="9">
        <v>68.673407568137122</v>
      </c>
      <c r="AE3497" s="9">
        <v>75.899806853903883</v>
      </c>
      <c r="AF3497" s="9">
        <v>83.243930726651769</v>
      </c>
      <c r="AG3497" s="9">
        <v>83.243930726651769</v>
      </c>
      <c r="AH3497" s="9">
        <v>91.483430312965311</v>
      </c>
      <c r="AI3497" s="9">
        <v>99.63294480172658</v>
      </c>
      <c r="AJ3497" s="9">
        <v>3.0428788910505911</v>
      </c>
    </row>
    <row r="3498" spans="1:36" x14ac:dyDescent="0.25">
      <c r="A3498" t="s">
        <v>5411</v>
      </c>
      <c r="B3498" t="s">
        <v>16</v>
      </c>
      <c r="C3498" t="s">
        <v>17</v>
      </c>
      <c r="D3498">
        <v>64788000</v>
      </c>
      <c r="E3498">
        <v>64789999</v>
      </c>
      <c r="F3498" t="s">
        <v>3163</v>
      </c>
      <c r="G3498" t="str">
        <f t="shared" si="108"/>
        <v>PII II</v>
      </c>
      <c r="H3498" t="s">
        <v>2995</v>
      </c>
      <c r="I3498" t="s">
        <v>20</v>
      </c>
      <c r="J3498" t="s">
        <v>64</v>
      </c>
      <c r="K3498" s="6">
        <v>0.03</v>
      </c>
      <c r="L3498" s="7">
        <f t="shared" si="109"/>
        <v>2E-3</v>
      </c>
      <c r="M3498" s="7">
        <v>3.0000000000000001E-3</v>
      </c>
      <c r="N3498">
        <v>12</v>
      </c>
      <c r="O3498" s="8">
        <v>22.680099489425388</v>
      </c>
      <c r="P3498" s="9">
        <v>22.680099489425388</v>
      </c>
      <c r="Q3498" s="9">
        <v>22.680099489425388</v>
      </c>
      <c r="R3498" s="9">
        <v>24.975706415973956</v>
      </c>
      <c r="S3498" s="9">
        <v>27.507757599557678</v>
      </c>
      <c r="T3498" s="9">
        <v>29.643595035649298</v>
      </c>
      <c r="U3498" s="9">
        <v>36.324172615829276</v>
      </c>
      <c r="V3498" s="9">
        <v>36.324172615829276</v>
      </c>
      <c r="W3498" s="9">
        <v>36.324172615829276</v>
      </c>
      <c r="X3498" s="9">
        <v>43.832136422596946</v>
      </c>
      <c r="Y3498" s="9">
        <v>43.832136422596946</v>
      </c>
      <c r="Z3498" s="9">
        <v>51.429400054836968</v>
      </c>
      <c r="AA3498" s="9">
        <v>51.429400054836968</v>
      </c>
      <c r="AB3498" s="9">
        <v>59.124893495096586</v>
      </c>
      <c r="AC3498" s="9">
        <v>59.124893495096586</v>
      </c>
      <c r="AD3498" s="9">
        <v>68.673407568137122</v>
      </c>
      <c r="AE3498" s="9">
        <v>75.899806853903883</v>
      </c>
      <c r="AF3498" s="9">
        <v>83.243930726651769</v>
      </c>
      <c r="AG3498" s="9">
        <v>83.243930726651769</v>
      </c>
      <c r="AH3498" s="9">
        <v>91.483430312965311</v>
      </c>
      <c r="AI3498" s="9">
        <v>99.63294480172658</v>
      </c>
      <c r="AJ3498" s="9">
        <v>3.0428788910505911</v>
      </c>
    </row>
    <row r="3499" spans="1:36" x14ac:dyDescent="0.25">
      <c r="A3499" t="s">
        <v>5411</v>
      </c>
      <c r="B3499" t="s">
        <v>16</v>
      </c>
      <c r="C3499" t="s">
        <v>17</v>
      </c>
      <c r="D3499">
        <v>64790000</v>
      </c>
      <c r="E3499">
        <v>64792999</v>
      </c>
      <c r="F3499" t="s">
        <v>3164</v>
      </c>
      <c r="G3499" t="str">
        <f t="shared" si="108"/>
        <v>PII II</v>
      </c>
      <c r="H3499" t="s">
        <v>2995</v>
      </c>
      <c r="I3499" t="s">
        <v>20</v>
      </c>
      <c r="J3499" t="s">
        <v>64</v>
      </c>
      <c r="K3499" s="6">
        <v>0.03</v>
      </c>
      <c r="L3499" s="7">
        <f t="shared" si="109"/>
        <v>2E-3</v>
      </c>
      <c r="M3499" s="7">
        <v>3.0000000000000001E-3</v>
      </c>
      <c r="N3499">
        <v>12</v>
      </c>
      <c r="O3499" s="8">
        <v>22.680099489425388</v>
      </c>
      <c r="P3499" s="9">
        <v>22.680099489425388</v>
      </c>
      <c r="Q3499" s="9">
        <v>22.680099489425388</v>
      </c>
      <c r="R3499" s="9">
        <v>24.975706415973956</v>
      </c>
      <c r="S3499" s="9">
        <v>27.507757599557678</v>
      </c>
      <c r="T3499" s="9">
        <v>29.643595035649298</v>
      </c>
      <c r="U3499" s="9">
        <v>36.324172615829276</v>
      </c>
      <c r="V3499" s="9">
        <v>36.324172615829276</v>
      </c>
      <c r="W3499" s="9">
        <v>36.324172615829276</v>
      </c>
      <c r="X3499" s="9">
        <v>43.832136422596946</v>
      </c>
      <c r="Y3499" s="9">
        <v>43.832136422596946</v>
      </c>
      <c r="Z3499" s="9">
        <v>51.429400054836968</v>
      </c>
      <c r="AA3499" s="9">
        <v>51.429400054836968</v>
      </c>
      <c r="AB3499" s="9">
        <v>59.124893495096586</v>
      </c>
      <c r="AC3499" s="9">
        <v>59.124893495096586</v>
      </c>
      <c r="AD3499" s="9">
        <v>68.673407568137122</v>
      </c>
      <c r="AE3499" s="9">
        <v>75.899806853903883</v>
      </c>
      <c r="AF3499" s="9">
        <v>83.243930726651769</v>
      </c>
      <c r="AG3499" s="9">
        <v>83.243930726651769</v>
      </c>
      <c r="AH3499" s="9">
        <v>91.483430312965311</v>
      </c>
      <c r="AI3499" s="9">
        <v>99.63294480172658</v>
      </c>
      <c r="AJ3499" s="9">
        <v>3.0428788910505911</v>
      </c>
    </row>
    <row r="3500" spans="1:36" x14ac:dyDescent="0.25">
      <c r="A3500" t="s">
        <v>5411</v>
      </c>
      <c r="B3500" t="s">
        <v>16</v>
      </c>
      <c r="C3500" t="s">
        <v>17</v>
      </c>
      <c r="D3500">
        <v>64793000</v>
      </c>
      <c r="E3500">
        <v>64794999</v>
      </c>
      <c r="F3500" t="s">
        <v>3165</v>
      </c>
      <c r="G3500" t="str">
        <f t="shared" si="108"/>
        <v>PII II</v>
      </c>
      <c r="H3500" t="s">
        <v>2995</v>
      </c>
      <c r="I3500" t="s">
        <v>20</v>
      </c>
      <c r="J3500" t="s">
        <v>64</v>
      </c>
      <c r="K3500" s="6">
        <v>0.03</v>
      </c>
      <c r="L3500" s="7">
        <f t="shared" si="109"/>
        <v>2E-3</v>
      </c>
      <c r="M3500" s="7">
        <v>3.0000000000000001E-3</v>
      </c>
      <c r="N3500">
        <v>12</v>
      </c>
      <c r="O3500" s="8">
        <v>22.680099489425388</v>
      </c>
      <c r="P3500" s="9">
        <v>22.680099489425388</v>
      </c>
      <c r="Q3500" s="9">
        <v>22.680099489425388</v>
      </c>
      <c r="R3500" s="9">
        <v>24.975706415973956</v>
      </c>
      <c r="S3500" s="9">
        <v>27.507757599557678</v>
      </c>
      <c r="T3500" s="9">
        <v>29.643595035649298</v>
      </c>
      <c r="U3500" s="9">
        <v>36.324172615829276</v>
      </c>
      <c r="V3500" s="9">
        <v>36.324172615829276</v>
      </c>
      <c r="W3500" s="9">
        <v>36.324172615829276</v>
      </c>
      <c r="X3500" s="9">
        <v>43.832136422596946</v>
      </c>
      <c r="Y3500" s="9">
        <v>43.832136422596946</v>
      </c>
      <c r="Z3500" s="9">
        <v>51.429400054836968</v>
      </c>
      <c r="AA3500" s="9">
        <v>51.429400054836968</v>
      </c>
      <c r="AB3500" s="9">
        <v>59.124893495096586</v>
      </c>
      <c r="AC3500" s="9">
        <v>59.124893495096586</v>
      </c>
      <c r="AD3500" s="9">
        <v>68.673407568137122</v>
      </c>
      <c r="AE3500" s="9">
        <v>75.899806853903883</v>
      </c>
      <c r="AF3500" s="9">
        <v>83.243930726651769</v>
      </c>
      <c r="AG3500" s="9">
        <v>83.243930726651769</v>
      </c>
      <c r="AH3500" s="9">
        <v>91.483430312965311</v>
      </c>
      <c r="AI3500" s="9">
        <v>99.63294480172658</v>
      </c>
      <c r="AJ3500" s="9">
        <v>3.0428788910505911</v>
      </c>
    </row>
    <row r="3501" spans="1:36" x14ac:dyDescent="0.25">
      <c r="A3501" t="s">
        <v>5411</v>
      </c>
      <c r="B3501" t="s">
        <v>16</v>
      </c>
      <c r="C3501" t="s">
        <v>17</v>
      </c>
      <c r="D3501">
        <v>64795000</v>
      </c>
      <c r="E3501">
        <v>64797999</v>
      </c>
      <c r="F3501" t="s">
        <v>3166</v>
      </c>
      <c r="G3501" t="str">
        <f t="shared" si="108"/>
        <v>PII II</v>
      </c>
      <c r="H3501" t="s">
        <v>2995</v>
      </c>
      <c r="I3501" t="s">
        <v>20</v>
      </c>
      <c r="J3501" t="s">
        <v>64</v>
      </c>
      <c r="K3501" s="6">
        <v>0.03</v>
      </c>
      <c r="L3501" s="7">
        <f t="shared" si="109"/>
        <v>2E-3</v>
      </c>
      <c r="M3501" s="7">
        <v>3.0000000000000001E-3</v>
      </c>
      <c r="N3501">
        <v>12</v>
      </c>
      <c r="O3501" s="8">
        <v>22.680099489425388</v>
      </c>
      <c r="P3501" s="9">
        <v>22.680099489425388</v>
      </c>
      <c r="Q3501" s="9">
        <v>22.680099489425388</v>
      </c>
      <c r="R3501" s="9">
        <v>24.975706415973956</v>
      </c>
      <c r="S3501" s="9">
        <v>27.507757599557678</v>
      </c>
      <c r="T3501" s="9">
        <v>29.643595035649298</v>
      </c>
      <c r="U3501" s="9">
        <v>36.324172615829276</v>
      </c>
      <c r="V3501" s="9">
        <v>36.324172615829276</v>
      </c>
      <c r="W3501" s="9">
        <v>36.324172615829276</v>
      </c>
      <c r="X3501" s="9">
        <v>43.832136422596946</v>
      </c>
      <c r="Y3501" s="9">
        <v>43.832136422596946</v>
      </c>
      <c r="Z3501" s="9">
        <v>51.429400054836968</v>
      </c>
      <c r="AA3501" s="9">
        <v>51.429400054836968</v>
      </c>
      <c r="AB3501" s="9">
        <v>59.124893495096586</v>
      </c>
      <c r="AC3501" s="9">
        <v>59.124893495096586</v>
      </c>
      <c r="AD3501" s="9">
        <v>68.673407568137122</v>
      </c>
      <c r="AE3501" s="9">
        <v>75.899806853903883</v>
      </c>
      <c r="AF3501" s="9">
        <v>83.243930726651769</v>
      </c>
      <c r="AG3501" s="9">
        <v>83.243930726651769</v>
      </c>
      <c r="AH3501" s="9">
        <v>91.483430312965311</v>
      </c>
      <c r="AI3501" s="9">
        <v>99.63294480172658</v>
      </c>
      <c r="AJ3501" s="9">
        <v>3.0428788910505911</v>
      </c>
    </row>
    <row r="3502" spans="1:36" x14ac:dyDescent="0.25">
      <c r="A3502" t="s">
        <v>5411</v>
      </c>
      <c r="B3502" t="s">
        <v>16</v>
      </c>
      <c r="C3502" t="s">
        <v>17</v>
      </c>
      <c r="D3502">
        <v>64798000</v>
      </c>
      <c r="E3502">
        <v>64799999</v>
      </c>
      <c r="F3502" t="s">
        <v>3167</v>
      </c>
      <c r="G3502" t="str">
        <f t="shared" si="108"/>
        <v>PII II</v>
      </c>
      <c r="H3502" t="s">
        <v>2995</v>
      </c>
      <c r="I3502" t="s">
        <v>20</v>
      </c>
      <c r="J3502" t="s">
        <v>64</v>
      </c>
      <c r="K3502" s="6">
        <v>0.03</v>
      </c>
      <c r="L3502" s="7">
        <f t="shared" si="109"/>
        <v>2E-3</v>
      </c>
      <c r="M3502" s="7">
        <v>3.0000000000000001E-3</v>
      </c>
      <c r="N3502">
        <v>14</v>
      </c>
      <c r="O3502" s="8">
        <v>22.680099489425388</v>
      </c>
      <c r="P3502" s="9">
        <v>22.680099489425388</v>
      </c>
      <c r="Q3502" s="9">
        <v>22.680099489425388</v>
      </c>
      <c r="R3502" s="9">
        <v>24.975706415973956</v>
      </c>
      <c r="S3502" s="9">
        <v>27.507757599557678</v>
      </c>
      <c r="T3502" s="9">
        <v>29.643595035649298</v>
      </c>
      <c r="U3502" s="9">
        <v>36.324172615829276</v>
      </c>
      <c r="V3502" s="9">
        <v>36.324172615829276</v>
      </c>
      <c r="W3502" s="9">
        <v>36.324172615829276</v>
      </c>
      <c r="X3502" s="9">
        <v>43.832136422596946</v>
      </c>
      <c r="Y3502" s="9">
        <v>43.832136422596946</v>
      </c>
      <c r="Z3502" s="9">
        <v>51.429400054836968</v>
      </c>
      <c r="AA3502" s="9">
        <v>51.429400054836968</v>
      </c>
      <c r="AB3502" s="9">
        <v>59.124893495096586</v>
      </c>
      <c r="AC3502" s="9">
        <v>59.124893495096586</v>
      </c>
      <c r="AD3502" s="9">
        <v>68.673407568137122</v>
      </c>
      <c r="AE3502" s="9">
        <v>75.899806853903883</v>
      </c>
      <c r="AF3502" s="9">
        <v>83.243930726651769</v>
      </c>
      <c r="AG3502" s="9">
        <v>83.243930726651769</v>
      </c>
      <c r="AH3502" s="9">
        <v>91.483430312965311</v>
      </c>
      <c r="AI3502" s="9">
        <v>99.63294480172658</v>
      </c>
      <c r="AJ3502" s="9">
        <v>3.0428788910505911</v>
      </c>
    </row>
    <row r="3503" spans="1:36" x14ac:dyDescent="0.25">
      <c r="A3503" t="s">
        <v>5411</v>
      </c>
      <c r="B3503" t="s">
        <v>16</v>
      </c>
      <c r="C3503" t="s">
        <v>17</v>
      </c>
      <c r="D3503">
        <v>64800000</v>
      </c>
      <c r="E3503">
        <v>64814999</v>
      </c>
      <c r="F3503" t="s">
        <v>3168</v>
      </c>
      <c r="G3503" t="str">
        <f t="shared" si="108"/>
        <v>PII</v>
      </c>
      <c r="H3503" t="s">
        <v>2995</v>
      </c>
      <c r="I3503" t="s">
        <v>20</v>
      </c>
      <c r="J3503" t="s">
        <v>62</v>
      </c>
      <c r="K3503" s="6">
        <v>0.03</v>
      </c>
      <c r="L3503" s="7">
        <f t="shared" si="109"/>
        <v>2E-3</v>
      </c>
      <c r="M3503" s="7">
        <v>3.0000000000000001E-3</v>
      </c>
      <c r="N3503">
        <v>14</v>
      </c>
      <c r="O3503" s="8">
        <v>18.523064475870246</v>
      </c>
      <c r="P3503" s="9">
        <v>18.523064475870246</v>
      </c>
      <c r="Q3503" s="9">
        <v>18.523064475870246</v>
      </c>
      <c r="R3503" s="9">
        <v>19.986085921544504</v>
      </c>
      <c r="S3503" s="9">
        <v>22.12943390989907</v>
      </c>
      <c r="T3503" s="9">
        <v>24.361587349653966</v>
      </c>
      <c r="U3503" s="9">
        <v>30.016334788894795</v>
      </c>
      <c r="V3503" s="9">
        <v>30.016334788894795</v>
      </c>
      <c r="W3503" s="9">
        <v>30.016334788894795</v>
      </c>
      <c r="X3503" s="9">
        <v>36.357177991180244</v>
      </c>
      <c r="Y3503" s="9">
        <v>36.357177991180244</v>
      </c>
      <c r="Z3503" s="9">
        <v>42.885327131268298</v>
      </c>
      <c r="AA3503" s="9">
        <v>42.885327131268298</v>
      </c>
      <c r="AB3503" s="9">
        <v>49.659479185845427</v>
      </c>
      <c r="AC3503" s="9">
        <v>49.659479185845427</v>
      </c>
      <c r="AD3503" s="9">
        <v>56.580305827489475</v>
      </c>
      <c r="AE3503" s="9">
        <v>63.666673708638676</v>
      </c>
      <c r="AF3503" s="9">
        <v>70.939940361157198</v>
      </c>
      <c r="AG3503" s="9">
        <v>70.939940361157198</v>
      </c>
      <c r="AH3503" s="9">
        <v>77.933178543288449</v>
      </c>
      <c r="AI3503" s="9">
        <v>85.444390652517114</v>
      </c>
      <c r="AJ3503" s="9">
        <v>3.0428788910505911</v>
      </c>
    </row>
    <row r="3504" spans="1:36" x14ac:dyDescent="0.25">
      <c r="A3504" t="s">
        <v>5411</v>
      </c>
      <c r="B3504" t="s">
        <v>16</v>
      </c>
      <c r="C3504" t="s">
        <v>17</v>
      </c>
      <c r="D3504">
        <v>64815000</v>
      </c>
      <c r="E3504">
        <v>64819999</v>
      </c>
      <c r="F3504" t="s">
        <v>3169</v>
      </c>
      <c r="G3504" t="str">
        <f t="shared" si="108"/>
        <v>PII II</v>
      </c>
      <c r="H3504" t="s">
        <v>2995</v>
      </c>
      <c r="I3504" t="s">
        <v>20</v>
      </c>
      <c r="J3504" t="s">
        <v>64</v>
      </c>
      <c r="K3504" s="6">
        <v>0.03</v>
      </c>
      <c r="L3504" s="7">
        <f t="shared" si="109"/>
        <v>2E-3</v>
      </c>
      <c r="M3504" s="7">
        <v>3.0000000000000001E-3</v>
      </c>
      <c r="N3504">
        <v>15</v>
      </c>
      <c r="O3504" s="8">
        <v>22.680099489425388</v>
      </c>
      <c r="P3504" s="9">
        <v>22.680099489425388</v>
      </c>
      <c r="Q3504" s="9">
        <v>22.680099489425388</v>
      </c>
      <c r="R3504" s="9">
        <v>24.975706415973956</v>
      </c>
      <c r="S3504" s="9">
        <v>27.507757599557678</v>
      </c>
      <c r="T3504" s="9">
        <v>29.643595035649298</v>
      </c>
      <c r="U3504" s="9">
        <v>36.324172615829276</v>
      </c>
      <c r="V3504" s="9">
        <v>36.324172615829276</v>
      </c>
      <c r="W3504" s="9">
        <v>36.324172615829276</v>
      </c>
      <c r="X3504" s="9">
        <v>43.832136422596946</v>
      </c>
      <c r="Y3504" s="9">
        <v>43.832136422596946</v>
      </c>
      <c r="Z3504" s="9">
        <v>51.429400054836968</v>
      </c>
      <c r="AA3504" s="9">
        <v>51.429400054836968</v>
      </c>
      <c r="AB3504" s="9">
        <v>59.124893495096586</v>
      </c>
      <c r="AC3504" s="9">
        <v>59.124893495096586</v>
      </c>
      <c r="AD3504" s="9">
        <v>68.673407568137122</v>
      </c>
      <c r="AE3504" s="9">
        <v>75.899806853903883</v>
      </c>
      <c r="AF3504" s="9">
        <v>83.243930726651769</v>
      </c>
      <c r="AG3504" s="9">
        <v>83.243930726651769</v>
      </c>
      <c r="AH3504" s="9">
        <v>91.483430312965311</v>
      </c>
      <c r="AI3504" s="9">
        <v>99.63294480172658</v>
      </c>
      <c r="AJ3504" s="9">
        <v>3.0428788910505911</v>
      </c>
    </row>
    <row r="3505" spans="1:36" x14ac:dyDescent="0.25">
      <c r="A3505" t="s">
        <v>5411</v>
      </c>
      <c r="B3505" t="s">
        <v>16</v>
      </c>
      <c r="C3505" t="s">
        <v>17</v>
      </c>
      <c r="D3505">
        <v>64820000</v>
      </c>
      <c r="E3505">
        <v>64824999</v>
      </c>
      <c r="F3505" t="s">
        <v>3170</v>
      </c>
      <c r="G3505" t="str">
        <f t="shared" si="108"/>
        <v>PII II</v>
      </c>
      <c r="H3505" t="s">
        <v>2995</v>
      </c>
      <c r="I3505" t="s">
        <v>20</v>
      </c>
      <c r="J3505" t="s">
        <v>64</v>
      </c>
      <c r="K3505" s="6">
        <v>0.03</v>
      </c>
      <c r="L3505" s="7">
        <f t="shared" si="109"/>
        <v>2E-3</v>
      </c>
      <c r="M3505" s="7">
        <v>3.0000000000000001E-3</v>
      </c>
      <c r="N3505">
        <v>15</v>
      </c>
      <c r="O3505" s="8">
        <v>22.680099489425388</v>
      </c>
      <c r="P3505" s="9">
        <v>22.680099489425388</v>
      </c>
      <c r="Q3505" s="9">
        <v>22.680099489425388</v>
      </c>
      <c r="R3505" s="9">
        <v>24.975706415973956</v>
      </c>
      <c r="S3505" s="9">
        <v>27.507757599557678</v>
      </c>
      <c r="T3505" s="9">
        <v>29.643595035649298</v>
      </c>
      <c r="U3505" s="9">
        <v>36.324172615829276</v>
      </c>
      <c r="V3505" s="9">
        <v>36.324172615829276</v>
      </c>
      <c r="W3505" s="9">
        <v>36.324172615829276</v>
      </c>
      <c r="X3505" s="9">
        <v>43.832136422596946</v>
      </c>
      <c r="Y3505" s="9">
        <v>43.832136422596946</v>
      </c>
      <c r="Z3505" s="9">
        <v>51.429400054836968</v>
      </c>
      <c r="AA3505" s="9">
        <v>51.429400054836968</v>
      </c>
      <c r="AB3505" s="9">
        <v>59.124893495096586</v>
      </c>
      <c r="AC3505" s="9">
        <v>59.124893495096586</v>
      </c>
      <c r="AD3505" s="9">
        <v>68.673407568137122</v>
      </c>
      <c r="AE3505" s="9">
        <v>75.899806853903883</v>
      </c>
      <c r="AF3505" s="9">
        <v>83.243930726651769</v>
      </c>
      <c r="AG3505" s="9">
        <v>83.243930726651769</v>
      </c>
      <c r="AH3505" s="9">
        <v>91.483430312965311</v>
      </c>
      <c r="AI3505" s="9">
        <v>99.63294480172658</v>
      </c>
      <c r="AJ3505" s="9">
        <v>3.0428788910505911</v>
      </c>
    </row>
    <row r="3506" spans="1:36" x14ac:dyDescent="0.25">
      <c r="A3506" t="s">
        <v>5411</v>
      </c>
      <c r="B3506" t="s">
        <v>16</v>
      </c>
      <c r="C3506" t="s">
        <v>17</v>
      </c>
      <c r="D3506">
        <v>64825000</v>
      </c>
      <c r="E3506">
        <v>64829999</v>
      </c>
      <c r="F3506" t="s">
        <v>3171</v>
      </c>
      <c r="G3506" t="str">
        <f t="shared" si="108"/>
        <v>PII II</v>
      </c>
      <c r="H3506" t="s">
        <v>2995</v>
      </c>
      <c r="I3506" t="s">
        <v>20</v>
      </c>
      <c r="J3506" t="s">
        <v>64</v>
      </c>
      <c r="K3506" s="6">
        <v>0.03</v>
      </c>
      <c r="L3506" s="7">
        <f t="shared" si="109"/>
        <v>2E-3</v>
      </c>
      <c r="M3506" s="7">
        <v>3.0000000000000001E-3</v>
      </c>
      <c r="N3506">
        <v>15</v>
      </c>
      <c r="O3506" s="8">
        <v>22.680099489425388</v>
      </c>
      <c r="P3506" s="9">
        <v>22.680099489425388</v>
      </c>
      <c r="Q3506" s="9">
        <v>22.680099489425388</v>
      </c>
      <c r="R3506" s="9">
        <v>24.975706415973956</v>
      </c>
      <c r="S3506" s="9">
        <v>27.507757599557678</v>
      </c>
      <c r="T3506" s="9">
        <v>29.643595035649298</v>
      </c>
      <c r="U3506" s="9">
        <v>36.324172615829276</v>
      </c>
      <c r="V3506" s="9">
        <v>36.324172615829276</v>
      </c>
      <c r="W3506" s="9">
        <v>36.324172615829276</v>
      </c>
      <c r="X3506" s="9">
        <v>43.832136422596946</v>
      </c>
      <c r="Y3506" s="9">
        <v>43.832136422596946</v>
      </c>
      <c r="Z3506" s="9">
        <v>51.429400054836968</v>
      </c>
      <c r="AA3506" s="9">
        <v>51.429400054836968</v>
      </c>
      <c r="AB3506" s="9">
        <v>59.124893495096586</v>
      </c>
      <c r="AC3506" s="9">
        <v>59.124893495096586</v>
      </c>
      <c r="AD3506" s="9">
        <v>68.673407568137122</v>
      </c>
      <c r="AE3506" s="9">
        <v>75.899806853903883</v>
      </c>
      <c r="AF3506" s="9">
        <v>83.243930726651769</v>
      </c>
      <c r="AG3506" s="9">
        <v>83.243930726651769</v>
      </c>
      <c r="AH3506" s="9">
        <v>91.483430312965311</v>
      </c>
      <c r="AI3506" s="9">
        <v>99.63294480172658</v>
      </c>
      <c r="AJ3506" s="9">
        <v>3.0428788910505911</v>
      </c>
    </row>
    <row r="3507" spans="1:36" x14ac:dyDescent="0.25">
      <c r="A3507" t="s">
        <v>5411</v>
      </c>
      <c r="B3507" t="s">
        <v>16</v>
      </c>
      <c r="C3507" t="s">
        <v>17</v>
      </c>
      <c r="D3507">
        <v>64830000</v>
      </c>
      <c r="E3507">
        <v>64832999</v>
      </c>
      <c r="F3507" t="s">
        <v>3172</v>
      </c>
      <c r="G3507" t="str">
        <f t="shared" si="108"/>
        <v>PII II</v>
      </c>
      <c r="H3507" t="s">
        <v>2995</v>
      </c>
      <c r="I3507" t="s">
        <v>20</v>
      </c>
      <c r="J3507" t="s">
        <v>64</v>
      </c>
      <c r="K3507" s="6">
        <v>0.03</v>
      </c>
      <c r="L3507" s="7">
        <f t="shared" si="109"/>
        <v>2E-3</v>
      </c>
      <c r="M3507" s="7">
        <v>3.0000000000000001E-3</v>
      </c>
      <c r="N3507">
        <v>15</v>
      </c>
      <c r="O3507" s="8">
        <v>22.680099489425388</v>
      </c>
      <c r="P3507" s="9">
        <v>22.680099489425388</v>
      </c>
      <c r="Q3507" s="9">
        <v>22.680099489425388</v>
      </c>
      <c r="R3507" s="9">
        <v>24.975706415973956</v>
      </c>
      <c r="S3507" s="9">
        <v>27.507757599557678</v>
      </c>
      <c r="T3507" s="9">
        <v>29.643595035649298</v>
      </c>
      <c r="U3507" s="9">
        <v>36.324172615829276</v>
      </c>
      <c r="V3507" s="9">
        <v>36.324172615829276</v>
      </c>
      <c r="W3507" s="9">
        <v>36.324172615829276</v>
      </c>
      <c r="X3507" s="9">
        <v>43.832136422596946</v>
      </c>
      <c r="Y3507" s="9">
        <v>43.832136422596946</v>
      </c>
      <c r="Z3507" s="9">
        <v>51.429400054836968</v>
      </c>
      <c r="AA3507" s="9">
        <v>51.429400054836968</v>
      </c>
      <c r="AB3507" s="9">
        <v>59.124893495096586</v>
      </c>
      <c r="AC3507" s="9">
        <v>59.124893495096586</v>
      </c>
      <c r="AD3507" s="9">
        <v>68.673407568137122</v>
      </c>
      <c r="AE3507" s="9">
        <v>75.899806853903883</v>
      </c>
      <c r="AF3507" s="9">
        <v>83.243930726651769</v>
      </c>
      <c r="AG3507" s="9">
        <v>83.243930726651769</v>
      </c>
      <c r="AH3507" s="9">
        <v>91.483430312965311</v>
      </c>
      <c r="AI3507" s="9">
        <v>99.63294480172658</v>
      </c>
      <c r="AJ3507" s="9">
        <v>3.0428788910505911</v>
      </c>
    </row>
    <row r="3508" spans="1:36" x14ac:dyDescent="0.25">
      <c r="A3508" t="s">
        <v>5411</v>
      </c>
      <c r="B3508" t="s">
        <v>16</v>
      </c>
      <c r="C3508" t="s">
        <v>17</v>
      </c>
      <c r="D3508">
        <v>64833000</v>
      </c>
      <c r="E3508">
        <v>64834999</v>
      </c>
      <c r="F3508" t="s">
        <v>3173</v>
      </c>
      <c r="G3508" t="str">
        <f t="shared" si="108"/>
        <v>PII II</v>
      </c>
      <c r="H3508" t="s">
        <v>2995</v>
      </c>
      <c r="I3508" t="s">
        <v>20</v>
      </c>
      <c r="J3508" t="s">
        <v>64</v>
      </c>
      <c r="K3508" s="6">
        <v>0.03</v>
      </c>
      <c r="L3508" s="7">
        <f t="shared" si="109"/>
        <v>2E-3</v>
      </c>
      <c r="M3508" s="7">
        <v>3.0000000000000001E-3</v>
      </c>
      <c r="N3508">
        <v>15</v>
      </c>
      <c r="O3508" s="8">
        <v>22.680099489425388</v>
      </c>
      <c r="P3508" s="9">
        <v>22.680099489425388</v>
      </c>
      <c r="Q3508" s="9">
        <v>22.680099489425388</v>
      </c>
      <c r="R3508" s="9">
        <v>24.975706415973956</v>
      </c>
      <c r="S3508" s="9">
        <v>27.507757599557678</v>
      </c>
      <c r="T3508" s="9">
        <v>29.643595035649298</v>
      </c>
      <c r="U3508" s="9">
        <v>36.324172615829276</v>
      </c>
      <c r="V3508" s="9">
        <v>36.324172615829276</v>
      </c>
      <c r="W3508" s="9">
        <v>36.324172615829276</v>
      </c>
      <c r="X3508" s="9">
        <v>43.832136422596946</v>
      </c>
      <c r="Y3508" s="9">
        <v>43.832136422596946</v>
      </c>
      <c r="Z3508" s="9">
        <v>51.429400054836968</v>
      </c>
      <c r="AA3508" s="9">
        <v>51.429400054836968</v>
      </c>
      <c r="AB3508" s="9">
        <v>59.124893495096586</v>
      </c>
      <c r="AC3508" s="9">
        <v>59.124893495096586</v>
      </c>
      <c r="AD3508" s="9">
        <v>68.673407568137122</v>
      </c>
      <c r="AE3508" s="9">
        <v>75.899806853903883</v>
      </c>
      <c r="AF3508" s="9">
        <v>83.243930726651769</v>
      </c>
      <c r="AG3508" s="9">
        <v>83.243930726651769</v>
      </c>
      <c r="AH3508" s="9">
        <v>91.483430312965311</v>
      </c>
      <c r="AI3508" s="9">
        <v>99.63294480172658</v>
      </c>
      <c r="AJ3508" s="9">
        <v>3.0428788910505911</v>
      </c>
    </row>
    <row r="3509" spans="1:36" x14ac:dyDescent="0.25">
      <c r="A3509" t="s">
        <v>5411</v>
      </c>
      <c r="B3509" t="s">
        <v>16</v>
      </c>
      <c r="C3509" t="s">
        <v>17</v>
      </c>
      <c r="D3509">
        <v>64835000</v>
      </c>
      <c r="E3509">
        <v>64837999</v>
      </c>
      <c r="F3509" t="s">
        <v>3174</v>
      </c>
      <c r="G3509" t="str">
        <f t="shared" si="108"/>
        <v>PII II</v>
      </c>
      <c r="H3509" t="s">
        <v>2995</v>
      </c>
      <c r="I3509" t="s">
        <v>20</v>
      </c>
      <c r="J3509" t="s">
        <v>64</v>
      </c>
      <c r="K3509" s="6">
        <v>0.03</v>
      </c>
      <c r="L3509" s="7">
        <f t="shared" si="109"/>
        <v>2E-3</v>
      </c>
      <c r="M3509" s="7">
        <v>3.0000000000000001E-3</v>
      </c>
      <c r="N3509">
        <v>15</v>
      </c>
      <c r="O3509" s="8">
        <v>22.680099489425388</v>
      </c>
      <c r="P3509" s="9">
        <v>22.680099489425388</v>
      </c>
      <c r="Q3509" s="9">
        <v>22.680099489425388</v>
      </c>
      <c r="R3509" s="9">
        <v>24.975706415973956</v>
      </c>
      <c r="S3509" s="9">
        <v>27.507757599557678</v>
      </c>
      <c r="T3509" s="9">
        <v>29.643595035649298</v>
      </c>
      <c r="U3509" s="9">
        <v>36.324172615829276</v>
      </c>
      <c r="V3509" s="9">
        <v>36.324172615829276</v>
      </c>
      <c r="W3509" s="9">
        <v>36.324172615829276</v>
      </c>
      <c r="X3509" s="9">
        <v>43.832136422596946</v>
      </c>
      <c r="Y3509" s="9">
        <v>43.832136422596946</v>
      </c>
      <c r="Z3509" s="9">
        <v>51.429400054836968</v>
      </c>
      <c r="AA3509" s="9">
        <v>51.429400054836968</v>
      </c>
      <c r="AB3509" s="9">
        <v>59.124893495096586</v>
      </c>
      <c r="AC3509" s="9">
        <v>59.124893495096586</v>
      </c>
      <c r="AD3509" s="9">
        <v>68.673407568137122</v>
      </c>
      <c r="AE3509" s="9">
        <v>75.899806853903883</v>
      </c>
      <c r="AF3509" s="9">
        <v>83.243930726651769</v>
      </c>
      <c r="AG3509" s="9">
        <v>83.243930726651769</v>
      </c>
      <c r="AH3509" s="9">
        <v>91.483430312965311</v>
      </c>
      <c r="AI3509" s="9">
        <v>99.63294480172658</v>
      </c>
      <c r="AJ3509" s="9">
        <v>3.0428788910505911</v>
      </c>
    </row>
    <row r="3510" spans="1:36" x14ac:dyDescent="0.25">
      <c r="A3510" t="s">
        <v>5411</v>
      </c>
      <c r="B3510" t="s">
        <v>16</v>
      </c>
      <c r="C3510" t="s">
        <v>17</v>
      </c>
      <c r="D3510">
        <v>64838000</v>
      </c>
      <c r="E3510">
        <v>64839999</v>
      </c>
      <c r="F3510" t="s">
        <v>3175</v>
      </c>
      <c r="G3510" t="str">
        <f t="shared" si="108"/>
        <v>PII II</v>
      </c>
      <c r="H3510" t="s">
        <v>2995</v>
      </c>
      <c r="I3510" t="s">
        <v>20</v>
      </c>
      <c r="J3510" t="s">
        <v>64</v>
      </c>
      <c r="K3510" s="6">
        <v>0.03</v>
      </c>
      <c r="L3510" s="7">
        <f t="shared" si="109"/>
        <v>2E-3</v>
      </c>
      <c r="M3510" s="7">
        <v>3.0000000000000001E-3</v>
      </c>
      <c r="N3510">
        <v>15</v>
      </c>
      <c r="O3510" s="8">
        <v>22.680099489425388</v>
      </c>
      <c r="P3510" s="9">
        <v>22.680099489425388</v>
      </c>
      <c r="Q3510" s="9">
        <v>22.680099489425388</v>
      </c>
      <c r="R3510" s="9">
        <v>24.975706415973956</v>
      </c>
      <c r="S3510" s="9">
        <v>27.507757599557678</v>
      </c>
      <c r="T3510" s="9">
        <v>29.643595035649298</v>
      </c>
      <c r="U3510" s="9">
        <v>36.324172615829276</v>
      </c>
      <c r="V3510" s="9">
        <v>36.324172615829276</v>
      </c>
      <c r="W3510" s="9">
        <v>36.324172615829276</v>
      </c>
      <c r="X3510" s="9">
        <v>43.832136422596946</v>
      </c>
      <c r="Y3510" s="9">
        <v>43.832136422596946</v>
      </c>
      <c r="Z3510" s="9">
        <v>51.429400054836968</v>
      </c>
      <c r="AA3510" s="9">
        <v>51.429400054836968</v>
      </c>
      <c r="AB3510" s="9">
        <v>59.124893495096586</v>
      </c>
      <c r="AC3510" s="9">
        <v>59.124893495096586</v>
      </c>
      <c r="AD3510" s="9">
        <v>68.673407568137122</v>
      </c>
      <c r="AE3510" s="9">
        <v>75.899806853903883</v>
      </c>
      <c r="AF3510" s="9">
        <v>83.243930726651769</v>
      </c>
      <c r="AG3510" s="9">
        <v>83.243930726651769</v>
      </c>
      <c r="AH3510" s="9">
        <v>91.483430312965311</v>
      </c>
      <c r="AI3510" s="9">
        <v>99.63294480172658</v>
      </c>
      <c r="AJ3510" s="9">
        <v>3.0428788910505911</v>
      </c>
    </row>
    <row r="3511" spans="1:36" x14ac:dyDescent="0.25">
      <c r="A3511" t="s">
        <v>5411</v>
      </c>
      <c r="B3511" t="s">
        <v>16</v>
      </c>
      <c r="C3511" t="s">
        <v>17</v>
      </c>
      <c r="D3511">
        <v>64840000</v>
      </c>
      <c r="E3511">
        <v>64844999</v>
      </c>
      <c r="F3511" t="s">
        <v>3176</v>
      </c>
      <c r="G3511" t="str">
        <f t="shared" si="108"/>
        <v>PII II</v>
      </c>
      <c r="H3511" t="s">
        <v>2995</v>
      </c>
      <c r="I3511" t="s">
        <v>20</v>
      </c>
      <c r="J3511" t="s">
        <v>64</v>
      </c>
      <c r="K3511" s="6">
        <v>0.03</v>
      </c>
      <c r="L3511" s="7">
        <f t="shared" si="109"/>
        <v>2E-3</v>
      </c>
      <c r="M3511" s="7">
        <v>3.0000000000000001E-3</v>
      </c>
      <c r="N3511">
        <v>15</v>
      </c>
      <c r="O3511" s="8">
        <v>22.680099489425388</v>
      </c>
      <c r="P3511" s="9">
        <v>22.680099489425388</v>
      </c>
      <c r="Q3511" s="9">
        <v>22.680099489425388</v>
      </c>
      <c r="R3511" s="9">
        <v>24.975706415973956</v>
      </c>
      <c r="S3511" s="9">
        <v>27.507757599557678</v>
      </c>
      <c r="T3511" s="9">
        <v>29.643595035649298</v>
      </c>
      <c r="U3511" s="9">
        <v>36.324172615829276</v>
      </c>
      <c r="V3511" s="9">
        <v>36.324172615829276</v>
      </c>
      <c r="W3511" s="9">
        <v>36.324172615829276</v>
      </c>
      <c r="X3511" s="9">
        <v>43.832136422596946</v>
      </c>
      <c r="Y3511" s="9">
        <v>43.832136422596946</v>
      </c>
      <c r="Z3511" s="9">
        <v>51.429400054836968</v>
      </c>
      <c r="AA3511" s="9">
        <v>51.429400054836968</v>
      </c>
      <c r="AB3511" s="9">
        <v>59.124893495096586</v>
      </c>
      <c r="AC3511" s="9">
        <v>59.124893495096586</v>
      </c>
      <c r="AD3511" s="9">
        <v>68.673407568137122</v>
      </c>
      <c r="AE3511" s="9">
        <v>75.899806853903883</v>
      </c>
      <c r="AF3511" s="9">
        <v>83.243930726651769</v>
      </c>
      <c r="AG3511" s="9">
        <v>83.243930726651769</v>
      </c>
      <c r="AH3511" s="9">
        <v>91.483430312965311</v>
      </c>
      <c r="AI3511" s="9">
        <v>99.63294480172658</v>
      </c>
      <c r="AJ3511" s="9">
        <v>3.0428788910505911</v>
      </c>
    </row>
    <row r="3512" spans="1:36" x14ac:dyDescent="0.25">
      <c r="A3512" t="s">
        <v>5411</v>
      </c>
      <c r="B3512" t="s">
        <v>16</v>
      </c>
      <c r="C3512" t="s">
        <v>17</v>
      </c>
      <c r="D3512">
        <v>64845000</v>
      </c>
      <c r="E3512">
        <v>64849999</v>
      </c>
      <c r="F3512" t="s">
        <v>3177</v>
      </c>
      <c r="G3512" t="str">
        <f t="shared" si="108"/>
        <v>PII II</v>
      </c>
      <c r="H3512" t="s">
        <v>2995</v>
      </c>
      <c r="I3512" t="s">
        <v>20</v>
      </c>
      <c r="J3512" t="s">
        <v>64</v>
      </c>
      <c r="K3512" s="6">
        <v>0.03</v>
      </c>
      <c r="L3512" s="7">
        <f t="shared" si="109"/>
        <v>2E-3</v>
      </c>
      <c r="M3512" s="7">
        <v>3.0000000000000001E-3</v>
      </c>
      <c r="N3512">
        <v>15</v>
      </c>
      <c r="O3512" s="8">
        <v>22.680099489425388</v>
      </c>
      <c r="P3512" s="9">
        <v>22.680099489425388</v>
      </c>
      <c r="Q3512" s="9">
        <v>22.680099489425388</v>
      </c>
      <c r="R3512" s="9">
        <v>24.975706415973956</v>
      </c>
      <c r="S3512" s="9">
        <v>27.507757599557678</v>
      </c>
      <c r="T3512" s="9">
        <v>29.643595035649298</v>
      </c>
      <c r="U3512" s="9">
        <v>36.324172615829276</v>
      </c>
      <c r="V3512" s="9">
        <v>36.324172615829276</v>
      </c>
      <c r="W3512" s="9">
        <v>36.324172615829276</v>
      </c>
      <c r="X3512" s="9">
        <v>43.832136422596946</v>
      </c>
      <c r="Y3512" s="9">
        <v>43.832136422596946</v>
      </c>
      <c r="Z3512" s="9">
        <v>51.429400054836968</v>
      </c>
      <c r="AA3512" s="9">
        <v>51.429400054836968</v>
      </c>
      <c r="AB3512" s="9">
        <v>59.124893495096586</v>
      </c>
      <c r="AC3512" s="9">
        <v>59.124893495096586</v>
      </c>
      <c r="AD3512" s="9">
        <v>68.673407568137122</v>
      </c>
      <c r="AE3512" s="9">
        <v>75.899806853903883</v>
      </c>
      <c r="AF3512" s="9">
        <v>83.243930726651769</v>
      </c>
      <c r="AG3512" s="9">
        <v>83.243930726651769</v>
      </c>
      <c r="AH3512" s="9">
        <v>91.483430312965311</v>
      </c>
      <c r="AI3512" s="9">
        <v>99.63294480172658</v>
      </c>
      <c r="AJ3512" s="9">
        <v>3.0428788910505911</v>
      </c>
    </row>
    <row r="3513" spans="1:36" x14ac:dyDescent="0.25">
      <c r="A3513" t="s">
        <v>5411</v>
      </c>
      <c r="B3513" t="s">
        <v>16</v>
      </c>
      <c r="C3513" t="s">
        <v>17</v>
      </c>
      <c r="D3513">
        <v>64850000</v>
      </c>
      <c r="E3513">
        <v>64854999</v>
      </c>
      <c r="F3513" t="s">
        <v>3178</v>
      </c>
      <c r="G3513" t="str">
        <f t="shared" si="108"/>
        <v>PII II</v>
      </c>
      <c r="H3513" t="s">
        <v>2995</v>
      </c>
      <c r="I3513" t="s">
        <v>20</v>
      </c>
      <c r="J3513" t="s">
        <v>64</v>
      </c>
      <c r="K3513" s="6">
        <v>0.03</v>
      </c>
      <c r="L3513" s="7">
        <f t="shared" si="109"/>
        <v>2E-3</v>
      </c>
      <c r="M3513" s="7">
        <v>3.0000000000000001E-3</v>
      </c>
      <c r="N3513">
        <v>15</v>
      </c>
      <c r="O3513" s="8">
        <v>22.680099489425388</v>
      </c>
      <c r="P3513" s="9">
        <v>22.680099489425388</v>
      </c>
      <c r="Q3513" s="9">
        <v>22.680099489425388</v>
      </c>
      <c r="R3513" s="9">
        <v>24.975706415973956</v>
      </c>
      <c r="S3513" s="9">
        <v>27.507757599557678</v>
      </c>
      <c r="T3513" s="9">
        <v>29.643595035649298</v>
      </c>
      <c r="U3513" s="9">
        <v>36.324172615829276</v>
      </c>
      <c r="V3513" s="9">
        <v>36.324172615829276</v>
      </c>
      <c r="W3513" s="9">
        <v>36.324172615829276</v>
      </c>
      <c r="X3513" s="9">
        <v>43.832136422596946</v>
      </c>
      <c r="Y3513" s="9">
        <v>43.832136422596946</v>
      </c>
      <c r="Z3513" s="9">
        <v>51.429400054836968</v>
      </c>
      <c r="AA3513" s="9">
        <v>51.429400054836968</v>
      </c>
      <c r="AB3513" s="9">
        <v>59.124893495096586</v>
      </c>
      <c r="AC3513" s="9">
        <v>59.124893495096586</v>
      </c>
      <c r="AD3513" s="9">
        <v>68.673407568137122</v>
      </c>
      <c r="AE3513" s="9">
        <v>75.899806853903883</v>
      </c>
      <c r="AF3513" s="9">
        <v>83.243930726651769</v>
      </c>
      <c r="AG3513" s="9">
        <v>83.243930726651769</v>
      </c>
      <c r="AH3513" s="9">
        <v>91.483430312965311</v>
      </c>
      <c r="AI3513" s="9">
        <v>99.63294480172658</v>
      </c>
      <c r="AJ3513" s="9">
        <v>3.0428788910505911</v>
      </c>
    </row>
    <row r="3514" spans="1:36" x14ac:dyDescent="0.25">
      <c r="A3514" t="s">
        <v>5411</v>
      </c>
      <c r="B3514" t="s">
        <v>16</v>
      </c>
      <c r="C3514" t="s">
        <v>17</v>
      </c>
      <c r="D3514">
        <v>64855000</v>
      </c>
      <c r="E3514">
        <v>64857999</v>
      </c>
      <c r="F3514" t="s">
        <v>3179</v>
      </c>
      <c r="G3514" t="str">
        <f t="shared" si="108"/>
        <v>PII II</v>
      </c>
      <c r="H3514" t="s">
        <v>2995</v>
      </c>
      <c r="I3514" t="s">
        <v>20</v>
      </c>
      <c r="J3514" t="s">
        <v>64</v>
      </c>
      <c r="K3514" s="6">
        <v>0.03</v>
      </c>
      <c r="L3514" s="7">
        <f t="shared" si="109"/>
        <v>2E-3</v>
      </c>
      <c r="M3514" s="7">
        <v>3.0000000000000001E-3</v>
      </c>
      <c r="N3514">
        <v>15</v>
      </c>
      <c r="O3514" s="8">
        <v>22.680099489425388</v>
      </c>
      <c r="P3514" s="9">
        <v>22.680099489425388</v>
      </c>
      <c r="Q3514" s="9">
        <v>22.680099489425388</v>
      </c>
      <c r="R3514" s="9">
        <v>24.975706415973956</v>
      </c>
      <c r="S3514" s="9">
        <v>27.507757599557678</v>
      </c>
      <c r="T3514" s="9">
        <v>29.643595035649298</v>
      </c>
      <c r="U3514" s="9">
        <v>36.324172615829276</v>
      </c>
      <c r="V3514" s="9">
        <v>36.324172615829276</v>
      </c>
      <c r="W3514" s="9">
        <v>36.324172615829276</v>
      </c>
      <c r="X3514" s="9">
        <v>43.832136422596946</v>
      </c>
      <c r="Y3514" s="9">
        <v>43.832136422596946</v>
      </c>
      <c r="Z3514" s="9">
        <v>51.429400054836968</v>
      </c>
      <c r="AA3514" s="9">
        <v>51.429400054836968</v>
      </c>
      <c r="AB3514" s="9">
        <v>59.124893495096586</v>
      </c>
      <c r="AC3514" s="9">
        <v>59.124893495096586</v>
      </c>
      <c r="AD3514" s="9">
        <v>68.673407568137122</v>
      </c>
      <c r="AE3514" s="9">
        <v>75.899806853903883</v>
      </c>
      <c r="AF3514" s="9">
        <v>83.243930726651769</v>
      </c>
      <c r="AG3514" s="9">
        <v>83.243930726651769</v>
      </c>
      <c r="AH3514" s="9">
        <v>91.483430312965311</v>
      </c>
      <c r="AI3514" s="9">
        <v>99.63294480172658</v>
      </c>
      <c r="AJ3514" s="9">
        <v>3.0428788910505911</v>
      </c>
    </row>
    <row r="3515" spans="1:36" x14ac:dyDescent="0.25">
      <c r="A3515" t="s">
        <v>5411</v>
      </c>
      <c r="B3515" t="s">
        <v>16</v>
      </c>
      <c r="C3515" t="s">
        <v>17</v>
      </c>
      <c r="D3515">
        <v>64858000</v>
      </c>
      <c r="E3515">
        <v>64859999</v>
      </c>
      <c r="F3515" t="s">
        <v>3180</v>
      </c>
      <c r="G3515" t="str">
        <f t="shared" si="108"/>
        <v>PII II</v>
      </c>
      <c r="H3515" t="s">
        <v>2995</v>
      </c>
      <c r="I3515" t="s">
        <v>20</v>
      </c>
      <c r="J3515" t="s">
        <v>64</v>
      </c>
      <c r="K3515" s="6">
        <v>0.03</v>
      </c>
      <c r="L3515" s="7">
        <f t="shared" si="109"/>
        <v>2E-3</v>
      </c>
      <c r="M3515" s="7">
        <v>3.0000000000000001E-3</v>
      </c>
      <c r="N3515">
        <v>15</v>
      </c>
      <c r="O3515" s="8">
        <v>22.680099489425388</v>
      </c>
      <c r="P3515" s="9">
        <v>22.680099489425388</v>
      </c>
      <c r="Q3515" s="9">
        <v>22.680099489425388</v>
      </c>
      <c r="R3515" s="9">
        <v>24.975706415973956</v>
      </c>
      <c r="S3515" s="9">
        <v>27.507757599557678</v>
      </c>
      <c r="T3515" s="9">
        <v>29.643595035649298</v>
      </c>
      <c r="U3515" s="9">
        <v>36.324172615829276</v>
      </c>
      <c r="V3515" s="9">
        <v>36.324172615829276</v>
      </c>
      <c r="W3515" s="9">
        <v>36.324172615829276</v>
      </c>
      <c r="X3515" s="9">
        <v>43.832136422596946</v>
      </c>
      <c r="Y3515" s="9">
        <v>43.832136422596946</v>
      </c>
      <c r="Z3515" s="9">
        <v>51.429400054836968</v>
      </c>
      <c r="AA3515" s="9">
        <v>51.429400054836968</v>
      </c>
      <c r="AB3515" s="9">
        <v>59.124893495096586</v>
      </c>
      <c r="AC3515" s="9">
        <v>59.124893495096586</v>
      </c>
      <c r="AD3515" s="9">
        <v>68.673407568137122</v>
      </c>
      <c r="AE3515" s="9">
        <v>75.899806853903883</v>
      </c>
      <c r="AF3515" s="9">
        <v>83.243930726651769</v>
      </c>
      <c r="AG3515" s="9">
        <v>83.243930726651769</v>
      </c>
      <c r="AH3515" s="9">
        <v>91.483430312965311</v>
      </c>
      <c r="AI3515" s="9">
        <v>99.63294480172658</v>
      </c>
      <c r="AJ3515" s="9">
        <v>3.0428788910505911</v>
      </c>
    </row>
    <row r="3516" spans="1:36" x14ac:dyDescent="0.25">
      <c r="A3516" t="s">
        <v>5411</v>
      </c>
      <c r="B3516" t="s">
        <v>16</v>
      </c>
      <c r="C3516" t="s">
        <v>17</v>
      </c>
      <c r="D3516">
        <v>64860000</v>
      </c>
      <c r="E3516">
        <v>64864999</v>
      </c>
      <c r="F3516" t="s">
        <v>3181</v>
      </c>
      <c r="G3516" t="str">
        <f t="shared" si="108"/>
        <v>PII</v>
      </c>
      <c r="H3516" t="s">
        <v>2995</v>
      </c>
      <c r="I3516" t="s">
        <v>20</v>
      </c>
      <c r="J3516" t="s">
        <v>62</v>
      </c>
      <c r="K3516" s="6">
        <v>0.03</v>
      </c>
      <c r="L3516" s="7">
        <f t="shared" si="109"/>
        <v>2E-3</v>
      </c>
      <c r="M3516" s="7">
        <v>3.0000000000000001E-3</v>
      </c>
      <c r="N3516">
        <v>14</v>
      </c>
      <c r="O3516" s="8">
        <v>18.523064475870246</v>
      </c>
      <c r="P3516" s="9">
        <v>18.523064475870246</v>
      </c>
      <c r="Q3516" s="9">
        <v>18.523064475870246</v>
      </c>
      <c r="R3516" s="9">
        <v>19.986085921544504</v>
      </c>
      <c r="S3516" s="9">
        <v>22.12943390989907</v>
      </c>
      <c r="T3516" s="9">
        <v>24.361587349653966</v>
      </c>
      <c r="U3516" s="9">
        <v>30.016334788894795</v>
      </c>
      <c r="V3516" s="9">
        <v>30.016334788894795</v>
      </c>
      <c r="W3516" s="9">
        <v>30.016334788894795</v>
      </c>
      <c r="X3516" s="9">
        <v>36.357177991180244</v>
      </c>
      <c r="Y3516" s="9">
        <v>36.357177991180244</v>
      </c>
      <c r="Z3516" s="9">
        <v>42.885327131268298</v>
      </c>
      <c r="AA3516" s="9">
        <v>42.885327131268298</v>
      </c>
      <c r="AB3516" s="9">
        <v>49.659479185845427</v>
      </c>
      <c r="AC3516" s="9">
        <v>49.659479185845427</v>
      </c>
      <c r="AD3516" s="9">
        <v>56.580305827489475</v>
      </c>
      <c r="AE3516" s="9">
        <v>63.666673708638676</v>
      </c>
      <c r="AF3516" s="9">
        <v>70.939940361157198</v>
      </c>
      <c r="AG3516" s="9">
        <v>70.939940361157198</v>
      </c>
      <c r="AH3516" s="9">
        <v>77.933178543288449</v>
      </c>
      <c r="AI3516" s="9">
        <v>85.444390652517114</v>
      </c>
      <c r="AJ3516" s="9">
        <v>3.0428788910505911</v>
      </c>
    </row>
    <row r="3517" spans="1:36" x14ac:dyDescent="0.25">
      <c r="A3517" t="s">
        <v>5411</v>
      </c>
      <c r="B3517" t="s">
        <v>16</v>
      </c>
      <c r="C3517" t="s">
        <v>17</v>
      </c>
      <c r="D3517">
        <v>64865000</v>
      </c>
      <c r="E3517">
        <v>64867999</v>
      </c>
      <c r="F3517" t="s">
        <v>3182</v>
      </c>
      <c r="G3517" t="str">
        <f t="shared" si="108"/>
        <v>PII II</v>
      </c>
      <c r="H3517" t="s">
        <v>2995</v>
      </c>
      <c r="I3517" t="s">
        <v>20</v>
      </c>
      <c r="J3517" t="s">
        <v>64</v>
      </c>
      <c r="K3517" s="6">
        <v>0.03</v>
      </c>
      <c r="L3517" s="7">
        <f t="shared" si="109"/>
        <v>2E-3</v>
      </c>
      <c r="M3517" s="7">
        <v>3.0000000000000001E-3</v>
      </c>
      <c r="N3517">
        <v>15</v>
      </c>
      <c r="O3517" s="8">
        <v>22.680099489425388</v>
      </c>
      <c r="P3517" s="9">
        <v>22.680099489425388</v>
      </c>
      <c r="Q3517" s="9">
        <v>22.680099489425388</v>
      </c>
      <c r="R3517" s="9">
        <v>24.975706415973956</v>
      </c>
      <c r="S3517" s="9">
        <v>27.507757599557678</v>
      </c>
      <c r="T3517" s="9">
        <v>29.643595035649298</v>
      </c>
      <c r="U3517" s="9">
        <v>36.324172615829276</v>
      </c>
      <c r="V3517" s="9">
        <v>36.324172615829276</v>
      </c>
      <c r="W3517" s="9">
        <v>36.324172615829276</v>
      </c>
      <c r="X3517" s="9">
        <v>43.832136422596946</v>
      </c>
      <c r="Y3517" s="9">
        <v>43.832136422596946</v>
      </c>
      <c r="Z3517" s="9">
        <v>51.429400054836968</v>
      </c>
      <c r="AA3517" s="9">
        <v>51.429400054836968</v>
      </c>
      <c r="AB3517" s="9">
        <v>59.124893495096586</v>
      </c>
      <c r="AC3517" s="9">
        <v>59.124893495096586</v>
      </c>
      <c r="AD3517" s="9">
        <v>68.673407568137122</v>
      </c>
      <c r="AE3517" s="9">
        <v>75.899806853903883</v>
      </c>
      <c r="AF3517" s="9">
        <v>83.243930726651769</v>
      </c>
      <c r="AG3517" s="9">
        <v>83.243930726651769</v>
      </c>
      <c r="AH3517" s="9">
        <v>91.483430312965311</v>
      </c>
      <c r="AI3517" s="9">
        <v>99.63294480172658</v>
      </c>
      <c r="AJ3517" s="9">
        <v>3.0428788910505911</v>
      </c>
    </row>
    <row r="3518" spans="1:36" x14ac:dyDescent="0.25">
      <c r="A3518" t="s">
        <v>5411</v>
      </c>
      <c r="B3518" t="s">
        <v>16</v>
      </c>
      <c r="C3518" t="s">
        <v>17</v>
      </c>
      <c r="D3518">
        <v>64868000</v>
      </c>
      <c r="E3518">
        <v>64869999</v>
      </c>
      <c r="F3518" t="s">
        <v>3183</v>
      </c>
      <c r="G3518" t="str">
        <f t="shared" si="108"/>
        <v>PII II</v>
      </c>
      <c r="H3518" t="s">
        <v>2995</v>
      </c>
      <c r="I3518" t="s">
        <v>20</v>
      </c>
      <c r="J3518" t="s">
        <v>64</v>
      </c>
      <c r="K3518" s="6">
        <v>0.03</v>
      </c>
      <c r="L3518" s="7">
        <f t="shared" si="109"/>
        <v>2E-3</v>
      </c>
      <c r="M3518" s="7">
        <v>3.0000000000000001E-3</v>
      </c>
      <c r="N3518">
        <v>15</v>
      </c>
      <c r="O3518" s="8">
        <v>22.680099489425388</v>
      </c>
      <c r="P3518" s="9">
        <v>22.680099489425388</v>
      </c>
      <c r="Q3518" s="9">
        <v>22.680099489425388</v>
      </c>
      <c r="R3518" s="9">
        <v>24.975706415973956</v>
      </c>
      <c r="S3518" s="9">
        <v>27.507757599557678</v>
      </c>
      <c r="T3518" s="9">
        <v>29.643595035649298</v>
      </c>
      <c r="U3518" s="9">
        <v>36.324172615829276</v>
      </c>
      <c r="V3518" s="9">
        <v>36.324172615829276</v>
      </c>
      <c r="W3518" s="9">
        <v>36.324172615829276</v>
      </c>
      <c r="X3518" s="9">
        <v>43.832136422596946</v>
      </c>
      <c r="Y3518" s="9">
        <v>43.832136422596946</v>
      </c>
      <c r="Z3518" s="9">
        <v>51.429400054836968</v>
      </c>
      <c r="AA3518" s="9">
        <v>51.429400054836968</v>
      </c>
      <c r="AB3518" s="9">
        <v>59.124893495096586</v>
      </c>
      <c r="AC3518" s="9">
        <v>59.124893495096586</v>
      </c>
      <c r="AD3518" s="9">
        <v>68.673407568137122</v>
      </c>
      <c r="AE3518" s="9">
        <v>75.899806853903883</v>
      </c>
      <c r="AF3518" s="9">
        <v>83.243930726651769</v>
      </c>
      <c r="AG3518" s="9">
        <v>83.243930726651769</v>
      </c>
      <c r="AH3518" s="9">
        <v>91.483430312965311</v>
      </c>
      <c r="AI3518" s="9">
        <v>99.63294480172658</v>
      </c>
      <c r="AJ3518" s="9">
        <v>3.0428788910505911</v>
      </c>
    </row>
    <row r="3519" spans="1:36" x14ac:dyDescent="0.25">
      <c r="A3519" t="s">
        <v>5411</v>
      </c>
      <c r="B3519" t="s">
        <v>16</v>
      </c>
      <c r="C3519" t="s">
        <v>17</v>
      </c>
      <c r="D3519">
        <v>64870000</v>
      </c>
      <c r="E3519">
        <v>64872999</v>
      </c>
      <c r="F3519" t="s">
        <v>3184</v>
      </c>
      <c r="G3519" t="str">
        <f t="shared" si="108"/>
        <v>PII II</v>
      </c>
      <c r="H3519" t="s">
        <v>2995</v>
      </c>
      <c r="I3519" t="s">
        <v>20</v>
      </c>
      <c r="J3519" t="s">
        <v>64</v>
      </c>
      <c r="K3519" s="6">
        <v>0.03</v>
      </c>
      <c r="L3519" s="7">
        <f t="shared" si="109"/>
        <v>2E-3</v>
      </c>
      <c r="M3519" s="7">
        <v>3.0000000000000001E-3</v>
      </c>
      <c r="N3519">
        <v>15</v>
      </c>
      <c r="O3519" s="8">
        <v>22.680099489425388</v>
      </c>
      <c r="P3519" s="9">
        <v>22.680099489425388</v>
      </c>
      <c r="Q3519" s="9">
        <v>22.680099489425388</v>
      </c>
      <c r="R3519" s="9">
        <v>24.975706415973956</v>
      </c>
      <c r="S3519" s="9">
        <v>27.507757599557678</v>
      </c>
      <c r="T3519" s="9">
        <v>29.643595035649298</v>
      </c>
      <c r="U3519" s="9">
        <v>36.324172615829276</v>
      </c>
      <c r="V3519" s="9">
        <v>36.324172615829276</v>
      </c>
      <c r="W3519" s="9">
        <v>36.324172615829276</v>
      </c>
      <c r="X3519" s="9">
        <v>43.832136422596946</v>
      </c>
      <c r="Y3519" s="9">
        <v>43.832136422596946</v>
      </c>
      <c r="Z3519" s="9">
        <v>51.429400054836968</v>
      </c>
      <c r="AA3519" s="9">
        <v>51.429400054836968</v>
      </c>
      <c r="AB3519" s="9">
        <v>59.124893495096586</v>
      </c>
      <c r="AC3519" s="9">
        <v>59.124893495096586</v>
      </c>
      <c r="AD3519" s="9">
        <v>68.673407568137122</v>
      </c>
      <c r="AE3519" s="9">
        <v>75.899806853903883</v>
      </c>
      <c r="AF3519" s="9">
        <v>83.243930726651769</v>
      </c>
      <c r="AG3519" s="9">
        <v>83.243930726651769</v>
      </c>
      <c r="AH3519" s="9">
        <v>91.483430312965311</v>
      </c>
      <c r="AI3519" s="9">
        <v>99.63294480172658</v>
      </c>
      <c r="AJ3519" s="9">
        <v>3.0428788910505911</v>
      </c>
    </row>
    <row r="3520" spans="1:36" x14ac:dyDescent="0.25">
      <c r="A3520" t="s">
        <v>5411</v>
      </c>
      <c r="B3520" t="s">
        <v>16</v>
      </c>
      <c r="C3520" t="s">
        <v>17</v>
      </c>
      <c r="D3520">
        <v>64873000</v>
      </c>
      <c r="E3520">
        <v>64874999</v>
      </c>
      <c r="F3520" t="s">
        <v>3185</v>
      </c>
      <c r="G3520" t="str">
        <f t="shared" si="108"/>
        <v>PII II</v>
      </c>
      <c r="H3520" t="s">
        <v>2995</v>
      </c>
      <c r="I3520" t="s">
        <v>20</v>
      </c>
      <c r="J3520" t="s">
        <v>64</v>
      </c>
      <c r="K3520" s="6">
        <v>0.03</v>
      </c>
      <c r="L3520" s="7">
        <f t="shared" si="109"/>
        <v>2E-3</v>
      </c>
      <c r="M3520" s="7">
        <v>3.0000000000000001E-3</v>
      </c>
      <c r="N3520">
        <v>15</v>
      </c>
      <c r="O3520" s="8">
        <v>22.680099489425388</v>
      </c>
      <c r="P3520" s="9">
        <v>22.680099489425388</v>
      </c>
      <c r="Q3520" s="9">
        <v>22.680099489425388</v>
      </c>
      <c r="R3520" s="9">
        <v>24.975706415973956</v>
      </c>
      <c r="S3520" s="9">
        <v>27.507757599557678</v>
      </c>
      <c r="T3520" s="9">
        <v>29.643595035649298</v>
      </c>
      <c r="U3520" s="9">
        <v>36.324172615829276</v>
      </c>
      <c r="V3520" s="9">
        <v>36.324172615829276</v>
      </c>
      <c r="W3520" s="9">
        <v>36.324172615829276</v>
      </c>
      <c r="X3520" s="9">
        <v>43.832136422596946</v>
      </c>
      <c r="Y3520" s="9">
        <v>43.832136422596946</v>
      </c>
      <c r="Z3520" s="9">
        <v>51.429400054836968</v>
      </c>
      <c r="AA3520" s="9">
        <v>51.429400054836968</v>
      </c>
      <c r="AB3520" s="9">
        <v>59.124893495096586</v>
      </c>
      <c r="AC3520" s="9">
        <v>59.124893495096586</v>
      </c>
      <c r="AD3520" s="9">
        <v>68.673407568137122</v>
      </c>
      <c r="AE3520" s="9">
        <v>75.899806853903883</v>
      </c>
      <c r="AF3520" s="9">
        <v>83.243930726651769</v>
      </c>
      <c r="AG3520" s="9">
        <v>83.243930726651769</v>
      </c>
      <c r="AH3520" s="9">
        <v>91.483430312965311</v>
      </c>
      <c r="AI3520" s="9">
        <v>99.63294480172658</v>
      </c>
      <c r="AJ3520" s="9">
        <v>3.0428788910505911</v>
      </c>
    </row>
    <row r="3521" spans="1:36" x14ac:dyDescent="0.25">
      <c r="A3521" t="s">
        <v>5411</v>
      </c>
      <c r="B3521" t="s">
        <v>16</v>
      </c>
      <c r="C3521" t="s">
        <v>17</v>
      </c>
      <c r="D3521">
        <v>64875000</v>
      </c>
      <c r="E3521">
        <v>64879999</v>
      </c>
      <c r="F3521" t="s">
        <v>3186</v>
      </c>
      <c r="G3521" t="str">
        <f t="shared" si="108"/>
        <v>PII II</v>
      </c>
      <c r="H3521" t="s">
        <v>2995</v>
      </c>
      <c r="I3521" t="s">
        <v>20</v>
      </c>
      <c r="J3521" t="s">
        <v>64</v>
      </c>
      <c r="K3521" s="6">
        <v>0.03</v>
      </c>
      <c r="L3521" s="7">
        <f t="shared" si="109"/>
        <v>2E-3</v>
      </c>
      <c r="M3521" s="7">
        <v>3.0000000000000001E-3</v>
      </c>
      <c r="N3521">
        <v>15</v>
      </c>
      <c r="O3521" s="8">
        <v>22.680099489425388</v>
      </c>
      <c r="P3521" s="9">
        <v>22.680099489425388</v>
      </c>
      <c r="Q3521" s="9">
        <v>22.680099489425388</v>
      </c>
      <c r="R3521" s="9">
        <v>24.975706415973956</v>
      </c>
      <c r="S3521" s="9">
        <v>27.507757599557678</v>
      </c>
      <c r="T3521" s="9">
        <v>29.643595035649298</v>
      </c>
      <c r="U3521" s="9">
        <v>36.324172615829276</v>
      </c>
      <c r="V3521" s="9">
        <v>36.324172615829276</v>
      </c>
      <c r="W3521" s="9">
        <v>36.324172615829276</v>
      </c>
      <c r="X3521" s="9">
        <v>43.832136422596946</v>
      </c>
      <c r="Y3521" s="9">
        <v>43.832136422596946</v>
      </c>
      <c r="Z3521" s="9">
        <v>51.429400054836968</v>
      </c>
      <c r="AA3521" s="9">
        <v>51.429400054836968</v>
      </c>
      <c r="AB3521" s="9">
        <v>59.124893495096586</v>
      </c>
      <c r="AC3521" s="9">
        <v>59.124893495096586</v>
      </c>
      <c r="AD3521" s="9">
        <v>68.673407568137122</v>
      </c>
      <c r="AE3521" s="9">
        <v>75.899806853903883</v>
      </c>
      <c r="AF3521" s="9">
        <v>83.243930726651769</v>
      </c>
      <c r="AG3521" s="9">
        <v>83.243930726651769</v>
      </c>
      <c r="AH3521" s="9">
        <v>91.483430312965311</v>
      </c>
      <c r="AI3521" s="9">
        <v>99.63294480172658</v>
      </c>
      <c r="AJ3521" s="9">
        <v>3.0428788910505911</v>
      </c>
    </row>
    <row r="3522" spans="1:36" x14ac:dyDescent="0.25">
      <c r="A3522" t="s">
        <v>5411</v>
      </c>
      <c r="B3522" t="s">
        <v>16</v>
      </c>
      <c r="C3522" t="s">
        <v>17</v>
      </c>
      <c r="D3522">
        <v>64880000</v>
      </c>
      <c r="E3522">
        <v>64884999</v>
      </c>
      <c r="F3522" t="s">
        <v>3187</v>
      </c>
      <c r="G3522" t="str">
        <f t="shared" si="108"/>
        <v>PII II</v>
      </c>
      <c r="H3522" t="s">
        <v>2995</v>
      </c>
      <c r="I3522" t="s">
        <v>20</v>
      </c>
      <c r="J3522" t="s">
        <v>64</v>
      </c>
      <c r="K3522" s="6">
        <v>0.03</v>
      </c>
      <c r="L3522" s="7">
        <f t="shared" si="109"/>
        <v>2E-3</v>
      </c>
      <c r="M3522" s="7">
        <v>3.0000000000000001E-3</v>
      </c>
      <c r="N3522">
        <v>15</v>
      </c>
      <c r="O3522" s="8">
        <v>22.680099489425388</v>
      </c>
      <c r="P3522" s="9">
        <v>22.680099489425388</v>
      </c>
      <c r="Q3522" s="9">
        <v>22.680099489425388</v>
      </c>
      <c r="R3522" s="9">
        <v>24.975706415973956</v>
      </c>
      <c r="S3522" s="9">
        <v>27.507757599557678</v>
      </c>
      <c r="T3522" s="9">
        <v>29.643595035649298</v>
      </c>
      <c r="U3522" s="9">
        <v>36.324172615829276</v>
      </c>
      <c r="V3522" s="9">
        <v>36.324172615829276</v>
      </c>
      <c r="W3522" s="9">
        <v>36.324172615829276</v>
      </c>
      <c r="X3522" s="9">
        <v>43.832136422596946</v>
      </c>
      <c r="Y3522" s="9">
        <v>43.832136422596946</v>
      </c>
      <c r="Z3522" s="9">
        <v>51.429400054836968</v>
      </c>
      <c r="AA3522" s="9">
        <v>51.429400054836968</v>
      </c>
      <c r="AB3522" s="9">
        <v>59.124893495096586</v>
      </c>
      <c r="AC3522" s="9">
        <v>59.124893495096586</v>
      </c>
      <c r="AD3522" s="9">
        <v>68.673407568137122</v>
      </c>
      <c r="AE3522" s="9">
        <v>75.899806853903883</v>
      </c>
      <c r="AF3522" s="9">
        <v>83.243930726651769</v>
      </c>
      <c r="AG3522" s="9">
        <v>83.243930726651769</v>
      </c>
      <c r="AH3522" s="9">
        <v>91.483430312965311</v>
      </c>
      <c r="AI3522" s="9">
        <v>99.63294480172658</v>
      </c>
      <c r="AJ3522" s="9">
        <v>3.0428788910505911</v>
      </c>
    </row>
    <row r="3523" spans="1:36" x14ac:dyDescent="0.25">
      <c r="A3523" t="s">
        <v>5411</v>
      </c>
      <c r="B3523" t="s">
        <v>16</v>
      </c>
      <c r="C3523" t="s">
        <v>17</v>
      </c>
      <c r="D3523">
        <v>64885000</v>
      </c>
      <c r="E3523">
        <v>64889999</v>
      </c>
      <c r="F3523" t="s">
        <v>3188</v>
      </c>
      <c r="G3523" t="str">
        <f t="shared" si="108"/>
        <v>PII II</v>
      </c>
      <c r="H3523" t="s">
        <v>2995</v>
      </c>
      <c r="I3523" t="s">
        <v>20</v>
      </c>
      <c r="J3523" t="s">
        <v>64</v>
      </c>
      <c r="K3523" s="6">
        <v>0.03</v>
      </c>
      <c r="L3523" s="7">
        <f t="shared" si="109"/>
        <v>2E-3</v>
      </c>
      <c r="M3523" s="7">
        <v>3.0000000000000001E-3</v>
      </c>
      <c r="N3523">
        <v>15</v>
      </c>
      <c r="O3523" s="8">
        <v>22.680099489425388</v>
      </c>
      <c r="P3523" s="9">
        <v>22.680099489425388</v>
      </c>
      <c r="Q3523" s="9">
        <v>22.680099489425388</v>
      </c>
      <c r="R3523" s="9">
        <v>24.975706415973956</v>
      </c>
      <c r="S3523" s="9">
        <v>27.507757599557678</v>
      </c>
      <c r="T3523" s="9">
        <v>29.643595035649298</v>
      </c>
      <c r="U3523" s="9">
        <v>36.324172615829276</v>
      </c>
      <c r="V3523" s="9">
        <v>36.324172615829276</v>
      </c>
      <c r="W3523" s="9">
        <v>36.324172615829276</v>
      </c>
      <c r="X3523" s="9">
        <v>43.832136422596946</v>
      </c>
      <c r="Y3523" s="9">
        <v>43.832136422596946</v>
      </c>
      <c r="Z3523" s="9">
        <v>51.429400054836968</v>
      </c>
      <c r="AA3523" s="9">
        <v>51.429400054836968</v>
      </c>
      <c r="AB3523" s="9">
        <v>59.124893495096586</v>
      </c>
      <c r="AC3523" s="9">
        <v>59.124893495096586</v>
      </c>
      <c r="AD3523" s="9">
        <v>68.673407568137122</v>
      </c>
      <c r="AE3523" s="9">
        <v>75.899806853903883</v>
      </c>
      <c r="AF3523" s="9">
        <v>83.243930726651769</v>
      </c>
      <c r="AG3523" s="9">
        <v>83.243930726651769</v>
      </c>
      <c r="AH3523" s="9">
        <v>91.483430312965311</v>
      </c>
      <c r="AI3523" s="9">
        <v>99.63294480172658</v>
      </c>
      <c r="AJ3523" s="9">
        <v>3.0428788910505911</v>
      </c>
    </row>
    <row r="3524" spans="1:36" x14ac:dyDescent="0.25">
      <c r="A3524" t="s">
        <v>5411</v>
      </c>
      <c r="B3524" t="s">
        <v>16</v>
      </c>
      <c r="C3524" t="s">
        <v>17</v>
      </c>
      <c r="D3524">
        <v>64890000</v>
      </c>
      <c r="E3524">
        <v>64892999</v>
      </c>
      <c r="F3524" t="s">
        <v>3189</v>
      </c>
      <c r="G3524" t="str">
        <f t="shared" ref="G3524:G3587" si="110">H3524&amp;IF(J3524="CAPITAL","C",IF(J3524="INTERIOR","I",IF(J3524="INTERIOR II","I II","R")))</f>
        <v>PII II</v>
      </c>
      <c r="H3524" t="s">
        <v>2995</v>
      </c>
      <c r="I3524" t="s">
        <v>20</v>
      </c>
      <c r="J3524" t="s">
        <v>64</v>
      </c>
      <c r="K3524" s="6">
        <v>0.03</v>
      </c>
      <c r="L3524" s="7">
        <f t="shared" ref="L3524:L3587" si="111">IF(I3524="(0) Não",0.2%,3%)</f>
        <v>2E-3</v>
      </c>
      <c r="M3524" s="7">
        <v>3.0000000000000001E-3</v>
      </c>
      <c r="N3524">
        <v>15</v>
      </c>
      <c r="O3524" s="8">
        <v>22.680099489425388</v>
      </c>
      <c r="P3524" s="9">
        <v>22.680099489425388</v>
      </c>
      <c r="Q3524" s="9">
        <v>22.680099489425388</v>
      </c>
      <c r="R3524" s="9">
        <v>24.975706415973956</v>
      </c>
      <c r="S3524" s="9">
        <v>27.507757599557678</v>
      </c>
      <c r="T3524" s="9">
        <v>29.643595035649298</v>
      </c>
      <c r="U3524" s="9">
        <v>36.324172615829276</v>
      </c>
      <c r="V3524" s="9">
        <v>36.324172615829276</v>
      </c>
      <c r="W3524" s="9">
        <v>36.324172615829276</v>
      </c>
      <c r="X3524" s="9">
        <v>43.832136422596946</v>
      </c>
      <c r="Y3524" s="9">
        <v>43.832136422596946</v>
      </c>
      <c r="Z3524" s="9">
        <v>51.429400054836968</v>
      </c>
      <c r="AA3524" s="9">
        <v>51.429400054836968</v>
      </c>
      <c r="AB3524" s="9">
        <v>59.124893495096586</v>
      </c>
      <c r="AC3524" s="9">
        <v>59.124893495096586</v>
      </c>
      <c r="AD3524" s="9">
        <v>68.673407568137122</v>
      </c>
      <c r="AE3524" s="9">
        <v>75.899806853903883</v>
      </c>
      <c r="AF3524" s="9">
        <v>83.243930726651769</v>
      </c>
      <c r="AG3524" s="9">
        <v>83.243930726651769</v>
      </c>
      <c r="AH3524" s="9">
        <v>91.483430312965311</v>
      </c>
      <c r="AI3524" s="9">
        <v>99.63294480172658</v>
      </c>
      <c r="AJ3524" s="9">
        <v>3.0428788910505911</v>
      </c>
    </row>
    <row r="3525" spans="1:36" x14ac:dyDescent="0.25">
      <c r="A3525" t="s">
        <v>5411</v>
      </c>
      <c r="B3525" t="s">
        <v>16</v>
      </c>
      <c r="C3525" t="s">
        <v>17</v>
      </c>
      <c r="D3525">
        <v>64893000</v>
      </c>
      <c r="E3525">
        <v>64894999</v>
      </c>
      <c r="F3525" t="s">
        <v>3190</v>
      </c>
      <c r="G3525" t="str">
        <f t="shared" si="110"/>
        <v>PII II</v>
      </c>
      <c r="H3525" t="s">
        <v>2995</v>
      </c>
      <c r="I3525" t="s">
        <v>20</v>
      </c>
      <c r="J3525" t="s">
        <v>64</v>
      </c>
      <c r="K3525" s="6">
        <v>0.03</v>
      </c>
      <c r="L3525" s="7">
        <f t="shared" si="111"/>
        <v>2E-3</v>
      </c>
      <c r="M3525" s="7">
        <v>3.0000000000000001E-3</v>
      </c>
      <c r="N3525">
        <v>15</v>
      </c>
      <c r="O3525" s="8">
        <v>22.680099489425388</v>
      </c>
      <c r="P3525" s="9">
        <v>22.680099489425388</v>
      </c>
      <c r="Q3525" s="9">
        <v>22.680099489425388</v>
      </c>
      <c r="R3525" s="9">
        <v>24.975706415973956</v>
      </c>
      <c r="S3525" s="9">
        <v>27.507757599557678</v>
      </c>
      <c r="T3525" s="9">
        <v>29.643595035649298</v>
      </c>
      <c r="U3525" s="9">
        <v>36.324172615829276</v>
      </c>
      <c r="V3525" s="9">
        <v>36.324172615829276</v>
      </c>
      <c r="W3525" s="9">
        <v>36.324172615829276</v>
      </c>
      <c r="X3525" s="9">
        <v>43.832136422596946</v>
      </c>
      <c r="Y3525" s="9">
        <v>43.832136422596946</v>
      </c>
      <c r="Z3525" s="9">
        <v>51.429400054836968</v>
      </c>
      <c r="AA3525" s="9">
        <v>51.429400054836968</v>
      </c>
      <c r="AB3525" s="9">
        <v>59.124893495096586</v>
      </c>
      <c r="AC3525" s="9">
        <v>59.124893495096586</v>
      </c>
      <c r="AD3525" s="9">
        <v>68.673407568137122</v>
      </c>
      <c r="AE3525" s="9">
        <v>75.899806853903883</v>
      </c>
      <c r="AF3525" s="9">
        <v>83.243930726651769</v>
      </c>
      <c r="AG3525" s="9">
        <v>83.243930726651769</v>
      </c>
      <c r="AH3525" s="9">
        <v>91.483430312965311</v>
      </c>
      <c r="AI3525" s="9">
        <v>99.63294480172658</v>
      </c>
      <c r="AJ3525" s="9">
        <v>3.0428788910505911</v>
      </c>
    </row>
    <row r="3526" spans="1:36" x14ac:dyDescent="0.25">
      <c r="A3526" t="s">
        <v>5411</v>
      </c>
      <c r="B3526" t="s">
        <v>16</v>
      </c>
      <c r="C3526" t="s">
        <v>17</v>
      </c>
      <c r="D3526">
        <v>64895000</v>
      </c>
      <c r="E3526">
        <v>64897999</v>
      </c>
      <c r="F3526" t="s">
        <v>3191</v>
      </c>
      <c r="G3526" t="str">
        <f t="shared" si="110"/>
        <v>PII II</v>
      </c>
      <c r="H3526" t="s">
        <v>2995</v>
      </c>
      <c r="I3526" t="s">
        <v>20</v>
      </c>
      <c r="J3526" t="s">
        <v>64</v>
      </c>
      <c r="K3526" s="6">
        <v>0.03</v>
      </c>
      <c r="L3526" s="7">
        <f t="shared" si="111"/>
        <v>2E-3</v>
      </c>
      <c r="M3526" s="7">
        <v>3.0000000000000001E-3</v>
      </c>
      <c r="N3526">
        <v>15</v>
      </c>
      <c r="O3526" s="8">
        <v>22.680099489425388</v>
      </c>
      <c r="P3526" s="9">
        <v>22.680099489425388</v>
      </c>
      <c r="Q3526" s="9">
        <v>22.680099489425388</v>
      </c>
      <c r="R3526" s="9">
        <v>24.975706415973956</v>
      </c>
      <c r="S3526" s="9">
        <v>27.507757599557678</v>
      </c>
      <c r="T3526" s="9">
        <v>29.643595035649298</v>
      </c>
      <c r="U3526" s="9">
        <v>36.324172615829276</v>
      </c>
      <c r="V3526" s="9">
        <v>36.324172615829276</v>
      </c>
      <c r="W3526" s="9">
        <v>36.324172615829276</v>
      </c>
      <c r="X3526" s="9">
        <v>43.832136422596946</v>
      </c>
      <c r="Y3526" s="9">
        <v>43.832136422596946</v>
      </c>
      <c r="Z3526" s="9">
        <v>51.429400054836968</v>
      </c>
      <c r="AA3526" s="9">
        <v>51.429400054836968</v>
      </c>
      <c r="AB3526" s="9">
        <v>59.124893495096586</v>
      </c>
      <c r="AC3526" s="9">
        <v>59.124893495096586</v>
      </c>
      <c r="AD3526" s="9">
        <v>68.673407568137122</v>
      </c>
      <c r="AE3526" s="9">
        <v>75.899806853903883</v>
      </c>
      <c r="AF3526" s="9">
        <v>83.243930726651769</v>
      </c>
      <c r="AG3526" s="9">
        <v>83.243930726651769</v>
      </c>
      <c r="AH3526" s="9">
        <v>91.483430312965311</v>
      </c>
      <c r="AI3526" s="9">
        <v>99.63294480172658</v>
      </c>
      <c r="AJ3526" s="9">
        <v>3.0428788910505911</v>
      </c>
    </row>
    <row r="3527" spans="1:36" x14ac:dyDescent="0.25">
      <c r="A3527" t="s">
        <v>5411</v>
      </c>
      <c r="B3527" t="s">
        <v>16</v>
      </c>
      <c r="C3527" t="s">
        <v>17</v>
      </c>
      <c r="D3527">
        <v>64898000</v>
      </c>
      <c r="E3527">
        <v>64899999</v>
      </c>
      <c r="F3527" t="s">
        <v>3192</v>
      </c>
      <c r="G3527" t="str">
        <f t="shared" si="110"/>
        <v>PII II</v>
      </c>
      <c r="H3527" t="s">
        <v>2995</v>
      </c>
      <c r="I3527" t="s">
        <v>20</v>
      </c>
      <c r="J3527" t="s">
        <v>64</v>
      </c>
      <c r="K3527" s="6">
        <v>0.03</v>
      </c>
      <c r="L3527" s="7">
        <f t="shared" si="111"/>
        <v>2E-3</v>
      </c>
      <c r="M3527" s="7">
        <v>3.0000000000000001E-3</v>
      </c>
      <c r="N3527">
        <v>15</v>
      </c>
      <c r="O3527" s="8">
        <v>22.680099489425388</v>
      </c>
      <c r="P3527" s="9">
        <v>22.680099489425388</v>
      </c>
      <c r="Q3527" s="9">
        <v>22.680099489425388</v>
      </c>
      <c r="R3527" s="9">
        <v>24.975706415973956</v>
      </c>
      <c r="S3527" s="9">
        <v>27.507757599557678</v>
      </c>
      <c r="T3527" s="9">
        <v>29.643595035649298</v>
      </c>
      <c r="U3527" s="9">
        <v>36.324172615829276</v>
      </c>
      <c r="V3527" s="9">
        <v>36.324172615829276</v>
      </c>
      <c r="W3527" s="9">
        <v>36.324172615829276</v>
      </c>
      <c r="X3527" s="9">
        <v>43.832136422596946</v>
      </c>
      <c r="Y3527" s="9">
        <v>43.832136422596946</v>
      </c>
      <c r="Z3527" s="9">
        <v>51.429400054836968</v>
      </c>
      <c r="AA3527" s="9">
        <v>51.429400054836968</v>
      </c>
      <c r="AB3527" s="9">
        <v>59.124893495096586</v>
      </c>
      <c r="AC3527" s="9">
        <v>59.124893495096586</v>
      </c>
      <c r="AD3527" s="9">
        <v>68.673407568137122</v>
      </c>
      <c r="AE3527" s="9">
        <v>75.899806853903883</v>
      </c>
      <c r="AF3527" s="9">
        <v>83.243930726651769</v>
      </c>
      <c r="AG3527" s="9">
        <v>83.243930726651769</v>
      </c>
      <c r="AH3527" s="9">
        <v>91.483430312965311</v>
      </c>
      <c r="AI3527" s="9">
        <v>99.63294480172658</v>
      </c>
      <c r="AJ3527" s="9">
        <v>3.0428788910505911</v>
      </c>
    </row>
    <row r="3528" spans="1:36" x14ac:dyDescent="0.25">
      <c r="A3528" t="s">
        <v>5411</v>
      </c>
      <c r="B3528" t="s">
        <v>16</v>
      </c>
      <c r="C3528" t="s">
        <v>17</v>
      </c>
      <c r="D3528">
        <v>64900000</v>
      </c>
      <c r="E3528">
        <v>64904999</v>
      </c>
      <c r="F3528" t="s">
        <v>2652</v>
      </c>
      <c r="G3528" t="str">
        <f t="shared" si="110"/>
        <v>PII II</v>
      </c>
      <c r="H3528" t="s">
        <v>2995</v>
      </c>
      <c r="I3528" t="s">
        <v>20</v>
      </c>
      <c r="J3528" t="s">
        <v>64</v>
      </c>
      <c r="K3528" s="6">
        <v>0.03</v>
      </c>
      <c r="L3528" s="7">
        <f t="shared" si="111"/>
        <v>2E-3</v>
      </c>
      <c r="M3528" s="7">
        <v>3.0000000000000001E-3</v>
      </c>
      <c r="N3528">
        <v>14</v>
      </c>
      <c r="O3528" s="8">
        <v>22.680099489425388</v>
      </c>
      <c r="P3528" s="9">
        <v>22.680099489425388</v>
      </c>
      <c r="Q3528" s="9">
        <v>22.680099489425388</v>
      </c>
      <c r="R3528" s="9">
        <v>24.975706415973956</v>
      </c>
      <c r="S3528" s="9">
        <v>27.507757599557678</v>
      </c>
      <c r="T3528" s="9">
        <v>29.643595035649298</v>
      </c>
      <c r="U3528" s="9">
        <v>36.324172615829276</v>
      </c>
      <c r="V3528" s="9">
        <v>36.324172615829276</v>
      </c>
      <c r="W3528" s="9">
        <v>36.324172615829276</v>
      </c>
      <c r="X3528" s="9">
        <v>43.832136422596946</v>
      </c>
      <c r="Y3528" s="9">
        <v>43.832136422596946</v>
      </c>
      <c r="Z3528" s="9">
        <v>51.429400054836968</v>
      </c>
      <c r="AA3528" s="9">
        <v>51.429400054836968</v>
      </c>
      <c r="AB3528" s="9">
        <v>59.124893495096586</v>
      </c>
      <c r="AC3528" s="9">
        <v>59.124893495096586</v>
      </c>
      <c r="AD3528" s="9">
        <v>68.673407568137122</v>
      </c>
      <c r="AE3528" s="9">
        <v>75.899806853903883</v>
      </c>
      <c r="AF3528" s="9">
        <v>83.243930726651769</v>
      </c>
      <c r="AG3528" s="9">
        <v>83.243930726651769</v>
      </c>
      <c r="AH3528" s="9">
        <v>91.483430312965311</v>
      </c>
      <c r="AI3528" s="9">
        <v>99.63294480172658</v>
      </c>
      <c r="AJ3528" s="9">
        <v>3.0428788910505911</v>
      </c>
    </row>
    <row r="3529" spans="1:36" x14ac:dyDescent="0.25">
      <c r="A3529" t="s">
        <v>5411</v>
      </c>
      <c r="B3529" t="s">
        <v>16</v>
      </c>
      <c r="C3529" t="s">
        <v>17</v>
      </c>
      <c r="D3529">
        <v>64905000</v>
      </c>
      <c r="E3529">
        <v>64909999</v>
      </c>
      <c r="F3529" t="s">
        <v>3193</v>
      </c>
      <c r="G3529" t="str">
        <f t="shared" si="110"/>
        <v>PII II</v>
      </c>
      <c r="H3529" t="s">
        <v>2995</v>
      </c>
      <c r="I3529" t="s">
        <v>20</v>
      </c>
      <c r="J3529" t="s">
        <v>64</v>
      </c>
      <c r="K3529" s="6">
        <v>0.03</v>
      </c>
      <c r="L3529" s="7">
        <f t="shared" si="111"/>
        <v>2E-3</v>
      </c>
      <c r="M3529" s="7">
        <v>3.0000000000000001E-3</v>
      </c>
      <c r="N3529">
        <v>15</v>
      </c>
      <c r="O3529" s="8">
        <v>22.680099489425388</v>
      </c>
      <c r="P3529" s="9">
        <v>22.680099489425388</v>
      </c>
      <c r="Q3529" s="9">
        <v>22.680099489425388</v>
      </c>
      <c r="R3529" s="9">
        <v>24.975706415973956</v>
      </c>
      <c r="S3529" s="9">
        <v>27.507757599557678</v>
      </c>
      <c r="T3529" s="9">
        <v>29.643595035649298</v>
      </c>
      <c r="U3529" s="9">
        <v>36.324172615829276</v>
      </c>
      <c r="V3529" s="9">
        <v>36.324172615829276</v>
      </c>
      <c r="W3529" s="9">
        <v>36.324172615829276</v>
      </c>
      <c r="X3529" s="9">
        <v>43.832136422596946</v>
      </c>
      <c r="Y3529" s="9">
        <v>43.832136422596946</v>
      </c>
      <c r="Z3529" s="9">
        <v>51.429400054836968</v>
      </c>
      <c r="AA3529" s="9">
        <v>51.429400054836968</v>
      </c>
      <c r="AB3529" s="9">
        <v>59.124893495096586</v>
      </c>
      <c r="AC3529" s="9">
        <v>59.124893495096586</v>
      </c>
      <c r="AD3529" s="9">
        <v>68.673407568137122</v>
      </c>
      <c r="AE3529" s="9">
        <v>75.899806853903883</v>
      </c>
      <c r="AF3529" s="9">
        <v>83.243930726651769</v>
      </c>
      <c r="AG3529" s="9">
        <v>83.243930726651769</v>
      </c>
      <c r="AH3529" s="9">
        <v>91.483430312965311</v>
      </c>
      <c r="AI3529" s="9">
        <v>99.63294480172658</v>
      </c>
      <c r="AJ3529" s="9">
        <v>3.0428788910505911</v>
      </c>
    </row>
    <row r="3530" spans="1:36" x14ac:dyDescent="0.25">
      <c r="A3530" t="s">
        <v>5411</v>
      </c>
      <c r="B3530" t="s">
        <v>16</v>
      </c>
      <c r="C3530" t="s">
        <v>17</v>
      </c>
      <c r="D3530">
        <v>64910000</v>
      </c>
      <c r="E3530">
        <v>64914999</v>
      </c>
      <c r="F3530" t="s">
        <v>3194</v>
      </c>
      <c r="G3530" t="str">
        <f t="shared" si="110"/>
        <v>PII II</v>
      </c>
      <c r="H3530" t="s">
        <v>2995</v>
      </c>
      <c r="I3530" t="s">
        <v>20</v>
      </c>
      <c r="J3530" t="s">
        <v>64</v>
      </c>
      <c r="K3530" s="6">
        <v>0.03</v>
      </c>
      <c r="L3530" s="7">
        <f t="shared" si="111"/>
        <v>2E-3</v>
      </c>
      <c r="M3530" s="7">
        <v>3.0000000000000001E-3</v>
      </c>
      <c r="N3530">
        <v>15</v>
      </c>
      <c r="O3530" s="8">
        <v>22.680099489425388</v>
      </c>
      <c r="P3530" s="9">
        <v>22.680099489425388</v>
      </c>
      <c r="Q3530" s="9">
        <v>22.680099489425388</v>
      </c>
      <c r="R3530" s="9">
        <v>24.975706415973956</v>
      </c>
      <c r="S3530" s="9">
        <v>27.507757599557678</v>
      </c>
      <c r="T3530" s="9">
        <v>29.643595035649298</v>
      </c>
      <c r="U3530" s="9">
        <v>36.324172615829276</v>
      </c>
      <c r="V3530" s="9">
        <v>36.324172615829276</v>
      </c>
      <c r="W3530" s="9">
        <v>36.324172615829276</v>
      </c>
      <c r="X3530" s="9">
        <v>43.832136422596946</v>
      </c>
      <c r="Y3530" s="9">
        <v>43.832136422596946</v>
      </c>
      <c r="Z3530" s="9">
        <v>51.429400054836968</v>
      </c>
      <c r="AA3530" s="9">
        <v>51.429400054836968</v>
      </c>
      <c r="AB3530" s="9">
        <v>59.124893495096586</v>
      </c>
      <c r="AC3530" s="9">
        <v>59.124893495096586</v>
      </c>
      <c r="AD3530" s="9">
        <v>68.673407568137122</v>
      </c>
      <c r="AE3530" s="9">
        <v>75.899806853903883</v>
      </c>
      <c r="AF3530" s="9">
        <v>83.243930726651769</v>
      </c>
      <c r="AG3530" s="9">
        <v>83.243930726651769</v>
      </c>
      <c r="AH3530" s="9">
        <v>91.483430312965311</v>
      </c>
      <c r="AI3530" s="9">
        <v>99.63294480172658</v>
      </c>
      <c r="AJ3530" s="9">
        <v>3.0428788910505911</v>
      </c>
    </row>
    <row r="3531" spans="1:36" x14ac:dyDescent="0.25">
      <c r="A3531" t="s">
        <v>5411</v>
      </c>
      <c r="B3531" t="s">
        <v>16</v>
      </c>
      <c r="C3531" t="s">
        <v>17</v>
      </c>
      <c r="D3531">
        <v>64915000</v>
      </c>
      <c r="E3531">
        <v>64919999</v>
      </c>
      <c r="F3531" t="s">
        <v>3195</v>
      </c>
      <c r="G3531" t="str">
        <f t="shared" si="110"/>
        <v>PII II</v>
      </c>
      <c r="H3531" t="s">
        <v>2995</v>
      </c>
      <c r="I3531" t="s">
        <v>20</v>
      </c>
      <c r="J3531" t="s">
        <v>64</v>
      </c>
      <c r="K3531" s="6">
        <v>0.03</v>
      </c>
      <c r="L3531" s="7">
        <f t="shared" si="111"/>
        <v>2E-3</v>
      </c>
      <c r="M3531" s="7">
        <v>3.0000000000000001E-3</v>
      </c>
      <c r="N3531">
        <v>15</v>
      </c>
      <c r="O3531" s="8">
        <v>22.680099489425388</v>
      </c>
      <c r="P3531" s="9">
        <v>22.680099489425388</v>
      </c>
      <c r="Q3531" s="9">
        <v>22.680099489425388</v>
      </c>
      <c r="R3531" s="9">
        <v>24.975706415973956</v>
      </c>
      <c r="S3531" s="9">
        <v>27.507757599557678</v>
      </c>
      <c r="T3531" s="9">
        <v>29.643595035649298</v>
      </c>
      <c r="U3531" s="9">
        <v>36.324172615829276</v>
      </c>
      <c r="V3531" s="9">
        <v>36.324172615829276</v>
      </c>
      <c r="W3531" s="9">
        <v>36.324172615829276</v>
      </c>
      <c r="X3531" s="9">
        <v>43.832136422596946</v>
      </c>
      <c r="Y3531" s="9">
        <v>43.832136422596946</v>
      </c>
      <c r="Z3531" s="9">
        <v>51.429400054836968</v>
      </c>
      <c r="AA3531" s="9">
        <v>51.429400054836968</v>
      </c>
      <c r="AB3531" s="9">
        <v>59.124893495096586</v>
      </c>
      <c r="AC3531" s="9">
        <v>59.124893495096586</v>
      </c>
      <c r="AD3531" s="9">
        <v>68.673407568137122</v>
      </c>
      <c r="AE3531" s="9">
        <v>75.899806853903883</v>
      </c>
      <c r="AF3531" s="9">
        <v>83.243930726651769</v>
      </c>
      <c r="AG3531" s="9">
        <v>83.243930726651769</v>
      </c>
      <c r="AH3531" s="9">
        <v>91.483430312965311</v>
      </c>
      <c r="AI3531" s="9">
        <v>99.63294480172658</v>
      </c>
      <c r="AJ3531" s="9">
        <v>3.0428788910505911</v>
      </c>
    </row>
    <row r="3532" spans="1:36" x14ac:dyDescent="0.25">
      <c r="A3532" t="s">
        <v>5411</v>
      </c>
      <c r="B3532" t="s">
        <v>16</v>
      </c>
      <c r="C3532" t="s">
        <v>17</v>
      </c>
      <c r="D3532">
        <v>64920000</v>
      </c>
      <c r="E3532">
        <v>64922999</v>
      </c>
      <c r="F3532" t="s">
        <v>3196</v>
      </c>
      <c r="G3532" t="str">
        <f t="shared" si="110"/>
        <v>PII II</v>
      </c>
      <c r="H3532" t="s">
        <v>2995</v>
      </c>
      <c r="I3532" t="s">
        <v>20</v>
      </c>
      <c r="J3532" t="s">
        <v>64</v>
      </c>
      <c r="K3532" s="6">
        <v>0.03</v>
      </c>
      <c r="L3532" s="7">
        <f t="shared" si="111"/>
        <v>2E-3</v>
      </c>
      <c r="M3532" s="7">
        <v>3.0000000000000001E-3</v>
      </c>
      <c r="N3532">
        <v>15</v>
      </c>
      <c r="O3532" s="8">
        <v>22.680099489425388</v>
      </c>
      <c r="P3532" s="9">
        <v>22.680099489425388</v>
      </c>
      <c r="Q3532" s="9">
        <v>22.680099489425388</v>
      </c>
      <c r="R3532" s="9">
        <v>24.975706415973956</v>
      </c>
      <c r="S3532" s="9">
        <v>27.507757599557678</v>
      </c>
      <c r="T3532" s="9">
        <v>29.643595035649298</v>
      </c>
      <c r="U3532" s="9">
        <v>36.324172615829276</v>
      </c>
      <c r="V3532" s="9">
        <v>36.324172615829276</v>
      </c>
      <c r="W3532" s="9">
        <v>36.324172615829276</v>
      </c>
      <c r="X3532" s="9">
        <v>43.832136422596946</v>
      </c>
      <c r="Y3532" s="9">
        <v>43.832136422596946</v>
      </c>
      <c r="Z3532" s="9">
        <v>51.429400054836968</v>
      </c>
      <c r="AA3532" s="9">
        <v>51.429400054836968</v>
      </c>
      <c r="AB3532" s="9">
        <v>59.124893495096586</v>
      </c>
      <c r="AC3532" s="9">
        <v>59.124893495096586</v>
      </c>
      <c r="AD3532" s="9">
        <v>68.673407568137122</v>
      </c>
      <c r="AE3532" s="9">
        <v>75.899806853903883</v>
      </c>
      <c r="AF3532" s="9">
        <v>83.243930726651769</v>
      </c>
      <c r="AG3532" s="9">
        <v>83.243930726651769</v>
      </c>
      <c r="AH3532" s="9">
        <v>91.483430312965311</v>
      </c>
      <c r="AI3532" s="9">
        <v>99.63294480172658</v>
      </c>
      <c r="AJ3532" s="9">
        <v>3.0428788910505911</v>
      </c>
    </row>
    <row r="3533" spans="1:36" x14ac:dyDescent="0.25">
      <c r="A3533" t="s">
        <v>5411</v>
      </c>
      <c r="B3533" t="s">
        <v>16</v>
      </c>
      <c r="C3533" t="s">
        <v>17</v>
      </c>
      <c r="D3533">
        <v>64923000</v>
      </c>
      <c r="E3533">
        <v>64924999</v>
      </c>
      <c r="F3533" t="s">
        <v>3197</v>
      </c>
      <c r="G3533" t="str">
        <f t="shared" si="110"/>
        <v>PII II</v>
      </c>
      <c r="H3533" t="s">
        <v>2995</v>
      </c>
      <c r="I3533" t="s">
        <v>20</v>
      </c>
      <c r="J3533" t="s">
        <v>64</v>
      </c>
      <c r="K3533" s="6">
        <v>0.03</v>
      </c>
      <c r="L3533" s="7">
        <f t="shared" si="111"/>
        <v>2E-3</v>
      </c>
      <c r="M3533" s="7">
        <v>3.0000000000000001E-3</v>
      </c>
      <c r="N3533">
        <v>15</v>
      </c>
      <c r="O3533" s="8">
        <v>22.680099489425388</v>
      </c>
      <c r="P3533" s="9">
        <v>22.680099489425388</v>
      </c>
      <c r="Q3533" s="9">
        <v>22.680099489425388</v>
      </c>
      <c r="R3533" s="9">
        <v>24.975706415973956</v>
      </c>
      <c r="S3533" s="9">
        <v>27.507757599557678</v>
      </c>
      <c r="T3533" s="9">
        <v>29.643595035649298</v>
      </c>
      <c r="U3533" s="9">
        <v>36.324172615829276</v>
      </c>
      <c r="V3533" s="9">
        <v>36.324172615829276</v>
      </c>
      <c r="W3533" s="9">
        <v>36.324172615829276</v>
      </c>
      <c r="X3533" s="9">
        <v>43.832136422596946</v>
      </c>
      <c r="Y3533" s="9">
        <v>43.832136422596946</v>
      </c>
      <c r="Z3533" s="9">
        <v>51.429400054836968</v>
      </c>
      <c r="AA3533" s="9">
        <v>51.429400054836968</v>
      </c>
      <c r="AB3533" s="9">
        <v>59.124893495096586</v>
      </c>
      <c r="AC3533" s="9">
        <v>59.124893495096586</v>
      </c>
      <c r="AD3533" s="9">
        <v>68.673407568137122</v>
      </c>
      <c r="AE3533" s="9">
        <v>75.899806853903883</v>
      </c>
      <c r="AF3533" s="9">
        <v>83.243930726651769</v>
      </c>
      <c r="AG3533" s="9">
        <v>83.243930726651769</v>
      </c>
      <c r="AH3533" s="9">
        <v>91.483430312965311</v>
      </c>
      <c r="AI3533" s="9">
        <v>99.63294480172658</v>
      </c>
      <c r="AJ3533" s="9">
        <v>3.0428788910505911</v>
      </c>
    </row>
    <row r="3534" spans="1:36" x14ac:dyDescent="0.25">
      <c r="A3534" t="s">
        <v>5411</v>
      </c>
      <c r="B3534" t="s">
        <v>16</v>
      </c>
      <c r="C3534" t="s">
        <v>17</v>
      </c>
      <c r="D3534">
        <v>64925000</v>
      </c>
      <c r="E3534">
        <v>64929999</v>
      </c>
      <c r="F3534" t="s">
        <v>3198</v>
      </c>
      <c r="G3534" t="str">
        <f t="shared" si="110"/>
        <v>PII II</v>
      </c>
      <c r="H3534" t="s">
        <v>2995</v>
      </c>
      <c r="I3534" t="s">
        <v>20</v>
      </c>
      <c r="J3534" t="s">
        <v>64</v>
      </c>
      <c r="K3534" s="6">
        <v>0.03</v>
      </c>
      <c r="L3534" s="7">
        <f t="shared" si="111"/>
        <v>2E-3</v>
      </c>
      <c r="M3534" s="7">
        <v>3.0000000000000001E-3</v>
      </c>
      <c r="N3534">
        <v>15</v>
      </c>
      <c r="O3534" s="8">
        <v>22.680099489425388</v>
      </c>
      <c r="P3534" s="9">
        <v>22.680099489425388</v>
      </c>
      <c r="Q3534" s="9">
        <v>22.680099489425388</v>
      </c>
      <c r="R3534" s="9">
        <v>24.975706415973956</v>
      </c>
      <c r="S3534" s="9">
        <v>27.507757599557678</v>
      </c>
      <c r="T3534" s="9">
        <v>29.643595035649298</v>
      </c>
      <c r="U3534" s="9">
        <v>36.324172615829276</v>
      </c>
      <c r="V3534" s="9">
        <v>36.324172615829276</v>
      </c>
      <c r="W3534" s="9">
        <v>36.324172615829276</v>
      </c>
      <c r="X3534" s="9">
        <v>43.832136422596946</v>
      </c>
      <c r="Y3534" s="9">
        <v>43.832136422596946</v>
      </c>
      <c r="Z3534" s="9">
        <v>51.429400054836968</v>
      </c>
      <c r="AA3534" s="9">
        <v>51.429400054836968</v>
      </c>
      <c r="AB3534" s="9">
        <v>59.124893495096586</v>
      </c>
      <c r="AC3534" s="9">
        <v>59.124893495096586</v>
      </c>
      <c r="AD3534" s="9">
        <v>68.673407568137122</v>
      </c>
      <c r="AE3534" s="9">
        <v>75.899806853903883</v>
      </c>
      <c r="AF3534" s="9">
        <v>83.243930726651769</v>
      </c>
      <c r="AG3534" s="9">
        <v>83.243930726651769</v>
      </c>
      <c r="AH3534" s="9">
        <v>91.483430312965311</v>
      </c>
      <c r="AI3534" s="9">
        <v>99.63294480172658</v>
      </c>
      <c r="AJ3534" s="9">
        <v>3.0428788910505911</v>
      </c>
    </row>
    <row r="3535" spans="1:36" x14ac:dyDescent="0.25">
      <c r="A3535" t="s">
        <v>5411</v>
      </c>
      <c r="B3535" t="s">
        <v>16</v>
      </c>
      <c r="C3535" t="s">
        <v>17</v>
      </c>
      <c r="D3535">
        <v>64930000</v>
      </c>
      <c r="E3535">
        <v>64939999</v>
      </c>
      <c r="F3535" t="s">
        <v>3199</v>
      </c>
      <c r="G3535" t="str">
        <f t="shared" si="110"/>
        <v>PII II</v>
      </c>
      <c r="H3535" t="s">
        <v>2995</v>
      </c>
      <c r="I3535" t="s">
        <v>20</v>
      </c>
      <c r="J3535" t="s">
        <v>64</v>
      </c>
      <c r="K3535" s="6">
        <v>0.03</v>
      </c>
      <c r="L3535" s="7">
        <f t="shared" si="111"/>
        <v>2E-3</v>
      </c>
      <c r="M3535" s="7">
        <v>3.0000000000000001E-3</v>
      </c>
      <c r="N3535">
        <v>15</v>
      </c>
      <c r="O3535" s="8">
        <v>22.680099489425388</v>
      </c>
      <c r="P3535" s="9">
        <v>22.680099489425388</v>
      </c>
      <c r="Q3535" s="9">
        <v>22.680099489425388</v>
      </c>
      <c r="R3535" s="9">
        <v>24.975706415973956</v>
      </c>
      <c r="S3535" s="9">
        <v>27.507757599557678</v>
      </c>
      <c r="T3535" s="9">
        <v>29.643595035649298</v>
      </c>
      <c r="U3535" s="9">
        <v>36.324172615829276</v>
      </c>
      <c r="V3535" s="9">
        <v>36.324172615829276</v>
      </c>
      <c r="W3535" s="9">
        <v>36.324172615829276</v>
      </c>
      <c r="X3535" s="9">
        <v>43.832136422596946</v>
      </c>
      <c r="Y3535" s="9">
        <v>43.832136422596946</v>
      </c>
      <c r="Z3535" s="9">
        <v>51.429400054836968</v>
      </c>
      <c r="AA3535" s="9">
        <v>51.429400054836968</v>
      </c>
      <c r="AB3535" s="9">
        <v>59.124893495096586</v>
      </c>
      <c r="AC3535" s="9">
        <v>59.124893495096586</v>
      </c>
      <c r="AD3535" s="9">
        <v>68.673407568137122</v>
      </c>
      <c r="AE3535" s="9">
        <v>75.899806853903883</v>
      </c>
      <c r="AF3535" s="9">
        <v>83.243930726651769</v>
      </c>
      <c r="AG3535" s="9">
        <v>83.243930726651769</v>
      </c>
      <c r="AH3535" s="9">
        <v>91.483430312965311</v>
      </c>
      <c r="AI3535" s="9">
        <v>99.63294480172658</v>
      </c>
      <c r="AJ3535" s="9">
        <v>3.0428788910505911</v>
      </c>
    </row>
    <row r="3536" spans="1:36" x14ac:dyDescent="0.25">
      <c r="A3536" t="s">
        <v>5411</v>
      </c>
      <c r="B3536" t="s">
        <v>16</v>
      </c>
      <c r="C3536" t="s">
        <v>17</v>
      </c>
      <c r="D3536">
        <v>64940000</v>
      </c>
      <c r="E3536">
        <v>64944999</v>
      </c>
      <c r="F3536" t="s">
        <v>3200</v>
      </c>
      <c r="G3536" t="str">
        <f t="shared" si="110"/>
        <v>PII II</v>
      </c>
      <c r="H3536" t="s">
        <v>2995</v>
      </c>
      <c r="I3536" t="s">
        <v>20</v>
      </c>
      <c r="J3536" t="s">
        <v>64</v>
      </c>
      <c r="K3536" s="6">
        <v>0.03</v>
      </c>
      <c r="L3536" s="7">
        <f t="shared" si="111"/>
        <v>2E-3</v>
      </c>
      <c r="M3536" s="7">
        <v>3.0000000000000001E-3</v>
      </c>
      <c r="N3536">
        <v>15</v>
      </c>
      <c r="O3536" s="8">
        <v>22.680099489425388</v>
      </c>
      <c r="P3536" s="9">
        <v>22.680099489425388</v>
      </c>
      <c r="Q3536" s="9">
        <v>22.680099489425388</v>
      </c>
      <c r="R3536" s="9">
        <v>24.975706415973956</v>
      </c>
      <c r="S3536" s="9">
        <v>27.507757599557678</v>
      </c>
      <c r="T3536" s="9">
        <v>29.643595035649298</v>
      </c>
      <c r="U3536" s="9">
        <v>36.324172615829276</v>
      </c>
      <c r="V3536" s="9">
        <v>36.324172615829276</v>
      </c>
      <c r="W3536" s="9">
        <v>36.324172615829276</v>
      </c>
      <c r="X3536" s="9">
        <v>43.832136422596946</v>
      </c>
      <c r="Y3536" s="9">
        <v>43.832136422596946</v>
      </c>
      <c r="Z3536" s="9">
        <v>51.429400054836968</v>
      </c>
      <c r="AA3536" s="9">
        <v>51.429400054836968</v>
      </c>
      <c r="AB3536" s="9">
        <v>59.124893495096586</v>
      </c>
      <c r="AC3536" s="9">
        <v>59.124893495096586</v>
      </c>
      <c r="AD3536" s="9">
        <v>68.673407568137122</v>
      </c>
      <c r="AE3536" s="9">
        <v>75.899806853903883</v>
      </c>
      <c r="AF3536" s="9">
        <v>83.243930726651769</v>
      </c>
      <c r="AG3536" s="9">
        <v>83.243930726651769</v>
      </c>
      <c r="AH3536" s="9">
        <v>91.483430312965311</v>
      </c>
      <c r="AI3536" s="9">
        <v>99.63294480172658</v>
      </c>
      <c r="AJ3536" s="9">
        <v>3.0428788910505911</v>
      </c>
    </row>
    <row r="3537" spans="1:36" x14ac:dyDescent="0.25">
      <c r="A3537" t="s">
        <v>5411</v>
      </c>
      <c r="B3537" t="s">
        <v>16</v>
      </c>
      <c r="C3537" t="s">
        <v>17</v>
      </c>
      <c r="D3537">
        <v>64945000</v>
      </c>
      <c r="E3537">
        <v>64959999</v>
      </c>
      <c r="F3537" t="s">
        <v>2325</v>
      </c>
      <c r="G3537" t="str">
        <f t="shared" si="110"/>
        <v>PII II</v>
      </c>
      <c r="H3537" t="s">
        <v>2995</v>
      </c>
      <c r="I3537" t="s">
        <v>20</v>
      </c>
      <c r="J3537" t="s">
        <v>64</v>
      </c>
      <c r="K3537" s="6">
        <v>0.03</v>
      </c>
      <c r="L3537" s="7">
        <f t="shared" si="111"/>
        <v>2E-3</v>
      </c>
      <c r="M3537" s="7">
        <v>3.0000000000000001E-3</v>
      </c>
      <c r="N3537">
        <v>15</v>
      </c>
      <c r="O3537" s="8">
        <v>22.680099489425388</v>
      </c>
      <c r="P3537" s="9">
        <v>22.680099489425388</v>
      </c>
      <c r="Q3537" s="9">
        <v>22.680099489425388</v>
      </c>
      <c r="R3537" s="9">
        <v>24.975706415973956</v>
      </c>
      <c r="S3537" s="9">
        <v>27.507757599557678</v>
      </c>
      <c r="T3537" s="9">
        <v>29.643595035649298</v>
      </c>
      <c r="U3537" s="9">
        <v>36.324172615829276</v>
      </c>
      <c r="V3537" s="9">
        <v>36.324172615829276</v>
      </c>
      <c r="W3537" s="9">
        <v>36.324172615829276</v>
      </c>
      <c r="X3537" s="9">
        <v>43.832136422596946</v>
      </c>
      <c r="Y3537" s="9">
        <v>43.832136422596946</v>
      </c>
      <c r="Z3537" s="9">
        <v>51.429400054836968</v>
      </c>
      <c r="AA3537" s="9">
        <v>51.429400054836968</v>
      </c>
      <c r="AB3537" s="9">
        <v>59.124893495096586</v>
      </c>
      <c r="AC3537" s="9">
        <v>59.124893495096586</v>
      </c>
      <c r="AD3537" s="9">
        <v>68.673407568137122</v>
      </c>
      <c r="AE3537" s="9">
        <v>75.899806853903883</v>
      </c>
      <c r="AF3537" s="9">
        <v>83.243930726651769</v>
      </c>
      <c r="AG3537" s="9">
        <v>83.243930726651769</v>
      </c>
      <c r="AH3537" s="9">
        <v>91.483430312965311</v>
      </c>
      <c r="AI3537" s="9">
        <v>99.63294480172658</v>
      </c>
      <c r="AJ3537" s="9">
        <v>3.0428788910505911</v>
      </c>
    </row>
    <row r="3538" spans="1:36" x14ac:dyDescent="0.25">
      <c r="A3538" t="s">
        <v>5411</v>
      </c>
      <c r="B3538" t="s">
        <v>16</v>
      </c>
      <c r="C3538" t="s">
        <v>17</v>
      </c>
      <c r="D3538">
        <v>64960000</v>
      </c>
      <c r="E3538">
        <v>64962999</v>
      </c>
      <c r="F3538" t="s">
        <v>3201</v>
      </c>
      <c r="G3538" t="str">
        <f t="shared" si="110"/>
        <v>PII II</v>
      </c>
      <c r="H3538" t="s">
        <v>2995</v>
      </c>
      <c r="I3538" t="s">
        <v>20</v>
      </c>
      <c r="J3538" t="s">
        <v>64</v>
      </c>
      <c r="K3538" s="6">
        <v>0.03</v>
      </c>
      <c r="L3538" s="7">
        <f t="shared" si="111"/>
        <v>2E-3</v>
      </c>
      <c r="M3538" s="7">
        <v>3.0000000000000001E-3</v>
      </c>
      <c r="N3538">
        <v>15</v>
      </c>
      <c r="O3538" s="8">
        <v>22.680099489425388</v>
      </c>
      <c r="P3538" s="9">
        <v>22.680099489425388</v>
      </c>
      <c r="Q3538" s="9">
        <v>22.680099489425388</v>
      </c>
      <c r="R3538" s="9">
        <v>24.975706415973956</v>
      </c>
      <c r="S3538" s="9">
        <v>27.507757599557678</v>
      </c>
      <c r="T3538" s="9">
        <v>29.643595035649298</v>
      </c>
      <c r="U3538" s="9">
        <v>36.324172615829276</v>
      </c>
      <c r="V3538" s="9">
        <v>36.324172615829276</v>
      </c>
      <c r="W3538" s="9">
        <v>36.324172615829276</v>
      </c>
      <c r="X3538" s="9">
        <v>43.832136422596946</v>
      </c>
      <c r="Y3538" s="9">
        <v>43.832136422596946</v>
      </c>
      <c r="Z3538" s="9">
        <v>51.429400054836968</v>
      </c>
      <c r="AA3538" s="9">
        <v>51.429400054836968</v>
      </c>
      <c r="AB3538" s="9">
        <v>59.124893495096586</v>
      </c>
      <c r="AC3538" s="9">
        <v>59.124893495096586</v>
      </c>
      <c r="AD3538" s="9">
        <v>68.673407568137122</v>
      </c>
      <c r="AE3538" s="9">
        <v>75.899806853903883</v>
      </c>
      <c r="AF3538" s="9">
        <v>83.243930726651769</v>
      </c>
      <c r="AG3538" s="9">
        <v>83.243930726651769</v>
      </c>
      <c r="AH3538" s="9">
        <v>91.483430312965311</v>
      </c>
      <c r="AI3538" s="9">
        <v>99.63294480172658</v>
      </c>
      <c r="AJ3538" s="9">
        <v>3.0428788910505911</v>
      </c>
    </row>
    <row r="3539" spans="1:36" x14ac:dyDescent="0.25">
      <c r="A3539" t="s">
        <v>5411</v>
      </c>
      <c r="B3539" t="s">
        <v>16</v>
      </c>
      <c r="C3539" t="s">
        <v>17</v>
      </c>
      <c r="D3539">
        <v>64963000</v>
      </c>
      <c r="E3539">
        <v>64964999</v>
      </c>
      <c r="F3539" t="s">
        <v>3202</v>
      </c>
      <c r="G3539" t="str">
        <f t="shared" si="110"/>
        <v>PII II</v>
      </c>
      <c r="H3539" t="s">
        <v>2995</v>
      </c>
      <c r="I3539" t="s">
        <v>20</v>
      </c>
      <c r="J3539" t="s">
        <v>64</v>
      </c>
      <c r="K3539" s="6">
        <v>0.03</v>
      </c>
      <c r="L3539" s="7">
        <f t="shared" si="111"/>
        <v>2E-3</v>
      </c>
      <c r="M3539" s="7">
        <v>3.0000000000000001E-3</v>
      </c>
      <c r="N3539">
        <v>15</v>
      </c>
      <c r="O3539" s="8">
        <v>22.680099489425388</v>
      </c>
      <c r="P3539" s="9">
        <v>22.680099489425388</v>
      </c>
      <c r="Q3539" s="9">
        <v>22.680099489425388</v>
      </c>
      <c r="R3539" s="9">
        <v>24.975706415973956</v>
      </c>
      <c r="S3539" s="9">
        <v>27.507757599557678</v>
      </c>
      <c r="T3539" s="9">
        <v>29.643595035649298</v>
      </c>
      <c r="U3539" s="9">
        <v>36.324172615829276</v>
      </c>
      <c r="V3539" s="9">
        <v>36.324172615829276</v>
      </c>
      <c r="W3539" s="9">
        <v>36.324172615829276</v>
      </c>
      <c r="X3539" s="9">
        <v>43.832136422596946</v>
      </c>
      <c r="Y3539" s="9">
        <v>43.832136422596946</v>
      </c>
      <c r="Z3539" s="9">
        <v>51.429400054836968</v>
      </c>
      <c r="AA3539" s="9">
        <v>51.429400054836968</v>
      </c>
      <c r="AB3539" s="9">
        <v>59.124893495096586</v>
      </c>
      <c r="AC3539" s="9">
        <v>59.124893495096586</v>
      </c>
      <c r="AD3539" s="9">
        <v>68.673407568137122</v>
      </c>
      <c r="AE3539" s="9">
        <v>75.899806853903883</v>
      </c>
      <c r="AF3539" s="9">
        <v>83.243930726651769</v>
      </c>
      <c r="AG3539" s="9">
        <v>83.243930726651769</v>
      </c>
      <c r="AH3539" s="9">
        <v>91.483430312965311</v>
      </c>
      <c r="AI3539" s="9">
        <v>99.63294480172658</v>
      </c>
      <c r="AJ3539" s="9">
        <v>3.0428788910505911</v>
      </c>
    </row>
    <row r="3540" spans="1:36" x14ac:dyDescent="0.25">
      <c r="A3540" t="s">
        <v>5411</v>
      </c>
      <c r="B3540" t="s">
        <v>16</v>
      </c>
      <c r="C3540" t="s">
        <v>17</v>
      </c>
      <c r="D3540">
        <v>64965000</v>
      </c>
      <c r="E3540">
        <v>64967999</v>
      </c>
      <c r="F3540" t="s">
        <v>3203</v>
      </c>
      <c r="G3540" t="str">
        <f t="shared" si="110"/>
        <v>PII II</v>
      </c>
      <c r="H3540" t="s">
        <v>2995</v>
      </c>
      <c r="I3540" t="s">
        <v>20</v>
      </c>
      <c r="J3540" t="s">
        <v>64</v>
      </c>
      <c r="K3540" s="6">
        <v>0.03</v>
      </c>
      <c r="L3540" s="7">
        <f t="shared" si="111"/>
        <v>2E-3</v>
      </c>
      <c r="M3540" s="7">
        <v>3.0000000000000001E-3</v>
      </c>
      <c r="N3540">
        <v>15</v>
      </c>
      <c r="O3540" s="8">
        <v>22.680099489425388</v>
      </c>
      <c r="P3540" s="9">
        <v>22.680099489425388</v>
      </c>
      <c r="Q3540" s="9">
        <v>22.680099489425388</v>
      </c>
      <c r="R3540" s="9">
        <v>24.975706415973956</v>
      </c>
      <c r="S3540" s="9">
        <v>27.507757599557678</v>
      </c>
      <c r="T3540" s="9">
        <v>29.643595035649298</v>
      </c>
      <c r="U3540" s="9">
        <v>36.324172615829276</v>
      </c>
      <c r="V3540" s="9">
        <v>36.324172615829276</v>
      </c>
      <c r="W3540" s="9">
        <v>36.324172615829276</v>
      </c>
      <c r="X3540" s="9">
        <v>43.832136422596946</v>
      </c>
      <c r="Y3540" s="9">
        <v>43.832136422596946</v>
      </c>
      <c r="Z3540" s="9">
        <v>51.429400054836968</v>
      </c>
      <c r="AA3540" s="9">
        <v>51.429400054836968</v>
      </c>
      <c r="AB3540" s="9">
        <v>59.124893495096586</v>
      </c>
      <c r="AC3540" s="9">
        <v>59.124893495096586</v>
      </c>
      <c r="AD3540" s="9">
        <v>68.673407568137122</v>
      </c>
      <c r="AE3540" s="9">
        <v>75.899806853903883</v>
      </c>
      <c r="AF3540" s="9">
        <v>83.243930726651769</v>
      </c>
      <c r="AG3540" s="9">
        <v>83.243930726651769</v>
      </c>
      <c r="AH3540" s="9">
        <v>91.483430312965311</v>
      </c>
      <c r="AI3540" s="9">
        <v>99.63294480172658</v>
      </c>
      <c r="AJ3540" s="9">
        <v>3.0428788910505911</v>
      </c>
    </row>
    <row r="3541" spans="1:36" x14ac:dyDescent="0.25">
      <c r="A3541" t="s">
        <v>5411</v>
      </c>
      <c r="B3541" t="s">
        <v>16</v>
      </c>
      <c r="C3541" t="s">
        <v>17</v>
      </c>
      <c r="D3541">
        <v>64968000</v>
      </c>
      <c r="E3541">
        <v>64969999</v>
      </c>
      <c r="F3541" t="s">
        <v>3204</v>
      </c>
      <c r="G3541" t="str">
        <f t="shared" si="110"/>
        <v>PII II</v>
      </c>
      <c r="H3541" t="s">
        <v>2995</v>
      </c>
      <c r="I3541" t="s">
        <v>20</v>
      </c>
      <c r="J3541" t="s">
        <v>64</v>
      </c>
      <c r="K3541" s="6">
        <v>0.03</v>
      </c>
      <c r="L3541" s="7">
        <f t="shared" si="111"/>
        <v>2E-3</v>
      </c>
      <c r="M3541" s="7">
        <v>3.0000000000000001E-3</v>
      </c>
      <c r="N3541">
        <v>15</v>
      </c>
      <c r="O3541" s="8">
        <v>22.680099489425388</v>
      </c>
      <c r="P3541" s="9">
        <v>22.680099489425388</v>
      </c>
      <c r="Q3541" s="9">
        <v>22.680099489425388</v>
      </c>
      <c r="R3541" s="9">
        <v>24.975706415973956</v>
      </c>
      <c r="S3541" s="9">
        <v>27.507757599557678</v>
      </c>
      <c r="T3541" s="9">
        <v>29.643595035649298</v>
      </c>
      <c r="U3541" s="9">
        <v>36.324172615829276</v>
      </c>
      <c r="V3541" s="9">
        <v>36.324172615829276</v>
      </c>
      <c r="W3541" s="9">
        <v>36.324172615829276</v>
      </c>
      <c r="X3541" s="9">
        <v>43.832136422596946</v>
      </c>
      <c r="Y3541" s="9">
        <v>43.832136422596946</v>
      </c>
      <c r="Z3541" s="9">
        <v>51.429400054836968</v>
      </c>
      <c r="AA3541" s="9">
        <v>51.429400054836968</v>
      </c>
      <c r="AB3541" s="9">
        <v>59.124893495096586</v>
      </c>
      <c r="AC3541" s="9">
        <v>59.124893495096586</v>
      </c>
      <c r="AD3541" s="9">
        <v>68.673407568137122</v>
      </c>
      <c r="AE3541" s="9">
        <v>75.899806853903883</v>
      </c>
      <c r="AF3541" s="9">
        <v>83.243930726651769</v>
      </c>
      <c r="AG3541" s="9">
        <v>83.243930726651769</v>
      </c>
      <c r="AH3541" s="9">
        <v>91.483430312965311</v>
      </c>
      <c r="AI3541" s="9">
        <v>99.63294480172658</v>
      </c>
      <c r="AJ3541" s="9">
        <v>3.0428788910505911</v>
      </c>
    </row>
    <row r="3542" spans="1:36" x14ac:dyDescent="0.25">
      <c r="A3542" t="s">
        <v>5411</v>
      </c>
      <c r="B3542" t="s">
        <v>16</v>
      </c>
      <c r="C3542" t="s">
        <v>17</v>
      </c>
      <c r="D3542">
        <v>64970000</v>
      </c>
      <c r="E3542">
        <v>64974999</v>
      </c>
      <c r="F3542" t="s">
        <v>3205</v>
      </c>
      <c r="G3542" t="str">
        <f t="shared" si="110"/>
        <v>PII II</v>
      </c>
      <c r="H3542" t="s">
        <v>2995</v>
      </c>
      <c r="I3542" t="s">
        <v>20</v>
      </c>
      <c r="J3542" t="s">
        <v>64</v>
      </c>
      <c r="K3542" s="6">
        <v>0.03</v>
      </c>
      <c r="L3542" s="7">
        <f t="shared" si="111"/>
        <v>2E-3</v>
      </c>
      <c r="M3542" s="7">
        <v>3.0000000000000001E-3</v>
      </c>
      <c r="N3542">
        <v>15</v>
      </c>
      <c r="O3542" s="8">
        <v>22.680099489425388</v>
      </c>
      <c r="P3542" s="9">
        <v>22.680099489425388</v>
      </c>
      <c r="Q3542" s="9">
        <v>22.680099489425388</v>
      </c>
      <c r="R3542" s="9">
        <v>24.975706415973956</v>
      </c>
      <c r="S3542" s="9">
        <v>27.507757599557678</v>
      </c>
      <c r="T3542" s="9">
        <v>29.643595035649298</v>
      </c>
      <c r="U3542" s="9">
        <v>36.324172615829276</v>
      </c>
      <c r="V3542" s="9">
        <v>36.324172615829276</v>
      </c>
      <c r="W3542" s="9">
        <v>36.324172615829276</v>
      </c>
      <c r="X3542" s="9">
        <v>43.832136422596946</v>
      </c>
      <c r="Y3542" s="9">
        <v>43.832136422596946</v>
      </c>
      <c r="Z3542" s="9">
        <v>51.429400054836968</v>
      </c>
      <c r="AA3542" s="9">
        <v>51.429400054836968</v>
      </c>
      <c r="AB3542" s="9">
        <v>59.124893495096586</v>
      </c>
      <c r="AC3542" s="9">
        <v>59.124893495096586</v>
      </c>
      <c r="AD3542" s="9">
        <v>68.673407568137122</v>
      </c>
      <c r="AE3542" s="9">
        <v>75.899806853903883</v>
      </c>
      <c r="AF3542" s="9">
        <v>83.243930726651769</v>
      </c>
      <c r="AG3542" s="9">
        <v>83.243930726651769</v>
      </c>
      <c r="AH3542" s="9">
        <v>91.483430312965311</v>
      </c>
      <c r="AI3542" s="9">
        <v>99.63294480172658</v>
      </c>
      <c r="AJ3542" s="9">
        <v>3.0428788910505911</v>
      </c>
    </row>
    <row r="3543" spans="1:36" x14ac:dyDescent="0.25">
      <c r="A3543" t="s">
        <v>5411</v>
      </c>
      <c r="B3543" t="s">
        <v>16</v>
      </c>
      <c r="C3543" t="s">
        <v>17</v>
      </c>
      <c r="D3543">
        <v>64975000</v>
      </c>
      <c r="E3543">
        <v>64979999</v>
      </c>
      <c r="F3543" t="s">
        <v>3206</v>
      </c>
      <c r="G3543" t="str">
        <f t="shared" si="110"/>
        <v>PII II</v>
      </c>
      <c r="H3543" t="s">
        <v>2995</v>
      </c>
      <c r="I3543" t="s">
        <v>20</v>
      </c>
      <c r="J3543" t="s">
        <v>64</v>
      </c>
      <c r="K3543" s="6">
        <v>0.03</v>
      </c>
      <c r="L3543" s="7">
        <f t="shared" si="111"/>
        <v>2E-3</v>
      </c>
      <c r="M3543" s="7">
        <v>3.0000000000000001E-3</v>
      </c>
      <c r="N3543">
        <v>15</v>
      </c>
      <c r="O3543" s="8">
        <v>22.680099489425388</v>
      </c>
      <c r="P3543" s="9">
        <v>22.680099489425388</v>
      </c>
      <c r="Q3543" s="9">
        <v>22.680099489425388</v>
      </c>
      <c r="R3543" s="9">
        <v>24.975706415973956</v>
      </c>
      <c r="S3543" s="9">
        <v>27.507757599557678</v>
      </c>
      <c r="T3543" s="9">
        <v>29.643595035649298</v>
      </c>
      <c r="U3543" s="9">
        <v>36.324172615829276</v>
      </c>
      <c r="V3543" s="9">
        <v>36.324172615829276</v>
      </c>
      <c r="W3543" s="9">
        <v>36.324172615829276</v>
      </c>
      <c r="X3543" s="9">
        <v>43.832136422596946</v>
      </c>
      <c r="Y3543" s="9">
        <v>43.832136422596946</v>
      </c>
      <c r="Z3543" s="9">
        <v>51.429400054836968</v>
      </c>
      <c r="AA3543" s="9">
        <v>51.429400054836968</v>
      </c>
      <c r="AB3543" s="9">
        <v>59.124893495096586</v>
      </c>
      <c r="AC3543" s="9">
        <v>59.124893495096586</v>
      </c>
      <c r="AD3543" s="9">
        <v>68.673407568137122</v>
      </c>
      <c r="AE3543" s="9">
        <v>75.899806853903883</v>
      </c>
      <c r="AF3543" s="9">
        <v>83.243930726651769</v>
      </c>
      <c r="AG3543" s="9">
        <v>83.243930726651769</v>
      </c>
      <c r="AH3543" s="9">
        <v>91.483430312965311</v>
      </c>
      <c r="AI3543" s="9">
        <v>99.63294480172658</v>
      </c>
      <c r="AJ3543" s="9">
        <v>3.0428788910505911</v>
      </c>
    </row>
    <row r="3544" spans="1:36" x14ac:dyDescent="0.25">
      <c r="A3544" t="s">
        <v>5411</v>
      </c>
      <c r="B3544" t="s">
        <v>16</v>
      </c>
      <c r="C3544" t="s">
        <v>17</v>
      </c>
      <c r="D3544">
        <v>64980000</v>
      </c>
      <c r="E3544">
        <v>64984999</v>
      </c>
      <c r="F3544" t="s">
        <v>3207</v>
      </c>
      <c r="G3544" t="str">
        <f t="shared" si="110"/>
        <v>PII II</v>
      </c>
      <c r="H3544" t="s">
        <v>2995</v>
      </c>
      <c r="I3544" t="s">
        <v>20</v>
      </c>
      <c r="J3544" t="s">
        <v>64</v>
      </c>
      <c r="K3544" s="6">
        <v>0.03</v>
      </c>
      <c r="L3544" s="7">
        <f t="shared" si="111"/>
        <v>2E-3</v>
      </c>
      <c r="M3544" s="7">
        <v>3.0000000000000001E-3</v>
      </c>
      <c r="N3544">
        <v>15</v>
      </c>
      <c r="O3544" s="8">
        <v>22.680099489425388</v>
      </c>
      <c r="P3544" s="9">
        <v>22.680099489425388</v>
      </c>
      <c r="Q3544" s="9">
        <v>22.680099489425388</v>
      </c>
      <c r="R3544" s="9">
        <v>24.975706415973956</v>
      </c>
      <c r="S3544" s="9">
        <v>27.507757599557678</v>
      </c>
      <c r="T3544" s="9">
        <v>29.643595035649298</v>
      </c>
      <c r="U3544" s="9">
        <v>36.324172615829276</v>
      </c>
      <c r="V3544" s="9">
        <v>36.324172615829276</v>
      </c>
      <c r="W3544" s="9">
        <v>36.324172615829276</v>
      </c>
      <c r="X3544" s="9">
        <v>43.832136422596946</v>
      </c>
      <c r="Y3544" s="9">
        <v>43.832136422596946</v>
      </c>
      <c r="Z3544" s="9">
        <v>51.429400054836968</v>
      </c>
      <c r="AA3544" s="9">
        <v>51.429400054836968</v>
      </c>
      <c r="AB3544" s="9">
        <v>59.124893495096586</v>
      </c>
      <c r="AC3544" s="9">
        <v>59.124893495096586</v>
      </c>
      <c r="AD3544" s="9">
        <v>68.673407568137122</v>
      </c>
      <c r="AE3544" s="9">
        <v>75.899806853903883</v>
      </c>
      <c r="AF3544" s="9">
        <v>83.243930726651769</v>
      </c>
      <c r="AG3544" s="9">
        <v>83.243930726651769</v>
      </c>
      <c r="AH3544" s="9">
        <v>91.483430312965311</v>
      </c>
      <c r="AI3544" s="9">
        <v>99.63294480172658</v>
      </c>
      <c r="AJ3544" s="9">
        <v>3.0428788910505911</v>
      </c>
    </row>
    <row r="3545" spans="1:36" x14ac:dyDescent="0.25">
      <c r="A3545" t="s">
        <v>5411</v>
      </c>
      <c r="B3545" t="s">
        <v>16</v>
      </c>
      <c r="C3545" t="s">
        <v>17</v>
      </c>
      <c r="D3545">
        <v>64985000</v>
      </c>
      <c r="E3545">
        <v>64989999</v>
      </c>
      <c r="F3545" t="s">
        <v>3208</v>
      </c>
      <c r="G3545" t="str">
        <f t="shared" si="110"/>
        <v>PII II</v>
      </c>
      <c r="H3545" t="s">
        <v>2995</v>
      </c>
      <c r="I3545" t="s">
        <v>20</v>
      </c>
      <c r="J3545" t="s">
        <v>64</v>
      </c>
      <c r="K3545" s="6">
        <v>0.03</v>
      </c>
      <c r="L3545" s="7">
        <f t="shared" si="111"/>
        <v>2E-3</v>
      </c>
      <c r="M3545" s="7">
        <v>3.0000000000000001E-3</v>
      </c>
      <c r="N3545">
        <v>15</v>
      </c>
      <c r="O3545" s="8">
        <v>22.680099489425388</v>
      </c>
      <c r="P3545" s="9">
        <v>22.680099489425388</v>
      </c>
      <c r="Q3545" s="9">
        <v>22.680099489425388</v>
      </c>
      <c r="R3545" s="9">
        <v>24.975706415973956</v>
      </c>
      <c r="S3545" s="9">
        <v>27.507757599557678</v>
      </c>
      <c r="T3545" s="9">
        <v>29.643595035649298</v>
      </c>
      <c r="U3545" s="9">
        <v>36.324172615829276</v>
      </c>
      <c r="V3545" s="9">
        <v>36.324172615829276</v>
      </c>
      <c r="W3545" s="9">
        <v>36.324172615829276</v>
      </c>
      <c r="X3545" s="9">
        <v>43.832136422596946</v>
      </c>
      <c r="Y3545" s="9">
        <v>43.832136422596946</v>
      </c>
      <c r="Z3545" s="9">
        <v>51.429400054836968</v>
      </c>
      <c r="AA3545" s="9">
        <v>51.429400054836968</v>
      </c>
      <c r="AB3545" s="9">
        <v>59.124893495096586</v>
      </c>
      <c r="AC3545" s="9">
        <v>59.124893495096586</v>
      </c>
      <c r="AD3545" s="9">
        <v>68.673407568137122</v>
      </c>
      <c r="AE3545" s="9">
        <v>75.899806853903883</v>
      </c>
      <c r="AF3545" s="9">
        <v>83.243930726651769</v>
      </c>
      <c r="AG3545" s="9">
        <v>83.243930726651769</v>
      </c>
      <c r="AH3545" s="9">
        <v>91.483430312965311</v>
      </c>
      <c r="AI3545" s="9">
        <v>99.63294480172658</v>
      </c>
      <c r="AJ3545" s="9">
        <v>3.0428788910505911</v>
      </c>
    </row>
    <row r="3546" spans="1:36" x14ac:dyDescent="0.25">
      <c r="A3546" t="s">
        <v>5411</v>
      </c>
      <c r="B3546" t="s">
        <v>16</v>
      </c>
      <c r="C3546" t="s">
        <v>17</v>
      </c>
      <c r="D3546">
        <v>64990000</v>
      </c>
      <c r="E3546">
        <v>64992999</v>
      </c>
      <c r="F3546" t="s">
        <v>3209</v>
      </c>
      <c r="G3546" t="str">
        <f t="shared" si="110"/>
        <v>PII II</v>
      </c>
      <c r="H3546" t="s">
        <v>2995</v>
      </c>
      <c r="I3546" t="s">
        <v>20</v>
      </c>
      <c r="J3546" t="s">
        <v>64</v>
      </c>
      <c r="K3546" s="6">
        <v>0.03</v>
      </c>
      <c r="L3546" s="7">
        <f t="shared" si="111"/>
        <v>2E-3</v>
      </c>
      <c r="M3546" s="7">
        <v>3.0000000000000001E-3</v>
      </c>
      <c r="N3546">
        <v>15</v>
      </c>
      <c r="O3546" s="8">
        <v>22.680099489425388</v>
      </c>
      <c r="P3546" s="9">
        <v>22.680099489425388</v>
      </c>
      <c r="Q3546" s="9">
        <v>22.680099489425388</v>
      </c>
      <c r="R3546" s="9">
        <v>24.975706415973956</v>
      </c>
      <c r="S3546" s="9">
        <v>27.507757599557678</v>
      </c>
      <c r="T3546" s="9">
        <v>29.643595035649298</v>
      </c>
      <c r="U3546" s="9">
        <v>36.324172615829276</v>
      </c>
      <c r="V3546" s="9">
        <v>36.324172615829276</v>
      </c>
      <c r="W3546" s="9">
        <v>36.324172615829276</v>
      </c>
      <c r="X3546" s="9">
        <v>43.832136422596946</v>
      </c>
      <c r="Y3546" s="9">
        <v>43.832136422596946</v>
      </c>
      <c r="Z3546" s="9">
        <v>51.429400054836968</v>
      </c>
      <c r="AA3546" s="9">
        <v>51.429400054836968</v>
      </c>
      <c r="AB3546" s="9">
        <v>59.124893495096586</v>
      </c>
      <c r="AC3546" s="9">
        <v>59.124893495096586</v>
      </c>
      <c r="AD3546" s="9">
        <v>68.673407568137122</v>
      </c>
      <c r="AE3546" s="9">
        <v>75.899806853903883</v>
      </c>
      <c r="AF3546" s="9">
        <v>83.243930726651769</v>
      </c>
      <c r="AG3546" s="9">
        <v>83.243930726651769</v>
      </c>
      <c r="AH3546" s="9">
        <v>91.483430312965311</v>
      </c>
      <c r="AI3546" s="9">
        <v>99.63294480172658</v>
      </c>
      <c r="AJ3546" s="9">
        <v>3.0428788910505911</v>
      </c>
    </row>
    <row r="3547" spans="1:36" x14ac:dyDescent="0.25">
      <c r="A3547" t="s">
        <v>5411</v>
      </c>
      <c r="B3547" t="s">
        <v>16</v>
      </c>
      <c r="C3547" t="s">
        <v>17</v>
      </c>
      <c r="D3547">
        <v>64993000</v>
      </c>
      <c r="E3547">
        <v>64994999</v>
      </c>
      <c r="F3547" t="s">
        <v>3210</v>
      </c>
      <c r="G3547" t="str">
        <f t="shared" si="110"/>
        <v>PII II</v>
      </c>
      <c r="H3547" t="s">
        <v>2995</v>
      </c>
      <c r="I3547" t="s">
        <v>20</v>
      </c>
      <c r="J3547" t="s">
        <v>64</v>
      </c>
      <c r="K3547" s="6">
        <v>0.03</v>
      </c>
      <c r="L3547" s="7">
        <f t="shared" si="111"/>
        <v>2E-3</v>
      </c>
      <c r="M3547" s="7">
        <v>3.0000000000000001E-3</v>
      </c>
      <c r="N3547">
        <v>15</v>
      </c>
      <c r="O3547" s="8">
        <v>22.680099489425388</v>
      </c>
      <c r="P3547" s="9">
        <v>22.680099489425388</v>
      </c>
      <c r="Q3547" s="9">
        <v>22.680099489425388</v>
      </c>
      <c r="R3547" s="9">
        <v>24.975706415973956</v>
      </c>
      <c r="S3547" s="9">
        <v>27.507757599557678</v>
      </c>
      <c r="T3547" s="9">
        <v>29.643595035649298</v>
      </c>
      <c r="U3547" s="9">
        <v>36.324172615829276</v>
      </c>
      <c r="V3547" s="9">
        <v>36.324172615829276</v>
      </c>
      <c r="W3547" s="9">
        <v>36.324172615829276</v>
      </c>
      <c r="X3547" s="9">
        <v>43.832136422596946</v>
      </c>
      <c r="Y3547" s="9">
        <v>43.832136422596946</v>
      </c>
      <c r="Z3547" s="9">
        <v>51.429400054836968</v>
      </c>
      <c r="AA3547" s="9">
        <v>51.429400054836968</v>
      </c>
      <c r="AB3547" s="9">
        <v>59.124893495096586</v>
      </c>
      <c r="AC3547" s="9">
        <v>59.124893495096586</v>
      </c>
      <c r="AD3547" s="9">
        <v>68.673407568137122</v>
      </c>
      <c r="AE3547" s="9">
        <v>75.899806853903883</v>
      </c>
      <c r="AF3547" s="9">
        <v>83.243930726651769</v>
      </c>
      <c r="AG3547" s="9">
        <v>83.243930726651769</v>
      </c>
      <c r="AH3547" s="9">
        <v>91.483430312965311</v>
      </c>
      <c r="AI3547" s="9">
        <v>99.63294480172658</v>
      </c>
      <c r="AJ3547" s="9">
        <v>3.0428788910505911</v>
      </c>
    </row>
    <row r="3548" spans="1:36" x14ac:dyDescent="0.25">
      <c r="A3548" t="s">
        <v>5411</v>
      </c>
      <c r="B3548" t="s">
        <v>16</v>
      </c>
      <c r="C3548" t="s">
        <v>17</v>
      </c>
      <c r="D3548">
        <v>64995000</v>
      </c>
      <c r="E3548">
        <v>64999999</v>
      </c>
      <c r="F3548" t="s">
        <v>3211</v>
      </c>
      <c r="G3548" t="str">
        <f t="shared" si="110"/>
        <v>PII II</v>
      </c>
      <c r="H3548" t="s">
        <v>2995</v>
      </c>
      <c r="I3548" t="s">
        <v>20</v>
      </c>
      <c r="J3548" t="s">
        <v>64</v>
      </c>
      <c r="K3548" s="6">
        <v>0.03</v>
      </c>
      <c r="L3548" s="7">
        <f t="shared" si="111"/>
        <v>2E-3</v>
      </c>
      <c r="M3548" s="7">
        <v>3.0000000000000001E-3</v>
      </c>
      <c r="N3548">
        <v>15</v>
      </c>
      <c r="O3548" s="8">
        <v>22.680099489425388</v>
      </c>
      <c r="P3548" s="9">
        <v>22.680099489425388</v>
      </c>
      <c r="Q3548" s="9">
        <v>22.680099489425388</v>
      </c>
      <c r="R3548" s="9">
        <v>24.975706415973956</v>
      </c>
      <c r="S3548" s="9">
        <v>27.507757599557678</v>
      </c>
      <c r="T3548" s="9">
        <v>29.643595035649298</v>
      </c>
      <c r="U3548" s="9">
        <v>36.324172615829276</v>
      </c>
      <c r="V3548" s="9">
        <v>36.324172615829276</v>
      </c>
      <c r="W3548" s="9">
        <v>36.324172615829276</v>
      </c>
      <c r="X3548" s="9">
        <v>43.832136422596946</v>
      </c>
      <c r="Y3548" s="9">
        <v>43.832136422596946</v>
      </c>
      <c r="Z3548" s="9">
        <v>51.429400054836968</v>
      </c>
      <c r="AA3548" s="9">
        <v>51.429400054836968</v>
      </c>
      <c r="AB3548" s="9">
        <v>59.124893495096586</v>
      </c>
      <c r="AC3548" s="9">
        <v>59.124893495096586</v>
      </c>
      <c r="AD3548" s="9">
        <v>68.673407568137122</v>
      </c>
      <c r="AE3548" s="9">
        <v>75.899806853903883</v>
      </c>
      <c r="AF3548" s="9">
        <v>83.243930726651769</v>
      </c>
      <c r="AG3548" s="9">
        <v>83.243930726651769</v>
      </c>
      <c r="AH3548" s="9">
        <v>91.483430312965311</v>
      </c>
      <c r="AI3548" s="9">
        <v>99.63294480172658</v>
      </c>
      <c r="AJ3548" s="9">
        <v>3.0428788910505911</v>
      </c>
    </row>
    <row r="3549" spans="1:36" x14ac:dyDescent="0.25">
      <c r="A3549" t="s">
        <v>5411</v>
      </c>
      <c r="B3549" t="s">
        <v>16</v>
      </c>
      <c r="C3549" t="s">
        <v>17</v>
      </c>
      <c r="D3549">
        <v>65000000</v>
      </c>
      <c r="E3549">
        <v>65002899</v>
      </c>
      <c r="F3549" t="s">
        <v>3212</v>
      </c>
      <c r="G3549" t="str">
        <f t="shared" si="110"/>
        <v>MAI II</v>
      </c>
      <c r="H3549" t="s">
        <v>3213</v>
      </c>
      <c r="I3549" t="s">
        <v>20</v>
      </c>
      <c r="J3549" t="s">
        <v>64</v>
      </c>
      <c r="K3549" s="6">
        <v>0.03</v>
      </c>
      <c r="L3549" s="7">
        <f t="shared" si="111"/>
        <v>2E-3</v>
      </c>
      <c r="M3549" s="7">
        <v>3.0000000000000001E-3</v>
      </c>
      <c r="N3549">
        <v>11</v>
      </c>
      <c r="O3549" s="8">
        <v>25.668860905665891</v>
      </c>
      <c r="P3549" s="9">
        <v>25.668860905665891</v>
      </c>
      <c r="Q3549" s="9">
        <v>25.668860905665891</v>
      </c>
      <c r="R3549" s="9">
        <v>28.90627780374118</v>
      </c>
      <c r="S3549" s="9">
        <v>32.088398586892829</v>
      </c>
      <c r="T3549" s="9">
        <v>35.317419895390479</v>
      </c>
      <c r="U3549" s="9">
        <v>41.899003808131717</v>
      </c>
      <c r="V3549" s="9">
        <v>41.899003808131717</v>
      </c>
      <c r="W3549" s="9">
        <v>41.899003808131717</v>
      </c>
      <c r="X3549" s="9">
        <v>49.367258046991701</v>
      </c>
      <c r="Y3549" s="9">
        <v>49.367258046991701</v>
      </c>
      <c r="Z3549" s="9">
        <v>56.934875079999451</v>
      </c>
      <c r="AA3549" s="9">
        <v>56.934875079999451</v>
      </c>
      <c r="AB3549" s="9">
        <v>64.611791186569661</v>
      </c>
      <c r="AC3549" s="9">
        <v>64.611791186569661</v>
      </c>
      <c r="AD3549" s="9">
        <v>74.350540076267862</v>
      </c>
      <c r="AE3549" s="9">
        <v>81.505501009216758</v>
      </c>
      <c r="AF3549" s="9">
        <v>89.052880694757192</v>
      </c>
      <c r="AG3549" s="9">
        <v>89.052880694757192</v>
      </c>
      <c r="AH3549" s="9">
        <v>98.528148353766625</v>
      </c>
      <c r="AI3549" s="9">
        <v>107.07903577054074</v>
      </c>
      <c r="AJ3549" s="9">
        <v>3.0428788910505911</v>
      </c>
    </row>
    <row r="3550" spans="1:36" x14ac:dyDescent="0.25">
      <c r="A3550" t="s">
        <v>5411</v>
      </c>
      <c r="B3550" t="s">
        <v>16</v>
      </c>
      <c r="C3550" t="s">
        <v>17</v>
      </c>
      <c r="D3550">
        <v>65002900</v>
      </c>
      <c r="E3550">
        <v>65099999</v>
      </c>
      <c r="F3550" t="s">
        <v>3214</v>
      </c>
      <c r="G3550" t="str">
        <f t="shared" si="110"/>
        <v>MAC</v>
      </c>
      <c r="H3550" t="s">
        <v>3213</v>
      </c>
      <c r="I3550" t="s">
        <v>20</v>
      </c>
      <c r="J3550" t="s">
        <v>21</v>
      </c>
      <c r="K3550" s="6">
        <v>0.03</v>
      </c>
      <c r="L3550" s="7">
        <f t="shared" si="111"/>
        <v>2E-3</v>
      </c>
      <c r="M3550" s="7">
        <v>3.0000000000000001E-3</v>
      </c>
      <c r="N3550">
        <v>12</v>
      </c>
      <c r="O3550" s="8">
        <v>14.217973506544523</v>
      </c>
      <c r="P3550" s="9">
        <v>14.217973506544523</v>
      </c>
      <c r="Q3550" s="9">
        <v>14.217973506544523</v>
      </c>
      <c r="R3550" s="9">
        <v>15.355348895444271</v>
      </c>
      <c r="S3550" s="9">
        <v>16.422507378035252</v>
      </c>
      <c r="T3550" s="9">
        <v>17.760056645327413</v>
      </c>
      <c r="U3550" s="9">
        <v>21.621376945403487</v>
      </c>
      <c r="V3550" s="9">
        <v>21.621376945403487</v>
      </c>
      <c r="W3550" s="9">
        <v>21.621376945403487</v>
      </c>
      <c r="X3550" s="9">
        <v>29.426603470019408</v>
      </c>
      <c r="Y3550" s="9">
        <v>29.426603470019408</v>
      </c>
      <c r="Z3550" s="9">
        <v>37.585878323945025</v>
      </c>
      <c r="AA3550" s="9">
        <v>37.585878323945025</v>
      </c>
      <c r="AB3550" s="9">
        <v>45.832319199480175</v>
      </c>
      <c r="AC3550" s="9">
        <v>45.832319199480175</v>
      </c>
      <c r="AD3550" s="9">
        <v>55.282096125177112</v>
      </c>
      <c r="AE3550" s="9">
        <v>63.346020168873935</v>
      </c>
      <c r="AF3550" s="9">
        <v>71.510984576340093</v>
      </c>
      <c r="AG3550" s="9">
        <v>71.510984576340093</v>
      </c>
      <c r="AH3550" s="9">
        <v>79.787093383952481</v>
      </c>
      <c r="AI3550" s="9">
        <v>87.551461617748672</v>
      </c>
      <c r="AJ3550" s="9">
        <v>3.0428788910505911</v>
      </c>
    </row>
    <row r="3551" spans="1:36" x14ac:dyDescent="0.25">
      <c r="A3551" t="s">
        <v>5411</v>
      </c>
      <c r="B3551" t="s">
        <v>16</v>
      </c>
      <c r="C3551" t="s">
        <v>17</v>
      </c>
      <c r="D3551">
        <v>65100000</v>
      </c>
      <c r="E3551">
        <v>65109999</v>
      </c>
      <c r="F3551" t="s">
        <v>3212</v>
      </c>
      <c r="G3551" t="str">
        <f t="shared" si="110"/>
        <v>MAI II</v>
      </c>
      <c r="H3551" t="s">
        <v>3213</v>
      </c>
      <c r="I3551" t="s">
        <v>20</v>
      </c>
      <c r="J3551" t="s">
        <v>64</v>
      </c>
      <c r="K3551" s="6">
        <v>0.03</v>
      </c>
      <c r="L3551" s="7">
        <f t="shared" si="111"/>
        <v>2E-3</v>
      </c>
      <c r="M3551" s="7">
        <v>3.0000000000000001E-3</v>
      </c>
      <c r="N3551">
        <v>11</v>
      </c>
      <c r="O3551" s="8">
        <v>25.668860905665891</v>
      </c>
      <c r="P3551" s="9">
        <v>25.668860905665891</v>
      </c>
      <c r="Q3551" s="9">
        <v>25.668860905665891</v>
      </c>
      <c r="R3551" s="9">
        <v>28.90627780374118</v>
      </c>
      <c r="S3551" s="9">
        <v>32.088398586892829</v>
      </c>
      <c r="T3551" s="9">
        <v>35.317419895390479</v>
      </c>
      <c r="U3551" s="9">
        <v>41.899003808131717</v>
      </c>
      <c r="V3551" s="9">
        <v>41.899003808131717</v>
      </c>
      <c r="W3551" s="9">
        <v>41.899003808131717</v>
      </c>
      <c r="X3551" s="9">
        <v>49.367258046991701</v>
      </c>
      <c r="Y3551" s="9">
        <v>49.367258046991701</v>
      </c>
      <c r="Z3551" s="9">
        <v>56.934875079999451</v>
      </c>
      <c r="AA3551" s="9">
        <v>56.934875079999451</v>
      </c>
      <c r="AB3551" s="9">
        <v>64.611791186569661</v>
      </c>
      <c r="AC3551" s="9">
        <v>64.611791186569661</v>
      </c>
      <c r="AD3551" s="9">
        <v>74.350540076267862</v>
      </c>
      <c r="AE3551" s="9">
        <v>81.505501009216758</v>
      </c>
      <c r="AF3551" s="9">
        <v>89.052880694757192</v>
      </c>
      <c r="AG3551" s="9">
        <v>89.052880694757192</v>
      </c>
      <c r="AH3551" s="9">
        <v>98.528148353766625</v>
      </c>
      <c r="AI3551" s="9">
        <v>107.07903577054074</v>
      </c>
      <c r="AJ3551" s="9">
        <v>3.0428788910505911</v>
      </c>
    </row>
    <row r="3552" spans="1:36" x14ac:dyDescent="0.25">
      <c r="A3552" t="s">
        <v>5411</v>
      </c>
      <c r="B3552" t="s">
        <v>16</v>
      </c>
      <c r="C3552" t="s">
        <v>17</v>
      </c>
      <c r="D3552">
        <v>65110000</v>
      </c>
      <c r="E3552">
        <v>65129999</v>
      </c>
      <c r="F3552" t="s">
        <v>3215</v>
      </c>
      <c r="G3552" t="str">
        <f t="shared" si="110"/>
        <v>MAI</v>
      </c>
      <c r="H3552" t="s">
        <v>3213</v>
      </c>
      <c r="I3552" t="s">
        <v>20</v>
      </c>
      <c r="J3552" t="s">
        <v>62</v>
      </c>
      <c r="K3552" s="6">
        <v>0.03</v>
      </c>
      <c r="L3552" s="7">
        <f t="shared" si="111"/>
        <v>2E-3</v>
      </c>
      <c r="M3552" s="7">
        <v>3.0000000000000001E-3</v>
      </c>
      <c r="N3552">
        <v>12</v>
      </c>
      <c r="O3552" s="8">
        <v>19.350325219569864</v>
      </c>
      <c r="P3552" s="9">
        <v>19.350325219569864</v>
      </c>
      <c r="Q3552" s="9">
        <v>19.350325219569864</v>
      </c>
      <c r="R3552" s="9">
        <v>21.236423757715794</v>
      </c>
      <c r="S3552" s="9">
        <v>23.412011215821156</v>
      </c>
      <c r="T3552" s="9">
        <v>26.602346057727168</v>
      </c>
      <c r="U3552" s="9">
        <v>32.175039039197578</v>
      </c>
      <c r="V3552" s="9">
        <v>32.175039039197578</v>
      </c>
      <c r="W3552" s="9">
        <v>32.175039039197578</v>
      </c>
      <c r="X3552" s="9">
        <v>38.477190222688968</v>
      </c>
      <c r="Y3552" s="9">
        <v>38.477190222688968</v>
      </c>
      <c r="Z3552" s="9">
        <v>46.072905764910679</v>
      </c>
      <c r="AA3552" s="9">
        <v>46.072905764910679</v>
      </c>
      <c r="AB3552" s="9">
        <v>52.857194265747438</v>
      </c>
      <c r="AC3552" s="9">
        <v>52.857194265747438</v>
      </c>
      <c r="AD3552" s="9">
        <v>60.075973585900336</v>
      </c>
      <c r="AE3552" s="9">
        <v>67.207660715359779</v>
      </c>
      <c r="AF3552" s="9">
        <v>74.765164496289444</v>
      </c>
      <c r="AG3552" s="9">
        <v>74.765164496289444</v>
      </c>
      <c r="AH3552" s="9">
        <v>82.787429668365718</v>
      </c>
      <c r="AI3552" s="9">
        <v>90.699158794373588</v>
      </c>
      <c r="AJ3552" s="9">
        <v>3.0428788910505911</v>
      </c>
    </row>
    <row r="3553" spans="1:36" x14ac:dyDescent="0.25">
      <c r="A3553" t="s">
        <v>5411</v>
      </c>
      <c r="B3553" t="s">
        <v>16</v>
      </c>
      <c r="C3553" t="s">
        <v>17</v>
      </c>
      <c r="D3553">
        <v>65130000</v>
      </c>
      <c r="E3553">
        <v>65137999</v>
      </c>
      <c r="F3553" t="s">
        <v>3216</v>
      </c>
      <c r="G3553" t="str">
        <f t="shared" si="110"/>
        <v>MAI</v>
      </c>
      <c r="H3553" t="s">
        <v>3213</v>
      </c>
      <c r="I3553" t="s">
        <v>20</v>
      </c>
      <c r="J3553" t="s">
        <v>62</v>
      </c>
      <c r="K3553" s="6">
        <v>0.03</v>
      </c>
      <c r="L3553" s="7">
        <f t="shared" si="111"/>
        <v>2E-3</v>
      </c>
      <c r="M3553" s="7">
        <v>3.0000000000000001E-3</v>
      </c>
      <c r="N3553">
        <v>12</v>
      </c>
      <c r="O3553" s="8">
        <v>19.350325219569864</v>
      </c>
      <c r="P3553" s="9">
        <v>19.350325219569864</v>
      </c>
      <c r="Q3553" s="9">
        <v>19.350325219569864</v>
      </c>
      <c r="R3553" s="9">
        <v>21.236423757715794</v>
      </c>
      <c r="S3553" s="9">
        <v>23.412011215821156</v>
      </c>
      <c r="T3553" s="9">
        <v>26.602346057727168</v>
      </c>
      <c r="U3553" s="9">
        <v>32.175039039197578</v>
      </c>
      <c r="V3553" s="9">
        <v>32.175039039197578</v>
      </c>
      <c r="W3553" s="9">
        <v>32.175039039197578</v>
      </c>
      <c r="X3553" s="9">
        <v>38.477190222688968</v>
      </c>
      <c r="Y3553" s="9">
        <v>38.477190222688968</v>
      </c>
      <c r="Z3553" s="9">
        <v>46.072905764910679</v>
      </c>
      <c r="AA3553" s="9">
        <v>46.072905764910679</v>
      </c>
      <c r="AB3553" s="9">
        <v>52.857194265747438</v>
      </c>
      <c r="AC3553" s="9">
        <v>52.857194265747438</v>
      </c>
      <c r="AD3553" s="9">
        <v>60.075973585900336</v>
      </c>
      <c r="AE3553" s="9">
        <v>67.207660715359779</v>
      </c>
      <c r="AF3553" s="9">
        <v>74.765164496289444</v>
      </c>
      <c r="AG3553" s="9">
        <v>74.765164496289444</v>
      </c>
      <c r="AH3553" s="9">
        <v>82.787429668365718</v>
      </c>
      <c r="AI3553" s="9">
        <v>90.699158794373588</v>
      </c>
      <c r="AJ3553" s="9">
        <v>3.0428788910505911</v>
      </c>
    </row>
    <row r="3554" spans="1:36" x14ac:dyDescent="0.25">
      <c r="A3554" t="s">
        <v>5411</v>
      </c>
      <c r="B3554" t="s">
        <v>16</v>
      </c>
      <c r="C3554" t="s">
        <v>17</v>
      </c>
      <c r="D3554">
        <v>65138000</v>
      </c>
      <c r="E3554">
        <v>65139999</v>
      </c>
      <c r="F3554" t="s">
        <v>3217</v>
      </c>
      <c r="G3554" t="str">
        <f t="shared" si="110"/>
        <v>MAI</v>
      </c>
      <c r="H3554" t="s">
        <v>3213</v>
      </c>
      <c r="I3554" t="s">
        <v>20</v>
      </c>
      <c r="J3554" t="s">
        <v>62</v>
      </c>
      <c r="K3554" s="6">
        <v>0.03</v>
      </c>
      <c r="L3554" s="7">
        <f t="shared" si="111"/>
        <v>2E-3</v>
      </c>
      <c r="M3554" s="7">
        <v>3.0000000000000001E-3</v>
      </c>
      <c r="N3554">
        <v>12</v>
      </c>
      <c r="O3554" s="8">
        <v>19.350325219569864</v>
      </c>
      <c r="P3554" s="9">
        <v>19.350325219569864</v>
      </c>
      <c r="Q3554" s="9">
        <v>19.350325219569864</v>
      </c>
      <c r="R3554" s="9">
        <v>21.236423757715794</v>
      </c>
      <c r="S3554" s="9">
        <v>23.412011215821156</v>
      </c>
      <c r="T3554" s="9">
        <v>26.602346057727168</v>
      </c>
      <c r="U3554" s="9">
        <v>32.175039039197578</v>
      </c>
      <c r="V3554" s="9">
        <v>32.175039039197578</v>
      </c>
      <c r="W3554" s="9">
        <v>32.175039039197578</v>
      </c>
      <c r="X3554" s="9">
        <v>38.477190222688968</v>
      </c>
      <c r="Y3554" s="9">
        <v>38.477190222688968</v>
      </c>
      <c r="Z3554" s="9">
        <v>46.072905764910679</v>
      </c>
      <c r="AA3554" s="9">
        <v>46.072905764910679</v>
      </c>
      <c r="AB3554" s="9">
        <v>52.857194265747438</v>
      </c>
      <c r="AC3554" s="9">
        <v>52.857194265747438</v>
      </c>
      <c r="AD3554" s="9">
        <v>60.075973585900336</v>
      </c>
      <c r="AE3554" s="9">
        <v>67.207660715359779</v>
      </c>
      <c r="AF3554" s="9">
        <v>74.765164496289444</v>
      </c>
      <c r="AG3554" s="9">
        <v>74.765164496289444</v>
      </c>
      <c r="AH3554" s="9">
        <v>82.787429668365718</v>
      </c>
      <c r="AI3554" s="9">
        <v>90.699158794373588</v>
      </c>
      <c r="AJ3554" s="9">
        <v>3.0428788910505911</v>
      </c>
    </row>
    <row r="3555" spans="1:36" x14ac:dyDescent="0.25">
      <c r="A3555" t="s">
        <v>5411</v>
      </c>
      <c r="B3555" t="s">
        <v>16</v>
      </c>
      <c r="C3555" t="s">
        <v>17</v>
      </c>
      <c r="D3555">
        <v>65140000</v>
      </c>
      <c r="E3555">
        <v>65142999</v>
      </c>
      <c r="F3555" t="s">
        <v>1517</v>
      </c>
      <c r="G3555" t="str">
        <f t="shared" si="110"/>
        <v>MAR</v>
      </c>
      <c r="H3555" t="s">
        <v>3213</v>
      </c>
      <c r="I3555" t="s">
        <v>20</v>
      </c>
      <c r="J3555" t="s">
        <v>77</v>
      </c>
      <c r="K3555" s="6">
        <v>0.03</v>
      </c>
      <c r="L3555" s="7">
        <f t="shared" si="111"/>
        <v>2E-3</v>
      </c>
      <c r="M3555" s="7">
        <v>3.0000000000000001E-3</v>
      </c>
      <c r="N3555">
        <v>17</v>
      </c>
      <c r="O3555" s="8">
        <v>32.902778340866817</v>
      </c>
      <c r="P3555" s="9">
        <v>32.902778340866817</v>
      </c>
      <c r="Q3555" s="9">
        <v>32.902778340866817</v>
      </c>
      <c r="R3555" s="9">
        <v>36.980915483174826</v>
      </c>
      <c r="S3555" s="9">
        <v>41.041764553716455</v>
      </c>
      <c r="T3555" s="9">
        <v>44.512516286159922</v>
      </c>
      <c r="U3555" s="9">
        <v>52.176281946965503</v>
      </c>
      <c r="V3555" s="9">
        <v>52.176281946965503</v>
      </c>
      <c r="W3555" s="9">
        <v>52.176281946965503</v>
      </c>
      <c r="X3555" s="9">
        <v>65.399646652844908</v>
      </c>
      <c r="Y3555" s="9">
        <v>65.399646652844908</v>
      </c>
      <c r="Z3555" s="9">
        <v>74.862823794027804</v>
      </c>
      <c r="AA3555" s="9">
        <v>74.862823794027804</v>
      </c>
      <c r="AB3555" s="9">
        <v>84.552915727397561</v>
      </c>
      <c r="AC3555" s="9">
        <v>84.552915727397561</v>
      </c>
      <c r="AD3555" s="9">
        <v>94.492613932172858</v>
      </c>
      <c r="AE3555" s="9">
        <v>104.70687903549428</v>
      </c>
      <c r="AF3555" s="9">
        <v>115.51364337537625</v>
      </c>
      <c r="AG3555" s="9">
        <v>115.51364337537625</v>
      </c>
      <c r="AH3555" s="9">
        <v>127.68776106627702</v>
      </c>
      <c r="AI3555" s="9">
        <v>140.22732729914276</v>
      </c>
      <c r="AJ3555" s="9">
        <v>3.0428788910505911</v>
      </c>
    </row>
    <row r="3556" spans="1:36" x14ac:dyDescent="0.25">
      <c r="A3556" t="s">
        <v>5411</v>
      </c>
      <c r="B3556" t="s">
        <v>16</v>
      </c>
      <c r="C3556" t="s">
        <v>17</v>
      </c>
      <c r="D3556">
        <v>65143000</v>
      </c>
      <c r="E3556">
        <v>65144999</v>
      </c>
      <c r="F3556" t="s">
        <v>3218</v>
      </c>
      <c r="G3556" t="str">
        <f t="shared" si="110"/>
        <v>MAR</v>
      </c>
      <c r="H3556" t="s">
        <v>3213</v>
      </c>
      <c r="I3556" t="s">
        <v>20</v>
      </c>
      <c r="J3556" t="s">
        <v>77</v>
      </c>
      <c r="K3556" s="6">
        <v>0.03</v>
      </c>
      <c r="L3556" s="7">
        <f t="shared" si="111"/>
        <v>2E-3</v>
      </c>
      <c r="M3556" s="7">
        <v>3.0000000000000001E-3</v>
      </c>
      <c r="N3556">
        <v>17</v>
      </c>
      <c r="O3556" s="8">
        <v>32.902778340866817</v>
      </c>
      <c r="P3556" s="9">
        <v>32.902778340866817</v>
      </c>
      <c r="Q3556" s="9">
        <v>32.902778340866817</v>
      </c>
      <c r="R3556" s="9">
        <v>36.980915483174826</v>
      </c>
      <c r="S3556" s="9">
        <v>41.041764553716455</v>
      </c>
      <c r="T3556" s="9">
        <v>44.512516286159922</v>
      </c>
      <c r="U3556" s="9">
        <v>52.176281946965503</v>
      </c>
      <c r="V3556" s="9">
        <v>52.176281946965503</v>
      </c>
      <c r="W3556" s="9">
        <v>52.176281946965503</v>
      </c>
      <c r="X3556" s="9">
        <v>65.399646652844908</v>
      </c>
      <c r="Y3556" s="9">
        <v>65.399646652844908</v>
      </c>
      <c r="Z3556" s="9">
        <v>74.862823794027804</v>
      </c>
      <c r="AA3556" s="9">
        <v>74.862823794027804</v>
      </c>
      <c r="AB3556" s="9">
        <v>84.552915727397561</v>
      </c>
      <c r="AC3556" s="9">
        <v>84.552915727397561</v>
      </c>
      <c r="AD3556" s="9">
        <v>94.492613932172858</v>
      </c>
      <c r="AE3556" s="9">
        <v>104.70687903549428</v>
      </c>
      <c r="AF3556" s="9">
        <v>115.51364337537625</v>
      </c>
      <c r="AG3556" s="9">
        <v>115.51364337537625</v>
      </c>
      <c r="AH3556" s="9">
        <v>127.68776106627702</v>
      </c>
      <c r="AI3556" s="9">
        <v>140.22732729914276</v>
      </c>
      <c r="AJ3556" s="9">
        <v>3.0428788910505911</v>
      </c>
    </row>
    <row r="3557" spans="1:36" x14ac:dyDescent="0.25">
      <c r="A3557" t="s">
        <v>5411</v>
      </c>
      <c r="B3557" t="s">
        <v>16</v>
      </c>
      <c r="C3557" t="s">
        <v>17</v>
      </c>
      <c r="D3557">
        <v>65145000</v>
      </c>
      <c r="E3557">
        <v>65147999</v>
      </c>
      <c r="F3557" t="s">
        <v>3219</v>
      </c>
      <c r="G3557" t="str">
        <f t="shared" si="110"/>
        <v>MAR</v>
      </c>
      <c r="H3557" t="s">
        <v>3213</v>
      </c>
      <c r="I3557" t="s">
        <v>20</v>
      </c>
      <c r="J3557" t="s">
        <v>77</v>
      </c>
      <c r="K3557" s="6">
        <v>0.03</v>
      </c>
      <c r="L3557" s="7">
        <f t="shared" si="111"/>
        <v>2E-3</v>
      </c>
      <c r="M3557" s="7">
        <v>3.0000000000000001E-3</v>
      </c>
      <c r="N3557">
        <v>17</v>
      </c>
      <c r="O3557" s="8">
        <v>32.902778340866817</v>
      </c>
      <c r="P3557" s="9">
        <v>32.902778340866817</v>
      </c>
      <c r="Q3557" s="9">
        <v>32.902778340866817</v>
      </c>
      <c r="R3557" s="9">
        <v>36.980915483174826</v>
      </c>
      <c r="S3557" s="9">
        <v>41.041764553716455</v>
      </c>
      <c r="T3557" s="9">
        <v>44.512516286159922</v>
      </c>
      <c r="U3557" s="9">
        <v>52.176281946965503</v>
      </c>
      <c r="V3557" s="9">
        <v>52.176281946965503</v>
      </c>
      <c r="W3557" s="9">
        <v>52.176281946965503</v>
      </c>
      <c r="X3557" s="9">
        <v>65.399646652844908</v>
      </c>
      <c r="Y3557" s="9">
        <v>65.399646652844908</v>
      </c>
      <c r="Z3557" s="9">
        <v>74.862823794027804</v>
      </c>
      <c r="AA3557" s="9">
        <v>74.862823794027804</v>
      </c>
      <c r="AB3557" s="9">
        <v>84.552915727397561</v>
      </c>
      <c r="AC3557" s="9">
        <v>84.552915727397561</v>
      </c>
      <c r="AD3557" s="9">
        <v>94.492613932172858</v>
      </c>
      <c r="AE3557" s="9">
        <v>104.70687903549428</v>
      </c>
      <c r="AF3557" s="9">
        <v>115.51364337537625</v>
      </c>
      <c r="AG3557" s="9">
        <v>115.51364337537625</v>
      </c>
      <c r="AH3557" s="9">
        <v>127.68776106627702</v>
      </c>
      <c r="AI3557" s="9">
        <v>140.22732729914276</v>
      </c>
      <c r="AJ3557" s="9">
        <v>3.0428788910505911</v>
      </c>
    </row>
    <row r="3558" spans="1:36" x14ac:dyDescent="0.25">
      <c r="A3558" t="s">
        <v>5411</v>
      </c>
      <c r="B3558" t="s">
        <v>16</v>
      </c>
      <c r="C3558" t="s">
        <v>17</v>
      </c>
      <c r="D3558">
        <v>65148000</v>
      </c>
      <c r="E3558">
        <v>65149999</v>
      </c>
      <c r="F3558" t="s">
        <v>3220</v>
      </c>
      <c r="G3558" t="str">
        <f t="shared" si="110"/>
        <v>MAR</v>
      </c>
      <c r="H3558" t="s">
        <v>3213</v>
      </c>
      <c r="I3558" t="s">
        <v>20</v>
      </c>
      <c r="J3558" t="s">
        <v>77</v>
      </c>
      <c r="K3558" s="6">
        <v>0.03</v>
      </c>
      <c r="L3558" s="7">
        <f t="shared" si="111"/>
        <v>2E-3</v>
      </c>
      <c r="M3558" s="7">
        <v>3.0000000000000001E-3</v>
      </c>
      <c r="N3558">
        <v>17</v>
      </c>
      <c r="O3558" s="8">
        <v>32.902778340866817</v>
      </c>
      <c r="P3558" s="9">
        <v>32.902778340866817</v>
      </c>
      <c r="Q3558" s="9">
        <v>32.902778340866817</v>
      </c>
      <c r="R3558" s="9">
        <v>36.980915483174826</v>
      </c>
      <c r="S3558" s="9">
        <v>41.041764553716455</v>
      </c>
      <c r="T3558" s="9">
        <v>44.512516286159922</v>
      </c>
      <c r="U3558" s="9">
        <v>52.176281946965503</v>
      </c>
      <c r="V3558" s="9">
        <v>52.176281946965503</v>
      </c>
      <c r="W3558" s="9">
        <v>52.176281946965503</v>
      </c>
      <c r="X3558" s="9">
        <v>65.399646652844908</v>
      </c>
      <c r="Y3558" s="9">
        <v>65.399646652844908</v>
      </c>
      <c r="Z3558" s="9">
        <v>74.862823794027804</v>
      </c>
      <c r="AA3558" s="9">
        <v>74.862823794027804</v>
      </c>
      <c r="AB3558" s="9">
        <v>84.552915727397561</v>
      </c>
      <c r="AC3558" s="9">
        <v>84.552915727397561</v>
      </c>
      <c r="AD3558" s="9">
        <v>94.492613932172858</v>
      </c>
      <c r="AE3558" s="9">
        <v>104.70687903549428</v>
      </c>
      <c r="AF3558" s="9">
        <v>115.51364337537625</v>
      </c>
      <c r="AG3558" s="9">
        <v>115.51364337537625</v>
      </c>
      <c r="AH3558" s="9">
        <v>127.68776106627702</v>
      </c>
      <c r="AI3558" s="9">
        <v>140.22732729914276</v>
      </c>
      <c r="AJ3558" s="9">
        <v>3.0428788910505911</v>
      </c>
    </row>
    <row r="3559" spans="1:36" x14ac:dyDescent="0.25">
      <c r="A3559" t="s">
        <v>5411</v>
      </c>
      <c r="B3559" t="s">
        <v>16</v>
      </c>
      <c r="C3559" t="s">
        <v>17</v>
      </c>
      <c r="D3559">
        <v>65150000</v>
      </c>
      <c r="E3559">
        <v>65159999</v>
      </c>
      <c r="F3559" t="s">
        <v>3221</v>
      </c>
      <c r="G3559" t="str">
        <f t="shared" si="110"/>
        <v>MAR</v>
      </c>
      <c r="H3559" t="s">
        <v>3213</v>
      </c>
      <c r="I3559" t="s">
        <v>20</v>
      </c>
      <c r="J3559" t="s">
        <v>77</v>
      </c>
      <c r="K3559" s="6">
        <v>0.03</v>
      </c>
      <c r="L3559" s="7">
        <f t="shared" si="111"/>
        <v>2E-3</v>
      </c>
      <c r="M3559" s="7">
        <v>3.0000000000000001E-3</v>
      </c>
      <c r="N3559">
        <v>17</v>
      </c>
      <c r="O3559" s="8">
        <v>32.902778340866817</v>
      </c>
      <c r="P3559" s="9">
        <v>32.902778340866817</v>
      </c>
      <c r="Q3559" s="9">
        <v>32.902778340866817</v>
      </c>
      <c r="R3559" s="9">
        <v>36.980915483174826</v>
      </c>
      <c r="S3559" s="9">
        <v>41.041764553716455</v>
      </c>
      <c r="T3559" s="9">
        <v>44.512516286159922</v>
      </c>
      <c r="U3559" s="9">
        <v>52.176281946965503</v>
      </c>
      <c r="V3559" s="9">
        <v>52.176281946965503</v>
      </c>
      <c r="W3559" s="9">
        <v>52.176281946965503</v>
      </c>
      <c r="X3559" s="9">
        <v>65.399646652844908</v>
      </c>
      <c r="Y3559" s="9">
        <v>65.399646652844908</v>
      </c>
      <c r="Z3559" s="9">
        <v>74.862823794027804</v>
      </c>
      <c r="AA3559" s="9">
        <v>74.862823794027804</v>
      </c>
      <c r="AB3559" s="9">
        <v>84.552915727397561</v>
      </c>
      <c r="AC3559" s="9">
        <v>84.552915727397561</v>
      </c>
      <c r="AD3559" s="9">
        <v>94.492613932172858</v>
      </c>
      <c r="AE3559" s="9">
        <v>104.70687903549428</v>
      </c>
      <c r="AF3559" s="9">
        <v>115.51364337537625</v>
      </c>
      <c r="AG3559" s="9">
        <v>115.51364337537625</v>
      </c>
      <c r="AH3559" s="9">
        <v>127.68776106627702</v>
      </c>
      <c r="AI3559" s="9">
        <v>140.22732729914276</v>
      </c>
      <c r="AJ3559" s="9">
        <v>3.0428788910505911</v>
      </c>
    </row>
    <row r="3560" spans="1:36" x14ac:dyDescent="0.25">
      <c r="A3560" t="s">
        <v>5411</v>
      </c>
      <c r="B3560" t="s">
        <v>16</v>
      </c>
      <c r="C3560" t="s">
        <v>17</v>
      </c>
      <c r="D3560">
        <v>65160000</v>
      </c>
      <c r="E3560">
        <v>65164999</v>
      </c>
      <c r="F3560" t="s">
        <v>3222</v>
      </c>
      <c r="G3560" t="str">
        <f t="shared" si="110"/>
        <v>MAR</v>
      </c>
      <c r="H3560" t="s">
        <v>3213</v>
      </c>
      <c r="I3560" t="s">
        <v>20</v>
      </c>
      <c r="J3560" t="s">
        <v>77</v>
      </c>
      <c r="K3560" s="6">
        <v>0.03</v>
      </c>
      <c r="L3560" s="7">
        <f t="shared" si="111"/>
        <v>2E-3</v>
      </c>
      <c r="M3560" s="7">
        <v>3.0000000000000001E-3</v>
      </c>
      <c r="N3560">
        <v>17</v>
      </c>
      <c r="O3560" s="8">
        <v>32.902778340866817</v>
      </c>
      <c r="P3560" s="9">
        <v>32.902778340866817</v>
      </c>
      <c r="Q3560" s="9">
        <v>32.902778340866817</v>
      </c>
      <c r="R3560" s="9">
        <v>36.980915483174826</v>
      </c>
      <c r="S3560" s="9">
        <v>41.041764553716455</v>
      </c>
      <c r="T3560" s="9">
        <v>44.512516286159922</v>
      </c>
      <c r="U3560" s="9">
        <v>52.176281946965503</v>
      </c>
      <c r="V3560" s="9">
        <v>52.176281946965503</v>
      </c>
      <c r="W3560" s="9">
        <v>52.176281946965503</v>
      </c>
      <c r="X3560" s="9">
        <v>65.399646652844908</v>
      </c>
      <c r="Y3560" s="9">
        <v>65.399646652844908</v>
      </c>
      <c r="Z3560" s="9">
        <v>74.862823794027804</v>
      </c>
      <c r="AA3560" s="9">
        <v>74.862823794027804</v>
      </c>
      <c r="AB3560" s="9">
        <v>84.552915727397561</v>
      </c>
      <c r="AC3560" s="9">
        <v>84.552915727397561</v>
      </c>
      <c r="AD3560" s="9">
        <v>94.492613932172858</v>
      </c>
      <c r="AE3560" s="9">
        <v>104.70687903549428</v>
      </c>
      <c r="AF3560" s="9">
        <v>115.51364337537625</v>
      </c>
      <c r="AG3560" s="9">
        <v>115.51364337537625</v>
      </c>
      <c r="AH3560" s="9">
        <v>127.68776106627702</v>
      </c>
      <c r="AI3560" s="9">
        <v>140.22732729914276</v>
      </c>
      <c r="AJ3560" s="9">
        <v>3.0428788910505911</v>
      </c>
    </row>
    <row r="3561" spans="1:36" x14ac:dyDescent="0.25">
      <c r="A3561" t="s">
        <v>5411</v>
      </c>
      <c r="B3561" t="s">
        <v>16</v>
      </c>
      <c r="C3561" t="s">
        <v>17</v>
      </c>
      <c r="D3561">
        <v>65165000</v>
      </c>
      <c r="E3561">
        <v>65169999</v>
      </c>
      <c r="F3561" t="s">
        <v>3223</v>
      </c>
      <c r="G3561" t="str">
        <f t="shared" si="110"/>
        <v>MAR</v>
      </c>
      <c r="H3561" t="s">
        <v>3213</v>
      </c>
      <c r="I3561" t="s">
        <v>20</v>
      </c>
      <c r="J3561" t="s">
        <v>77</v>
      </c>
      <c r="K3561" s="6">
        <v>0.03</v>
      </c>
      <c r="L3561" s="7">
        <f t="shared" si="111"/>
        <v>2E-3</v>
      </c>
      <c r="M3561" s="7">
        <v>3.0000000000000001E-3</v>
      </c>
      <c r="N3561">
        <v>17</v>
      </c>
      <c r="O3561" s="8">
        <v>32.902778340866817</v>
      </c>
      <c r="P3561" s="9">
        <v>32.902778340866817</v>
      </c>
      <c r="Q3561" s="9">
        <v>32.902778340866817</v>
      </c>
      <c r="R3561" s="9">
        <v>36.980915483174826</v>
      </c>
      <c r="S3561" s="9">
        <v>41.041764553716455</v>
      </c>
      <c r="T3561" s="9">
        <v>44.512516286159922</v>
      </c>
      <c r="U3561" s="9">
        <v>52.176281946965503</v>
      </c>
      <c r="V3561" s="9">
        <v>52.176281946965503</v>
      </c>
      <c r="W3561" s="9">
        <v>52.176281946965503</v>
      </c>
      <c r="X3561" s="9">
        <v>65.399646652844908</v>
      </c>
      <c r="Y3561" s="9">
        <v>65.399646652844908</v>
      </c>
      <c r="Z3561" s="9">
        <v>74.862823794027804</v>
      </c>
      <c r="AA3561" s="9">
        <v>74.862823794027804</v>
      </c>
      <c r="AB3561" s="9">
        <v>84.552915727397561</v>
      </c>
      <c r="AC3561" s="9">
        <v>84.552915727397561</v>
      </c>
      <c r="AD3561" s="9">
        <v>94.492613932172858</v>
      </c>
      <c r="AE3561" s="9">
        <v>104.70687903549428</v>
      </c>
      <c r="AF3561" s="9">
        <v>115.51364337537625</v>
      </c>
      <c r="AG3561" s="9">
        <v>115.51364337537625</v>
      </c>
      <c r="AH3561" s="9">
        <v>127.68776106627702</v>
      </c>
      <c r="AI3561" s="9">
        <v>140.22732729914276</v>
      </c>
      <c r="AJ3561" s="9">
        <v>3.0428788910505911</v>
      </c>
    </row>
    <row r="3562" spans="1:36" x14ac:dyDescent="0.25">
      <c r="A3562" t="s">
        <v>5411</v>
      </c>
      <c r="B3562" t="s">
        <v>16</v>
      </c>
      <c r="C3562" t="s">
        <v>17</v>
      </c>
      <c r="D3562">
        <v>65170000</v>
      </c>
      <c r="E3562">
        <v>65179999</v>
      </c>
      <c r="F3562" t="s">
        <v>3224</v>
      </c>
      <c r="G3562" t="str">
        <f t="shared" si="110"/>
        <v>MAR</v>
      </c>
      <c r="H3562" t="s">
        <v>3213</v>
      </c>
      <c r="I3562" t="s">
        <v>20</v>
      </c>
      <c r="J3562" t="s">
        <v>77</v>
      </c>
      <c r="K3562" s="6">
        <v>0.03</v>
      </c>
      <c r="L3562" s="7">
        <f t="shared" si="111"/>
        <v>2E-3</v>
      </c>
      <c r="M3562" s="7">
        <v>3.0000000000000001E-3</v>
      </c>
      <c r="N3562">
        <v>17</v>
      </c>
      <c r="O3562" s="8">
        <v>32.902778340866817</v>
      </c>
      <c r="P3562" s="9">
        <v>32.902778340866817</v>
      </c>
      <c r="Q3562" s="9">
        <v>32.902778340866817</v>
      </c>
      <c r="R3562" s="9">
        <v>36.980915483174826</v>
      </c>
      <c r="S3562" s="9">
        <v>41.041764553716455</v>
      </c>
      <c r="T3562" s="9">
        <v>44.512516286159922</v>
      </c>
      <c r="U3562" s="9">
        <v>52.176281946965503</v>
      </c>
      <c r="V3562" s="9">
        <v>52.176281946965503</v>
      </c>
      <c r="W3562" s="9">
        <v>52.176281946965503</v>
      </c>
      <c r="X3562" s="9">
        <v>65.399646652844908</v>
      </c>
      <c r="Y3562" s="9">
        <v>65.399646652844908</v>
      </c>
      <c r="Z3562" s="9">
        <v>74.862823794027804</v>
      </c>
      <c r="AA3562" s="9">
        <v>74.862823794027804</v>
      </c>
      <c r="AB3562" s="9">
        <v>84.552915727397561</v>
      </c>
      <c r="AC3562" s="9">
        <v>84.552915727397561</v>
      </c>
      <c r="AD3562" s="9">
        <v>94.492613932172858</v>
      </c>
      <c r="AE3562" s="9">
        <v>104.70687903549428</v>
      </c>
      <c r="AF3562" s="9">
        <v>115.51364337537625</v>
      </c>
      <c r="AG3562" s="9">
        <v>115.51364337537625</v>
      </c>
      <c r="AH3562" s="9">
        <v>127.68776106627702</v>
      </c>
      <c r="AI3562" s="9">
        <v>140.22732729914276</v>
      </c>
      <c r="AJ3562" s="9">
        <v>3.0428788910505911</v>
      </c>
    </row>
    <row r="3563" spans="1:36" x14ac:dyDescent="0.25">
      <c r="A3563" t="s">
        <v>5411</v>
      </c>
      <c r="B3563" t="s">
        <v>16</v>
      </c>
      <c r="C3563" t="s">
        <v>17</v>
      </c>
      <c r="D3563">
        <v>65180000</v>
      </c>
      <c r="E3563">
        <v>65189999</v>
      </c>
      <c r="F3563" t="s">
        <v>3225</v>
      </c>
      <c r="G3563" t="str">
        <f t="shared" si="110"/>
        <v>MAR</v>
      </c>
      <c r="H3563" t="s">
        <v>3213</v>
      </c>
      <c r="I3563" t="s">
        <v>20</v>
      </c>
      <c r="J3563" t="s">
        <v>77</v>
      </c>
      <c r="K3563" s="6">
        <v>0.03</v>
      </c>
      <c r="L3563" s="7">
        <f t="shared" si="111"/>
        <v>2E-3</v>
      </c>
      <c r="M3563" s="7">
        <v>3.0000000000000001E-3</v>
      </c>
      <c r="N3563">
        <v>17</v>
      </c>
      <c r="O3563" s="8">
        <v>32.902778340866817</v>
      </c>
      <c r="P3563" s="9">
        <v>32.902778340866817</v>
      </c>
      <c r="Q3563" s="9">
        <v>32.902778340866817</v>
      </c>
      <c r="R3563" s="9">
        <v>36.980915483174826</v>
      </c>
      <c r="S3563" s="9">
        <v>41.041764553716455</v>
      </c>
      <c r="T3563" s="9">
        <v>44.512516286159922</v>
      </c>
      <c r="U3563" s="9">
        <v>52.176281946965503</v>
      </c>
      <c r="V3563" s="9">
        <v>52.176281946965503</v>
      </c>
      <c r="W3563" s="9">
        <v>52.176281946965503</v>
      </c>
      <c r="X3563" s="9">
        <v>65.399646652844908</v>
      </c>
      <c r="Y3563" s="9">
        <v>65.399646652844908</v>
      </c>
      <c r="Z3563" s="9">
        <v>74.862823794027804</v>
      </c>
      <c r="AA3563" s="9">
        <v>74.862823794027804</v>
      </c>
      <c r="AB3563" s="9">
        <v>84.552915727397561</v>
      </c>
      <c r="AC3563" s="9">
        <v>84.552915727397561</v>
      </c>
      <c r="AD3563" s="9">
        <v>94.492613932172858</v>
      </c>
      <c r="AE3563" s="9">
        <v>104.70687903549428</v>
      </c>
      <c r="AF3563" s="9">
        <v>115.51364337537625</v>
      </c>
      <c r="AG3563" s="9">
        <v>115.51364337537625</v>
      </c>
      <c r="AH3563" s="9">
        <v>127.68776106627702</v>
      </c>
      <c r="AI3563" s="9">
        <v>140.22732729914276</v>
      </c>
      <c r="AJ3563" s="9">
        <v>3.0428788910505911</v>
      </c>
    </row>
    <row r="3564" spans="1:36" x14ac:dyDescent="0.25">
      <c r="A3564" t="s">
        <v>5411</v>
      </c>
      <c r="B3564" t="s">
        <v>16</v>
      </c>
      <c r="C3564" t="s">
        <v>17</v>
      </c>
      <c r="D3564">
        <v>65190000</v>
      </c>
      <c r="E3564">
        <v>65194999</v>
      </c>
      <c r="F3564" t="s">
        <v>3226</v>
      </c>
      <c r="G3564" t="str">
        <f t="shared" si="110"/>
        <v>MAR</v>
      </c>
      <c r="H3564" t="s">
        <v>3213</v>
      </c>
      <c r="I3564" t="s">
        <v>20</v>
      </c>
      <c r="J3564" t="s">
        <v>77</v>
      </c>
      <c r="K3564" s="6">
        <v>0.03</v>
      </c>
      <c r="L3564" s="7">
        <f t="shared" si="111"/>
        <v>2E-3</v>
      </c>
      <c r="M3564" s="7">
        <v>3.0000000000000001E-3</v>
      </c>
      <c r="N3564">
        <v>17</v>
      </c>
      <c r="O3564" s="8">
        <v>32.902778340866817</v>
      </c>
      <c r="P3564" s="9">
        <v>32.902778340866817</v>
      </c>
      <c r="Q3564" s="9">
        <v>32.902778340866817</v>
      </c>
      <c r="R3564" s="9">
        <v>36.980915483174826</v>
      </c>
      <c r="S3564" s="9">
        <v>41.041764553716455</v>
      </c>
      <c r="T3564" s="9">
        <v>44.512516286159922</v>
      </c>
      <c r="U3564" s="9">
        <v>52.176281946965503</v>
      </c>
      <c r="V3564" s="9">
        <v>52.176281946965503</v>
      </c>
      <c r="W3564" s="9">
        <v>52.176281946965503</v>
      </c>
      <c r="X3564" s="9">
        <v>65.399646652844908</v>
      </c>
      <c r="Y3564" s="9">
        <v>65.399646652844908</v>
      </c>
      <c r="Z3564" s="9">
        <v>74.862823794027804</v>
      </c>
      <c r="AA3564" s="9">
        <v>74.862823794027804</v>
      </c>
      <c r="AB3564" s="9">
        <v>84.552915727397561</v>
      </c>
      <c r="AC3564" s="9">
        <v>84.552915727397561</v>
      </c>
      <c r="AD3564" s="9">
        <v>94.492613932172858</v>
      </c>
      <c r="AE3564" s="9">
        <v>104.70687903549428</v>
      </c>
      <c r="AF3564" s="9">
        <v>115.51364337537625</v>
      </c>
      <c r="AG3564" s="9">
        <v>115.51364337537625</v>
      </c>
      <c r="AH3564" s="9">
        <v>127.68776106627702</v>
      </c>
      <c r="AI3564" s="9">
        <v>140.22732729914276</v>
      </c>
      <c r="AJ3564" s="9">
        <v>3.0428788910505911</v>
      </c>
    </row>
    <row r="3565" spans="1:36" x14ac:dyDescent="0.25">
      <c r="A3565" t="s">
        <v>5411</v>
      </c>
      <c r="B3565" t="s">
        <v>16</v>
      </c>
      <c r="C3565" t="s">
        <v>17</v>
      </c>
      <c r="D3565">
        <v>65195000</v>
      </c>
      <c r="E3565">
        <v>65199999</v>
      </c>
      <c r="F3565" t="s">
        <v>3227</v>
      </c>
      <c r="G3565" t="str">
        <f t="shared" si="110"/>
        <v>MAR</v>
      </c>
      <c r="H3565" t="s">
        <v>3213</v>
      </c>
      <c r="I3565" t="s">
        <v>20</v>
      </c>
      <c r="J3565" t="s">
        <v>77</v>
      </c>
      <c r="K3565" s="6">
        <v>0.03</v>
      </c>
      <c r="L3565" s="7">
        <f t="shared" si="111"/>
        <v>2E-3</v>
      </c>
      <c r="M3565" s="7">
        <v>3.0000000000000001E-3</v>
      </c>
      <c r="N3565">
        <v>17</v>
      </c>
      <c r="O3565" s="8">
        <v>32.902778340866817</v>
      </c>
      <c r="P3565" s="9">
        <v>32.902778340866817</v>
      </c>
      <c r="Q3565" s="9">
        <v>32.902778340866817</v>
      </c>
      <c r="R3565" s="9">
        <v>36.980915483174826</v>
      </c>
      <c r="S3565" s="9">
        <v>41.041764553716455</v>
      </c>
      <c r="T3565" s="9">
        <v>44.512516286159922</v>
      </c>
      <c r="U3565" s="9">
        <v>52.176281946965503</v>
      </c>
      <c r="V3565" s="9">
        <v>52.176281946965503</v>
      </c>
      <c r="W3565" s="9">
        <v>52.176281946965503</v>
      </c>
      <c r="X3565" s="9">
        <v>65.399646652844908</v>
      </c>
      <c r="Y3565" s="9">
        <v>65.399646652844908</v>
      </c>
      <c r="Z3565" s="9">
        <v>74.862823794027804</v>
      </c>
      <c r="AA3565" s="9">
        <v>74.862823794027804</v>
      </c>
      <c r="AB3565" s="9">
        <v>84.552915727397561</v>
      </c>
      <c r="AC3565" s="9">
        <v>84.552915727397561</v>
      </c>
      <c r="AD3565" s="9">
        <v>94.492613932172858</v>
      </c>
      <c r="AE3565" s="9">
        <v>104.70687903549428</v>
      </c>
      <c r="AF3565" s="9">
        <v>115.51364337537625</v>
      </c>
      <c r="AG3565" s="9">
        <v>115.51364337537625</v>
      </c>
      <c r="AH3565" s="9">
        <v>127.68776106627702</v>
      </c>
      <c r="AI3565" s="9">
        <v>140.22732729914276</v>
      </c>
      <c r="AJ3565" s="9">
        <v>3.0428788910505911</v>
      </c>
    </row>
    <row r="3566" spans="1:36" x14ac:dyDescent="0.25">
      <c r="A3566" t="s">
        <v>5411</v>
      </c>
      <c r="B3566" t="s">
        <v>16</v>
      </c>
      <c r="C3566" t="s">
        <v>17</v>
      </c>
      <c r="D3566">
        <v>65200000</v>
      </c>
      <c r="E3566">
        <v>65203999</v>
      </c>
      <c r="F3566" t="s">
        <v>3228</v>
      </c>
      <c r="G3566" t="str">
        <f t="shared" si="110"/>
        <v>MAI</v>
      </c>
      <c r="H3566" t="s">
        <v>3213</v>
      </c>
      <c r="I3566" t="s">
        <v>20</v>
      </c>
      <c r="J3566" t="s">
        <v>62</v>
      </c>
      <c r="K3566" s="6">
        <v>0.03</v>
      </c>
      <c r="L3566" s="7">
        <f t="shared" si="111"/>
        <v>2E-3</v>
      </c>
      <c r="M3566" s="7">
        <v>3.0000000000000001E-3</v>
      </c>
      <c r="N3566">
        <v>12</v>
      </c>
      <c r="O3566" s="8">
        <v>19.350325219569864</v>
      </c>
      <c r="P3566" s="9">
        <v>19.350325219569864</v>
      </c>
      <c r="Q3566" s="9">
        <v>19.350325219569864</v>
      </c>
      <c r="R3566" s="9">
        <v>21.236423757715794</v>
      </c>
      <c r="S3566" s="9">
        <v>23.412011215821156</v>
      </c>
      <c r="T3566" s="9">
        <v>26.602346057727168</v>
      </c>
      <c r="U3566" s="9">
        <v>32.175039039197578</v>
      </c>
      <c r="V3566" s="9">
        <v>32.175039039197578</v>
      </c>
      <c r="W3566" s="9">
        <v>32.175039039197578</v>
      </c>
      <c r="X3566" s="9">
        <v>38.477190222688968</v>
      </c>
      <c r="Y3566" s="9">
        <v>38.477190222688968</v>
      </c>
      <c r="Z3566" s="9">
        <v>46.072905764910679</v>
      </c>
      <c r="AA3566" s="9">
        <v>46.072905764910679</v>
      </c>
      <c r="AB3566" s="9">
        <v>52.857194265747438</v>
      </c>
      <c r="AC3566" s="9">
        <v>52.857194265747438</v>
      </c>
      <c r="AD3566" s="9">
        <v>60.075973585900336</v>
      </c>
      <c r="AE3566" s="9">
        <v>67.207660715359779</v>
      </c>
      <c r="AF3566" s="9">
        <v>74.765164496289444</v>
      </c>
      <c r="AG3566" s="9">
        <v>74.765164496289444</v>
      </c>
      <c r="AH3566" s="9">
        <v>82.787429668365718</v>
      </c>
      <c r="AI3566" s="9">
        <v>90.699158794373588</v>
      </c>
      <c r="AJ3566" s="9">
        <v>3.0428788910505911</v>
      </c>
    </row>
    <row r="3567" spans="1:36" x14ac:dyDescent="0.25">
      <c r="A3567" t="s">
        <v>5411</v>
      </c>
      <c r="B3567" t="s">
        <v>16</v>
      </c>
      <c r="C3567" t="s">
        <v>17</v>
      </c>
      <c r="D3567">
        <v>65204000</v>
      </c>
      <c r="E3567">
        <v>65205999</v>
      </c>
      <c r="F3567" t="s">
        <v>3229</v>
      </c>
      <c r="G3567" t="str">
        <f t="shared" si="110"/>
        <v>MAR</v>
      </c>
      <c r="H3567" t="s">
        <v>3213</v>
      </c>
      <c r="I3567" t="s">
        <v>20</v>
      </c>
      <c r="J3567" t="s">
        <v>77</v>
      </c>
      <c r="K3567" s="6">
        <v>0.03</v>
      </c>
      <c r="L3567" s="7">
        <f t="shared" si="111"/>
        <v>2E-3</v>
      </c>
      <c r="M3567" s="7">
        <v>3.0000000000000001E-3</v>
      </c>
      <c r="N3567">
        <v>17</v>
      </c>
      <c r="O3567" s="8">
        <v>32.902778340866817</v>
      </c>
      <c r="P3567" s="9">
        <v>32.902778340866817</v>
      </c>
      <c r="Q3567" s="9">
        <v>32.902778340866817</v>
      </c>
      <c r="R3567" s="9">
        <v>36.980915483174826</v>
      </c>
      <c r="S3567" s="9">
        <v>41.041764553716455</v>
      </c>
      <c r="T3567" s="9">
        <v>44.512516286159922</v>
      </c>
      <c r="U3567" s="9">
        <v>52.176281946965503</v>
      </c>
      <c r="V3567" s="9">
        <v>52.176281946965503</v>
      </c>
      <c r="W3567" s="9">
        <v>52.176281946965503</v>
      </c>
      <c r="X3567" s="9">
        <v>65.399646652844908</v>
      </c>
      <c r="Y3567" s="9">
        <v>65.399646652844908</v>
      </c>
      <c r="Z3567" s="9">
        <v>74.862823794027804</v>
      </c>
      <c r="AA3567" s="9">
        <v>74.862823794027804</v>
      </c>
      <c r="AB3567" s="9">
        <v>84.552915727397561</v>
      </c>
      <c r="AC3567" s="9">
        <v>84.552915727397561</v>
      </c>
      <c r="AD3567" s="9">
        <v>94.492613932172858</v>
      </c>
      <c r="AE3567" s="9">
        <v>104.70687903549428</v>
      </c>
      <c r="AF3567" s="9">
        <v>115.51364337537625</v>
      </c>
      <c r="AG3567" s="9">
        <v>115.51364337537625</v>
      </c>
      <c r="AH3567" s="9">
        <v>127.68776106627702</v>
      </c>
      <c r="AI3567" s="9">
        <v>140.22732729914276</v>
      </c>
      <c r="AJ3567" s="9">
        <v>3.0428788910505911</v>
      </c>
    </row>
    <row r="3568" spans="1:36" x14ac:dyDescent="0.25">
      <c r="A3568" t="s">
        <v>5411</v>
      </c>
      <c r="B3568" t="s">
        <v>16</v>
      </c>
      <c r="C3568" t="s">
        <v>17</v>
      </c>
      <c r="D3568">
        <v>65206000</v>
      </c>
      <c r="E3568">
        <v>65207999</v>
      </c>
      <c r="F3568" t="s">
        <v>3230</v>
      </c>
      <c r="G3568" t="str">
        <f t="shared" si="110"/>
        <v>MAR</v>
      </c>
      <c r="H3568" t="s">
        <v>3213</v>
      </c>
      <c r="I3568" t="s">
        <v>20</v>
      </c>
      <c r="J3568" t="s">
        <v>77</v>
      </c>
      <c r="K3568" s="6">
        <v>0.03</v>
      </c>
      <c r="L3568" s="7">
        <f t="shared" si="111"/>
        <v>2E-3</v>
      </c>
      <c r="M3568" s="7">
        <v>3.0000000000000001E-3</v>
      </c>
      <c r="N3568">
        <v>17</v>
      </c>
      <c r="O3568" s="8">
        <v>32.902778340866817</v>
      </c>
      <c r="P3568" s="9">
        <v>32.902778340866817</v>
      </c>
      <c r="Q3568" s="9">
        <v>32.902778340866817</v>
      </c>
      <c r="R3568" s="9">
        <v>36.980915483174826</v>
      </c>
      <c r="S3568" s="9">
        <v>41.041764553716455</v>
      </c>
      <c r="T3568" s="9">
        <v>44.512516286159922</v>
      </c>
      <c r="U3568" s="9">
        <v>52.176281946965503</v>
      </c>
      <c r="V3568" s="9">
        <v>52.176281946965503</v>
      </c>
      <c r="W3568" s="9">
        <v>52.176281946965503</v>
      </c>
      <c r="X3568" s="9">
        <v>65.399646652844908</v>
      </c>
      <c r="Y3568" s="9">
        <v>65.399646652844908</v>
      </c>
      <c r="Z3568" s="9">
        <v>74.862823794027804</v>
      </c>
      <c r="AA3568" s="9">
        <v>74.862823794027804</v>
      </c>
      <c r="AB3568" s="9">
        <v>84.552915727397561</v>
      </c>
      <c r="AC3568" s="9">
        <v>84.552915727397561</v>
      </c>
      <c r="AD3568" s="9">
        <v>94.492613932172858</v>
      </c>
      <c r="AE3568" s="9">
        <v>104.70687903549428</v>
      </c>
      <c r="AF3568" s="9">
        <v>115.51364337537625</v>
      </c>
      <c r="AG3568" s="9">
        <v>115.51364337537625</v>
      </c>
      <c r="AH3568" s="9">
        <v>127.68776106627702</v>
      </c>
      <c r="AI3568" s="9">
        <v>140.22732729914276</v>
      </c>
      <c r="AJ3568" s="9">
        <v>3.0428788910505911</v>
      </c>
    </row>
    <row r="3569" spans="1:36" x14ac:dyDescent="0.25">
      <c r="A3569" t="s">
        <v>5411</v>
      </c>
      <c r="B3569" t="s">
        <v>16</v>
      </c>
      <c r="C3569" t="s">
        <v>17</v>
      </c>
      <c r="D3569">
        <v>65208000</v>
      </c>
      <c r="E3569">
        <v>65209999</v>
      </c>
      <c r="F3569" t="s">
        <v>2650</v>
      </c>
      <c r="G3569" t="str">
        <f t="shared" si="110"/>
        <v>MAR</v>
      </c>
      <c r="H3569" t="s">
        <v>3213</v>
      </c>
      <c r="I3569" t="s">
        <v>20</v>
      </c>
      <c r="J3569" t="s">
        <v>77</v>
      </c>
      <c r="K3569" s="6">
        <v>0.03</v>
      </c>
      <c r="L3569" s="7">
        <f t="shared" si="111"/>
        <v>2E-3</v>
      </c>
      <c r="M3569" s="7">
        <v>3.0000000000000001E-3</v>
      </c>
      <c r="N3569">
        <v>17</v>
      </c>
      <c r="O3569" s="8">
        <v>32.902778340866817</v>
      </c>
      <c r="P3569" s="9">
        <v>32.902778340866817</v>
      </c>
      <c r="Q3569" s="9">
        <v>32.902778340866817</v>
      </c>
      <c r="R3569" s="9">
        <v>36.980915483174826</v>
      </c>
      <c r="S3569" s="9">
        <v>41.041764553716455</v>
      </c>
      <c r="T3569" s="9">
        <v>44.512516286159922</v>
      </c>
      <c r="U3569" s="9">
        <v>52.176281946965503</v>
      </c>
      <c r="V3569" s="9">
        <v>52.176281946965503</v>
      </c>
      <c r="W3569" s="9">
        <v>52.176281946965503</v>
      </c>
      <c r="X3569" s="9">
        <v>65.399646652844908</v>
      </c>
      <c r="Y3569" s="9">
        <v>65.399646652844908</v>
      </c>
      <c r="Z3569" s="9">
        <v>74.862823794027804</v>
      </c>
      <c r="AA3569" s="9">
        <v>74.862823794027804</v>
      </c>
      <c r="AB3569" s="9">
        <v>84.552915727397561</v>
      </c>
      <c r="AC3569" s="9">
        <v>84.552915727397561</v>
      </c>
      <c r="AD3569" s="9">
        <v>94.492613932172858</v>
      </c>
      <c r="AE3569" s="9">
        <v>104.70687903549428</v>
      </c>
      <c r="AF3569" s="9">
        <v>115.51364337537625</v>
      </c>
      <c r="AG3569" s="9">
        <v>115.51364337537625</v>
      </c>
      <c r="AH3569" s="9">
        <v>127.68776106627702</v>
      </c>
      <c r="AI3569" s="9">
        <v>140.22732729914276</v>
      </c>
      <c r="AJ3569" s="9">
        <v>3.0428788910505911</v>
      </c>
    </row>
    <row r="3570" spans="1:36" x14ac:dyDescent="0.25">
      <c r="A3570" t="s">
        <v>5411</v>
      </c>
      <c r="B3570" t="s">
        <v>16</v>
      </c>
      <c r="C3570" t="s">
        <v>17</v>
      </c>
      <c r="D3570">
        <v>65210000</v>
      </c>
      <c r="E3570">
        <v>65212999</v>
      </c>
      <c r="F3570" t="s">
        <v>3231</v>
      </c>
      <c r="G3570" t="str">
        <f t="shared" si="110"/>
        <v>MAR</v>
      </c>
      <c r="H3570" t="s">
        <v>3213</v>
      </c>
      <c r="I3570" t="s">
        <v>20</v>
      </c>
      <c r="J3570" t="s">
        <v>77</v>
      </c>
      <c r="K3570" s="6">
        <v>0.03</v>
      </c>
      <c r="L3570" s="7">
        <f t="shared" si="111"/>
        <v>2E-3</v>
      </c>
      <c r="M3570" s="7">
        <v>3.0000000000000001E-3</v>
      </c>
      <c r="N3570">
        <v>17</v>
      </c>
      <c r="O3570" s="8">
        <v>32.902778340866817</v>
      </c>
      <c r="P3570" s="9">
        <v>32.902778340866817</v>
      </c>
      <c r="Q3570" s="9">
        <v>32.902778340866817</v>
      </c>
      <c r="R3570" s="9">
        <v>36.980915483174826</v>
      </c>
      <c r="S3570" s="9">
        <v>41.041764553716455</v>
      </c>
      <c r="T3570" s="9">
        <v>44.512516286159922</v>
      </c>
      <c r="U3570" s="9">
        <v>52.176281946965503</v>
      </c>
      <c r="V3570" s="9">
        <v>52.176281946965503</v>
      </c>
      <c r="W3570" s="9">
        <v>52.176281946965503</v>
      </c>
      <c r="X3570" s="9">
        <v>65.399646652844908</v>
      </c>
      <c r="Y3570" s="9">
        <v>65.399646652844908</v>
      </c>
      <c r="Z3570" s="9">
        <v>74.862823794027804</v>
      </c>
      <c r="AA3570" s="9">
        <v>74.862823794027804</v>
      </c>
      <c r="AB3570" s="9">
        <v>84.552915727397561</v>
      </c>
      <c r="AC3570" s="9">
        <v>84.552915727397561</v>
      </c>
      <c r="AD3570" s="9">
        <v>94.492613932172858</v>
      </c>
      <c r="AE3570" s="9">
        <v>104.70687903549428</v>
      </c>
      <c r="AF3570" s="9">
        <v>115.51364337537625</v>
      </c>
      <c r="AG3570" s="9">
        <v>115.51364337537625</v>
      </c>
      <c r="AH3570" s="9">
        <v>127.68776106627702</v>
      </c>
      <c r="AI3570" s="9">
        <v>140.22732729914276</v>
      </c>
      <c r="AJ3570" s="9">
        <v>3.0428788910505911</v>
      </c>
    </row>
    <row r="3571" spans="1:36" x14ac:dyDescent="0.25">
      <c r="A3571" t="s">
        <v>5411</v>
      </c>
      <c r="B3571" t="s">
        <v>16</v>
      </c>
      <c r="C3571" t="s">
        <v>17</v>
      </c>
      <c r="D3571">
        <v>65213000</v>
      </c>
      <c r="E3571">
        <v>65214999</v>
      </c>
      <c r="F3571" t="s">
        <v>3232</v>
      </c>
      <c r="G3571" t="str">
        <f t="shared" si="110"/>
        <v>MAR</v>
      </c>
      <c r="H3571" t="s">
        <v>3213</v>
      </c>
      <c r="I3571" t="s">
        <v>20</v>
      </c>
      <c r="J3571" t="s">
        <v>77</v>
      </c>
      <c r="K3571" s="6">
        <v>0.03</v>
      </c>
      <c r="L3571" s="7">
        <f t="shared" si="111"/>
        <v>2E-3</v>
      </c>
      <c r="M3571" s="7">
        <v>3.0000000000000001E-3</v>
      </c>
      <c r="N3571">
        <v>17</v>
      </c>
      <c r="O3571" s="8">
        <v>32.902778340866817</v>
      </c>
      <c r="P3571" s="9">
        <v>32.902778340866817</v>
      </c>
      <c r="Q3571" s="9">
        <v>32.902778340866817</v>
      </c>
      <c r="R3571" s="9">
        <v>36.980915483174826</v>
      </c>
      <c r="S3571" s="9">
        <v>41.041764553716455</v>
      </c>
      <c r="T3571" s="9">
        <v>44.512516286159922</v>
      </c>
      <c r="U3571" s="9">
        <v>52.176281946965503</v>
      </c>
      <c r="V3571" s="9">
        <v>52.176281946965503</v>
      </c>
      <c r="W3571" s="9">
        <v>52.176281946965503</v>
      </c>
      <c r="X3571" s="9">
        <v>65.399646652844908</v>
      </c>
      <c r="Y3571" s="9">
        <v>65.399646652844908</v>
      </c>
      <c r="Z3571" s="9">
        <v>74.862823794027804</v>
      </c>
      <c r="AA3571" s="9">
        <v>74.862823794027804</v>
      </c>
      <c r="AB3571" s="9">
        <v>84.552915727397561</v>
      </c>
      <c r="AC3571" s="9">
        <v>84.552915727397561</v>
      </c>
      <c r="AD3571" s="9">
        <v>94.492613932172858</v>
      </c>
      <c r="AE3571" s="9">
        <v>104.70687903549428</v>
      </c>
      <c r="AF3571" s="9">
        <v>115.51364337537625</v>
      </c>
      <c r="AG3571" s="9">
        <v>115.51364337537625</v>
      </c>
      <c r="AH3571" s="9">
        <v>127.68776106627702</v>
      </c>
      <c r="AI3571" s="9">
        <v>140.22732729914276</v>
      </c>
      <c r="AJ3571" s="9">
        <v>3.0428788910505911</v>
      </c>
    </row>
    <row r="3572" spans="1:36" x14ac:dyDescent="0.25">
      <c r="A3572" t="s">
        <v>5411</v>
      </c>
      <c r="B3572" t="s">
        <v>16</v>
      </c>
      <c r="C3572" t="s">
        <v>17</v>
      </c>
      <c r="D3572">
        <v>65215000</v>
      </c>
      <c r="E3572">
        <v>65217999</v>
      </c>
      <c r="F3572" t="s">
        <v>3233</v>
      </c>
      <c r="G3572" t="str">
        <f t="shared" si="110"/>
        <v>MAI</v>
      </c>
      <c r="H3572" t="s">
        <v>3213</v>
      </c>
      <c r="I3572" t="s">
        <v>20</v>
      </c>
      <c r="J3572" t="s">
        <v>62</v>
      </c>
      <c r="K3572" s="6">
        <v>0.03</v>
      </c>
      <c r="L3572" s="7">
        <f t="shared" si="111"/>
        <v>2E-3</v>
      </c>
      <c r="M3572" s="7">
        <v>3.0000000000000001E-3</v>
      </c>
      <c r="N3572">
        <v>12</v>
      </c>
      <c r="O3572" s="8">
        <v>19.350325219569864</v>
      </c>
      <c r="P3572" s="9">
        <v>19.350325219569864</v>
      </c>
      <c r="Q3572" s="9">
        <v>19.350325219569864</v>
      </c>
      <c r="R3572" s="9">
        <v>21.236423757715794</v>
      </c>
      <c r="S3572" s="9">
        <v>23.412011215821156</v>
      </c>
      <c r="T3572" s="9">
        <v>26.602346057727168</v>
      </c>
      <c r="U3572" s="9">
        <v>32.175039039197578</v>
      </c>
      <c r="V3572" s="9">
        <v>32.175039039197578</v>
      </c>
      <c r="W3572" s="9">
        <v>32.175039039197578</v>
      </c>
      <c r="X3572" s="9">
        <v>38.477190222688968</v>
      </c>
      <c r="Y3572" s="9">
        <v>38.477190222688968</v>
      </c>
      <c r="Z3572" s="9">
        <v>46.072905764910679</v>
      </c>
      <c r="AA3572" s="9">
        <v>46.072905764910679</v>
      </c>
      <c r="AB3572" s="9">
        <v>52.857194265747438</v>
      </c>
      <c r="AC3572" s="9">
        <v>52.857194265747438</v>
      </c>
      <c r="AD3572" s="9">
        <v>60.075973585900336</v>
      </c>
      <c r="AE3572" s="9">
        <v>67.207660715359779</v>
      </c>
      <c r="AF3572" s="9">
        <v>74.765164496289444</v>
      </c>
      <c r="AG3572" s="9">
        <v>74.765164496289444</v>
      </c>
      <c r="AH3572" s="9">
        <v>82.787429668365718</v>
      </c>
      <c r="AI3572" s="9">
        <v>90.699158794373588</v>
      </c>
      <c r="AJ3572" s="9">
        <v>3.0428788910505911</v>
      </c>
    </row>
    <row r="3573" spans="1:36" x14ac:dyDescent="0.25">
      <c r="A3573" t="s">
        <v>5411</v>
      </c>
      <c r="B3573" t="s">
        <v>16</v>
      </c>
      <c r="C3573" t="s">
        <v>17</v>
      </c>
      <c r="D3573">
        <v>65218000</v>
      </c>
      <c r="E3573">
        <v>65219999</v>
      </c>
      <c r="F3573" t="s">
        <v>3234</v>
      </c>
      <c r="G3573" t="str">
        <f t="shared" si="110"/>
        <v>MAR</v>
      </c>
      <c r="H3573" t="s">
        <v>3213</v>
      </c>
      <c r="I3573" t="s">
        <v>20</v>
      </c>
      <c r="J3573" t="s">
        <v>77</v>
      </c>
      <c r="K3573" s="6">
        <v>0.03</v>
      </c>
      <c r="L3573" s="7">
        <f t="shared" si="111"/>
        <v>2E-3</v>
      </c>
      <c r="M3573" s="7">
        <v>3.0000000000000001E-3</v>
      </c>
      <c r="N3573">
        <v>17</v>
      </c>
      <c r="O3573" s="8">
        <v>32.902778340866817</v>
      </c>
      <c r="P3573" s="9">
        <v>32.902778340866817</v>
      </c>
      <c r="Q3573" s="9">
        <v>32.902778340866817</v>
      </c>
      <c r="R3573" s="9">
        <v>36.980915483174826</v>
      </c>
      <c r="S3573" s="9">
        <v>41.041764553716455</v>
      </c>
      <c r="T3573" s="9">
        <v>44.512516286159922</v>
      </c>
      <c r="U3573" s="9">
        <v>52.176281946965503</v>
      </c>
      <c r="V3573" s="9">
        <v>52.176281946965503</v>
      </c>
      <c r="W3573" s="9">
        <v>52.176281946965503</v>
      </c>
      <c r="X3573" s="9">
        <v>65.399646652844908</v>
      </c>
      <c r="Y3573" s="9">
        <v>65.399646652844908</v>
      </c>
      <c r="Z3573" s="9">
        <v>74.862823794027804</v>
      </c>
      <c r="AA3573" s="9">
        <v>74.862823794027804</v>
      </c>
      <c r="AB3573" s="9">
        <v>84.552915727397561</v>
      </c>
      <c r="AC3573" s="9">
        <v>84.552915727397561</v>
      </c>
      <c r="AD3573" s="9">
        <v>94.492613932172858</v>
      </c>
      <c r="AE3573" s="9">
        <v>104.70687903549428</v>
      </c>
      <c r="AF3573" s="9">
        <v>115.51364337537625</v>
      </c>
      <c r="AG3573" s="9">
        <v>115.51364337537625</v>
      </c>
      <c r="AH3573" s="9">
        <v>127.68776106627702</v>
      </c>
      <c r="AI3573" s="9">
        <v>140.22732729914276</v>
      </c>
      <c r="AJ3573" s="9">
        <v>3.0428788910505911</v>
      </c>
    </row>
    <row r="3574" spans="1:36" x14ac:dyDescent="0.25">
      <c r="A3574" t="s">
        <v>5411</v>
      </c>
      <c r="B3574" t="s">
        <v>16</v>
      </c>
      <c r="C3574" t="s">
        <v>17</v>
      </c>
      <c r="D3574">
        <v>65220000</v>
      </c>
      <c r="E3574">
        <v>65222999</v>
      </c>
      <c r="F3574" t="s">
        <v>2307</v>
      </c>
      <c r="G3574" t="str">
        <f t="shared" si="110"/>
        <v>MAR</v>
      </c>
      <c r="H3574" t="s">
        <v>3213</v>
      </c>
      <c r="I3574" t="s">
        <v>20</v>
      </c>
      <c r="J3574" t="s">
        <v>77</v>
      </c>
      <c r="K3574" s="6">
        <v>0.03</v>
      </c>
      <c r="L3574" s="7">
        <f t="shared" si="111"/>
        <v>2E-3</v>
      </c>
      <c r="M3574" s="7">
        <v>3.0000000000000001E-3</v>
      </c>
      <c r="N3574">
        <v>17</v>
      </c>
      <c r="O3574" s="8">
        <v>32.902778340866817</v>
      </c>
      <c r="P3574" s="9">
        <v>32.902778340866817</v>
      </c>
      <c r="Q3574" s="9">
        <v>32.902778340866817</v>
      </c>
      <c r="R3574" s="9">
        <v>36.980915483174826</v>
      </c>
      <c r="S3574" s="9">
        <v>41.041764553716455</v>
      </c>
      <c r="T3574" s="9">
        <v>44.512516286159922</v>
      </c>
      <c r="U3574" s="9">
        <v>52.176281946965503</v>
      </c>
      <c r="V3574" s="9">
        <v>52.176281946965503</v>
      </c>
      <c r="W3574" s="9">
        <v>52.176281946965503</v>
      </c>
      <c r="X3574" s="9">
        <v>65.399646652844908</v>
      </c>
      <c r="Y3574" s="9">
        <v>65.399646652844908</v>
      </c>
      <c r="Z3574" s="9">
        <v>74.862823794027804</v>
      </c>
      <c r="AA3574" s="9">
        <v>74.862823794027804</v>
      </c>
      <c r="AB3574" s="9">
        <v>84.552915727397561</v>
      </c>
      <c r="AC3574" s="9">
        <v>84.552915727397561</v>
      </c>
      <c r="AD3574" s="9">
        <v>94.492613932172858</v>
      </c>
      <c r="AE3574" s="9">
        <v>104.70687903549428</v>
      </c>
      <c r="AF3574" s="9">
        <v>115.51364337537625</v>
      </c>
      <c r="AG3574" s="9">
        <v>115.51364337537625</v>
      </c>
      <c r="AH3574" s="9">
        <v>127.68776106627702</v>
      </c>
      <c r="AI3574" s="9">
        <v>140.22732729914276</v>
      </c>
      <c r="AJ3574" s="9">
        <v>3.0428788910505911</v>
      </c>
    </row>
    <row r="3575" spans="1:36" x14ac:dyDescent="0.25">
      <c r="A3575" t="s">
        <v>5411</v>
      </c>
      <c r="B3575" t="s">
        <v>16</v>
      </c>
      <c r="C3575" t="s">
        <v>17</v>
      </c>
      <c r="D3575">
        <v>65223000</v>
      </c>
      <c r="E3575">
        <v>65224999</v>
      </c>
      <c r="F3575" t="s">
        <v>3235</v>
      </c>
      <c r="G3575" t="str">
        <f t="shared" si="110"/>
        <v>MAR</v>
      </c>
      <c r="H3575" t="s">
        <v>3213</v>
      </c>
      <c r="I3575" t="s">
        <v>20</v>
      </c>
      <c r="J3575" t="s">
        <v>77</v>
      </c>
      <c r="K3575" s="6">
        <v>0.03</v>
      </c>
      <c r="L3575" s="7">
        <f t="shared" si="111"/>
        <v>2E-3</v>
      </c>
      <c r="M3575" s="7">
        <v>3.0000000000000001E-3</v>
      </c>
      <c r="N3575">
        <v>17</v>
      </c>
      <c r="O3575" s="8">
        <v>32.902778340866817</v>
      </c>
      <c r="P3575" s="9">
        <v>32.902778340866817</v>
      </c>
      <c r="Q3575" s="9">
        <v>32.902778340866817</v>
      </c>
      <c r="R3575" s="9">
        <v>36.980915483174826</v>
      </c>
      <c r="S3575" s="9">
        <v>41.041764553716455</v>
      </c>
      <c r="T3575" s="9">
        <v>44.512516286159922</v>
      </c>
      <c r="U3575" s="9">
        <v>52.176281946965503</v>
      </c>
      <c r="V3575" s="9">
        <v>52.176281946965503</v>
      </c>
      <c r="W3575" s="9">
        <v>52.176281946965503</v>
      </c>
      <c r="X3575" s="9">
        <v>65.399646652844908</v>
      </c>
      <c r="Y3575" s="9">
        <v>65.399646652844908</v>
      </c>
      <c r="Z3575" s="9">
        <v>74.862823794027804</v>
      </c>
      <c r="AA3575" s="9">
        <v>74.862823794027804</v>
      </c>
      <c r="AB3575" s="9">
        <v>84.552915727397561</v>
      </c>
      <c r="AC3575" s="9">
        <v>84.552915727397561</v>
      </c>
      <c r="AD3575" s="9">
        <v>94.492613932172858</v>
      </c>
      <c r="AE3575" s="9">
        <v>104.70687903549428</v>
      </c>
      <c r="AF3575" s="9">
        <v>115.51364337537625</v>
      </c>
      <c r="AG3575" s="9">
        <v>115.51364337537625</v>
      </c>
      <c r="AH3575" s="9">
        <v>127.68776106627702</v>
      </c>
      <c r="AI3575" s="9">
        <v>140.22732729914276</v>
      </c>
      <c r="AJ3575" s="9">
        <v>3.0428788910505911</v>
      </c>
    </row>
    <row r="3576" spans="1:36" x14ac:dyDescent="0.25">
      <c r="A3576" t="s">
        <v>5411</v>
      </c>
      <c r="B3576" t="s">
        <v>16</v>
      </c>
      <c r="C3576" t="s">
        <v>17</v>
      </c>
      <c r="D3576">
        <v>65225000</v>
      </c>
      <c r="E3576">
        <v>65229999</v>
      </c>
      <c r="F3576" t="s">
        <v>3236</v>
      </c>
      <c r="G3576" t="str">
        <f t="shared" si="110"/>
        <v>MAR</v>
      </c>
      <c r="H3576" t="s">
        <v>3213</v>
      </c>
      <c r="I3576" t="s">
        <v>20</v>
      </c>
      <c r="J3576" t="s">
        <v>77</v>
      </c>
      <c r="K3576" s="6">
        <v>0.03</v>
      </c>
      <c r="L3576" s="7">
        <f t="shared" si="111"/>
        <v>2E-3</v>
      </c>
      <c r="M3576" s="7">
        <v>3.0000000000000001E-3</v>
      </c>
      <c r="N3576">
        <v>17</v>
      </c>
      <c r="O3576" s="8">
        <v>32.902778340866817</v>
      </c>
      <c r="P3576" s="9">
        <v>32.902778340866817</v>
      </c>
      <c r="Q3576" s="9">
        <v>32.902778340866817</v>
      </c>
      <c r="R3576" s="9">
        <v>36.980915483174826</v>
      </c>
      <c r="S3576" s="9">
        <v>41.041764553716455</v>
      </c>
      <c r="T3576" s="9">
        <v>44.512516286159922</v>
      </c>
      <c r="U3576" s="9">
        <v>52.176281946965503</v>
      </c>
      <c r="V3576" s="9">
        <v>52.176281946965503</v>
      </c>
      <c r="W3576" s="9">
        <v>52.176281946965503</v>
      </c>
      <c r="X3576" s="9">
        <v>65.399646652844908</v>
      </c>
      <c r="Y3576" s="9">
        <v>65.399646652844908</v>
      </c>
      <c r="Z3576" s="9">
        <v>74.862823794027804</v>
      </c>
      <c r="AA3576" s="9">
        <v>74.862823794027804</v>
      </c>
      <c r="AB3576" s="9">
        <v>84.552915727397561</v>
      </c>
      <c r="AC3576" s="9">
        <v>84.552915727397561</v>
      </c>
      <c r="AD3576" s="9">
        <v>94.492613932172858</v>
      </c>
      <c r="AE3576" s="9">
        <v>104.70687903549428</v>
      </c>
      <c r="AF3576" s="9">
        <v>115.51364337537625</v>
      </c>
      <c r="AG3576" s="9">
        <v>115.51364337537625</v>
      </c>
      <c r="AH3576" s="9">
        <v>127.68776106627702</v>
      </c>
      <c r="AI3576" s="9">
        <v>140.22732729914276</v>
      </c>
      <c r="AJ3576" s="9">
        <v>3.0428788910505911</v>
      </c>
    </row>
    <row r="3577" spans="1:36" x14ac:dyDescent="0.25">
      <c r="A3577" t="s">
        <v>5411</v>
      </c>
      <c r="B3577" t="s">
        <v>16</v>
      </c>
      <c r="C3577" t="s">
        <v>17</v>
      </c>
      <c r="D3577">
        <v>65230000</v>
      </c>
      <c r="E3577">
        <v>65232999</v>
      </c>
      <c r="F3577" t="s">
        <v>3237</v>
      </c>
      <c r="G3577" t="str">
        <f t="shared" si="110"/>
        <v>MAR</v>
      </c>
      <c r="H3577" t="s">
        <v>3213</v>
      </c>
      <c r="I3577" t="s">
        <v>20</v>
      </c>
      <c r="J3577" t="s">
        <v>77</v>
      </c>
      <c r="K3577" s="6">
        <v>0.03</v>
      </c>
      <c r="L3577" s="7">
        <f t="shared" si="111"/>
        <v>2E-3</v>
      </c>
      <c r="M3577" s="7">
        <v>3.0000000000000001E-3</v>
      </c>
      <c r="N3577">
        <v>17</v>
      </c>
      <c r="O3577" s="8">
        <v>32.902778340866817</v>
      </c>
      <c r="P3577" s="9">
        <v>32.902778340866817</v>
      </c>
      <c r="Q3577" s="9">
        <v>32.902778340866817</v>
      </c>
      <c r="R3577" s="9">
        <v>36.980915483174826</v>
      </c>
      <c r="S3577" s="9">
        <v>41.041764553716455</v>
      </c>
      <c r="T3577" s="9">
        <v>44.512516286159922</v>
      </c>
      <c r="U3577" s="9">
        <v>52.176281946965503</v>
      </c>
      <c r="V3577" s="9">
        <v>52.176281946965503</v>
      </c>
      <c r="W3577" s="9">
        <v>52.176281946965503</v>
      </c>
      <c r="X3577" s="9">
        <v>65.399646652844908</v>
      </c>
      <c r="Y3577" s="9">
        <v>65.399646652844908</v>
      </c>
      <c r="Z3577" s="9">
        <v>74.862823794027804</v>
      </c>
      <c r="AA3577" s="9">
        <v>74.862823794027804</v>
      </c>
      <c r="AB3577" s="9">
        <v>84.552915727397561</v>
      </c>
      <c r="AC3577" s="9">
        <v>84.552915727397561</v>
      </c>
      <c r="AD3577" s="9">
        <v>94.492613932172858</v>
      </c>
      <c r="AE3577" s="9">
        <v>104.70687903549428</v>
      </c>
      <c r="AF3577" s="9">
        <v>115.51364337537625</v>
      </c>
      <c r="AG3577" s="9">
        <v>115.51364337537625</v>
      </c>
      <c r="AH3577" s="9">
        <v>127.68776106627702</v>
      </c>
      <c r="AI3577" s="9">
        <v>140.22732729914276</v>
      </c>
      <c r="AJ3577" s="9">
        <v>3.0428788910505911</v>
      </c>
    </row>
    <row r="3578" spans="1:36" x14ac:dyDescent="0.25">
      <c r="A3578" t="s">
        <v>5411</v>
      </c>
      <c r="B3578" t="s">
        <v>16</v>
      </c>
      <c r="C3578" t="s">
        <v>17</v>
      </c>
      <c r="D3578">
        <v>65233000</v>
      </c>
      <c r="E3578">
        <v>65234999</v>
      </c>
      <c r="F3578" t="s">
        <v>3238</v>
      </c>
      <c r="G3578" t="str">
        <f t="shared" si="110"/>
        <v>MAR</v>
      </c>
      <c r="H3578" t="s">
        <v>3213</v>
      </c>
      <c r="I3578" t="s">
        <v>20</v>
      </c>
      <c r="J3578" t="s">
        <v>77</v>
      </c>
      <c r="K3578" s="6">
        <v>0.03</v>
      </c>
      <c r="L3578" s="7">
        <f t="shared" si="111"/>
        <v>2E-3</v>
      </c>
      <c r="M3578" s="7">
        <v>3.0000000000000001E-3</v>
      </c>
      <c r="N3578">
        <v>17</v>
      </c>
      <c r="O3578" s="8">
        <v>32.902778340866817</v>
      </c>
      <c r="P3578" s="9">
        <v>32.902778340866817</v>
      </c>
      <c r="Q3578" s="9">
        <v>32.902778340866817</v>
      </c>
      <c r="R3578" s="9">
        <v>36.980915483174826</v>
      </c>
      <c r="S3578" s="9">
        <v>41.041764553716455</v>
      </c>
      <c r="T3578" s="9">
        <v>44.512516286159922</v>
      </c>
      <c r="U3578" s="9">
        <v>52.176281946965503</v>
      </c>
      <c r="V3578" s="9">
        <v>52.176281946965503</v>
      </c>
      <c r="W3578" s="9">
        <v>52.176281946965503</v>
      </c>
      <c r="X3578" s="9">
        <v>65.399646652844908</v>
      </c>
      <c r="Y3578" s="9">
        <v>65.399646652844908</v>
      </c>
      <c r="Z3578" s="9">
        <v>74.862823794027804</v>
      </c>
      <c r="AA3578" s="9">
        <v>74.862823794027804</v>
      </c>
      <c r="AB3578" s="9">
        <v>84.552915727397561</v>
      </c>
      <c r="AC3578" s="9">
        <v>84.552915727397561</v>
      </c>
      <c r="AD3578" s="9">
        <v>94.492613932172858</v>
      </c>
      <c r="AE3578" s="9">
        <v>104.70687903549428</v>
      </c>
      <c r="AF3578" s="9">
        <v>115.51364337537625</v>
      </c>
      <c r="AG3578" s="9">
        <v>115.51364337537625</v>
      </c>
      <c r="AH3578" s="9">
        <v>127.68776106627702</v>
      </c>
      <c r="AI3578" s="9">
        <v>140.22732729914276</v>
      </c>
      <c r="AJ3578" s="9">
        <v>3.0428788910505911</v>
      </c>
    </row>
    <row r="3579" spans="1:36" x14ac:dyDescent="0.25">
      <c r="A3579" t="s">
        <v>5411</v>
      </c>
      <c r="B3579" t="s">
        <v>16</v>
      </c>
      <c r="C3579" t="s">
        <v>17</v>
      </c>
      <c r="D3579">
        <v>65235000</v>
      </c>
      <c r="E3579">
        <v>65237999</v>
      </c>
      <c r="F3579" t="s">
        <v>2638</v>
      </c>
      <c r="G3579" t="str">
        <f t="shared" si="110"/>
        <v>MAI</v>
      </c>
      <c r="H3579" t="s">
        <v>3213</v>
      </c>
      <c r="I3579" t="s">
        <v>20</v>
      </c>
      <c r="J3579" t="s">
        <v>62</v>
      </c>
      <c r="K3579" s="6">
        <v>0.03</v>
      </c>
      <c r="L3579" s="7">
        <f t="shared" si="111"/>
        <v>2E-3</v>
      </c>
      <c r="M3579" s="7">
        <v>3.0000000000000001E-3</v>
      </c>
      <c r="N3579">
        <v>12</v>
      </c>
      <c r="O3579" s="8">
        <v>19.350325219569864</v>
      </c>
      <c r="P3579" s="9">
        <v>19.350325219569864</v>
      </c>
      <c r="Q3579" s="9">
        <v>19.350325219569864</v>
      </c>
      <c r="R3579" s="9">
        <v>21.236423757715794</v>
      </c>
      <c r="S3579" s="9">
        <v>23.412011215821156</v>
      </c>
      <c r="T3579" s="9">
        <v>26.602346057727168</v>
      </c>
      <c r="U3579" s="9">
        <v>32.175039039197578</v>
      </c>
      <c r="V3579" s="9">
        <v>32.175039039197578</v>
      </c>
      <c r="W3579" s="9">
        <v>32.175039039197578</v>
      </c>
      <c r="X3579" s="9">
        <v>38.477190222688968</v>
      </c>
      <c r="Y3579" s="9">
        <v>38.477190222688968</v>
      </c>
      <c r="Z3579" s="9">
        <v>46.072905764910679</v>
      </c>
      <c r="AA3579" s="9">
        <v>46.072905764910679</v>
      </c>
      <c r="AB3579" s="9">
        <v>52.857194265747438</v>
      </c>
      <c r="AC3579" s="9">
        <v>52.857194265747438</v>
      </c>
      <c r="AD3579" s="9">
        <v>60.075973585900336</v>
      </c>
      <c r="AE3579" s="9">
        <v>67.207660715359779</v>
      </c>
      <c r="AF3579" s="9">
        <v>74.765164496289444</v>
      </c>
      <c r="AG3579" s="9">
        <v>74.765164496289444</v>
      </c>
      <c r="AH3579" s="9">
        <v>82.787429668365718</v>
      </c>
      <c r="AI3579" s="9">
        <v>90.699158794373588</v>
      </c>
      <c r="AJ3579" s="9">
        <v>3.0428788910505911</v>
      </c>
    </row>
    <row r="3580" spans="1:36" x14ac:dyDescent="0.25">
      <c r="A3580" t="s">
        <v>5411</v>
      </c>
      <c r="B3580" t="s">
        <v>16</v>
      </c>
      <c r="C3580" t="s">
        <v>17</v>
      </c>
      <c r="D3580">
        <v>65238000</v>
      </c>
      <c r="E3580">
        <v>65244999</v>
      </c>
      <c r="F3580" t="s">
        <v>3239</v>
      </c>
      <c r="G3580" t="str">
        <f t="shared" si="110"/>
        <v>MAR</v>
      </c>
      <c r="H3580" t="s">
        <v>3213</v>
      </c>
      <c r="I3580" t="s">
        <v>20</v>
      </c>
      <c r="J3580" t="s">
        <v>77</v>
      </c>
      <c r="K3580" s="6">
        <v>0.03</v>
      </c>
      <c r="L3580" s="7">
        <f t="shared" si="111"/>
        <v>2E-3</v>
      </c>
      <c r="M3580" s="7">
        <v>3.0000000000000001E-3</v>
      </c>
      <c r="N3580">
        <v>17</v>
      </c>
      <c r="O3580" s="8">
        <v>32.902778340866817</v>
      </c>
      <c r="P3580" s="9">
        <v>32.902778340866817</v>
      </c>
      <c r="Q3580" s="9">
        <v>32.902778340866817</v>
      </c>
      <c r="R3580" s="9">
        <v>36.980915483174826</v>
      </c>
      <c r="S3580" s="9">
        <v>41.041764553716455</v>
      </c>
      <c r="T3580" s="9">
        <v>44.512516286159922</v>
      </c>
      <c r="U3580" s="9">
        <v>52.176281946965503</v>
      </c>
      <c r="V3580" s="9">
        <v>52.176281946965503</v>
      </c>
      <c r="W3580" s="9">
        <v>52.176281946965503</v>
      </c>
      <c r="X3580" s="9">
        <v>65.399646652844908</v>
      </c>
      <c r="Y3580" s="9">
        <v>65.399646652844908</v>
      </c>
      <c r="Z3580" s="9">
        <v>74.862823794027804</v>
      </c>
      <c r="AA3580" s="9">
        <v>74.862823794027804</v>
      </c>
      <c r="AB3580" s="9">
        <v>84.552915727397561</v>
      </c>
      <c r="AC3580" s="9">
        <v>84.552915727397561</v>
      </c>
      <c r="AD3580" s="9">
        <v>94.492613932172858</v>
      </c>
      <c r="AE3580" s="9">
        <v>104.70687903549428</v>
      </c>
      <c r="AF3580" s="9">
        <v>115.51364337537625</v>
      </c>
      <c r="AG3580" s="9">
        <v>115.51364337537625</v>
      </c>
      <c r="AH3580" s="9">
        <v>127.68776106627702</v>
      </c>
      <c r="AI3580" s="9">
        <v>140.22732729914276</v>
      </c>
      <c r="AJ3580" s="9">
        <v>3.0428788910505911</v>
      </c>
    </row>
    <row r="3581" spans="1:36" x14ac:dyDescent="0.25">
      <c r="A3581" t="s">
        <v>5411</v>
      </c>
      <c r="B3581" t="s">
        <v>16</v>
      </c>
      <c r="C3581" t="s">
        <v>17</v>
      </c>
      <c r="D3581">
        <v>65245000</v>
      </c>
      <c r="E3581">
        <v>65247999</v>
      </c>
      <c r="F3581" t="s">
        <v>3240</v>
      </c>
      <c r="G3581" t="str">
        <f t="shared" si="110"/>
        <v>MAR</v>
      </c>
      <c r="H3581" t="s">
        <v>3213</v>
      </c>
      <c r="I3581" t="s">
        <v>20</v>
      </c>
      <c r="J3581" t="s">
        <v>77</v>
      </c>
      <c r="K3581" s="6">
        <v>0.03</v>
      </c>
      <c r="L3581" s="7">
        <f t="shared" si="111"/>
        <v>2E-3</v>
      </c>
      <c r="M3581" s="7">
        <v>3.0000000000000001E-3</v>
      </c>
      <c r="N3581">
        <v>17</v>
      </c>
      <c r="O3581" s="8">
        <v>32.902778340866817</v>
      </c>
      <c r="P3581" s="9">
        <v>32.902778340866817</v>
      </c>
      <c r="Q3581" s="9">
        <v>32.902778340866817</v>
      </c>
      <c r="R3581" s="9">
        <v>36.980915483174826</v>
      </c>
      <c r="S3581" s="9">
        <v>41.041764553716455</v>
      </c>
      <c r="T3581" s="9">
        <v>44.512516286159922</v>
      </c>
      <c r="U3581" s="9">
        <v>52.176281946965503</v>
      </c>
      <c r="V3581" s="9">
        <v>52.176281946965503</v>
      </c>
      <c r="W3581" s="9">
        <v>52.176281946965503</v>
      </c>
      <c r="X3581" s="9">
        <v>65.399646652844908</v>
      </c>
      <c r="Y3581" s="9">
        <v>65.399646652844908</v>
      </c>
      <c r="Z3581" s="9">
        <v>74.862823794027804</v>
      </c>
      <c r="AA3581" s="9">
        <v>74.862823794027804</v>
      </c>
      <c r="AB3581" s="9">
        <v>84.552915727397561</v>
      </c>
      <c r="AC3581" s="9">
        <v>84.552915727397561</v>
      </c>
      <c r="AD3581" s="9">
        <v>94.492613932172858</v>
      </c>
      <c r="AE3581" s="9">
        <v>104.70687903549428</v>
      </c>
      <c r="AF3581" s="9">
        <v>115.51364337537625</v>
      </c>
      <c r="AG3581" s="9">
        <v>115.51364337537625</v>
      </c>
      <c r="AH3581" s="9">
        <v>127.68776106627702</v>
      </c>
      <c r="AI3581" s="9">
        <v>140.22732729914276</v>
      </c>
      <c r="AJ3581" s="9">
        <v>3.0428788910505911</v>
      </c>
    </row>
    <row r="3582" spans="1:36" x14ac:dyDescent="0.25">
      <c r="A3582" t="s">
        <v>5411</v>
      </c>
      <c r="B3582" t="s">
        <v>16</v>
      </c>
      <c r="C3582" t="s">
        <v>17</v>
      </c>
      <c r="D3582">
        <v>65248000</v>
      </c>
      <c r="E3582">
        <v>65249999</v>
      </c>
      <c r="F3582" t="s">
        <v>3241</v>
      </c>
      <c r="G3582" t="str">
        <f t="shared" si="110"/>
        <v>MAR</v>
      </c>
      <c r="H3582" t="s">
        <v>3213</v>
      </c>
      <c r="I3582" t="s">
        <v>20</v>
      </c>
      <c r="J3582" t="s">
        <v>77</v>
      </c>
      <c r="K3582" s="6">
        <v>0.03</v>
      </c>
      <c r="L3582" s="7">
        <f t="shared" si="111"/>
        <v>2E-3</v>
      </c>
      <c r="M3582" s="7">
        <v>3.0000000000000001E-3</v>
      </c>
      <c r="N3582">
        <v>17</v>
      </c>
      <c r="O3582" s="8">
        <v>32.902778340866817</v>
      </c>
      <c r="P3582" s="9">
        <v>32.902778340866817</v>
      </c>
      <c r="Q3582" s="9">
        <v>32.902778340866817</v>
      </c>
      <c r="R3582" s="9">
        <v>36.980915483174826</v>
      </c>
      <c r="S3582" s="9">
        <v>41.041764553716455</v>
      </c>
      <c r="T3582" s="9">
        <v>44.512516286159922</v>
      </c>
      <c r="U3582" s="9">
        <v>52.176281946965503</v>
      </c>
      <c r="V3582" s="9">
        <v>52.176281946965503</v>
      </c>
      <c r="W3582" s="9">
        <v>52.176281946965503</v>
      </c>
      <c r="X3582" s="9">
        <v>65.399646652844908</v>
      </c>
      <c r="Y3582" s="9">
        <v>65.399646652844908</v>
      </c>
      <c r="Z3582" s="9">
        <v>74.862823794027804</v>
      </c>
      <c r="AA3582" s="9">
        <v>74.862823794027804</v>
      </c>
      <c r="AB3582" s="9">
        <v>84.552915727397561</v>
      </c>
      <c r="AC3582" s="9">
        <v>84.552915727397561</v>
      </c>
      <c r="AD3582" s="9">
        <v>94.492613932172858</v>
      </c>
      <c r="AE3582" s="9">
        <v>104.70687903549428</v>
      </c>
      <c r="AF3582" s="9">
        <v>115.51364337537625</v>
      </c>
      <c r="AG3582" s="9">
        <v>115.51364337537625</v>
      </c>
      <c r="AH3582" s="9">
        <v>127.68776106627702</v>
      </c>
      <c r="AI3582" s="9">
        <v>140.22732729914276</v>
      </c>
      <c r="AJ3582" s="9">
        <v>3.0428788910505911</v>
      </c>
    </row>
    <row r="3583" spans="1:36" x14ac:dyDescent="0.25">
      <c r="A3583" t="s">
        <v>5411</v>
      </c>
      <c r="B3583" t="s">
        <v>16</v>
      </c>
      <c r="C3583" t="s">
        <v>17</v>
      </c>
      <c r="D3583">
        <v>65250000</v>
      </c>
      <c r="E3583">
        <v>65254999</v>
      </c>
      <c r="F3583" t="s">
        <v>3242</v>
      </c>
      <c r="G3583" t="str">
        <f t="shared" si="110"/>
        <v>MAR</v>
      </c>
      <c r="H3583" t="s">
        <v>3213</v>
      </c>
      <c r="I3583" t="s">
        <v>20</v>
      </c>
      <c r="J3583" t="s">
        <v>77</v>
      </c>
      <c r="K3583" s="6">
        <v>0.03</v>
      </c>
      <c r="L3583" s="7">
        <f t="shared" si="111"/>
        <v>2E-3</v>
      </c>
      <c r="M3583" s="7">
        <v>3.0000000000000001E-3</v>
      </c>
      <c r="N3583">
        <v>17</v>
      </c>
      <c r="O3583" s="8">
        <v>32.902778340866817</v>
      </c>
      <c r="P3583" s="9">
        <v>32.902778340866817</v>
      </c>
      <c r="Q3583" s="9">
        <v>32.902778340866817</v>
      </c>
      <c r="R3583" s="9">
        <v>36.980915483174826</v>
      </c>
      <c r="S3583" s="9">
        <v>41.041764553716455</v>
      </c>
      <c r="T3583" s="9">
        <v>44.512516286159922</v>
      </c>
      <c r="U3583" s="9">
        <v>52.176281946965503</v>
      </c>
      <c r="V3583" s="9">
        <v>52.176281946965503</v>
      </c>
      <c r="W3583" s="9">
        <v>52.176281946965503</v>
      </c>
      <c r="X3583" s="9">
        <v>65.399646652844908</v>
      </c>
      <c r="Y3583" s="9">
        <v>65.399646652844908</v>
      </c>
      <c r="Z3583" s="9">
        <v>74.862823794027804</v>
      </c>
      <c r="AA3583" s="9">
        <v>74.862823794027804</v>
      </c>
      <c r="AB3583" s="9">
        <v>84.552915727397561</v>
      </c>
      <c r="AC3583" s="9">
        <v>84.552915727397561</v>
      </c>
      <c r="AD3583" s="9">
        <v>94.492613932172858</v>
      </c>
      <c r="AE3583" s="9">
        <v>104.70687903549428</v>
      </c>
      <c r="AF3583" s="9">
        <v>115.51364337537625</v>
      </c>
      <c r="AG3583" s="9">
        <v>115.51364337537625</v>
      </c>
      <c r="AH3583" s="9">
        <v>127.68776106627702</v>
      </c>
      <c r="AI3583" s="9">
        <v>140.22732729914276</v>
      </c>
      <c r="AJ3583" s="9">
        <v>3.0428788910505911</v>
      </c>
    </row>
    <row r="3584" spans="1:36" x14ac:dyDescent="0.25">
      <c r="A3584" t="s">
        <v>5411</v>
      </c>
      <c r="B3584" t="s">
        <v>16</v>
      </c>
      <c r="C3584" t="s">
        <v>17</v>
      </c>
      <c r="D3584">
        <v>65255000</v>
      </c>
      <c r="E3584">
        <v>65259999</v>
      </c>
      <c r="F3584" t="s">
        <v>3243</v>
      </c>
      <c r="G3584" t="str">
        <f t="shared" si="110"/>
        <v>MAR</v>
      </c>
      <c r="H3584" t="s">
        <v>3213</v>
      </c>
      <c r="I3584" t="s">
        <v>20</v>
      </c>
      <c r="J3584" t="s">
        <v>77</v>
      </c>
      <c r="K3584" s="6">
        <v>0.03</v>
      </c>
      <c r="L3584" s="7">
        <f t="shared" si="111"/>
        <v>2E-3</v>
      </c>
      <c r="M3584" s="7">
        <v>3.0000000000000001E-3</v>
      </c>
      <c r="N3584">
        <v>17</v>
      </c>
      <c r="O3584" s="8">
        <v>32.902778340866817</v>
      </c>
      <c r="P3584" s="9">
        <v>32.902778340866817</v>
      </c>
      <c r="Q3584" s="9">
        <v>32.902778340866817</v>
      </c>
      <c r="R3584" s="9">
        <v>36.980915483174826</v>
      </c>
      <c r="S3584" s="9">
        <v>41.041764553716455</v>
      </c>
      <c r="T3584" s="9">
        <v>44.512516286159922</v>
      </c>
      <c r="U3584" s="9">
        <v>52.176281946965503</v>
      </c>
      <c r="V3584" s="9">
        <v>52.176281946965503</v>
      </c>
      <c r="W3584" s="9">
        <v>52.176281946965503</v>
      </c>
      <c r="X3584" s="9">
        <v>65.399646652844908</v>
      </c>
      <c r="Y3584" s="9">
        <v>65.399646652844908</v>
      </c>
      <c r="Z3584" s="9">
        <v>74.862823794027804</v>
      </c>
      <c r="AA3584" s="9">
        <v>74.862823794027804</v>
      </c>
      <c r="AB3584" s="9">
        <v>84.552915727397561</v>
      </c>
      <c r="AC3584" s="9">
        <v>84.552915727397561</v>
      </c>
      <c r="AD3584" s="9">
        <v>94.492613932172858</v>
      </c>
      <c r="AE3584" s="9">
        <v>104.70687903549428</v>
      </c>
      <c r="AF3584" s="9">
        <v>115.51364337537625</v>
      </c>
      <c r="AG3584" s="9">
        <v>115.51364337537625</v>
      </c>
      <c r="AH3584" s="9">
        <v>127.68776106627702</v>
      </c>
      <c r="AI3584" s="9">
        <v>140.22732729914276</v>
      </c>
      <c r="AJ3584" s="9">
        <v>3.0428788910505911</v>
      </c>
    </row>
    <row r="3585" spans="1:36" x14ac:dyDescent="0.25">
      <c r="A3585" t="s">
        <v>5411</v>
      </c>
      <c r="B3585" t="s">
        <v>16</v>
      </c>
      <c r="C3585" t="s">
        <v>17</v>
      </c>
      <c r="D3585">
        <v>65260000</v>
      </c>
      <c r="E3585">
        <v>65262999</v>
      </c>
      <c r="F3585" t="s">
        <v>406</v>
      </c>
      <c r="G3585" t="str">
        <f t="shared" si="110"/>
        <v>MAR</v>
      </c>
      <c r="H3585" t="s">
        <v>3213</v>
      </c>
      <c r="I3585" t="s">
        <v>20</v>
      </c>
      <c r="J3585" t="s">
        <v>77</v>
      </c>
      <c r="K3585" s="6">
        <v>0.03</v>
      </c>
      <c r="L3585" s="7">
        <f t="shared" si="111"/>
        <v>2E-3</v>
      </c>
      <c r="M3585" s="7">
        <v>3.0000000000000001E-3</v>
      </c>
      <c r="N3585">
        <v>17</v>
      </c>
      <c r="O3585" s="8">
        <v>32.902778340866817</v>
      </c>
      <c r="P3585" s="9">
        <v>32.902778340866817</v>
      </c>
      <c r="Q3585" s="9">
        <v>32.902778340866817</v>
      </c>
      <c r="R3585" s="9">
        <v>36.980915483174826</v>
      </c>
      <c r="S3585" s="9">
        <v>41.041764553716455</v>
      </c>
      <c r="T3585" s="9">
        <v>44.512516286159922</v>
      </c>
      <c r="U3585" s="9">
        <v>52.176281946965503</v>
      </c>
      <c r="V3585" s="9">
        <v>52.176281946965503</v>
      </c>
      <c r="W3585" s="9">
        <v>52.176281946965503</v>
      </c>
      <c r="X3585" s="9">
        <v>65.399646652844908</v>
      </c>
      <c r="Y3585" s="9">
        <v>65.399646652844908</v>
      </c>
      <c r="Z3585" s="9">
        <v>74.862823794027804</v>
      </c>
      <c r="AA3585" s="9">
        <v>74.862823794027804</v>
      </c>
      <c r="AB3585" s="9">
        <v>84.552915727397561</v>
      </c>
      <c r="AC3585" s="9">
        <v>84.552915727397561</v>
      </c>
      <c r="AD3585" s="9">
        <v>94.492613932172858</v>
      </c>
      <c r="AE3585" s="9">
        <v>104.70687903549428</v>
      </c>
      <c r="AF3585" s="9">
        <v>115.51364337537625</v>
      </c>
      <c r="AG3585" s="9">
        <v>115.51364337537625</v>
      </c>
      <c r="AH3585" s="9">
        <v>127.68776106627702</v>
      </c>
      <c r="AI3585" s="9">
        <v>140.22732729914276</v>
      </c>
      <c r="AJ3585" s="9">
        <v>3.0428788910505911</v>
      </c>
    </row>
    <row r="3586" spans="1:36" x14ac:dyDescent="0.25">
      <c r="A3586" t="s">
        <v>5411</v>
      </c>
      <c r="B3586" t="s">
        <v>16</v>
      </c>
      <c r="C3586" t="s">
        <v>17</v>
      </c>
      <c r="D3586">
        <v>65263000</v>
      </c>
      <c r="E3586">
        <v>65264999</v>
      </c>
      <c r="F3586" t="s">
        <v>3244</v>
      </c>
      <c r="G3586" t="str">
        <f t="shared" si="110"/>
        <v>MAR</v>
      </c>
      <c r="H3586" t="s">
        <v>3213</v>
      </c>
      <c r="I3586" t="s">
        <v>20</v>
      </c>
      <c r="J3586" t="s">
        <v>77</v>
      </c>
      <c r="K3586" s="6">
        <v>0.03</v>
      </c>
      <c r="L3586" s="7">
        <f t="shared" si="111"/>
        <v>2E-3</v>
      </c>
      <c r="M3586" s="7">
        <v>3.0000000000000001E-3</v>
      </c>
      <c r="N3586">
        <v>17</v>
      </c>
      <c r="O3586" s="8">
        <v>32.902778340866817</v>
      </c>
      <c r="P3586" s="9">
        <v>32.902778340866817</v>
      </c>
      <c r="Q3586" s="9">
        <v>32.902778340866817</v>
      </c>
      <c r="R3586" s="9">
        <v>36.980915483174826</v>
      </c>
      <c r="S3586" s="9">
        <v>41.041764553716455</v>
      </c>
      <c r="T3586" s="9">
        <v>44.512516286159922</v>
      </c>
      <c r="U3586" s="9">
        <v>52.176281946965503</v>
      </c>
      <c r="V3586" s="9">
        <v>52.176281946965503</v>
      </c>
      <c r="W3586" s="9">
        <v>52.176281946965503</v>
      </c>
      <c r="X3586" s="9">
        <v>65.399646652844908</v>
      </c>
      <c r="Y3586" s="9">
        <v>65.399646652844908</v>
      </c>
      <c r="Z3586" s="9">
        <v>74.862823794027804</v>
      </c>
      <c r="AA3586" s="9">
        <v>74.862823794027804</v>
      </c>
      <c r="AB3586" s="9">
        <v>84.552915727397561</v>
      </c>
      <c r="AC3586" s="9">
        <v>84.552915727397561</v>
      </c>
      <c r="AD3586" s="9">
        <v>94.492613932172858</v>
      </c>
      <c r="AE3586" s="9">
        <v>104.70687903549428</v>
      </c>
      <c r="AF3586" s="9">
        <v>115.51364337537625</v>
      </c>
      <c r="AG3586" s="9">
        <v>115.51364337537625</v>
      </c>
      <c r="AH3586" s="9">
        <v>127.68776106627702</v>
      </c>
      <c r="AI3586" s="9">
        <v>140.22732729914276</v>
      </c>
      <c r="AJ3586" s="9">
        <v>3.0428788910505911</v>
      </c>
    </row>
    <row r="3587" spans="1:36" x14ac:dyDescent="0.25">
      <c r="A3587" t="s">
        <v>5411</v>
      </c>
      <c r="B3587" t="s">
        <v>16</v>
      </c>
      <c r="C3587" t="s">
        <v>17</v>
      </c>
      <c r="D3587">
        <v>65265000</v>
      </c>
      <c r="E3587">
        <v>65266999</v>
      </c>
      <c r="F3587" t="s">
        <v>3245</v>
      </c>
      <c r="G3587" t="str">
        <f t="shared" si="110"/>
        <v>MAR</v>
      </c>
      <c r="H3587" t="s">
        <v>3213</v>
      </c>
      <c r="I3587" t="s">
        <v>20</v>
      </c>
      <c r="J3587" t="s">
        <v>77</v>
      </c>
      <c r="K3587" s="6">
        <v>0.03</v>
      </c>
      <c r="L3587" s="7">
        <f t="shared" si="111"/>
        <v>2E-3</v>
      </c>
      <c r="M3587" s="7">
        <v>3.0000000000000001E-3</v>
      </c>
      <c r="N3587">
        <v>17</v>
      </c>
      <c r="O3587" s="8">
        <v>32.902778340866817</v>
      </c>
      <c r="P3587" s="9">
        <v>32.902778340866817</v>
      </c>
      <c r="Q3587" s="9">
        <v>32.902778340866817</v>
      </c>
      <c r="R3587" s="9">
        <v>36.980915483174826</v>
      </c>
      <c r="S3587" s="9">
        <v>41.041764553716455</v>
      </c>
      <c r="T3587" s="9">
        <v>44.512516286159922</v>
      </c>
      <c r="U3587" s="9">
        <v>52.176281946965503</v>
      </c>
      <c r="V3587" s="9">
        <v>52.176281946965503</v>
      </c>
      <c r="W3587" s="9">
        <v>52.176281946965503</v>
      </c>
      <c r="X3587" s="9">
        <v>65.399646652844908</v>
      </c>
      <c r="Y3587" s="9">
        <v>65.399646652844908</v>
      </c>
      <c r="Z3587" s="9">
        <v>74.862823794027804</v>
      </c>
      <c r="AA3587" s="9">
        <v>74.862823794027804</v>
      </c>
      <c r="AB3587" s="9">
        <v>84.552915727397561</v>
      </c>
      <c r="AC3587" s="9">
        <v>84.552915727397561</v>
      </c>
      <c r="AD3587" s="9">
        <v>94.492613932172858</v>
      </c>
      <c r="AE3587" s="9">
        <v>104.70687903549428</v>
      </c>
      <c r="AF3587" s="9">
        <v>115.51364337537625</v>
      </c>
      <c r="AG3587" s="9">
        <v>115.51364337537625</v>
      </c>
      <c r="AH3587" s="9">
        <v>127.68776106627702</v>
      </c>
      <c r="AI3587" s="9">
        <v>140.22732729914276</v>
      </c>
      <c r="AJ3587" s="9">
        <v>3.0428788910505911</v>
      </c>
    </row>
    <row r="3588" spans="1:36" x14ac:dyDescent="0.25">
      <c r="A3588" t="s">
        <v>5411</v>
      </c>
      <c r="B3588" t="s">
        <v>16</v>
      </c>
      <c r="C3588" t="s">
        <v>17</v>
      </c>
      <c r="D3588">
        <v>65267000</v>
      </c>
      <c r="E3588">
        <v>65267999</v>
      </c>
      <c r="F3588" t="s">
        <v>3246</v>
      </c>
      <c r="G3588" t="str">
        <f t="shared" ref="G3588:G3651" si="112">H3588&amp;IF(J3588="CAPITAL","C",IF(J3588="INTERIOR","I",IF(J3588="INTERIOR II","I II","R")))</f>
        <v>MAR</v>
      </c>
      <c r="H3588" t="s">
        <v>3213</v>
      </c>
      <c r="I3588" t="s">
        <v>20</v>
      </c>
      <c r="J3588" t="s">
        <v>77</v>
      </c>
      <c r="K3588" s="6">
        <v>0.03</v>
      </c>
      <c r="L3588" s="7">
        <f t="shared" ref="L3588:L3651" si="113">IF(I3588="(0) Não",0.2%,3%)</f>
        <v>2E-3</v>
      </c>
      <c r="M3588" s="7">
        <v>3.0000000000000001E-3</v>
      </c>
      <c r="N3588">
        <v>17</v>
      </c>
      <c r="O3588" s="8">
        <v>32.902778340866817</v>
      </c>
      <c r="P3588" s="9">
        <v>32.902778340866817</v>
      </c>
      <c r="Q3588" s="9">
        <v>32.902778340866817</v>
      </c>
      <c r="R3588" s="9">
        <v>36.980915483174826</v>
      </c>
      <c r="S3588" s="9">
        <v>41.041764553716455</v>
      </c>
      <c r="T3588" s="9">
        <v>44.512516286159922</v>
      </c>
      <c r="U3588" s="9">
        <v>52.176281946965503</v>
      </c>
      <c r="V3588" s="9">
        <v>52.176281946965503</v>
      </c>
      <c r="W3588" s="9">
        <v>52.176281946965503</v>
      </c>
      <c r="X3588" s="9">
        <v>65.399646652844908</v>
      </c>
      <c r="Y3588" s="9">
        <v>65.399646652844908</v>
      </c>
      <c r="Z3588" s="9">
        <v>74.862823794027804</v>
      </c>
      <c r="AA3588" s="9">
        <v>74.862823794027804</v>
      </c>
      <c r="AB3588" s="9">
        <v>84.552915727397561</v>
      </c>
      <c r="AC3588" s="9">
        <v>84.552915727397561</v>
      </c>
      <c r="AD3588" s="9">
        <v>94.492613932172858</v>
      </c>
      <c r="AE3588" s="9">
        <v>104.70687903549428</v>
      </c>
      <c r="AF3588" s="9">
        <v>115.51364337537625</v>
      </c>
      <c r="AG3588" s="9">
        <v>115.51364337537625</v>
      </c>
      <c r="AH3588" s="9">
        <v>127.68776106627702</v>
      </c>
      <c r="AI3588" s="9">
        <v>140.22732729914276</v>
      </c>
      <c r="AJ3588" s="9">
        <v>3.0428788910505911</v>
      </c>
    </row>
    <row r="3589" spans="1:36" x14ac:dyDescent="0.25">
      <c r="A3589" t="s">
        <v>5411</v>
      </c>
      <c r="B3589" t="s">
        <v>16</v>
      </c>
      <c r="C3589" t="s">
        <v>17</v>
      </c>
      <c r="D3589">
        <v>65268000</v>
      </c>
      <c r="E3589">
        <v>65268999</v>
      </c>
      <c r="F3589" t="s">
        <v>3247</v>
      </c>
      <c r="G3589" t="str">
        <f t="shared" si="112"/>
        <v>MAI</v>
      </c>
      <c r="H3589" t="s">
        <v>3213</v>
      </c>
      <c r="I3589" t="s">
        <v>20</v>
      </c>
      <c r="J3589" t="s">
        <v>62</v>
      </c>
      <c r="K3589" s="6">
        <v>0.03</v>
      </c>
      <c r="L3589" s="7">
        <f t="shared" si="113"/>
        <v>2E-3</v>
      </c>
      <c r="M3589" s="7">
        <v>3.0000000000000001E-3</v>
      </c>
      <c r="N3589">
        <v>12</v>
      </c>
      <c r="O3589" s="8">
        <v>19.350325219569864</v>
      </c>
      <c r="P3589" s="9">
        <v>19.350325219569864</v>
      </c>
      <c r="Q3589" s="9">
        <v>19.350325219569864</v>
      </c>
      <c r="R3589" s="9">
        <v>21.236423757715794</v>
      </c>
      <c r="S3589" s="9">
        <v>23.412011215821156</v>
      </c>
      <c r="T3589" s="9">
        <v>26.602346057727168</v>
      </c>
      <c r="U3589" s="9">
        <v>32.175039039197578</v>
      </c>
      <c r="V3589" s="9">
        <v>32.175039039197578</v>
      </c>
      <c r="W3589" s="9">
        <v>32.175039039197578</v>
      </c>
      <c r="X3589" s="9">
        <v>38.477190222688968</v>
      </c>
      <c r="Y3589" s="9">
        <v>38.477190222688968</v>
      </c>
      <c r="Z3589" s="9">
        <v>46.072905764910679</v>
      </c>
      <c r="AA3589" s="9">
        <v>46.072905764910679</v>
      </c>
      <c r="AB3589" s="9">
        <v>52.857194265747438</v>
      </c>
      <c r="AC3589" s="9">
        <v>52.857194265747438</v>
      </c>
      <c r="AD3589" s="9">
        <v>60.075973585900336</v>
      </c>
      <c r="AE3589" s="9">
        <v>67.207660715359779</v>
      </c>
      <c r="AF3589" s="9">
        <v>74.765164496289444</v>
      </c>
      <c r="AG3589" s="9">
        <v>74.765164496289444</v>
      </c>
      <c r="AH3589" s="9">
        <v>82.787429668365718</v>
      </c>
      <c r="AI3589" s="9">
        <v>90.699158794373588</v>
      </c>
      <c r="AJ3589" s="9">
        <v>3.0428788910505911</v>
      </c>
    </row>
    <row r="3590" spans="1:36" x14ac:dyDescent="0.25">
      <c r="A3590" t="s">
        <v>5411</v>
      </c>
      <c r="B3590" t="s">
        <v>16</v>
      </c>
      <c r="C3590" t="s">
        <v>17</v>
      </c>
      <c r="D3590">
        <v>65269000</v>
      </c>
      <c r="E3590">
        <v>65269999</v>
      </c>
      <c r="F3590" t="s">
        <v>3248</v>
      </c>
      <c r="G3590" t="str">
        <f t="shared" si="112"/>
        <v>MAR</v>
      </c>
      <c r="H3590" t="s">
        <v>3213</v>
      </c>
      <c r="I3590" t="s">
        <v>20</v>
      </c>
      <c r="J3590" t="s">
        <v>77</v>
      </c>
      <c r="K3590" s="6">
        <v>0.03</v>
      </c>
      <c r="L3590" s="7">
        <f t="shared" si="113"/>
        <v>2E-3</v>
      </c>
      <c r="M3590" s="7">
        <v>3.0000000000000001E-3</v>
      </c>
      <c r="N3590">
        <v>17</v>
      </c>
      <c r="O3590" s="8">
        <v>32.902778340866817</v>
      </c>
      <c r="P3590" s="9">
        <v>32.902778340866817</v>
      </c>
      <c r="Q3590" s="9">
        <v>32.902778340866817</v>
      </c>
      <c r="R3590" s="9">
        <v>36.980915483174826</v>
      </c>
      <c r="S3590" s="9">
        <v>41.041764553716455</v>
      </c>
      <c r="T3590" s="9">
        <v>44.512516286159922</v>
      </c>
      <c r="U3590" s="9">
        <v>52.176281946965503</v>
      </c>
      <c r="V3590" s="9">
        <v>52.176281946965503</v>
      </c>
      <c r="W3590" s="9">
        <v>52.176281946965503</v>
      </c>
      <c r="X3590" s="9">
        <v>65.399646652844908</v>
      </c>
      <c r="Y3590" s="9">
        <v>65.399646652844908</v>
      </c>
      <c r="Z3590" s="9">
        <v>74.862823794027804</v>
      </c>
      <c r="AA3590" s="9">
        <v>74.862823794027804</v>
      </c>
      <c r="AB3590" s="9">
        <v>84.552915727397561</v>
      </c>
      <c r="AC3590" s="9">
        <v>84.552915727397561</v>
      </c>
      <c r="AD3590" s="9">
        <v>94.492613932172858</v>
      </c>
      <c r="AE3590" s="9">
        <v>104.70687903549428</v>
      </c>
      <c r="AF3590" s="9">
        <v>115.51364337537625</v>
      </c>
      <c r="AG3590" s="9">
        <v>115.51364337537625</v>
      </c>
      <c r="AH3590" s="9">
        <v>127.68776106627702</v>
      </c>
      <c r="AI3590" s="9">
        <v>140.22732729914276</v>
      </c>
      <c r="AJ3590" s="9">
        <v>3.0428788910505911</v>
      </c>
    </row>
    <row r="3591" spans="1:36" x14ac:dyDescent="0.25">
      <c r="A3591" t="s">
        <v>5411</v>
      </c>
      <c r="B3591" t="s">
        <v>16</v>
      </c>
      <c r="C3591" t="s">
        <v>17</v>
      </c>
      <c r="D3591">
        <v>65270000</v>
      </c>
      <c r="E3591">
        <v>65271999</v>
      </c>
      <c r="F3591" t="s">
        <v>3249</v>
      </c>
      <c r="G3591" t="str">
        <f t="shared" si="112"/>
        <v>MAR</v>
      </c>
      <c r="H3591" t="s">
        <v>3213</v>
      </c>
      <c r="I3591" t="s">
        <v>20</v>
      </c>
      <c r="J3591" t="s">
        <v>77</v>
      </c>
      <c r="K3591" s="6">
        <v>0.03</v>
      </c>
      <c r="L3591" s="7">
        <f t="shared" si="113"/>
        <v>2E-3</v>
      </c>
      <c r="M3591" s="7">
        <v>3.0000000000000001E-3</v>
      </c>
      <c r="N3591">
        <v>17</v>
      </c>
      <c r="O3591" s="8">
        <v>32.902778340866817</v>
      </c>
      <c r="P3591" s="9">
        <v>32.902778340866817</v>
      </c>
      <c r="Q3591" s="9">
        <v>32.902778340866817</v>
      </c>
      <c r="R3591" s="9">
        <v>36.980915483174826</v>
      </c>
      <c r="S3591" s="9">
        <v>41.041764553716455</v>
      </c>
      <c r="T3591" s="9">
        <v>44.512516286159922</v>
      </c>
      <c r="U3591" s="9">
        <v>52.176281946965503</v>
      </c>
      <c r="V3591" s="9">
        <v>52.176281946965503</v>
      </c>
      <c r="W3591" s="9">
        <v>52.176281946965503</v>
      </c>
      <c r="X3591" s="9">
        <v>65.399646652844908</v>
      </c>
      <c r="Y3591" s="9">
        <v>65.399646652844908</v>
      </c>
      <c r="Z3591" s="9">
        <v>74.862823794027804</v>
      </c>
      <c r="AA3591" s="9">
        <v>74.862823794027804</v>
      </c>
      <c r="AB3591" s="9">
        <v>84.552915727397561</v>
      </c>
      <c r="AC3591" s="9">
        <v>84.552915727397561</v>
      </c>
      <c r="AD3591" s="9">
        <v>94.492613932172858</v>
      </c>
      <c r="AE3591" s="9">
        <v>104.70687903549428</v>
      </c>
      <c r="AF3591" s="9">
        <v>115.51364337537625</v>
      </c>
      <c r="AG3591" s="9">
        <v>115.51364337537625</v>
      </c>
      <c r="AH3591" s="9">
        <v>127.68776106627702</v>
      </c>
      <c r="AI3591" s="9">
        <v>140.22732729914276</v>
      </c>
      <c r="AJ3591" s="9">
        <v>3.0428788910505911</v>
      </c>
    </row>
    <row r="3592" spans="1:36" x14ac:dyDescent="0.25">
      <c r="A3592" t="s">
        <v>5411</v>
      </c>
      <c r="B3592" t="s">
        <v>16</v>
      </c>
      <c r="C3592" t="s">
        <v>17</v>
      </c>
      <c r="D3592">
        <v>65272000</v>
      </c>
      <c r="E3592">
        <v>65273999</v>
      </c>
      <c r="F3592" t="s">
        <v>3250</v>
      </c>
      <c r="G3592" t="str">
        <f t="shared" si="112"/>
        <v>MAR</v>
      </c>
      <c r="H3592" t="s">
        <v>3213</v>
      </c>
      <c r="I3592" t="s">
        <v>20</v>
      </c>
      <c r="J3592" t="s">
        <v>77</v>
      </c>
      <c r="K3592" s="6">
        <v>0.03</v>
      </c>
      <c r="L3592" s="7">
        <f t="shared" si="113"/>
        <v>2E-3</v>
      </c>
      <c r="M3592" s="7">
        <v>3.0000000000000001E-3</v>
      </c>
      <c r="N3592">
        <v>17</v>
      </c>
      <c r="O3592" s="8">
        <v>32.902778340866817</v>
      </c>
      <c r="P3592" s="9">
        <v>32.902778340866817</v>
      </c>
      <c r="Q3592" s="9">
        <v>32.902778340866817</v>
      </c>
      <c r="R3592" s="9">
        <v>36.980915483174826</v>
      </c>
      <c r="S3592" s="9">
        <v>41.041764553716455</v>
      </c>
      <c r="T3592" s="9">
        <v>44.512516286159922</v>
      </c>
      <c r="U3592" s="9">
        <v>52.176281946965503</v>
      </c>
      <c r="V3592" s="9">
        <v>52.176281946965503</v>
      </c>
      <c r="W3592" s="9">
        <v>52.176281946965503</v>
      </c>
      <c r="X3592" s="9">
        <v>65.399646652844908</v>
      </c>
      <c r="Y3592" s="9">
        <v>65.399646652844908</v>
      </c>
      <c r="Z3592" s="9">
        <v>74.862823794027804</v>
      </c>
      <c r="AA3592" s="9">
        <v>74.862823794027804</v>
      </c>
      <c r="AB3592" s="9">
        <v>84.552915727397561</v>
      </c>
      <c r="AC3592" s="9">
        <v>84.552915727397561</v>
      </c>
      <c r="AD3592" s="9">
        <v>94.492613932172858</v>
      </c>
      <c r="AE3592" s="9">
        <v>104.70687903549428</v>
      </c>
      <c r="AF3592" s="9">
        <v>115.51364337537625</v>
      </c>
      <c r="AG3592" s="9">
        <v>115.51364337537625</v>
      </c>
      <c r="AH3592" s="9">
        <v>127.68776106627702</v>
      </c>
      <c r="AI3592" s="9">
        <v>140.22732729914276</v>
      </c>
      <c r="AJ3592" s="9">
        <v>3.0428788910505911</v>
      </c>
    </row>
    <row r="3593" spans="1:36" x14ac:dyDescent="0.25">
      <c r="A3593" t="s">
        <v>5411</v>
      </c>
      <c r="B3593" t="s">
        <v>16</v>
      </c>
      <c r="C3593" t="s">
        <v>17</v>
      </c>
      <c r="D3593">
        <v>65274000</v>
      </c>
      <c r="E3593">
        <v>65274999</v>
      </c>
      <c r="F3593" t="s">
        <v>3251</v>
      </c>
      <c r="G3593" t="str">
        <f t="shared" si="112"/>
        <v>MAR</v>
      </c>
      <c r="H3593" t="s">
        <v>3213</v>
      </c>
      <c r="I3593" t="s">
        <v>20</v>
      </c>
      <c r="J3593" t="s">
        <v>77</v>
      </c>
      <c r="K3593" s="6">
        <v>0.03</v>
      </c>
      <c r="L3593" s="7">
        <f t="shared" si="113"/>
        <v>2E-3</v>
      </c>
      <c r="M3593" s="7">
        <v>3.0000000000000001E-3</v>
      </c>
      <c r="N3593">
        <v>17</v>
      </c>
      <c r="O3593" s="8">
        <v>32.902778340866817</v>
      </c>
      <c r="P3593" s="9">
        <v>32.902778340866817</v>
      </c>
      <c r="Q3593" s="9">
        <v>32.902778340866817</v>
      </c>
      <c r="R3593" s="9">
        <v>36.980915483174826</v>
      </c>
      <c r="S3593" s="9">
        <v>41.041764553716455</v>
      </c>
      <c r="T3593" s="9">
        <v>44.512516286159922</v>
      </c>
      <c r="U3593" s="9">
        <v>52.176281946965503</v>
      </c>
      <c r="V3593" s="9">
        <v>52.176281946965503</v>
      </c>
      <c r="W3593" s="9">
        <v>52.176281946965503</v>
      </c>
      <c r="X3593" s="9">
        <v>65.399646652844908</v>
      </c>
      <c r="Y3593" s="9">
        <v>65.399646652844908</v>
      </c>
      <c r="Z3593" s="9">
        <v>74.862823794027804</v>
      </c>
      <c r="AA3593" s="9">
        <v>74.862823794027804</v>
      </c>
      <c r="AB3593" s="9">
        <v>84.552915727397561</v>
      </c>
      <c r="AC3593" s="9">
        <v>84.552915727397561</v>
      </c>
      <c r="AD3593" s="9">
        <v>94.492613932172858</v>
      </c>
      <c r="AE3593" s="9">
        <v>104.70687903549428</v>
      </c>
      <c r="AF3593" s="9">
        <v>115.51364337537625</v>
      </c>
      <c r="AG3593" s="9">
        <v>115.51364337537625</v>
      </c>
      <c r="AH3593" s="9">
        <v>127.68776106627702</v>
      </c>
      <c r="AI3593" s="9">
        <v>140.22732729914276</v>
      </c>
      <c r="AJ3593" s="9">
        <v>3.0428788910505911</v>
      </c>
    </row>
    <row r="3594" spans="1:36" x14ac:dyDescent="0.25">
      <c r="A3594" t="s">
        <v>5411</v>
      </c>
      <c r="B3594" t="s">
        <v>16</v>
      </c>
      <c r="C3594" t="s">
        <v>17</v>
      </c>
      <c r="D3594">
        <v>65275000</v>
      </c>
      <c r="E3594">
        <v>65275999</v>
      </c>
      <c r="F3594" t="s">
        <v>3252</v>
      </c>
      <c r="G3594" t="str">
        <f t="shared" si="112"/>
        <v>MAR</v>
      </c>
      <c r="H3594" t="s">
        <v>3213</v>
      </c>
      <c r="I3594" t="s">
        <v>20</v>
      </c>
      <c r="J3594" t="s">
        <v>77</v>
      </c>
      <c r="K3594" s="6">
        <v>0.03</v>
      </c>
      <c r="L3594" s="7">
        <f t="shared" si="113"/>
        <v>2E-3</v>
      </c>
      <c r="M3594" s="7">
        <v>3.0000000000000001E-3</v>
      </c>
      <c r="N3594">
        <v>17</v>
      </c>
      <c r="O3594" s="8">
        <v>32.902778340866817</v>
      </c>
      <c r="P3594" s="9">
        <v>32.902778340866817</v>
      </c>
      <c r="Q3594" s="9">
        <v>32.902778340866817</v>
      </c>
      <c r="R3594" s="9">
        <v>36.980915483174826</v>
      </c>
      <c r="S3594" s="9">
        <v>41.041764553716455</v>
      </c>
      <c r="T3594" s="9">
        <v>44.512516286159922</v>
      </c>
      <c r="U3594" s="9">
        <v>52.176281946965503</v>
      </c>
      <c r="V3594" s="9">
        <v>52.176281946965503</v>
      </c>
      <c r="W3594" s="9">
        <v>52.176281946965503</v>
      </c>
      <c r="X3594" s="9">
        <v>65.399646652844908</v>
      </c>
      <c r="Y3594" s="9">
        <v>65.399646652844908</v>
      </c>
      <c r="Z3594" s="9">
        <v>74.862823794027804</v>
      </c>
      <c r="AA3594" s="9">
        <v>74.862823794027804</v>
      </c>
      <c r="AB3594" s="9">
        <v>84.552915727397561</v>
      </c>
      <c r="AC3594" s="9">
        <v>84.552915727397561</v>
      </c>
      <c r="AD3594" s="9">
        <v>94.492613932172858</v>
      </c>
      <c r="AE3594" s="9">
        <v>104.70687903549428</v>
      </c>
      <c r="AF3594" s="9">
        <v>115.51364337537625</v>
      </c>
      <c r="AG3594" s="9">
        <v>115.51364337537625</v>
      </c>
      <c r="AH3594" s="9">
        <v>127.68776106627702</v>
      </c>
      <c r="AI3594" s="9">
        <v>140.22732729914276</v>
      </c>
      <c r="AJ3594" s="9">
        <v>3.0428788910505911</v>
      </c>
    </row>
    <row r="3595" spans="1:36" x14ac:dyDescent="0.25">
      <c r="A3595" t="s">
        <v>5411</v>
      </c>
      <c r="B3595" t="s">
        <v>16</v>
      </c>
      <c r="C3595" t="s">
        <v>17</v>
      </c>
      <c r="D3595">
        <v>65276000</v>
      </c>
      <c r="E3595">
        <v>65277999</v>
      </c>
      <c r="F3595" t="s">
        <v>3253</v>
      </c>
      <c r="G3595" t="str">
        <f t="shared" si="112"/>
        <v>MAR</v>
      </c>
      <c r="H3595" t="s">
        <v>3213</v>
      </c>
      <c r="I3595" t="s">
        <v>20</v>
      </c>
      <c r="J3595" t="s">
        <v>77</v>
      </c>
      <c r="K3595" s="6">
        <v>0.03</v>
      </c>
      <c r="L3595" s="7">
        <f t="shared" si="113"/>
        <v>2E-3</v>
      </c>
      <c r="M3595" s="7">
        <v>3.0000000000000001E-3</v>
      </c>
      <c r="N3595">
        <v>17</v>
      </c>
      <c r="O3595" s="8">
        <v>32.902778340866817</v>
      </c>
      <c r="P3595" s="9">
        <v>32.902778340866817</v>
      </c>
      <c r="Q3595" s="9">
        <v>32.902778340866817</v>
      </c>
      <c r="R3595" s="9">
        <v>36.980915483174826</v>
      </c>
      <c r="S3595" s="9">
        <v>41.041764553716455</v>
      </c>
      <c r="T3595" s="9">
        <v>44.512516286159922</v>
      </c>
      <c r="U3595" s="9">
        <v>52.176281946965503</v>
      </c>
      <c r="V3595" s="9">
        <v>52.176281946965503</v>
      </c>
      <c r="W3595" s="9">
        <v>52.176281946965503</v>
      </c>
      <c r="X3595" s="9">
        <v>65.399646652844908</v>
      </c>
      <c r="Y3595" s="9">
        <v>65.399646652844908</v>
      </c>
      <c r="Z3595" s="9">
        <v>74.862823794027804</v>
      </c>
      <c r="AA3595" s="9">
        <v>74.862823794027804</v>
      </c>
      <c r="AB3595" s="9">
        <v>84.552915727397561</v>
      </c>
      <c r="AC3595" s="9">
        <v>84.552915727397561</v>
      </c>
      <c r="AD3595" s="9">
        <v>94.492613932172858</v>
      </c>
      <c r="AE3595" s="9">
        <v>104.70687903549428</v>
      </c>
      <c r="AF3595" s="9">
        <v>115.51364337537625</v>
      </c>
      <c r="AG3595" s="9">
        <v>115.51364337537625</v>
      </c>
      <c r="AH3595" s="9">
        <v>127.68776106627702</v>
      </c>
      <c r="AI3595" s="9">
        <v>140.22732729914276</v>
      </c>
      <c r="AJ3595" s="9">
        <v>3.0428788910505911</v>
      </c>
    </row>
    <row r="3596" spans="1:36" x14ac:dyDescent="0.25">
      <c r="A3596" t="s">
        <v>5411</v>
      </c>
      <c r="B3596" t="s">
        <v>16</v>
      </c>
      <c r="C3596" t="s">
        <v>17</v>
      </c>
      <c r="D3596">
        <v>65278000</v>
      </c>
      <c r="E3596">
        <v>65278999</v>
      </c>
      <c r="F3596" t="s">
        <v>3254</v>
      </c>
      <c r="G3596" t="str">
        <f t="shared" si="112"/>
        <v>MAR</v>
      </c>
      <c r="H3596" t="s">
        <v>3213</v>
      </c>
      <c r="I3596" t="s">
        <v>20</v>
      </c>
      <c r="J3596" t="s">
        <v>77</v>
      </c>
      <c r="K3596" s="6">
        <v>0.03</v>
      </c>
      <c r="L3596" s="7">
        <f t="shared" si="113"/>
        <v>2E-3</v>
      </c>
      <c r="M3596" s="7">
        <v>3.0000000000000001E-3</v>
      </c>
      <c r="N3596">
        <v>17</v>
      </c>
      <c r="O3596" s="8">
        <v>32.902778340866817</v>
      </c>
      <c r="P3596" s="9">
        <v>32.902778340866817</v>
      </c>
      <c r="Q3596" s="9">
        <v>32.902778340866817</v>
      </c>
      <c r="R3596" s="9">
        <v>36.980915483174826</v>
      </c>
      <c r="S3596" s="9">
        <v>41.041764553716455</v>
      </c>
      <c r="T3596" s="9">
        <v>44.512516286159922</v>
      </c>
      <c r="U3596" s="9">
        <v>52.176281946965503</v>
      </c>
      <c r="V3596" s="9">
        <v>52.176281946965503</v>
      </c>
      <c r="W3596" s="9">
        <v>52.176281946965503</v>
      </c>
      <c r="X3596" s="9">
        <v>65.399646652844908</v>
      </c>
      <c r="Y3596" s="9">
        <v>65.399646652844908</v>
      </c>
      <c r="Z3596" s="9">
        <v>74.862823794027804</v>
      </c>
      <c r="AA3596" s="9">
        <v>74.862823794027804</v>
      </c>
      <c r="AB3596" s="9">
        <v>84.552915727397561</v>
      </c>
      <c r="AC3596" s="9">
        <v>84.552915727397561</v>
      </c>
      <c r="AD3596" s="9">
        <v>94.492613932172858</v>
      </c>
      <c r="AE3596" s="9">
        <v>104.70687903549428</v>
      </c>
      <c r="AF3596" s="9">
        <v>115.51364337537625</v>
      </c>
      <c r="AG3596" s="9">
        <v>115.51364337537625</v>
      </c>
      <c r="AH3596" s="9">
        <v>127.68776106627702</v>
      </c>
      <c r="AI3596" s="9">
        <v>140.22732729914276</v>
      </c>
      <c r="AJ3596" s="9">
        <v>3.0428788910505911</v>
      </c>
    </row>
    <row r="3597" spans="1:36" x14ac:dyDescent="0.25">
      <c r="A3597" t="s">
        <v>5411</v>
      </c>
      <c r="B3597" t="s">
        <v>16</v>
      </c>
      <c r="C3597" t="s">
        <v>17</v>
      </c>
      <c r="D3597">
        <v>65279000</v>
      </c>
      <c r="E3597">
        <v>65279999</v>
      </c>
      <c r="F3597" t="s">
        <v>3255</v>
      </c>
      <c r="G3597" t="str">
        <f t="shared" si="112"/>
        <v>MAR</v>
      </c>
      <c r="H3597" t="s">
        <v>3213</v>
      </c>
      <c r="I3597" t="s">
        <v>20</v>
      </c>
      <c r="J3597" t="s">
        <v>77</v>
      </c>
      <c r="K3597" s="6">
        <v>0.03</v>
      </c>
      <c r="L3597" s="7">
        <f t="shared" si="113"/>
        <v>2E-3</v>
      </c>
      <c r="M3597" s="7">
        <v>3.0000000000000001E-3</v>
      </c>
      <c r="N3597">
        <v>17</v>
      </c>
      <c r="O3597" s="8">
        <v>32.902778340866817</v>
      </c>
      <c r="P3597" s="9">
        <v>32.902778340866817</v>
      </c>
      <c r="Q3597" s="9">
        <v>32.902778340866817</v>
      </c>
      <c r="R3597" s="9">
        <v>36.980915483174826</v>
      </c>
      <c r="S3597" s="9">
        <v>41.041764553716455</v>
      </c>
      <c r="T3597" s="9">
        <v>44.512516286159922</v>
      </c>
      <c r="U3597" s="9">
        <v>52.176281946965503</v>
      </c>
      <c r="V3597" s="9">
        <v>52.176281946965503</v>
      </c>
      <c r="W3597" s="9">
        <v>52.176281946965503</v>
      </c>
      <c r="X3597" s="9">
        <v>65.399646652844908</v>
      </c>
      <c r="Y3597" s="9">
        <v>65.399646652844908</v>
      </c>
      <c r="Z3597" s="9">
        <v>74.862823794027804</v>
      </c>
      <c r="AA3597" s="9">
        <v>74.862823794027804</v>
      </c>
      <c r="AB3597" s="9">
        <v>84.552915727397561</v>
      </c>
      <c r="AC3597" s="9">
        <v>84.552915727397561</v>
      </c>
      <c r="AD3597" s="9">
        <v>94.492613932172858</v>
      </c>
      <c r="AE3597" s="9">
        <v>104.70687903549428</v>
      </c>
      <c r="AF3597" s="9">
        <v>115.51364337537625</v>
      </c>
      <c r="AG3597" s="9">
        <v>115.51364337537625</v>
      </c>
      <c r="AH3597" s="9">
        <v>127.68776106627702</v>
      </c>
      <c r="AI3597" s="9">
        <v>140.22732729914276</v>
      </c>
      <c r="AJ3597" s="9">
        <v>3.0428788910505911</v>
      </c>
    </row>
    <row r="3598" spans="1:36" x14ac:dyDescent="0.25">
      <c r="A3598" t="s">
        <v>5411</v>
      </c>
      <c r="B3598" t="s">
        <v>16</v>
      </c>
      <c r="C3598" t="s">
        <v>17</v>
      </c>
      <c r="D3598">
        <v>65280000</v>
      </c>
      <c r="E3598">
        <v>65282999</v>
      </c>
      <c r="F3598" t="s">
        <v>3256</v>
      </c>
      <c r="G3598" t="str">
        <f t="shared" si="112"/>
        <v>MAR</v>
      </c>
      <c r="H3598" t="s">
        <v>3213</v>
      </c>
      <c r="I3598" t="s">
        <v>20</v>
      </c>
      <c r="J3598" t="s">
        <v>77</v>
      </c>
      <c r="K3598" s="6">
        <v>0.03</v>
      </c>
      <c r="L3598" s="7">
        <f t="shared" si="113"/>
        <v>2E-3</v>
      </c>
      <c r="M3598" s="7">
        <v>3.0000000000000001E-3</v>
      </c>
      <c r="N3598">
        <v>17</v>
      </c>
      <c r="O3598" s="8">
        <v>32.902778340866817</v>
      </c>
      <c r="P3598" s="9">
        <v>32.902778340866817</v>
      </c>
      <c r="Q3598" s="9">
        <v>32.902778340866817</v>
      </c>
      <c r="R3598" s="9">
        <v>36.980915483174826</v>
      </c>
      <c r="S3598" s="9">
        <v>41.041764553716455</v>
      </c>
      <c r="T3598" s="9">
        <v>44.512516286159922</v>
      </c>
      <c r="U3598" s="9">
        <v>52.176281946965503</v>
      </c>
      <c r="V3598" s="9">
        <v>52.176281946965503</v>
      </c>
      <c r="W3598" s="9">
        <v>52.176281946965503</v>
      </c>
      <c r="X3598" s="9">
        <v>65.399646652844908</v>
      </c>
      <c r="Y3598" s="9">
        <v>65.399646652844908</v>
      </c>
      <c r="Z3598" s="9">
        <v>74.862823794027804</v>
      </c>
      <c r="AA3598" s="9">
        <v>74.862823794027804</v>
      </c>
      <c r="AB3598" s="9">
        <v>84.552915727397561</v>
      </c>
      <c r="AC3598" s="9">
        <v>84.552915727397561</v>
      </c>
      <c r="AD3598" s="9">
        <v>94.492613932172858</v>
      </c>
      <c r="AE3598" s="9">
        <v>104.70687903549428</v>
      </c>
      <c r="AF3598" s="9">
        <v>115.51364337537625</v>
      </c>
      <c r="AG3598" s="9">
        <v>115.51364337537625</v>
      </c>
      <c r="AH3598" s="9">
        <v>127.68776106627702</v>
      </c>
      <c r="AI3598" s="9">
        <v>140.22732729914276</v>
      </c>
      <c r="AJ3598" s="9">
        <v>3.0428788910505911</v>
      </c>
    </row>
    <row r="3599" spans="1:36" x14ac:dyDescent="0.25">
      <c r="A3599" t="s">
        <v>5411</v>
      </c>
      <c r="B3599" t="s">
        <v>16</v>
      </c>
      <c r="C3599" t="s">
        <v>17</v>
      </c>
      <c r="D3599">
        <v>65283000</v>
      </c>
      <c r="E3599">
        <v>65283999</v>
      </c>
      <c r="F3599" t="s">
        <v>3257</v>
      </c>
      <c r="G3599" t="str">
        <f t="shared" si="112"/>
        <v>MAR</v>
      </c>
      <c r="H3599" t="s">
        <v>3213</v>
      </c>
      <c r="I3599" t="s">
        <v>20</v>
      </c>
      <c r="J3599" t="s">
        <v>77</v>
      </c>
      <c r="K3599" s="6">
        <v>0.03</v>
      </c>
      <c r="L3599" s="7">
        <f t="shared" si="113"/>
        <v>2E-3</v>
      </c>
      <c r="M3599" s="7">
        <v>3.0000000000000001E-3</v>
      </c>
      <c r="N3599">
        <v>17</v>
      </c>
      <c r="O3599" s="8">
        <v>32.902778340866817</v>
      </c>
      <c r="P3599" s="9">
        <v>32.902778340866817</v>
      </c>
      <c r="Q3599" s="9">
        <v>32.902778340866817</v>
      </c>
      <c r="R3599" s="9">
        <v>36.980915483174826</v>
      </c>
      <c r="S3599" s="9">
        <v>41.041764553716455</v>
      </c>
      <c r="T3599" s="9">
        <v>44.512516286159922</v>
      </c>
      <c r="U3599" s="9">
        <v>52.176281946965503</v>
      </c>
      <c r="V3599" s="9">
        <v>52.176281946965503</v>
      </c>
      <c r="W3599" s="9">
        <v>52.176281946965503</v>
      </c>
      <c r="X3599" s="9">
        <v>65.399646652844908</v>
      </c>
      <c r="Y3599" s="9">
        <v>65.399646652844908</v>
      </c>
      <c r="Z3599" s="9">
        <v>74.862823794027804</v>
      </c>
      <c r="AA3599" s="9">
        <v>74.862823794027804</v>
      </c>
      <c r="AB3599" s="9">
        <v>84.552915727397561</v>
      </c>
      <c r="AC3599" s="9">
        <v>84.552915727397561</v>
      </c>
      <c r="AD3599" s="9">
        <v>94.492613932172858</v>
      </c>
      <c r="AE3599" s="9">
        <v>104.70687903549428</v>
      </c>
      <c r="AF3599" s="9">
        <v>115.51364337537625</v>
      </c>
      <c r="AG3599" s="9">
        <v>115.51364337537625</v>
      </c>
      <c r="AH3599" s="9">
        <v>127.68776106627702</v>
      </c>
      <c r="AI3599" s="9">
        <v>140.22732729914276</v>
      </c>
      <c r="AJ3599" s="9">
        <v>3.0428788910505911</v>
      </c>
    </row>
    <row r="3600" spans="1:36" x14ac:dyDescent="0.25">
      <c r="A3600" t="s">
        <v>5411</v>
      </c>
      <c r="B3600" t="s">
        <v>16</v>
      </c>
      <c r="C3600" t="s">
        <v>17</v>
      </c>
      <c r="D3600">
        <v>65284000</v>
      </c>
      <c r="E3600">
        <v>65284999</v>
      </c>
      <c r="F3600" t="s">
        <v>3258</v>
      </c>
      <c r="G3600" t="str">
        <f t="shared" si="112"/>
        <v>MAR</v>
      </c>
      <c r="H3600" t="s">
        <v>3213</v>
      </c>
      <c r="I3600" t="s">
        <v>20</v>
      </c>
      <c r="J3600" t="s">
        <v>77</v>
      </c>
      <c r="K3600" s="6">
        <v>0.03</v>
      </c>
      <c r="L3600" s="7">
        <f t="shared" si="113"/>
        <v>2E-3</v>
      </c>
      <c r="M3600" s="7">
        <v>3.0000000000000001E-3</v>
      </c>
      <c r="N3600">
        <v>17</v>
      </c>
      <c r="O3600" s="8">
        <v>32.902778340866817</v>
      </c>
      <c r="P3600" s="9">
        <v>32.902778340866817</v>
      </c>
      <c r="Q3600" s="9">
        <v>32.902778340866817</v>
      </c>
      <c r="R3600" s="9">
        <v>36.980915483174826</v>
      </c>
      <c r="S3600" s="9">
        <v>41.041764553716455</v>
      </c>
      <c r="T3600" s="9">
        <v>44.512516286159922</v>
      </c>
      <c r="U3600" s="9">
        <v>52.176281946965503</v>
      </c>
      <c r="V3600" s="9">
        <v>52.176281946965503</v>
      </c>
      <c r="W3600" s="9">
        <v>52.176281946965503</v>
      </c>
      <c r="X3600" s="9">
        <v>65.399646652844908</v>
      </c>
      <c r="Y3600" s="9">
        <v>65.399646652844908</v>
      </c>
      <c r="Z3600" s="9">
        <v>74.862823794027804</v>
      </c>
      <c r="AA3600" s="9">
        <v>74.862823794027804</v>
      </c>
      <c r="AB3600" s="9">
        <v>84.552915727397561</v>
      </c>
      <c r="AC3600" s="9">
        <v>84.552915727397561</v>
      </c>
      <c r="AD3600" s="9">
        <v>94.492613932172858</v>
      </c>
      <c r="AE3600" s="9">
        <v>104.70687903549428</v>
      </c>
      <c r="AF3600" s="9">
        <v>115.51364337537625</v>
      </c>
      <c r="AG3600" s="9">
        <v>115.51364337537625</v>
      </c>
      <c r="AH3600" s="9">
        <v>127.68776106627702</v>
      </c>
      <c r="AI3600" s="9">
        <v>140.22732729914276</v>
      </c>
      <c r="AJ3600" s="9">
        <v>3.0428788910505911</v>
      </c>
    </row>
    <row r="3601" spans="1:36" x14ac:dyDescent="0.25">
      <c r="A3601" t="s">
        <v>5411</v>
      </c>
      <c r="B3601" t="s">
        <v>16</v>
      </c>
      <c r="C3601" t="s">
        <v>17</v>
      </c>
      <c r="D3601">
        <v>65285000</v>
      </c>
      <c r="E3601">
        <v>65287999</v>
      </c>
      <c r="F3601" t="s">
        <v>3259</v>
      </c>
      <c r="G3601" t="str">
        <f t="shared" si="112"/>
        <v>MAR</v>
      </c>
      <c r="H3601" t="s">
        <v>3213</v>
      </c>
      <c r="I3601" t="s">
        <v>20</v>
      </c>
      <c r="J3601" t="s">
        <v>77</v>
      </c>
      <c r="K3601" s="6">
        <v>0.03</v>
      </c>
      <c r="L3601" s="7">
        <f t="shared" si="113"/>
        <v>2E-3</v>
      </c>
      <c r="M3601" s="7">
        <v>3.0000000000000001E-3</v>
      </c>
      <c r="N3601">
        <v>17</v>
      </c>
      <c r="O3601" s="8">
        <v>32.902778340866817</v>
      </c>
      <c r="P3601" s="9">
        <v>32.902778340866817</v>
      </c>
      <c r="Q3601" s="9">
        <v>32.902778340866817</v>
      </c>
      <c r="R3601" s="9">
        <v>36.980915483174826</v>
      </c>
      <c r="S3601" s="9">
        <v>41.041764553716455</v>
      </c>
      <c r="T3601" s="9">
        <v>44.512516286159922</v>
      </c>
      <c r="U3601" s="9">
        <v>52.176281946965503</v>
      </c>
      <c r="V3601" s="9">
        <v>52.176281946965503</v>
      </c>
      <c r="W3601" s="9">
        <v>52.176281946965503</v>
      </c>
      <c r="X3601" s="9">
        <v>65.399646652844908</v>
      </c>
      <c r="Y3601" s="9">
        <v>65.399646652844908</v>
      </c>
      <c r="Z3601" s="9">
        <v>74.862823794027804</v>
      </c>
      <c r="AA3601" s="9">
        <v>74.862823794027804</v>
      </c>
      <c r="AB3601" s="9">
        <v>84.552915727397561</v>
      </c>
      <c r="AC3601" s="9">
        <v>84.552915727397561</v>
      </c>
      <c r="AD3601" s="9">
        <v>94.492613932172858</v>
      </c>
      <c r="AE3601" s="9">
        <v>104.70687903549428</v>
      </c>
      <c r="AF3601" s="9">
        <v>115.51364337537625</v>
      </c>
      <c r="AG3601" s="9">
        <v>115.51364337537625</v>
      </c>
      <c r="AH3601" s="9">
        <v>127.68776106627702</v>
      </c>
      <c r="AI3601" s="9">
        <v>140.22732729914276</v>
      </c>
      <c r="AJ3601" s="9">
        <v>3.0428788910505911</v>
      </c>
    </row>
    <row r="3602" spans="1:36" x14ac:dyDescent="0.25">
      <c r="A3602" t="s">
        <v>5411</v>
      </c>
      <c r="B3602" t="s">
        <v>16</v>
      </c>
      <c r="C3602" t="s">
        <v>17</v>
      </c>
      <c r="D3602">
        <v>65288000</v>
      </c>
      <c r="E3602">
        <v>65288999</v>
      </c>
      <c r="F3602" t="s">
        <v>3260</v>
      </c>
      <c r="G3602" t="str">
        <f t="shared" si="112"/>
        <v>MAR</v>
      </c>
      <c r="H3602" t="s">
        <v>3213</v>
      </c>
      <c r="I3602" t="s">
        <v>20</v>
      </c>
      <c r="J3602" t="s">
        <v>77</v>
      </c>
      <c r="K3602" s="6">
        <v>0.03</v>
      </c>
      <c r="L3602" s="7">
        <f t="shared" si="113"/>
        <v>2E-3</v>
      </c>
      <c r="M3602" s="7">
        <v>3.0000000000000001E-3</v>
      </c>
      <c r="N3602">
        <v>17</v>
      </c>
      <c r="O3602" s="8">
        <v>32.902778340866817</v>
      </c>
      <c r="P3602" s="9">
        <v>32.902778340866817</v>
      </c>
      <c r="Q3602" s="9">
        <v>32.902778340866817</v>
      </c>
      <c r="R3602" s="9">
        <v>36.980915483174826</v>
      </c>
      <c r="S3602" s="9">
        <v>41.041764553716455</v>
      </c>
      <c r="T3602" s="9">
        <v>44.512516286159922</v>
      </c>
      <c r="U3602" s="9">
        <v>52.176281946965503</v>
      </c>
      <c r="V3602" s="9">
        <v>52.176281946965503</v>
      </c>
      <c r="W3602" s="9">
        <v>52.176281946965503</v>
      </c>
      <c r="X3602" s="9">
        <v>65.399646652844908</v>
      </c>
      <c r="Y3602" s="9">
        <v>65.399646652844908</v>
      </c>
      <c r="Z3602" s="9">
        <v>74.862823794027804</v>
      </c>
      <c r="AA3602" s="9">
        <v>74.862823794027804</v>
      </c>
      <c r="AB3602" s="9">
        <v>84.552915727397561</v>
      </c>
      <c r="AC3602" s="9">
        <v>84.552915727397561</v>
      </c>
      <c r="AD3602" s="9">
        <v>94.492613932172858</v>
      </c>
      <c r="AE3602" s="9">
        <v>104.70687903549428</v>
      </c>
      <c r="AF3602" s="9">
        <v>115.51364337537625</v>
      </c>
      <c r="AG3602" s="9">
        <v>115.51364337537625</v>
      </c>
      <c r="AH3602" s="9">
        <v>127.68776106627702</v>
      </c>
      <c r="AI3602" s="9">
        <v>140.22732729914276</v>
      </c>
      <c r="AJ3602" s="9">
        <v>3.0428788910505911</v>
      </c>
    </row>
    <row r="3603" spans="1:36" x14ac:dyDescent="0.25">
      <c r="A3603" t="s">
        <v>5411</v>
      </c>
      <c r="B3603" t="s">
        <v>16</v>
      </c>
      <c r="C3603" t="s">
        <v>17</v>
      </c>
      <c r="D3603">
        <v>65289000</v>
      </c>
      <c r="E3603">
        <v>65289999</v>
      </c>
      <c r="F3603" t="s">
        <v>3261</v>
      </c>
      <c r="G3603" t="str">
        <f t="shared" si="112"/>
        <v>MAR</v>
      </c>
      <c r="H3603" t="s">
        <v>3213</v>
      </c>
      <c r="I3603" t="s">
        <v>20</v>
      </c>
      <c r="J3603" t="s">
        <v>77</v>
      </c>
      <c r="K3603" s="6">
        <v>0.03</v>
      </c>
      <c r="L3603" s="7">
        <f t="shared" si="113"/>
        <v>2E-3</v>
      </c>
      <c r="M3603" s="7">
        <v>3.0000000000000001E-3</v>
      </c>
      <c r="N3603">
        <v>17</v>
      </c>
      <c r="O3603" s="8">
        <v>32.902778340866817</v>
      </c>
      <c r="P3603" s="9">
        <v>32.902778340866817</v>
      </c>
      <c r="Q3603" s="9">
        <v>32.902778340866817</v>
      </c>
      <c r="R3603" s="9">
        <v>36.980915483174826</v>
      </c>
      <c r="S3603" s="9">
        <v>41.041764553716455</v>
      </c>
      <c r="T3603" s="9">
        <v>44.512516286159922</v>
      </c>
      <c r="U3603" s="9">
        <v>52.176281946965503</v>
      </c>
      <c r="V3603" s="9">
        <v>52.176281946965503</v>
      </c>
      <c r="W3603" s="9">
        <v>52.176281946965503</v>
      </c>
      <c r="X3603" s="9">
        <v>65.399646652844908</v>
      </c>
      <c r="Y3603" s="9">
        <v>65.399646652844908</v>
      </c>
      <c r="Z3603" s="9">
        <v>74.862823794027804</v>
      </c>
      <c r="AA3603" s="9">
        <v>74.862823794027804</v>
      </c>
      <c r="AB3603" s="9">
        <v>84.552915727397561</v>
      </c>
      <c r="AC3603" s="9">
        <v>84.552915727397561</v>
      </c>
      <c r="AD3603" s="9">
        <v>94.492613932172858</v>
      </c>
      <c r="AE3603" s="9">
        <v>104.70687903549428</v>
      </c>
      <c r="AF3603" s="9">
        <v>115.51364337537625</v>
      </c>
      <c r="AG3603" s="9">
        <v>115.51364337537625</v>
      </c>
      <c r="AH3603" s="9">
        <v>127.68776106627702</v>
      </c>
      <c r="AI3603" s="9">
        <v>140.22732729914276</v>
      </c>
      <c r="AJ3603" s="9">
        <v>3.0428788910505911</v>
      </c>
    </row>
    <row r="3604" spans="1:36" x14ac:dyDescent="0.25">
      <c r="A3604" t="s">
        <v>5411</v>
      </c>
      <c r="B3604" t="s">
        <v>16</v>
      </c>
      <c r="C3604" t="s">
        <v>17</v>
      </c>
      <c r="D3604">
        <v>65290000</v>
      </c>
      <c r="E3604">
        <v>65291999</v>
      </c>
      <c r="F3604" t="s">
        <v>3262</v>
      </c>
      <c r="G3604" t="str">
        <f t="shared" si="112"/>
        <v>MAR</v>
      </c>
      <c r="H3604" t="s">
        <v>3213</v>
      </c>
      <c r="I3604" t="s">
        <v>20</v>
      </c>
      <c r="J3604" t="s">
        <v>77</v>
      </c>
      <c r="K3604" s="6">
        <v>0.03</v>
      </c>
      <c r="L3604" s="7">
        <f t="shared" si="113"/>
        <v>2E-3</v>
      </c>
      <c r="M3604" s="7">
        <v>3.0000000000000001E-3</v>
      </c>
      <c r="N3604">
        <v>17</v>
      </c>
      <c r="O3604" s="8">
        <v>32.902778340866817</v>
      </c>
      <c r="P3604" s="9">
        <v>32.902778340866817</v>
      </c>
      <c r="Q3604" s="9">
        <v>32.902778340866817</v>
      </c>
      <c r="R3604" s="9">
        <v>36.980915483174826</v>
      </c>
      <c r="S3604" s="9">
        <v>41.041764553716455</v>
      </c>
      <c r="T3604" s="9">
        <v>44.512516286159922</v>
      </c>
      <c r="U3604" s="9">
        <v>52.176281946965503</v>
      </c>
      <c r="V3604" s="9">
        <v>52.176281946965503</v>
      </c>
      <c r="W3604" s="9">
        <v>52.176281946965503</v>
      </c>
      <c r="X3604" s="9">
        <v>65.399646652844908</v>
      </c>
      <c r="Y3604" s="9">
        <v>65.399646652844908</v>
      </c>
      <c r="Z3604" s="9">
        <v>74.862823794027804</v>
      </c>
      <c r="AA3604" s="9">
        <v>74.862823794027804</v>
      </c>
      <c r="AB3604" s="9">
        <v>84.552915727397561</v>
      </c>
      <c r="AC3604" s="9">
        <v>84.552915727397561</v>
      </c>
      <c r="AD3604" s="9">
        <v>94.492613932172858</v>
      </c>
      <c r="AE3604" s="9">
        <v>104.70687903549428</v>
      </c>
      <c r="AF3604" s="9">
        <v>115.51364337537625</v>
      </c>
      <c r="AG3604" s="9">
        <v>115.51364337537625</v>
      </c>
      <c r="AH3604" s="9">
        <v>127.68776106627702</v>
      </c>
      <c r="AI3604" s="9">
        <v>140.22732729914276</v>
      </c>
      <c r="AJ3604" s="9">
        <v>3.0428788910505911</v>
      </c>
    </row>
    <row r="3605" spans="1:36" x14ac:dyDescent="0.25">
      <c r="A3605" t="s">
        <v>5411</v>
      </c>
      <c r="B3605" t="s">
        <v>16</v>
      </c>
      <c r="C3605" t="s">
        <v>17</v>
      </c>
      <c r="D3605">
        <v>65292000</v>
      </c>
      <c r="E3605">
        <v>65292999</v>
      </c>
      <c r="F3605" t="s">
        <v>3263</v>
      </c>
      <c r="G3605" t="str">
        <f t="shared" si="112"/>
        <v>MAR</v>
      </c>
      <c r="H3605" t="s">
        <v>3213</v>
      </c>
      <c r="I3605" t="s">
        <v>20</v>
      </c>
      <c r="J3605" t="s">
        <v>77</v>
      </c>
      <c r="K3605" s="6">
        <v>0.03</v>
      </c>
      <c r="L3605" s="7">
        <f t="shared" si="113"/>
        <v>2E-3</v>
      </c>
      <c r="M3605" s="7">
        <v>3.0000000000000001E-3</v>
      </c>
      <c r="N3605">
        <v>17</v>
      </c>
      <c r="O3605" s="8">
        <v>32.902778340866817</v>
      </c>
      <c r="P3605" s="9">
        <v>32.902778340866817</v>
      </c>
      <c r="Q3605" s="9">
        <v>32.902778340866817</v>
      </c>
      <c r="R3605" s="9">
        <v>36.980915483174826</v>
      </c>
      <c r="S3605" s="9">
        <v>41.041764553716455</v>
      </c>
      <c r="T3605" s="9">
        <v>44.512516286159922</v>
      </c>
      <c r="U3605" s="9">
        <v>52.176281946965503</v>
      </c>
      <c r="V3605" s="9">
        <v>52.176281946965503</v>
      </c>
      <c r="W3605" s="9">
        <v>52.176281946965503</v>
      </c>
      <c r="X3605" s="9">
        <v>65.399646652844908</v>
      </c>
      <c r="Y3605" s="9">
        <v>65.399646652844908</v>
      </c>
      <c r="Z3605" s="9">
        <v>74.862823794027804</v>
      </c>
      <c r="AA3605" s="9">
        <v>74.862823794027804</v>
      </c>
      <c r="AB3605" s="9">
        <v>84.552915727397561</v>
      </c>
      <c r="AC3605" s="9">
        <v>84.552915727397561</v>
      </c>
      <c r="AD3605" s="9">
        <v>94.492613932172858</v>
      </c>
      <c r="AE3605" s="9">
        <v>104.70687903549428</v>
      </c>
      <c r="AF3605" s="9">
        <v>115.51364337537625</v>
      </c>
      <c r="AG3605" s="9">
        <v>115.51364337537625</v>
      </c>
      <c r="AH3605" s="9">
        <v>127.68776106627702</v>
      </c>
      <c r="AI3605" s="9">
        <v>140.22732729914276</v>
      </c>
      <c r="AJ3605" s="9">
        <v>3.0428788910505911</v>
      </c>
    </row>
    <row r="3606" spans="1:36" x14ac:dyDescent="0.25">
      <c r="A3606" t="s">
        <v>5411</v>
      </c>
      <c r="B3606" t="s">
        <v>16</v>
      </c>
      <c r="C3606" t="s">
        <v>17</v>
      </c>
      <c r="D3606">
        <v>65293000</v>
      </c>
      <c r="E3606">
        <v>65293999</v>
      </c>
      <c r="F3606" t="s">
        <v>3264</v>
      </c>
      <c r="G3606" t="str">
        <f t="shared" si="112"/>
        <v>MAR</v>
      </c>
      <c r="H3606" t="s">
        <v>3213</v>
      </c>
      <c r="I3606" t="s">
        <v>20</v>
      </c>
      <c r="J3606" t="s">
        <v>77</v>
      </c>
      <c r="K3606" s="6">
        <v>0.03</v>
      </c>
      <c r="L3606" s="7">
        <f t="shared" si="113"/>
        <v>2E-3</v>
      </c>
      <c r="M3606" s="7">
        <v>3.0000000000000001E-3</v>
      </c>
      <c r="N3606">
        <v>17</v>
      </c>
      <c r="O3606" s="8">
        <v>32.902778340866817</v>
      </c>
      <c r="P3606" s="9">
        <v>32.902778340866817</v>
      </c>
      <c r="Q3606" s="9">
        <v>32.902778340866817</v>
      </c>
      <c r="R3606" s="9">
        <v>36.980915483174826</v>
      </c>
      <c r="S3606" s="9">
        <v>41.041764553716455</v>
      </c>
      <c r="T3606" s="9">
        <v>44.512516286159922</v>
      </c>
      <c r="U3606" s="9">
        <v>52.176281946965503</v>
      </c>
      <c r="V3606" s="9">
        <v>52.176281946965503</v>
      </c>
      <c r="W3606" s="9">
        <v>52.176281946965503</v>
      </c>
      <c r="X3606" s="9">
        <v>65.399646652844908</v>
      </c>
      <c r="Y3606" s="9">
        <v>65.399646652844908</v>
      </c>
      <c r="Z3606" s="9">
        <v>74.862823794027804</v>
      </c>
      <c r="AA3606" s="9">
        <v>74.862823794027804</v>
      </c>
      <c r="AB3606" s="9">
        <v>84.552915727397561</v>
      </c>
      <c r="AC3606" s="9">
        <v>84.552915727397561</v>
      </c>
      <c r="AD3606" s="9">
        <v>94.492613932172858</v>
      </c>
      <c r="AE3606" s="9">
        <v>104.70687903549428</v>
      </c>
      <c r="AF3606" s="9">
        <v>115.51364337537625</v>
      </c>
      <c r="AG3606" s="9">
        <v>115.51364337537625</v>
      </c>
      <c r="AH3606" s="9">
        <v>127.68776106627702</v>
      </c>
      <c r="AI3606" s="9">
        <v>140.22732729914276</v>
      </c>
      <c r="AJ3606" s="9">
        <v>3.0428788910505911</v>
      </c>
    </row>
    <row r="3607" spans="1:36" x14ac:dyDescent="0.25">
      <c r="A3607" t="s">
        <v>5411</v>
      </c>
      <c r="B3607" t="s">
        <v>16</v>
      </c>
      <c r="C3607" t="s">
        <v>17</v>
      </c>
      <c r="D3607">
        <v>65294000</v>
      </c>
      <c r="E3607">
        <v>65294999</v>
      </c>
      <c r="F3607" t="s">
        <v>3265</v>
      </c>
      <c r="G3607" t="str">
        <f t="shared" si="112"/>
        <v>MAR</v>
      </c>
      <c r="H3607" t="s">
        <v>3213</v>
      </c>
      <c r="I3607" t="s">
        <v>20</v>
      </c>
      <c r="J3607" t="s">
        <v>77</v>
      </c>
      <c r="K3607" s="6">
        <v>0.03</v>
      </c>
      <c r="L3607" s="7">
        <f t="shared" si="113"/>
        <v>2E-3</v>
      </c>
      <c r="M3607" s="7">
        <v>3.0000000000000001E-3</v>
      </c>
      <c r="N3607">
        <v>17</v>
      </c>
      <c r="O3607" s="8">
        <v>32.902778340866817</v>
      </c>
      <c r="P3607" s="9">
        <v>32.902778340866817</v>
      </c>
      <c r="Q3607" s="9">
        <v>32.902778340866817</v>
      </c>
      <c r="R3607" s="9">
        <v>36.980915483174826</v>
      </c>
      <c r="S3607" s="9">
        <v>41.041764553716455</v>
      </c>
      <c r="T3607" s="9">
        <v>44.512516286159922</v>
      </c>
      <c r="U3607" s="9">
        <v>52.176281946965503</v>
      </c>
      <c r="V3607" s="9">
        <v>52.176281946965503</v>
      </c>
      <c r="W3607" s="9">
        <v>52.176281946965503</v>
      </c>
      <c r="X3607" s="9">
        <v>65.399646652844908</v>
      </c>
      <c r="Y3607" s="9">
        <v>65.399646652844908</v>
      </c>
      <c r="Z3607" s="9">
        <v>74.862823794027804</v>
      </c>
      <c r="AA3607" s="9">
        <v>74.862823794027804</v>
      </c>
      <c r="AB3607" s="9">
        <v>84.552915727397561</v>
      </c>
      <c r="AC3607" s="9">
        <v>84.552915727397561</v>
      </c>
      <c r="AD3607" s="9">
        <v>94.492613932172858</v>
      </c>
      <c r="AE3607" s="9">
        <v>104.70687903549428</v>
      </c>
      <c r="AF3607" s="9">
        <v>115.51364337537625</v>
      </c>
      <c r="AG3607" s="9">
        <v>115.51364337537625</v>
      </c>
      <c r="AH3607" s="9">
        <v>127.68776106627702</v>
      </c>
      <c r="AI3607" s="9">
        <v>140.22732729914276</v>
      </c>
      <c r="AJ3607" s="9">
        <v>3.0428788910505911</v>
      </c>
    </row>
    <row r="3608" spans="1:36" x14ac:dyDescent="0.25">
      <c r="A3608" t="s">
        <v>5411</v>
      </c>
      <c r="B3608" t="s">
        <v>16</v>
      </c>
      <c r="C3608" t="s">
        <v>17</v>
      </c>
      <c r="D3608">
        <v>65295000</v>
      </c>
      <c r="E3608">
        <v>65298999</v>
      </c>
      <c r="F3608" t="s">
        <v>3266</v>
      </c>
      <c r="G3608" t="str">
        <f t="shared" si="112"/>
        <v>MAR</v>
      </c>
      <c r="H3608" t="s">
        <v>3213</v>
      </c>
      <c r="I3608" t="s">
        <v>20</v>
      </c>
      <c r="J3608" t="s">
        <v>77</v>
      </c>
      <c r="K3608" s="6">
        <v>0.03</v>
      </c>
      <c r="L3608" s="7">
        <f t="shared" si="113"/>
        <v>2E-3</v>
      </c>
      <c r="M3608" s="7">
        <v>3.0000000000000001E-3</v>
      </c>
      <c r="N3608">
        <v>17</v>
      </c>
      <c r="O3608" s="8">
        <v>32.902778340866817</v>
      </c>
      <c r="P3608" s="9">
        <v>32.902778340866817</v>
      </c>
      <c r="Q3608" s="9">
        <v>32.902778340866817</v>
      </c>
      <c r="R3608" s="9">
        <v>36.980915483174826</v>
      </c>
      <c r="S3608" s="9">
        <v>41.041764553716455</v>
      </c>
      <c r="T3608" s="9">
        <v>44.512516286159922</v>
      </c>
      <c r="U3608" s="9">
        <v>52.176281946965503</v>
      </c>
      <c r="V3608" s="9">
        <v>52.176281946965503</v>
      </c>
      <c r="W3608" s="9">
        <v>52.176281946965503</v>
      </c>
      <c r="X3608" s="9">
        <v>65.399646652844908</v>
      </c>
      <c r="Y3608" s="9">
        <v>65.399646652844908</v>
      </c>
      <c r="Z3608" s="9">
        <v>74.862823794027804</v>
      </c>
      <c r="AA3608" s="9">
        <v>74.862823794027804</v>
      </c>
      <c r="AB3608" s="9">
        <v>84.552915727397561</v>
      </c>
      <c r="AC3608" s="9">
        <v>84.552915727397561</v>
      </c>
      <c r="AD3608" s="9">
        <v>94.492613932172858</v>
      </c>
      <c r="AE3608" s="9">
        <v>104.70687903549428</v>
      </c>
      <c r="AF3608" s="9">
        <v>115.51364337537625</v>
      </c>
      <c r="AG3608" s="9">
        <v>115.51364337537625</v>
      </c>
      <c r="AH3608" s="9">
        <v>127.68776106627702</v>
      </c>
      <c r="AI3608" s="9">
        <v>140.22732729914276</v>
      </c>
      <c r="AJ3608" s="9">
        <v>3.0428788910505911</v>
      </c>
    </row>
    <row r="3609" spans="1:36" x14ac:dyDescent="0.25">
      <c r="A3609" t="s">
        <v>5411</v>
      </c>
      <c r="B3609" t="s">
        <v>16</v>
      </c>
      <c r="C3609" t="s">
        <v>17</v>
      </c>
      <c r="D3609">
        <v>65299000</v>
      </c>
      <c r="E3609">
        <v>65299999</v>
      </c>
      <c r="F3609" t="s">
        <v>3267</v>
      </c>
      <c r="G3609" t="str">
        <f t="shared" si="112"/>
        <v>MAR</v>
      </c>
      <c r="H3609" t="s">
        <v>3213</v>
      </c>
      <c r="I3609" t="s">
        <v>20</v>
      </c>
      <c r="J3609" t="s">
        <v>77</v>
      </c>
      <c r="K3609" s="6">
        <v>0.03</v>
      </c>
      <c r="L3609" s="7">
        <f t="shared" si="113"/>
        <v>2E-3</v>
      </c>
      <c r="M3609" s="7">
        <v>3.0000000000000001E-3</v>
      </c>
      <c r="N3609">
        <v>17</v>
      </c>
      <c r="O3609" s="8">
        <v>32.902778340866817</v>
      </c>
      <c r="P3609" s="9">
        <v>32.902778340866817</v>
      </c>
      <c r="Q3609" s="9">
        <v>32.902778340866817</v>
      </c>
      <c r="R3609" s="9">
        <v>36.980915483174826</v>
      </c>
      <c r="S3609" s="9">
        <v>41.041764553716455</v>
      </c>
      <c r="T3609" s="9">
        <v>44.512516286159922</v>
      </c>
      <c r="U3609" s="9">
        <v>52.176281946965503</v>
      </c>
      <c r="V3609" s="9">
        <v>52.176281946965503</v>
      </c>
      <c r="W3609" s="9">
        <v>52.176281946965503</v>
      </c>
      <c r="X3609" s="9">
        <v>65.399646652844908</v>
      </c>
      <c r="Y3609" s="9">
        <v>65.399646652844908</v>
      </c>
      <c r="Z3609" s="9">
        <v>74.862823794027804</v>
      </c>
      <c r="AA3609" s="9">
        <v>74.862823794027804</v>
      </c>
      <c r="AB3609" s="9">
        <v>84.552915727397561</v>
      </c>
      <c r="AC3609" s="9">
        <v>84.552915727397561</v>
      </c>
      <c r="AD3609" s="9">
        <v>94.492613932172858</v>
      </c>
      <c r="AE3609" s="9">
        <v>104.70687903549428</v>
      </c>
      <c r="AF3609" s="9">
        <v>115.51364337537625</v>
      </c>
      <c r="AG3609" s="9">
        <v>115.51364337537625</v>
      </c>
      <c r="AH3609" s="9">
        <v>127.68776106627702</v>
      </c>
      <c r="AI3609" s="9">
        <v>140.22732729914276</v>
      </c>
      <c r="AJ3609" s="9">
        <v>3.0428788910505911</v>
      </c>
    </row>
    <row r="3610" spans="1:36" x14ac:dyDescent="0.25">
      <c r="A3610" t="s">
        <v>5411</v>
      </c>
      <c r="B3610" t="s">
        <v>16</v>
      </c>
      <c r="C3610" t="s">
        <v>17</v>
      </c>
      <c r="D3610">
        <v>65300000</v>
      </c>
      <c r="E3610">
        <v>65309999</v>
      </c>
      <c r="F3610" t="s">
        <v>1828</v>
      </c>
      <c r="G3610" t="str">
        <f t="shared" si="112"/>
        <v>MAI</v>
      </c>
      <c r="H3610" t="s">
        <v>3213</v>
      </c>
      <c r="I3610" t="s">
        <v>20</v>
      </c>
      <c r="J3610" t="s">
        <v>62</v>
      </c>
      <c r="K3610" s="6">
        <v>0.03</v>
      </c>
      <c r="L3610" s="7">
        <f t="shared" si="113"/>
        <v>2E-3</v>
      </c>
      <c r="M3610" s="7">
        <v>3.0000000000000001E-3</v>
      </c>
      <c r="N3610">
        <v>12</v>
      </c>
      <c r="O3610" s="8">
        <v>19.350325219569864</v>
      </c>
      <c r="P3610" s="9">
        <v>19.350325219569864</v>
      </c>
      <c r="Q3610" s="9">
        <v>19.350325219569864</v>
      </c>
      <c r="R3610" s="9">
        <v>21.236423757715794</v>
      </c>
      <c r="S3610" s="9">
        <v>23.412011215821156</v>
      </c>
      <c r="T3610" s="9">
        <v>26.602346057727168</v>
      </c>
      <c r="U3610" s="9">
        <v>32.175039039197578</v>
      </c>
      <c r="V3610" s="9">
        <v>32.175039039197578</v>
      </c>
      <c r="W3610" s="9">
        <v>32.175039039197578</v>
      </c>
      <c r="X3610" s="9">
        <v>38.477190222688968</v>
      </c>
      <c r="Y3610" s="9">
        <v>38.477190222688968</v>
      </c>
      <c r="Z3610" s="9">
        <v>46.072905764910679</v>
      </c>
      <c r="AA3610" s="9">
        <v>46.072905764910679</v>
      </c>
      <c r="AB3610" s="9">
        <v>52.857194265747438</v>
      </c>
      <c r="AC3610" s="9">
        <v>52.857194265747438</v>
      </c>
      <c r="AD3610" s="9">
        <v>60.075973585900336</v>
      </c>
      <c r="AE3610" s="9">
        <v>67.207660715359779</v>
      </c>
      <c r="AF3610" s="9">
        <v>74.765164496289444</v>
      </c>
      <c r="AG3610" s="9">
        <v>74.765164496289444</v>
      </c>
      <c r="AH3610" s="9">
        <v>82.787429668365718</v>
      </c>
      <c r="AI3610" s="9">
        <v>90.699158794373588</v>
      </c>
      <c r="AJ3610" s="9">
        <v>3.0428788910505911</v>
      </c>
    </row>
    <row r="3611" spans="1:36" x14ac:dyDescent="0.25">
      <c r="A3611" t="s">
        <v>5411</v>
      </c>
      <c r="B3611" t="s">
        <v>16</v>
      </c>
      <c r="C3611" t="s">
        <v>17</v>
      </c>
      <c r="D3611">
        <v>65310000</v>
      </c>
      <c r="E3611">
        <v>65314999</v>
      </c>
      <c r="F3611" t="s">
        <v>3268</v>
      </c>
      <c r="G3611" t="str">
        <f t="shared" si="112"/>
        <v>MAR</v>
      </c>
      <c r="H3611" t="s">
        <v>3213</v>
      </c>
      <c r="I3611" t="s">
        <v>20</v>
      </c>
      <c r="J3611" t="s">
        <v>77</v>
      </c>
      <c r="K3611" s="6">
        <v>0.03</v>
      </c>
      <c r="L3611" s="7">
        <f t="shared" si="113"/>
        <v>2E-3</v>
      </c>
      <c r="M3611" s="7">
        <v>3.0000000000000001E-3</v>
      </c>
      <c r="N3611">
        <v>17</v>
      </c>
      <c r="O3611" s="8">
        <v>32.902778340866817</v>
      </c>
      <c r="P3611" s="9">
        <v>32.902778340866817</v>
      </c>
      <c r="Q3611" s="9">
        <v>32.902778340866817</v>
      </c>
      <c r="R3611" s="9">
        <v>36.980915483174826</v>
      </c>
      <c r="S3611" s="9">
        <v>41.041764553716455</v>
      </c>
      <c r="T3611" s="9">
        <v>44.512516286159922</v>
      </c>
      <c r="U3611" s="9">
        <v>52.176281946965503</v>
      </c>
      <c r="V3611" s="9">
        <v>52.176281946965503</v>
      </c>
      <c r="W3611" s="9">
        <v>52.176281946965503</v>
      </c>
      <c r="X3611" s="9">
        <v>65.399646652844908</v>
      </c>
      <c r="Y3611" s="9">
        <v>65.399646652844908</v>
      </c>
      <c r="Z3611" s="9">
        <v>74.862823794027804</v>
      </c>
      <c r="AA3611" s="9">
        <v>74.862823794027804</v>
      </c>
      <c r="AB3611" s="9">
        <v>84.552915727397561</v>
      </c>
      <c r="AC3611" s="9">
        <v>84.552915727397561</v>
      </c>
      <c r="AD3611" s="9">
        <v>94.492613932172858</v>
      </c>
      <c r="AE3611" s="9">
        <v>104.70687903549428</v>
      </c>
      <c r="AF3611" s="9">
        <v>115.51364337537625</v>
      </c>
      <c r="AG3611" s="9">
        <v>115.51364337537625</v>
      </c>
      <c r="AH3611" s="9">
        <v>127.68776106627702</v>
      </c>
      <c r="AI3611" s="9">
        <v>140.22732729914276</v>
      </c>
      <c r="AJ3611" s="9">
        <v>3.0428788910505911</v>
      </c>
    </row>
    <row r="3612" spans="1:36" x14ac:dyDescent="0.25">
      <c r="A3612" t="s">
        <v>5411</v>
      </c>
      <c r="B3612" t="s">
        <v>16</v>
      </c>
      <c r="C3612" t="s">
        <v>17</v>
      </c>
      <c r="D3612">
        <v>65315000</v>
      </c>
      <c r="E3612">
        <v>65319999</v>
      </c>
      <c r="F3612" t="s">
        <v>3269</v>
      </c>
      <c r="G3612" t="str">
        <f t="shared" si="112"/>
        <v>MAR</v>
      </c>
      <c r="H3612" t="s">
        <v>3213</v>
      </c>
      <c r="I3612" t="s">
        <v>20</v>
      </c>
      <c r="J3612" t="s">
        <v>77</v>
      </c>
      <c r="K3612" s="6">
        <v>0.03</v>
      </c>
      <c r="L3612" s="7">
        <f t="shared" si="113"/>
        <v>2E-3</v>
      </c>
      <c r="M3612" s="7">
        <v>3.0000000000000001E-3</v>
      </c>
      <c r="N3612">
        <v>17</v>
      </c>
      <c r="O3612" s="8">
        <v>32.902778340866817</v>
      </c>
      <c r="P3612" s="9">
        <v>32.902778340866817</v>
      </c>
      <c r="Q3612" s="9">
        <v>32.902778340866817</v>
      </c>
      <c r="R3612" s="9">
        <v>36.980915483174826</v>
      </c>
      <c r="S3612" s="9">
        <v>41.041764553716455</v>
      </c>
      <c r="T3612" s="9">
        <v>44.512516286159922</v>
      </c>
      <c r="U3612" s="9">
        <v>52.176281946965503</v>
      </c>
      <c r="V3612" s="9">
        <v>52.176281946965503</v>
      </c>
      <c r="W3612" s="9">
        <v>52.176281946965503</v>
      </c>
      <c r="X3612" s="9">
        <v>65.399646652844908</v>
      </c>
      <c r="Y3612" s="9">
        <v>65.399646652844908</v>
      </c>
      <c r="Z3612" s="9">
        <v>74.862823794027804</v>
      </c>
      <c r="AA3612" s="9">
        <v>74.862823794027804</v>
      </c>
      <c r="AB3612" s="9">
        <v>84.552915727397561</v>
      </c>
      <c r="AC3612" s="9">
        <v>84.552915727397561</v>
      </c>
      <c r="AD3612" s="9">
        <v>94.492613932172858</v>
      </c>
      <c r="AE3612" s="9">
        <v>104.70687903549428</v>
      </c>
      <c r="AF3612" s="9">
        <v>115.51364337537625</v>
      </c>
      <c r="AG3612" s="9">
        <v>115.51364337537625</v>
      </c>
      <c r="AH3612" s="9">
        <v>127.68776106627702</v>
      </c>
      <c r="AI3612" s="9">
        <v>140.22732729914276</v>
      </c>
      <c r="AJ3612" s="9">
        <v>3.0428788910505911</v>
      </c>
    </row>
    <row r="3613" spans="1:36" x14ac:dyDescent="0.25">
      <c r="A3613" t="s">
        <v>5411</v>
      </c>
      <c r="B3613" t="s">
        <v>16</v>
      </c>
      <c r="C3613" t="s">
        <v>17</v>
      </c>
      <c r="D3613">
        <v>65320000</v>
      </c>
      <c r="E3613">
        <v>65334999</v>
      </c>
      <c r="F3613" t="s">
        <v>3270</v>
      </c>
      <c r="G3613" t="str">
        <f t="shared" si="112"/>
        <v>MAR</v>
      </c>
      <c r="H3613" t="s">
        <v>3213</v>
      </c>
      <c r="I3613" t="s">
        <v>20</v>
      </c>
      <c r="J3613" t="s">
        <v>77</v>
      </c>
      <c r="K3613" s="6">
        <v>0.03</v>
      </c>
      <c r="L3613" s="7">
        <f t="shared" si="113"/>
        <v>2E-3</v>
      </c>
      <c r="M3613" s="7">
        <v>3.0000000000000001E-3</v>
      </c>
      <c r="N3613">
        <v>17</v>
      </c>
      <c r="O3613" s="8">
        <v>32.902778340866817</v>
      </c>
      <c r="P3613" s="9">
        <v>32.902778340866817</v>
      </c>
      <c r="Q3613" s="9">
        <v>32.902778340866817</v>
      </c>
      <c r="R3613" s="9">
        <v>36.980915483174826</v>
      </c>
      <c r="S3613" s="9">
        <v>41.041764553716455</v>
      </c>
      <c r="T3613" s="9">
        <v>44.512516286159922</v>
      </c>
      <c r="U3613" s="9">
        <v>52.176281946965503</v>
      </c>
      <c r="V3613" s="9">
        <v>52.176281946965503</v>
      </c>
      <c r="W3613" s="9">
        <v>52.176281946965503</v>
      </c>
      <c r="X3613" s="9">
        <v>65.399646652844908</v>
      </c>
      <c r="Y3613" s="9">
        <v>65.399646652844908</v>
      </c>
      <c r="Z3613" s="9">
        <v>74.862823794027804</v>
      </c>
      <c r="AA3613" s="9">
        <v>74.862823794027804</v>
      </c>
      <c r="AB3613" s="9">
        <v>84.552915727397561</v>
      </c>
      <c r="AC3613" s="9">
        <v>84.552915727397561</v>
      </c>
      <c r="AD3613" s="9">
        <v>94.492613932172858</v>
      </c>
      <c r="AE3613" s="9">
        <v>104.70687903549428</v>
      </c>
      <c r="AF3613" s="9">
        <v>115.51364337537625</v>
      </c>
      <c r="AG3613" s="9">
        <v>115.51364337537625</v>
      </c>
      <c r="AH3613" s="9">
        <v>127.68776106627702</v>
      </c>
      <c r="AI3613" s="9">
        <v>140.22732729914276</v>
      </c>
      <c r="AJ3613" s="9">
        <v>3.0428788910505911</v>
      </c>
    </row>
    <row r="3614" spans="1:36" x14ac:dyDescent="0.25">
      <c r="A3614" t="s">
        <v>5411</v>
      </c>
      <c r="B3614" t="s">
        <v>16</v>
      </c>
      <c r="C3614" t="s">
        <v>17</v>
      </c>
      <c r="D3614">
        <v>65335000</v>
      </c>
      <c r="E3614">
        <v>65339999</v>
      </c>
      <c r="F3614" t="s">
        <v>3271</v>
      </c>
      <c r="G3614" t="str">
        <f t="shared" si="112"/>
        <v>MAR</v>
      </c>
      <c r="H3614" t="s">
        <v>3213</v>
      </c>
      <c r="I3614" t="s">
        <v>20</v>
      </c>
      <c r="J3614" t="s">
        <v>77</v>
      </c>
      <c r="K3614" s="6">
        <v>0.03</v>
      </c>
      <c r="L3614" s="7">
        <f t="shared" si="113"/>
        <v>2E-3</v>
      </c>
      <c r="M3614" s="7">
        <v>3.0000000000000001E-3</v>
      </c>
      <c r="N3614">
        <v>17</v>
      </c>
      <c r="O3614" s="8">
        <v>32.902778340866817</v>
      </c>
      <c r="P3614" s="9">
        <v>32.902778340866817</v>
      </c>
      <c r="Q3614" s="9">
        <v>32.902778340866817</v>
      </c>
      <c r="R3614" s="9">
        <v>36.980915483174826</v>
      </c>
      <c r="S3614" s="9">
        <v>41.041764553716455</v>
      </c>
      <c r="T3614" s="9">
        <v>44.512516286159922</v>
      </c>
      <c r="U3614" s="9">
        <v>52.176281946965503</v>
      </c>
      <c r="V3614" s="9">
        <v>52.176281946965503</v>
      </c>
      <c r="W3614" s="9">
        <v>52.176281946965503</v>
      </c>
      <c r="X3614" s="9">
        <v>65.399646652844908</v>
      </c>
      <c r="Y3614" s="9">
        <v>65.399646652844908</v>
      </c>
      <c r="Z3614" s="9">
        <v>74.862823794027804</v>
      </c>
      <c r="AA3614" s="9">
        <v>74.862823794027804</v>
      </c>
      <c r="AB3614" s="9">
        <v>84.552915727397561</v>
      </c>
      <c r="AC3614" s="9">
        <v>84.552915727397561</v>
      </c>
      <c r="AD3614" s="9">
        <v>94.492613932172858</v>
      </c>
      <c r="AE3614" s="9">
        <v>104.70687903549428</v>
      </c>
      <c r="AF3614" s="9">
        <v>115.51364337537625</v>
      </c>
      <c r="AG3614" s="9">
        <v>115.51364337537625</v>
      </c>
      <c r="AH3614" s="9">
        <v>127.68776106627702</v>
      </c>
      <c r="AI3614" s="9">
        <v>140.22732729914276</v>
      </c>
      <c r="AJ3614" s="9">
        <v>3.0428788910505911</v>
      </c>
    </row>
    <row r="3615" spans="1:36" x14ac:dyDescent="0.25">
      <c r="A3615" t="s">
        <v>5411</v>
      </c>
      <c r="B3615" t="s">
        <v>16</v>
      </c>
      <c r="C3615" t="s">
        <v>17</v>
      </c>
      <c r="D3615">
        <v>65340000</v>
      </c>
      <c r="E3615">
        <v>65344999</v>
      </c>
      <c r="F3615" t="s">
        <v>3272</v>
      </c>
      <c r="G3615" t="str">
        <f t="shared" si="112"/>
        <v>MAR</v>
      </c>
      <c r="H3615" t="s">
        <v>3213</v>
      </c>
      <c r="I3615" t="s">
        <v>20</v>
      </c>
      <c r="J3615" t="s">
        <v>77</v>
      </c>
      <c r="K3615" s="6">
        <v>0.03</v>
      </c>
      <c r="L3615" s="7">
        <f t="shared" si="113"/>
        <v>2E-3</v>
      </c>
      <c r="M3615" s="7">
        <v>3.0000000000000001E-3</v>
      </c>
      <c r="N3615">
        <v>17</v>
      </c>
      <c r="O3615" s="8">
        <v>32.902778340866817</v>
      </c>
      <c r="P3615" s="9">
        <v>32.902778340866817</v>
      </c>
      <c r="Q3615" s="9">
        <v>32.902778340866817</v>
      </c>
      <c r="R3615" s="9">
        <v>36.980915483174826</v>
      </c>
      <c r="S3615" s="9">
        <v>41.041764553716455</v>
      </c>
      <c r="T3615" s="9">
        <v>44.512516286159922</v>
      </c>
      <c r="U3615" s="9">
        <v>52.176281946965503</v>
      </c>
      <c r="V3615" s="9">
        <v>52.176281946965503</v>
      </c>
      <c r="W3615" s="9">
        <v>52.176281946965503</v>
      </c>
      <c r="X3615" s="9">
        <v>65.399646652844908</v>
      </c>
      <c r="Y3615" s="9">
        <v>65.399646652844908</v>
      </c>
      <c r="Z3615" s="9">
        <v>74.862823794027804</v>
      </c>
      <c r="AA3615" s="9">
        <v>74.862823794027804</v>
      </c>
      <c r="AB3615" s="9">
        <v>84.552915727397561</v>
      </c>
      <c r="AC3615" s="9">
        <v>84.552915727397561</v>
      </c>
      <c r="AD3615" s="9">
        <v>94.492613932172858</v>
      </c>
      <c r="AE3615" s="9">
        <v>104.70687903549428</v>
      </c>
      <c r="AF3615" s="9">
        <v>115.51364337537625</v>
      </c>
      <c r="AG3615" s="9">
        <v>115.51364337537625</v>
      </c>
      <c r="AH3615" s="9">
        <v>127.68776106627702</v>
      </c>
      <c r="AI3615" s="9">
        <v>140.22732729914276</v>
      </c>
      <c r="AJ3615" s="9">
        <v>3.0428788910505911</v>
      </c>
    </row>
    <row r="3616" spans="1:36" x14ac:dyDescent="0.25">
      <c r="A3616" t="s">
        <v>5411</v>
      </c>
      <c r="B3616" t="s">
        <v>16</v>
      </c>
      <c r="C3616" t="s">
        <v>17</v>
      </c>
      <c r="D3616">
        <v>65345000</v>
      </c>
      <c r="E3616">
        <v>65349999</v>
      </c>
      <c r="F3616" t="s">
        <v>3273</v>
      </c>
      <c r="G3616" t="str">
        <f t="shared" si="112"/>
        <v>MAR</v>
      </c>
      <c r="H3616" t="s">
        <v>3213</v>
      </c>
      <c r="I3616" t="s">
        <v>20</v>
      </c>
      <c r="J3616" t="s">
        <v>77</v>
      </c>
      <c r="K3616" s="6">
        <v>0.03</v>
      </c>
      <c r="L3616" s="7">
        <f t="shared" si="113"/>
        <v>2E-3</v>
      </c>
      <c r="M3616" s="7">
        <v>3.0000000000000001E-3</v>
      </c>
      <c r="N3616">
        <v>17</v>
      </c>
      <c r="O3616" s="8">
        <v>32.902778340866817</v>
      </c>
      <c r="P3616" s="9">
        <v>32.902778340866817</v>
      </c>
      <c r="Q3616" s="9">
        <v>32.902778340866817</v>
      </c>
      <c r="R3616" s="9">
        <v>36.980915483174826</v>
      </c>
      <c r="S3616" s="9">
        <v>41.041764553716455</v>
      </c>
      <c r="T3616" s="9">
        <v>44.512516286159922</v>
      </c>
      <c r="U3616" s="9">
        <v>52.176281946965503</v>
      </c>
      <c r="V3616" s="9">
        <v>52.176281946965503</v>
      </c>
      <c r="W3616" s="9">
        <v>52.176281946965503</v>
      </c>
      <c r="X3616" s="9">
        <v>65.399646652844908</v>
      </c>
      <c r="Y3616" s="9">
        <v>65.399646652844908</v>
      </c>
      <c r="Z3616" s="9">
        <v>74.862823794027804</v>
      </c>
      <c r="AA3616" s="9">
        <v>74.862823794027804</v>
      </c>
      <c r="AB3616" s="9">
        <v>84.552915727397561</v>
      </c>
      <c r="AC3616" s="9">
        <v>84.552915727397561</v>
      </c>
      <c r="AD3616" s="9">
        <v>94.492613932172858</v>
      </c>
      <c r="AE3616" s="9">
        <v>104.70687903549428</v>
      </c>
      <c r="AF3616" s="9">
        <v>115.51364337537625</v>
      </c>
      <c r="AG3616" s="9">
        <v>115.51364337537625</v>
      </c>
      <c r="AH3616" s="9">
        <v>127.68776106627702</v>
      </c>
      <c r="AI3616" s="9">
        <v>140.22732729914276</v>
      </c>
      <c r="AJ3616" s="9">
        <v>3.0428788910505911</v>
      </c>
    </row>
    <row r="3617" spans="1:36" x14ac:dyDescent="0.25">
      <c r="A3617" t="s">
        <v>5411</v>
      </c>
      <c r="B3617" t="s">
        <v>16</v>
      </c>
      <c r="C3617" t="s">
        <v>17</v>
      </c>
      <c r="D3617">
        <v>65350000</v>
      </c>
      <c r="E3617">
        <v>65359999</v>
      </c>
      <c r="F3617" t="s">
        <v>3274</v>
      </c>
      <c r="G3617" t="str">
        <f t="shared" si="112"/>
        <v>MAR</v>
      </c>
      <c r="H3617" t="s">
        <v>3213</v>
      </c>
      <c r="I3617" t="s">
        <v>20</v>
      </c>
      <c r="J3617" t="s">
        <v>77</v>
      </c>
      <c r="K3617" s="6">
        <v>0.03</v>
      </c>
      <c r="L3617" s="7">
        <f t="shared" si="113"/>
        <v>2E-3</v>
      </c>
      <c r="M3617" s="7">
        <v>3.0000000000000001E-3</v>
      </c>
      <c r="N3617">
        <v>17</v>
      </c>
      <c r="O3617" s="8">
        <v>32.902778340866817</v>
      </c>
      <c r="P3617" s="9">
        <v>32.902778340866817</v>
      </c>
      <c r="Q3617" s="9">
        <v>32.902778340866817</v>
      </c>
      <c r="R3617" s="9">
        <v>36.980915483174826</v>
      </c>
      <c r="S3617" s="9">
        <v>41.041764553716455</v>
      </c>
      <c r="T3617" s="9">
        <v>44.512516286159922</v>
      </c>
      <c r="U3617" s="9">
        <v>52.176281946965503</v>
      </c>
      <c r="V3617" s="9">
        <v>52.176281946965503</v>
      </c>
      <c r="W3617" s="9">
        <v>52.176281946965503</v>
      </c>
      <c r="X3617" s="9">
        <v>65.399646652844908</v>
      </c>
      <c r="Y3617" s="9">
        <v>65.399646652844908</v>
      </c>
      <c r="Z3617" s="9">
        <v>74.862823794027804</v>
      </c>
      <c r="AA3617" s="9">
        <v>74.862823794027804</v>
      </c>
      <c r="AB3617" s="9">
        <v>84.552915727397561</v>
      </c>
      <c r="AC3617" s="9">
        <v>84.552915727397561</v>
      </c>
      <c r="AD3617" s="9">
        <v>94.492613932172858</v>
      </c>
      <c r="AE3617" s="9">
        <v>104.70687903549428</v>
      </c>
      <c r="AF3617" s="9">
        <v>115.51364337537625</v>
      </c>
      <c r="AG3617" s="9">
        <v>115.51364337537625</v>
      </c>
      <c r="AH3617" s="9">
        <v>127.68776106627702</v>
      </c>
      <c r="AI3617" s="9">
        <v>140.22732729914276</v>
      </c>
      <c r="AJ3617" s="9">
        <v>3.0428788910505911</v>
      </c>
    </row>
    <row r="3618" spans="1:36" x14ac:dyDescent="0.25">
      <c r="A3618" t="s">
        <v>5411</v>
      </c>
      <c r="B3618" t="s">
        <v>16</v>
      </c>
      <c r="C3618" t="s">
        <v>17</v>
      </c>
      <c r="D3618">
        <v>65360000</v>
      </c>
      <c r="E3618">
        <v>65362999</v>
      </c>
      <c r="F3618" t="s">
        <v>3275</v>
      </c>
      <c r="G3618" t="str">
        <f t="shared" si="112"/>
        <v>MAR</v>
      </c>
      <c r="H3618" t="s">
        <v>3213</v>
      </c>
      <c r="I3618" t="s">
        <v>20</v>
      </c>
      <c r="J3618" t="s">
        <v>77</v>
      </c>
      <c r="K3618" s="6">
        <v>0.03</v>
      </c>
      <c r="L3618" s="7">
        <f t="shared" si="113"/>
        <v>2E-3</v>
      </c>
      <c r="M3618" s="7">
        <v>3.0000000000000001E-3</v>
      </c>
      <c r="N3618">
        <v>17</v>
      </c>
      <c r="O3618" s="8">
        <v>32.902778340866817</v>
      </c>
      <c r="P3618" s="9">
        <v>32.902778340866817</v>
      </c>
      <c r="Q3618" s="9">
        <v>32.902778340866817</v>
      </c>
      <c r="R3618" s="9">
        <v>36.980915483174826</v>
      </c>
      <c r="S3618" s="9">
        <v>41.041764553716455</v>
      </c>
      <c r="T3618" s="9">
        <v>44.512516286159922</v>
      </c>
      <c r="U3618" s="9">
        <v>52.176281946965503</v>
      </c>
      <c r="V3618" s="9">
        <v>52.176281946965503</v>
      </c>
      <c r="W3618" s="9">
        <v>52.176281946965503</v>
      </c>
      <c r="X3618" s="9">
        <v>65.399646652844908</v>
      </c>
      <c r="Y3618" s="9">
        <v>65.399646652844908</v>
      </c>
      <c r="Z3618" s="9">
        <v>74.862823794027804</v>
      </c>
      <c r="AA3618" s="9">
        <v>74.862823794027804</v>
      </c>
      <c r="AB3618" s="9">
        <v>84.552915727397561</v>
      </c>
      <c r="AC3618" s="9">
        <v>84.552915727397561</v>
      </c>
      <c r="AD3618" s="9">
        <v>94.492613932172858</v>
      </c>
      <c r="AE3618" s="9">
        <v>104.70687903549428</v>
      </c>
      <c r="AF3618" s="9">
        <v>115.51364337537625</v>
      </c>
      <c r="AG3618" s="9">
        <v>115.51364337537625</v>
      </c>
      <c r="AH3618" s="9">
        <v>127.68776106627702</v>
      </c>
      <c r="AI3618" s="9">
        <v>140.22732729914276</v>
      </c>
      <c r="AJ3618" s="9">
        <v>3.0428788910505911</v>
      </c>
    </row>
    <row r="3619" spans="1:36" x14ac:dyDescent="0.25">
      <c r="A3619" t="s">
        <v>5411</v>
      </c>
      <c r="B3619" t="s">
        <v>16</v>
      </c>
      <c r="C3619" t="s">
        <v>17</v>
      </c>
      <c r="D3619">
        <v>65363000</v>
      </c>
      <c r="E3619">
        <v>65364999</v>
      </c>
      <c r="F3619" t="s">
        <v>3276</v>
      </c>
      <c r="G3619" t="str">
        <f t="shared" si="112"/>
        <v>MAR</v>
      </c>
      <c r="H3619" t="s">
        <v>3213</v>
      </c>
      <c r="I3619" t="s">
        <v>20</v>
      </c>
      <c r="J3619" t="s">
        <v>77</v>
      </c>
      <c r="K3619" s="6">
        <v>0.03</v>
      </c>
      <c r="L3619" s="7">
        <f t="shared" si="113"/>
        <v>2E-3</v>
      </c>
      <c r="M3619" s="7">
        <v>3.0000000000000001E-3</v>
      </c>
      <c r="N3619">
        <v>17</v>
      </c>
      <c r="O3619" s="8">
        <v>32.902778340866817</v>
      </c>
      <c r="P3619" s="9">
        <v>32.902778340866817</v>
      </c>
      <c r="Q3619" s="9">
        <v>32.902778340866817</v>
      </c>
      <c r="R3619" s="9">
        <v>36.980915483174826</v>
      </c>
      <c r="S3619" s="9">
        <v>41.041764553716455</v>
      </c>
      <c r="T3619" s="9">
        <v>44.512516286159922</v>
      </c>
      <c r="U3619" s="9">
        <v>52.176281946965503</v>
      </c>
      <c r="V3619" s="9">
        <v>52.176281946965503</v>
      </c>
      <c r="W3619" s="9">
        <v>52.176281946965503</v>
      </c>
      <c r="X3619" s="9">
        <v>65.399646652844908</v>
      </c>
      <c r="Y3619" s="9">
        <v>65.399646652844908</v>
      </c>
      <c r="Z3619" s="9">
        <v>74.862823794027804</v>
      </c>
      <c r="AA3619" s="9">
        <v>74.862823794027804</v>
      </c>
      <c r="AB3619" s="9">
        <v>84.552915727397561</v>
      </c>
      <c r="AC3619" s="9">
        <v>84.552915727397561</v>
      </c>
      <c r="AD3619" s="9">
        <v>94.492613932172858</v>
      </c>
      <c r="AE3619" s="9">
        <v>104.70687903549428</v>
      </c>
      <c r="AF3619" s="9">
        <v>115.51364337537625</v>
      </c>
      <c r="AG3619" s="9">
        <v>115.51364337537625</v>
      </c>
      <c r="AH3619" s="9">
        <v>127.68776106627702</v>
      </c>
      <c r="AI3619" s="9">
        <v>140.22732729914276</v>
      </c>
      <c r="AJ3619" s="9">
        <v>3.0428788910505911</v>
      </c>
    </row>
    <row r="3620" spans="1:36" x14ac:dyDescent="0.25">
      <c r="A3620" t="s">
        <v>5411</v>
      </c>
      <c r="B3620" t="s">
        <v>16</v>
      </c>
      <c r="C3620" t="s">
        <v>17</v>
      </c>
      <c r="D3620">
        <v>65365000</v>
      </c>
      <c r="E3620">
        <v>65367999</v>
      </c>
      <c r="F3620" t="s">
        <v>3277</v>
      </c>
      <c r="G3620" t="str">
        <f t="shared" si="112"/>
        <v>MAI</v>
      </c>
      <c r="H3620" t="s">
        <v>3213</v>
      </c>
      <c r="I3620" t="s">
        <v>20</v>
      </c>
      <c r="J3620" t="s">
        <v>62</v>
      </c>
      <c r="K3620" s="6">
        <v>0.03</v>
      </c>
      <c r="L3620" s="7">
        <f t="shared" si="113"/>
        <v>2E-3</v>
      </c>
      <c r="M3620" s="7">
        <v>3.0000000000000001E-3</v>
      </c>
      <c r="N3620">
        <v>12</v>
      </c>
      <c r="O3620" s="8">
        <v>19.350325219569864</v>
      </c>
      <c r="P3620" s="9">
        <v>19.350325219569864</v>
      </c>
      <c r="Q3620" s="9">
        <v>19.350325219569864</v>
      </c>
      <c r="R3620" s="9">
        <v>21.236423757715794</v>
      </c>
      <c r="S3620" s="9">
        <v>23.412011215821156</v>
      </c>
      <c r="T3620" s="9">
        <v>26.602346057727168</v>
      </c>
      <c r="U3620" s="9">
        <v>32.175039039197578</v>
      </c>
      <c r="V3620" s="9">
        <v>32.175039039197578</v>
      </c>
      <c r="W3620" s="9">
        <v>32.175039039197578</v>
      </c>
      <c r="X3620" s="9">
        <v>38.477190222688968</v>
      </c>
      <c r="Y3620" s="9">
        <v>38.477190222688968</v>
      </c>
      <c r="Z3620" s="9">
        <v>46.072905764910679</v>
      </c>
      <c r="AA3620" s="9">
        <v>46.072905764910679</v>
      </c>
      <c r="AB3620" s="9">
        <v>52.857194265747438</v>
      </c>
      <c r="AC3620" s="9">
        <v>52.857194265747438</v>
      </c>
      <c r="AD3620" s="9">
        <v>60.075973585900336</v>
      </c>
      <c r="AE3620" s="9">
        <v>67.207660715359779</v>
      </c>
      <c r="AF3620" s="9">
        <v>74.765164496289444</v>
      </c>
      <c r="AG3620" s="9">
        <v>74.765164496289444</v>
      </c>
      <c r="AH3620" s="9">
        <v>82.787429668365718</v>
      </c>
      <c r="AI3620" s="9">
        <v>90.699158794373588</v>
      </c>
      <c r="AJ3620" s="9">
        <v>3.0428788910505911</v>
      </c>
    </row>
    <row r="3621" spans="1:36" x14ac:dyDescent="0.25">
      <c r="A3621" t="s">
        <v>5411</v>
      </c>
      <c r="B3621" t="s">
        <v>16</v>
      </c>
      <c r="C3621" t="s">
        <v>17</v>
      </c>
      <c r="D3621">
        <v>65368000</v>
      </c>
      <c r="E3621">
        <v>65369999</v>
      </c>
      <c r="F3621" t="s">
        <v>3278</v>
      </c>
      <c r="G3621" t="str">
        <f t="shared" si="112"/>
        <v>MAR</v>
      </c>
      <c r="H3621" t="s">
        <v>3213</v>
      </c>
      <c r="I3621" t="s">
        <v>20</v>
      </c>
      <c r="J3621" t="s">
        <v>77</v>
      </c>
      <c r="K3621" s="6">
        <v>0.03</v>
      </c>
      <c r="L3621" s="7">
        <f t="shared" si="113"/>
        <v>2E-3</v>
      </c>
      <c r="M3621" s="7">
        <v>3.0000000000000001E-3</v>
      </c>
      <c r="N3621">
        <v>17</v>
      </c>
      <c r="O3621" s="8">
        <v>32.902778340866817</v>
      </c>
      <c r="P3621" s="9">
        <v>32.902778340866817</v>
      </c>
      <c r="Q3621" s="9">
        <v>32.902778340866817</v>
      </c>
      <c r="R3621" s="9">
        <v>36.980915483174826</v>
      </c>
      <c r="S3621" s="9">
        <v>41.041764553716455</v>
      </c>
      <c r="T3621" s="9">
        <v>44.512516286159922</v>
      </c>
      <c r="U3621" s="9">
        <v>52.176281946965503</v>
      </c>
      <c r="V3621" s="9">
        <v>52.176281946965503</v>
      </c>
      <c r="W3621" s="9">
        <v>52.176281946965503</v>
      </c>
      <c r="X3621" s="9">
        <v>65.399646652844908</v>
      </c>
      <c r="Y3621" s="9">
        <v>65.399646652844908</v>
      </c>
      <c r="Z3621" s="9">
        <v>74.862823794027804</v>
      </c>
      <c r="AA3621" s="9">
        <v>74.862823794027804</v>
      </c>
      <c r="AB3621" s="9">
        <v>84.552915727397561</v>
      </c>
      <c r="AC3621" s="9">
        <v>84.552915727397561</v>
      </c>
      <c r="AD3621" s="9">
        <v>94.492613932172858</v>
      </c>
      <c r="AE3621" s="9">
        <v>104.70687903549428</v>
      </c>
      <c r="AF3621" s="9">
        <v>115.51364337537625</v>
      </c>
      <c r="AG3621" s="9">
        <v>115.51364337537625</v>
      </c>
      <c r="AH3621" s="9">
        <v>127.68776106627702</v>
      </c>
      <c r="AI3621" s="9">
        <v>140.22732729914276</v>
      </c>
      <c r="AJ3621" s="9">
        <v>3.0428788910505911</v>
      </c>
    </row>
    <row r="3622" spans="1:36" x14ac:dyDescent="0.25">
      <c r="A3622" t="s">
        <v>5411</v>
      </c>
      <c r="B3622" t="s">
        <v>16</v>
      </c>
      <c r="C3622" t="s">
        <v>17</v>
      </c>
      <c r="D3622">
        <v>65370000</v>
      </c>
      <c r="E3622">
        <v>65377999</v>
      </c>
      <c r="F3622" t="s">
        <v>3279</v>
      </c>
      <c r="G3622" t="str">
        <f t="shared" si="112"/>
        <v>MAI</v>
      </c>
      <c r="H3622" t="s">
        <v>3213</v>
      </c>
      <c r="I3622" t="s">
        <v>20</v>
      </c>
      <c r="J3622" t="s">
        <v>62</v>
      </c>
      <c r="K3622" s="6">
        <v>0.03</v>
      </c>
      <c r="L3622" s="7">
        <f t="shared" si="113"/>
        <v>2E-3</v>
      </c>
      <c r="M3622" s="7">
        <v>3.0000000000000001E-3</v>
      </c>
      <c r="N3622">
        <v>12</v>
      </c>
      <c r="O3622" s="8">
        <v>19.350325219569864</v>
      </c>
      <c r="P3622" s="9">
        <v>19.350325219569864</v>
      </c>
      <c r="Q3622" s="9">
        <v>19.350325219569864</v>
      </c>
      <c r="R3622" s="9">
        <v>21.236423757715794</v>
      </c>
      <c r="S3622" s="9">
        <v>23.412011215821156</v>
      </c>
      <c r="T3622" s="9">
        <v>26.602346057727168</v>
      </c>
      <c r="U3622" s="9">
        <v>32.175039039197578</v>
      </c>
      <c r="V3622" s="9">
        <v>32.175039039197578</v>
      </c>
      <c r="W3622" s="9">
        <v>32.175039039197578</v>
      </c>
      <c r="X3622" s="9">
        <v>38.477190222688968</v>
      </c>
      <c r="Y3622" s="9">
        <v>38.477190222688968</v>
      </c>
      <c r="Z3622" s="9">
        <v>46.072905764910679</v>
      </c>
      <c r="AA3622" s="9">
        <v>46.072905764910679</v>
      </c>
      <c r="AB3622" s="9">
        <v>52.857194265747438</v>
      </c>
      <c r="AC3622" s="9">
        <v>52.857194265747438</v>
      </c>
      <c r="AD3622" s="9">
        <v>60.075973585900336</v>
      </c>
      <c r="AE3622" s="9">
        <v>67.207660715359779</v>
      </c>
      <c r="AF3622" s="9">
        <v>74.765164496289444</v>
      </c>
      <c r="AG3622" s="9">
        <v>74.765164496289444</v>
      </c>
      <c r="AH3622" s="9">
        <v>82.787429668365718</v>
      </c>
      <c r="AI3622" s="9">
        <v>90.699158794373588</v>
      </c>
      <c r="AJ3622" s="9">
        <v>3.0428788910505911</v>
      </c>
    </row>
    <row r="3623" spans="1:36" x14ac:dyDescent="0.25">
      <c r="A3623" t="s">
        <v>5411</v>
      </c>
      <c r="B3623" t="s">
        <v>16</v>
      </c>
      <c r="C3623" t="s">
        <v>17</v>
      </c>
      <c r="D3623">
        <v>65378000</v>
      </c>
      <c r="E3623">
        <v>65379999</v>
      </c>
      <c r="F3623" t="s">
        <v>3280</v>
      </c>
      <c r="G3623" t="str">
        <f t="shared" si="112"/>
        <v>MAR</v>
      </c>
      <c r="H3623" t="s">
        <v>3213</v>
      </c>
      <c r="I3623" t="s">
        <v>20</v>
      </c>
      <c r="J3623" t="s">
        <v>77</v>
      </c>
      <c r="K3623" s="6">
        <v>0.03</v>
      </c>
      <c r="L3623" s="7">
        <f t="shared" si="113"/>
        <v>2E-3</v>
      </c>
      <c r="M3623" s="7">
        <v>3.0000000000000001E-3</v>
      </c>
      <c r="N3623">
        <v>17</v>
      </c>
      <c r="O3623" s="8">
        <v>32.902778340866817</v>
      </c>
      <c r="P3623" s="9">
        <v>32.902778340866817</v>
      </c>
      <c r="Q3623" s="9">
        <v>32.902778340866817</v>
      </c>
      <c r="R3623" s="9">
        <v>36.980915483174826</v>
      </c>
      <c r="S3623" s="9">
        <v>41.041764553716455</v>
      </c>
      <c r="T3623" s="9">
        <v>44.512516286159922</v>
      </c>
      <c r="U3623" s="9">
        <v>52.176281946965503</v>
      </c>
      <c r="V3623" s="9">
        <v>52.176281946965503</v>
      </c>
      <c r="W3623" s="9">
        <v>52.176281946965503</v>
      </c>
      <c r="X3623" s="9">
        <v>65.399646652844908</v>
      </c>
      <c r="Y3623" s="9">
        <v>65.399646652844908</v>
      </c>
      <c r="Z3623" s="9">
        <v>74.862823794027804</v>
      </c>
      <c r="AA3623" s="9">
        <v>74.862823794027804</v>
      </c>
      <c r="AB3623" s="9">
        <v>84.552915727397561</v>
      </c>
      <c r="AC3623" s="9">
        <v>84.552915727397561</v>
      </c>
      <c r="AD3623" s="9">
        <v>94.492613932172858</v>
      </c>
      <c r="AE3623" s="9">
        <v>104.70687903549428</v>
      </c>
      <c r="AF3623" s="9">
        <v>115.51364337537625</v>
      </c>
      <c r="AG3623" s="9">
        <v>115.51364337537625</v>
      </c>
      <c r="AH3623" s="9">
        <v>127.68776106627702</v>
      </c>
      <c r="AI3623" s="9">
        <v>140.22732729914276</v>
      </c>
      <c r="AJ3623" s="9">
        <v>3.0428788910505911</v>
      </c>
    </row>
    <row r="3624" spans="1:36" x14ac:dyDescent="0.25">
      <c r="A3624" t="s">
        <v>5411</v>
      </c>
      <c r="B3624" t="s">
        <v>16</v>
      </c>
      <c r="C3624" t="s">
        <v>17</v>
      </c>
      <c r="D3624">
        <v>65380000</v>
      </c>
      <c r="E3624">
        <v>65384999</v>
      </c>
      <c r="F3624" t="s">
        <v>750</v>
      </c>
      <c r="G3624" t="str">
        <f t="shared" si="112"/>
        <v>MAR</v>
      </c>
      <c r="H3624" t="s">
        <v>3213</v>
      </c>
      <c r="I3624" t="s">
        <v>20</v>
      </c>
      <c r="J3624" t="s">
        <v>77</v>
      </c>
      <c r="K3624" s="6">
        <v>0.03</v>
      </c>
      <c r="L3624" s="7">
        <f t="shared" si="113"/>
        <v>2E-3</v>
      </c>
      <c r="M3624" s="7">
        <v>3.0000000000000001E-3</v>
      </c>
      <c r="N3624">
        <v>17</v>
      </c>
      <c r="O3624" s="8">
        <v>32.902778340866817</v>
      </c>
      <c r="P3624" s="9">
        <v>32.902778340866817</v>
      </c>
      <c r="Q3624" s="9">
        <v>32.902778340866817</v>
      </c>
      <c r="R3624" s="9">
        <v>36.980915483174826</v>
      </c>
      <c r="S3624" s="9">
        <v>41.041764553716455</v>
      </c>
      <c r="T3624" s="9">
        <v>44.512516286159922</v>
      </c>
      <c r="U3624" s="9">
        <v>52.176281946965503</v>
      </c>
      <c r="V3624" s="9">
        <v>52.176281946965503</v>
      </c>
      <c r="W3624" s="9">
        <v>52.176281946965503</v>
      </c>
      <c r="X3624" s="9">
        <v>65.399646652844908</v>
      </c>
      <c r="Y3624" s="9">
        <v>65.399646652844908</v>
      </c>
      <c r="Z3624" s="9">
        <v>74.862823794027804</v>
      </c>
      <c r="AA3624" s="9">
        <v>74.862823794027804</v>
      </c>
      <c r="AB3624" s="9">
        <v>84.552915727397561</v>
      </c>
      <c r="AC3624" s="9">
        <v>84.552915727397561</v>
      </c>
      <c r="AD3624" s="9">
        <v>94.492613932172858</v>
      </c>
      <c r="AE3624" s="9">
        <v>104.70687903549428</v>
      </c>
      <c r="AF3624" s="9">
        <v>115.51364337537625</v>
      </c>
      <c r="AG3624" s="9">
        <v>115.51364337537625</v>
      </c>
      <c r="AH3624" s="9">
        <v>127.68776106627702</v>
      </c>
      <c r="AI3624" s="9">
        <v>140.22732729914276</v>
      </c>
      <c r="AJ3624" s="9">
        <v>3.0428788910505911</v>
      </c>
    </row>
    <row r="3625" spans="1:36" x14ac:dyDescent="0.25">
      <c r="A3625" t="s">
        <v>5411</v>
      </c>
      <c r="B3625" t="s">
        <v>16</v>
      </c>
      <c r="C3625" t="s">
        <v>17</v>
      </c>
      <c r="D3625">
        <v>65385000</v>
      </c>
      <c r="E3625">
        <v>65389999</v>
      </c>
      <c r="F3625" t="s">
        <v>3281</v>
      </c>
      <c r="G3625" t="str">
        <f t="shared" si="112"/>
        <v>MAR</v>
      </c>
      <c r="H3625" t="s">
        <v>3213</v>
      </c>
      <c r="I3625" t="s">
        <v>20</v>
      </c>
      <c r="J3625" t="s">
        <v>77</v>
      </c>
      <c r="K3625" s="6">
        <v>0.03</v>
      </c>
      <c r="L3625" s="7">
        <f t="shared" si="113"/>
        <v>2E-3</v>
      </c>
      <c r="M3625" s="7">
        <v>3.0000000000000001E-3</v>
      </c>
      <c r="N3625">
        <v>17</v>
      </c>
      <c r="O3625" s="8">
        <v>32.902778340866817</v>
      </c>
      <c r="P3625" s="9">
        <v>32.902778340866817</v>
      </c>
      <c r="Q3625" s="9">
        <v>32.902778340866817</v>
      </c>
      <c r="R3625" s="9">
        <v>36.980915483174826</v>
      </c>
      <c r="S3625" s="9">
        <v>41.041764553716455</v>
      </c>
      <c r="T3625" s="9">
        <v>44.512516286159922</v>
      </c>
      <c r="U3625" s="9">
        <v>52.176281946965503</v>
      </c>
      <c r="V3625" s="9">
        <v>52.176281946965503</v>
      </c>
      <c r="W3625" s="9">
        <v>52.176281946965503</v>
      </c>
      <c r="X3625" s="9">
        <v>65.399646652844908</v>
      </c>
      <c r="Y3625" s="9">
        <v>65.399646652844908</v>
      </c>
      <c r="Z3625" s="9">
        <v>74.862823794027804</v>
      </c>
      <c r="AA3625" s="9">
        <v>74.862823794027804</v>
      </c>
      <c r="AB3625" s="9">
        <v>84.552915727397561</v>
      </c>
      <c r="AC3625" s="9">
        <v>84.552915727397561</v>
      </c>
      <c r="AD3625" s="9">
        <v>94.492613932172858</v>
      </c>
      <c r="AE3625" s="9">
        <v>104.70687903549428</v>
      </c>
      <c r="AF3625" s="9">
        <v>115.51364337537625</v>
      </c>
      <c r="AG3625" s="9">
        <v>115.51364337537625</v>
      </c>
      <c r="AH3625" s="9">
        <v>127.68776106627702</v>
      </c>
      <c r="AI3625" s="9">
        <v>140.22732729914276</v>
      </c>
      <c r="AJ3625" s="9">
        <v>3.0428788910505911</v>
      </c>
    </row>
    <row r="3626" spans="1:36" x14ac:dyDescent="0.25">
      <c r="A3626" t="s">
        <v>5411</v>
      </c>
      <c r="B3626" t="s">
        <v>16</v>
      </c>
      <c r="C3626" t="s">
        <v>17</v>
      </c>
      <c r="D3626">
        <v>65390000</v>
      </c>
      <c r="E3626">
        <v>65392999</v>
      </c>
      <c r="F3626" t="s">
        <v>1907</v>
      </c>
      <c r="G3626" t="str">
        <f t="shared" si="112"/>
        <v>MAI</v>
      </c>
      <c r="H3626" t="s">
        <v>3213</v>
      </c>
      <c r="I3626" t="s">
        <v>20</v>
      </c>
      <c r="J3626" t="s">
        <v>62</v>
      </c>
      <c r="K3626" s="6">
        <v>0.03</v>
      </c>
      <c r="L3626" s="7">
        <f t="shared" si="113"/>
        <v>2E-3</v>
      </c>
      <c r="M3626" s="7">
        <v>3.0000000000000001E-3</v>
      </c>
      <c r="N3626">
        <v>12</v>
      </c>
      <c r="O3626" s="8">
        <v>19.350325219569864</v>
      </c>
      <c r="P3626" s="9">
        <v>19.350325219569864</v>
      </c>
      <c r="Q3626" s="9">
        <v>19.350325219569864</v>
      </c>
      <c r="R3626" s="9">
        <v>21.236423757715794</v>
      </c>
      <c r="S3626" s="9">
        <v>23.412011215821156</v>
      </c>
      <c r="T3626" s="9">
        <v>26.602346057727168</v>
      </c>
      <c r="U3626" s="9">
        <v>32.175039039197578</v>
      </c>
      <c r="V3626" s="9">
        <v>32.175039039197578</v>
      </c>
      <c r="W3626" s="9">
        <v>32.175039039197578</v>
      </c>
      <c r="X3626" s="9">
        <v>38.477190222688968</v>
      </c>
      <c r="Y3626" s="9">
        <v>38.477190222688968</v>
      </c>
      <c r="Z3626" s="9">
        <v>46.072905764910679</v>
      </c>
      <c r="AA3626" s="9">
        <v>46.072905764910679</v>
      </c>
      <c r="AB3626" s="9">
        <v>52.857194265747438</v>
      </c>
      <c r="AC3626" s="9">
        <v>52.857194265747438</v>
      </c>
      <c r="AD3626" s="9">
        <v>60.075973585900336</v>
      </c>
      <c r="AE3626" s="9">
        <v>67.207660715359779</v>
      </c>
      <c r="AF3626" s="9">
        <v>74.765164496289444</v>
      </c>
      <c r="AG3626" s="9">
        <v>74.765164496289444</v>
      </c>
      <c r="AH3626" s="9">
        <v>82.787429668365718</v>
      </c>
      <c r="AI3626" s="9">
        <v>90.699158794373588</v>
      </c>
      <c r="AJ3626" s="9">
        <v>3.0428788910505911</v>
      </c>
    </row>
    <row r="3627" spans="1:36" x14ac:dyDescent="0.25">
      <c r="A3627" t="s">
        <v>5411</v>
      </c>
      <c r="B3627" t="s">
        <v>16</v>
      </c>
      <c r="C3627" t="s">
        <v>17</v>
      </c>
      <c r="D3627">
        <v>65393000</v>
      </c>
      <c r="E3627">
        <v>65394999</v>
      </c>
      <c r="F3627" t="s">
        <v>3282</v>
      </c>
      <c r="G3627" t="str">
        <f t="shared" si="112"/>
        <v>MAR</v>
      </c>
      <c r="H3627" t="s">
        <v>3213</v>
      </c>
      <c r="I3627" t="s">
        <v>20</v>
      </c>
      <c r="J3627" t="s">
        <v>77</v>
      </c>
      <c r="K3627" s="6">
        <v>0.03</v>
      </c>
      <c r="L3627" s="7">
        <f t="shared" si="113"/>
        <v>2E-3</v>
      </c>
      <c r="M3627" s="7">
        <v>3.0000000000000001E-3</v>
      </c>
      <c r="N3627">
        <v>17</v>
      </c>
      <c r="O3627" s="8">
        <v>32.902778340866817</v>
      </c>
      <c r="P3627" s="9">
        <v>32.902778340866817</v>
      </c>
      <c r="Q3627" s="9">
        <v>32.902778340866817</v>
      </c>
      <c r="R3627" s="9">
        <v>36.980915483174826</v>
      </c>
      <c r="S3627" s="9">
        <v>41.041764553716455</v>
      </c>
      <c r="T3627" s="9">
        <v>44.512516286159922</v>
      </c>
      <c r="U3627" s="9">
        <v>52.176281946965503</v>
      </c>
      <c r="V3627" s="9">
        <v>52.176281946965503</v>
      </c>
      <c r="W3627" s="9">
        <v>52.176281946965503</v>
      </c>
      <c r="X3627" s="9">
        <v>65.399646652844908</v>
      </c>
      <c r="Y3627" s="9">
        <v>65.399646652844908</v>
      </c>
      <c r="Z3627" s="9">
        <v>74.862823794027804</v>
      </c>
      <c r="AA3627" s="9">
        <v>74.862823794027804</v>
      </c>
      <c r="AB3627" s="9">
        <v>84.552915727397561</v>
      </c>
      <c r="AC3627" s="9">
        <v>84.552915727397561</v>
      </c>
      <c r="AD3627" s="9">
        <v>94.492613932172858</v>
      </c>
      <c r="AE3627" s="9">
        <v>104.70687903549428</v>
      </c>
      <c r="AF3627" s="9">
        <v>115.51364337537625</v>
      </c>
      <c r="AG3627" s="9">
        <v>115.51364337537625</v>
      </c>
      <c r="AH3627" s="9">
        <v>127.68776106627702</v>
      </c>
      <c r="AI3627" s="9">
        <v>140.22732729914276</v>
      </c>
      <c r="AJ3627" s="9">
        <v>3.0428788910505911</v>
      </c>
    </row>
    <row r="3628" spans="1:36" x14ac:dyDescent="0.25">
      <c r="A3628" t="s">
        <v>5411</v>
      </c>
      <c r="B3628" t="s">
        <v>16</v>
      </c>
      <c r="C3628" t="s">
        <v>17</v>
      </c>
      <c r="D3628">
        <v>65395000</v>
      </c>
      <c r="E3628">
        <v>65397999</v>
      </c>
      <c r="F3628" t="s">
        <v>3283</v>
      </c>
      <c r="G3628" t="str">
        <f t="shared" si="112"/>
        <v>MAR</v>
      </c>
      <c r="H3628" t="s">
        <v>3213</v>
      </c>
      <c r="I3628" t="s">
        <v>20</v>
      </c>
      <c r="J3628" t="s">
        <v>77</v>
      </c>
      <c r="K3628" s="6">
        <v>0.03</v>
      </c>
      <c r="L3628" s="7">
        <f t="shared" si="113"/>
        <v>2E-3</v>
      </c>
      <c r="M3628" s="7">
        <v>3.0000000000000001E-3</v>
      </c>
      <c r="N3628">
        <v>17</v>
      </c>
      <c r="O3628" s="8">
        <v>32.902778340866817</v>
      </c>
      <c r="P3628" s="9">
        <v>32.902778340866817</v>
      </c>
      <c r="Q3628" s="9">
        <v>32.902778340866817</v>
      </c>
      <c r="R3628" s="9">
        <v>36.980915483174826</v>
      </c>
      <c r="S3628" s="9">
        <v>41.041764553716455</v>
      </c>
      <c r="T3628" s="9">
        <v>44.512516286159922</v>
      </c>
      <c r="U3628" s="9">
        <v>52.176281946965503</v>
      </c>
      <c r="V3628" s="9">
        <v>52.176281946965503</v>
      </c>
      <c r="W3628" s="9">
        <v>52.176281946965503</v>
      </c>
      <c r="X3628" s="9">
        <v>65.399646652844908</v>
      </c>
      <c r="Y3628" s="9">
        <v>65.399646652844908</v>
      </c>
      <c r="Z3628" s="9">
        <v>74.862823794027804</v>
      </c>
      <c r="AA3628" s="9">
        <v>74.862823794027804</v>
      </c>
      <c r="AB3628" s="9">
        <v>84.552915727397561</v>
      </c>
      <c r="AC3628" s="9">
        <v>84.552915727397561</v>
      </c>
      <c r="AD3628" s="9">
        <v>94.492613932172858</v>
      </c>
      <c r="AE3628" s="9">
        <v>104.70687903549428</v>
      </c>
      <c r="AF3628" s="9">
        <v>115.51364337537625</v>
      </c>
      <c r="AG3628" s="9">
        <v>115.51364337537625</v>
      </c>
      <c r="AH3628" s="9">
        <v>127.68776106627702</v>
      </c>
      <c r="AI3628" s="9">
        <v>140.22732729914276</v>
      </c>
      <c r="AJ3628" s="9">
        <v>3.0428788910505911</v>
      </c>
    </row>
    <row r="3629" spans="1:36" x14ac:dyDescent="0.25">
      <c r="A3629" t="s">
        <v>5411</v>
      </c>
      <c r="B3629" t="s">
        <v>16</v>
      </c>
      <c r="C3629" t="s">
        <v>17</v>
      </c>
      <c r="D3629">
        <v>65398000</v>
      </c>
      <c r="E3629">
        <v>65399999</v>
      </c>
      <c r="F3629" t="s">
        <v>3284</v>
      </c>
      <c r="G3629" t="str">
        <f t="shared" si="112"/>
        <v>MAR</v>
      </c>
      <c r="H3629" t="s">
        <v>3213</v>
      </c>
      <c r="I3629" t="s">
        <v>20</v>
      </c>
      <c r="J3629" t="s">
        <v>77</v>
      </c>
      <c r="K3629" s="6">
        <v>0.03</v>
      </c>
      <c r="L3629" s="7">
        <f t="shared" si="113"/>
        <v>2E-3</v>
      </c>
      <c r="M3629" s="7">
        <v>3.0000000000000001E-3</v>
      </c>
      <c r="N3629">
        <v>17</v>
      </c>
      <c r="O3629" s="8">
        <v>32.902778340866817</v>
      </c>
      <c r="P3629" s="9">
        <v>32.902778340866817</v>
      </c>
      <c r="Q3629" s="9">
        <v>32.902778340866817</v>
      </c>
      <c r="R3629" s="9">
        <v>36.980915483174826</v>
      </c>
      <c r="S3629" s="9">
        <v>41.041764553716455</v>
      </c>
      <c r="T3629" s="9">
        <v>44.512516286159922</v>
      </c>
      <c r="U3629" s="9">
        <v>52.176281946965503</v>
      </c>
      <c r="V3629" s="9">
        <v>52.176281946965503</v>
      </c>
      <c r="W3629" s="9">
        <v>52.176281946965503</v>
      </c>
      <c r="X3629" s="9">
        <v>65.399646652844908</v>
      </c>
      <c r="Y3629" s="9">
        <v>65.399646652844908</v>
      </c>
      <c r="Z3629" s="9">
        <v>74.862823794027804</v>
      </c>
      <c r="AA3629" s="9">
        <v>74.862823794027804</v>
      </c>
      <c r="AB3629" s="9">
        <v>84.552915727397561</v>
      </c>
      <c r="AC3629" s="9">
        <v>84.552915727397561</v>
      </c>
      <c r="AD3629" s="9">
        <v>94.492613932172858</v>
      </c>
      <c r="AE3629" s="9">
        <v>104.70687903549428</v>
      </c>
      <c r="AF3629" s="9">
        <v>115.51364337537625</v>
      </c>
      <c r="AG3629" s="9">
        <v>115.51364337537625</v>
      </c>
      <c r="AH3629" s="9">
        <v>127.68776106627702</v>
      </c>
      <c r="AI3629" s="9">
        <v>140.22732729914276</v>
      </c>
      <c r="AJ3629" s="9">
        <v>3.0428788910505911</v>
      </c>
    </row>
    <row r="3630" spans="1:36" x14ac:dyDescent="0.25">
      <c r="A3630" t="s">
        <v>5411</v>
      </c>
      <c r="B3630" t="s">
        <v>16</v>
      </c>
      <c r="C3630" t="s">
        <v>17</v>
      </c>
      <c r="D3630">
        <v>65400000</v>
      </c>
      <c r="E3630">
        <v>65412999</v>
      </c>
      <c r="F3630" t="s">
        <v>3285</v>
      </c>
      <c r="G3630" t="str">
        <f t="shared" si="112"/>
        <v>MAR</v>
      </c>
      <c r="H3630" t="s">
        <v>3213</v>
      </c>
      <c r="I3630" t="s">
        <v>20</v>
      </c>
      <c r="J3630" t="s">
        <v>77</v>
      </c>
      <c r="K3630" s="6">
        <v>0.03</v>
      </c>
      <c r="L3630" s="7">
        <f t="shared" si="113"/>
        <v>2E-3</v>
      </c>
      <c r="M3630" s="7">
        <v>3.0000000000000001E-3</v>
      </c>
      <c r="N3630">
        <v>17</v>
      </c>
      <c r="O3630" s="8">
        <v>32.902778340866817</v>
      </c>
      <c r="P3630" s="9">
        <v>32.902778340866817</v>
      </c>
      <c r="Q3630" s="9">
        <v>32.902778340866817</v>
      </c>
      <c r="R3630" s="9">
        <v>36.980915483174826</v>
      </c>
      <c r="S3630" s="9">
        <v>41.041764553716455</v>
      </c>
      <c r="T3630" s="9">
        <v>44.512516286159922</v>
      </c>
      <c r="U3630" s="9">
        <v>52.176281946965503</v>
      </c>
      <c r="V3630" s="9">
        <v>52.176281946965503</v>
      </c>
      <c r="W3630" s="9">
        <v>52.176281946965503</v>
      </c>
      <c r="X3630" s="9">
        <v>65.399646652844908</v>
      </c>
      <c r="Y3630" s="9">
        <v>65.399646652844908</v>
      </c>
      <c r="Z3630" s="9">
        <v>74.862823794027804</v>
      </c>
      <c r="AA3630" s="9">
        <v>74.862823794027804</v>
      </c>
      <c r="AB3630" s="9">
        <v>84.552915727397561</v>
      </c>
      <c r="AC3630" s="9">
        <v>84.552915727397561</v>
      </c>
      <c r="AD3630" s="9">
        <v>94.492613932172858</v>
      </c>
      <c r="AE3630" s="9">
        <v>104.70687903549428</v>
      </c>
      <c r="AF3630" s="9">
        <v>115.51364337537625</v>
      </c>
      <c r="AG3630" s="9">
        <v>115.51364337537625</v>
      </c>
      <c r="AH3630" s="9">
        <v>127.68776106627702</v>
      </c>
      <c r="AI3630" s="9">
        <v>140.22732729914276</v>
      </c>
      <c r="AJ3630" s="9">
        <v>3.0428788910505911</v>
      </c>
    </row>
    <row r="3631" spans="1:36" x14ac:dyDescent="0.25">
      <c r="A3631" t="s">
        <v>5411</v>
      </c>
      <c r="B3631" t="s">
        <v>16</v>
      </c>
      <c r="C3631" t="s">
        <v>17</v>
      </c>
      <c r="D3631">
        <v>65413000</v>
      </c>
      <c r="E3631">
        <v>65414999</v>
      </c>
      <c r="F3631" t="s">
        <v>3286</v>
      </c>
      <c r="G3631" t="str">
        <f t="shared" si="112"/>
        <v>MAR</v>
      </c>
      <c r="H3631" t="s">
        <v>3213</v>
      </c>
      <c r="I3631" t="s">
        <v>20</v>
      </c>
      <c r="J3631" t="s">
        <v>77</v>
      </c>
      <c r="K3631" s="6">
        <v>0.03</v>
      </c>
      <c r="L3631" s="7">
        <f t="shared" si="113"/>
        <v>2E-3</v>
      </c>
      <c r="M3631" s="7">
        <v>3.0000000000000001E-3</v>
      </c>
      <c r="N3631">
        <v>17</v>
      </c>
      <c r="O3631" s="8">
        <v>32.902778340866817</v>
      </c>
      <c r="P3631" s="9">
        <v>32.902778340866817</v>
      </c>
      <c r="Q3631" s="9">
        <v>32.902778340866817</v>
      </c>
      <c r="R3631" s="9">
        <v>36.980915483174826</v>
      </c>
      <c r="S3631" s="9">
        <v>41.041764553716455</v>
      </c>
      <c r="T3631" s="9">
        <v>44.512516286159922</v>
      </c>
      <c r="U3631" s="9">
        <v>52.176281946965503</v>
      </c>
      <c r="V3631" s="9">
        <v>52.176281946965503</v>
      </c>
      <c r="W3631" s="9">
        <v>52.176281946965503</v>
      </c>
      <c r="X3631" s="9">
        <v>65.399646652844908</v>
      </c>
      <c r="Y3631" s="9">
        <v>65.399646652844908</v>
      </c>
      <c r="Z3631" s="9">
        <v>74.862823794027804</v>
      </c>
      <c r="AA3631" s="9">
        <v>74.862823794027804</v>
      </c>
      <c r="AB3631" s="9">
        <v>84.552915727397561</v>
      </c>
      <c r="AC3631" s="9">
        <v>84.552915727397561</v>
      </c>
      <c r="AD3631" s="9">
        <v>94.492613932172858</v>
      </c>
      <c r="AE3631" s="9">
        <v>104.70687903549428</v>
      </c>
      <c r="AF3631" s="9">
        <v>115.51364337537625</v>
      </c>
      <c r="AG3631" s="9">
        <v>115.51364337537625</v>
      </c>
      <c r="AH3631" s="9">
        <v>127.68776106627702</v>
      </c>
      <c r="AI3631" s="9">
        <v>140.22732729914276</v>
      </c>
      <c r="AJ3631" s="9">
        <v>3.0428788910505911</v>
      </c>
    </row>
    <row r="3632" spans="1:36" x14ac:dyDescent="0.25">
      <c r="A3632" t="s">
        <v>5411</v>
      </c>
      <c r="B3632" t="s">
        <v>16</v>
      </c>
      <c r="C3632" t="s">
        <v>17</v>
      </c>
      <c r="D3632">
        <v>65415000</v>
      </c>
      <c r="E3632">
        <v>65417999</v>
      </c>
      <c r="F3632" t="s">
        <v>3287</v>
      </c>
      <c r="G3632" t="str">
        <f t="shared" si="112"/>
        <v>MAR</v>
      </c>
      <c r="H3632" t="s">
        <v>3213</v>
      </c>
      <c r="I3632" t="s">
        <v>20</v>
      </c>
      <c r="J3632" t="s">
        <v>77</v>
      </c>
      <c r="K3632" s="6">
        <v>0.03</v>
      </c>
      <c r="L3632" s="7">
        <f t="shared" si="113"/>
        <v>2E-3</v>
      </c>
      <c r="M3632" s="7">
        <v>3.0000000000000001E-3</v>
      </c>
      <c r="N3632">
        <v>17</v>
      </c>
      <c r="O3632" s="8">
        <v>32.902778340866817</v>
      </c>
      <c r="P3632" s="9">
        <v>32.902778340866817</v>
      </c>
      <c r="Q3632" s="9">
        <v>32.902778340866817</v>
      </c>
      <c r="R3632" s="9">
        <v>36.980915483174826</v>
      </c>
      <c r="S3632" s="9">
        <v>41.041764553716455</v>
      </c>
      <c r="T3632" s="9">
        <v>44.512516286159922</v>
      </c>
      <c r="U3632" s="9">
        <v>52.176281946965503</v>
      </c>
      <c r="V3632" s="9">
        <v>52.176281946965503</v>
      </c>
      <c r="W3632" s="9">
        <v>52.176281946965503</v>
      </c>
      <c r="X3632" s="9">
        <v>65.399646652844908</v>
      </c>
      <c r="Y3632" s="9">
        <v>65.399646652844908</v>
      </c>
      <c r="Z3632" s="9">
        <v>74.862823794027804</v>
      </c>
      <c r="AA3632" s="9">
        <v>74.862823794027804</v>
      </c>
      <c r="AB3632" s="9">
        <v>84.552915727397561</v>
      </c>
      <c r="AC3632" s="9">
        <v>84.552915727397561</v>
      </c>
      <c r="AD3632" s="9">
        <v>94.492613932172858</v>
      </c>
      <c r="AE3632" s="9">
        <v>104.70687903549428</v>
      </c>
      <c r="AF3632" s="9">
        <v>115.51364337537625</v>
      </c>
      <c r="AG3632" s="9">
        <v>115.51364337537625</v>
      </c>
      <c r="AH3632" s="9">
        <v>127.68776106627702</v>
      </c>
      <c r="AI3632" s="9">
        <v>140.22732729914276</v>
      </c>
      <c r="AJ3632" s="9">
        <v>3.0428788910505911</v>
      </c>
    </row>
    <row r="3633" spans="1:36" x14ac:dyDescent="0.25">
      <c r="A3633" t="s">
        <v>5411</v>
      </c>
      <c r="B3633" t="s">
        <v>16</v>
      </c>
      <c r="C3633" t="s">
        <v>17</v>
      </c>
      <c r="D3633">
        <v>65418000</v>
      </c>
      <c r="E3633">
        <v>65419999</v>
      </c>
      <c r="F3633" t="s">
        <v>3288</v>
      </c>
      <c r="G3633" t="str">
        <f t="shared" si="112"/>
        <v>MAR</v>
      </c>
      <c r="H3633" t="s">
        <v>3213</v>
      </c>
      <c r="I3633" t="s">
        <v>20</v>
      </c>
      <c r="J3633" t="s">
        <v>77</v>
      </c>
      <c r="K3633" s="6">
        <v>0.03</v>
      </c>
      <c r="L3633" s="7">
        <f t="shared" si="113"/>
        <v>2E-3</v>
      </c>
      <c r="M3633" s="7">
        <v>3.0000000000000001E-3</v>
      </c>
      <c r="N3633">
        <v>17</v>
      </c>
      <c r="O3633" s="8">
        <v>32.902778340866817</v>
      </c>
      <c r="P3633" s="9">
        <v>32.902778340866817</v>
      </c>
      <c r="Q3633" s="9">
        <v>32.902778340866817</v>
      </c>
      <c r="R3633" s="9">
        <v>36.980915483174826</v>
      </c>
      <c r="S3633" s="9">
        <v>41.041764553716455</v>
      </c>
      <c r="T3633" s="9">
        <v>44.512516286159922</v>
      </c>
      <c r="U3633" s="9">
        <v>52.176281946965503</v>
      </c>
      <c r="V3633" s="9">
        <v>52.176281946965503</v>
      </c>
      <c r="W3633" s="9">
        <v>52.176281946965503</v>
      </c>
      <c r="X3633" s="9">
        <v>65.399646652844908</v>
      </c>
      <c r="Y3633" s="9">
        <v>65.399646652844908</v>
      </c>
      <c r="Z3633" s="9">
        <v>74.862823794027804</v>
      </c>
      <c r="AA3633" s="9">
        <v>74.862823794027804</v>
      </c>
      <c r="AB3633" s="9">
        <v>84.552915727397561</v>
      </c>
      <c r="AC3633" s="9">
        <v>84.552915727397561</v>
      </c>
      <c r="AD3633" s="9">
        <v>94.492613932172858</v>
      </c>
      <c r="AE3633" s="9">
        <v>104.70687903549428</v>
      </c>
      <c r="AF3633" s="9">
        <v>115.51364337537625</v>
      </c>
      <c r="AG3633" s="9">
        <v>115.51364337537625</v>
      </c>
      <c r="AH3633" s="9">
        <v>127.68776106627702</v>
      </c>
      <c r="AI3633" s="9">
        <v>140.22732729914276</v>
      </c>
      <c r="AJ3633" s="9">
        <v>3.0428788910505911</v>
      </c>
    </row>
    <row r="3634" spans="1:36" x14ac:dyDescent="0.25">
      <c r="A3634" t="s">
        <v>5411</v>
      </c>
      <c r="B3634" t="s">
        <v>16</v>
      </c>
      <c r="C3634" t="s">
        <v>17</v>
      </c>
      <c r="D3634">
        <v>65420000</v>
      </c>
      <c r="E3634">
        <v>65429999</v>
      </c>
      <c r="F3634" t="s">
        <v>3289</v>
      </c>
      <c r="G3634" t="str">
        <f t="shared" si="112"/>
        <v>MAR</v>
      </c>
      <c r="H3634" t="s">
        <v>3213</v>
      </c>
      <c r="I3634" t="s">
        <v>20</v>
      </c>
      <c r="J3634" t="s">
        <v>77</v>
      </c>
      <c r="K3634" s="6">
        <v>0.03</v>
      </c>
      <c r="L3634" s="7">
        <f t="shared" si="113"/>
        <v>2E-3</v>
      </c>
      <c r="M3634" s="7">
        <v>3.0000000000000001E-3</v>
      </c>
      <c r="N3634">
        <v>17</v>
      </c>
      <c r="O3634" s="8">
        <v>32.902778340866817</v>
      </c>
      <c r="P3634" s="9">
        <v>32.902778340866817</v>
      </c>
      <c r="Q3634" s="9">
        <v>32.902778340866817</v>
      </c>
      <c r="R3634" s="9">
        <v>36.980915483174826</v>
      </c>
      <c r="S3634" s="9">
        <v>41.041764553716455</v>
      </c>
      <c r="T3634" s="9">
        <v>44.512516286159922</v>
      </c>
      <c r="U3634" s="9">
        <v>52.176281946965503</v>
      </c>
      <c r="V3634" s="9">
        <v>52.176281946965503</v>
      </c>
      <c r="W3634" s="9">
        <v>52.176281946965503</v>
      </c>
      <c r="X3634" s="9">
        <v>65.399646652844908</v>
      </c>
      <c r="Y3634" s="9">
        <v>65.399646652844908</v>
      </c>
      <c r="Z3634" s="9">
        <v>74.862823794027804</v>
      </c>
      <c r="AA3634" s="9">
        <v>74.862823794027804</v>
      </c>
      <c r="AB3634" s="9">
        <v>84.552915727397561</v>
      </c>
      <c r="AC3634" s="9">
        <v>84.552915727397561</v>
      </c>
      <c r="AD3634" s="9">
        <v>94.492613932172858</v>
      </c>
      <c r="AE3634" s="9">
        <v>104.70687903549428</v>
      </c>
      <c r="AF3634" s="9">
        <v>115.51364337537625</v>
      </c>
      <c r="AG3634" s="9">
        <v>115.51364337537625</v>
      </c>
      <c r="AH3634" s="9">
        <v>127.68776106627702</v>
      </c>
      <c r="AI3634" s="9">
        <v>140.22732729914276</v>
      </c>
      <c r="AJ3634" s="9">
        <v>3.0428788910505911</v>
      </c>
    </row>
    <row r="3635" spans="1:36" x14ac:dyDescent="0.25">
      <c r="A3635" t="s">
        <v>5411</v>
      </c>
      <c r="B3635" t="s">
        <v>16</v>
      </c>
      <c r="C3635" t="s">
        <v>17</v>
      </c>
      <c r="D3635">
        <v>65430000</v>
      </c>
      <c r="E3635">
        <v>65439999</v>
      </c>
      <c r="F3635" t="s">
        <v>3290</v>
      </c>
      <c r="G3635" t="str">
        <f t="shared" si="112"/>
        <v>MAR</v>
      </c>
      <c r="H3635" t="s">
        <v>3213</v>
      </c>
      <c r="I3635" t="s">
        <v>20</v>
      </c>
      <c r="J3635" t="s">
        <v>77</v>
      </c>
      <c r="K3635" s="6">
        <v>0.03</v>
      </c>
      <c r="L3635" s="7">
        <f t="shared" si="113"/>
        <v>2E-3</v>
      </c>
      <c r="M3635" s="7">
        <v>3.0000000000000001E-3</v>
      </c>
      <c r="N3635">
        <v>17</v>
      </c>
      <c r="O3635" s="8">
        <v>32.902778340866817</v>
      </c>
      <c r="P3635" s="9">
        <v>32.902778340866817</v>
      </c>
      <c r="Q3635" s="9">
        <v>32.902778340866817</v>
      </c>
      <c r="R3635" s="9">
        <v>36.980915483174826</v>
      </c>
      <c r="S3635" s="9">
        <v>41.041764553716455</v>
      </c>
      <c r="T3635" s="9">
        <v>44.512516286159922</v>
      </c>
      <c r="U3635" s="9">
        <v>52.176281946965503</v>
      </c>
      <c r="V3635" s="9">
        <v>52.176281946965503</v>
      </c>
      <c r="W3635" s="9">
        <v>52.176281946965503</v>
      </c>
      <c r="X3635" s="9">
        <v>65.399646652844908</v>
      </c>
      <c r="Y3635" s="9">
        <v>65.399646652844908</v>
      </c>
      <c r="Z3635" s="9">
        <v>74.862823794027804</v>
      </c>
      <c r="AA3635" s="9">
        <v>74.862823794027804</v>
      </c>
      <c r="AB3635" s="9">
        <v>84.552915727397561</v>
      </c>
      <c r="AC3635" s="9">
        <v>84.552915727397561</v>
      </c>
      <c r="AD3635" s="9">
        <v>94.492613932172858</v>
      </c>
      <c r="AE3635" s="9">
        <v>104.70687903549428</v>
      </c>
      <c r="AF3635" s="9">
        <v>115.51364337537625</v>
      </c>
      <c r="AG3635" s="9">
        <v>115.51364337537625</v>
      </c>
      <c r="AH3635" s="9">
        <v>127.68776106627702</v>
      </c>
      <c r="AI3635" s="9">
        <v>140.22732729914276</v>
      </c>
      <c r="AJ3635" s="9">
        <v>3.0428788910505911</v>
      </c>
    </row>
    <row r="3636" spans="1:36" x14ac:dyDescent="0.25">
      <c r="A3636" t="s">
        <v>5411</v>
      </c>
      <c r="B3636" t="s">
        <v>16</v>
      </c>
      <c r="C3636" t="s">
        <v>17</v>
      </c>
      <c r="D3636">
        <v>65440000</v>
      </c>
      <c r="E3636">
        <v>65449999</v>
      </c>
      <c r="F3636" t="s">
        <v>3291</v>
      </c>
      <c r="G3636" t="str">
        <f t="shared" si="112"/>
        <v>MAR</v>
      </c>
      <c r="H3636" t="s">
        <v>3213</v>
      </c>
      <c r="I3636" t="s">
        <v>20</v>
      </c>
      <c r="J3636" t="s">
        <v>77</v>
      </c>
      <c r="K3636" s="6">
        <v>0.03</v>
      </c>
      <c r="L3636" s="7">
        <f t="shared" si="113"/>
        <v>2E-3</v>
      </c>
      <c r="M3636" s="7">
        <v>3.0000000000000001E-3</v>
      </c>
      <c r="N3636">
        <v>17</v>
      </c>
      <c r="O3636" s="8">
        <v>32.902778340866817</v>
      </c>
      <c r="P3636" s="9">
        <v>32.902778340866817</v>
      </c>
      <c r="Q3636" s="9">
        <v>32.902778340866817</v>
      </c>
      <c r="R3636" s="9">
        <v>36.980915483174826</v>
      </c>
      <c r="S3636" s="9">
        <v>41.041764553716455</v>
      </c>
      <c r="T3636" s="9">
        <v>44.512516286159922</v>
      </c>
      <c r="U3636" s="9">
        <v>52.176281946965503</v>
      </c>
      <c r="V3636" s="9">
        <v>52.176281946965503</v>
      </c>
      <c r="W3636" s="9">
        <v>52.176281946965503</v>
      </c>
      <c r="X3636" s="9">
        <v>65.399646652844908</v>
      </c>
      <c r="Y3636" s="9">
        <v>65.399646652844908</v>
      </c>
      <c r="Z3636" s="9">
        <v>74.862823794027804</v>
      </c>
      <c r="AA3636" s="9">
        <v>74.862823794027804</v>
      </c>
      <c r="AB3636" s="9">
        <v>84.552915727397561</v>
      </c>
      <c r="AC3636" s="9">
        <v>84.552915727397561</v>
      </c>
      <c r="AD3636" s="9">
        <v>94.492613932172858</v>
      </c>
      <c r="AE3636" s="9">
        <v>104.70687903549428</v>
      </c>
      <c r="AF3636" s="9">
        <v>115.51364337537625</v>
      </c>
      <c r="AG3636" s="9">
        <v>115.51364337537625</v>
      </c>
      <c r="AH3636" s="9">
        <v>127.68776106627702</v>
      </c>
      <c r="AI3636" s="9">
        <v>140.22732729914276</v>
      </c>
      <c r="AJ3636" s="9">
        <v>3.0428788910505911</v>
      </c>
    </row>
    <row r="3637" spans="1:36" x14ac:dyDescent="0.25">
      <c r="A3637" t="s">
        <v>5411</v>
      </c>
      <c r="B3637" t="s">
        <v>16</v>
      </c>
      <c r="C3637" t="s">
        <v>17</v>
      </c>
      <c r="D3637">
        <v>65450000</v>
      </c>
      <c r="E3637">
        <v>65454999</v>
      </c>
      <c r="F3637" t="s">
        <v>3292</v>
      </c>
      <c r="G3637" t="str">
        <f t="shared" si="112"/>
        <v>MAR</v>
      </c>
      <c r="H3637" t="s">
        <v>3213</v>
      </c>
      <c r="I3637" t="s">
        <v>20</v>
      </c>
      <c r="J3637" t="s">
        <v>77</v>
      </c>
      <c r="K3637" s="6">
        <v>0.03</v>
      </c>
      <c r="L3637" s="7">
        <f t="shared" si="113"/>
        <v>2E-3</v>
      </c>
      <c r="M3637" s="7">
        <v>3.0000000000000001E-3</v>
      </c>
      <c r="N3637">
        <v>17</v>
      </c>
      <c r="O3637" s="8">
        <v>32.902778340866817</v>
      </c>
      <c r="P3637" s="9">
        <v>32.902778340866817</v>
      </c>
      <c r="Q3637" s="9">
        <v>32.902778340866817</v>
      </c>
      <c r="R3637" s="9">
        <v>36.980915483174826</v>
      </c>
      <c r="S3637" s="9">
        <v>41.041764553716455</v>
      </c>
      <c r="T3637" s="9">
        <v>44.512516286159922</v>
      </c>
      <c r="U3637" s="9">
        <v>52.176281946965503</v>
      </c>
      <c r="V3637" s="9">
        <v>52.176281946965503</v>
      </c>
      <c r="W3637" s="9">
        <v>52.176281946965503</v>
      </c>
      <c r="X3637" s="9">
        <v>65.399646652844908</v>
      </c>
      <c r="Y3637" s="9">
        <v>65.399646652844908</v>
      </c>
      <c r="Z3637" s="9">
        <v>74.862823794027804</v>
      </c>
      <c r="AA3637" s="9">
        <v>74.862823794027804</v>
      </c>
      <c r="AB3637" s="9">
        <v>84.552915727397561</v>
      </c>
      <c r="AC3637" s="9">
        <v>84.552915727397561</v>
      </c>
      <c r="AD3637" s="9">
        <v>94.492613932172858</v>
      </c>
      <c r="AE3637" s="9">
        <v>104.70687903549428</v>
      </c>
      <c r="AF3637" s="9">
        <v>115.51364337537625</v>
      </c>
      <c r="AG3637" s="9">
        <v>115.51364337537625</v>
      </c>
      <c r="AH3637" s="9">
        <v>127.68776106627702</v>
      </c>
      <c r="AI3637" s="9">
        <v>140.22732729914276</v>
      </c>
      <c r="AJ3637" s="9">
        <v>3.0428788910505911</v>
      </c>
    </row>
    <row r="3638" spans="1:36" x14ac:dyDescent="0.25">
      <c r="A3638" t="s">
        <v>5411</v>
      </c>
      <c r="B3638" t="s">
        <v>16</v>
      </c>
      <c r="C3638" t="s">
        <v>17</v>
      </c>
      <c r="D3638">
        <v>65455000</v>
      </c>
      <c r="E3638">
        <v>65459999</v>
      </c>
      <c r="F3638" t="s">
        <v>3293</v>
      </c>
      <c r="G3638" t="str">
        <f t="shared" si="112"/>
        <v>MAR</v>
      </c>
      <c r="H3638" t="s">
        <v>3213</v>
      </c>
      <c r="I3638" t="s">
        <v>20</v>
      </c>
      <c r="J3638" t="s">
        <v>77</v>
      </c>
      <c r="K3638" s="6">
        <v>0.03</v>
      </c>
      <c r="L3638" s="7">
        <f t="shared" si="113"/>
        <v>2E-3</v>
      </c>
      <c r="M3638" s="7">
        <v>3.0000000000000001E-3</v>
      </c>
      <c r="N3638">
        <v>17</v>
      </c>
      <c r="O3638" s="8">
        <v>32.902778340866817</v>
      </c>
      <c r="P3638" s="9">
        <v>32.902778340866817</v>
      </c>
      <c r="Q3638" s="9">
        <v>32.902778340866817</v>
      </c>
      <c r="R3638" s="9">
        <v>36.980915483174826</v>
      </c>
      <c r="S3638" s="9">
        <v>41.041764553716455</v>
      </c>
      <c r="T3638" s="9">
        <v>44.512516286159922</v>
      </c>
      <c r="U3638" s="9">
        <v>52.176281946965503</v>
      </c>
      <c r="V3638" s="9">
        <v>52.176281946965503</v>
      </c>
      <c r="W3638" s="9">
        <v>52.176281946965503</v>
      </c>
      <c r="X3638" s="9">
        <v>65.399646652844908</v>
      </c>
      <c r="Y3638" s="9">
        <v>65.399646652844908</v>
      </c>
      <c r="Z3638" s="9">
        <v>74.862823794027804</v>
      </c>
      <c r="AA3638" s="9">
        <v>74.862823794027804</v>
      </c>
      <c r="AB3638" s="9">
        <v>84.552915727397561</v>
      </c>
      <c r="AC3638" s="9">
        <v>84.552915727397561</v>
      </c>
      <c r="AD3638" s="9">
        <v>94.492613932172858</v>
      </c>
      <c r="AE3638" s="9">
        <v>104.70687903549428</v>
      </c>
      <c r="AF3638" s="9">
        <v>115.51364337537625</v>
      </c>
      <c r="AG3638" s="9">
        <v>115.51364337537625</v>
      </c>
      <c r="AH3638" s="9">
        <v>127.68776106627702</v>
      </c>
      <c r="AI3638" s="9">
        <v>140.22732729914276</v>
      </c>
      <c r="AJ3638" s="9">
        <v>3.0428788910505911</v>
      </c>
    </row>
    <row r="3639" spans="1:36" x14ac:dyDescent="0.25">
      <c r="A3639" t="s">
        <v>5411</v>
      </c>
      <c r="B3639" t="s">
        <v>16</v>
      </c>
      <c r="C3639" t="s">
        <v>17</v>
      </c>
      <c r="D3639">
        <v>65460000</v>
      </c>
      <c r="E3639">
        <v>65464999</v>
      </c>
      <c r="F3639" t="s">
        <v>3294</v>
      </c>
      <c r="G3639" t="str">
        <f t="shared" si="112"/>
        <v>MAR</v>
      </c>
      <c r="H3639" t="s">
        <v>3213</v>
      </c>
      <c r="I3639" t="s">
        <v>20</v>
      </c>
      <c r="J3639" t="s">
        <v>77</v>
      </c>
      <c r="K3639" s="6">
        <v>0.03</v>
      </c>
      <c r="L3639" s="7">
        <f t="shared" si="113"/>
        <v>2E-3</v>
      </c>
      <c r="M3639" s="7">
        <v>3.0000000000000001E-3</v>
      </c>
      <c r="N3639">
        <v>17</v>
      </c>
      <c r="O3639" s="8">
        <v>32.902778340866817</v>
      </c>
      <c r="P3639" s="9">
        <v>32.902778340866817</v>
      </c>
      <c r="Q3639" s="9">
        <v>32.902778340866817</v>
      </c>
      <c r="R3639" s="9">
        <v>36.980915483174826</v>
      </c>
      <c r="S3639" s="9">
        <v>41.041764553716455</v>
      </c>
      <c r="T3639" s="9">
        <v>44.512516286159922</v>
      </c>
      <c r="U3639" s="9">
        <v>52.176281946965503</v>
      </c>
      <c r="V3639" s="9">
        <v>52.176281946965503</v>
      </c>
      <c r="W3639" s="9">
        <v>52.176281946965503</v>
      </c>
      <c r="X3639" s="9">
        <v>65.399646652844908</v>
      </c>
      <c r="Y3639" s="9">
        <v>65.399646652844908</v>
      </c>
      <c r="Z3639" s="9">
        <v>74.862823794027804</v>
      </c>
      <c r="AA3639" s="9">
        <v>74.862823794027804</v>
      </c>
      <c r="AB3639" s="9">
        <v>84.552915727397561</v>
      </c>
      <c r="AC3639" s="9">
        <v>84.552915727397561</v>
      </c>
      <c r="AD3639" s="9">
        <v>94.492613932172858</v>
      </c>
      <c r="AE3639" s="9">
        <v>104.70687903549428</v>
      </c>
      <c r="AF3639" s="9">
        <v>115.51364337537625</v>
      </c>
      <c r="AG3639" s="9">
        <v>115.51364337537625</v>
      </c>
      <c r="AH3639" s="9">
        <v>127.68776106627702</v>
      </c>
      <c r="AI3639" s="9">
        <v>140.22732729914276</v>
      </c>
      <c r="AJ3639" s="9">
        <v>3.0428788910505911</v>
      </c>
    </row>
    <row r="3640" spans="1:36" x14ac:dyDescent="0.25">
      <c r="A3640" t="s">
        <v>5411</v>
      </c>
      <c r="B3640" t="s">
        <v>16</v>
      </c>
      <c r="C3640" t="s">
        <v>17</v>
      </c>
      <c r="D3640">
        <v>65465000</v>
      </c>
      <c r="E3640">
        <v>65467999</v>
      </c>
      <c r="F3640" t="s">
        <v>3295</v>
      </c>
      <c r="G3640" t="str">
        <f t="shared" si="112"/>
        <v>MAR</v>
      </c>
      <c r="H3640" t="s">
        <v>3213</v>
      </c>
      <c r="I3640" t="s">
        <v>20</v>
      </c>
      <c r="J3640" t="s">
        <v>77</v>
      </c>
      <c r="K3640" s="6">
        <v>0.03</v>
      </c>
      <c r="L3640" s="7">
        <f t="shared" si="113"/>
        <v>2E-3</v>
      </c>
      <c r="M3640" s="7">
        <v>3.0000000000000001E-3</v>
      </c>
      <c r="N3640">
        <v>17</v>
      </c>
      <c r="O3640" s="8">
        <v>32.902778340866817</v>
      </c>
      <c r="P3640" s="9">
        <v>32.902778340866817</v>
      </c>
      <c r="Q3640" s="9">
        <v>32.902778340866817</v>
      </c>
      <c r="R3640" s="9">
        <v>36.980915483174826</v>
      </c>
      <c r="S3640" s="9">
        <v>41.041764553716455</v>
      </c>
      <c r="T3640" s="9">
        <v>44.512516286159922</v>
      </c>
      <c r="U3640" s="9">
        <v>52.176281946965503</v>
      </c>
      <c r="V3640" s="9">
        <v>52.176281946965503</v>
      </c>
      <c r="W3640" s="9">
        <v>52.176281946965503</v>
      </c>
      <c r="X3640" s="9">
        <v>65.399646652844908</v>
      </c>
      <c r="Y3640" s="9">
        <v>65.399646652844908</v>
      </c>
      <c r="Z3640" s="9">
        <v>74.862823794027804</v>
      </c>
      <c r="AA3640" s="9">
        <v>74.862823794027804</v>
      </c>
      <c r="AB3640" s="9">
        <v>84.552915727397561</v>
      </c>
      <c r="AC3640" s="9">
        <v>84.552915727397561</v>
      </c>
      <c r="AD3640" s="9">
        <v>94.492613932172858</v>
      </c>
      <c r="AE3640" s="9">
        <v>104.70687903549428</v>
      </c>
      <c r="AF3640" s="9">
        <v>115.51364337537625</v>
      </c>
      <c r="AG3640" s="9">
        <v>115.51364337537625</v>
      </c>
      <c r="AH3640" s="9">
        <v>127.68776106627702</v>
      </c>
      <c r="AI3640" s="9">
        <v>140.22732729914276</v>
      </c>
      <c r="AJ3640" s="9">
        <v>3.0428788910505911</v>
      </c>
    </row>
    <row r="3641" spans="1:36" x14ac:dyDescent="0.25">
      <c r="A3641" t="s">
        <v>5411</v>
      </c>
      <c r="B3641" t="s">
        <v>16</v>
      </c>
      <c r="C3641" t="s">
        <v>17</v>
      </c>
      <c r="D3641">
        <v>65468000</v>
      </c>
      <c r="E3641">
        <v>65469999</v>
      </c>
      <c r="F3641" t="s">
        <v>3296</v>
      </c>
      <c r="G3641" t="str">
        <f t="shared" si="112"/>
        <v>MAR</v>
      </c>
      <c r="H3641" t="s">
        <v>3213</v>
      </c>
      <c r="I3641" t="s">
        <v>20</v>
      </c>
      <c r="J3641" t="s">
        <v>77</v>
      </c>
      <c r="K3641" s="6">
        <v>0.03</v>
      </c>
      <c r="L3641" s="7">
        <f t="shared" si="113"/>
        <v>2E-3</v>
      </c>
      <c r="M3641" s="7">
        <v>3.0000000000000001E-3</v>
      </c>
      <c r="N3641">
        <v>17</v>
      </c>
      <c r="O3641" s="8">
        <v>32.902778340866817</v>
      </c>
      <c r="P3641" s="9">
        <v>32.902778340866817</v>
      </c>
      <c r="Q3641" s="9">
        <v>32.902778340866817</v>
      </c>
      <c r="R3641" s="9">
        <v>36.980915483174826</v>
      </c>
      <c r="S3641" s="9">
        <v>41.041764553716455</v>
      </c>
      <c r="T3641" s="9">
        <v>44.512516286159922</v>
      </c>
      <c r="U3641" s="9">
        <v>52.176281946965503</v>
      </c>
      <c r="V3641" s="9">
        <v>52.176281946965503</v>
      </c>
      <c r="W3641" s="9">
        <v>52.176281946965503</v>
      </c>
      <c r="X3641" s="9">
        <v>65.399646652844908</v>
      </c>
      <c r="Y3641" s="9">
        <v>65.399646652844908</v>
      </c>
      <c r="Z3641" s="9">
        <v>74.862823794027804</v>
      </c>
      <c r="AA3641" s="9">
        <v>74.862823794027804</v>
      </c>
      <c r="AB3641" s="9">
        <v>84.552915727397561</v>
      </c>
      <c r="AC3641" s="9">
        <v>84.552915727397561</v>
      </c>
      <c r="AD3641" s="9">
        <v>94.492613932172858</v>
      </c>
      <c r="AE3641" s="9">
        <v>104.70687903549428</v>
      </c>
      <c r="AF3641" s="9">
        <v>115.51364337537625</v>
      </c>
      <c r="AG3641" s="9">
        <v>115.51364337537625</v>
      </c>
      <c r="AH3641" s="9">
        <v>127.68776106627702</v>
      </c>
      <c r="AI3641" s="9">
        <v>140.22732729914276</v>
      </c>
      <c r="AJ3641" s="9">
        <v>3.0428788910505911</v>
      </c>
    </row>
    <row r="3642" spans="1:36" x14ac:dyDescent="0.25">
      <c r="A3642" t="s">
        <v>5411</v>
      </c>
      <c r="B3642" t="s">
        <v>16</v>
      </c>
      <c r="C3642" t="s">
        <v>17</v>
      </c>
      <c r="D3642">
        <v>65470000</v>
      </c>
      <c r="E3642">
        <v>65479999</v>
      </c>
      <c r="F3642" t="s">
        <v>3297</v>
      </c>
      <c r="G3642" t="str">
        <f t="shared" si="112"/>
        <v>MAI</v>
      </c>
      <c r="H3642" t="s">
        <v>3213</v>
      </c>
      <c r="I3642" t="s">
        <v>20</v>
      </c>
      <c r="J3642" t="s">
        <v>62</v>
      </c>
      <c r="K3642" s="6">
        <v>0.03</v>
      </c>
      <c r="L3642" s="7">
        <f t="shared" si="113"/>
        <v>2E-3</v>
      </c>
      <c r="M3642" s="7">
        <v>3.0000000000000001E-3</v>
      </c>
      <c r="N3642">
        <v>12</v>
      </c>
      <c r="O3642" s="8">
        <v>19.350325219569864</v>
      </c>
      <c r="P3642" s="9">
        <v>19.350325219569864</v>
      </c>
      <c r="Q3642" s="9">
        <v>19.350325219569864</v>
      </c>
      <c r="R3642" s="9">
        <v>21.236423757715794</v>
      </c>
      <c r="S3642" s="9">
        <v>23.412011215821156</v>
      </c>
      <c r="T3642" s="9">
        <v>26.602346057727168</v>
      </c>
      <c r="U3642" s="9">
        <v>32.175039039197578</v>
      </c>
      <c r="V3642" s="9">
        <v>32.175039039197578</v>
      </c>
      <c r="W3642" s="9">
        <v>32.175039039197578</v>
      </c>
      <c r="X3642" s="9">
        <v>38.477190222688968</v>
      </c>
      <c r="Y3642" s="9">
        <v>38.477190222688968</v>
      </c>
      <c r="Z3642" s="9">
        <v>46.072905764910679</v>
      </c>
      <c r="AA3642" s="9">
        <v>46.072905764910679</v>
      </c>
      <c r="AB3642" s="9">
        <v>52.857194265747438</v>
      </c>
      <c r="AC3642" s="9">
        <v>52.857194265747438</v>
      </c>
      <c r="AD3642" s="9">
        <v>60.075973585900336</v>
      </c>
      <c r="AE3642" s="9">
        <v>67.207660715359779</v>
      </c>
      <c r="AF3642" s="9">
        <v>74.765164496289444</v>
      </c>
      <c r="AG3642" s="9">
        <v>74.765164496289444</v>
      </c>
      <c r="AH3642" s="9">
        <v>82.787429668365718</v>
      </c>
      <c r="AI3642" s="9">
        <v>90.699158794373588</v>
      </c>
      <c r="AJ3642" s="9">
        <v>3.0428788910505911</v>
      </c>
    </row>
    <row r="3643" spans="1:36" x14ac:dyDescent="0.25">
      <c r="A3643" t="s">
        <v>5411</v>
      </c>
      <c r="B3643" t="s">
        <v>16</v>
      </c>
      <c r="C3643" t="s">
        <v>17</v>
      </c>
      <c r="D3643">
        <v>65480000</v>
      </c>
      <c r="E3643">
        <v>65484999</v>
      </c>
      <c r="F3643" t="s">
        <v>3298</v>
      </c>
      <c r="G3643" t="str">
        <f t="shared" si="112"/>
        <v>MAR</v>
      </c>
      <c r="H3643" t="s">
        <v>3213</v>
      </c>
      <c r="I3643" t="s">
        <v>20</v>
      </c>
      <c r="J3643" t="s">
        <v>77</v>
      </c>
      <c r="K3643" s="6">
        <v>0.03</v>
      </c>
      <c r="L3643" s="7">
        <f t="shared" si="113"/>
        <v>2E-3</v>
      </c>
      <c r="M3643" s="7">
        <v>3.0000000000000001E-3</v>
      </c>
      <c r="N3643">
        <v>17</v>
      </c>
      <c r="O3643" s="8">
        <v>32.902778340866817</v>
      </c>
      <c r="P3643" s="9">
        <v>32.902778340866817</v>
      </c>
      <c r="Q3643" s="9">
        <v>32.902778340866817</v>
      </c>
      <c r="R3643" s="9">
        <v>36.980915483174826</v>
      </c>
      <c r="S3643" s="9">
        <v>41.041764553716455</v>
      </c>
      <c r="T3643" s="9">
        <v>44.512516286159922</v>
      </c>
      <c r="U3643" s="9">
        <v>52.176281946965503</v>
      </c>
      <c r="V3643" s="9">
        <v>52.176281946965503</v>
      </c>
      <c r="W3643" s="9">
        <v>52.176281946965503</v>
      </c>
      <c r="X3643" s="9">
        <v>65.399646652844908</v>
      </c>
      <c r="Y3643" s="9">
        <v>65.399646652844908</v>
      </c>
      <c r="Z3643" s="9">
        <v>74.862823794027804</v>
      </c>
      <c r="AA3643" s="9">
        <v>74.862823794027804</v>
      </c>
      <c r="AB3643" s="9">
        <v>84.552915727397561</v>
      </c>
      <c r="AC3643" s="9">
        <v>84.552915727397561</v>
      </c>
      <c r="AD3643" s="9">
        <v>94.492613932172858</v>
      </c>
      <c r="AE3643" s="9">
        <v>104.70687903549428</v>
      </c>
      <c r="AF3643" s="9">
        <v>115.51364337537625</v>
      </c>
      <c r="AG3643" s="9">
        <v>115.51364337537625</v>
      </c>
      <c r="AH3643" s="9">
        <v>127.68776106627702</v>
      </c>
      <c r="AI3643" s="9">
        <v>140.22732729914276</v>
      </c>
      <c r="AJ3643" s="9">
        <v>3.0428788910505911</v>
      </c>
    </row>
    <row r="3644" spans="1:36" x14ac:dyDescent="0.25">
      <c r="A3644" t="s">
        <v>5411</v>
      </c>
      <c r="B3644" t="s">
        <v>16</v>
      </c>
      <c r="C3644" t="s">
        <v>17</v>
      </c>
      <c r="D3644">
        <v>65485000</v>
      </c>
      <c r="E3644">
        <v>65489999</v>
      </c>
      <c r="F3644" t="s">
        <v>3299</v>
      </c>
      <c r="G3644" t="str">
        <f t="shared" si="112"/>
        <v>MAI</v>
      </c>
      <c r="H3644" t="s">
        <v>3213</v>
      </c>
      <c r="I3644" t="s">
        <v>20</v>
      </c>
      <c r="J3644" t="s">
        <v>62</v>
      </c>
      <c r="K3644" s="6">
        <v>0.03</v>
      </c>
      <c r="L3644" s="7">
        <f t="shared" si="113"/>
        <v>2E-3</v>
      </c>
      <c r="M3644" s="7">
        <v>3.0000000000000001E-3</v>
      </c>
      <c r="N3644">
        <v>12</v>
      </c>
      <c r="O3644" s="8">
        <v>19.350325219569864</v>
      </c>
      <c r="P3644" s="9">
        <v>19.350325219569864</v>
      </c>
      <c r="Q3644" s="9">
        <v>19.350325219569864</v>
      </c>
      <c r="R3644" s="9">
        <v>21.236423757715794</v>
      </c>
      <c r="S3644" s="9">
        <v>23.412011215821156</v>
      </c>
      <c r="T3644" s="9">
        <v>26.602346057727168</v>
      </c>
      <c r="U3644" s="9">
        <v>32.175039039197578</v>
      </c>
      <c r="V3644" s="9">
        <v>32.175039039197578</v>
      </c>
      <c r="W3644" s="9">
        <v>32.175039039197578</v>
      </c>
      <c r="X3644" s="9">
        <v>38.477190222688968</v>
      </c>
      <c r="Y3644" s="9">
        <v>38.477190222688968</v>
      </c>
      <c r="Z3644" s="9">
        <v>46.072905764910679</v>
      </c>
      <c r="AA3644" s="9">
        <v>46.072905764910679</v>
      </c>
      <c r="AB3644" s="9">
        <v>52.857194265747438</v>
      </c>
      <c r="AC3644" s="9">
        <v>52.857194265747438</v>
      </c>
      <c r="AD3644" s="9">
        <v>60.075973585900336</v>
      </c>
      <c r="AE3644" s="9">
        <v>67.207660715359779</v>
      </c>
      <c r="AF3644" s="9">
        <v>74.765164496289444</v>
      </c>
      <c r="AG3644" s="9">
        <v>74.765164496289444</v>
      </c>
      <c r="AH3644" s="9">
        <v>82.787429668365718</v>
      </c>
      <c r="AI3644" s="9">
        <v>90.699158794373588</v>
      </c>
      <c r="AJ3644" s="9">
        <v>3.0428788910505911</v>
      </c>
    </row>
    <row r="3645" spans="1:36" x14ac:dyDescent="0.25">
      <c r="A3645" t="s">
        <v>5411</v>
      </c>
      <c r="B3645" t="s">
        <v>16</v>
      </c>
      <c r="C3645" t="s">
        <v>17</v>
      </c>
      <c r="D3645">
        <v>65490000</v>
      </c>
      <c r="E3645">
        <v>65494999</v>
      </c>
      <c r="F3645" t="s">
        <v>3300</v>
      </c>
      <c r="G3645" t="str">
        <f t="shared" si="112"/>
        <v>MAR</v>
      </c>
      <c r="H3645" t="s">
        <v>3213</v>
      </c>
      <c r="I3645" t="s">
        <v>20</v>
      </c>
      <c r="J3645" t="s">
        <v>77</v>
      </c>
      <c r="K3645" s="6">
        <v>0.03</v>
      </c>
      <c r="L3645" s="7">
        <f t="shared" si="113"/>
        <v>2E-3</v>
      </c>
      <c r="M3645" s="7">
        <v>3.0000000000000001E-3</v>
      </c>
      <c r="N3645">
        <v>17</v>
      </c>
      <c r="O3645" s="8">
        <v>32.902778340866817</v>
      </c>
      <c r="P3645" s="9">
        <v>32.902778340866817</v>
      </c>
      <c r="Q3645" s="9">
        <v>32.902778340866817</v>
      </c>
      <c r="R3645" s="9">
        <v>36.980915483174826</v>
      </c>
      <c r="S3645" s="9">
        <v>41.041764553716455</v>
      </c>
      <c r="T3645" s="9">
        <v>44.512516286159922</v>
      </c>
      <c r="U3645" s="9">
        <v>52.176281946965503</v>
      </c>
      <c r="V3645" s="9">
        <v>52.176281946965503</v>
      </c>
      <c r="W3645" s="9">
        <v>52.176281946965503</v>
      </c>
      <c r="X3645" s="9">
        <v>65.399646652844908</v>
      </c>
      <c r="Y3645" s="9">
        <v>65.399646652844908</v>
      </c>
      <c r="Z3645" s="9">
        <v>74.862823794027804</v>
      </c>
      <c r="AA3645" s="9">
        <v>74.862823794027804</v>
      </c>
      <c r="AB3645" s="9">
        <v>84.552915727397561</v>
      </c>
      <c r="AC3645" s="9">
        <v>84.552915727397561</v>
      </c>
      <c r="AD3645" s="9">
        <v>94.492613932172858</v>
      </c>
      <c r="AE3645" s="9">
        <v>104.70687903549428</v>
      </c>
      <c r="AF3645" s="9">
        <v>115.51364337537625</v>
      </c>
      <c r="AG3645" s="9">
        <v>115.51364337537625</v>
      </c>
      <c r="AH3645" s="9">
        <v>127.68776106627702</v>
      </c>
      <c r="AI3645" s="9">
        <v>140.22732729914276</v>
      </c>
      <c r="AJ3645" s="9">
        <v>3.0428788910505911</v>
      </c>
    </row>
    <row r="3646" spans="1:36" x14ac:dyDescent="0.25">
      <c r="A3646" t="s">
        <v>5411</v>
      </c>
      <c r="B3646" t="s">
        <v>16</v>
      </c>
      <c r="C3646" t="s">
        <v>17</v>
      </c>
      <c r="D3646">
        <v>65495000</v>
      </c>
      <c r="E3646">
        <v>65499999</v>
      </c>
      <c r="F3646" t="s">
        <v>3301</v>
      </c>
      <c r="G3646" t="str">
        <f t="shared" si="112"/>
        <v>MAR</v>
      </c>
      <c r="H3646" t="s">
        <v>3213</v>
      </c>
      <c r="I3646" t="s">
        <v>20</v>
      </c>
      <c r="J3646" t="s">
        <v>77</v>
      </c>
      <c r="K3646" s="6">
        <v>0.03</v>
      </c>
      <c r="L3646" s="7">
        <f t="shared" si="113"/>
        <v>2E-3</v>
      </c>
      <c r="M3646" s="7">
        <v>3.0000000000000001E-3</v>
      </c>
      <c r="N3646">
        <v>17</v>
      </c>
      <c r="O3646" s="8">
        <v>32.902778340866817</v>
      </c>
      <c r="P3646" s="9">
        <v>32.902778340866817</v>
      </c>
      <c r="Q3646" s="9">
        <v>32.902778340866817</v>
      </c>
      <c r="R3646" s="9">
        <v>36.980915483174826</v>
      </c>
      <c r="S3646" s="9">
        <v>41.041764553716455</v>
      </c>
      <c r="T3646" s="9">
        <v>44.512516286159922</v>
      </c>
      <c r="U3646" s="9">
        <v>52.176281946965503</v>
      </c>
      <c r="V3646" s="9">
        <v>52.176281946965503</v>
      </c>
      <c r="W3646" s="9">
        <v>52.176281946965503</v>
      </c>
      <c r="X3646" s="9">
        <v>65.399646652844908</v>
      </c>
      <c r="Y3646" s="9">
        <v>65.399646652844908</v>
      </c>
      <c r="Z3646" s="9">
        <v>74.862823794027804</v>
      </c>
      <c r="AA3646" s="9">
        <v>74.862823794027804</v>
      </c>
      <c r="AB3646" s="9">
        <v>84.552915727397561</v>
      </c>
      <c r="AC3646" s="9">
        <v>84.552915727397561</v>
      </c>
      <c r="AD3646" s="9">
        <v>94.492613932172858</v>
      </c>
      <c r="AE3646" s="9">
        <v>104.70687903549428</v>
      </c>
      <c r="AF3646" s="9">
        <v>115.51364337537625</v>
      </c>
      <c r="AG3646" s="9">
        <v>115.51364337537625</v>
      </c>
      <c r="AH3646" s="9">
        <v>127.68776106627702</v>
      </c>
      <c r="AI3646" s="9">
        <v>140.22732729914276</v>
      </c>
      <c r="AJ3646" s="9">
        <v>3.0428788910505911</v>
      </c>
    </row>
    <row r="3647" spans="1:36" x14ac:dyDescent="0.25">
      <c r="A3647" t="s">
        <v>5411</v>
      </c>
      <c r="B3647" t="s">
        <v>16</v>
      </c>
      <c r="C3647" t="s">
        <v>17</v>
      </c>
      <c r="D3647">
        <v>65500000</v>
      </c>
      <c r="E3647">
        <v>65504999</v>
      </c>
      <c r="F3647" t="s">
        <v>3302</v>
      </c>
      <c r="G3647" t="str">
        <f t="shared" si="112"/>
        <v>MAI</v>
      </c>
      <c r="H3647" t="s">
        <v>3213</v>
      </c>
      <c r="I3647" t="s">
        <v>20</v>
      </c>
      <c r="J3647" t="s">
        <v>62</v>
      </c>
      <c r="K3647" s="6">
        <v>0.03</v>
      </c>
      <c r="L3647" s="7">
        <f t="shared" si="113"/>
        <v>2E-3</v>
      </c>
      <c r="M3647" s="7">
        <v>3.0000000000000001E-3</v>
      </c>
      <c r="N3647">
        <v>12</v>
      </c>
      <c r="O3647" s="8">
        <v>19.350325219569864</v>
      </c>
      <c r="P3647" s="9">
        <v>19.350325219569864</v>
      </c>
      <c r="Q3647" s="9">
        <v>19.350325219569864</v>
      </c>
      <c r="R3647" s="9">
        <v>21.236423757715794</v>
      </c>
      <c r="S3647" s="9">
        <v>23.412011215821156</v>
      </c>
      <c r="T3647" s="9">
        <v>26.602346057727168</v>
      </c>
      <c r="U3647" s="9">
        <v>32.175039039197578</v>
      </c>
      <c r="V3647" s="9">
        <v>32.175039039197578</v>
      </c>
      <c r="W3647" s="9">
        <v>32.175039039197578</v>
      </c>
      <c r="X3647" s="9">
        <v>38.477190222688968</v>
      </c>
      <c r="Y3647" s="9">
        <v>38.477190222688968</v>
      </c>
      <c r="Z3647" s="9">
        <v>46.072905764910679</v>
      </c>
      <c r="AA3647" s="9">
        <v>46.072905764910679</v>
      </c>
      <c r="AB3647" s="9">
        <v>52.857194265747438</v>
      </c>
      <c r="AC3647" s="9">
        <v>52.857194265747438</v>
      </c>
      <c r="AD3647" s="9">
        <v>60.075973585900336</v>
      </c>
      <c r="AE3647" s="9">
        <v>67.207660715359779</v>
      </c>
      <c r="AF3647" s="9">
        <v>74.765164496289444</v>
      </c>
      <c r="AG3647" s="9">
        <v>74.765164496289444</v>
      </c>
      <c r="AH3647" s="9">
        <v>82.787429668365718</v>
      </c>
      <c r="AI3647" s="9">
        <v>90.699158794373588</v>
      </c>
      <c r="AJ3647" s="9">
        <v>3.0428788910505911</v>
      </c>
    </row>
    <row r="3648" spans="1:36" x14ac:dyDescent="0.25">
      <c r="A3648" t="s">
        <v>5411</v>
      </c>
      <c r="B3648" t="s">
        <v>16</v>
      </c>
      <c r="C3648" t="s">
        <v>17</v>
      </c>
      <c r="D3648">
        <v>65505000</v>
      </c>
      <c r="E3648">
        <v>65509999</v>
      </c>
      <c r="F3648" t="s">
        <v>3303</v>
      </c>
      <c r="G3648" t="str">
        <f t="shared" si="112"/>
        <v>MAR</v>
      </c>
      <c r="H3648" t="s">
        <v>3213</v>
      </c>
      <c r="I3648" t="s">
        <v>20</v>
      </c>
      <c r="J3648" t="s">
        <v>77</v>
      </c>
      <c r="K3648" s="6">
        <v>0.03</v>
      </c>
      <c r="L3648" s="7">
        <f t="shared" si="113"/>
        <v>2E-3</v>
      </c>
      <c r="M3648" s="7">
        <v>3.0000000000000001E-3</v>
      </c>
      <c r="N3648">
        <v>17</v>
      </c>
      <c r="O3648" s="8">
        <v>32.902778340866817</v>
      </c>
      <c r="P3648" s="9">
        <v>32.902778340866817</v>
      </c>
      <c r="Q3648" s="9">
        <v>32.902778340866817</v>
      </c>
      <c r="R3648" s="9">
        <v>36.980915483174826</v>
      </c>
      <c r="S3648" s="9">
        <v>41.041764553716455</v>
      </c>
      <c r="T3648" s="9">
        <v>44.512516286159922</v>
      </c>
      <c r="U3648" s="9">
        <v>52.176281946965503</v>
      </c>
      <c r="V3648" s="9">
        <v>52.176281946965503</v>
      </c>
      <c r="W3648" s="9">
        <v>52.176281946965503</v>
      </c>
      <c r="X3648" s="9">
        <v>65.399646652844908</v>
      </c>
      <c r="Y3648" s="9">
        <v>65.399646652844908</v>
      </c>
      <c r="Z3648" s="9">
        <v>74.862823794027804</v>
      </c>
      <c r="AA3648" s="9">
        <v>74.862823794027804</v>
      </c>
      <c r="AB3648" s="9">
        <v>84.552915727397561</v>
      </c>
      <c r="AC3648" s="9">
        <v>84.552915727397561</v>
      </c>
      <c r="AD3648" s="9">
        <v>94.492613932172858</v>
      </c>
      <c r="AE3648" s="9">
        <v>104.70687903549428</v>
      </c>
      <c r="AF3648" s="9">
        <v>115.51364337537625</v>
      </c>
      <c r="AG3648" s="9">
        <v>115.51364337537625</v>
      </c>
      <c r="AH3648" s="9">
        <v>127.68776106627702</v>
      </c>
      <c r="AI3648" s="9">
        <v>140.22732729914276</v>
      </c>
      <c r="AJ3648" s="9">
        <v>3.0428788910505911</v>
      </c>
    </row>
    <row r="3649" spans="1:36" x14ac:dyDescent="0.25">
      <c r="A3649" t="s">
        <v>5411</v>
      </c>
      <c r="B3649" t="s">
        <v>16</v>
      </c>
      <c r="C3649" t="s">
        <v>17</v>
      </c>
      <c r="D3649">
        <v>65510000</v>
      </c>
      <c r="E3649">
        <v>65514999</v>
      </c>
      <c r="F3649" t="s">
        <v>3304</v>
      </c>
      <c r="G3649" t="str">
        <f t="shared" si="112"/>
        <v>MAR</v>
      </c>
      <c r="H3649" t="s">
        <v>3213</v>
      </c>
      <c r="I3649" t="s">
        <v>20</v>
      </c>
      <c r="J3649" t="s">
        <v>77</v>
      </c>
      <c r="K3649" s="6">
        <v>0.03</v>
      </c>
      <c r="L3649" s="7">
        <f t="shared" si="113"/>
        <v>2E-3</v>
      </c>
      <c r="M3649" s="7">
        <v>3.0000000000000001E-3</v>
      </c>
      <c r="N3649">
        <v>17</v>
      </c>
      <c r="O3649" s="8">
        <v>32.902778340866817</v>
      </c>
      <c r="P3649" s="9">
        <v>32.902778340866817</v>
      </c>
      <c r="Q3649" s="9">
        <v>32.902778340866817</v>
      </c>
      <c r="R3649" s="9">
        <v>36.980915483174826</v>
      </c>
      <c r="S3649" s="9">
        <v>41.041764553716455</v>
      </c>
      <c r="T3649" s="9">
        <v>44.512516286159922</v>
      </c>
      <c r="U3649" s="9">
        <v>52.176281946965503</v>
      </c>
      <c r="V3649" s="9">
        <v>52.176281946965503</v>
      </c>
      <c r="W3649" s="9">
        <v>52.176281946965503</v>
      </c>
      <c r="X3649" s="9">
        <v>65.399646652844908</v>
      </c>
      <c r="Y3649" s="9">
        <v>65.399646652844908</v>
      </c>
      <c r="Z3649" s="9">
        <v>74.862823794027804</v>
      </c>
      <c r="AA3649" s="9">
        <v>74.862823794027804</v>
      </c>
      <c r="AB3649" s="9">
        <v>84.552915727397561</v>
      </c>
      <c r="AC3649" s="9">
        <v>84.552915727397561</v>
      </c>
      <c r="AD3649" s="9">
        <v>94.492613932172858</v>
      </c>
      <c r="AE3649" s="9">
        <v>104.70687903549428</v>
      </c>
      <c r="AF3649" s="9">
        <v>115.51364337537625</v>
      </c>
      <c r="AG3649" s="9">
        <v>115.51364337537625</v>
      </c>
      <c r="AH3649" s="9">
        <v>127.68776106627702</v>
      </c>
      <c r="AI3649" s="9">
        <v>140.22732729914276</v>
      </c>
      <c r="AJ3649" s="9">
        <v>3.0428788910505911</v>
      </c>
    </row>
    <row r="3650" spans="1:36" x14ac:dyDescent="0.25">
      <c r="A3650" t="s">
        <v>5411</v>
      </c>
      <c r="B3650" t="s">
        <v>16</v>
      </c>
      <c r="C3650" t="s">
        <v>17</v>
      </c>
      <c r="D3650">
        <v>65515000</v>
      </c>
      <c r="E3650">
        <v>65519999</v>
      </c>
      <c r="F3650" t="s">
        <v>3305</v>
      </c>
      <c r="G3650" t="str">
        <f t="shared" si="112"/>
        <v>MAR</v>
      </c>
      <c r="H3650" t="s">
        <v>3213</v>
      </c>
      <c r="I3650" t="s">
        <v>20</v>
      </c>
      <c r="J3650" t="s">
        <v>77</v>
      </c>
      <c r="K3650" s="6">
        <v>0.03</v>
      </c>
      <c r="L3650" s="7">
        <f t="shared" si="113"/>
        <v>2E-3</v>
      </c>
      <c r="M3650" s="7">
        <v>3.0000000000000001E-3</v>
      </c>
      <c r="N3650">
        <v>17</v>
      </c>
      <c r="O3650" s="8">
        <v>32.902778340866817</v>
      </c>
      <c r="P3650" s="9">
        <v>32.902778340866817</v>
      </c>
      <c r="Q3650" s="9">
        <v>32.902778340866817</v>
      </c>
      <c r="R3650" s="9">
        <v>36.980915483174826</v>
      </c>
      <c r="S3650" s="9">
        <v>41.041764553716455</v>
      </c>
      <c r="T3650" s="9">
        <v>44.512516286159922</v>
      </c>
      <c r="U3650" s="9">
        <v>52.176281946965503</v>
      </c>
      <c r="V3650" s="9">
        <v>52.176281946965503</v>
      </c>
      <c r="W3650" s="9">
        <v>52.176281946965503</v>
      </c>
      <c r="X3650" s="9">
        <v>65.399646652844908</v>
      </c>
      <c r="Y3650" s="9">
        <v>65.399646652844908</v>
      </c>
      <c r="Z3650" s="9">
        <v>74.862823794027804</v>
      </c>
      <c r="AA3650" s="9">
        <v>74.862823794027804</v>
      </c>
      <c r="AB3650" s="9">
        <v>84.552915727397561</v>
      </c>
      <c r="AC3650" s="9">
        <v>84.552915727397561</v>
      </c>
      <c r="AD3650" s="9">
        <v>94.492613932172858</v>
      </c>
      <c r="AE3650" s="9">
        <v>104.70687903549428</v>
      </c>
      <c r="AF3650" s="9">
        <v>115.51364337537625</v>
      </c>
      <c r="AG3650" s="9">
        <v>115.51364337537625</v>
      </c>
      <c r="AH3650" s="9">
        <v>127.68776106627702</v>
      </c>
      <c r="AI3650" s="9">
        <v>140.22732729914276</v>
      </c>
      <c r="AJ3650" s="9">
        <v>3.0428788910505911</v>
      </c>
    </row>
    <row r="3651" spans="1:36" x14ac:dyDescent="0.25">
      <c r="A3651" t="s">
        <v>5411</v>
      </c>
      <c r="B3651" t="s">
        <v>16</v>
      </c>
      <c r="C3651" t="s">
        <v>17</v>
      </c>
      <c r="D3651">
        <v>65520000</v>
      </c>
      <c r="E3651">
        <v>65524999</v>
      </c>
      <c r="F3651" t="s">
        <v>3306</v>
      </c>
      <c r="G3651" t="str">
        <f t="shared" si="112"/>
        <v>MAR</v>
      </c>
      <c r="H3651" t="s">
        <v>3213</v>
      </c>
      <c r="I3651" t="s">
        <v>20</v>
      </c>
      <c r="J3651" t="s">
        <v>77</v>
      </c>
      <c r="K3651" s="6">
        <v>0.03</v>
      </c>
      <c r="L3651" s="7">
        <f t="shared" si="113"/>
        <v>2E-3</v>
      </c>
      <c r="M3651" s="7">
        <v>3.0000000000000001E-3</v>
      </c>
      <c r="N3651">
        <v>17</v>
      </c>
      <c r="O3651" s="8">
        <v>32.902778340866817</v>
      </c>
      <c r="P3651" s="9">
        <v>32.902778340866817</v>
      </c>
      <c r="Q3651" s="9">
        <v>32.902778340866817</v>
      </c>
      <c r="R3651" s="9">
        <v>36.980915483174826</v>
      </c>
      <c r="S3651" s="9">
        <v>41.041764553716455</v>
      </c>
      <c r="T3651" s="9">
        <v>44.512516286159922</v>
      </c>
      <c r="U3651" s="9">
        <v>52.176281946965503</v>
      </c>
      <c r="V3651" s="9">
        <v>52.176281946965503</v>
      </c>
      <c r="W3651" s="9">
        <v>52.176281946965503</v>
      </c>
      <c r="X3651" s="9">
        <v>65.399646652844908</v>
      </c>
      <c r="Y3651" s="9">
        <v>65.399646652844908</v>
      </c>
      <c r="Z3651" s="9">
        <v>74.862823794027804</v>
      </c>
      <c r="AA3651" s="9">
        <v>74.862823794027804</v>
      </c>
      <c r="AB3651" s="9">
        <v>84.552915727397561</v>
      </c>
      <c r="AC3651" s="9">
        <v>84.552915727397561</v>
      </c>
      <c r="AD3651" s="9">
        <v>94.492613932172858</v>
      </c>
      <c r="AE3651" s="9">
        <v>104.70687903549428</v>
      </c>
      <c r="AF3651" s="9">
        <v>115.51364337537625</v>
      </c>
      <c r="AG3651" s="9">
        <v>115.51364337537625</v>
      </c>
      <c r="AH3651" s="9">
        <v>127.68776106627702</v>
      </c>
      <c r="AI3651" s="9">
        <v>140.22732729914276</v>
      </c>
      <c r="AJ3651" s="9">
        <v>3.0428788910505911</v>
      </c>
    </row>
    <row r="3652" spans="1:36" x14ac:dyDescent="0.25">
      <c r="A3652" t="s">
        <v>5411</v>
      </c>
      <c r="B3652" t="s">
        <v>16</v>
      </c>
      <c r="C3652" t="s">
        <v>17</v>
      </c>
      <c r="D3652">
        <v>65525000</v>
      </c>
      <c r="E3652">
        <v>65529999</v>
      </c>
      <c r="F3652" t="s">
        <v>3307</v>
      </c>
      <c r="G3652" t="str">
        <f t="shared" ref="G3652:G3715" si="114">H3652&amp;IF(J3652="CAPITAL","C",IF(J3652="INTERIOR","I",IF(J3652="INTERIOR II","I II","R")))</f>
        <v>MAR</v>
      </c>
      <c r="H3652" t="s">
        <v>3213</v>
      </c>
      <c r="I3652" t="s">
        <v>20</v>
      </c>
      <c r="J3652" t="s">
        <v>77</v>
      </c>
      <c r="K3652" s="6">
        <v>0.03</v>
      </c>
      <c r="L3652" s="7">
        <f t="shared" ref="L3652:L3715" si="115">IF(I3652="(0) Não",0.2%,3%)</f>
        <v>2E-3</v>
      </c>
      <c r="M3652" s="7">
        <v>3.0000000000000001E-3</v>
      </c>
      <c r="N3652">
        <v>17</v>
      </c>
      <c r="O3652" s="8">
        <v>32.902778340866817</v>
      </c>
      <c r="P3652" s="9">
        <v>32.902778340866817</v>
      </c>
      <c r="Q3652" s="9">
        <v>32.902778340866817</v>
      </c>
      <c r="R3652" s="9">
        <v>36.980915483174826</v>
      </c>
      <c r="S3652" s="9">
        <v>41.041764553716455</v>
      </c>
      <c r="T3652" s="9">
        <v>44.512516286159922</v>
      </c>
      <c r="U3652" s="9">
        <v>52.176281946965503</v>
      </c>
      <c r="V3652" s="9">
        <v>52.176281946965503</v>
      </c>
      <c r="W3652" s="9">
        <v>52.176281946965503</v>
      </c>
      <c r="X3652" s="9">
        <v>65.399646652844908</v>
      </c>
      <c r="Y3652" s="9">
        <v>65.399646652844908</v>
      </c>
      <c r="Z3652" s="9">
        <v>74.862823794027804</v>
      </c>
      <c r="AA3652" s="9">
        <v>74.862823794027804</v>
      </c>
      <c r="AB3652" s="9">
        <v>84.552915727397561</v>
      </c>
      <c r="AC3652" s="9">
        <v>84.552915727397561</v>
      </c>
      <c r="AD3652" s="9">
        <v>94.492613932172858</v>
      </c>
      <c r="AE3652" s="9">
        <v>104.70687903549428</v>
      </c>
      <c r="AF3652" s="9">
        <v>115.51364337537625</v>
      </c>
      <c r="AG3652" s="9">
        <v>115.51364337537625</v>
      </c>
      <c r="AH3652" s="9">
        <v>127.68776106627702</v>
      </c>
      <c r="AI3652" s="9">
        <v>140.22732729914276</v>
      </c>
      <c r="AJ3652" s="9">
        <v>3.0428788910505911</v>
      </c>
    </row>
    <row r="3653" spans="1:36" x14ac:dyDescent="0.25">
      <c r="A3653" t="s">
        <v>5411</v>
      </c>
      <c r="B3653" t="s">
        <v>16</v>
      </c>
      <c r="C3653" t="s">
        <v>17</v>
      </c>
      <c r="D3653">
        <v>65530000</v>
      </c>
      <c r="E3653">
        <v>65534999</v>
      </c>
      <c r="F3653" t="s">
        <v>3308</v>
      </c>
      <c r="G3653" t="str">
        <f t="shared" si="114"/>
        <v>MAR</v>
      </c>
      <c r="H3653" t="s">
        <v>3213</v>
      </c>
      <c r="I3653" t="s">
        <v>20</v>
      </c>
      <c r="J3653" t="s">
        <v>77</v>
      </c>
      <c r="K3653" s="6">
        <v>0.03</v>
      </c>
      <c r="L3653" s="7">
        <f t="shared" si="115"/>
        <v>2E-3</v>
      </c>
      <c r="M3653" s="7">
        <v>3.0000000000000001E-3</v>
      </c>
      <c r="N3653">
        <v>17</v>
      </c>
      <c r="O3653" s="8">
        <v>32.902778340866817</v>
      </c>
      <c r="P3653" s="9">
        <v>32.902778340866817</v>
      </c>
      <c r="Q3653" s="9">
        <v>32.902778340866817</v>
      </c>
      <c r="R3653" s="9">
        <v>36.980915483174826</v>
      </c>
      <c r="S3653" s="9">
        <v>41.041764553716455</v>
      </c>
      <c r="T3653" s="9">
        <v>44.512516286159922</v>
      </c>
      <c r="U3653" s="9">
        <v>52.176281946965503</v>
      </c>
      <c r="V3653" s="9">
        <v>52.176281946965503</v>
      </c>
      <c r="W3653" s="9">
        <v>52.176281946965503</v>
      </c>
      <c r="X3653" s="9">
        <v>65.399646652844908</v>
      </c>
      <c r="Y3653" s="9">
        <v>65.399646652844908</v>
      </c>
      <c r="Z3653" s="9">
        <v>74.862823794027804</v>
      </c>
      <c r="AA3653" s="9">
        <v>74.862823794027804</v>
      </c>
      <c r="AB3653" s="9">
        <v>84.552915727397561</v>
      </c>
      <c r="AC3653" s="9">
        <v>84.552915727397561</v>
      </c>
      <c r="AD3653" s="9">
        <v>94.492613932172858</v>
      </c>
      <c r="AE3653" s="9">
        <v>104.70687903549428</v>
      </c>
      <c r="AF3653" s="9">
        <v>115.51364337537625</v>
      </c>
      <c r="AG3653" s="9">
        <v>115.51364337537625</v>
      </c>
      <c r="AH3653" s="9">
        <v>127.68776106627702</v>
      </c>
      <c r="AI3653" s="9">
        <v>140.22732729914276</v>
      </c>
      <c r="AJ3653" s="9">
        <v>3.0428788910505911</v>
      </c>
    </row>
    <row r="3654" spans="1:36" x14ac:dyDescent="0.25">
      <c r="A3654" t="s">
        <v>5411</v>
      </c>
      <c r="B3654" t="s">
        <v>16</v>
      </c>
      <c r="C3654" t="s">
        <v>17</v>
      </c>
      <c r="D3654">
        <v>65535000</v>
      </c>
      <c r="E3654">
        <v>65539999</v>
      </c>
      <c r="F3654" t="s">
        <v>3309</v>
      </c>
      <c r="G3654" t="str">
        <f t="shared" si="114"/>
        <v>MAR</v>
      </c>
      <c r="H3654" t="s">
        <v>3213</v>
      </c>
      <c r="I3654" t="s">
        <v>20</v>
      </c>
      <c r="J3654" t="s">
        <v>77</v>
      </c>
      <c r="K3654" s="6">
        <v>0.03</v>
      </c>
      <c r="L3654" s="7">
        <f t="shared" si="115"/>
        <v>2E-3</v>
      </c>
      <c r="M3654" s="7">
        <v>3.0000000000000001E-3</v>
      </c>
      <c r="N3654">
        <v>17</v>
      </c>
      <c r="O3654" s="8">
        <v>32.902778340866817</v>
      </c>
      <c r="P3654" s="9">
        <v>32.902778340866817</v>
      </c>
      <c r="Q3654" s="9">
        <v>32.902778340866817</v>
      </c>
      <c r="R3654" s="9">
        <v>36.980915483174826</v>
      </c>
      <c r="S3654" s="9">
        <v>41.041764553716455</v>
      </c>
      <c r="T3654" s="9">
        <v>44.512516286159922</v>
      </c>
      <c r="U3654" s="9">
        <v>52.176281946965503</v>
      </c>
      <c r="V3654" s="9">
        <v>52.176281946965503</v>
      </c>
      <c r="W3654" s="9">
        <v>52.176281946965503</v>
      </c>
      <c r="X3654" s="9">
        <v>65.399646652844908</v>
      </c>
      <c r="Y3654" s="9">
        <v>65.399646652844908</v>
      </c>
      <c r="Z3654" s="9">
        <v>74.862823794027804</v>
      </c>
      <c r="AA3654" s="9">
        <v>74.862823794027804</v>
      </c>
      <c r="AB3654" s="9">
        <v>84.552915727397561</v>
      </c>
      <c r="AC3654" s="9">
        <v>84.552915727397561</v>
      </c>
      <c r="AD3654" s="9">
        <v>94.492613932172858</v>
      </c>
      <c r="AE3654" s="9">
        <v>104.70687903549428</v>
      </c>
      <c r="AF3654" s="9">
        <v>115.51364337537625</v>
      </c>
      <c r="AG3654" s="9">
        <v>115.51364337537625</v>
      </c>
      <c r="AH3654" s="9">
        <v>127.68776106627702</v>
      </c>
      <c r="AI3654" s="9">
        <v>140.22732729914276</v>
      </c>
      <c r="AJ3654" s="9">
        <v>3.0428788910505911</v>
      </c>
    </row>
    <row r="3655" spans="1:36" x14ac:dyDescent="0.25">
      <c r="A3655" t="s">
        <v>5411</v>
      </c>
      <c r="B3655" t="s">
        <v>16</v>
      </c>
      <c r="C3655" t="s">
        <v>17</v>
      </c>
      <c r="D3655">
        <v>65540000</v>
      </c>
      <c r="E3655">
        <v>65544999</v>
      </c>
      <c r="F3655" t="s">
        <v>3310</v>
      </c>
      <c r="G3655" t="str">
        <f t="shared" si="114"/>
        <v>MAR</v>
      </c>
      <c r="H3655" t="s">
        <v>3213</v>
      </c>
      <c r="I3655" t="s">
        <v>20</v>
      </c>
      <c r="J3655" t="s">
        <v>77</v>
      </c>
      <c r="K3655" s="6">
        <v>0.03</v>
      </c>
      <c r="L3655" s="7">
        <f t="shared" si="115"/>
        <v>2E-3</v>
      </c>
      <c r="M3655" s="7">
        <v>3.0000000000000001E-3</v>
      </c>
      <c r="N3655">
        <v>17</v>
      </c>
      <c r="O3655" s="8">
        <v>32.902778340866817</v>
      </c>
      <c r="P3655" s="9">
        <v>32.902778340866817</v>
      </c>
      <c r="Q3655" s="9">
        <v>32.902778340866817</v>
      </c>
      <c r="R3655" s="9">
        <v>36.980915483174826</v>
      </c>
      <c r="S3655" s="9">
        <v>41.041764553716455</v>
      </c>
      <c r="T3655" s="9">
        <v>44.512516286159922</v>
      </c>
      <c r="U3655" s="9">
        <v>52.176281946965503</v>
      </c>
      <c r="V3655" s="9">
        <v>52.176281946965503</v>
      </c>
      <c r="W3655" s="9">
        <v>52.176281946965503</v>
      </c>
      <c r="X3655" s="9">
        <v>65.399646652844908</v>
      </c>
      <c r="Y3655" s="9">
        <v>65.399646652844908</v>
      </c>
      <c r="Z3655" s="9">
        <v>74.862823794027804</v>
      </c>
      <c r="AA3655" s="9">
        <v>74.862823794027804</v>
      </c>
      <c r="AB3655" s="9">
        <v>84.552915727397561</v>
      </c>
      <c r="AC3655" s="9">
        <v>84.552915727397561</v>
      </c>
      <c r="AD3655" s="9">
        <v>94.492613932172858</v>
      </c>
      <c r="AE3655" s="9">
        <v>104.70687903549428</v>
      </c>
      <c r="AF3655" s="9">
        <v>115.51364337537625</v>
      </c>
      <c r="AG3655" s="9">
        <v>115.51364337537625</v>
      </c>
      <c r="AH3655" s="9">
        <v>127.68776106627702</v>
      </c>
      <c r="AI3655" s="9">
        <v>140.22732729914276</v>
      </c>
      <c r="AJ3655" s="9">
        <v>3.0428788910505911</v>
      </c>
    </row>
    <row r="3656" spans="1:36" x14ac:dyDescent="0.25">
      <c r="A3656" t="s">
        <v>5411</v>
      </c>
      <c r="B3656" t="s">
        <v>16</v>
      </c>
      <c r="C3656" t="s">
        <v>17</v>
      </c>
      <c r="D3656">
        <v>65545000</v>
      </c>
      <c r="E3656">
        <v>65549999</v>
      </c>
      <c r="F3656" t="s">
        <v>3311</v>
      </c>
      <c r="G3656" t="str">
        <f t="shared" si="114"/>
        <v>MAR</v>
      </c>
      <c r="H3656" t="s">
        <v>3213</v>
      </c>
      <c r="I3656" t="s">
        <v>20</v>
      </c>
      <c r="J3656" t="s">
        <v>77</v>
      </c>
      <c r="K3656" s="6">
        <v>0.03</v>
      </c>
      <c r="L3656" s="7">
        <f t="shared" si="115"/>
        <v>2E-3</v>
      </c>
      <c r="M3656" s="7">
        <v>3.0000000000000001E-3</v>
      </c>
      <c r="N3656">
        <v>17</v>
      </c>
      <c r="O3656" s="8">
        <v>32.902778340866817</v>
      </c>
      <c r="P3656" s="9">
        <v>32.902778340866817</v>
      </c>
      <c r="Q3656" s="9">
        <v>32.902778340866817</v>
      </c>
      <c r="R3656" s="9">
        <v>36.980915483174826</v>
      </c>
      <c r="S3656" s="9">
        <v>41.041764553716455</v>
      </c>
      <c r="T3656" s="9">
        <v>44.512516286159922</v>
      </c>
      <c r="U3656" s="9">
        <v>52.176281946965503</v>
      </c>
      <c r="V3656" s="9">
        <v>52.176281946965503</v>
      </c>
      <c r="W3656" s="9">
        <v>52.176281946965503</v>
      </c>
      <c r="X3656" s="9">
        <v>65.399646652844908</v>
      </c>
      <c r="Y3656" s="9">
        <v>65.399646652844908</v>
      </c>
      <c r="Z3656" s="9">
        <v>74.862823794027804</v>
      </c>
      <c r="AA3656" s="9">
        <v>74.862823794027804</v>
      </c>
      <c r="AB3656" s="9">
        <v>84.552915727397561</v>
      </c>
      <c r="AC3656" s="9">
        <v>84.552915727397561</v>
      </c>
      <c r="AD3656" s="9">
        <v>94.492613932172858</v>
      </c>
      <c r="AE3656" s="9">
        <v>104.70687903549428</v>
      </c>
      <c r="AF3656" s="9">
        <v>115.51364337537625</v>
      </c>
      <c r="AG3656" s="9">
        <v>115.51364337537625</v>
      </c>
      <c r="AH3656" s="9">
        <v>127.68776106627702</v>
      </c>
      <c r="AI3656" s="9">
        <v>140.22732729914276</v>
      </c>
      <c r="AJ3656" s="9">
        <v>3.0428788910505911</v>
      </c>
    </row>
    <row r="3657" spans="1:36" x14ac:dyDescent="0.25">
      <c r="A3657" t="s">
        <v>5411</v>
      </c>
      <c r="B3657" t="s">
        <v>16</v>
      </c>
      <c r="C3657" t="s">
        <v>17</v>
      </c>
      <c r="D3657">
        <v>65550000</v>
      </c>
      <c r="E3657">
        <v>65554999</v>
      </c>
      <c r="F3657" t="s">
        <v>3312</v>
      </c>
      <c r="G3657" t="str">
        <f t="shared" si="114"/>
        <v>MAR</v>
      </c>
      <c r="H3657" t="s">
        <v>3213</v>
      </c>
      <c r="I3657" t="s">
        <v>20</v>
      </c>
      <c r="J3657" t="s">
        <v>77</v>
      </c>
      <c r="K3657" s="6">
        <v>0.03</v>
      </c>
      <c r="L3657" s="7">
        <f t="shared" si="115"/>
        <v>2E-3</v>
      </c>
      <c r="M3657" s="7">
        <v>3.0000000000000001E-3</v>
      </c>
      <c r="N3657">
        <v>17</v>
      </c>
      <c r="O3657" s="8">
        <v>32.902778340866817</v>
      </c>
      <c r="P3657" s="9">
        <v>32.902778340866817</v>
      </c>
      <c r="Q3657" s="9">
        <v>32.902778340866817</v>
      </c>
      <c r="R3657" s="9">
        <v>36.980915483174826</v>
      </c>
      <c r="S3657" s="9">
        <v>41.041764553716455</v>
      </c>
      <c r="T3657" s="9">
        <v>44.512516286159922</v>
      </c>
      <c r="U3657" s="9">
        <v>52.176281946965503</v>
      </c>
      <c r="V3657" s="9">
        <v>52.176281946965503</v>
      </c>
      <c r="W3657" s="9">
        <v>52.176281946965503</v>
      </c>
      <c r="X3657" s="9">
        <v>65.399646652844908</v>
      </c>
      <c r="Y3657" s="9">
        <v>65.399646652844908</v>
      </c>
      <c r="Z3657" s="9">
        <v>74.862823794027804</v>
      </c>
      <c r="AA3657" s="9">
        <v>74.862823794027804</v>
      </c>
      <c r="AB3657" s="9">
        <v>84.552915727397561</v>
      </c>
      <c r="AC3657" s="9">
        <v>84.552915727397561</v>
      </c>
      <c r="AD3657" s="9">
        <v>94.492613932172858</v>
      </c>
      <c r="AE3657" s="9">
        <v>104.70687903549428</v>
      </c>
      <c r="AF3657" s="9">
        <v>115.51364337537625</v>
      </c>
      <c r="AG3657" s="9">
        <v>115.51364337537625</v>
      </c>
      <c r="AH3657" s="9">
        <v>127.68776106627702</v>
      </c>
      <c r="AI3657" s="9">
        <v>140.22732729914276</v>
      </c>
      <c r="AJ3657" s="9">
        <v>3.0428788910505911</v>
      </c>
    </row>
    <row r="3658" spans="1:36" x14ac:dyDescent="0.25">
      <c r="A3658" t="s">
        <v>5411</v>
      </c>
      <c r="B3658" t="s">
        <v>16</v>
      </c>
      <c r="C3658" t="s">
        <v>17</v>
      </c>
      <c r="D3658">
        <v>65555000</v>
      </c>
      <c r="E3658">
        <v>65559999</v>
      </c>
      <c r="F3658" t="s">
        <v>3313</v>
      </c>
      <c r="G3658" t="str">
        <f t="shared" si="114"/>
        <v>MAR</v>
      </c>
      <c r="H3658" t="s">
        <v>3213</v>
      </c>
      <c r="I3658" t="s">
        <v>20</v>
      </c>
      <c r="J3658" t="s">
        <v>77</v>
      </c>
      <c r="K3658" s="6">
        <v>0.03</v>
      </c>
      <c r="L3658" s="7">
        <f t="shared" si="115"/>
        <v>2E-3</v>
      </c>
      <c r="M3658" s="7">
        <v>3.0000000000000001E-3</v>
      </c>
      <c r="N3658">
        <v>17</v>
      </c>
      <c r="O3658" s="8">
        <v>32.902778340866817</v>
      </c>
      <c r="P3658" s="9">
        <v>32.902778340866817</v>
      </c>
      <c r="Q3658" s="9">
        <v>32.902778340866817</v>
      </c>
      <c r="R3658" s="9">
        <v>36.980915483174826</v>
      </c>
      <c r="S3658" s="9">
        <v>41.041764553716455</v>
      </c>
      <c r="T3658" s="9">
        <v>44.512516286159922</v>
      </c>
      <c r="U3658" s="9">
        <v>52.176281946965503</v>
      </c>
      <c r="V3658" s="9">
        <v>52.176281946965503</v>
      </c>
      <c r="W3658" s="9">
        <v>52.176281946965503</v>
      </c>
      <c r="X3658" s="9">
        <v>65.399646652844908</v>
      </c>
      <c r="Y3658" s="9">
        <v>65.399646652844908</v>
      </c>
      <c r="Z3658" s="9">
        <v>74.862823794027804</v>
      </c>
      <c r="AA3658" s="9">
        <v>74.862823794027804</v>
      </c>
      <c r="AB3658" s="9">
        <v>84.552915727397561</v>
      </c>
      <c r="AC3658" s="9">
        <v>84.552915727397561</v>
      </c>
      <c r="AD3658" s="9">
        <v>94.492613932172858</v>
      </c>
      <c r="AE3658" s="9">
        <v>104.70687903549428</v>
      </c>
      <c r="AF3658" s="9">
        <v>115.51364337537625</v>
      </c>
      <c r="AG3658" s="9">
        <v>115.51364337537625</v>
      </c>
      <c r="AH3658" s="9">
        <v>127.68776106627702</v>
      </c>
      <c r="AI3658" s="9">
        <v>140.22732729914276</v>
      </c>
      <c r="AJ3658" s="9">
        <v>3.0428788910505911</v>
      </c>
    </row>
    <row r="3659" spans="1:36" x14ac:dyDescent="0.25">
      <c r="A3659" t="s">
        <v>5411</v>
      </c>
      <c r="B3659" t="s">
        <v>16</v>
      </c>
      <c r="C3659" t="s">
        <v>17</v>
      </c>
      <c r="D3659">
        <v>65560000</v>
      </c>
      <c r="E3659">
        <v>65569999</v>
      </c>
      <c r="F3659" t="s">
        <v>3314</v>
      </c>
      <c r="G3659" t="str">
        <f t="shared" si="114"/>
        <v>MAR</v>
      </c>
      <c r="H3659" t="s">
        <v>3213</v>
      </c>
      <c r="I3659" t="s">
        <v>20</v>
      </c>
      <c r="J3659" t="s">
        <v>77</v>
      </c>
      <c r="K3659" s="6">
        <v>0.03</v>
      </c>
      <c r="L3659" s="7">
        <f t="shared" si="115"/>
        <v>2E-3</v>
      </c>
      <c r="M3659" s="7">
        <v>3.0000000000000001E-3</v>
      </c>
      <c r="N3659">
        <v>17</v>
      </c>
      <c r="O3659" s="8">
        <v>32.902778340866817</v>
      </c>
      <c r="P3659" s="9">
        <v>32.902778340866817</v>
      </c>
      <c r="Q3659" s="9">
        <v>32.902778340866817</v>
      </c>
      <c r="R3659" s="9">
        <v>36.980915483174826</v>
      </c>
      <c r="S3659" s="9">
        <v>41.041764553716455</v>
      </c>
      <c r="T3659" s="9">
        <v>44.512516286159922</v>
      </c>
      <c r="U3659" s="9">
        <v>52.176281946965503</v>
      </c>
      <c r="V3659" s="9">
        <v>52.176281946965503</v>
      </c>
      <c r="W3659" s="9">
        <v>52.176281946965503</v>
      </c>
      <c r="X3659" s="9">
        <v>65.399646652844908</v>
      </c>
      <c r="Y3659" s="9">
        <v>65.399646652844908</v>
      </c>
      <c r="Z3659" s="9">
        <v>74.862823794027804</v>
      </c>
      <c r="AA3659" s="9">
        <v>74.862823794027804</v>
      </c>
      <c r="AB3659" s="9">
        <v>84.552915727397561</v>
      </c>
      <c r="AC3659" s="9">
        <v>84.552915727397561</v>
      </c>
      <c r="AD3659" s="9">
        <v>94.492613932172858</v>
      </c>
      <c r="AE3659" s="9">
        <v>104.70687903549428</v>
      </c>
      <c r="AF3659" s="9">
        <v>115.51364337537625</v>
      </c>
      <c r="AG3659" s="9">
        <v>115.51364337537625</v>
      </c>
      <c r="AH3659" s="9">
        <v>127.68776106627702</v>
      </c>
      <c r="AI3659" s="9">
        <v>140.22732729914276</v>
      </c>
      <c r="AJ3659" s="9">
        <v>3.0428788910505911</v>
      </c>
    </row>
    <row r="3660" spans="1:36" x14ac:dyDescent="0.25">
      <c r="A3660" t="s">
        <v>5411</v>
      </c>
      <c r="B3660" t="s">
        <v>16</v>
      </c>
      <c r="C3660" t="s">
        <v>17</v>
      </c>
      <c r="D3660">
        <v>65570000</v>
      </c>
      <c r="E3660">
        <v>65577999</v>
      </c>
      <c r="F3660" t="s">
        <v>3315</v>
      </c>
      <c r="G3660" t="str">
        <f t="shared" si="114"/>
        <v>MAR</v>
      </c>
      <c r="H3660" t="s">
        <v>3213</v>
      </c>
      <c r="I3660" t="s">
        <v>20</v>
      </c>
      <c r="J3660" t="s">
        <v>77</v>
      </c>
      <c r="K3660" s="6">
        <v>0.03</v>
      </c>
      <c r="L3660" s="7">
        <f t="shared" si="115"/>
        <v>2E-3</v>
      </c>
      <c r="M3660" s="7">
        <v>3.0000000000000001E-3</v>
      </c>
      <c r="N3660">
        <v>17</v>
      </c>
      <c r="O3660" s="8">
        <v>32.902778340866817</v>
      </c>
      <c r="P3660" s="9">
        <v>32.902778340866817</v>
      </c>
      <c r="Q3660" s="9">
        <v>32.902778340866817</v>
      </c>
      <c r="R3660" s="9">
        <v>36.980915483174826</v>
      </c>
      <c r="S3660" s="9">
        <v>41.041764553716455</v>
      </c>
      <c r="T3660" s="9">
        <v>44.512516286159922</v>
      </c>
      <c r="U3660" s="9">
        <v>52.176281946965503</v>
      </c>
      <c r="V3660" s="9">
        <v>52.176281946965503</v>
      </c>
      <c r="W3660" s="9">
        <v>52.176281946965503</v>
      </c>
      <c r="X3660" s="9">
        <v>65.399646652844908</v>
      </c>
      <c r="Y3660" s="9">
        <v>65.399646652844908</v>
      </c>
      <c r="Z3660" s="9">
        <v>74.862823794027804</v>
      </c>
      <c r="AA3660" s="9">
        <v>74.862823794027804</v>
      </c>
      <c r="AB3660" s="9">
        <v>84.552915727397561</v>
      </c>
      <c r="AC3660" s="9">
        <v>84.552915727397561</v>
      </c>
      <c r="AD3660" s="9">
        <v>94.492613932172858</v>
      </c>
      <c r="AE3660" s="9">
        <v>104.70687903549428</v>
      </c>
      <c r="AF3660" s="9">
        <v>115.51364337537625</v>
      </c>
      <c r="AG3660" s="9">
        <v>115.51364337537625</v>
      </c>
      <c r="AH3660" s="9">
        <v>127.68776106627702</v>
      </c>
      <c r="AI3660" s="9">
        <v>140.22732729914276</v>
      </c>
      <c r="AJ3660" s="9">
        <v>3.0428788910505911</v>
      </c>
    </row>
    <row r="3661" spans="1:36" x14ac:dyDescent="0.25">
      <c r="A3661" t="s">
        <v>5411</v>
      </c>
      <c r="B3661" t="s">
        <v>16</v>
      </c>
      <c r="C3661" t="s">
        <v>17</v>
      </c>
      <c r="D3661">
        <v>65578000</v>
      </c>
      <c r="E3661">
        <v>65579999</v>
      </c>
      <c r="F3661" t="s">
        <v>3316</v>
      </c>
      <c r="G3661" t="str">
        <f t="shared" si="114"/>
        <v>MAR</v>
      </c>
      <c r="H3661" t="s">
        <v>3213</v>
      </c>
      <c r="I3661" t="s">
        <v>20</v>
      </c>
      <c r="J3661" t="s">
        <v>77</v>
      </c>
      <c r="K3661" s="6">
        <v>0.03</v>
      </c>
      <c r="L3661" s="7">
        <f t="shared" si="115"/>
        <v>2E-3</v>
      </c>
      <c r="M3661" s="7">
        <v>3.0000000000000001E-3</v>
      </c>
      <c r="N3661">
        <v>17</v>
      </c>
      <c r="O3661" s="8">
        <v>32.902778340866817</v>
      </c>
      <c r="P3661" s="9">
        <v>32.902778340866817</v>
      </c>
      <c r="Q3661" s="9">
        <v>32.902778340866817</v>
      </c>
      <c r="R3661" s="9">
        <v>36.980915483174826</v>
      </c>
      <c r="S3661" s="9">
        <v>41.041764553716455</v>
      </c>
      <c r="T3661" s="9">
        <v>44.512516286159922</v>
      </c>
      <c r="U3661" s="9">
        <v>52.176281946965503</v>
      </c>
      <c r="V3661" s="9">
        <v>52.176281946965503</v>
      </c>
      <c r="W3661" s="9">
        <v>52.176281946965503</v>
      </c>
      <c r="X3661" s="9">
        <v>65.399646652844908</v>
      </c>
      <c r="Y3661" s="9">
        <v>65.399646652844908</v>
      </c>
      <c r="Z3661" s="9">
        <v>74.862823794027804</v>
      </c>
      <c r="AA3661" s="9">
        <v>74.862823794027804</v>
      </c>
      <c r="AB3661" s="9">
        <v>84.552915727397561</v>
      </c>
      <c r="AC3661" s="9">
        <v>84.552915727397561</v>
      </c>
      <c r="AD3661" s="9">
        <v>94.492613932172858</v>
      </c>
      <c r="AE3661" s="9">
        <v>104.70687903549428</v>
      </c>
      <c r="AF3661" s="9">
        <v>115.51364337537625</v>
      </c>
      <c r="AG3661" s="9">
        <v>115.51364337537625</v>
      </c>
      <c r="AH3661" s="9">
        <v>127.68776106627702</v>
      </c>
      <c r="AI3661" s="9">
        <v>140.22732729914276</v>
      </c>
      <c r="AJ3661" s="9">
        <v>3.0428788910505911</v>
      </c>
    </row>
    <row r="3662" spans="1:36" x14ac:dyDescent="0.25">
      <c r="A3662" t="s">
        <v>5411</v>
      </c>
      <c r="B3662" t="s">
        <v>16</v>
      </c>
      <c r="C3662" t="s">
        <v>17</v>
      </c>
      <c r="D3662">
        <v>65580000</v>
      </c>
      <c r="E3662">
        <v>65584999</v>
      </c>
      <c r="F3662" t="s">
        <v>3317</v>
      </c>
      <c r="G3662" t="str">
        <f t="shared" si="114"/>
        <v>MAI</v>
      </c>
      <c r="H3662" t="s">
        <v>3213</v>
      </c>
      <c r="I3662" t="s">
        <v>20</v>
      </c>
      <c r="J3662" t="s">
        <v>62</v>
      </c>
      <c r="K3662" s="6">
        <v>0.03</v>
      </c>
      <c r="L3662" s="7">
        <f t="shared" si="115"/>
        <v>2E-3</v>
      </c>
      <c r="M3662" s="7">
        <v>3.0000000000000001E-3</v>
      </c>
      <c r="N3662">
        <v>12</v>
      </c>
      <c r="O3662" s="8">
        <v>19.350325219569864</v>
      </c>
      <c r="P3662" s="9">
        <v>19.350325219569864</v>
      </c>
      <c r="Q3662" s="9">
        <v>19.350325219569864</v>
      </c>
      <c r="R3662" s="9">
        <v>21.236423757715794</v>
      </c>
      <c r="S3662" s="9">
        <v>23.412011215821156</v>
      </c>
      <c r="T3662" s="9">
        <v>26.602346057727168</v>
      </c>
      <c r="U3662" s="9">
        <v>32.175039039197578</v>
      </c>
      <c r="V3662" s="9">
        <v>32.175039039197578</v>
      </c>
      <c r="W3662" s="9">
        <v>32.175039039197578</v>
      </c>
      <c r="X3662" s="9">
        <v>38.477190222688968</v>
      </c>
      <c r="Y3662" s="9">
        <v>38.477190222688968</v>
      </c>
      <c r="Z3662" s="9">
        <v>46.072905764910679</v>
      </c>
      <c r="AA3662" s="9">
        <v>46.072905764910679</v>
      </c>
      <c r="AB3662" s="9">
        <v>52.857194265747438</v>
      </c>
      <c r="AC3662" s="9">
        <v>52.857194265747438</v>
      </c>
      <c r="AD3662" s="9">
        <v>60.075973585900336</v>
      </c>
      <c r="AE3662" s="9">
        <v>67.207660715359779</v>
      </c>
      <c r="AF3662" s="9">
        <v>74.765164496289444</v>
      </c>
      <c r="AG3662" s="9">
        <v>74.765164496289444</v>
      </c>
      <c r="AH3662" s="9">
        <v>82.787429668365718</v>
      </c>
      <c r="AI3662" s="9">
        <v>90.699158794373588</v>
      </c>
      <c r="AJ3662" s="9">
        <v>3.0428788910505911</v>
      </c>
    </row>
    <row r="3663" spans="1:36" x14ac:dyDescent="0.25">
      <c r="A3663" t="s">
        <v>5411</v>
      </c>
      <c r="B3663" t="s">
        <v>16</v>
      </c>
      <c r="C3663" t="s">
        <v>17</v>
      </c>
      <c r="D3663">
        <v>65585000</v>
      </c>
      <c r="E3663">
        <v>65589999</v>
      </c>
      <c r="F3663" t="s">
        <v>3318</v>
      </c>
      <c r="G3663" t="str">
        <f t="shared" si="114"/>
        <v>MAR</v>
      </c>
      <c r="H3663" t="s">
        <v>3213</v>
      </c>
      <c r="I3663" t="s">
        <v>20</v>
      </c>
      <c r="J3663" t="s">
        <v>77</v>
      </c>
      <c r="K3663" s="6">
        <v>0.03</v>
      </c>
      <c r="L3663" s="7">
        <f t="shared" si="115"/>
        <v>2E-3</v>
      </c>
      <c r="M3663" s="7">
        <v>3.0000000000000001E-3</v>
      </c>
      <c r="N3663">
        <v>17</v>
      </c>
      <c r="O3663" s="8">
        <v>32.902778340866817</v>
      </c>
      <c r="P3663" s="9">
        <v>32.902778340866817</v>
      </c>
      <c r="Q3663" s="9">
        <v>32.902778340866817</v>
      </c>
      <c r="R3663" s="9">
        <v>36.980915483174826</v>
      </c>
      <c r="S3663" s="9">
        <v>41.041764553716455</v>
      </c>
      <c r="T3663" s="9">
        <v>44.512516286159922</v>
      </c>
      <c r="U3663" s="9">
        <v>52.176281946965503</v>
      </c>
      <c r="V3663" s="9">
        <v>52.176281946965503</v>
      </c>
      <c r="W3663" s="9">
        <v>52.176281946965503</v>
      </c>
      <c r="X3663" s="9">
        <v>65.399646652844908</v>
      </c>
      <c r="Y3663" s="9">
        <v>65.399646652844908</v>
      </c>
      <c r="Z3663" s="9">
        <v>74.862823794027804</v>
      </c>
      <c r="AA3663" s="9">
        <v>74.862823794027804</v>
      </c>
      <c r="AB3663" s="9">
        <v>84.552915727397561</v>
      </c>
      <c r="AC3663" s="9">
        <v>84.552915727397561</v>
      </c>
      <c r="AD3663" s="9">
        <v>94.492613932172858</v>
      </c>
      <c r="AE3663" s="9">
        <v>104.70687903549428</v>
      </c>
      <c r="AF3663" s="9">
        <v>115.51364337537625</v>
      </c>
      <c r="AG3663" s="9">
        <v>115.51364337537625</v>
      </c>
      <c r="AH3663" s="9">
        <v>127.68776106627702</v>
      </c>
      <c r="AI3663" s="9">
        <v>140.22732729914276</v>
      </c>
      <c r="AJ3663" s="9">
        <v>3.0428788910505911</v>
      </c>
    </row>
    <row r="3664" spans="1:36" x14ac:dyDescent="0.25">
      <c r="A3664" t="s">
        <v>5411</v>
      </c>
      <c r="B3664" t="s">
        <v>16</v>
      </c>
      <c r="C3664" t="s">
        <v>17</v>
      </c>
      <c r="D3664">
        <v>65590000</v>
      </c>
      <c r="E3664">
        <v>65599999</v>
      </c>
      <c r="F3664" t="s">
        <v>3319</v>
      </c>
      <c r="G3664" t="str">
        <f t="shared" si="114"/>
        <v>MAI II</v>
      </c>
      <c r="H3664" t="s">
        <v>3213</v>
      </c>
      <c r="I3664" t="s">
        <v>20</v>
      </c>
      <c r="J3664" t="s">
        <v>64</v>
      </c>
      <c r="K3664" s="6">
        <v>0.03</v>
      </c>
      <c r="L3664" s="7">
        <f t="shared" si="115"/>
        <v>2E-3</v>
      </c>
      <c r="M3664" s="7">
        <v>3.0000000000000001E-3</v>
      </c>
      <c r="N3664">
        <v>13</v>
      </c>
      <c r="O3664" s="8">
        <v>25.668860905665891</v>
      </c>
      <c r="P3664" s="9">
        <v>25.668860905665891</v>
      </c>
      <c r="Q3664" s="9">
        <v>25.668860905665891</v>
      </c>
      <c r="R3664" s="9">
        <v>28.90627780374118</v>
      </c>
      <c r="S3664" s="9">
        <v>32.088398586892829</v>
      </c>
      <c r="T3664" s="9">
        <v>35.317419895390479</v>
      </c>
      <c r="U3664" s="9">
        <v>41.899003808131717</v>
      </c>
      <c r="V3664" s="9">
        <v>41.899003808131717</v>
      </c>
      <c r="W3664" s="9">
        <v>41.899003808131717</v>
      </c>
      <c r="X3664" s="9">
        <v>49.367258046991701</v>
      </c>
      <c r="Y3664" s="9">
        <v>49.367258046991701</v>
      </c>
      <c r="Z3664" s="9">
        <v>56.934875079999451</v>
      </c>
      <c r="AA3664" s="9">
        <v>56.934875079999451</v>
      </c>
      <c r="AB3664" s="9">
        <v>64.611791186569661</v>
      </c>
      <c r="AC3664" s="9">
        <v>64.611791186569661</v>
      </c>
      <c r="AD3664" s="9">
        <v>74.350540076267862</v>
      </c>
      <c r="AE3664" s="9">
        <v>81.505501009216758</v>
      </c>
      <c r="AF3664" s="9">
        <v>89.052880694757192</v>
      </c>
      <c r="AG3664" s="9">
        <v>89.052880694757192</v>
      </c>
      <c r="AH3664" s="9">
        <v>98.528148353766625</v>
      </c>
      <c r="AI3664" s="9">
        <v>107.07903577054074</v>
      </c>
      <c r="AJ3664" s="9">
        <v>3.0428788910505911</v>
      </c>
    </row>
    <row r="3665" spans="1:36" x14ac:dyDescent="0.25">
      <c r="A3665" t="s">
        <v>5411</v>
      </c>
      <c r="B3665" t="s">
        <v>16</v>
      </c>
      <c r="C3665" t="s">
        <v>17</v>
      </c>
      <c r="D3665">
        <v>65600000</v>
      </c>
      <c r="E3665">
        <v>65609999</v>
      </c>
      <c r="F3665" t="s">
        <v>3320</v>
      </c>
      <c r="G3665" t="str">
        <f t="shared" si="114"/>
        <v>MAI II</v>
      </c>
      <c r="H3665" t="s">
        <v>3213</v>
      </c>
      <c r="I3665" t="s">
        <v>20</v>
      </c>
      <c r="J3665" t="s">
        <v>64</v>
      </c>
      <c r="K3665" s="6">
        <v>0.03</v>
      </c>
      <c r="L3665" s="7">
        <f t="shared" si="115"/>
        <v>2E-3</v>
      </c>
      <c r="M3665" s="7">
        <v>3.0000000000000001E-3</v>
      </c>
      <c r="N3665">
        <v>13</v>
      </c>
      <c r="O3665" s="8">
        <v>25.668860905665891</v>
      </c>
      <c r="P3665" s="9">
        <v>25.668860905665891</v>
      </c>
      <c r="Q3665" s="9">
        <v>25.668860905665891</v>
      </c>
      <c r="R3665" s="9">
        <v>28.90627780374118</v>
      </c>
      <c r="S3665" s="9">
        <v>32.088398586892829</v>
      </c>
      <c r="T3665" s="9">
        <v>35.317419895390479</v>
      </c>
      <c r="U3665" s="9">
        <v>41.899003808131717</v>
      </c>
      <c r="V3665" s="9">
        <v>41.899003808131717</v>
      </c>
      <c r="W3665" s="9">
        <v>41.899003808131717</v>
      </c>
      <c r="X3665" s="9">
        <v>49.367258046991701</v>
      </c>
      <c r="Y3665" s="9">
        <v>49.367258046991701</v>
      </c>
      <c r="Z3665" s="9">
        <v>56.934875079999451</v>
      </c>
      <c r="AA3665" s="9">
        <v>56.934875079999451</v>
      </c>
      <c r="AB3665" s="9">
        <v>64.611791186569661</v>
      </c>
      <c r="AC3665" s="9">
        <v>64.611791186569661</v>
      </c>
      <c r="AD3665" s="9">
        <v>74.350540076267862</v>
      </c>
      <c r="AE3665" s="9">
        <v>81.505501009216758</v>
      </c>
      <c r="AF3665" s="9">
        <v>89.052880694757192</v>
      </c>
      <c r="AG3665" s="9">
        <v>89.052880694757192</v>
      </c>
      <c r="AH3665" s="9">
        <v>98.528148353766625</v>
      </c>
      <c r="AI3665" s="9">
        <v>107.07903577054074</v>
      </c>
      <c r="AJ3665" s="9">
        <v>3.0428788910505911</v>
      </c>
    </row>
    <row r="3666" spans="1:36" x14ac:dyDescent="0.25">
      <c r="A3666" t="s">
        <v>5411</v>
      </c>
      <c r="B3666" t="s">
        <v>16</v>
      </c>
      <c r="C3666" t="s">
        <v>17</v>
      </c>
      <c r="D3666">
        <v>65610000</v>
      </c>
      <c r="E3666">
        <v>65614999</v>
      </c>
      <c r="F3666" t="s">
        <v>3321</v>
      </c>
      <c r="G3666" t="str">
        <f t="shared" si="114"/>
        <v>MAR</v>
      </c>
      <c r="H3666" t="s">
        <v>3213</v>
      </c>
      <c r="I3666" t="s">
        <v>20</v>
      </c>
      <c r="J3666" t="s">
        <v>77</v>
      </c>
      <c r="K3666" s="6">
        <v>0.03</v>
      </c>
      <c r="L3666" s="7">
        <f t="shared" si="115"/>
        <v>2E-3</v>
      </c>
      <c r="M3666" s="7">
        <v>3.0000000000000001E-3</v>
      </c>
      <c r="N3666">
        <v>17</v>
      </c>
      <c r="O3666" s="8">
        <v>32.902778340866817</v>
      </c>
      <c r="P3666" s="9">
        <v>32.902778340866817</v>
      </c>
      <c r="Q3666" s="9">
        <v>32.902778340866817</v>
      </c>
      <c r="R3666" s="9">
        <v>36.980915483174826</v>
      </c>
      <c r="S3666" s="9">
        <v>41.041764553716455</v>
      </c>
      <c r="T3666" s="9">
        <v>44.512516286159922</v>
      </c>
      <c r="U3666" s="9">
        <v>52.176281946965503</v>
      </c>
      <c r="V3666" s="9">
        <v>52.176281946965503</v>
      </c>
      <c r="W3666" s="9">
        <v>52.176281946965503</v>
      </c>
      <c r="X3666" s="9">
        <v>65.399646652844908</v>
      </c>
      <c r="Y3666" s="9">
        <v>65.399646652844908</v>
      </c>
      <c r="Z3666" s="9">
        <v>74.862823794027804</v>
      </c>
      <c r="AA3666" s="9">
        <v>74.862823794027804</v>
      </c>
      <c r="AB3666" s="9">
        <v>84.552915727397561</v>
      </c>
      <c r="AC3666" s="9">
        <v>84.552915727397561</v>
      </c>
      <c r="AD3666" s="9">
        <v>94.492613932172858</v>
      </c>
      <c r="AE3666" s="9">
        <v>104.70687903549428</v>
      </c>
      <c r="AF3666" s="9">
        <v>115.51364337537625</v>
      </c>
      <c r="AG3666" s="9">
        <v>115.51364337537625</v>
      </c>
      <c r="AH3666" s="9">
        <v>127.68776106627702</v>
      </c>
      <c r="AI3666" s="9">
        <v>140.22732729914276</v>
      </c>
      <c r="AJ3666" s="9">
        <v>3.0428788910505911</v>
      </c>
    </row>
    <row r="3667" spans="1:36" x14ac:dyDescent="0.25">
      <c r="A3667" t="s">
        <v>5411</v>
      </c>
      <c r="B3667" t="s">
        <v>16</v>
      </c>
      <c r="C3667" t="s">
        <v>17</v>
      </c>
      <c r="D3667">
        <v>65615000</v>
      </c>
      <c r="E3667">
        <v>65619999</v>
      </c>
      <c r="F3667" t="s">
        <v>3322</v>
      </c>
      <c r="G3667" t="str">
        <f t="shared" si="114"/>
        <v>MAR</v>
      </c>
      <c r="H3667" t="s">
        <v>3213</v>
      </c>
      <c r="I3667" t="s">
        <v>20</v>
      </c>
      <c r="J3667" t="s">
        <v>77</v>
      </c>
      <c r="K3667" s="6">
        <v>0.03</v>
      </c>
      <c r="L3667" s="7">
        <f t="shared" si="115"/>
        <v>2E-3</v>
      </c>
      <c r="M3667" s="7">
        <v>3.0000000000000001E-3</v>
      </c>
      <c r="N3667">
        <v>17</v>
      </c>
      <c r="O3667" s="8">
        <v>32.902778340866817</v>
      </c>
      <c r="P3667" s="9">
        <v>32.902778340866817</v>
      </c>
      <c r="Q3667" s="9">
        <v>32.902778340866817</v>
      </c>
      <c r="R3667" s="9">
        <v>36.980915483174826</v>
      </c>
      <c r="S3667" s="9">
        <v>41.041764553716455</v>
      </c>
      <c r="T3667" s="9">
        <v>44.512516286159922</v>
      </c>
      <c r="U3667" s="9">
        <v>52.176281946965503</v>
      </c>
      <c r="V3667" s="9">
        <v>52.176281946965503</v>
      </c>
      <c r="W3667" s="9">
        <v>52.176281946965503</v>
      </c>
      <c r="X3667" s="9">
        <v>65.399646652844908</v>
      </c>
      <c r="Y3667" s="9">
        <v>65.399646652844908</v>
      </c>
      <c r="Z3667" s="9">
        <v>74.862823794027804</v>
      </c>
      <c r="AA3667" s="9">
        <v>74.862823794027804</v>
      </c>
      <c r="AB3667" s="9">
        <v>84.552915727397561</v>
      </c>
      <c r="AC3667" s="9">
        <v>84.552915727397561</v>
      </c>
      <c r="AD3667" s="9">
        <v>94.492613932172858</v>
      </c>
      <c r="AE3667" s="9">
        <v>104.70687903549428</v>
      </c>
      <c r="AF3667" s="9">
        <v>115.51364337537625</v>
      </c>
      <c r="AG3667" s="9">
        <v>115.51364337537625</v>
      </c>
      <c r="AH3667" s="9">
        <v>127.68776106627702</v>
      </c>
      <c r="AI3667" s="9">
        <v>140.22732729914276</v>
      </c>
      <c r="AJ3667" s="9">
        <v>3.0428788910505911</v>
      </c>
    </row>
    <row r="3668" spans="1:36" x14ac:dyDescent="0.25">
      <c r="A3668" t="s">
        <v>5411</v>
      </c>
      <c r="B3668" t="s">
        <v>16</v>
      </c>
      <c r="C3668" t="s">
        <v>17</v>
      </c>
      <c r="D3668">
        <v>65620000</v>
      </c>
      <c r="E3668">
        <v>65624999</v>
      </c>
      <c r="F3668" t="s">
        <v>3323</v>
      </c>
      <c r="G3668" t="str">
        <f t="shared" si="114"/>
        <v>MAI II</v>
      </c>
      <c r="H3668" t="s">
        <v>3213</v>
      </c>
      <c r="I3668" t="s">
        <v>20</v>
      </c>
      <c r="J3668" t="s">
        <v>64</v>
      </c>
      <c r="K3668" s="6">
        <v>0.03</v>
      </c>
      <c r="L3668" s="7">
        <f t="shared" si="115"/>
        <v>2E-3</v>
      </c>
      <c r="M3668" s="7">
        <v>3.0000000000000001E-3</v>
      </c>
      <c r="N3668">
        <v>12</v>
      </c>
      <c r="O3668" s="8">
        <v>25.668860905665891</v>
      </c>
      <c r="P3668" s="9">
        <v>25.668860905665891</v>
      </c>
      <c r="Q3668" s="9">
        <v>25.668860905665891</v>
      </c>
      <c r="R3668" s="9">
        <v>28.90627780374118</v>
      </c>
      <c r="S3668" s="9">
        <v>32.088398586892829</v>
      </c>
      <c r="T3668" s="9">
        <v>35.317419895390479</v>
      </c>
      <c r="U3668" s="9">
        <v>41.899003808131717</v>
      </c>
      <c r="V3668" s="9">
        <v>41.899003808131717</v>
      </c>
      <c r="W3668" s="9">
        <v>41.899003808131717</v>
      </c>
      <c r="X3668" s="9">
        <v>49.367258046991701</v>
      </c>
      <c r="Y3668" s="9">
        <v>49.367258046991701</v>
      </c>
      <c r="Z3668" s="9">
        <v>56.934875079999451</v>
      </c>
      <c r="AA3668" s="9">
        <v>56.934875079999451</v>
      </c>
      <c r="AB3668" s="9">
        <v>64.611791186569661</v>
      </c>
      <c r="AC3668" s="9">
        <v>64.611791186569661</v>
      </c>
      <c r="AD3668" s="9">
        <v>74.350540076267862</v>
      </c>
      <c r="AE3668" s="9">
        <v>81.505501009216758</v>
      </c>
      <c r="AF3668" s="9">
        <v>89.052880694757192</v>
      </c>
      <c r="AG3668" s="9">
        <v>89.052880694757192</v>
      </c>
      <c r="AH3668" s="9">
        <v>98.528148353766625</v>
      </c>
      <c r="AI3668" s="9">
        <v>107.07903577054074</v>
      </c>
      <c r="AJ3668" s="9">
        <v>3.0428788910505911</v>
      </c>
    </row>
    <row r="3669" spans="1:36" x14ac:dyDescent="0.25">
      <c r="A3669" t="s">
        <v>5411</v>
      </c>
      <c r="B3669" t="s">
        <v>16</v>
      </c>
      <c r="C3669" t="s">
        <v>17</v>
      </c>
      <c r="D3669">
        <v>65625000</v>
      </c>
      <c r="E3669">
        <v>65629999</v>
      </c>
      <c r="F3669" t="s">
        <v>3324</v>
      </c>
      <c r="G3669" t="str">
        <f t="shared" si="114"/>
        <v>MAR</v>
      </c>
      <c r="H3669" t="s">
        <v>3213</v>
      </c>
      <c r="I3669" t="s">
        <v>20</v>
      </c>
      <c r="J3669" t="s">
        <v>77</v>
      </c>
      <c r="K3669" s="6">
        <v>0.03</v>
      </c>
      <c r="L3669" s="7">
        <f t="shared" si="115"/>
        <v>2E-3</v>
      </c>
      <c r="M3669" s="7">
        <v>3.0000000000000001E-3</v>
      </c>
      <c r="N3669">
        <v>17</v>
      </c>
      <c r="O3669" s="8">
        <v>32.902778340866817</v>
      </c>
      <c r="P3669" s="9">
        <v>32.902778340866817</v>
      </c>
      <c r="Q3669" s="9">
        <v>32.902778340866817</v>
      </c>
      <c r="R3669" s="9">
        <v>36.980915483174826</v>
      </c>
      <c r="S3669" s="9">
        <v>41.041764553716455</v>
      </c>
      <c r="T3669" s="9">
        <v>44.512516286159922</v>
      </c>
      <c r="U3669" s="9">
        <v>52.176281946965503</v>
      </c>
      <c r="V3669" s="9">
        <v>52.176281946965503</v>
      </c>
      <c r="W3669" s="9">
        <v>52.176281946965503</v>
      </c>
      <c r="X3669" s="9">
        <v>65.399646652844908</v>
      </c>
      <c r="Y3669" s="9">
        <v>65.399646652844908</v>
      </c>
      <c r="Z3669" s="9">
        <v>74.862823794027804</v>
      </c>
      <c r="AA3669" s="9">
        <v>74.862823794027804</v>
      </c>
      <c r="AB3669" s="9">
        <v>84.552915727397561</v>
      </c>
      <c r="AC3669" s="9">
        <v>84.552915727397561</v>
      </c>
      <c r="AD3669" s="9">
        <v>94.492613932172858</v>
      </c>
      <c r="AE3669" s="9">
        <v>104.70687903549428</v>
      </c>
      <c r="AF3669" s="9">
        <v>115.51364337537625</v>
      </c>
      <c r="AG3669" s="9">
        <v>115.51364337537625</v>
      </c>
      <c r="AH3669" s="9">
        <v>127.68776106627702</v>
      </c>
      <c r="AI3669" s="9">
        <v>140.22732729914276</v>
      </c>
      <c r="AJ3669" s="9">
        <v>3.0428788910505911</v>
      </c>
    </row>
    <row r="3670" spans="1:36" x14ac:dyDescent="0.25">
      <c r="A3670" t="s">
        <v>5411</v>
      </c>
      <c r="B3670" t="s">
        <v>16</v>
      </c>
      <c r="C3670" t="s">
        <v>17</v>
      </c>
      <c r="D3670">
        <v>65630000</v>
      </c>
      <c r="E3670">
        <v>65639999</v>
      </c>
      <c r="F3670" t="s">
        <v>3325</v>
      </c>
      <c r="G3670" t="str">
        <f t="shared" si="114"/>
        <v>MAI</v>
      </c>
      <c r="H3670" t="s">
        <v>3213</v>
      </c>
      <c r="I3670" t="s">
        <v>20</v>
      </c>
      <c r="J3670" t="s">
        <v>62</v>
      </c>
      <c r="K3670" s="6">
        <v>0.03</v>
      </c>
      <c r="L3670" s="7">
        <f t="shared" si="115"/>
        <v>2E-3</v>
      </c>
      <c r="M3670" s="7">
        <v>3.0000000000000001E-3</v>
      </c>
      <c r="N3670">
        <v>12</v>
      </c>
      <c r="O3670" s="8">
        <v>19.350325219569864</v>
      </c>
      <c r="P3670" s="9">
        <v>19.350325219569864</v>
      </c>
      <c r="Q3670" s="9">
        <v>19.350325219569864</v>
      </c>
      <c r="R3670" s="9">
        <v>21.236423757715794</v>
      </c>
      <c r="S3670" s="9">
        <v>23.412011215821156</v>
      </c>
      <c r="T3670" s="9">
        <v>26.602346057727168</v>
      </c>
      <c r="U3670" s="9">
        <v>32.175039039197578</v>
      </c>
      <c r="V3670" s="9">
        <v>32.175039039197578</v>
      </c>
      <c r="W3670" s="9">
        <v>32.175039039197578</v>
      </c>
      <c r="X3670" s="9">
        <v>38.477190222688968</v>
      </c>
      <c r="Y3670" s="9">
        <v>38.477190222688968</v>
      </c>
      <c r="Z3670" s="9">
        <v>46.072905764910679</v>
      </c>
      <c r="AA3670" s="9">
        <v>46.072905764910679</v>
      </c>
      <c r="AB3670" s="9">
        <v>52.857194265747438</v>
      </c>
      <c r="AC3670" s="9">
        <v>52.857194265747438</v>
      </c>
      <c r="AD3670" s="9">
        <v>60.075973585900336</v>
      </c>
      <c r="AE3670" s="9">
        <v>67.207660715359779</v>
      </c>
      <c r="AF3670" s="9">
        <v>74.765164496289444</v>
      </c>
      <c r="AG3670" s="9">
        <v>74.765164496289444</v>
      </c>
      <c r="AH3670" s="9">
        <v>82.787429668365718</v>
      </c>
      <c r="AI3670" s="9">
        <v>90.699158794373588</v>
      </c>
      <c r="AJ3670" s="9">
        <v>3.0428788910505911</v>
      </c>
    </row>
    <row r="3671" spans="1:36" x14ac:dyDescent="0.25">
      <c r="A3671" t="s">
        <v>5411</v>
      </c>
      <c r="B3671" t="s">
        <v>16</v>
      </c>
      <c r="C3671" t="s">
        <v>17</v>
      </c>
      <c r="D3671">
        <v>65640000</v>
      </c>
      <c r="E3671">
        <v>65644999</v>
      </c>
      <c r="F3671" t="s">
        <v>3326</v>
      </c>
      <c r="G3671" t="str">
        <f t="shared" si="114"/>
        <v>MAR</v>
      </c>
      <c r="H3671" t="s">
        <v>3213</v>
      </c>
      <c r="I3671" t="s">
        <v>20</v>
      </c>
      <c r="J3671" t="s">
        <v>77</v>
      </c>
      <c r="K3671" s="6">
        <v>0.03</v>
      </c>
      <c r="L3671" s="7">
        <f t="shared" si="115"/>
        <v>2E-3</v>
      </c>
      <c r="M3671" s="7">
        <v>3.0000000000000001E-3</v>
      </c>
      <c r="N3671">
        <v>17</v>
      </c>
      <c r="O3671" s="8">
        <v>32.902778340866817</v>
      </c>
      <c r="P3671" s="9">
        <v>32.902778340866817</v>
      </c>
      <c r="Q3671" s="9">
        <v>32.902778340866817</v>
      </c>
      <c r="R3671" s="9">
        <v>36.980915483174826</v>
      </c>
      <c r="S3671" s="9">
        <v>41.041764553716455</v>
      </c>
      <c r="T3671" s="9">
        <v>44.512516286159922</v>
      </c>
      <c r="U3671" s="9">
        <v>52.176281946965503</v>
      </c>
      <c r="V3671" s="9">
        <v>52.176281946965503</v>
      </c>
      <c r="W3671" s="9">
        <v>52.176281946965503</v>
      </c>
      <c r="X3671" s="9">
        <v>65.399646652844908</v>
      </c>
      <c r="Y3671" s="9">
        <v>65.399646652844908</v>
      </c>
      <c r="Z3671" s="9">
        <v>74.862823794027804</v>
      </c>
      <c r="AA3671" s="9">
        <v>74.862823794027804</v>
      </c>
      <c r="AB3671" s="9">
        <v>84.552915727397561</v>
      </c>
      <c r="AC3671" s="9">
        <v>84.552915727397561</v>
      </c>
      <c r="AD3671" s="9">
        <v>94.492613932172858</v>
      </c>
      <c r="AE3671" s="9">
        <v>104.70687903549428</v>
      </c>
      <c r="AF3671" s="9">
        <v>115.51364337537625</v>
      </c>
      <c r="AG3671" s="9">
        <v>115.51364337537625</v>
      </c>
      <c r="AH3671" s="9">
        <v>127.68776106627702</v>
      </c>
      <c r="AI3671" s="9">
        <v>140.22732729914276</v>
      </c>
      <c r="AJ3671" s="9">
        <v>3.0428788910505911</v>
      </c>
    </row>
    <row r="3672" spans="1:36" x14ac:dyDescent="0.25">
      <c r="A3672" t="s">
        <v>5411</v>
      </c>
      <c r="B3672" t="s">
        <v>16</v>
      </c>
      <c r="C3672" t="s">
        <v>17</v>
      </c>
      <c r="D3672">
        <v>65645000</v>
      </c>
      <c r="E3672">
        <v>65649999</v>
      </c>
      <c r="F3672" t="s">
        <v>3327</v>
      </c>
      <c r="G3672" t="str">
        <f t="shared" si="114"/>
        <v>MAI II</v>
      </c>
      <c r="H3672" t="s">
        <v>3213</v>
      </c>
      <c r="I3672" t="s">
        <v>20</v>
      </c>
      <c r="J3672" t="s">
        <v>64</v>
      </c>
      <c r="K3672" s="6">
        <v>0.03</v>
      </c>
      <c r="L3672" s="7">
        <f t="shared" si="115"/>
        <v>2E-3</v>
      </c>
      <c r="M3672" s="7">
        <v>3.0000000000000001E-3</v>
      </c>
      <c r="N3672">
        <v>12</v>
      </c>
      <c r="O3672" s="8">
        <v>25.668860905665891</v>
      </c>
      <c r="P3672" s="9">
        <v>25.668860905665891</v>
      </c>
      <c r="Q3672" s="9">
        <v>25.668860905665891</v>
      </c>
      <c r="R3672" s="9">
        <v>28.90627780374118</v>
      </c>
      <c r="S3672" s="9">
        <v>32.088398586892829</v>
      </c>
      <c r="T3672" s="9">
        <v>35.317419895390479</v>
      </c>
      <c r="U3672" s="9">
        <v>41.899003808131717</v>
      </c>
      <c r="V3672" s="9">
        <v>41.899003808131717</v>
      </c>
      <c r="W3672" s="9">
        <v>41.899003808131717</v>
      </c>
      <c r="X3672" s="9">
        <v>49.367258046991701</v>
      </c>
      <c r="Y3672" s="9">
        <v>49.367258046991701</v>
      </c>
      <c r="Z3672" s="9">
        <v>56.934875079999451</v>
      </c>
      <c r="AA3672" s="9">
        <v>56.934875079999451</v>
      </c>
      <c r="AB3672" s="9">
        <v>64.611791186569661</v>
      </c>
      <c r="AC3672" s="9">
        <v>64.611791186569661</v>
      </c>
      <c r="AD3672" s="9">
        <v>74.350540076267862</v>
      </c>
      <c r="AE3672" s="9">
        <v>81.505501009216758</v>
      </c>
      <c r="AF3672" s="9">
        <v>89.052880694757192</v>
      </c>
      <c r="AG3672" s="9">
        <v>89.052880694757192</v>
      </c>
      <c r="AH3672" s="9">
        <v>98.528148353766625</v>
      </c>
      <c r="AI3672" s="9">
        <v>107.07903577054074</v>
      </c>
      <c r="AJ3672" s="9">
        <v>3.0428788910505911</v>
      </c>
    </row>
    <row r="3673" spans="1:36" x14ac:dyDescent="0.25">
      <c r="A3673" t="s">
        <v>5411</v>
      </c>
      <c r="B3673" t="s">
        <v>16</v>
      </c>
      <c r="C3673" t="s">
        <v>17</v>
      </c>
      <c r="D3673">
        <v>65650000</v>
      </c>
      <c r="E3673">
        <v>65659999</v>
      </c>
      <c r="F3673" t="s">
        <v>3328</v>
      </c>
      <c r="G3673" t="str">
        <f t="shared" si="114"/>
        <v>MAR</v>
      </c>
      <c r="H3673" t="s">
        <v>3213</v>
      </c>
      <c r="I3673" t="s">
        <v>20</v>
      </c>
      <c r="J3673" t="s">
        <v>77</v>
      </c>
      <c r="K3673" s="6">
        <v>0.03</v>
      </c>
      <c r="L3673" s="7">
        <f t="shared" si="115"/>
        <v>2E-3</v>
      </c>
      <c r="M3673" s="7">
        <v>3.0000000000000001E-3</v>
      </c>
      <c r="N3673">
        <v>17</v>
      </c>
      <c r="O3673" s="8">
        <v>32.902778340866817</v>
      </c>
      <c r="P3673" s="9">
        <v>32.902778340866817</v>
      </c>
      <c r="Q3673" s="9">
        <v>32.902778340866817</v>
      </c>
      <c r="R3673" s="9">
        <v>36.980915483174826</v>
      </c>
      <c r="S3673" s="9">
        <v>41.041764553716455</v>
      </c>
      <c r="T3673" s="9">
        <v>44.512516286159922</v>
      </c>
      <c r="U3673" s="9">
        <v>52.176281946965503</v>
      </c>
      <c r="V3673" s="9">
        <v>52.176281946965503</v>
      </c>
      <c r="W3673" s="9">
        <v>52.176281946965503</v>
      </c>
      <c r="X3673" s="9">
        <v>65.399646652844908</v>
      </c>
      <c r="Y3673" s="9">
        <v>65.399646652844908</v>
      </c>
      <c r="Z3673" s="9">
        <v>74.862823794027804</v>
      </c>
      <c r="AA3673" s="9">
        <v>74.862823794027804</v>
      </c>
      <c r="AB3673" s="9">
        <v>84.552915727397561</v>
      </c>
      <c r="AC3673" s="9">
        <v>84.552915727397561</v>
      </c>
      <c r="AD3673" s="9">
        <v>94.492613932172858</v>
      </c>
      <c r="AE3673" s="9">
        <v>104.70687903549428</v>
      </c>
      <c r="AF3673" s="9">
        <v>115.51364337537625</v>
      </c>
      <c r="AG3673" s="9">
        <v>115.51364337537625</v>
      </c>
      <c r="AH3673" s="9">
        <v>127.68776106627702</v>
      </c>
      <c r="AI3673" s="9">
        <v>140.22732729914276</v>
      </c>
      <c r="AJ3673" s="9">
        <v>3.0428788910505911</v>
      </c>
    </row>
    <row r="3674" spans="1:36" x14ac:dyDescent="0.25">
      <c r="A3674" t="s">
        <v>5411</v>
      </c>
      <c r="B3674" t="s">
        <v>16</v>
      </c>
      <c r="C3674" t="s">
        <v>17</v>
      </c>
      <c r="D3674">
        <v>65660000</v>
      </c>
      <c r="E3674">
        <v>65664999</v>
      </c>
      <c r="F3674" t="s">
        <v>3329</v>
      </c>
      <c r="G3674" t="str">
        <f t="shared" si="114"/>
        <v>MAI II</v>
      </c>
      <c r="H3674" t="s">
        <v>3213</v>
      </c>
      <c r="I3674" t="s">
        <v>20</v>
      </c>
      <c r="J3674" t="s">
        <v>64</v>
      </c>
      <c r="K3674" s="6">
        <v>0.03</v>
      </c>
      <c r="L3674" s="7">
        <f t="shared" si="115"/>
        <v>2E-3</v>
      </c>
      <c r="M3674" s="7">
        <v>3.0000000000000001E-3</v>
      </c>
      <c r="N3674">
        <v>14</v>
      </c>
      <c r="O3674" s="8">
        <v>25.668860905665891</v>
      </c>
      <c r="P3674" s="9">
        <v>25.668860905665891</v>
      </c>
      <c r="Q3674" s="9">
        <v>25.668860905665891</v>
      </c>
      <c r="R3674" s="9">
        <v>28.90627780374118</v>
      </c>
      <c r="S3674" s="9">
        <v>32.088398586892829</v>
      </c>
      <c r="T3674" s="9">
        <v>35.317419895390479</v>
      </c>
      <c r="U3674" s="9">
        <v>41.899003808131717</v>
      </c>
      <c r="V3674" s="9">
        <v>41.899003808131717</v>
      </c>
      <c r="W3674" s="9">
        <v>41.899003808131717</v>
      </c>
      <c r="X3674" s="9">
        <v>49.367258046991701</v>
      </c>
      <c r="Y3674" s="9">
        <v>49.367258046991701</v>
      </c>
      <c r="Z3674" s="9">
        <v>56.934875079999451</v>
      </c>
      <c r="AA3674" s="9">
        <v>56.934875079999451</v>
      </c>
      <c r="AB3674" s="9">
        <v>64.611791186569661</v>
      </c>
      <c r="AC3674" s="9">
        <v>64.611791186569661</v>
      </c>
      <c r="AD3674" s="9">
        <v>74.350540076267862</v>
      </c>
      <c r="AE3674" s="9">
        <v>81.505501009216758</v>
      </c>
      <c r="AF3674" s="9">
        <v>89.052880694757192</v>
      </c>
      <c r="AG3674" s="9">
        <v>89.052880694757192</v>
      </c>
      <c r="AH3674" s="9">
        <v>98.528148353766625</v>
      </c>
      <c r="AI3674" s="9">
        <v>107.07903577054074</v>
      </c>
      <c r="AJ3674" s="9">
        <v>3.0428788910505911</v>
      </c>
    </row>
    <row r="3675" spans="1:36" x14ac:dyDescent="0.25">
      <c r="A3675" t="s">
        <v>5411</v>
      </c>
      <c r="B3675" t="s">
        <v>16</v>
      </c>
      <c r="C3675" t="s">
        <v>17</v>
      </c>
      <c r="D3675">
        <v>65665000</v>
      </c>
      <c r="E3675">
        <v>65667999</v>
      </c>
      <c r="F3675" t="s">
        <v>3330</v>
      </c>
      <c r="G3675" t="str">
        <f t="shared" si="114"/>
        <v>MAR</v>
      </c>
      <c r="H3675" t="s">
        <v>3213</v>
      </c>
      <c r="I3675" t="s">
        <v>20</v>
      </c>
      <c r="J3675" t="s">
        <v>77</v>
      </c>
      <c r="K3675" s="6">
        <v>0.03</v>
      </c>
      <c r="L3675" s="7">
        <f t="shared" si="115"/>
        <v>2E-3</v>
      </c>
      <c r="M3675" s="7">
        <v>3.0000000000000001E-3</v>
      </c>
      <c r="N3675">
        <v>17</v>
      </c>
      <c r="O3675" s="8">
        <v>32.902778340866817</v>
      </c>
      <c r="P3675" s="9">
        <v>32.902778340866817</v>
      </c>
      <c r="Q3675" s="9">
        <v>32.902778340866817</v>
      </c>
      <c r="R3675" s="9">
        <v>36.980915483174826</v>
      </c>
      <c r="S3675" s="9">
        <v>41.041764553716455</v>
      </c>
      <c r="T3675" s="9">
        <v>44.512516286159922</v>
      </c>
      <c r="U3675" s="9">
        <v>52.176281946965503</v>
      </c>
      <c r="V3675" s="9">
        <v>52.176281946965503</v>
      </c>
      <c r="W3675" s="9">
        <v>52.176281946965503</v>
      </c>
      <c r="X3675" s="9">
        <v>65.399646652844908</v>
      </c>
      <c r="Y3675" s="9">
        <v>65.399646652844908</v>
      </c>
      <c r="Z3675" s="9">
        <v>74.862823794027804</v>
      </c>
      <c r="AA3675" s="9">
        <v>74.862823794027804</v>
      </c>
      <c r="AB3675" s="9">
        <v>84.552915727397561</v>
      </c>
      <c r="AC3675" s="9">
        <v>84.552915727397561</v>
      </c>
      <c r="AD3675" s="9">
        <v>94.492613932172858</v>
      </c>
      <c r="AE3675" s="9">
        <v>104.70687903549428</v>
      </c>
      <c r="AF3675" s="9">
        <v>115.51364337537625</v>
      </c>
      <c r="AG3675" s="9">
        <v>115.51364337537625</v>
      </c>
      <c r="AH3675" s="9">
        <v>127.68776106627702</v>
      </c>
      <c r="AI3675" s="9">
        <v>140.22732729914276</v>
      </c>
      <c r="AJ3675" s="9">
        <v>3.0428788910505911</v>
      </c>
    </row>
    <row r="3676" spans="1:36" x14ac:dyDescent="0.25">
      <c r="A3676" t="s">
        <v>5411</v>
      </c>
      <c r="B3676" t="s">
        <v>16</v>
      </c>
      <c r="C3676" t="s">
        <v>17</v>
      </c>
      <c r="D3676">
        <v>65668000</v>
      </c>
      <c r="E3676">
        <v>65669999</v>
      </c>
      <c r="F3676" t="s">
        <v>3331</v>
      </c>
      <c r="G3676" t="str">
        <f t="shared" si="114"/>
        <v>MAR</v>
      </c>
      <c r="H3676" t="s">
        <v>3213</v>
      </c>
      <c r="I3676" t="s">
        <v>20</v>
      </c>
      <c r="J3676" t="s">
        <v>77</v>
      </c>
      <c r="K3676" s="6">
        <v>0.03</v>
      </c>
      <c r="L3676" s="7">
        <f t="shared" si="115"/>
        <v>2E-3</v>
      </c>
      <c r="M3676" s="7">
        <v>3.0000000000000001E-3</v>
      </c>
      <c r="N3676">
        <v>17</v>
      </c>
      <c r="O3676" s="8">
        <v>32.902778340866817</v>
      </c>
      <c r="P3676" s="9">
        <v>32.902778340866817</v>
      </c>
      <c r="Q3676" s="9">
        <v>32.902778340866817</v>
      </c>
      <c r="R3676" s="9">
        <v>36.980915483174826</v>
      </c>
      <c r="S3676" s="9">
        <v>41.041764553716455</v>
      </c>
      <c r="T3676" s="9">
        <v>44.512516286159922</v>
      </c>
      <c r="U3676" s="9">
        <v>52.176281946965503</v>
      </c>
      <c r="V3676" s="9">
        <v>52.176281946965503</v>
      </c>
      <c r="W3676" s="9">
        <v>52.176281946965503</v>
      </c>
      <c r="X3676" s="9">
        <v>65.399646652844908</v>
      </c>
      <c r="Y3676" s="9">
        <v>65.399646652844908</v>
      </c>
      <c r="Z3676" s="9">
        <v>74.862823794027804</v>
      </c>
      <c r="AA3676" s="9">
        <v>74.862823794027804</v>
      </c>
      <c r="AB3676" s="9">
        <v>84.552915727397561</v>
      </c>
      <c r="AC3676" s="9">
        <v>84.552915727397561</v>
      </c>
      <c r="AD3676" s="9">
        <v>94.492613932172858</v>
      </c>
      <c r="AE3676" s="9">
        <v>104.70687903549428</v>
      </c>
      <c r="AF3676" s="9">
        <v>115.51364337537625</v>
      </c>
      <c r="AG3676" s="9">
        <v>115.51364337537625</v>
      </c>
      <c r="AH3676" s="9">
        <v>127.68776106627702</v>
      </c>
      <c r="AI3676" s="9">
        <v>140.22732729914276</v>
      </c>
      <c r="AJ3676" s="9">
        <v>3.0428788910505911</v>
      </c>
    </row>
    <row r="3677" spans="1:36" x14ac:dyDescent="0.25">
      <c r="A3677" t="s">
        <v>5411</v>
      </c>
      <c r="B3677" t="s">
        <v>16</v>
      </c>
      <c r="C3677" t="s">
        <v>17</v>
      </c>
      <c r="D3677">
        <v>65670000</v>
      </c>
      <c r="E3677">
        <v>65679999</v>
      </c>
      <c r="F3677" t="s">
        <v>3332</v>
      </c>
      <c r="G3677" t="str">
        <f t="shared" si="114"/>
        <v>MAR</v>
      </c>
      <c r="H3677" t="s">
        <v>3213</v>
      </c>
      <c r="I3677" t="s">
        <v>20</v>
      </c>
      <c r="J3677" t="s">
        <v>77</v>
      </c>
      <c r="K3677" s="6">
        <v>0.03</v>
      </c>
      <c r="L3677" s="7">
        <f t="shared" si="115"/>
        <v>2E-3</v>
      </c>
      <c r="M3677" s="7">
        <v>3.0000000000000001E-3</v>
      </c>
      <c r="N3677">
        <v>17</v>
      </c>
      <c r="O3677" s="8">
        <v>32.902778340866817</v>
      </c>
      <c r="P3677" s="9">
        <v>32.902778340866817</v>
      </c>
      <c r="Q3677" s="9">
        <v>32.902778340866817</v>
      </c>
      <c r="R3677" s="9">
        <v>36.980915483174826</v>
      </c>
      <c r="S3677" s="9">
        <v>41.041764553716455</v>
      </c>
      <c r="T3677" s="9">
        <v>44.512516286159922</v>
      </c>
      <c r="U3677" s="9">
        <v>52.176281946965503</v>
      </c>
      <c r="V3677" s="9">
        <v>52.176281946965503</v>
      </c>
      <c r="W3677" s="9">
        <v>52.176281946965503</v>
      </c>
      <c r="X3677" s="9">
        <v>65.399646652844908</v>
      </c>
      <c r="Y3677" s="9">
        <v>65.399646652844908</v>
      </c>
      <c r="Z3677" s="9">
        <v>74.862823794027804</v>
      </c>
      <c r="AA3677" s="9">
        <v>74.862823794027804</v>
      </c>
      <c r="AB3677" s="9">
        <v>84.552915727397561</v>
      </c>
      <c r="AC3677" s="9">
        <v>84.552915727397561</v>
      </c>
      <c r="AD3677" s="9">
        <v>94.492613932172858</v>
      </c>
      <c r="AE3677" s="9">
        <v>104.70687903549428</v>
      </c>
      <c r="AF3677" s="9">
        <v>115.51364337537625</v>
      </c>
      <c r="AG3677" s="9">
        <v>115.51364337537625</v>
      </c>
      <c r="AH3677" s="9">
        <v>127.68776106627702</v>
      </c>
      <c r="AI3677" s="9">
        <v>140.22732729914276</v>
      </c>
      <c r="AJ3677" s="9">
        <v>3.0428788910505911</v>
      </c>
    </row>
    <row r="3678" spans="1:36" x14ac:dyDescent="0.25">
      <c r="A3678" t="s">
        <v>5411</v>
      </c>
      <c r="B3678" t="s">
        <v>16</v>
      </c>
      <c r="C3678" t="s">
        <v>17</v>
      </c>
      <c r="D3678">
        <v>65680000</v>
      </c>
      <c r="E3678">
        <v>65682999</v>
      </c>
      <c r="F3678" t="s">
        <v>3333</v>
      </c>
      <c r="G3678" t="str">
        <f t="shared" si="114"/>
        <v>MAR</v>
      </c>
      <c r="H3678" t="s">
        <v>3213</v>
      </c>
      <c r="I3678" t="s">
        <v>20</v>
      </c>
      <c r="J3678" t="s">
        <v>77</v>
      </c>
      <c r="K3678" s="6">
        <v>0.03</v>
      </c>
      <c r="L3678" s="7">
        <f t="shared" si="115"/>
        <v>2E-3</v>
      </c>
      <c r="M3678" s="7">
        <v>3.0000000000000001E-3</v>
      </c>
      <c r="N3678">
        <v>17</v>
      </c>
      <c r="O3678" s="8">
        <v>32.902778340866817</v>
      </c>
      <c r="P3678" s="9">
        <v>32.902778340866817</v>
      </c>
      <c r="Q3678" s="9">
        <v>32.902778340866817</v>
      </c>
      <c r="R3678" s="9">
        <v>36.980915483174826</v>
      </c>
      <c r="S3678" s="9">
        <v>41.041764553716455</v>
      </c>
      <c r="T3678" s="9">
        <v>44.512516286159922</v>
      </c>
      <c r="U3678" s="9">
        <v>52.176281946965503</v>
      </c>
      <c r="V3678" s="9">
        <v>52.176281946965503</v>
      </c>
      <c r="W3678" s="9">
        <v>52.176281946965503</v>
      </c>
      <c r="X3678" s="9">
        <v>65.399646652844908</v>
      </c>
      <c r="Y3678" s="9">
        <v>65.399646652844908</v>
      </c>
      <c r="Z3678" s="9">
        <v>74.862823794027804</v>
      </c>
      <c r="AA3678" s="9">
        <v>74.862823794027804</v>
      </c>
      <c r="AB3678" s="9">
        <v>84.552915727397561</v>
      </c>
      <c r="AC3678" s="9">
        <v>84.552915727397561</v>
      </c>
      <c r="AD3678" s="9">
        <v>94.492613932172858</v>
      </c>
      <c r="AE3678" s="9">
        <v>104.70687903549428</v>
      </c>
      <c r="AF3678" s="9">
        <v>115.51364337537625</v>
      </c>
      <c r="AG3678" s="9">
        <v>115.51364337537625</v>
      </c>
      <c r="AH3678" s="9">
        <v>127.68776106627702</v>
      </c>
      <c r="AI3678" s="9">
        <v>140.22732729914276</v>
      </c>
      <c r="AJ3678" s="9">
        <v>3.0428788910505911</v>
      </c>
    </row>
    <row r="3679" spans="1:36" x14ac:dyDescent="0.25">
      <c r="A3679" t="s">
        <v>5411</v>
      </c>
      <c r="B3679" t="s">
        <v>16</v>
      </c>
      <c r="C3679" t="s">
        <v>17</v>
      </c>
      <c r="D3679">
        <v>65683000</v>
      </c>
      <c r="E3679">
        <v>65684999</v>
      </c>
      <c r="F3679" t="s">
        <v>3334</v>
      </c>
      <c r="G3679" t="str">
        <f t="shared" si="114"/>
        <v>MAR</v>
      </c>
      <c r="H3679" t="s">
        <v>3213</v>
      </c>
      <c r="I3679" t="s">
        <v>20</v>
      </c>
      <c r="J3679" t="s">
        <v>77</v>
      </c>
      <c r="K3679" s="6">
        <v>0.03</v>
      </c>
      <c r="L3679" s="7">
        <f t="shared" si="115"/>
        <v>2E-3</v>
      </c>
      <c r="M3679" s="7">
        <v>3.0000000000000001E-3</v>
      </c>
      <c r="N3679">
        <v>17</v>
      </c>
      <c r="O3679" s="8">
        <v>32.902778340866817</v>
      </c>
      <c r="P3679" s="9">
        <v>32.902778340866817</v>
      </c>
      <c r="Q3679" s="9">
        <v>32.902778340866817</v>
      </c>
      <c r="R3679" s="9">
        <v>36.980915483174826</v>
      </c>
      <c r="S3679" s="9">
        <v>41.041764553716455</v>
      </c>
      <c r="T3679" s="9">
        <v>44.512516286159922</v>
      </c>
      <c r="U3679" s="9">
        <v>52.176281946965503</v>
      </c>
      <c r="V3679" s="9">
        <v>52.176281946965503</v>
      </c>
      <c r="W3679" s="9">
        <v>52.176281946965503</v>
      </c>
      <c r="X3679" s="9">
        <v>65.399646652844908</v>
      </c>
      <c r="Y3679" s="9">
        <v>65.399646652844908</v>
      </c>
      <c r="Z3679" s="9">
        <v>74.862823794027804</v>
      </c>
      <c r="AA3679" s="9">
        <v>74.862823794027804</v>
      </c>
      <c r="AB3679" s="9">
        <v>84.552915727397561</v>
      </c>
      <c r="AC3679" s="9">
        <v>84.552915727397561</v>
      </c>
      <c r="AD3679" s="9">
        <v>94.492613932172858</v>
      </c>
      <c r="AE3679" s="9">
        <v>104.70687903549428</v>
      </c>
      <c r="AF3679" s="9">
        <v>115.51364337537625</v>
      </c>
      <c r="AG3679" s="9">
        <v>115.51364337537625</v>
      </c>
      <c r="AH3679" s="9">
        <v>127.68776106627702</v>
      </c>
      <c r="AI3679" s="9">
        <v>140.22732729914276</v>
      </c>
      <c r="AJ3679" s="9">
        <v>3.0428788910505911</v>
      </c>
    </row>
    <row r="3680" spans="1:36" x14ac:dyDescent="0.25">
      <c r="A3680" t="s">
        <v>5411</v>
      </c>
      <c r="B3680" t="s">
        <v>16</v>
      </c>
      <c r="C3680" t="s">
        <v>17</v>
      </c>
      <c r="D3680">
        <v>65685000</v>
      </c>
      <c r="E3680">
        <v>65689999</v>
      </c>
      <c r="F3680" t="s">
        <v>3335</v>
      </c>
      <c r="G3680" t="str">
        <f t="shared" si="114"/>
        <v>MAR</v>
      </c>
      <c r="H3680" t="s">
        <v>3213</v>
      </c>
      <c r="I3680" t="s">
        <v>20</v>
      </c>
      <c r="J3680" t="s">
        <v>77</v>
      </c>
      <c r="K3680" s="6">
        <v>0.03</v>
      </c>
      <c r="L3680" s="7">
        <f t="shared" si="115"/>
        <v>2E-3</v>
      </c>
      <c r="M3680" s="7">
        <v>3.0000000000000001E-3</v>
      </c>
      <c r="N3680">
        <v>17</v>
      </c>
      <c r="O3680" s="8">
        <v>32.902778340866817</v>
      </c>
      <c r="P3680" s="9">
        <v>32.902778340866817</v>
      </c>
      <c r="Q3680" s="9">
        <v>32.902778340866817</v>
      </c>
      <c r="R3680" s="9">
        <v>36.980915483174826</v>
      </c>
      <c r="S3680" s="9">
        <v>41.041764553716455</v>
      </c>
      <c r="T3680" s="9">
        <v>44.512516286159922</v>
      </c>
      <c r="U3680" s="9">
        <v>52.176281946965503</v>
      </c>
      <c r="V3680" s="9">
        <v>52.176281946965503</v>
      </c>
      <c r="W3680" s="9">
        <v>52.176281946965503</v>
      </c>
      <c r="X3680" s="9">
        <v>65.399646652844908</v>
      </c>
      <c r="Y3680" s="9">
        <v>65.399646652844908</v>
      </c>
      <c r="Z3680" s="9">
        <v>74.862823794027804</v>
      </c>
      <c r="AA3680" s="9">
        <v>74.862823794027804</v>
      </c>
      <c r="AB3680" s="9">
        <v>84.552915727397561</v>
      </c>
      <c r="AC3680" s="9">
        <v>84.552915727397561</v>
      </c>
      <c r="AD3680" s="9">
        <v>94.492613932172858</v>
      </c>
      <c r="AE3680" s="9">
        <v>104.70687903549428</v>
      </c>
      <c r="AF3680" s="9">
        <v>115.51364337537625</v>
      </c>
      <c r="AG3680" s="9">
        <v>115.51364337537625</v>
      </c>
      <c r="AH3680" s="9">
        <v>127.68776106627702</v>
      </c>
      <c r="AI3680" s="9">
        <v>140.22732729914276</v>
      </c>
      <c r="AJ3680" s="9">
        <v>3.0428788910505911</v>
      </c>
    </row>
    <row r="3681" spans="1:36" x14ac:dyDescent="0.25">
      <c r="A3681" t="s">
        <v>5411</v>
      </c>
      <c r="B3681" t="s">
        <v>16</v>
      </c>
      <c r="C3681" t="s">
        <v>17</v>
      </c>
      <c r="D3681">
        <v>65690000</v>
      </c>
      <c r="E3681">
        <v>65692999</v>
      </c>
      <c r="F3681" t="s">
        <v>3336</v>
      </c>
      <c r="G3681" t="str">
        <f t="shared" si="114"/>
        <v>MAI</v>
      </c>
      <c r="H3681" t="s">
        <v>3213</v>
      </c>
      <c r="I3681" t="s">
        <v>20</v>
      </c>
      <c r="J3681" t="s">
        <v>62</v>
      </c>
      <c r="K3681" s="6">
        <v>0.03</v>
      </c>
      <c r="L3681" s="7">
        <f t="shared" si="115"/>
        <v>2E-3</v>
      </c>
      <c r="M3681" s="7">
        <v>3.0000000000000001E-3</v>
      </c>
      <c r="N3681">
        <v>12</v>
      </c>
      <c r="O3681" s="8">
        <v>19.350325219569864</v>
      </c>
      <c r="P3681" s="9">
        <v>19.350325219569864</v>
      </c>
      <c r="Q3681" s="9">
        <v>19.350325219569864</v>
      </c>
      <c r="R3681" s="9">
        <v>21.236423757715794</v>
      </c>
      <c r="S3681" s="9">
        <v>23.412011215821156</v>
      </c>
      <c r="T3681" s="9">
        <v>26.602346057727168</v>
      </c>
      <c r="U3681" s="9">
        <v>32.175039039197578</v>
      </c>
      <c r="V3681" s="9">
        <v>32.175039039197578</v>
      </c>
      <c r="W3681" s="9">
        <v>32.175039039197578</v>
      </c>
      <c r="X3681" s="9">
        <v>38.477190222688968</v>
      </c>
      <c r="Y3681" s="9">
        <v>38.477190222688968</v>
      </c>
      <c r="Z3681" s="9">
        <v>46.072905764910679</v>
      </c>
      <c r="AA3681" s="9">
        <v>46.072905764910679</v>
      </c>
      <c r="AB3681" s="9">
        <v>52.857194265747438</v>
      </c>
      <c r="AC3681" s="9">
        <v>52.857194265747438</v>
      </c>
      <c r="AD3681" s="9">
        <v>60.075973585900336</v>
      </c>
      <c r="AE3681" s="9">
        <v>67.207660715359779</v>
      </c>
      <c r="AF3681" s="9">
        <v>74.765164496289444</v>
      </c>
      <c r="AG3681" s="9">
        <v>74.765164496289444</v>
      </c>
      <c r="AH3681" s="9">
        <v>82.787429668365718</v>
      </c>
      <c r="AI3681" s="9">
        <v>90.699158794373588</v>
      </c>
      <c r="AJ3681" s="9">
        <v>3.0428788910505911</v>
      </c>
    </row>
    <row r="3682" spans="1:36" x14ac:dyDescent="0.25">
      <c r="A3682" t="s">
        <v>5411</v>
      </c>
      <c r="B3682" t="s">
        <v>16</v>
      </c>
      <c r="C3682" t="s">
        <v>17</v>
      </c>
      <c r="D3682">
        <v>65693000</v>
      </c>
      <c r="E3682">
        <v>65694999</v>
      </c>
      <c r="F3682" t="s">
        <v>2342</v>
      </c>
      <c r="G3682" t="str">
        <f t="shared" si="114"/>
        <v>MAR</v>
      </c>
      <c r="H3682" t="s">
        <v>3213</v>
      </c>
      <c r="I3682" t="s">
        <v>20</v>
      </c>
      <c r="J3682" t="s">
        <v>77</v>
      </c>
      <c r="K3682" s="6">
        <v>0.03</v>
      </c>
      <c r="L3682" s="7">
        <f t="shared" si="115"/>
        <v>2E-3</v>
      </c>
      <c r="M3682" s="7">
        <v>3.0000000000000001E-3</v>
      </c>
      <c r="N3682">
        <v>17</v>
      </c>
      <c r="O3682" s="8">
        <v>32.902778340866817</v>
      </c>
      <c r="P3682" s="9">
        <v>32.902778340866817</v>
      </c>
      <c r="Q3682" s="9">
        <v>32.902778340866817</v>
      </c>
      <c r="R3682" s="9">
        <v>36.980915483174826</v>
      </c>
      <c r="S3682" s="9">
        <v>41.041764553716455</v>
      </c>
      <c r="T3682" s="9">
        <v>44.512516286159922</v>
      </c>
      <c r="U3682" s="9">
        <v>52.176281946965503</v>
      </c>
      <c r="V3682" s="9">
        <v>52.176281946965503</v>
      </c>
      <c r="W3682" s="9">
        <v>52.176281946965503</v>
      </c>
      <c r="X3682" s="9">
        <v>65.399646652844908</v>
      </c>
      <c r="Y3682" s="9">
        <v>65.399646652844908</v>
      </c>
      <c r="Z3682" s="9">
        <v>74.862823794027804</v>
      </c>
      <c r="AA3682" s="9">
        <v>74.862823794027804</v>
      </c>
      <c r="AB3682" s="9">
        <v>84.552915727397561</v>
      </c>
      <c r="AC3682" s="9">
        <v>84.552915727397561</v>
      </c>
      <c r="AD3682" s="9">
        <v>94.492613932172858</v>
      </c>
      <c r="AE3682" s="9">
        <v>104.70687903549428</v>
      </c>
      <c r="AF3682" s="9">
        <v>115.51364337537625</v>
      </c>
      <c r="AG3682" s="9">
        <v>115.51364337537625</v>
      </c>
      <c r="AH3682" s="9">
        <v>127.68776106627702</v>
      </c>
      <c r="AI3682" s="9">
        <v>140.22732729914276</v>
      </c>
      <c r="AJ3682" s="9">
        <v>3.0428788910505911</v>
      </c>
    </row>
    <row r="3683" spans="1:36" x14ac:dyDescent="0.25">
      <c r="A3683" t="s">
        <v>5411</v>
      </c>
      <c r="B3683" t="s">
        <v>16</v>
      </c>
      <c r="C3683" t="s">
        <v>17</v>
      </c>
      <c r="D3683">
        <v>65695000</v>
      </c>
      <c r="E3683">
        <v>65699999</v>
      </c>
      <c r="F3683" t="s">
        <v>3337</v>
      </c>
      <c r="G3683" t="str">
        <f t="shared" si="114"/>
        <v>MAR</v>
      </c>
      <c r="H3683" t="s">
        <v>3213</v>
      </c>
      <c r="I3683" t="s">
        <v>20</v>
      </c>
      <c r="J3683" t="s">
        <v>77</v>
      </c>
      <c r="K3683" s="6">
        <v>0.03</v>
      </c>
      <c r="L3683" s="7">
        <f t="shared" si="115"/>
        <v>2E-3</v>
      </c>
      <c r="M3683" s="7">
        <v>3.0000000000000001E-3</v>
      </c>
      <c r="N3683">
        <v>17</v>
      </c>
      <c r="O3683" s="8">
        <v>32.902778340866817</v>
      </c>
      <c r="P3683" s="9">
        <v>32.902778340866817</v>
      </c>
      <c r="Q3683" s="9">
        <v>32.902778340866817</v>
      </c>
      <c r="R3683" s="9">
        <v>36.980915483174826</v>
      </c>
      <c r="S3683" s="9">
        <v>41.041764553716455</v>
      </c>
      <c r="T3683" s="9">
        <v>44.512516286159922</v>
      </c>
      <c r="U3683" s="9">
        <v>52.176281946965503</v>
      </c>
      <c r="V3683" s="9">
        <v>52.176281946965503</v>
      </c>
      <c r="W3683" s="9">
        <v>52.176281946965503</v>
      </c>
      <c r="X3683" s="9">
        <v>65.399646652844908</v>
      </c>
      <c r="Y3683" s="9">
        <v>65.399646652844908</v>
      </c>
      <c r="Z3683" s="9">
        <v>74.862823794027804</v>
      </c>
      <c r="AA3683" s="9">
        <v>74.862823794027804</v>
      </c>
      <c r="AB3683" s="9">
        <v>84.552915727397561</v>
      </c>
      <c r="AC3683" s="9">
        <v>84.552915727397561</v>
      </c>
      <c r="AD3683" s="9">
        <v>94.492613932172858</v>
      </c>
      <c r="AE3683" s="9">
        <v>104.70687903549428</v>
      </c>
      <c r="AF3683" s="9">
        <v>115.51364337537625</v>
      </c>
      <c r="AG3683" s="9">
        <v>115.51364337537625</v>
      </c>
      <c r="AH3683" s="9">
        <v>127.68776106627702</v>
      </c>
      <c r="AI3683" s="9">
        <v>140.22732729914276</v>
      </c>
      <c r="AJ3683" s="9">
        <v>3.0428788910505911</v>
      </c>
    </row>
    <row r="3684" spans="1:36" x14ac:dyDescent="0.25">
      <c r="A3684" t="s">
        <v>5411</v>
      </c>
      <c r="B3684" t="s">
        <v>16</v>
      </c>
      <c r="C3684" t="s">
        <v>17</v>
      </c>
      <c r="D3684">
        <v>65700000</v>
      </c>
      <c r="E3684">
        <v>65703999</v>
      </c>
      <c r="F3684" t="s">
        <v>3338</v>
      </c>
      <c r="G3684" t="str">
        <f t="shared" si="114"/>
        <v>MAI</v>
      </c>
      <c r="H3684" t="s">
        <v>3213</v>
      </c>
      <c r="I3684" t="s">
        <v>20</v>
      </c>
      <c r="J3684" t="s">
        <v>62</v>
      </c>
      <c r="K3684" s="6">
        <v>0.03</v>
      </c>
      <c r="L3684" s="7">
        <f t="shared" si="115"/>
        <v>2E-3</v>
      </c>
      <c r="M3684" s="7">
        <v>3.0000000000000001E-3</v>
      </c>
      <c r="N3684">
        <v>12</v>
      </c>
      <c r="O3684" s="8">
        <v>19.350325219569864</v>
      </c>
      <c r="P3684" s="9">
        <v>19.350325219569864</v>
      </c>
      <c r="Q3684" s="9">
        <v>19.350325219569864</v>
      </c>
      <c r="R3684" s="9">
        <v>21.236423757715794</v>
      </c>
      <c r="S3684" s="9">
        <v>23.412011215821156</v>
      </c>
      <c r="T3684" s="9">
        <v>26.602346057727168</v>
      </c>
      <c r="U3684" s="9">
        <v>32.175039039197578</v>
      </c>
      <c r="V3684" s="9">
        <v>32.175039039197578</v>
      </c>
      <c r="W3684" s="9">
        <v>32.175039039197578</v>
      </c>
      <c r="X3684" s="9">
        <v>38.477190222688968</v>
      </c>
      <c r="Y3684" s="9">
        <v>38.477190222688968</v>
      </c>
      <c r="Z3684" s="9">
        <v>46.072905764910679</v>
      </c>
      <c r="AA3684" s="9">
        <v>46.072905764910679</v>
      </c>
      <c r="AB3684" s="9">
        <v>52.857194265747438</v>
      </c>
      <c r="AC3684" s="9">
        <v>52.857194265747438</v>
      </c>
      <c r="AD3684" s="9">
        <v>60.075973585900336</v>
      </c>
      <c r="AE3684" s="9">
        <v>67.207660715359779</v>
      </c>
      <c r="AF3684" s="9">
        <v>74.765164496289444</v>
      </c>
      <c r="AG3684" s="9">
        <v>74.765164496289444</v>
      </c>
      <c r="AH3684" s="9">
        <v>82.787429668365718</v>
      </c>
      <c r="AI3684" s="9">
        <v>90.699158794373588</v>
      </c>
      <c r="AJ3684" s="9">
        <v>3.0428788910505911</v>
      </c>
    </row>
    <row r="3685" spans="1:36" x14ac:dyDescent="0.25">
      <c r="A3685" t="s">
        <v>5411</v>
      </c>
      <c r="B3685" t="s">
        <v>16</v>
      </c>
      <c r="C3685" t="s">
        <v>17</v>
      </c>
      <c r="D3685">
        <v>65704000</v>
      </c>
      <c r="E3685">
        <v>65704999</v>
      </c>
      <c r="F3685" t="s">
        <v>3339</v>
      </c>
      <c r="G3685" t="str">
        <f t="shared" si="114"/>
        <v>MAR</v>
      </c>
      <c r="H3685" t="s">
        <v>3213</v>
      </c>
      <c r="I3685" t="s">
        <v>20</v>
      </c>
      <c r="J3685" t="s">
        <v>77</v>
      </c>
      <c r="K3685" s="6">
        <v>0.03</v>
      </c>
      <c r="L3685" s="7">
        <f t="shared" si="115"/>
        <v>2E-3</v>
      </c>
      <c r="M3685" s="7">
        <v>3.0000000000000001E-3</v>
      </c>
      <c r="N3685">
        <v>17</v>
      </c>
      <c r="O3685" s="8">
        <v>32.902778340866817</v>
      </c>
      <c r="P3685" s="9">
        <v>32.902778340866817</v>
      </c>
      <c r="Q3685" s="9">
        <v>32.902778340866817</v>
      </c>
      <c r="R3685" s="9">
        <v>36.980915483174826</v>
      </c>
      <c r="S3685" s="9">
        <v>41.041764553716455</v>
      </c>
      <c r="T3685" s="9">
        <v>44.512516286159922</v>
      </c>
      <c r="U3685" s="9">
        <v>52.176281946965503</v>
      </c>
      <c r="V3685" s="9">
        <v>52.176281946965503</v>
      </c>
      <c r="W3685" s="9">
        <v>52.176281946965503</v>
      </c>
      <c r="X3685" s="9">
        <v>65.399646652844908</v>
      </c>
      <c r="Y3685" s="9">
        <v>65.399646652844908</v>
      </c>
      <c r="Z3685" s="9">
        <v>74.862823794027804</v>
      </c>
      <c r="AA3685" s="9">
        <v>74.862823794027804</v>
      </c>
      <c r="AB3685" s="9">
        <v>84.552915727397561</v>
      </c>
      <c r="AC3685" s="9">
        <v>84.552915727397561</v>
      </c>
      <c r="AD3685" s="9">
        <v>94.492613932172858</v>
      </c>
      <c r="AE3685" s="9">
        <v>104.70687903549428</v>
      </c>
      <c r="AF3685" s="9">
        <v>115.51364337537625</v>
      </c>
      <c r="AG3685" s="9">
        <v>115.51364337537625</v>
      </c>
      <c r="AH3685" s="9">
        <v>127.68776106627702</v>
      </c>
      <c r="AI3685" s="9">
        <v>140.22732729914276</v>
      </c>
      <c r="AJ3685" s="9">
        <v>3.0428788910505911</v>
      </c>
    </row>
    <row r="3686" spans="1:36" x14ac:dyDescent="0.25">
      <c r="A3686" t="s">
        <v>5411</v>
      </c>
      <c r="B3686" t="s">
        <v>16</v>
      </c>
      <c r="C3686" t="s">
        <v>17</v>
      </c>
      <c r="D3686">
        <v>65705000</v>
      </c>
      <c r="E3686">
        <v>65705999</v>
      </c>
      <c r="F3686" t="s">
        <v>3340</v>
      </c>
      <c r="G3686" t="str">
        <f t="shared" si="114"/>
        <v>MAR</v>
      </c>
      <c r="H3686" t="s">
        <v>3213</v>
      </c>
      <c r="I3686" t="s">
        <v>20</v>
      </c>
      <c r="J3686" t="s">
        <v>77</v>
      </c>
      <c r="K3686" s="6">
        <v>0.03</v>
      </c>
      <c r="L3686" s="7">
        <f t="shared" si="115"/>
        <v>2E-3</v>
      </c>
      <c r="M3686" s="7">
        <v>3.0000000000000001E-3</v>
      </c>
      <c r="N3686">
        <v>17</v>
      </c>
      <c r="O3686" s="8">
        <v>32.902778340866817</v>
      </c>
      <c r="P3686" s="9">
        <v>32.902778340866817</v>
      </c>
      <c r="Q3686" s="9">
        <v>32.902778340866817</v>
      </c>
      <c r="R3686" s="9">
        <v>36.980915483174826</v>
      </c>
      <c r="S3686" s="9">
        <v>41.041764553716455</v>
      </c>
      <c r="T3686" s="9">
        <v>44.512516286159922</v>
      </c>
      <c r="U3686" s="9">
        <v>52.176281946965503</v>
      </c>
      <c r="V3686" s="9">
        <v>52.176281946965503</v>
      </c>
      <c r="W3686" s="9">
        <v>52.176281946965503</v>
      </c>
      <c r="X3686" s="9">
        <v>65.399646652844908</v>
      </c>
      <c r="Y3686" s="9">
        <v>65.399646652844908</v>
      </c>
      <c r="Z3686" s="9">
        <v>74.862823794027804</v>
      </c>
      <c r="AA3686" s="9">
        <v>74.862823794027804</v>
      </c>
      <c r="AB3686" s="9">
        <v>84.552915727397561</v>
      </c>
      <c r="AC3686" s="9">
        <v>84.552915727397561</v>
      </c>
      <c r="AD3686" s="9">
        <v>94.492613932172858</v>
      </c>
      <c r="AE3686" s="9">
        <v>104.70687903549428</v>
      </c>
      <c r="AF3686" s="9">
        <v>115.51364337537625</v>
      </c>
      <c r="AG3686" s="9">
        <v>115.51364337537625</v>
      </c>
      <c r="AH3686" s="9">
        <v>127.68776106627702</v>
      </c>
      <c r="AI3686" s="9">
        <v>140.22732729914276</v>
      </c>
      <c r="AJ3686" s="9">
        <v>3.0428788910505911</v>
      </c>
    </row>
    <row r="3687" spans="1:36" x14ac:dyDescent="0.25">
      <c r="A3687" t="s">
        <v>5411</v>
      </c>
      <c r="B3687" t="s">
        <v>16</v>
      </c>
      <c r="C3687" t="s">
        <v>17</v>
      </c>
      <c r="D3687">
        <v>65706000</v>
      </c>
      <c r="E3687">
        <v>65706999</v>
      </c>
      <c r="F3687" t="s">
        <v>3341</v>
      </c>
      <c r="G3687" t="str">
        <f t="shared" si="114"/>
        <v>MAR</v>
      </c>
      <c r="H3687" t="s">
        <v>3213</v>
      </c>
      <c r="I3687" t="s">
        <v>20</v>
      </c>
      <c r="J3687" t="s">
        <v>77</v>
      </c>
      <c r="K3687" s="6">
        <v>0.03</v>
      </c>
      <c r="L3687" s="7">
        <f t="shared" si="115"/>
        <v>2E-3</v>
      </c>
      <c r="M3687" s="7">
        <v>3.0000000000000001E-3</v>
      </c>
      <c r="N3687">
        <v>17</v>
      </c>
      <c r="O3687" s="8">
        <v>32.902778340866817</v>
      </c>
      <c r="P3687" s="9">
        <v>32.902778340866817</v>
      </c>
      <c r="Q3687" s="9">
        <v>32.902778340866817</v>
      </c>
      <c r="R3687" s="9">
        <v>36.980915483174826</v>
      </c>
      <c r="S3687" s="9">
        <v>41.041764553716455</v>
      </c>
      <c r="T3687" s="9">
        <v>44.512516286159922</v>
      </c>
      <c r="U3687" s="9">
        <v>52.176281946965503</v>
      </c>
      <c r="V3687" s="9">
        <v>52.176281946965503</v>
      </c>
      <c r="W3687" s="9">
        <v>52.176281946965503</v>
      </c>
      <c r="X3687" s="9">
        <v>65.399646652844908</v>
      </c>
      <c r="Y3687" s="9">
        <v>65.399646652844908</v>
      </c>
      <c r="Z3687" s="9">
        <v>74.862823794027804</v>
      </c>
      <c r="AA3687" s="9">
        <v>74.862823794027804</v>
      </c>
      <c r="AB3687" s="9">
        <v>84.552915727397561</v>
      </c>
      <c r="AC3687" s="9">
        <v>84.552915727397561</v>
      </c>
      <c r="AD3687" s="9">
        <v>94.492613932172858</v>
      </c>
      <c r="AE3687" s="9">
        <v>104.70687903549428</v>
      </c>
      <c r="AF3687" s="9">
        <v>115.51364337537625</v>
      </c>
      <c r="AG3687" s="9">
        <v>115.51364337537625</v>
      </c>
      <c r="AH3687" s="9">
        <v>127.68776106627702</v>
      </c>
      <c r="AI3687" s="9">
        <v>140.22732729914276</v>
      </c>
      <c r="AJ3687" s="9">
        <v>3.0428788910505911</v>
      </c>
    </row>
    <row r="3688" spans="1:36" x14ac:dyDescent="0.25">
      <c r="A3688" t="s">
        <v>5411</v>
      </c>
      <c r="B3688" t="s">
        <v>16</v>
      </c>
      <c r="C3688" t="s">
        <v>17</v>
      </c>
      <c r="D3688">
        <v>65707000</v>
      </c>
      <c r="E3688">
        <v>65707999</v>
      </c>
      <c r="F3688" t="s">
        <v>3342</v>
      </c>
      <c r="G3688" t="str">
        <f t="shared" si="114"/>
        <v>MAR</v>
      </c>
      <c r="H3688" t="s">
        <v>3213</v>
      </c>
      <c r="I3688" t="s">
        <v>20</v>
      </c>
      <c r="J3688" t="s">
        <v>77</v>
      </c>
      <c r="K3688" s="6">
        <v>0.03</v>
      </c>
      <c r="L3688" s="7">
        <f t="shared" si="115"/>
        <v>2E-3</v>
      </c>
      <c r="M3688" s="7">
        <v>3.0000000000000001E-3</v>
      </c>
      <c r="N3688">
        <v>17</v>
      </c>
      <c r="O3688" s="8">
        <v>32.902778340866817</v>
      </c>
      <c r="P3688" s="9">
        <v>32.902778340866817</v>
      </c>
      <c r="Q3688" s="9">
        <v>32.902778340866817</v>
      </c>
      <c r="R3688" s="9">
        <v>36.980915483174826</v>
      </c>
      <c r="S3688" s="9">
        <v>41.041764553716455</v>
      </c>
      <c r="T3688" s="9">
        <v>44.512516286159922</v>
      </c>
      <c r="U3688" s="9">
        <v>52.176281946965503</v>
      </c>
      <c r="V3688" s="9">
        <v>52.176281946965503</v>
      </c>
      <c r="W3688" s="9">
        <v>52.176281946965503</v>
      </c>
      <c r="X3688" s="9">
        <v>65.399646652844908</v>
      </c>
      <c r="Y3688" s="9">
        <v>65.399646652844908</v>
      </c>
      <c r="Z3688" s="9">
        <v>74.862823794027804</v>
      </c>
      <c r="AA3688" s="9">
        <v>74.862823794027804</v>
      </c>
      <c r="AB3688" s="9">
        <v>84.552915727397561</v>
      </c>
      <c r="AC3688" s="9">
        <v>84.552915727397561</v>
      </c>
      <c r="AD3688" s="9">
        <v>94.492613932172858</v>
      </c>
      <c r="AE3688" s="9">
        <v>104.70687903549428</v>
      </c>
      <c r="AF3688" s="9">
        <v>115.51364337537625</v>
      </c>
      <c r="AG3688" s="9">
        <v>115.51364337537625</v>
      </c>
      <c r="AH3688" s="9">
        <v>127.68776106627702</v>
      </c>
      <c r="AI3688" s="9">
        <v>140.22732729914276</v>
      </c>
      <c r="AJ3688" s="9">
        <v>3.0428788910505911</v>
      </c>
    </row>
    <row r="3689" spans="1:36" x14ac:dyDescent="0.25">
      <c r="A3689" t="s">
        <v>5411</v>
      </c>
      <c r="B3689" t="s">
        <v>16</v>
      </c>
      <c r="C3689" t="s">
        <v>17</v>
      </c>
      <c r="D3689">
        <v>65708000</v>
      </c>
      <c r="E3689">
        <v>65708999</v>
      </c>
      <c r="F3689" t="s">
        <v>3212</v>
      </c>
      <c r="G3689" t="str">
        <f t="shared" si="114"/>
        <v>MAR</v>
      </c>
      <c r="H3689" t="s">
        <v>3213</v>
      </c>
      <c r="I3689" t="s">
        <v>20</v>
      </c>
      <c r="J3689" t="s">
        <v>77</v>
      </c>
      <c r="K3689" s="6">
        <v>0.03</v>
      </c>
      <c r="L3689" s="7">
        <f t="shared" si="115"/>
        <v>2E-3</v>
      </c>
      <c r="M3689" s="7">
        <v>3.0000000000000001E-3</v>
      </c>
      <c r="N3689">
        <v>17</v>
      </c>
      <c r="O3689" s="8">
        <v>32.902778340866817</v>
      </c>
      <c r="P3689" s="9">
        <v>32.902778340866817</v>
      </c>
      <c r="Q3689" s="9">
        <v>32.902778340866817</v>
      </c>
      <c r="R3689" s="9">
        <v>36.980915483174826</v>
      </c>
      <c r="S3689" s="9">
        <v>41.041764553716455</v>
      </c>
      <c r="T3689" s="9">
        <v>44.512516286159922</v>
      </c>
      <c r="U3689" s="9">
        <v>52.176281946965503</v>
      </c>
      <c r="V3689" s="9">
        <v>52.176281946965503</v>
      </c>
      <c r="W3689" s="9">
        <v>52.176281946965503</v>
      </c>
      <c r="X3689" s="9">
        <v>65.399646652844908</v>
      </c>
      <c r="Y3689" s="9">
        <v>65.399646652844908</v>
      </c>
      <c r="Z3689" s="9">
        <v>74.862823794027804</v>
      </c>
      <c r="AA3689" s="9">
        <v>74.862823794027804</v>
      </c>
      <c r="AB3689" s="9">
        <v>84.552915727397561</v>
      </c>
      <c r="AC3689" s="9">
        <v>84.552915727397561</v>
      </c>
      <c r="AD3689" s="9">
        <v>94.492613932172858</v>
      </c>
      <c r="AE3689" s="9">
        <v>104.70687903549428</v>
      </c>
      <c r="AF3689" s="9">
        <v>115.51364337537625</v>
      </c>
      <c r="AG3689" s="9">
        <v>115.51364337537625</v>
      </c>
      <c r="AH3689" s="9">
        <v>127.68776106627702</v>
      </c>
      <c r="AI3689" s="9">
        <v>140.22732729914276</v>
      </c>
      <c r="AJ3689" s="9">
        <v>3.0428788910505911</v>
      </c>
    </row>
    <row r="3690" spans="1:36" x14ac:dyDescent="0.25">
      <c r="A3690" t="s">
        <v>5411</v>
      </c>
      <c r="B3690" t="s">
        <v>16</v>
      </c>
      <c r="C3690" t="s">
        <v>17</v>
      </c>
      <c r="D3690">
        <v>65709000</v>
      </c>
      <c r="E3690">
        <v>65709999</v>
      </c>
      <c r="F3690" t="s">
        <v>3343</v>
      </c>
      <c r="G3690" t="str">
        <f t="shared" si="114"/>
        <v>MAR</v>
      </c>
      <c r="H3690" t="s">
        <v>3213</v>
      </c>
      <c r="I3690" t="s">
        <v>20</v>
      </c>
      <c r="J3690" t="s">
        <v>77</v>
      </c>
      <c r="K3690" s="6">
        <v>0.03</v>
      </c>
      <c r="L3690" s="7">
        <f t="shared" si="115"/>
        <v>2E-3</v>
      </c>
      <c r="M3690" s="7">
        <v>3.0000000000000001E-3</v>
      </c>
      <c r="N3690">
        <v>17</v>
      </c>
      <c r="O3690" s="8">
        <v>32.902778340866817</v>
      </c>
      <c r="P3690" s="9">
        <v>32.902778340866817</v>
      </c>
      <c r="Q3690" s="9">
        <v>32.902778340866817</v>
      </c>
      <c r="R3690" s="9">
        <v>36.980915483174826</v>
      </c>
      <c r="S3690" s="9">
        <v>41.041764553716455</v>
      </c>
      <c r="T3690" s="9">
        <v>44.512516286159922</v>
      </c>
      <c r="U3690" s="9">
        <v>52.176281946965503</v>
      </c>
      <c r="V3690" s="9">
        <v>52.176281946965503</v>
      </c>
      <c r="W3690" s="9">
        <v>52.176281946965503</v>
      </c>
      <c r="X3690" s="9">
        <v>65.399646652844908</v>
      </c>
      <c r="Y3690" s="9">
        <v>65.399646652844908</v>
      </c>
      <c r="Z3690" s="9">
        <v>74.862823794027804</v>
      </c>
      <c r="AA3690" s="9">
        <v>74.862823794027804</v>
      </c>
      <c r="AB3690" s="9">
        <v>84.552915727397561</v>
      </c>
      <c r="AC3690" s="9">
        <v>84.552915727397561</v>
      </c>
      <c r="AD3690" s="9">
        <v>94.492613932172858</v>
      </c>
      <c r="AE3690" s="9">
        <v>104.70687903549428</v>
      </c>
      <c r="AF3690" s="9">
        <v>115.51364337537625</v>
      </c>
      <c r="AG3690" s="9">
        <v>115.51364337537625</v>
      </c>
      <c r="AH3690" s="9">
        <v>127.68776106627702</v>
      </c>
      <c r="AI3690" s="9">
        <v>140.22732729914276</v>
      </c>
      <c r="AJ3690" s="9">
        <v>3.0428788910505911</v>
      </c>
    </row>
    <row r="3691" spans="1:36" x14ac:dyDescent="0.25">
      <c r="A3691" t="s">
        <v>5411</v>
      </c>
      <c r="B3691" t="s">
        <v>16</v>
      </c>
      <c r="C3691" t="s">
        <v>17</v>
      </c>
      <c r="D3691">
        <v>65710000</v>
      </c>
      <c r="E3691">
        <v>65711999</v>
      </c>
      <c r="F3691" t="s">
        <v>3344</v>
      </c>
      <c r="G3691" t="str">
        <f t="shared" si="114"/>
        <v>MAR</v>
      </c>
      <c r="H3691" t="s">
        <v>3213</v>
      </c>
      <c r="I3691" t="s">
        <v>20</v>
      </c>
      <c r="J3691" t="s">
        <v>77</v>
      </c>
      <c r="K3691" s="6">
        <v>0.03</v>
      </c>
      <c r="L3691" s="7">
        <f t="shared" si="115"/>
        <v>2E-3</v>
      </c>
      <c r="M3691" s="7">
        <v>3.0000000000000001E-3</v>
      </c>
      <c r="N3691">
        <v>17</v>
      </c>
      <c r="O3691" s="8">
        <v>32.902778340866817</v>
      </c>
      <c r="P3691" s="9">
        <v>32.902778340866817</v>
      </c>
      <c r="Q3691" s="9">
        <v>32.902778340866817</v>
      </c>
      <c r="R3691" s="9">
        <v>36.980915483174826</v>
      </c>
      <c r="S3691" s="9">
        <v>41.041764553716455</v>
      </c>
      <c r="T3691" s="9">
        <v>44.512516286159922</v>
      </c>
      <c r="U3691" s="9">
        <v>52.176281946965503</v>
      </c>
      <c r="V3691" s="9">
        <v>52.176281946965503</v>
      </c>
      <c r="W3691" s="9">
        <v>52.176281946965503</v>
      </c>
      <c r="X3691" s="9">
        <v>65.399646652844908</v>
      </c>
      <c r="Y3691" s="9">
        <v>65.399646652844908</v>
      </c>
      <c r="Z3691" s="9">
        <v>74.862823794027804</v>
      </c>
      <c r="AA3691" s="9">
        <v>74.862823794027804</v>
      </c>
      <c r="AB3691" s="9">
        <v>84.552915727397561</v>
      </c>
      <c r="AC3691" s="9">
        <v>84.552915727397561</v>
      </c>
      <c r="AD3691" s="9">
        <v>94.492613932172858</v>
      </c>
      <c r="AE3691" s="9">
        <v>104.70687903549428</v>
      </c>
      <c r="AF3691" s="9">
        <v>115.51364337537625</v>
      </c>
      <c r="AG3691" s="9">
        <v>115.51364337537625</v>
      </c>
      <c r="AH3691" s="9">
        <v>127.68776106627702</v>
      </c>
      <c r="AI3691" s="9">
        <v>140.22732729914276</v>
      </c>
      <c r="AJ3691" s="9">
        <v>3.0428788910505911</v>
      </c>
    </row>
    <row r="3692" spans="1:36" x14ac:dyDescent="0.25">
      <c r="A3692" t="s">
        <v>5411</v>
      </c>
      <c r="B3692" t="s">
        <v>16</v>
      </c>
      <c r="C3692" t="s">
        <v>17</v>
      </c>
      <c r="D3692">
        <v>65712000</v>
      </c>
      <c r="E3692">
        <v>65713999</v>
      </c>
      <c r="F3692" t="s">
        <v>3345</v>
      </c>
      <c r="G3692" t="str">
        <f t="shared" si="114"/>
        <v>MAR</v>
      </c>
      <c r="H3692" t="s">
        <v>3213</v>
      </c>
      <c r="I3692" t="s">
        <v>20</v>
      </c>
      <c r="J3692" t="s">
        <v>77</v>
      </c>
      <c r="K3692" s="6">
        <v>0.03</v>
      </c>
      <c r="L3692" s="7">
        <f t="shared" si="115"/>
        <v>2E-3</v>
      </c>
      <c r="M3692" s="7">
        <v>3.0000000000000001E-3</v>
      </c>
      <c r="N3692">
        <v>17</v>
      </c>
      <c r="O3692" s="8">
        <v>32.902778340866817</v>
      </c>
      <c r="P3692" s="9">
        <v>32.902778340866817</v>
      </c>
      <c r="Q3692" s="9">
        <v>32.902778340866817</v>
      </c>
      <c r="R3692" s="9">
        <v>36.980915483174826</v>
      </c>
      <c r="S3692" s="9">
        <v>41.041764553716455</v>
      </c>
      <c r="T3692" s="9">
        <v>44.512516286159922</v>
      </c>
      <c r="U3692" s="9">
        <v>52.176281946965503</v>
      </c>
      <c r="V3692" s="9">
        <v>52.176281946965503</v>
      </c>
      <c r="W3692" s="9">
        <v>52.176281946965503</v>
      </c>
      <c r="X3692" s="9">
        <v>65.399646652844908</v>
      </c>
      <c r="Y3692" s="9">
        <v>65.399646652844908</v>
      </c>
      <c r="Z3692" s="9">
        <v>74.862823794027804</v>
      </c>
      <c r="AA3692" s="9">
        <v>74.862823794027804</v>
      </c>
      <c r="AB3692" s="9">
        <v>84.552915727397561</v>
      </c>
      <c r="AC3692" s="9">
        <v>84.552915727397561</v>
      </c>
      <c r="AD3692" s="9">
        <v>94.492613932172858</v>
      </c>
      <c r="AE3692" s="9">
        <v>104.70687903549428</v>
      </c>
      <c r="AF3692" s="9">
        <v>115.51364337537625</v>
      </c>
      <c r="AG3692" s="9">
        <v>115.51364337537625</v>
      </c>
      <c r="AH3692" s="9">
        <v>127.68776106627702</v>
      </c>
      <c r="AI3692" s="9">
        <v>140.22732729914276</v>
      </c>
      <c r="AJ3692" s="9">
        <v>3.0428788910505911</v>
      </c>
    </row>
    <row r="3693" spans="1:36" x14ac:dyDescent="0.25">
      <c r="A3693" t="s">
        <v>5411</v>
      </c>
      <c r="B3693" t="s">
        <v>16</v>
      </c>
      <c r="C3693" t="s">
        <v>17</v>
      </c>
      <c r="D3693">
        <v>65714000</v>
      </c>
      <c r="E3693">
        <v>65714999</v>
      </c>
      <c r="F3693" t="s">
        <v>3346</v>
      </c>
      <c r="G3693" t="str">
        <f t="shared" si="114"/>
        <v>MAR</v>
      </c>
      <c r="H3693" t="s">
        <v>3213</v>
      </c>
      <c r="I3693" t="s">
        <v>20</v>
      </c>
      <c r="J3693" t="s">
        <v>77</v>
      </c>
      <c r="K3693" s="6">
        <v>0.03</v>
      </c>
      <c r="L3693" s="7">
        <f t="shared" si="115"/>
        <v>2E-3</v>
      </c>
      <c r="M3693" s="7">
        <v>3.0000000000000001E-3</v>
      </c>
      <c r="N3693">
        <v>17</v>
      </c>
      <c r="O3693" s="8">
        <v>32.902778340866817</v>
      </c>
      <c r="P3693" s="9">
        <v>32.902778340866817</v>
      </c>
      <c r="Q3693" s="9">
        <v>32.902778340866817</v>
      </c>
      <c r="R3693" s="9">
        <v>36.980915483174826</v>
      </c>
      <c r="S3693" s="9">
        <v>41.041764553716455</v>
      </c>
      <c r="T3693" s="9">
        <v>44.512516286159922</v>
      </c>
      <c r="U3693" s="9">
        <v>52.176281946965503</v>
      </c>
      <c r="V3693" s="9">
        <v>52.176281946965503</v>
      </c>
      <c r="W3693" s="9">
        <v>52.176281946965503</v>
      </c>
      <c r="X3693" s="9">
        <v>65.399646652844908</v>
      </c>
      <c r="Y3693" s="9">
        <v>65.399646652844908</v>
      </c>
      <c r="Z3693" s="9">
        <v>74.862823794027804</v>
      </c>
      <c r="AA3693" s="9">
        <v>74.862823794027804</v>
      </c>
      <c r="AB3693" s="9">
        <v>84.552915727397561</v>
      </c>
      <c r="AC3693" s="9">
        <v>84.552915727397561</v>
      </c>
      <c r="AD3693" s="9">
        <v>94.492613932172858</v>
      </c>
      <c r="AE3693" s="9">
        <v>104.70687903549428</v>
      </c>
      <c r="AF3693" s="9">
        <v>115.51364337537625</v>
      </c>
      <c r="AG3693" s="9">
        <v>115.51364337537625</v>
      </c>
      <c r="AH3693" s="9">
        <v>127.68776106627702</v>
      </c>
      <c r="AI3693" s="9">
        <v>140.22732729914276</v>
      </c>
      <c r="AJ3693" s="9">
        <v>3.0428788910505911</v>
      </c>
    </row>
    <row r="3694" spans="1:36" x14ac:dyDescent="0.25">
      <c r="A3694" t="s">
        <v>5411</v>
      </c>
      <c r="B3694" t="s">
        <v>16</v>
      </c>
      <c r="C3694" t="s">
        <v>17</v>
      </c>
      <c r="D3694">
        <v>65715000</v>
      </c>
      <c r="E3694">
        <v>65715999</v>
      </c>
      <c r="F3694" t="s">
        <v>3347</v>
      </c>
      <c r="G3694" t="str">
        <f t="shared" si="114"/>
        <v>MAI</v>
      </c>
      <c r="H3694" t="s">
        <v>3213</v>
      </c>
      <c r="I3694" t="s">
        <v>20</v>
      </c>
      <c r="J3694" t="s">
        <v>62</v>
      </c>
      <c r="K3694" s="6">
        <v>0.03</v>
      </c>
      <c r="L3694" s="7">
        <f t="shared" si="115"/>
        <v>2E-3</v>
      </c>
      <c r="M3694" s="7">
        <v>3.0000000000000001E-3</v>
      </c>
      <c r="N3694">
        <v>12</v>
      </c>
      <c r="O3694" s="8">
        <v>19.350325219569864</v>
      </c>
      <c r="P3694" s="9">
        <v>19.350325219569864</v>
      </c>
      <c r="Q3694" s="9">
        <v>19.350325219569864</v>
      </c>
      <c r="R3694" s="9">
        <v>21.236423757715794</v>
      </c>
      <c r="S3694" s="9">
        <v>23.412011215821156</v>
      </c>
      <c r="T3694" s="9">
        <v>26.602346057727168</v>
      </c>
      <c r="U3694" s="9">
        <v>32.175039039197578</v>
      </c>
      <c r="V3694" s="9">
        <v>32.175039039197578</v>
      </c>
      <c r="W3694" s="9">
        <v>32.175039039197578</v>
      </c>
      <c r="X3694" s="9">
        <v>38.477190222688968</v>
      </c>
      <c r="Y3694" s="9">
        <v>38.477190222688968</v>
      </c>
      <c r="Z3694" s="9">
        <v>46.072905764910679</v>
      </c>
      <c r="AA3694" s="9">
        <v>46.072905764910679</v>
      </c>
      <c r="AB3694" s="9">
        <v>52.857194265747438</v>
      </c>
      <c r="AC3694" s="9">
        <v>52.857194265747438</v>
      </c>
      <c r="AD3694" s="9">
        <v>60.075973585900336</v>
      </c>
      <c r="AE3694" s="9">
        <v>67.207660715359779</v>
      </c>
      <c r="AF3694" s="9">
        <v>74.765164496289444</v>
      </c>
      <c r="AG3694" s="9">
        <v>74.765164496289444</v>
      </c>
      <c r="AH3694" s="9">
        <v>82.787429668365718</v>
      </c>
      <c r="AI3694" s="9">
        <v>90.699158794373588</v>
      </c>
      <c r="AJ3694" s="9">
        <v>3.0428788910505911</v>
      </c>
    </row>
    <row r="3695" spans="1:36" x14ac:dyDescent="0.25">
      <c r="A3695" t="s">
        <v>5411</v>
      </c>
      <c r="B3695" t="s">
        <v>16</v>
      </c>
      <c r="C3695" t="s">
        <v>17</v>
      </c>
      <c r="D3695">
        <v>65716000</v>
      </c>
      <c r="E3695">
        <v>65717999</v>
      </c>
      <c r="F3695" t="s">
        <v>3348</v>
      </c>
      <c r="G3695" t="str">
        <f t="shared" si="114"/>
        <v>MAR</v>
      </c>
      <c r="H3695" t="s">
        <v>3213</v>
      </c>
      <c r="I3695" t="s">
        <v>20</v>
      </c>
      <c r="J3695" t="s">
        <v>77</v>
      </c>
      <c r="K3695" s="6">
        <v>0.03</v>
      </c>
      <c r="L3695" s="7">
        <f t="shared" si="115"/>
        <v>2E-3</v>
      </c>
      <c r="M3695" s="7">
        <v>3.0000000000000001E-3</v>
      </c>
      <c r="N3695">
        <v>17</v>
      </c>
      <c r="O3695" s="8">
        <v>32.902778340866817</v>
      </c>
      <c r="P3695" s="9">
        <v>32.902778340866817</v>
      </c>
      <c r="Q3695" s="9">
        <v>32.902778340866817</v>
      </c>
      <c r="R3695" s="9">
        <v>36.980915483174826</v>
      </c>
      <c r="S3695" s="9">
        <v>41.041764553716455</v>
      </c>
      <c r="T3695" s="9">
        <v>44.512516286159922</v>
      </c>
      <c r="U3695" s="9">
        <v>52.176281946965503</v>
      </c>
      <c r="V3695" s="9">
        <v>52.176281946965503</v>
      </c>
      <c r="W3695" s="9">
        <v>52.176281946965503</v>
      </c>
      <c r="X3695" s="9">
        <v>65.399646652844908</v>
      </c>
      <c r="Y3695" s="9">
        <v>65.399646652844908</v>
      </c>
      <c r="Z3695" s="9">
        <v>74.862823794027804</v>
      </c>
      <c r="AA3695" s="9">
        <v>74.862823794027804</v>
      </c>
      <c r="AB3695" s="9">
        <v>84.552915727397561</v>
      </c>
      <c r="AC3695" s="9">
        <v>84.552915727397561</v>
      </c>
      <c r="AD3695" s="9">
        <v>94.492613932172858</v>
      </c>
      <c r="AE3695" s="9">
        <v>104.70687903549428</v>
      </c>
      <c r="AF3695" s="9">
        <v>115.51364337537625</v>
      </c>
      <c r="AG3695" s="9">
        <v>115.51364337537625</v>
      </c>
      <c r="AH3695" s="9">
        <v>127.68776106627702</v>
      </c>
      <c r="AI3695" s="9">
        <v>140.22732729914276</v>
      </c>
      <c r="AJ3695" s="9">
        <v>3.0428788910505911</v>
      </c>
    </row>
    <row r="3696" spans="1:36" x14ac:dyDescent="0.25">
      <c r="A3696" t="s">
        <v>5411</v>
      </c>
      <c r="B3696" t="s">
        <v>16</v>
      </c>
      <c r="C3696" t="s">
        <v>17</v>
      </c>
      <c r="D3696">
        <v>65718000</v>
      </c>
      <c r="E3696">
        <v>65719999</v>
      </c>
      <c r="F3696" t="s">
        <v>3349</v>
      </c>
      <c r="G3696" t="str">
        <f t="shared" si="114"/>
        <v>MAR</v>
      </c>
      <c r="H3696" t="s">
        <v>3213</v>
      </c>
      <c r="I3696" t="s">
        <v>20</v>
      </c>
      <c r="J3696" t="s">
        <v>77</v>
      </c>
      <c r="K3696" s="6">
        <v>0.03</v>
      </c>
      <c r="L3696" s="7">
        <f t="shared" si="115"/>
        <v>2E-3</v>
      </c>
      <c r="M3696" s="7">
        <v>3.0000000000000001E-3</v>
      </c>
      <c r="N3696">
        <v>17</v>
      </c>
      <c r="O3696" s="8">
        <v>32.902778340866817</v>
      </c>
      <c r="P3696" s="9">
        <v>32.902778340866817</v>
      </c>
      <c r="Q3696" s="9">
        <v>32.902778340866817</v>
      </c>
      <c r="R3696" s="9">
        <v>36.980915483174826</v>
      </c>
      <c r="S3696" s="9">
        <v>41.041764553716455</v>
      </c>
      <c r="T3696" s="9">
        <v>44.512516286159922</v>
      </c>
      <c r="U3696" s="9">
        <v>52.176281946965503</v>
      </c>
      <c r="V3696" s="9">
        <v>52.176281946965503</v>
      </c>
      <c r="W3696" s="9">
        <v>52.176281946965503</v>
      </c>
      <c r="X3696" s="9">
        <v>65.399646652844908</v>
      </c>
      <c r="Y3696" s="9">
        <v>65.399646652844908</v>
      </c>
      <c r="Z3696" s="9">
        <v>74.862823794027804</v>
      </c>
      <c r="AA3696" s="9">
        <v>74.862823794027804</v>
      </c>
      <c r="AB3696" s="9">
        <v>84.552915727397561</v>
      </c>
      <c r="AC3696" s="9">
        <v>84.552915727397561</v>
      </c>
      <c r="AD3696" s="9">
        <v>94.492613932172858</v>
      </c>
      <c r="AE3696" s="9">
        <v>104.70687903549428</v>
      </c>
      <c r="AF3696" s="9">
        <v>115.51364337537625</v>
      </c>
      <c r="AG3696" s="9">
        <v>115.51364337537625</v>
      </c>
      <c r="AH3696" s="9">
        <v>127.68776106627702</v>
      </c>
      <c r="AI3696" s="9">
        <v>140.22732729914276</v>
      </c>
      <c r="AJ3696" s="9">
        <v>3.0428788910505911</v>
      </c>
    </row>
    <row r="3697" spans="1:36" x14ac:dyDescent="0.25">
      <c r="A3697" t="s">
        <v>5411</v>
      </c>
      <c r="B3697" t="s">
        <v>16</v>
      </c>
      <c r="C3697" t="s">
        <v>17</v>
      </c>
      <c r="D3697">
        <v>65720000</v>
      </c>
      <c r="E3697">
        <v>65722999</v>
      </c>
      <c r="F3697" t="s">
        <v>3350</v>
      </c>
      <c r="G3697" t="str">
        <f t="shared" si="114"/>
        <v>MAR</v>
      </c>
      <c r="H3697" t="s">
        <v>3213</v>
      </c>
      <c r="I3697" t="s">
        <v>20</v>
      </c>
      <c r="J3697" t="s">
        <v>77</v>
      </c>
      <c r="K3697" s="6">
        <v>0.03</v>
      </c>
      <c r="L3697" s="7">
        <f t="shared" si="115"/>
        <v>2E-3</v>
      </c>
      <c r="M3697" s="7">
        <v>3.0000000000000001E-3</v>
      </c>
      <c r="N3697">
        <v>17</v>
      </c>
      <c r="O3697" s="8">
        <v>32.902778340866817</v>
      </c>
      <c r="P3697" s="9">
        <v>32.902778340866817</v>
      </c>
      <c r="Q3697" s="9">
        <v>32.902778340866817</v>
      </c>
      <c r="R3697" s="9">
        <v>36.980915483174826</v>
      </c>
      <c r="S3697" s="9">
        <v>41.041764553716455</v>
      </c>
      <c r="T3697" s="9">
        <v>44.512516286159922</v>
      </c>
      <c r="U3697" s="9">
        <v>52.176281946965503</v>
      </c>
      <c r="V3697" s="9">
        <v>52.176281946965503</v>
      </c>
      <c r="W3697" s="9">
        <v>52.176281946965503</v>
      </c>
      <c r="X3697" s="9">
        <v>65.399646652844908</v>
      </c>
      <c r="Y3697" s="9">
        <v>65.399646652844908</v>
      </c>
      <c r="Z3697" s="9">
        <v>74.862823794027804</v>
      </c>
      <c r="AA3697" s="9">
        <v>74.862823794027804</v>
      </c>
      <c r="AB3697" s="9">
        <v>84.552915727397561</v>
      </c>
      <c r="AC3697" s="9">
        <v>84.552915727397561</v>
      </c>
      <c r="AD3697" s="9">
        <v>94.492613932172858</v>
      </c>
      <c r="AE3697" s="9">
        <v>104.70687903549428</v>
      </c>
      <c r="AF3697" s="9">
        <v>115.51364337537625</v>
      </c>
      <c r="AG3697" s="9">
        <v>115.51364337537625</v>
      </c>
      <c r="AH3697" s="9">
        <v>127.68776106627702</v>
      </c>
      <c r="AI3697" s="9">
        <v>140.22732729914276</v>
      </c>
      <c r="AJ3697" s="9">
        <v>3.0428788910505911</v>
      </c>
    </row>
    <row r="3698" spans="1:36" x14ac:dyDescent="0.25">
      <c r="A3698" t="s">
        <v>5411</v>
      </c>
      <c r="B3698" t="s">
        <v>16</v>
      </c>
      <c r="C3698" t="s">
        <v>17</v>
      </c>
      <c r="D3698">
        <v>65723000</v>
      </c>
      <c r="E3698">
        <v>65724999</v>
      </c>
      <c r="F3698" t="s">
        <v>3351</v>
      </c>
      <c r="G3698" t="str">
        <f t="shared" si="114"/>
        <v>MAR</v>
      </c>
      <c r="H3698" t="s">
        <v>3213</v>
      </c>
      <c r="I3698" t="s">
        <v>20</v>
      </c>
      <c r="J3698" t="s">
        <v>77</v>
      </c>
      <c r="K3698" s="6">
        <v>0.03</v>
      </c>
      <c r="L3698" s="7">
        <f t="shared" si="115"/>
        <v>2E-3</v>
      </c>
      <c r="M3698" s="7">
        <v>3.0000000000000001E-3</v>
      </c>
      <c r="N3698">
        <v>17</v>
      </c>
      <c r="O3698" s="8">
        <v>32.902778340866817</v>
      </c>
      <c r="P3698" s="9">
        <v>32.902778340866817</v>
      </c>
      <c r="Q3698" s="9">
        <v>32.902778340866817</v>
      </c>
      <c r="R3698" s="9">
        <v>36.980915483174826</v>
      </c>
      <c r="S3698" s="9">
        <v>41.041764553716455</v>
      </c>
      <c r="T3698" s="9">
        <v>44.512516286159922</v>
      </c>
      <c r="U3698" s="9">
        <v>52.176281946965503</v>
      </c>
      <c r="V3698" s="9">
        <v>52.176281946965503</v>
      </c>
      <c r="W3698" s="9">
        <v>52.176281946965503</v>
      </c>
      <c r="X3698" s="9">
        <v>65.399646652844908</v>
      </c>
      <c r="Y3698" s="9">
        <v>65.399646652844908</v>
      </c>
      <c r="Z3698" s="9">
        <v>74.862823794027804</v>
      </c>
      <c r="AA3698" s="9">
        <v>74.862823794027804</v>
      </c>
      <c r="AB3698" s="9">
        <v>84.552915727397561</v>
      </c>
      <c r="AC3698" s="9">
        <v>84.552915727397561</v>
      </c>
      <c r="AD3698" s="9">
        <v>94.492613932172858</v>
      </c>
      <c r="AE3698" s="9">
        <v>104.70687903549428</v>
      </c>
      <c r="AF3698" s="9">
        <v>115.51364337537625</v>
      </c>
      <c r="AG3698" s="9">
        <v>115.51364337537625</v>
      </c>
      <c r="AH3698" s="9">
        <v>127.68776106627702</v>
      </c>
      <c r="AI3698" s="9">
        <v>140.22732729914276</v>
      </c>
      <c r="AJ3698" s="9">
        <v>3.0428788910505911</v>
      </c>
    </row>
    <row r="3699" spans="1:36" x14ac:dyDescent="0.25">
      <c r="A3699" t="s">
        <v>5411</v>
      </c>
      <c r="B3699" t="s">
        <v>16</v>
      </c>
      <c r="C3699" t="s">
        <v>17</v>
      </c>
      <c r="D3699">
        <v>65725000</v>
      </c>
      <c r="E3699">
        <v>65726999</v>
      </c>
      <c r="F3699" t="s">
        <v>3352</v>
      </c>
      <c r="G3699" t="str">
        <f t="shared" si="114"/>
        <v>MAI</v>
      </c>
      <c r="H3699" t="s">
        <v>3213</v>
      </c>
      <c r="I3699" t="s">
        <v>20</v>
      </c>
      <c r="J3699" t="s">
        <v>62</v>
      </c>
      <c r="K3699" s="6">
        <v>0.03</v>
      </c>
      <c r="L3699" s="7">
        <f t="shared" si="115"/>
        <v>2E-3</v>
      </c>
      <c r="M3699" s="7">
        <v>3.0000000000000001E-3</v>
      </c>
      <c r="N3699">
        <v>12</v>
      </c>
      <c r="O3699" s="8">
        <v>19.350325219569864</v>
      </c>
      <c r="P3699" s="9">
        <v>19.350325219569864</v>
      </c>
      <c r="Q3699" s="9">
        <v>19.350325219569864</v>
      </c>
      <c r="R3699" s="9">
        <v>21.236423757715794</v>
      </c>
      <c r="S3699" s="9">
        <v>23.412011215821156</v>
      </c>
      <c r="T3699" s="9">
        <v>26.602346057727168</v>
      </c>
      <c r="U3699" s="9">
        <v>32.175039039197578</v>
      </c>
      <c r="V3699" s="9">
        <v>32.175039039197578</v>
      </c>
      <c r="W3699" s="9">
        <v>32.175039039197578</v>
      </c>
      <c r="X3699" s="9">
        <v>38.477190222688968</v>
      </c>
      <c r="Y3699" s="9">
        <v>38.477190222688968</v>
      </c>
      <c r="Z3699" s="9">
        <v>46.072905764910679</v>
      </c>
      <c r="AA3699" s="9">
        <v>46.072905764910679</v>
      </c>
      <c r="AB3699" s="9">
        <v>52.857194265747438</v>
      </c>
      <c r="AC3699" s="9">
        <v>52.857194265747438</v>
      </c>
      <c r="AD3699" s="9">
        <v>60.075973585900336</v>
      </c>
      <c r="AE3699" s="9">
        <v>67.207660715359779</v>
      </c>
      <c r="AF3699" s="9">
        <v>74.765164496289444</v>
      </c>
      <c r="AG3699" s="9">
        <v>74.765164496289444</v>
      </c>
      <c r="AH3699" s="9">
        <v>82.787429668365718</v>
      </c>
      <c r="AI3699" s="9">
        <v>90.699158794373588</v>
      </c>
      <c r="AJ3699" s="9">
        <v>3.0428788910505911</v>
      </c>
    </row>
    <row r="3700" spans="1:36" x14ac:dyDescent="0.25">
      <c r="A3700" t="s">
        <v>5411</v>
      </c>
      <c r="B3700" t="s">
        <v>16</v>
      </c>
      <c r="C3700" t="s">
        <v>17</v>
      </c>
      <c r="D3700">
        <v>65727000</v>
      </c>
      <c r="E3700">
        <v>65727999</v>
      </c>
      <c r="F3700" t="s">
        <v>3353</v>
      </c>
      <c r="G3700" t="str">
        <f t="shared" si="114"/>
        <v>MAI II</v>
      </c>
      <c r="H3700" t="s">
        <v>3213</v>
      </c>
      <c r="I3700" t="s">
        <v>20</v>
      </c>
      <c r="J3700" t="s">
        <v>64</v>
      </c>
      <c r="K3700" s="6">
        <v>0.03</v>
      </c>
      <c r="L3700" s="7">
        <f t="shared" si="115"/>
        <v>2E-3</v>
      </c>
      <c r="M3700" s="7">
        <v>3.0000000000000001E-3</v>
      </c>
      <c r="N3700">
        <v>13</v>
      </c>
      <c r="O3700" s="8">
        <v>25.668860905665891</v>
      </c>
      <c r="P3700" s="9">
        <v>25.668860905665891</v>
      </c>
      <c r="Q3700" s="9">
        <v>25.668860905665891</v>
      </c>
      <c r="R3700" s="9">
        <v>28.90627780374118</v>
      </c>
      <c r="S3700" s="9">
        <v>32.088398586892829</v>
      </c>
      <c r="T3700" s="9">
        <v>35.317419895390479</v>
      </c>
      <c r="U3700" s="9">
        <v>41.899003808131717</v>
      </c>
      <c r="V3700" s="9">
        <v>41.899003808131717</v>
      </c>
      <c r="W3700" s="9">
        <v>41.899003808131717</v>
      </c>
      <c r="X3700" s="9">
        <v>49.367258046991701</v>
      </c>
      <c r="Y3700" s="9">
        <v>49.367258046991701</v>
      </c>
      <c r="Z3700" s="9">
        <v>56.934875079999451</v>
      </c>
      <c r="AA3700" s="9">
        <v>56.934875079999451</v>
      </c>
      <c r="AB3700" s="9">
        <v>64.611791186569661</v>
      </c>
      <c r="AC3700" s="9">
        <v>64.611791186569661</v>
      </c>
      <c r="AD3700" s="9">
        <v>74.350540076267862</v>
      </c>
      <c r="AE3700" s="9">
        <v>81.505501009216758</v>
      </c>
      <c r="AF3700" s="9">
        <v>89.052880694757192</v>
      </c>
      <c r="AG3700" s="9">
        <v>89.052880694757192</v>
      </c>
      <c r="AH3700" s="9">
        <v>98.528148353766625</v>
      </c>
      <c r="AI3700" s="9">
        <v>107.07903577054074</v>
      </c>
      <c r="AJ3700" s="9">
        <v>3.0428788910505911</v>
      </c>
    </row>
    <row r="3701" spans="1:36" x14ac:dyDescent="0.25">
      <c r="A3701" t="s">
        <v>5411</v>
      </c>
      <c r="B3701" t="s">
        <v>16</v>
      </c>
      <c r="C3701" t="s">
        <v>17</v>
      </c>
      <c r="D3701">
        <v>65728000</v>
      </c>
      <c r="E3701">
        <v>65729999</v>
      </c>
      <c r="F3701" t="s">
        <v>3354</v>
      </c>
      <c r="G3701" t="str">
        <f t="shared" si="114"/>
        <v>MAR</v>
      </c>
      <c r="H3701" t="s">
        <v>3213</v>
      </c>
      <c r="I3701" t="s">
        <v>20</v>
      </c>
      <c r="J3701" t="s">
        <v>77</v>
      </c>
      <c r="K3701" s="6">
        <v>0.03</v>
      </c>
      <c r="L3701" s="7">
        <f t="shared" si="115"/>
        <v>2E-3</v>
      </c>
      <c r="M3701" s="7">
        <v>3.0000000000000001E-3</v>
      </c>
      <c r="N3701">
        <v>17</v>
      </c>
      <c r="O3701" s="8">
        <v>32.902778340866817</v>
      </c>
      <c r="P3701" s="9">
        <v>32.902778340866817</v>
      </c>
      <c r="Q3701" s="9">
        <v>32.902778340866817</v>
      </c>
      <c r="R3701" s="9">
        <v>36.980915483174826</v>
      </c>
      <c r="S3701" s="9">
        <v>41.041764553716455</v>
      </c>
      <c r="T3701" s="9">
        <v>44.512516286159922</v>
      </c>
      <c r="U3701" s="9">
        <v>52.176281946965503</v>
      </c>
      <c r="V3701" s="9">
        <v>52.176281946965503</v>
      </c>
      <c r="W3701" s="9">
        <v>52.176281946965503</v>
      </c>
      <c r="X3701" s="9">
        <v>65.399646652844908</v>
      </c>
      <c r="Y3701" s="9">
        <v>65.399646652844908</v>
      </c>
      <c r="Z3701" s="9">
        <v>74.862823794027804</v>
      </c>
      <c r="AA3701" s="9">
        <v>74.862823794027804</v>
      </c>
      <c r="AB3701" s="9">
        <v>84.552915727397561</v>
      </c>
      <c r="AC3701" s="9">
        <v>84.552915727397561</v>
      </c>
      <c r="AD3701" s="9">
        <v>94.492613932172858</v>
      </c>
      <c r="AE3701" s="9">
        <v>104.70687903549428</v>
      </c>
      <c r="AF3701" s="9">
        <v>115.51364337537625</v>
      </c>
      <c r="AG3701" s="9">
        <v>115.51364337537625</v>
      </c>
      <c r="AH3701" s="9">
        <v>127.68776106627702</v>
      </c>
      <c r="AI3701" s="9">
        <v>140.22732729914276</v>
      </c>
      <c r="AJ3701" s="9">
        <v>3.0428788910505911</v>
      </c>
    </row>
    <row r="3702" spans="1:36" x14ac:dyDescent="0.25">
      <c r="A3702" t="s">
        <v>5411</v>
      </c>
      <c r="B3702" t="s">
        <v>16</v>
      </c>
      <c r="C3702" t="s">
        <v>17</v>
      </c>
      <c r="D3702">
        <v>65730000</v>
      </c>
      <c r="E3702">
        <v>65734999</v>
      </c>
      <c r="F3702" t="s">
        <v>3355</v>
      </c>
      <c r="G3702" t="str">
        <f t="shared" si="114"/>
        <v>MAR</v>
      </c>
      <c r="H3702" t="s">
        <v>3213</v>
      </c>
      <c r="I3702" t="s">
        <v>20</v>
      </c>
      <c r="J3702" t="s">
        <v>77</v>
      </c>
      <c r="K3702" s="6">
        <v>0.03</v>
      </c>
      <c r="L3702" s="7">
        <f t="shared" si="115"/>
        <v>2E-3</v>
      </c>
      <c r="M3702" s="7">
        <v>3.0000000000000001E-3</v>
      </c>
      <c r="N3702">
        <v>17</v>
      </c>
      <c r="O3702" s="8">
        <v>32.902778340866817</v>
      </c>
      <c r="P3702" s="9">
        <v>32.902778340866817</v>
      </c>
      <c r="Q3702" s="9">
        <v>32.902778340866817</v>
      </c>
      <c r="R3702" s="9">
        <v>36.980915483174826</v>
      </c>
      <c r="S3702" s="9">
        <v>41.041764553716455</v>
      </c>
      <c r="T3702" s="9">
        <v>44.512516286159922</v>
      </c>
      <c r="U3702" s="9">
        <v>52.176281946965503</v>
      </c>
      <c r="V3702" s="9">
        <v>52.176281946965503</v>
      </c>
      <c r="W3702" s="9">
        <v>52.176281946965503</v>
      </c>
      <c r="X3702" s="9">
        <v>65.399646652844908</v>
      </c>
      <c r="Y3702" s="9">
        <v>65.399646652844908</v>
      </c>
      <c r="Z3702" s="9">
        <v>74.862823794027804</v>
      </c>
      <c r="AA3702" s="9">
        <v>74.862823794027804</v>
      </c>
      <c r="AB3702" s="9">
        <v>84.552915727397561</v>
      </c>
      <c r="AC3702" s="9">
        <v>84.552915727397561</v>
      </c>
      <c r="AD3702" s="9">
        <v>94.492613932172858</v>
      </c>
      <c r="AE3702" s="9">
        <v>104.70687903549428</v>
      </c>
      <c r="AF3702" s="9">
        <v>115.51364337537625</v>
      </c>
      <c r="AG3702" s="9">
        <v>115.51364337537625</v>
      </c>
      <c r="AH3702" s="9">
        <v>127.68776106627702</v>
      </c>
      <c r="AI3702" s="9">
        <v>140.22732729914276</v>
      </c>
      <c r="AJ3702" s="9">
        <v>3.0428788910505911</v>
      </c>
    </row>
    <row r="3703" spans="1:36" x14ac:dyDescent="0.25">
      <c r="A3703" t="s">
        <v>5411</v>
      </c>
      <c r="B3703" t="s">
        <v>16</v>
      </c>
      <c r="C3703" t="s">
        <v>17</v>
      </c>
      <c r="D3703">
        <v>65735000</v>
      </c>
      <c r="E3703">
        <v>65739999</v>
      </c>
      <c r="F3703" t="s">
        <v>3356</v>
      </c>
      <c r="G3703" t="str">
        <f t="shared" si="114"/>
        <v>MAR</v>
      </c>
      <c r="H3703" t="s">
        <v>3213</v>
      </c>
      <c r="I3703" t="s">
        <v>20</v>
      </c>
      <c r="J3703" t="s">
        <v>77</v>
      </c>
      <c r="K3703" s="6">
        <v>0.03</v>
      </c>
      <c r="L3703" s="7">
        <f t="shared" si="115"/>
        <v>2E-3</v>
      </c>
      <c r="M3703" s="7">
        <v>3.0000000000000001E-3</v>
      </c>
      <c r="N3703">
        <v>17</v>
      </c>
      <c r="O3703" s="8">
        <v>32.902778340866817</v>
      </c>
      <c r="P3703" s="9">
        <v>32.902778340866817</v>
      </c>
      <c r="Q3703" s="9">
        <v>32.902778340866817</v>
      </c>
      <c r="R3703" s="9">
        <v>36.980915483174826</v>
      </c>
      <c r="S3703" s="9">
        <v>41.041764553716455</v>
      </c>
      <c r="T3703" s="9">
        <v>44.512516286159922</v>
      </c>
      <c r="U3703" s="9">
        <v>52.176281946965503</v>
      </c>
      <c r="V3703" s="9">
        <v>52.176281946965503</v>
      </c>
      <c r="W3703" s="9">
        <v>52.176281946965503</v>
      </c>
      <c r="X3703" s="9">
        <v>65.399646652844908</v>
      </c>
      <c r="Y3703" s="9">
        <v>65.399646652844908</v>
      </c>
      <c r="Z3703" s="9">
        <v>74.862823794027804</v>
      </c>
      <c r="AA3703" s="9">
        <v>74.862823794027804</v>
      </c>
      <c r="AB3703" s="9">
        <v>84.552915727397561</v>
      </c>
      <c r="AC3703" s="9">
        <v>84.552915727397561</v>
      </c>
      <c r="AD3703" s="9">
        <v>94.492613932172858</v>
      </c>
      <c r="AE3703" s="9">
        <v>104.70687903549428</v>
      </c>
      <c r="AF3703" s="9">
        <v>115.51364337537625</v>
      </c>
      <c r="AG3703" s="9">
        <v>115.51364337537625</v>
      </c>
      <c r="AH3703" s="9">
        <v>127.68776106627702</v>
      </c>
      <c r="AI3703" s="9">
        <v>140.22732729914276</v>
      </c>
      <c r="AJ3703" s="9">
        <v>3.0428788910505911</v>
      </c>
    </row>
    <row r="3704" spans="1:36" x14ac:dyDescent="0.25">
      <c r="A3704" t="s">
        <v>5411</v>
      </c>
      <c r="B3704" t="s">
        <v>16</v>
      </c>
      <c r="C3704" t="s">
        <v>17</v>
      </c>
      <c r="D3704">
        <v>65740000</v>
      </c>
      <c r="E3704">
        <v>65749999</v>
      </c>
      <c r="F3704" t="s">
        <v>3357</v>
      </c>
      <c r="G3704" t="str">
        <f t="shared" si="114"/>
        <v>MAR</v>
      </c>
      <c r="H3704" t="s">
        <v>3213</v>
      </c>
      <c r="I3704" t="s">
        <v>20</v>
      </c>
      <c r="J3704" t="s">
        <v>77</v>
      </c>
      <c r="K3704" s="6">
        <v>0.03</v>
      </c>
      <c r="L3704" s="7">
        <f t="shared" si="115"/>
        <v>2E-3</v>
      </c>
      <c r="M3704" s="7">
        <v>3.0000000000000001E-3</v>
      </c>
      <c r="N3704">
        <v>17</v>
      </c>
      <c r="O3704" s="8">
        <v>32.902778340866817</v>
      </c>
      <c r="P3704" s="9">
        <v>32.902778340866817</v>
      </c>
      <c r="Q3704" s="9">
        <v>32.902778340866817</v>
      </c>
      <c r="R3704" s="9">
        <v>36.980915483174826</v>
      </c>
      <c r="S3704" s="9">
        <v>41.041764553716455</v>
      </c>
      <c r="T3704" s="9">
        <v>44.512516286159922</v>
      </c>
      <c r="U3704" s="9">
        <v>52.176281946965503</v>
      </c>
      <c r="V3704" s="9">
        <v>52.176281946965503</v>
      </c>
      <c r="W3704" s="9">
        <v>52.176281946965503</v>
      </c>
      <c r="X3704" s="9">
        <v>65.399646652844908</v>
      </c>
      <c r="Y3704" s="9">
        <v>65.399646652844908</v>
      </c>
      <c r="Z3704" s="9">
        <v>74.862823794027804</v>
      </c>
      <c r="AA3704" s="9">
        <v>74.862823794027804</v>
      </c>
      <c r="AB3704" s="9">
        <v>84.552915727397561</v>
      </c>
      <c r="AC3704" s="9">
        <v>84.552915727397561</v>
      </c>
      <c r="AD3704" s="9">
        <v>94.492613932172858</v>
      </c>
      <c r="AE3704" s="9">
        <v>104.70687903549428</v>
      </c>
      <c r="AF3704" s="9">
        <v>115.51364337537625</v>
      </c>
      <c r="AG3704" s="9">
        <v>115.51364337537625</v>
      </c>
      <c r="AH3704" s="9">
        <v>127.68776106627702</v>
      </c>
      <c r="AI3704" s="9">
        <v>140.22732729914276</v>
      </c>
      <c r="AJ3704" s="9">
        <v>3.0428788910505911</v>
      </c>
    </row>
    <row r="3705" spans="1:36" x14ac:dyDescent="0.25">
      <c r="A3705" t="s">
        <v>5411</v>
      </c>
      <c r="B3705" t="s">
        <v>16</v>
      </c>
      <c r="C3705" t="s">
        <v>17</v>
      </c>
      <c r="D3705">
        <v>65750000</v>
      </c>
      <c r="E3705">
        <v>65752999</v>
      </c>
      <c r="F3705" t="s">
        <v>3358</v>
      </c>
      <c r="G3705" t="str">
        <f t="shared" si="114"/>
        <v>MAR</v>
      </c>
      <c r="H3705" t="s">
        <v>3213</v>
      </c>
      <c r="I3705" t="s">
        <v>20</v>
      </c>
      <c r="J3705" t="s">
        <v>77</v>
      </c>
      <c r="K3705" s="6">
        <v>0.03</v>
      </c>
      <c r="L3705" s="7">
        <f t="shared" si="115"/>
        <v>2E-3</v>
      </c>
      <c r="M3705" s="7">
        <v>3.0000000000000001E-3</v>
      </c>
      <c r="N3705">
        <v>17</v>
      </c>
      <c r="O3705" s="8">
        <v>32.902778340866817</v>
      </c>
      <c r="P3705" s="9">
        <v>32.902778340866817</v>
      </c>
      <c r="Q3705" s="9">
        <v>32.902778340866817</v>
      </c>
      <c r="R3705" s="9">
        <v>36.980915483174826</v>
      </c>
      <c r="S3705" s="9">
        <v>41.041764553716455</v>
      </c>
      <c r="T3705" s="9">
        <v>44.512516286159922</v>
      </c>
      <c r="U3705" s="9">
        <v>52.176281946965503</v>
      </c>
      <c r="V3705" s="9">
        <v>52.176281946965503</v>
      </c>
      <c r="W3705" s="9">
        <v>52.176281946965503</v>
      </c>
      <c r="X3705" s="9">
        <v>65.399646652844908</v>
      </c>
      <c r="Y3705" s="9">
        <v>65.399646652844908</v>
      </c>
      <c r="Z3705" s="9">
        <v>74.862823794027804</v>
      </c>
      <c r="AA3705" s="9">
        <v>74.862823794027804</v>
      </c>
      <c r="AB3705" s="9">
        <v>84.552915727397561</v>
      </c>
      <c r="AC3705" s="9">
        <v>84.552915727397561</v>
      </c>
      <c r="AD3705" s="9">
        <v>94.492613932172858</v>
      </c>
      <c r="AE3705" s="9">
        <v>104.70687903549428</v>
      </c>
      <c r="AF3705" s="9">
        <v>115.51364337537625</v>
      </c>
      <c r="AG3705" s="9">
        <v>115.51364337537625</v>
      </c>
      <c r="AH3705" s="9">
        <v>127.68776106627702</v>
      </c>
      <c r="AI3705" s="9">
        <v>140.22732729914276</v>
      </c>
      <c r="AJ3705" s="9">
        <v>3.0428788910505911</v>
      </c>
    </row>
    <row r="3706" spans="1:36" x14ac:dyDescent="0.25">
      <c r="A3706" t="s">
        <v>5411</v>
      </c>
      <c r="B3706" t="s">
        <v>16</v>
      </c>
      <c r="C3706" t="s">
        <v>17</v>
      </c>
      <c r="D3706">
        <v>65753000</v>
      </c>
      <c r="E3706">
        <v>65754999</v>
      </c>
      <c r="F3706" t="s">
        <v>3359</v>
      </c>
      <c r="G3706" t="str">
        <f t="shared" si="114"/>
        <v>MAR</v>
      </c>
      <c r="H3706" t="s">
        <v>3213</v>
      </c>
      <c r="I3706" t="s">
        <v>20</v>
      </c>
      <c r="J3706" t="s">
        <v>77</v>
      </c>
      <c r="K3706" s="6">
        <v>0.03</v>
      </c>
      <c r="L3706" s="7">
        <f t="shared" si="115"/>
        <v>2E-3</v>
      </c>
      <c r="M3706" s="7">
        <v>3.0000000000000001E-3</v>
      </c>
      <c r="N3706">
        <v>17</v>
      </c>
      <c r="O3706" s="8">
        <v>32.902778340866817</v>
      </c>
      <c r="P3706" s="9">
        <v>32.902778340866817</v>
      </c>
      <c r="Q3706" s="9">
        <v>32.902778340866817</v>
      </c>
      <c r="R3706" s="9">
        <v>36.980915483174826</v>
      </c>
      <c r="S3706" s="9">
        <v>41.041764553716455</v>
      </c>
      <c r="T3706" s="9">
        <v>44.512516286159922</v>
      </c>
      <c r="U3706" s="9">
        <v>52.176281946965503</v>
      </c>
      <c r="V3706" s="9">
        <v>52.176281946965503</v>
      </c>
      <c r="W3706" s="9">
        <v>52.176281946965503</v>
      </c>
      <c r="X3706" s="9">
        <v>65.399646652844908</v>
      </c>
      <c r="Y3706" s="9">
        <v>65.399646652844908</v>
      </c>
      <c r="Z3706" s="9">
        <v>74.862823794027804</v>
      </c>
      <c r="AA3706" s="9">
        <v>74.862823794027804</v>
      </c>
      <c r="AB3706" s="9">
        <v>84.552915727397561</v>
      </c>
      <c r="AC3706" s="9">
        <v>84.552915727397561</v>
      </c>
      <c r="AD3706" s="9">
        <v>94.492613932172858</v>
      </c>
      <c r="AE3706" s="9">
        <v>104.70687903549428</v>
      </c>
      <c r="AF3706" s="9">
        <v>115.51364337537625</v>
      </c>
      <c r="AG3706" s="9">
        <v>115.51364337537625</v>
      </c>
      <c r="AH3706" s="9">
        <v>127.68776106627702</v>
      </c>
      <c r="AI3706" s="9">
        <v>140.22732729914276</v>
      </c>
      <c r="AJ3706" s="9">
        <v>3.0428788910505911</v>
      </c>
    </row>
    <row r="3707" spans="1:36" x14ac:dyDescent="0.25">
      <c r="A3707" t="s">
        <v>5411</v>
      </c>
      <c r="B3707" t="s">
        <v>16</v>
      </c>
      <c r="C3707" t="s">
        <v>17</v>
      </c>
      <c r="D3707">
        <v>65755000</v>
      </c>
      <c r="E3707">
        <v>65757999</v>
      </c>
      <c r="F3707" t="s">
        <v>3360</v>
      </c>
      <c r="G3707" t="str">
        <f t="shared" si="114"/>
        <v>MAR</v>
      </c>
      <c r="H3707" t="s">
        <v>3213</v>
      </c>
      <c r="I3707" t="s">
        <v>20</v>
      </c>
      <c r="J3707" t="s">
        <v>77</v>
      </c>
      <c r="K3707" s="6">
        <v>0.03</v>
      </c>
      <c r="L3707" s="7">
        <f t="shared" si="115"/>
        <v>2E-3</v>
      </c>
      <c r="M3707" s="7">
        <v>3.0000000000000001E-3</v>
      </c>
      <c r="N3707">
        <v>17</v>
      </c>
      <c r="O3707" s="8">
        <v>32.902778340866817</v>
      </c>
      <c r="P3707" s="9">
        <v>32.902778340866817</v>
      </c>
      <c r="Q3707" s="9">
        <v>32.902778340866817</v>
      </c>
      <c r="R3707" s="9">
        <v>36.980915483174826</v>
      </c>
      <c r="S3707" s="9">
        <v>41.041764553716455</v>
      </c>
      <c r="T3707" s="9">
        <v>44.512516286159922</v>
      </c>
      <c r="U3707" s="9">
        <v>52.176281946965503</v>
      </c>
      <c r="V3707" s="9">
        <v>52.176281946965503</v>
      </c>
      <c r="W3707" s="9">
        <v>52.176281946965503</v>
      </c>
      <c r="X3707" s="9">
        <v>65.399646652844908</v>
      </c>
      <c r="Y3707" s="9">
        <v>65.399646652844908</v>
      </c>
      <c r="Z3707" s="9">
        <v>74.862823794027804</v>
      </c>
      <c r="AA3707" s="9">
        <v>74.862823794027804</v>
      </c>
      <c r="AB3707" s="9">
        <v>84.552915727397561</v>
      </c>
      <c r="AC3707" s="9">
        <v>84.552915727397561</v>
      </c>
      <c r="AD3707" s="9">
        <v>94.492613932172858</v>
      </c>
      <c r="AE3707" s="9">
        <v>104.70687903549428</v>
      </c>
      <c r="AF3707" s="9">
        <v>115.51364337537625</v>
      </c>
      <c r="AG3707" s="9">
        <v>115.51364337537625</v>
      </c>
      <c r="AH3707" s="9">
        <v>127.68776106627702</v>
      </c>
      <c r="AI3707" s="9">
        <v>140.22732729914276</v>
      </c>
      <c r="AJ3707" s="9">
        <v>3.0428788910505911</v>
      </c>
    </row>
    <row r="3708" spans="1:36" x14ac:dyDescent="0.25">
      <c r="A3708" t="s">
        <v>5411</v>
      </c>
      <c r="B3708" t="s">
        <v>16</v>
      </c>
      <c r="C3708" t="s">
        <v>17</v>
      </c>
      <c r="D3708">
        <v>65758000</v>
      </c>
      <c r="E3708">
        <v>65759999</v>
      </c>
      <c r="F3708" t="s">
        <v>3361</v>
      </c>
      <c r="G3708" t="str">
        <f t="shared" si="114"/>
        <v>MAR</v>
      </c>
      <c r="H3708" t="s">
        <v>3213</v>
      </c>
      <c r="I3708" t="s">
        <v>20</v>
      </c>
      <c r="J3708" t="s">
        <v>77</v>
      </c>
      <c r="K3708" s="6">
        <v>0.03</v>
      </c>
      <c r="L3708" s="7">
        <f t="shared" si="115"/>
        <v>2E-3</v>
      </c>
      <c r="M3708" s="7">
        <v>3.0000000000000001E-3</v>
      </c>
      <c r="N3708">
        <v>17</v>
      </c>
      <c r="O3708" s="8">
        <v>32.902778340866817</v>
      </c>
      <c r="P3708" s="9">
        <v>32.902778340866817</v>
      </c>
      <c r="Q3708" s="9">
        <v>32.902778340866817</v>
      </c>
      <c r="R3708" s="9">
        <v>36.980915483174826</v>
      </c>
      <c r="S3708" s="9">
        <v>41.041764553716455</v>
      </c>
      <c r="T3708" s="9">
        <v>44.512516286159922</v>
      </c>
      <c r="U3708" s="9">
        <v>52.176281946965503</v>
      </c>
      <c r="V3708" s="9">
        <v>52.176281946965503</v>
      </c>
      <c r="W3708" s="9">
        <v>52.176281946965503</v>
      </c>
      <c r="X3708" s="9">
        <v>65.399646652844908</v>
      </c>
      <c r="Y3708" s="9">
        <v>65.399646652844908</v>
      </c>
      <c r="Z3708" s="9">
        <v>74.862823794027804</v>
      </c>
      <c r="AA3708" s="9">
        <v>74.862823794027804</v>
      </c>
      <c r="AB3708" s="9">
        <v>84.552915727397561</v>
      </c>
      <c r="AC3708" s="9">
        <v>84.552915727397561</v>
      </c>
      <c r="AD3708" s="9">
        <v>94.492613932172858</v>
      </c>
      <c r="AE3708" s="9">
        <v>104.70687903549428</v>
      </c>
      <c r="AF3708" s="9">
        <v>115.51364337537625</v>
      </c>
      <c r="AG3708" s="9">
        <v>115.51364337537625</v>
      </c>
      <c r="AH3708" s="9">
        <v>127.68776106627702</v>
      </c>
      <c r="AI3708" s="9">
        <v>140.22732729914276</v>
      </c>
      <c r="AJ3708" s="9">
        <v>3.0428788910505911</v>
      </c>
    </row>
    <row r="3709" spans="1:36" x14ac:dyDescent="0.25">
      <c r="A3709" t="s">
        <v>5411</v>
      </c>
      <c r="B3709" t="s">
        <v>16</v>
      </c>
      <c r="C3709" t="s">
        <v>17</v>
      </c>
      <c r="D3709">
        <v>65760000</v>
      </c>
      <c r="E3709">
        <v>65761999</v>
      </c>
      <c r="F3709" t="s">
        <v>1793</v>
      </c>
      <c r="G3709" t="str">
        <f t="shared" si="114"/>
        <v>MAI</v>
      </c>
      <c r="H3709" t="s">
        <v>3213</v>
      </c>
      <c r="I3709" t="s">
        <v>20</v>
      </c>
      <c r="J3709" t="s">
        <v>62</v>
      </c>
      <c r="K3709" s="6">
        <v>0.03</v>
      </c>
      <c r="L3709" s="7">
        <f t="shared" si="115"/>
        <v>2E-3</v>
      </c>
      <c r="M3709" s="7">
        <v>3.0000000000000001E-3</v>
      </c>
      <c r="N3709">
        <v>12</v>
      </c>
      <c r="O3709" s="8">
        <v>19.350325219569864</v>
      </c>
      <c r="P3709" s="9">
        <v>19.350325219569864</v>
      </c>
      <c r="Q3709" s="9">
        <v>19.350325219569864</v>
      </c>
      <c r="R3709" s="9">
        <v>21.236423757715794</v>
      </c>
      <c r="S3709" s="9">
        <v>23.412011215821156</v>
      </c>
      <c r="T3709" s="9">
        <v>26.602346057727168</v>
      </c>
      <c r="U3709" s="9">
        <v>32.175039039197578</v>
      </c>
      <c r="V3709" s="9">
        <v>32.175039039197578</v>
      </c>
      <c r="W3709" s="9">
        <v>32.175039039197578</v>
      </c>
      <c r="X3709" s="9">
        <v>38.477190222688968</v>
      </c>
      <c r="Y3709" s="9">
        <v>38.477190222688968</v>
      </c>
      <c r="Z3709" s="9">
        <v>46.072905764910679</v>
      </c>
      <c r="AA3709" s="9">
        <v>46.072905764910679</v>
      </c>
      <c r="AB3709" s="9">
        <v>52.857194265747438</v>
      </c>
      <c r="AC3709" s="9">
        <v>52.857194265747438</v>
      </c>
      <c r="AD3709" s="9">
        <v>60.075973585900336</v>
      </c>
      <c r="AE3709" s="9">
        <v>67.207660715359779</v>
      </c>
      <c r="AF3709" s="9">
        <v>74.765164496289444</v>
      </c>
      <c r="AG3709" s="9">
        <v>74.765164496289444</v>
      </c>
      <c r="AH3709" s="9">
        <v>82.787429668365718</v>
      </c>
      <c r="AI3709" s="9">
        <v>90.699158794373588</v>
      </c>
      <c r="AJ3709" s="9">
        <v>3.0428788910505911</v>
      </c>
    </row>
    <row r="3710" spans="1:36" x14ac:dyDescent="0.25">
      <c r="A3710" t="s">
        <v>5411</v>
      </c>
      <c r="B3710" t="s">
        <v>16</v>
      </c>
      <c r="C3710" t="s">
        <v>17</v>
      </c>
      <c r="D3710">
        <v>65762000</v>
      </c>
      <c r="E3710">
        <v>65762999</v>
      </c>
      <c r="F3710" t="s">
        <v>3362</v>
      </c>
      <c r="G3710" t="str">
        <f t="shared" si="114"/>
        <v>MAR</v>
      </c>
      <c r="H3710" t="s">
        <v>3213</v>
      </c>
      <c r="I3710" t="s">
        <v>20</v>
      </c>
      <c r="J3710" t="s">
        <v>77</v>
      </c>
      <c r="K3710" s="6">
        <v>0.03</v>
      </c>
      <c r="L3710" s="7">
        <f t="shared" si="115"/>
        <v>2E-3</v>
      </c>
      <c r="M3710" s="7">
        <v>3.0000000000000001E-3</v>
      </c>
      <c r="N3710">
        <v>17</v>
      </c>
      <c r="O3710" s="8">
        <v>32.902778340866817</v>
      </c>
      <c r="P3710" s="9">
        <v>32.902778340866817</v>
      </c>
      <c r="Q3710" s="9">
        <v>32.902778340866817</v>
      </c>
      <c r="R3710" s="9">
        <v>36.980915483174826</v>
      </c>
      <c r="S3710" s="9">
        <v>41.041764553716455</v>
      </c>
      <c r="T3710" s="9">
        <v>44.512516286159922</v>
      </c>
      <c r="U3710" s="9">
        <v>52.176281946965503</v>
      </c>
      <c r="V3710" s="9">
        <v>52.176281946965503</v>
      </c>
      <c r="W3710" s="9">
        <v>52.176281946965503</v>
      </c>
      <c r="X3710" s="9">
        <v>65.399646652844908</v>
      </c>
      <c r="Y3710" s="9">
        <v>65.399646652844908</v>
      </c>
      <c r="Z3710" s="9">
        <v>74.862823794027804</v>
      </c>
      <c r="AA3710" s="9">
        <v>74.862823794027804</v>
      </c>
      <c r="AB3710" s="9">
        <v>84.552915727397561</v>
      </c>
      <c r="AC3710" s="9">
        <v>84.552915727397561</v>
      </c>
      <c r="AD3710" s="9">
        <v>94.492613932172858</v>
      </c>
      <c r="AE3710" s="9">
        <v>104.70687903549428</v>
      </c>
      <c r="AF3710" s="9">
        <v>115.51364337537625</v>
      </c>
      <c r="AG3710" s="9">
        <v>115.51364337537625</v>
      </c>
      <c r="AH3710" s="9">
        <v>127.68776106627702</v>
      </c>
      <c r="AI3710" s="9">
        <v>140.22732729914276</v>
      </c>
      <c r="AJ3710" s="9">
        <v>3.0428788910505911</v>
      </c>
    </row>
    <row r="3711" spans="1:36" x14ac:dyDescent="0.25">
      <c r="A3711" t="s">
        <v>5411</v>
      </c>
      <c r="B3711" t="s">
        <v>16</v>
      </c>
      <c r="C3711" t="s">
        <v>17</v>
      </c>
      <c r="D3711">
        <v>65763000</v>
      </c>
      <c r="E3711">
        <v>65764999</v>
      </c>
      <c r="F3711" t="s">
        <v>3363</v>
      </c>
      <c r="G3711" t="str">
        <f t="shared" si="114"/>
        <v>MAI</v>
      </c>
      <c r="H3711" t="s">
        <v>3213</v>
      </c>
      <c r="I3711" t="s">
        <v>20</v>
      </c>
      <c r="J3711" t="s">
        <v>62</v>
      </c>
      <c r="K3711" s="6">
        <v>0.03</v>
      </c>
      <c r="L3711" s="7">
        <f t="shared" si="115"/>
        <v>2E-3</v>
      </c>
      <c r="M3711" s="7">
        <v>3.0000000000000001E-3</v>
      </c>
      <c r="N3711">
        <v>12</v>
      </c>
      <c r="O3711" s="8">
        <v>19.350325219569864</v>
      </c>
      <c r="P3711" s="9">
        <v>19.350325219569864</v>
      </c>
      <c r="Q3711" s="9">
        <v>19.350325219569864</v>
      </c>
      <c r="R3711" s="9">
        <v>21.236423757715794</v>
      </c>
      <c r="S3711" s="9">
        <v>23.412011215821156</v>
      </c>
      <c r="T3711" s="9">
        <v>26.602346057727168</v>
      </c>
      <c r="U3711" s="9">
        <v>32.175039039197578</v>
      </c>
      <c r="V3711" s="9">
        <v>32.175039039197578</v>
      </c>
      <c r="W3711" s="9">
        <v>32.175039039197578</v>
      </c>
      <c r="X3711" s="9">
        <v>38.477190222688968</v>
      </c>
      <c r="Y3711" s="9">
        <v>38.477190222688968</v>
      </c>
      <c r="Z3711" s="9">
        <v>46.072905764910679</v>
      </c>
      <c r="AA3711" s="9">
        <v>46.072905764910679</v>
      </c>
      <c r="AB3711" s="9">
        <v>52.857194265747438</v>
      </c>
      <c r="AC3711" s="9">
        <v>52.857194265747438</v>
      </c>
      <c r="AD3711" s="9">
        <v>60.075973585900336</v>
      </c>
      <c r="AE3711" s="9">
        <v>67.207660715359779</v>
      </c>
      <c r="AF3711" s="9">
        <v>74.765164496289444</v>
      </c>
      <c r="AG3711" s="9">
        <v>74.765164496289444</v>
      </c>
      <c r="AH3711" s="9">
        <v>82.787429668365718</v>
      </c>
      <c r="AI3711" s="9">
        <v>90.699158794373588</v>
      </c>
      <c r="AJ3711" s="9">
        <v>3.0428788910505911</v>
      </c>
    </row>
    <row r="3712" spans="1:36" x14ac:dyDescent="0.25">
      <c r="A3712" t="s">
        <v>5411</v>
      </c>
      <c r="B3712" t="s">
        <v>16</v>
      </c>
      <c r="C3712" t="s">
        <v>17</v>
      </c>
      <c r="D3712">
        <v>65765000</v>
      </c>
      <c r="E3712">
        <v>65767999</v>
      </c>
      <c r="F3712" t="s">
        <v>3364</v>
      </c>
      <c r="G3712" t="str">
        <f t="shared" si="114"/>
        <v>MAI</v>
      </c>
      <c r="H3712" t="s">
        <v>3213</v>
      </c>
      <c r="I3712" t="s">
        <v>20</v>
      </c>
      <c r="J3712" t="s">
        <v>62</v>
      </c>
      <c r="K3712" s="6">
        <v>0.03</v>
      </c>
      <c r="L3712" s="7">
        <f t="shared" si="115"/>
        <v>2E-3</v>
      </c>
      <c r="M3712" s="7">
        <v>3.0000000000000001E-3</v>
      </c>
      <c r="N3712">
        <v>12</v>
      </c>
      <c r="O3712" s="8">
        <v>19.350325219569864</v>
      </c>
      <c r="P3712" s="9">
        <v>19.350325219569864</v>
      </c>
      <c r="Q3712" s="9">
        <v>19.350325219569864</v>
      </c>
      <c r="R3712" s="9">
        <v>21.236423757715794</v>
      </c>
      <c r="S3712" s="9">
        <v>23.412011215821156</v>
      </c>
      <c r="T3712" s="9">
        <v>26.602346057727168</v>
      </c>
      <c r="U3712" s="9">
        <v>32.175039039197578</v>
      </c>
      <c r="V3712" s="9">
        <v>32.175039039197578</v>
      </c>
      <c r="W3712" s="9">
        <v>32.175039039197578</v>
      </c>
      <c r="X3712" s="9">
        <v>38.477190222688968</v>
      </c>
      <c r="Y3712" s="9">
        <v>38.477190222688968</v>
      </c>
      <c r="Z3712" s="9">
        <v>46.072905764910679</v>
      </c>
      <c r="AA3712" s="9">
        <v>46.072905764910679</v>
      </c>
      <c r="AB3712" s="9">
        <v>52.857194265747438</v>
      </c>
      <c r="AC3712" s="9">
        <v>52.857194265747438</v>
      </c>
      <c r="AD3712" s="9">
        <v>60.075973585900336</v>
      </c>
      <c r="AE3712" s="9">
        <v>67.207660715359779</v>
      </c>
      <c r="AF3712" s="9">
        <v>74.765164496289444</v>
      </c>
      <c r="AG3712" s="9">
        <v>74.765164496289444</v>
      </c>
      <c r="AH3712" s="9">
        <v>82.787429668365718</v>
      </c>
      <c r="AI3712" s="9">
        <v>90.699158794373588</v>
      </c>
      <c r="AJ3712" s="9">
        <v>3.0428788910505911</v>
      </c>
    </row>
    <row r="3713" spans="1:36" x14ac:dyDescent="0.25">
      <c r="A3713" t="s">
        <v>5411</v>
      </c>
      <c r="B3713" t="s">
        <v>16</v>
      </c>
      <c r="C3713" t="s">
        <v>17</v>
      </c>
      <c r="D3713">
        <v>65768000</v>
      </c>
      <c r="E3713">
        <v>65769999</v>
      </c>
      <c r="F3713" t="s">
        <v>3365</v>
      </c>
      <c r="G3713" t="str">
        <f t="shared" si="114"/>
        <v>MAR</v>
      </c>
      <c r="H3713" t="s">
        <v>3213</v>
      </c>
      <c r="I3713" t="s">
        <v>20</v>
      </c>
      <c r="J3713" t="s">
        <v>77</v>
      </c>
      <c r="K3713" s="6">
        <v>0.03</v>
      </c>
      <c r="L3713" s="7">
        <f t="shared" si="115"/>
        <v>2E-3</v>
      </c>
      <c r="M3713" s="7">
        <v>3.0000000000000001E-3</v>
      </c>
      <c r="N3713">
        <v>17</v>
      </c>
      <c r="O3713" s="8">
        <v>32.902778340866817</v>
      </c>
      <c r="P3713" s="9">
        <v>32.902778340866817</v>
      </c>
      <c r="Q3713" s="9">
        <v>32.902778340866817</v>
      </c>
      <c r="R3713" s="9">
        <v>36.980915483174826</v>
      </c>
      <c r="S3713" s="9">
        <v>41.041764553716455</v>
      </c>
      <c r="T3713" s="9">
        <v>44.512516286159922</v>
      </c>
      <c r="U3713" s="9">
        <v>52.176281946965503</v>
      </c>
      <c r="V3713" s="9">
        <v>52.176281946965503</v>
      </c>
      <c r="W3713" s="9">
        <v>52.176281946965503</v>
      </c>
      <c r="X3713" s="9">
        <v>65.399646652844908</v>
      </c>
      <c r="Y3713" s="9">
        <v>65.399646652844908</v>
      </c>
      <c r="Z3713" s="9">
        <v>74.862823794027804</v>
      </c>
      <c r="AA3713" s="9">
        <v>74.862823794027804</v>
      </c>
      <c r="AB3713" s="9">
        <v>84.552915727397561</v>
      </c>
      <c r="AC3713" s="9">
        <v>84.552915727397561</v>
      </c>
      <c r="AD3713" s="9">
        <v>94.492613932172858</v>
      </c>
      <c r="AE3713" s="9">
        <v>104.70687903549428</v>
      </c>
      <c r="AF3713" s="9">
        <v>115.51364337537625</v>
      </c>
      <c r="AG3713" s="9">
        <v>115.51364337537625</v>
      </c>
      <c r="AH3713" s="9">
        <v>127.68776106627702</v>
      </c>
      <c r="AI3713" s="9">
        <v>140.22732729914276</v>
      </c>
      <c r="AJ3713" s="9">
        <v>3.0428788910505911</v>
      </c>
    </row>
    <row r="3714" spans="1:36" x14ac:dyDescent="0.25">
      <c r="A3714" t="s">
        <v>5411</v>
      </c>
      <c r="B3714" t="s">
        <v>16</v>
      </c>
      <c r="C3714" t="s">
        <v>17</v>
      </c>
      <c r="D3714">
        <v>65770000</v>
      </c>
      <c r="E3714">
        <v>65774999</v>
      </c>
      <c r="F3714" t="s">
        <v>3366</v>
      </c>
      <c r="G3714" t="str">
        <f t="shared" si="114"/>
        <v>MAR</v>
      </c>
      <c r="H3714" t="s">
        <v>3213</v>
      </c>
      <c r="I3714" t="s">
        <v>20</v>
      </c>
      <c r="J3714" t="s">
        <v>77</v>
      </c>
      <c r="K3714" s="6">
        <v>0.03</v>
      </c>
      <c r="L3714" s="7">
        <f t="shared" si="115"/>
        <v>2E-3</v>
      </c>
      <c r="M3714" s="7">
        <v>3.0000000000000001E-3</v>
      </c>
      <c r="N3714">
        <v>17</v>
      </c>
      <c r="O3714" s="8">
        <v>32.902778340866817</v>
      </c>
      <c r="P3714" s="9">
        <v>32.902778340866817</v>
      </c>
      <c r="Q3714" s="9">
        <v>32.902778340866817</v>
      </c>
      <c r="R3714" s="9">
        <v>36.980915483174826</v>
      </c>
      <c r="S3714" s="9">
        <v>41.041764553716455</v>
      </c>
      <c r="T3714" s="9">
        <v>44.512516286159922</v>
      </c>
      <c r="U3714" s="9">
        <v>52.176281946965503</v>
      </c>
      <c r="V3714" s="9">
        <v>52.176281946965503</v>
      </c>
      <c r="W3714" s="9">
        <v>52.176281946965503</v>
      </c>
      <c r="X3714" s="9">
        <v>65.399646652844908</v>
      </c>
      <c r="Y3714" s="9">
        <v>65.399646652844908</v>
      </c>
      <c r="Z3714" s="9">
        <v>74.862823794027804</v>
      </c>
      <c r="AA3714" s="9">
        <v>74.862823794027804</v>
      </c>
      <c r="AB3714" s="9">
        <v>84.552915727397561</v>
      </c>
      <c r="AC3714" s="9">
        <v>84.552915727397561</v>
      </c>
      <c r="AD3714" s="9">
        <v>94.492613932172858</v>
      </c>
      <c r="AE3714" s="9">
        <v>104.70687903549428</v>
      </c>
      <c r="AF3714" s="9">
        <v>115.51364337537625</v>
      </c>
      <c r="AG3714" s="9">
        <v>115.51364337537625</v>
      </c>
      <c r="AH3714" s="9">
        <v>127.68776106627702</v>
      </c>
      <c r="AI3714" s="9">
        <v>140.22732729914276</v>
      </c>
      <c r="AJ3714" s="9">
        <v>3.0428788910505911</v>
      </c>
    </row>
    <row r="3715" spans="1:36" x14ac:dyDescent="0.25">
      <c r="A3715" t="s">
        <v>5411</v>
      </c>
      <c r="B3715" t="s">
        <v>16</v>
      </c>
      <c r="C3715" t="s">
        <v>17</v>
      </c>
      <c r="D3715">
        <v>65775000</v>
      </c>
      <c r="E3715">
        <v>65779999</v>
      </c>
      <c r="F3715" t="s">
        <v>3367</v>
      </c>
      <c r="G3715" t="str">
        <f t="shared" si="114"/>
        <v>MAR</v>
      </c>
      <c r="H3715" t="s">
        <v>3213</v>
      </c>
      <c r="I3715" t="s">
        <v>20</v>
      </c>
      <c r="J3715" t="s">
        <v>77</v>
      </c>
      <c r="K3715" s="6">
        <v>0.03</v>
      </c>
      <c r="L3715" s="7">
        <f t="shared" si="115"/>
        <v>2E-3</v>
      </c>
      <c r="M3715" s="7">
        <v>3.0000000000000001E-3</v>
      </c>
      <c r="N3715">
        <v>17</v>
      </c>
      <c r="O3715" s="8">
        <v>32.902778340866817</v>
      </c>
      <c r="P3715" s="9">
        <v>32.902778340866817</v>
      </c>
      <c r="Q3715" s="9">
        <v>32.902778340866817</v>
      </c>
      <c r="R3715" s="9">
        <v>36.980915483174826</v>
      </c>
      <c r="S3715" s="9">
        <v>41.041764553716455</v>
      </c>
      <c r="T3715" s="9">
        <v>44.512516286159922</v>
      </c>
      <c r="U3715" s="9">
        <v>52.176281946965503</v>
      </c>
      <c r="V3715" s="9">
        <v>52.176281946965503</v>
      </c>
      <c r="W3715" s="9">
        <v>52.176281946965503</v>
      </c>
      <c r="X3715" s="9">
        <v>65.399646652844908</v>
      </c>
      <c r="Y3715" s="9">
        <v>65.399646652844908</v>
      </c>
      <c r="Z3715" s="9">
        <v>74.862823794027804</v>
      </c>
      <c r="AA3715" s="9">
        <v>74.862823794027804</v>
      </c>
      <c r="AB3715" s="9">
        <v>84.552915727397561</v>
      </c>
      <c r="AC3715" s="9">
        <v>84.552915727397561</v>
      </c>
      <c r="AD3715" s="9">
        <v>94.492613932172858</v>
      </c>
      <c r="AE3715" s="9">
        <v>104.70687903549428</v>
      </c>
      <c r="AF3715" s="9">
        <v>115.51364337537625</v>
      </c>
      <c r="AG3715" s="9">
        <v>115.51364337537625</v>
      </c>
      <c r="AH3715" s="9">
        <v>127.68776106627702</v>
      </c>
      <c r="AI3715" s="9">
        <v>140.22732729914276</v>
      </c>
      <c r="AJ3715" s="9">
        <v>3.0428788910505911</v>
      </c>
    </row>
    <row r="3716" spans="1:36" x14ac:dyDescent="0.25">
      <c r="A3716" t="s">
        <v>5411</v>
      </c>
      <c r="B3716" t="s">
        <v>16</v>
      </c>
      <c r="C3716" t="s">
        <v>17</v>
      </c>
      <c r="D3716">
        <v>65780000</v>
      </c>
      <c r="E3716">
        <v>65782999</v>
      </c>
      <c r="F3716" t="s">
        <v>3368</v>
      </c>
      <c r="G3716" t="str">
        <f t="shared" ref="G3716:G3779" si="116">H3716&amp;IF(J3716="CAPITAL","C",IF(J3716="INTERIOR","I",IF(J3716="INTERIOR II","I II","R")))</f>
        <v>MAR</v>
      </c>
      <c r="H3716" t="s">
        <v>3213</v>
      </c>
      <c r="I3716" t="s">
        <v>20</v>
      </c>
      <c r="J3716" t="s">
        <v>77</v>
      </c>
      <c r="K3716" s="6">
        <v>0.03</v>
      </c>
      <c r="L3716" s="7">
        <f t="shared" ref="L3716:L3779" si="117">IF(I3716="(0) Não",0.2%,3%)</f>
        <v>2E-3</v>
      </c>
      <c r="M3716" s="7">
        <v>3.0000000000000001E-3</v>
      </c>
      <c r="N3716">
        <v>17</v>
      </c>
      <c r="O3716" s="8">
        <v>32.902778340866817</v>
      </c>
      <c r="P3716" s="9">
        <v>32.902778340866817</v>
      </c>
      <c r="Q3716" s="9">
        <v>32.902778340866817</v>
      </c>
      <c r="R3716" s="9">
        <v>36.980915483174826</v>
      </c>
      <c r="S3716" s="9">
        <v>41.041764553716455</v>
      </c>
      <c r="T3716" s="9">
        <v>44.512516286159922</v>
      </c>
      <c r="U3716" s="9">
        <v>52.176281946965503</v>
      </c>
      <c r="V3716" s="9">
        <v>52.176281946965503</v>
      </c>
      <c r="W3716" s="9">
        <v>52.176281946965503</v>
      </c>
      <c r="X3716" s="9">
        <v>65.399646652844908</v>
      </c>
      <c r="Y3716" s="9">
        <v>65.399646652844908</v>
      </c>
      <c r="Z3716" s="9">
        <v>74.862823794027804</v>
      </c>
      <c r="AA3716" s="9">
        <v>74.862823794027804</v>
      </c>
      <c r="AB3716" s="9">
        <v>84.552915727397561</v>
      </c>
      <c r="AC3716" s="9">
        <v>84.552915727397561</v>
      </c>
      <c r="AD3716" s="9">
        <v>94.492613932172858</v>
      </c>
      <c r="AE3716" s="9">
        <v>104.70687903549428</v>
      </c>
      <c r="AF3716" s="9">
        <v>115.51364337537625</v>
      </c>
      <c r="AG3716" s="9">
        <v>115.51364337537625</v>
      </c>
      <c r="AH3716" s="9">
        <v>127.68776106627702</v>
      </c>
      <c r="AI3716" s="9">
        <v>140.22732729914276</v>
      </c>
      <c r="AJ3716" s="9">
        <v>3.0428788910505911</v>
      </c>
    </row>
    <row r="3717" spans="1:36" x14ac:dyDescent="0.25">
      <c r="A3717" t="s">
        <v>5411</v>
      </c>
      <c r="B3717" t="s">
        <v>16</v>
      </c>
      <c r="C3717" t="s">
        <v>17</v>
      </c>
      <c r="D3717">
        <v>65783000</v>
      </c>
      <c r="E3717">
        <v>65784999</v>
      </c>
      <c r="F3717" t="s">
        <v>3369</v>
      </c>
      <c r="G3717" t="str">
        <f t="shared" si="116"/>
        <v>MAR</v>
      </c>
      <c r="H3717" t="s">
        <v>3213</v>
      </c>
      <c r="I3717" t="s">
        <v>20</v>
      </c>
      <c r="J3717" t="s">
        <v>77</v>
      </c>
      <c r="K3717" s="6">
        <v>0.03</v>
      </c>
      <c r="L3717" s="7">
        <f t="shared" si="117"/>
        <v>2E-3</v>
      </c>
      <c r="M3717" s="7">
        <v>3.0000000000000001E-3</v>
      </c>
      <c r="N3717">
        <v>17</v>
      </c>
      <c r="O3717" s="8">
        <v>32.902778340866817</v>
      </c>
      <c r="P3717" s="9">
        <v>32.902778340866817</v>
      </c>
      <c r="Q3717" s="9">
        <v>32.902778340866817</v>
      </c>
      <c r="R3717" s="9">
        <v>36.980915483174826</v>
      </c>
      <c r="S3717" s="9">
        <v>41.041764553716455</v>
      </c>
      <c r="T3717" s="9">
        <v>44.512516286159922</v>
      </c>
      <c r="U3717" s="9">
        <v>52.176281946965503</v>
      </c>
      <c r="V3717" s="9">
        <v>52.176281946965503</v>
      </c>
      <c r="W3717" s="9">
        <v>52.176281946965503</v>
      </c>
      <c r="X3717" s="9">
        <v>65.399646652844908</v>
      </c>
      <c r="Y3717" s="9">
        <v>65.399646652844908</v>
      </c>
      <c r="Z3717" s="9">
        <v>74.862823794027804</v>
      </c>
      <c r="AA3717" s="9">
        <v>74.862823794027804</v>
      </c>
      <c r="AB3717" s="9">
        <v>84.552915727397561</v>
      </c>
      <c r="AC3717" s="9">
        <v>84.552915727397561</v>
      </c>
      <c r="AD3717" s="9">
        <v>94.492613932172858</v>
      </c>
      <c r="AE3717" s="9">
        <v>104.70687903549428</v>
      </c>
      <c r="AF3717" s="9">
        <v>115.51364337537625</v>
      </c>
      <c r="AG3717" s="9">
        <v>115.51364337537625</v>
      </c>
      <c r="AH3717" s="9">
        <v>127.68776106627702</v>
      </c>
      <c r="AI3717" s="9">
        <v>140.22732729914276</v>
      </c>
      <c r="AJ3717" s="9">
        <v>3.0428788910505911</v>
      </c>
    </row>
    <row r="3718" spans="1:36" x14ac:dyDescent="0.25">
      <c r="A3718" t="s">
        <v>5411</v>
      </c>
      <c r="B3718" t="s">
        <v>16</v>
      </c>
      <c r="C3718" t="s">
        <v>17</v>
      </c>
      <c r="D3718">
        <v>65785000</v>
      </c>
      <c r="E3718">
        <v>65789999</v>
      </c>
      <c r="F3718" t="s">
        <v>3370</v>
      </c>
      <c r="G3718" t="str">
        <f t="shared" si="116"/>
        <v>MAR</v>
      </c>
      <c r="H3718" t="s">
        <v>3213</v>
      </c>
      <c r="I3718" t="s">
        <v>20</v>
      </c>
      <c r="J3718" t="s">
        <v>77</v>
      </c>
      <c r="K3718" s="6">
        <v>0.03</v>
      </c>
      <c r="L3718" s="7">
        <f t="shared" si="117"/>
        <v>2E-3</v>
      </c>
      <c r="M3718" s="7">
        <v>3.0000000000000001E-3</v>
      </c>
      <c r="N3718">
        <v>17</v>
      </c>
      <c r="O3718" s="8">
        <v>32.902778340866817</v>
      </c>
      <c r="P3718" s="9">
        <v>32.902778340866817</v>
      </c>
      <c r="Q3718" s="9">
        <v>32.902778340866817</v>
      </c>
      <c r="R3718" s="9">
        <v>36.980915483174826</v>
      </c>
      <c r="S3718" s="9">
        <v>41.041764553716455</v>
      </c>
      <c r="T3718" s="9">
        <v>44.512516286159922</v>
      </c>
      <c r="U3718" s="9">
        <v>52.176281946965503</v>
      </c>
      <c r="V3718" s="9">
        <v>52.176281946965503</v>
      </c>
      <c r="W3718" s="9">
        <v>52.176281946965503</v>
      </c>
      <c r="X3718" s="9">
        <v>65.399646652844908</v>
      </c>
      <c r="Y3718" s="9">
        <v>65.399646652844908</v>
      </c>
      <c r="Z3718" s="9">
        <v>74.862823794027804</v>
      </c>
      <c r="AA3718" s="9">
        <v>74.862823794027804</v>
      </c>
      <c r="AB3718" s="9">
        <v>84.552915727397561</v>
      </c>
      <c r="AC3718" s="9">
        <v>84.552915727397561</v>
      </c>
      <c r="AD3718" s="9">
        <v>94.492613932172858</v>
      </c>
      <c r="AE3718" s="9">
        <v>104.70687903549428</v>
      </c>
      <c r="AF3718" s="9">
        <v>115.51364337537625</v>
      </c>
      <c r="AG3718" s="9">
        <v>115.51364337537625</v>
      </c>
      <c r="AH3718" s="9">
        <v>127.68776106627702</v>
      </c>
      <c r="AI3718" s="9">
        <v>140.22732729914276</v>
      </c>
      <c r="AJ3718" s="9">
        <v>3.0428788910505911</v>
      </c>
    </row>
    <row r="3719" spans="1:36" x14ac:dyDescent="0.25">
      <c r="A3719" t="s">
        <v>5411</v>
      </c>
      <c r="B3719" t="s">
        <v>16</v>
      </c>
      <c r="C3719" t="s">
        <v>17</v>
      </c>
      <c r="D3719">
        <v>65790000</v>
      </c>
      <c r="E3719">
        <v>65794999</v>
      </c>
      <c r="F3719" t="s">
        <v>3371</v>
      </c>
      <c r="G3719" t="str">
        <f t="shared" si="116"/>
        <v>MAR</v>
      </c>
      <c r="H3719" t="s">
        <v>3213</v>
      </c>
      <c r="I3719" t="s">
        <v>20</v>
      </c>
      <c r="J3719" t="s">
        <v>77</v>
      </c>
      <c r="K3719" s="6">
        <v>0.03</v>
      </c>
      <c r="L3719" s="7">
        <f t="shared" si="117"/>
        <v>2E-3</v>
      </c>
      <c r="M3719" s="7">
        <v>3.0000000000000001E-3</v>
      </c>
      <c r="N3719">
        <v>17</v>
      </c>
      <c r="O3719" s="8">
        <v>32.902778340866817</v>
      </c>
      <c r="P3719" s="9">
        <v>32.902778340866817</v>
      </c>
      <c r="Q3719" s="9">
        <v>32.902778340866817</v>
      </c>
      <c r="R3719" s="9">
        <v>36.980915483174826</v>
      </c>
      <c r="S3719" s="9">
        <v>41.041764553716455</v>
      </c>
      <c r="T3719" s="9">
        <v>44.512516286159922</v>
      </c>
      <c r="U3719" s="9">
        <v>52.176281946965503</v>
      </c>
      <c r="V3719" s="9">
        <v>52.176281946965503</v>
      </c>
      <c r="W3719" s="9">
        <v>52.176281946965503</v>
      </c>
      <c r="X3719" s="9">
        <v>65.399646652844908</v>
      </c>
      <c r="Y3719" s="9">
        <v>65.399646652844908</v>
      </c>
      <c r="Z3719" s="9">
        <v>74.862823794027804</v>
      </c>
      <c r="AA3719" s="9">
        <v>74.862823794027804</v>
      </c>
      <c r="AB3719" s="9">
        <v>84.552915727397561</v>
      </c>
      <c r="AC3719" s="9">
        <v>84.552915727397561</v>
      </c>
      <c r="AD3719" s="9">
        <v>94.492613932172858</v>
      </c>
      <c r="AE3719" s="9">
        <v>104.70687903549428</v>
      </c>
      <c r="AF3719" s="9">
        <v>115.51364337537625</v>
      </c>
      <c r="AG3719" s="9">
        <v>115.51364337537625</v>
      </c>
      <c r="AH3719" s="9">
        <v>127.68776106627702</v>
      </c>
      <c r="AI3719" s="9">
        <v>140.22732729914276</v>
      </c>
      <c r="AJ3719" s="9">
        <v>3.0428788910505911</v>
      </c>
    </row>
    <row r="3720" spans="1:36" x14ac:dyDescent="0.25">
      <c r="A3720" t="s">
        <v>5411</v>
      </c>
      <c r="B3720" t="s">
        <v>16</v>
      </c>
      <c r="C3720" t="s">
        <v>17</v>
      </c>
      <c r="D3720">
        <v>65795000</v>
      </c>
      <c r="E3720">
        <v>65799999</v>
      </c>
      <c r="F3720" t="s">
        <v>3372</v>
      </c>
      <c r="G3720" t="str">
        <f t="shared" si="116"/>
        <v>MAR</v>
      </c>
      <c r="H3720" t="s">
        <v>3213</v>
      </c>
      <c r="I3720" t="s">
        <v>20</v>
      </c>
      <c r="J3720" t="s">
        <v>77</v>
      </c>
      <c r="K3720" s="6">
        <v>0.03</v>
      </c>
      <c r="L3720" s="7">
        <f t="shared" si="117"/>
        <v>2E-3</v>
      </c>
      <c r="M3720" s="7">
        <v>3.0000000000000001E-3</v>
      </c>
      <c r="N3720">
        <v>17</v>
      </c>
      <c r="O3720" s="8">
        <v>32.902778340866817</v>
      </c>
      <c r="P3720" s="9">
        <v>32.902778340866817</v>
      </c>
      <c r="Q3720" s="9">
        <v>32.902778340866817</v>
      </c>
      <c r="R3720" s="9">
        <v>36.980915483174826</v>
      </c>
      <c r="S3720" s="9">
        <v>41.041764553716455</v>
      </c>
      <c r="T3720" s="9">
        <v>44.512516286159922</v>
      </c>
      <c r="U3720" s="9">
        <v>52.176281946965503</v>
      </c>
      <c r="V3720" s="9">
        <v>52.176281946965503</v>
      </c>
      <c r="W3720" s="9">
        <v>52.176281946965503</v>
      </c>
      <c r="X3720" s="9">
        <v>65.399646652844908</v>
      </c>
      <c r="Y3720" s="9">
        <v>65.399646652844908</v>
      </c>
      <c r="Z3720" s="9">
        <v>74.862823794027804</v>
      </c>
      <c r="AA3720" s="9">
        <v>74.862823794027804</v>
      </c>
      <c r="AB3720" s="9">
        <v>84.552915727397561</v>
      </c>
      <c r="AC3720" s="9">
        <v>84.552915727397561</v>
      </c>
      <c r="AD3720" s="9">
        <v>94.492613932172858</v>
      </c>
      <c r="AE3720" s="9">
        <v>104.70687903549428</v>
      </c>
      <c r="AF3720" s="9">
        <v>115.51364337537625</v>
      </c>
      <c r="AG3720" s="9">
        <v>115.51364337537625</v>
      </c>
      <c r="AH3720" s="9">
        <v>127.68776106627702</v>
      </c>
      <c r="AI3720" s="9">
        <v>140.22732729914276</v>
      </c>
      <c r="AJ3720" s="9">
        <v>3.0428788910505911</v>
      </c>
    </row>
    <row r="3721" spans="1:36" x14ac:dyDescent="0.25">
      <c r="A3721" t="s">
        <v>5411</v>
      </c>
      <c r="B3721" t="s">
        <v>16</v>
      </c>
      <c r="C3721" t="s">
        <v>17</v>
      </c>
      <c r="D3721">
        <v>65800000</v>
      </c>
      <c r="E3721">
        <v>65804999</v>
      </c>
      <c r="F3721" t="s">
        <v>3373</v>
      </c>
      <c r="G3721" t="str">
        <f t="shared" si="116"/>
        <v>MAI II</v>
      </c>
      <c r="H3721" t="s">
        <v>3213</v>
      </c>
      <c r="I3721" t="s">
        <v>20</v>
      </c>
      <c r="J3721" t="s">
        <v>64</v>
      </c>
      <c r="K3721" s="6">
        <v>0.03</v>
      </c>
      <c r="L3721" s="7">
        <f t="shared" si="117"/>
        <v>2E-3</v>
      </c>
      <c r="M3721" s="7">
        <v>3.0000000000000001E-3</v>
      </c>
      <c r="N3721">
        <v>13</v>
      </c>
      <c r="O3721" s="8">
        <v>25.668860905665891</v>
      </c>
      <c r="P3721" s="9">
        <v>25.668860905665891</v>
      </c>
      <c r="Q3721" s="9">
        <v>25.668860905665891</v>
      </c>
      <c r="R3721" s="9">
        <v>28.90627780374118</v>
      </c>
      <c r="S3721" s="9">
        <v>32.088398586892829</v>
      </c>
      <c r="T3721" s="9">
        <v>35.317419895390479</v>
      </c>
      <c r="U3721" s="9">
        <v>41.899003808131717</v>
      </c>
      <c r="V3721" s="9">
        <v>41.899003808131717</v>
      </c>
      <c r="W3721" s="9">
        <v>41.899003808131717</v>
      </c>
      <c r="X3721" s="9">
        <v>49.367258046991701</v>
      </c>
      <c r="Y3721" s="9">
        <v>49.367258046991701</v>
      </c>
      <c r="Z3721" s="9">
        <v>56.934875079999451</v>
      </c>
      <c r="AA3721" s="9">
        <v>56.934875079999451</v>
      </c>
      <c r="AB3721" s="9">
        <v>64.611791186569661</v>
      </c>
      <c r="AC3721" s="9">
        <v>64.611791186569661</v>
      </c>
      <c r="AD3721" s="9">
        <v>74.350540076267862</v>
      </c>
      <c r="AE3721" s="9">
        <v>81.505501009216758</v>
      </c>
      <c r="AF3721" s="9">
        <v>89.052880694757192</v>
      </c>
      <c r="AG3721" s="9">
        <v>89.052880694757192</v>
      </c>
      <c r="AH3721" s="9">
        <v>98.528148353766625</v>
      </c>
      <c r="AI3721" s="9">
        <v>107.07903577054074</v>
      </c>
      <c r="AJ3721" s="9">
        <v>3.0428788910505911</v>
      </c>
    </row>
    <row r="3722" spans="1:36" x14ac:dyDescent="0.25">
      <c r="A3722" t="s">
        <v>5411</v>
      </c>
      <c r="B3722" t="s">
        <v>16</v>
      </c>
      <c r="C3722" t="s">
        <v>17</v>
      </c>
      <c r="D3722">
        <v>65805000</v>
      </c>
      <c r="E3722">
        <v>65807999</v>
      </c>
      <c r="F3722" t="s">
        <v>3374</v>
      </c>
      <c r="G3722" t="str">
        <f t="shared" si="116"/>
        <v>MAR</v>
      </c>
      <c r="H3722" t="s">
        <v>3213</v>
      </c>
      <c r="I3722" t="s">
        <v>20</v>
      </c>
      <c r="J3722" t="s">
        <v>77</v>
      </c>
      <c r="K3722" s="6">
        <v>0.03</v>
      </c>
      <c r="L3722" s="7">
        <f t="shared" si="117"/>
        <v>2E-3</v>
      </c>
      <c r="M3722" s="7">
        <v>3.0000000000000001E-3</v>
      </c>
      <c r="N3722">
        <v>17</v>
      </c>
      <c r="O3722" s="8">
        <v>32.902778340866817</v>
      </c>
      <c r="P3722" s="9">
        <v>32.902778340866817</v>
      </c>
      <c r="Q3722" s="9">
        <v>32.902778340866817</v>
      </c>
      <c r="R3722" s="9">
        <v>36.980915483174826</v>
      </c>
      <c r="S3722" s="9">
        <v>41.041764553716455</v>
      </c>
      <c r="T3722" s="9">
        <v>44.512516286159922</v>
      </c>
      <c r="U3722" s="9">
        <v>52.176281946965503</v>
      </c>
      <c r="V3722" s="9">
        <v>52.176281946965503</v>
      </c>
      <c r="W3722" s="9">
        <v>52.176281946965503</v>
      </c>
      <c r="X3722" s="9">
        <v>65.399646652844908</v>
      </c>
      <c r="Y3722" s="9">
        <v>65.399646652844908</v>
      </c>
      <c r="Z3722" s="9">
        <v>74.862823794027804</v>
      </c>
      <c r="AA3722" s="9">
        <v>74.862823794027804</v>
      </c>
      <c r="AB3722" s="9">
        <v>84.552915727397561</v>
      </c>
      <c r="AC3722" s="9">
        <v>84.552915727397561</v>
      </c>
      <c r="AD3722" s="9">
        <v>94.492613932172858</v>
      </c>
      <c r="AE3722" s="9">
        <v>104.70687903549428</v>
      </c>
      <c r="AF3722" s="9">
        <v>115.51364337537625</v>
      </c>
      <c r="AG3722" s="9">
        <v>115.51364337537625</v>
      </c>
      <c r="AH3722" s="9">
        <v>127.68776106627702</v>
      </c>
      <c r="AI3722" s="9">
        <v>140.22732729914276</v>
      </c>
      <c r="AJ3722" s="9">
        <v>3.0428788910505911</v>
      </c>
    </row>
    <row r="3723" spans="1:36" x14ac:dyDescent="0.25">
      <c r="A3723" t="s">
        <v>5411</v>
      </c>
      <c r="B3723" t="s">
        <v>16</v>
      </c>
      <c r="C3723" t="s">
        <v>17</v>
      </c>
      <c r="D3723">
        <v>65808000</v>
      </c>
      <c r="E3723">
        <v>65809999</v>
      </c>
      <c r="F3723" t="s">
        <v>3375</v>
      </c>
      <c r="G3723" t="str">
        <f t="shared" si="116"/>
        <v>MAR</v>
      </c>
      <c r="H3723" t="s">
        <v>3213</v>
      </c>
      <c r="I3723" t="s">
        <v>20</v>
      </c>
      <c r="J3723" t="s">
        <v>77</v>
      </c>
      <c r="K3723" s="6">
        <v>0.03</v>
      </c>
      <c r="L3723" s="7">
        <f t="shared" si="117"/>
        <v>2E-3</v>
      </c>
      <c r="M3723" s="7">
        <v>3.0000000000000001E-3</v>
      </c>
      <c r="N3723">
        <v>17</v>
      </c>
      <c r="O3723" s="8">
        <v>32.902778340866817</v>
      </c>
      <c r="P3723" s="9">
        <v>32.902778340866817</v>
      </c>
      <c r="Q3723" s="9">
        <v>32.902778340866817</v>
      </c>
      <c r="R3723" s="9">
        <v>36.980915483174826</v>
      </c>
      <c r="S3723" s="9">
        <v>41.041764553716455</v>
      </c>
      <c r="T3723" s="9">
        <v>44.512516286159922</v>
      </c>
      <c r="U3723" s="9">
        <v>52.176281946965503</v>
      </c>
      <c r="V3723" s="9">
        <v>52.176281946965503</v>
      </c>
      <c r="W3723" s="9">
        <v>52.176281946965503</v>
      </c>
      <c r="X3723" s="9">
        <v>65.399646652844908</v>
      </c>
      <c r="Y3723" s="9">
        <v>65.399646652844908</v>
      </c>
      <c r="Z3723" s="9">
        <v>74.862823794027804</v>
      </c>
      <c r="AA3723" s="9">
        <v>74.862823794027804</v>
      </c>
      <c r="AB3723" s="9">
        <v>84.552915727397561</v>
      </c>
      <c r="AC3723" s="9">
        <v>84.552915727397561</v>
      </c>
      <c r="AD3723" s="9">
        <v>94.492613932172858</v>
      </c>
      <c r="AE3723" s="9">
        <v>104.70687903549428</v>
      </c>
      <c r="AF3723" s="9">
        <v>115.51364337537625</v>
      </c>
      <c r="AG3723" s="9">
        <v>115.51364337537625</v>
      </c>
      <c r="AH3723" s="9">
        <v>127.68776106627702</v>
      </c>
      <c r="AI3723" s="9">
        <v>140.22732729914276</v>
      </c>
      <c r="AJ3723" s="9">
        <v>3.0428788910505911</v>
      </c>
    </row>
    <row r="3724" spans="1:36" x14ac:dyDescent="0.25">
      <c r="A3724" t="s">
        <v>5411</v>
      </c>
      <c r="B3724" t="s">
        <v>16</v>
      </c>
      <c r="C3724" t="s">
        <v>17</v>
      </c>
      <c r="D3724">
        <v>65810000</v>
      </c>
      <c r="E3724">
        <v>65819999</v>
      </c>
      <c r="F3724" t="s">
        <v>3376</v>
      </c>
      <c r="G3724" t="str">
        <f t="shared" si="116"/>
        <v>MAR</v>
      </c>
      <c r="H3724" t="s">
        <v>3213</v>
      </c>
      <c r="I3724" t="s">
        <v>20</v>
      </c>
      <c r="J3724" t="s">
        <v>77</v>
      </c>
      <c r="K3724" s="6">
        <v>0.03</v>
      </c>
      <c r="L3724" s="7">
        <f t="shared" si="117"/>
        <v>2E-3</v>
      </c>
      <c r="M3724" s="7">
        <v>3.0000000000000001E-3</v>
      </c>
      <c r="N3724">
        <v>17</v>
      </c>
      <c r="O3724" s="8">
        <v>32.902778340866817</v>
      </c>
      <c r="P3724" s="9">
        <v>32.902778340866817</v>
      </c>
      <c r="Q3724" s="9">
        <v>32.902778340866817</v>
      </c>
      <c r="R3724" s="9">
        <v>36.980915483174826</v>
      </c>
      <c r="S3724" s="9">
        <v>41.041764553716455</v>
      </c>
      <c r="T3724" s="9">
        <v>44.512516286159922</v>
      </c>
      <c r="U3724" s="9">
        <v>52.176281946965503</v>
      </c>
      <c r="V3724" s="9">
        <v>52.176281946965503</v>
      </c>
      <c r="W3724" s="9">
        <v>52.176281946965503</v>
      </c>
      <c r="X3724" s="9">
        <v>65.399646652844908</v>
      </c>
      <c r="Y3724" s="9">
        <v>65.399646652844908</v>
      </c>
      <c r="Z3724" s="9">
        <v>74.862823794027804</v>
      </c>
      <c r="AA3724" s="9">
        <v>74.862823794027804</v>
      </c>
      <c r="AB3724" s="9">
        <v>84.552915727397561</v>
      </c>
      <c r="AC3724" s="9">
        <v>84.552915727397561</v>
      </c>
      <c r="AD3724" s="9">
        <v>94.492613932172858</v>
      </c>
      <c r="AE3724" s="9">
        <v>104.70687903549428</v>
      </c>
      <c r="AF3724" s="9">
        <v>115.51364337537625</v>
      </c>
      <c r="AG3724" s="9">
        <v>115.51364337537625</v>
      </c>
      <c r="AH3724" s="9">
        <v>127.68776106627702</v>
      </c>
      <c r="AI3724" s="9">
        <v>140.22732729914276</v>
      </c>
      <c r="AJ3724" s="9">
        <v>3.0428788910505911</v>
      </c>
    </row>
    <row r="3725" spans="1:36" x14ac:dyDescent="0.25">
      <c r="A3725" t="s">
        <v>5411</v>
      </c>
      <c r="B3725" t="s">
        <v>16</v>
      </c>
      <c r="C3725" t="s">
        <v>17</v>
      </c>
      <c r="D3725">
        <v>65820000</v>
      </c>
      <c r="E3725">
        <v>65829999</v>
      </c>
      <c r="F3725" t="s">
        <v>3377</v>
      </c>
      <c r="G3725" t="str">
        <f t="shared" si="116"/>
        <v>MAR</v>
      </c>
      <c r="H3725" t="s">
        <v>3213</v>
      </c>
      <c r="I3725" t="s">
        <v>20</v>
      </c>
      <c r="J3725" t="s">
        <v>77</v>
      </c>
      <c r="K3725" s="6">
        <v>0.03</v>
      </c>
      <c r="L3725" s="7">
        <f t="shared" si="117"/>
        <v>2E-3</v>
      </c>
      <c r="M3725" s="7">
        <v>3.0000000000000001E-3</v>
      </c>
      <c r="N3725">
        <v>17</v>
      </c>
      <c r="O3725" s="8">
        <v>32.902778340866817</v>
      </c>
      <c r="P3725" s="9">
        <v>32.902778340866817</v>
      </c>
      <c r="Q3725" s="9">
        <v>32.902778340866817</v>
      </c>
      <c r="R3725" s="9">
        <v>36.980915483174826</v>
      </c>
      <c r="S3725" s="9">
        <v>41.041764553716455</v>
      </c>
      <c r="T3725" s="9">
        <v>44.512516286159922</v>
      </c>
      <c r="U3725" s="9">
        <v>52.176281946965503</v>
      </c>
      <c r="V3725" s="9">
        <v>52.176281946965503</v>
      </c>
      <c r="W3725" s="9">
        <v>52.176281946965503</v>
      </c>
      <c r="X3725" s="9">
        <v>65.399646652844908</v>
      </c>
      <c r="Y3725" s="9">
        <v>65.399646652844908</v>
      </c>
      <c r="Z3725" s="9">
        <v>74.862823794027804</v>
      </c>
      <c r="AA3725" s="9">
        <v>74.862823794027804</v>
      </c>
      <c r="AB3725" s="9">
        <v>84.552915727397561</v>
      </c>
      <c r="AC3725" s="9">
        <v>84.552915727397561</v>
      </c>
      <c r="AD3725" s="9">
        <v>94.492613932172858</v>
      </c>
      <c r="AE3725" s="9">
        <v>104.70687903549428</v>
      </c>
      <c r="AF3725" s="9">
        <v>115.51364337537625</v>
      </c>
      <c r="AG3725" s="9">
        <v>115.51364337537625</v>
      </c>
      <c r="AH3725" s="9">
        <v>127.68776106627702</v>
      </c>
      <c r="AI3725" s="9">
        <v>140.22732729914276</v>
      </c>
      <c r="AJ3725" s="9">
        <v>3.0428788910505911</v>
      </c>
    </row>
    <row r="3726" spans="1:36" x14ac:dyDescent="0.25">
      <c r="A3726" t="s">
        <v>5411</v>
      </c>
      <c r="B3726" t="s">
        <v>16</v>
      </c>
      <c r="C3726" t="s">
        <v>17</v>
      </c>
      <c r="D3726">
        <v>65830000</v>
      </c>
      <c r="E3726">
        <v>65839999</v>
      </c>
      <c r="F3726" t="s">
        <v>3378</v>
      </c>
      <c r="G3726" t="str">
        <f t="shared" si="116"/>
        <v>MAR</v>
      </c>
      <c r="H3726" t="s">
        <v>3213</v>
      </c>
      <c r="I3726" t="s">
        <v>20</v>
      </c>
      <c r="J3726" t="s">
        <v>77</v>
      </c>
      <c r="K3726" s="6">
        <v>0.03</v>
      </c>
      <c r="L3726" s="7">
        <f t="shared" si="117"/>
        <v>2E-3</v>
      </c>
      <c r="M3726" s="7">
        <v>3.0000000000000001E-3</v>
      </c>
      <c r="N3726">
        <v>17</v>
      </c>
      <c r="O3726" s="8">
        <v>32.902778340866817</v>
      </c>
      <c r="P3726" s="9">
        <v>32.902778340866817</v>
      </c>
      <c r="Q3726" s="9">
        <v>32.902778340866817</v>
      </c>
      <c r="R3726" s="9">
        <v>36.980915483174826</v>
      </c>
      <c r="S3726" s="9">
        <v>41.041764553716455</v>
      </c>
      <c r="T3726" s="9">
        <v>44.512516286159922</v>
      </c>
      <c r="U3726" s="9">
        <v>52.176281946965503</v>
      </c>
      <c r="V3726" s="9">
        <v>52.176281946965503</v>
      </c>
      <c r="W3726" s="9">
        <v>52.176281946965503</v>
      </c>
      <c r="X3726" s="9">
        <v>65.399646652844908</v>
      </c>
      <c r="Y3726" s="9">
        <v>65.399646652844908</v>
      </c>
      <c r="Z3726" s="9">
        <v>74.862823794027804</v>
      </c>
      <c r="AA3726" s="9">
        <v>74.862823794027804</v>
      </c>
      <c r="AB3726" s="9">
        <v>84.552915727397561</v>
      </c>
      <c r="AC3726" s="9">
        <v>84.552915727397561</v>
      </c>
      <c r="AD3726" s="9">
        <v>94.492613932172858</v>
      </c>
      <c r="AE3726" s="9">
        <v>104.70687903549428</v>
      </c>
      <c r="AF3726" s="9">
        <v>115.51364337537625</v>
      </c>
      <c r="AG3726" s="9">
        <v>115.51364337537625</v>
      </c>
      <c r="AH3726" s="9">
        <v>127.68776106627702</v>
      </c>
      <c r="AI3726" s="9">
        <v>140.22732729914276</v>
      </c>
      <c r="AJ3726" s="9">
        <v>3.0428788910505911</v>
      </c>
    </row>
    <row r="3727" spans="1:36" x14ac:dyDescent="0.25">
      <c r="A3727" t="s">
        <v>5411</v>
      </c>
      <c r="B3727" t="s">
        <v>16</v>
      </c>
      <c r="C3727" t="s">
        <v>17</v>
      </c>
      <c r="D3727">
        <v>65840000</v>
      </c>
      <c r="E3727">
        <v>65849999</v>
      </c>
      <c r="F3727" t="s">
        <v>3379</v>
      </c>
      <c r="G3727" t="str">
        <f t="shared" si="116"/>
        <v>MAR</v>
      </c>
      <c r="H3727" t="s">
        <v>3213</v>
      </c>
      <c r="I3727" t="s">
        <v>20</v>
      </c>
      <c r="J3727" t="s">
        <v>77</v>
      </c>
      <c r="K3727" s="6">
        <v>0.03</v>
      </c>
      <c r="L3727" s="7">
        <f t="shared" si="117"/>
        <v>2E-3</v>
      </c>
      <c r="M3727" s="7">
        <v>3.0000000000000001E-3</v>
      </c>
      <c r="N3727">
        <v>17</v>
      </c>
      <c r="O3727" s="8">
        <v>32.902778340866817</v>
      </c>
      <c r="P3727" s="9">
        <v>32.902778340866817</v>
      </c>
      <c r="Q3727" s="9">
        <v>32.902778340866817</v>
      </c>
      <c r="R3727" s="9">
        <v>36.980915483174826</v>
      </c>
      <c r="S3727" s="9">
        <v>41.041764553716455</v>
      </c>
      <c r="T3727" s="9">
        <v>44.512516286159922</v>
      </c>
      <c r="U3727" s="9">
        <v>52.176281946965503</v>
      </c>
      <c r="V3727" s="9">
        <v>52.176281946965503</v>
      </c>
      <c r="W3727" s="9">
        <v>52.176281946965503</v>
      </c>
      <c r="X3727" s="9">
        <v>65.399646652844908</v>
      </c>
      <c r="Y3727" s="9">
        <v>65.399646652844908</v>
      </c>
      <c r="Z3727" s="9">
        <v>74.862823794027804</v>
      </c>
      <c r="AA3727" s="9">
        <v>74.862823794027804</v>
      </c>
      <c r="AB3727" s="9">
        <v>84.552915727397561</v>
      </c>
      <c r="AC3727" s="9">
        <v>84.552915727397561</v>
      </c>
      <c r="AD3727" s="9">
        <v>94.492613932172858</v>
      </c>
      <c r="AE3727" s="9">
        <v>104.70687903549428</v>
      </c>
      <c r="AF3727" s="9">
        <v>115.51364337537625</v>
      </c>
      <c r="AG3727" s="9">
        <v>115.51364337537625</v>
      </c>
      <c r="AH3727" s="9">
        <v>127.68776106627702</v>
      </c>
      <c r="AI3727" s="9">
        <v>140.22732729914276</v>
      </c>
      <c r="AJ3727" s="9">
        <v>3.0428788910505911</v>
      </c>
    </row>
    <row r="3728" spans="1:36" x14ac:dyDescent="0.25">
      <c r="A3728" t="s">
        <v>5411</v>
      </c>
      <c r="B3728" t="s">
        <v>16</v>
      </c>
      <c r="C3728" t="s">
        <v>17</v>
      </c>
      <c r="D3728">
        <v>65850000</v>
      </c>
      <c r="E3728">
        <v>65859999</v>
      </c>
      <c r="F3728" t="s">
        <v>3380</v>
      </c>
      <c r="G3728" t="str">
        <f t="shared" si="116"/>
        <v>MAR</v>
      </c>
      <c r="H3728" t="s">
        <v>3213</v>
      </c>
      <c r="I3728" t="s">
        <v>20</v>
      </c>
      <c r="J3728" t="s">
        <v>77</v>
      </c>
      <c r="K3728" s="6">
        <v>0.03</v>
      </c>
      <c r="L3728" s="7">
        <f t="shared" si="117"/>
        <v>2E-3</v>
      </c>
      <c r="M3728" s="7">
        <v>3.0000000000000001E-3</v>
      </c>
      <c r="N3728">
        <v>17</v>
      </c>
      <c r="O3728" s="8">
        <v>32.902778340866817</v>
      </c>
      <c r="P3728" s="9">
        <v>32.902778340866817</v>
      </c>
      <c r="Q3728" s="9">
        <v>32.902778340866817</v>
      </c>
      <c r="R3728" s="9">
        <v>36.980915483174826</v>
      </c>
      <c r="S3728" s="9">
        <v>41.041764553716455</v>
      </c>
      <c r="T3728" s="9">
        <v>44.512516286159922</v>
      </c>
      <c r="U3728" s="9">
        <v>52.176281946965503</v>
      </c>
      <c r="V3728" s="9">
        <v>52.176281946965503</v>
      </c>
      <c r="W3728" s="9">
        <v>52.176281946965503</v>
      </c>
      <c r="X3728" s="9">
        <v>65.399646652844908</v>
      </c>
      <c r="Y3728" s="9">
        <v>65.399646652844908</v>
      </c>
      <c r="Z3728" s="9">
        <v>74.862823794027804</v>
      </c>
      <c r="AA3728" s="9">
        <v>74.862823794027804</v>
      </c>
      <c r="AB3728" s="9">
        <v>84.552915727397561</v>
      </c>
      <c r="AC3728" s="9">
        <v>84.552915727397561</v>
      </c>
      <c r="AD3728" s="9">
        <v>94.492613932172858</v>
      </c>
      <c r="AE3728" s="9">
        <v>104.70687903549428</v>
      </c>
      <c r="AF3728" s="9">
        <v>115.51364337537625</v>
      </c>
      <c r="AG3728" s="9">
        <v>115.51364337537625</v>
      </c>
      <c r="AH3728" s="9">
        <v>127.68776106627702</v>
      </c>
      <c r="AI3728" s="9">
        <v>140.22732729914276</v>
      </c>
      <c r="AJ3728" s="9">
        <v>3.0428788910505911</v>
      </c>
    </row>
    <row r="3729" spans="1:36" x14ac:dyDescent="0.25">
      <c r="A3729" t="s">
        <v>5411</v>
      </c>
      <c r="B3729" t="s">
        <v>16</v>
      </c>
      <c r="C3729" t="s">
        <v>17</v>
      </c>
      <c r="D3729">
        <v>65860000</v>
      </c>
      <c r="E3729">
        <v>65869999</v>
      </c>
      <c r="F3729" t="s">
        <v>3381</v>
      </c>
      <c r="G3729" t="str">
        <f t="shared" si="116"/>
        <v>MAR</v>
      </c>
      <c r="H3729" t="s">
        <v>3213</v>
      </c>
      <c r="I3729" t="s">
        <v>20</v>
      </c>
      <c r="J3729" t="s">
        <v>77</v>
      </c>
      <c r="K3729" s="6">
        <v>0.03</v>
      </c>
      <c r="L3729" s="7">
        <f t="shared" si="117"/>
        <v>2E-3</v>
      </c>
      <c r="M3729" s="7">
        <v>3.0000000000000001E-3</v>
      </c>
      <c r="N3729">
        <v>17</v>
      </c>
      <c r="O3729" s="8">
        <v>32.902778340866817</v>
      </c>
      <c r="P3729" s="9">
        <v>32.902778340866817</v>
      </c>
      <c r="Q3729" s="9">
        <v>32.902778340866817</v>
      </c>
      <c r="R3729" s="9">
        <v>36.980915483174826</v>
      </c>
      <c r="S3729" s="9">
        <v>41.041764553716455</v>
      </c>
      <c r="T3729" s="9">
        <v>44.512516286159922</v>
      </c>
      <c r="U3729" s="9">
        <v>52.176281946965503</v>
      </c>
      <c r="V3729" s="9">
        <v>52.176281946965503</v>
      </c>
      <c r="W3729" s="9">
        <v>52.176281946965503</v>
      </c>
      <c r="X3729" s="9">
        <v>65.399646652844908</v>
      </c>
      <c r="Y3729" s="9">
        <v>65.399646652844908</v>
      </c>
      <c r="Z3729" s="9">
        <v>74.862823794027804</v>
      </c>
      <c r="AA3729" s="9">
        <v>74.862823794027804</v>
      </c>
      <c r="AB3729" s="9">
        <v>84.552915727397561</v>
      </c>
      <c r="AC3729" s="9">
        <v>84.552915727397561</v>
      </c>
      <c r="AD3729" s="9">
        <v>94.492613932172858</v>
      </c>
      <c r="AE3729" s="9">
        <v>104.70687903549428</v>
      </c>
      <c r="AF3729" s="9">
        <v>115.51364337537625</v>
      </c>
      <c r="AG3729" s="9">
        <v>115.51364337537625</v>
      </c>
      <c r="AH3729" s="9">
        <v>127.68776106627702</v>
      </c>
      <c r="AI3729" s="9">
        <v>140.22732729914276</v>
      </c>
      <c r="AJ3729" s="9">
        <v>3.0428788910505911</v>
      </c>
    </row>
    <row r="3730" spans="1:36" x14ac:dyDescent="0.25">
      <c r="A3730" t="s">
        <v>5411</v>
      </c>
      <c r="B3730" t="s">
        <v>16</v>
      </c>
      <c r="C3730" t="s">
        <v>17</v>
      </c>
      <c r="D3730">
        <v>65870000</v>
      </c>
      <c r="E3730">
        <v>65879999</v>
      </c>
      <c r="F3730" t="s">
        <v>3382</v>
      </c>
      <c r="G3730" t="str">
        <f t="shared" si="116"/>
        <v>MAR</v>
      </c>
      <c r="H3730" t="s">
        <v>3213</v>
      </c>
      <c r="I3730" t="s">
        <v>20</v>
      </c>
      <c r="J3730" t="s">
        <v>77</v>
      </c>
      <c r="K3730" s="6">
        <v>0.03</v>
      </c>
      <c r="L3730" s="7">
        <f t="shared" si="117"/>
        <v>2E-3</v>
      </c>
      <c r="M3730" s="7">
        <v>3.0000000000000001E-3</v>
      </c>
      <c r="N3730">
        <v>17</v>
      </c>
      <c r="O3730" s="8">
        <v>32.902778340866817</v>
      </c>
      <c r="P3730" s="9">
        <v>32.902778340866817</v>
      </c>
      <c r="Q3730" s="9">
        <v>32.902778340866817</v>
      </c>
      <c r="R3730" s="9">
        <v>36.980915483174826</v>
      </c>
      <c r="S3730" s="9">
        <v>41.041764553716455</v>
      </c>
      <c r="T3730" s="9">
        <v>44.512516286159922</v>
      </c>
      <c r="U3730" s="9">
        <v>52.176281946965503</v>
      </c>
      <c r="V3730" s="9">
        <v>52.176281946965503</v>
      </c>
      <c r="W3730" s="9">
        <v>52.176281946965503</v>
      </c>
      <c r="X3730" s="9">
        <v>65.399646652844908</v>
      </c>
      <c r="Y3730" s="9">
        <v>65.399646652844908</v>
      </c>
      <c r="Z3730" s="9">
        <v>74.862823794027804</v>
      </c>
      <c r="AA3730" s="9">
        <v>74.862823794027804</v>
      </c>
      <c r="AB3730" s="9">
        <v>84.552915727397561</v>
      </c>
      <c r="AC3730" s="9">
        <v>84.552915727397561</v>
      </c>
      <c r="AD3730" s="9">
        <v>94.492613932172858</v>
      </c>
      <c r="AE3730" s="9">
        <v>104.70687903549428</v>
      </c>
      <c r="AF3730" s="9">
        <v>115.51364337537625</v>
      </c>
      <c r="AG3730" s="9">
        <v>115.51364337537625</v>
      </c>
      <c r="AH3730" s="9">
        <v>127.68776106627702</v>
      </c>
      <c r="AI3730" s="9">
        <v>140.22732729914276</v>
      </c>
      <c r="AJ3730" s="9">
        <v>3.0428788910505911</v>
      </c>
    </row>
    <row r="3731" spans="1:36" x14ac:dyDescent="0.25">
      <c r="A3731" t="s">
        <v>5411</v>
      </c>
      <c r="B3731" t="s">
        <v>16</v>
      </c>
      <c r="C3731" t="s">
        <v>17</v>
      </c>
      <c r="D3731">
        <v>65880000</v>
      </c>
      <c r="E3731">
        <v>65884999</v>
      </c>
      <c r="F3731" t="s">
        <v>3383</v>
      </c>
      <c r="G3731" t="str">
        <f t="shared" si="116"/>
        <v>MAR</v>
      </c>
      <c r="H3731" t="s">
        <v>3213</v>
      </c>
      <c r="I3731" t="s">
        <v>20</v>
      </c>
      <c r="J3731" t="s">
        <v>77</v>
      </c>
      <c r="K3731" s="6">
        <v>0.03</v>
      </c>
      <c r="L3731" s="7">
        <f t="shared" si="117"/>
        <v>2E-3</v>
      </c>
      <c r="M3731" s="7">
        <v>3.0000000000000001E-3</v>
      </c>
      <c r="N3731">
        <v>17</v>
      </c>
      <c r="O3731" s="8">
        <v>32.902778340866817</v>
      </c>
      <c r="P3731" s="9">
        <v>32.902778340866817</v>
      </c>
      <c r="Q3731" s="9">
        <v>32.902778340866817</v>
      </c>
      <c r="R3731" s="9">
        <v>36.980915483174826</v>
      </c>
      <c r="S3731" s="9">
        <v>41.041764553716455</v>
      </c>
      <c r="T3731" s="9">
        <v>44.512516286159922</v>
      </c>
      <c r="U3731" s="9">
        <v>52.176281946965503</v>
      </c>
      <c r="V3731" s="9">
        <v>52.176281946965503</v>
      </c>
      <c r="W3731" s="9">
        <v>52.176281946965503</v>
      </c>
      <c r="X3731" s="9">
        <v>65.399646652844908</v>
      </c>
      <c r="Y3731" s="9">
        <v>65.399646652844908</v>
      </c>
      <c r="Z3731" s="9">
        <v>74.862823794027804</v>
      </c>
      <c r="AA3731" s="9">
        <v>74.862823794027804</v>
      </c>
      <c r="AB3731" s="9">
        <v>84.552915727397561</v>
      </c>
      <c r="AC3731" s="9">
        <v>84.552915727397561</v>
      </c>
      <c r="AD3731" s="9">
        <v>94.492613932172858</v>
      </c>
      <c r="AE3731" s="9">
        <v>104.70687903549428</v>
      </c>
      <c r="AF3731" s="9">
        <v>115.51364337537625</v>
      </c>
      <c r="AG3731" s="9">
        <v>115.51364337537625</v>
      </c>
      <c r="AH3731" s="9">
        <v>127.68776106627702</v>
      </c>
      <c r="AI3731" s="9">
        <v>140.22732729914276</v>
      </c>
      <c r="AJ3731" s="9">
        <v>3.0428788910505911</v>
      </c>
    </row>
    <row r="3732" spans="1:36" x14ac:dyDescent="0.25">
      <c r="A3732" t="s">
        <v>5411</v>
      </c>
      <c r="B3732" t="s">
        <v>16</v>
      </c>
      <c r="C3732" t="s">
        <v>17</v>
      </c>
      <c r="D3732">
        <v>65885000</v>
      </c>
      <c r="E3732">
        <v>65887999</v>
      </c>
      <c r="F3732" t="s">
        <v>3384</v>
      </c>
      <c r="G3732" t="str">
        <f t="shared" si="116"/>
        <v>MAR</v>
      </c>
      <c r="H3732" t="s">
        <v>3213</v>
      </c>
      <c r="I3732" t="s">
        <v>20</v>
      </c>
      <c r="J3732" t="s">
        <v>77</v>
      </c>
      <c r="K3732" s="6">
        <v>0.03</v>
      </c>
      <c r="L3732" s="7">
        <f t="shared" si="117"/>
        <v>2E-3</v>
      </c>
      <c r="M3732" s="7">
        <v>3.0000000000000001E-3</v>
      </c>
      <c r="N3732">
        <v>17</v>
      </c>
      <c r="O3732" s="8">
        <v>32.902778340866817</v>
      </c>
      <c r="P3732" s="9">
        <v>32.902778340866817</v>
      </c>
      <c r="Q3732" s="9">
        <v>32.902778340866817</v>
      </c>
      <c r="R3732" s="9">
        <v>36.980915483174826</v>
      </c>
      <c r="S3732" s="9">
        <v>41.041764553716455</v>
      </c>
      <c r="T3732" s="9">
        <v>44.512516286159922</v>
      </c>
      <c r="U3732" s="9">
        <v>52.176281946965503</v>
      </c>
      <c r="V3732" s="9">
        <v>52.176281946965503</v>
      </c>
      <c r="W3732" s="9">
        <v>52.176281946965503</v>
      </c>
      <c r="X3732" s="9">
        <v>65.399646652844908</v>
      </c>
      <c r="Y3732" s="9">
        <v>65.399646652844908</v>
      </c>
      <c r="Z3732" s="9">
        <v>74.862823794027804</v>
      </c>
      <c r="AA3732" s="9">
        <v>74.862823794027804</v>
      </c>
      <c r="AB3732" s="9">
        <v>84.552915727397561</v>
      </c>
      <c r="AC3732" s="9">
        <v>84.552915727397561</v>
      </c>
      <c r="AD3732" s="9">
        <v>94.492613932172858</v>
      </c>
      <c r="AE3732" s="9">
        <v>104.70687903549428</v>
      </c>
      <c r="AF3732" s="9">
        <v>115.51364337537625</v>
      </c>
      <c r="AG3732" s="9">
        <v>115.51364337537625</v>
      </c>
      <c r="AH3732" s="9">
        <v>127.68776106627702</v>
      </c>
      <c r="AI3732" s="9">
        <v>140.22732729914276</v>
      </c>
      <c r="AJ3732" s="9">
        <v>3.0428788910505911</v>
      </c>
    </row>
    <row r="3733" spans="1:36" x14ac:dyDescent="0.25">
      <c r="A3733" t="s">
        <v>5411</v>
      </c>
      <c r="B3733" t="s">
        <v>16</v>
      </c>
      <c r="C3733" t="s">
        <v>17</v>
      </c>
      <c r="D3733">
        <v>65888000</v>
      </c>
      <c r="E3733">
        <v>65889999</v>
      </c>
      <c r="F3733" t="s">
        <v>3385</v>
      </c>
      <c r="G3733" t="str">
        <f t="shared" si="116"/>
        <v>MAR</v>
      </c>
      <c r="H3733" t="s">
        <v>3213</v>
      </c>
      <c r="I3733" t="s">
        <v>20</v>
      </c>
      <c r="J3733" t="s">
        <v>77</v>
      </c>
      <c r="K3733" s="6">
        <v>0.03</v>
      </c>
      <c r="L3733" s="7">
        <f t="shared" si="117"/>
        <v>2E-3</v>
      </c>
      <c r="M3733" s="7">
        <v>3.0000000000000001E-3</v>
      </c>
      <c r="N3733">
        <v>17</v>
      </c>
      <c r="O3733" s="8">
        <v>32.902778340866817</v>
      </c>
      <c r="P3733" s="9">
        <v>32.902778340866817</v>
      </c>
      <c r="Q3733" s="9">
        <v>32.902778340866817</v>
      </c>
      <c r="R3733" s="9">
        <v>36.980915483174826</v>
      </c>
      <c r="S3733" s="9">
        <v>41.041764553716455</v>
      </c>
      <c r="T3733" s="9">
        <v>44.512516286159922</v>
      </c>
      <c r="U3733" s="9">
        <v>52.176281946965503</v>
      </c>
      <c r="V3733" s="9">
        <v>52.176281946965503</v>
      </c>
      <c r="W3733" s="9">
        <v>52.176281946965503</v>
      </c>
      <c r="X3733" s="9">
        <v>65.399646652844908</v>
      </c>
      <c r="Y3733" s="9">
        <v>65.399646652844908</v>
      </c>
      <c r="Z3733" s="9">
        <v>74.862823794027804</v>
      </c>
      <c r="AA3733" s="9">
        <v>74.862823794027804</v>
      </c>
      <c r="AB3733" s="9">
        <v>84.552915727397561</v>
      </c>
      <c r="AC3733" s="9">
        <v>84.552915727397561</v>
      </c>
      <c r="AD3733" s="9">
        <v>94.492613932172858</v>
      </c>
      <c r="AE3733" s="9">
        <v>104.70687903549428</v>
      </c>
      <c r="AF3733" s="9">
        <v>115.51364337537625</v>
      </c>
      <c r="AG3733" s="9">
        <v>115.51364337537625</v>
      </c>
      <c r="AH3733" s="9">
        <v>127.68776106627702</v>
      </c>
      <c r="AI3733" s="9">
        <v>140.22732729914276</v>
      </c>
      <c r="AJ3733" s="9">
        <v>3.0428788910505911</v>
      </c>
    </row>
    <row r="3734" spans="1:36" x14ac:dyDescent="0.25">
      <c r="A3734" t="s">
        <v>5411</v>
      </c>
      <c r="B3734" t="s">
        <v>16</v>
      </c>
      <c r="C3734" t="s">
        <v>17</v>
      </c>
      <c r="D3734">
        <v>65890000</v>
      </c>
      <c r="E3734">
        <v>65894999</v>
      </c>
      <c r="F3734" t="s">
        <v>3386</v>
      </c>
      <c r="G3734" t="str">
        <f t="shared" si="116"/>
        <v>MAR</v>
      </c>
      <c r="H3734" t="s">
        <v>3213</v>
      </c>
      <c r="I3734" t="s">
        <v>20</v>
      </c>
      <c r="J3734" t="s">
        <v>77</v>
      </c>
      <c r="K3734" s="6">
        <v>0.03</v>
      </c>
      <c r="L3734" s="7">
        <f t="shared" si="117"/>
        <v>2E-3</v>
      </c>
      <c r="M3734" s="7">
        <v>3.0000000000000001E-3</v>
      </c>
      <c r="N3734">
        <v>17</v>
      </c>
      <c r="O3734" s="8">
        <v>32.902778340866817</v>
      </c>
      <c r="P3734" s="9">
        <v>32.902778340866817</v>
      </c>
      <c r="Q3734" s="9">
        <v>32.902778340866817</v>
      </c>
      <c r="R3734" s="9">
        <v>36.980915483174826</v>
      </c>
      <c r="S3734" s="9">
        <v>41.041764553716455</v>
      </c>
      <c r="T3734" s="9">
        <v>44.512516286159922</v>
      </c>
      <c r="U3734" s="9">
        <v>52.176281946965503</v>
      </c>
      <c r="V3734" s="9">
        <v>52.176281946965503</v>
      </c>
      <c r="W3734" s="9">
        <v>52.176281946965503</v>
      </c>
      <c r="X3734" s="9">
        <v>65.399646652844908</v>
      </c>
      <c r="Y3734" s="9">
        <v>65.399646652844908</v>
      </c>
      <c r="Z3734" s="9">
        <v>74.862823794027804</v>
      </c>
      <c r="AA3734" s="9">
        <v>74.862823794027804</v>
      </c>
      <c r="AB3734" s="9">
        <v>84.552915727397561</v>
      </c>
      <c r="AC3734" s="9">
        <v>84.552915727397561</v>
      </c>
      <c r="AD3734" s="9">
        <v>94.492613932172858</v>
      </c>
      <c r="AE3734" s="9">
        <v>104.70687903549428</v>
      </c>
      <c r="AF3734" s="9">
        <v>115.51364337537625</v>
      </c>
      <c r="AG3734" s="9">
        <v>115.51364337537625</v>
      </c>
      <c r="AH3734" s="9">
        <v>127.68776106627702</v>
      </c>
      <c r="AI3734" s="9">
        <v>140.22732729914276</v>
      </c>
      <c r="AJ3734" s="9">
        <v>3.0428788910505911</v>
      </c>
    </row>
    <row r="3735" spans="1:36" x14ac:dyDescent="0.25">
      <c r="A3735" t="s">
        <v>5411</v>
      </c>
      <c r="B3735" t="s">
        <v>16</v>
      </c>
      <c r="C3735" t="s">
        <v>17</v>
      </c>
      <c r="D3735">
        <v>65895000</v>
      </c>
      <c r="E3735">
        <v>65899999</v>
      </c>
      <c r="F3735" t="s">
        <v>3387</v>
      </c>
      <c r="G3735" t="str">
        <f t="shared" si="116"/>
        <v>MAR</v>
      </c>
      <c r="H3735" t="s">
        <v>3213</v>
      </c>
      <c r="I3735" t="s">
        <v>20</v>
      </c>
      <c r="J3735" t="s">
        <v>77</v>
      </c>
      <c r="K3735" s="6">
        <v>0.03</v>
      </c>
      <c r="L3735" s="7">
        <f t="shared" si="117"/>
        <v>2E-3</v>
      </c>
      <c r="M3735" s="7">
        <v>3.0000000000000001E-3</v>
      </c>
      <c r="N3735">
        <v>17</v>
      </c>
      <c r="O3735" s="8">
        <v>32.902778340866817</v>
      </c>
      <c r="P3735" s="9">
        <v>32.902778340866817</v>
      </c>
      <c r="Q3735" s="9">
        <v>32.902778340866817</v>
      </c>
      <c r="R3735" s="9">
        <v>36.980915483174826</v>
      </c>
      <c r="S3735" s="9">
        <v>41.041764553716455</v>
      </c>
      <c r="T3735" s="9">
        <v>44.512516286159922</v>
      </c>
      <c r="U3735" s="9">
        <v>52.176281946965503</v>
      </c>
      <c r="V3735" s="9">
        <v>52.176281946965503</v>
      </c>
      <c r="W3735" s="9">
        <v>52.176281946965503</v>
      </c>
      <c r="X3735" s="9">
        <v>65.399646652844908</v>
      </c>
      <c r="Y3735" s="9">
        <v>65.399646652844908</v>
      </c>
      <c r="Z3735" s="9">
        <v>74.862823794027804</v>
      </c>
      <c r="AA3735" s="9">
        <v>74.862823794027804</v>
      </c>
      <c r="AB3735" s="9">
        <v>84.552915727397561</v>
      </c>
      <c r="AC3735" s="9">
        <v>84.552915727397561</v>
      </c>
      <c r="AD3735" s="9">
        <v>94.492613932172858</v>
      </c>
      <c r="AE3735" s="9">
        <v>104.70687903549428</v>
      </c>
      <c r="AF3735" s="9">
        <v>115.51364337537625</v>
      </c>
      <c r="AG3735" s="9">
        <v>115.51364337537625</v>
      </c>
      <c r="AH3735" s="9">
        <v>127.68776106627702</v>
      </c>
      <c r="AI3735" s="9">
        <v>140.22732729914276</v>
      </c>
      <c r="AJ3735" s="9">
        <v>3.0428788910505911</v>
      </c>
    </row>
    <row r="3736" spans="1:36" x14ac:dyDescent="0.25">
      <c r="A3736" t="s">
        <v>5411</v>
      </c>
      <c r="B3736" t="s">
        <v>16</v>
      </c>
      <c r="C3736" t="s">
        <v>17</v>
      </c>
      <c r="D3736">
        <v>65900000</v>
      </c>
      <c r="E3736">
        <v>65919999</v>
      </c>
      <c r="F3736" t="s">
        <v>3388</v>
      </c>
      <c r="G3736" t="str">
        <f t="shared" si="116"/>
        <v>MAI</v>
      </c>
      <c r="H3736" t="s">
        <v>3213</v>
      </c>
      <c r="I3736" t="s">
        <v>20</v>
      </c>
      <c r="J3736" t="s">
        <v>62</v>
      </c>
      <c r="K3736" s="6">
        <v>0.03</v>
      </c>
      <c r="L3736" s="7">
        <f t="shared" si="117"/>
        <v>2E-3</v>
      </c>
      <c r="M3736" s="7">
        <v>3.0000000000000001E-3</v>
      </c>
      <c r="N3736">
        <v>12</v>
      </c>
      <c r="O3736" s="8">
        <v>19.350325219569864</v>
      </c>
      <c r="P3736" s="9">
        <v>19.350325219569864</v>
      </c>
      <c r="Q3736" s="9">
        <v>19.350325219569864</v>
      </c>
      <c r="R3736" s="9">
        <v>21.236423757715794</v>
      </c>
      <c r="S3736" s="9">
        <v>23.412011215821156</v>
      </c>
      <c r="T3736" s="9">
        <v>26.602346057727168</v>
      </c>
      <c r="U3736" s="9">
        <v>32.175039039197578</v>
      </c>
      <c r="V3736" s="9">
        <v>32.175039039197578</v>
      </c>
      <c r="W3736" s="9">
        <v>32.175039039197578</v>
      </c>
      <c r="X3736" s="9">
        <v>38.477190222688968</v>
      </c>
      <c r="Y3736" s="9">
        <v>38.477190222688968</v>
      </c>
      <c r="Z3736" s="9">
        <v>46.072905764910679</v>
      </c>
      <c r="AA3736" s="9">
        <v>46.072905764910679</v>
      </c>
      <c r="AB3736" s="9">
        <v>52.857194265747438</v>
      </c>
      <c r="AC3736" s="9">
        <v>52.857194265747438</v>
      </c>
      <c r="AD3736" s="9">
        <v>60.075973585900336</v>
      </c>
      <c r="AE3736" s="9">
        <v>67.207660715359779</v>
      </c>
      <c r="AF3736" s="9">
        <v>74.765164496289444</v>
      </c>
      <c r="AG3736" s="9">
        <v>74.765164496289444</v>
      </c>
      <c r="AH3736" s="9">
        <v>82.787429668365718</v>
      </c>
      <c r="AI3736" s="9">
        <v>90.699158794373588</v>
      </c>
      <c r="AJ3736" s="9">
        <v>3.0428788910505911</v>
      </c>
    </row>
    <row r="3737" spans="1:36" x14ac:dyDescent="0.25">
      <c r="A3737" t="s">
        <v>5411</v>
      </c>
      <c r="B3737" t="s">
        <v>16</v>
      </c>
      <c r="C3737" t="s">
        <v>17</v>
      </c>
      <c r="D3737">
        <v>65920000</v>
      </c>
      <c r="E3737">
        <v>65920999</v>
      </c>
      <c r="F3737" t="s">
        <v>3389</v>
      </c>
      <c r="G3737" t="str">
        <f t="shared" si="116"/>
        <v>MAR</v>
      </c>
      <c r="H3737" t="s">
        <v>3213</v>
      </c>
      <c r="I3737" t="s">
        <v>20</v>
      </c>
      <c r="J3737" t="s">
        <v>77</v>
      </c>
      <c r="K3737" s="6">
        <v>0.03</v>
      </c>
      <c r="L3737" s="7">
        <f t="shared" si="117"/>
        <v>2E-3</v>
      </c>
      <c r="M3737" s="7">
        <v>3.0000000000000001E-3</v>
      </c>
      <c r="N3737">
        <v>17</v>
      </c>
      <c r="O3737" s="8">
        <v>32.902778340866817</v>
      </c>
      <c r="P3737" s="9">
        <v>32.902778340866817</v>
      </c>
      <c r="Q3737" s="9">
        <v>32.902778340866817</v>
      </c>
      <c r="R3737" s="9">
        <v>36.980915483174826</v>
      </c>
      <c r="S3737" s="9">
        <v>41.041764553716455</v>
      </c>
      <c r="T3737" s="9">
        <v>44.512516286159922</v>
      </c>
      <c r="U3737" s="9">
        <v>52.176281946965503</v>
      </c>
      <c r="V3737" s="9">
        <v>52.176281946965503</v>
      </c>
      <c r="W3737" s="9">
        <v>52.176281946965503</v>
      </c>
      <c r="X3737" s="9">
        <v>65.399646652844908</v>
      </c>
      <c r="Y3737" s="9">
        <v>65.399646652844908</v>
      </c>
      <c r="Z3737" s="9">
        <v>74.862823794027804</v>
      </c>
      <c r="AA3737" s="9">
        <v>74.862823794027804</v>
      </c>
      <c r="AB3737" s="9">
        <v>84.552915727397561</v>
      </c>
      <c r="AC3737" s="9">
        <v>84.552915727397561</v>
      </c>
      <c r="AD3737" s="9">
        <v>94.492613932172858</v>
      </c>
      <c r="AE3737" s="9">
        <v>104.70687903549428</v>
      </c>
      <c r="AF3737" s="9">
        <v>115.51364337537625</v>
      </c>
      <c r="AG3737" s="9">
        <v>115.51364337537625</v>
      </c>
      <c r="AH3737" s="9">
        <v>127.68776106627702</v>
      </c>
      <c r="AI3737" s="9">
        <v>140.22732729914276</v>
      </c>
      <c r="AJ3737" s="9">
        <v>3.0428788910505911</v>
      </c>
    </row>
    <row r="3738" spans="1:36" x14ac:dyDescent="0.25">
      <c r="A3738" t="s">
        <v>5411</v>
      </c>
      <c r="B3738" t="s">
        <v>16</v>
      </c>
      <c r="C3738" t="s">
        <v>17</v>
      </c>
      <c r="D3738">
        <v>65921000</v>
      </c>
      <c r="E3738">
        <v>65921999</v>
      </c>
      <c r="F3738" t="s">
        <v>3390</v>
      </c>
      <c r="G3738" t="str">
        <f t="shared" si="116"/>
        <v>MAR</v>
      </c>
      <c r="H3738" t="s">
        <v>3213</v>
      </c>
      <c r="I3738" t="s">
        <v>20</v>
      </c>
      <c r="J3738" t="s">
        <v>77</v>
      </c>
      <c r="K3738" s="6">
        <v>0.03</v>
      </c>
      <c r="L3738" s="7">
        <f t="shared" si="117"/>
        <v>2E-3</v>
      </c>
      <c r="M3738" s="7">
        <v>3.0000000000000001E-3</v>
      </c>
      <c r="N3738">
        <v>17</v>
      </c>
      <c r="O3738" s="8">
        <v>32.902778340866817</v>
      </c>
      <c r="P3738" s="9">
        <v>32.902778340866817</v>
      </c>
      <c r="Q3738" s="9">
        <v>32.902778340866817</v>
      </c>
      <c r="R3738" s="9">
        <v>36.980915483174826</v>
      </c>
      <c r="S3738" s="9">
        <v>41.041764553716455</v>
      </c>
      <c r="T3738" s="9">
        <v>44.512516286159922</v>
      </c>
      <c r="U3738" s="9">
        <v>52.176281946965503</v>
      </c>
      <c r="V3738" s="9">
        <v>52.176281946965503</v>
      </c>
      <c r="W3738" s="9">
        <v>52.176281946965503</v>
      </c>
      <c r="X3738" s="9">
        <v>65.399646652844908</v>
      </c>
      <c r="Y3738" s="9">
        <v>65.399646652844908</v>
      </c>
      <c r="Z3738" s="9">
        <v>74.862823794027804</v>
      </c>
      <c r="AA3738" s="9">
        <v>74.862823794027804</v>
      </c>
      <c r="AB3738" s="9">
        <v>84.552915727397561</v>
      </c>
      <c r="AC3738" s="9">
        <v>84.552915727397561</v>
      </c>
      <c r="AD3738" s="9">
        <v>94.492613932172858</v>
      </c>
      <c r="AE3738" s="9">
        <v>104.70687903549428</v>
      </c>
      <c r="AF3738" s="9">
        <v>115.51364337537625</v>
      </c>
      <c r="AG3738" s="9">
        <v>115.51364337537625</v>
      </c>
      <c r="AH3738" s="9">
        <v>127.68776106627702</v>
      </c>
      <c r="AI3738" s="9">
        <v>140.22732729914276</v>
      </c>
      <c r="AJ3738" s="9">
        <v>3.0428788910505911</v>
      </c>
    </row>
    <row r="3739" spans="1:36" x14ac:dyDescent="0.25">
      <c r="A3739" t="s">
        <v>5411</v>
      </c>
      <c r="B3739" t="s">
        <v>16</v>
      </c>
      <c r="C3739" t="s">
        <v>17</v>
      </c>
      <c r="D3739">
        <v>65922000</v>
      </c>
      <c r="E3739">
        <v>65922999</v>
      </c>
      <c r="F3739" t="s">
        <v>3391</v>
      </c>
      <c r="G3739" t="str">
        <f t="shared" si="116"/>
        <v>MAI</v>
      </c>
      <c r="H3739" t="s">
        <v>3213</v>
      </c>
      <c r="I3739" t="s">
        <v>20</v>
      </c>
      <c r="J3739" t="s">
        <v>62</v>
      </c>
      <c r="K3739" s="6">
        <v>0.03</v>
      </c>
      <c r="L3739" s="7">
        <f t="shared" si="117"/>
        <v>2E-3</v>
      </c>
      <c r="M3739" s="7">
        <v>3.0000000000000001E-3</v>
      </c>
      <c r="N3739">
        <v>12</v>
      </c>
      <c r="O3739" s="8">
        <v>19.350325219569864</v>
      </c>
      <c r="P3739" s="9">
        <v>19.350325219569864</v>
      </c>
      <c r="Q3739" s="9">
        <v>19.350325219569864</v>
      </c>
      <c r="R3739" s="9">
        <v>21.236423757715794</v>
      </c>
      <c r="S3739" s="9">
        <v>23.412011215821156</v>
      </c>
      <c r="T3739" s="9">
        <v>26.602346057727168</v>
      </c>
      <c r="U3739" s="9">
        <v>32.175039039197578</v>
      </c>
      <c r="V3739" s="9">
        <v>32.175039039197578</v>
      </c>
      <c r="W3739" s="9">
        <v>32.175039039197578</v>
      </c>
      <c r="X3739" s="9">
        <v>38.477190222688968</v>
      </c>
      <c r="Y3739" s="9">
        <v>38.477190222688968</v>
      </c>
      <c r="Z3739" s="9">
        <v>46.072905764910679</v>
      </c>
      <c r="AA3739" s="9">
        <v>46.072905764910679</v>
      </c>
      <c r="AB3739" s="9">
        <v>52.857194265747438</v>
      </c>
      <c r="AC3739" s="9">
        <v>52.857194265747438</v>
      </c>
      <c r="AD3739" s="9">
        <v>60.075973585900336</v>
      </c>
      <c r="AE3739" s="9">
        <v>67.207660715359779</v>
      </c>
      <c r="AF3739" s="9">
        <v>74.765164496289444</v>
      </c>
      <c r="AG3739" s="9">
        <v>74.765164496289444</v>
      </c>
      <c r="AH3739" s="9">
        <v>82.787429668365718</v>
      </c>
      <c r="AI3739" s="9">
        <v>90.699158794373588</v>
      </c>
      <c r="AJ3739" s="9">
        <v>3.0428788910505911</v>
      </c>
    </row>
    <row r="3740" spans="1:36" x14ac:dyDescent="0.25">
      <c r="A3740" t="s">
        <v>5411</v>
      </c>
      <c r="B3740" t="s">
        <v>16</v>
      </c>
      <c r="C3740" t="s">
        <v>17</v>
      </c>
      <c r="D3740">
        <v>65923000</v>
      </c>
      <c r="E3740">
        <v>65923999</v>
      </c>
      <c r="F3740" t="s">
        <v>3392</v>
      </c>
      <c r="G3740" t="str">
        <f t="shared" si="116"/>
        <v>MAR</v>
      </c>
      <c r="H3740" t="s">
        <v>3213</v>
      </c>
      <c r="I3740" t="s">
        <v>20</v>
      </c>
      <c r="J3740" t="s">
        <v>77</v>
      </c>
      <c r="K3740" s="6">
        <v>0.03</v>
      </c>
      <c r="L3740" s="7">
        <f t="shared" si="117"/>
        <v>2E-3</v>
      </c>
      <c r="M3740" s="7">
        <v>3.0000000000000001E-3</v>
      </c>
      <c r="N3740">
        <v>17</v>
      </c>
      <c r="O3740" s="8">
        <v>32.902778340866817</v>
      </c>
      <c r="P3740" s="9">
        <v>32.902778340866817</v>
      </c>
      <c r="Q3740" s="9">
        <v>32.902778340866817</v>
      </c>
      <c r="R3740" s="9">
        <v>36.980915483174826</v>
      </c>
      <c r="S3740" s="9">
        <v>41.041764553716455</v>
      </c>
      <c r="T3740" s="9">
        <v>44.512516286159922</v>
      </c>
      <c r="U3740" s="9">
        <v>52.176281946965503</v>
      </c>
      <c r="V3740" s="9">
        <v>52.176281946965503</v>
      </c>
      <c r="W3740" s="9">
        <v>52.176281946965503</v>
      </c>
      <c r="X3740" s="9">
        <v>65.399646652844908</v>
      </c>
      <c r="Y3740" s="9">
        <v>65.399646652844908</v>
      </c>
      <c r="Z3740" s="9">
        <v>74.862823794027804</v>
      </c>
      <c r="AA3740" s="9">
        <v>74.862823794027804</v>
      </c>
      <c r="AB3740" s="9">
        <v>84.552915727397561</v>
      </c>
      <c r="AC3740" s="9">
        <v>84.552915727397561</v>
      </c>
      <c r="AD3740" s="9">
        <v>94.492613932172858</v>
      </c>
      <c r="AE3740" s="9">
        <v>104.70687903549428</v>
      </c>
      <c r="AF3740" s="9">
        <v>115.51364337537625</v>
      </c>
      <c r="AG3740" s="9">
        <v>115.51364337537625</v>
      </c>
      <c r="AH3740" s="9">
        <v>127.68776106627702</v>
      </c>
      <c r="AI3740" s="9">
        <v>140.22732729914276</v>
      </c>
      <c r="AJ3740" s="9">
        <v>3.0428788910505911</v>
      </c>
    </row>
    <row r="3741" spans="1:36" x14ac:dyDescent="0.25">
      <c r="A3741" t="s">
        <v>5411</v>
      </c>
      <c r="B3741" t="s">
        <v>16</v>
      </c>
      <c r="C3741" t="s">
        <v>17</v>
      </c>
      <c r="D3741">
        <v>65924000</v>
      </c>
      <c r="E3741">
        <v>65924999</v>
      </c>
      <c r="F3741" t="s">
        <v>3393</v>
      </c>
      <c r="G3741" t="str">
        <f t="shared" si="116"/>
        <v>MAR</v>
      </c>
      <c r="H3741" t="s">
        <v>3213</v>
      </c>
      <c r="I3741" t="s">
        <v>20</v>
      </c>
      <c r="J3741" t="s">
        <v>77</v>
      </c>
      <c r="K3741" s="6">
        <v>0.03</v>
      </c>
      <c r="L3741" s="7">
        <f t="shared" si="117"/>
        <v>2E-3</v>
      </c>
      <c r="M3741" s="7">
        <v>3.0000000000000001E-3</v>
      </c>
      <c r="N3741">
        <v>17</v>
      </c>
      <c r="O3741" s="8">
        <v>32.902778340866817</v>
      </c>
      <c r="P3741" s="9">
        <v>32.902778340866817</v>
      </c>
      <c r="Q3741" s="9">
        <v>32.902778340866817</v>
      </c>
      <c r="R3741" s="9">
        <v>36.980915483174826</v>
      </c>
      <c r="S3741" s="9">
        <v>41.041764553716455</v>
      </c>
      <c r="T3741" s="9">
        <v>44.512516286159922</v>
      </c>
      <c r="U3741" s="9">
        <v>52.176281946965503</v>
      </c>
      <c r="V3741" s="9">
        <v>52.176281946965503</v>
      </c>
      <c r="W3741" s="9">
        <v>52.176281946965503</v>
      </c>
      <c r="X3741" s="9">
        <v>65.399646652844908</v>
      </c>
      <c r="Y3741" s="9">
        <v>65.399646652844908</v>
      </c>
      <c r="Z3741" s="9">
        <v>74.862823794027804</v>
      </c>
      <c r="AA3741" s="9">
        <v>74.862823794027804</v>
      </c>
      <c r="AB3741" s="9">
        <v>84.552915727397561</v>
      </c>
      <c r="AC3741" s="9">
        <v>84.552915727397561</v>
      </c>
      <c r="AD3741" s="9">
        <v>94.492613932172858</v>
      </c>
      <c r="AE3741" s="9">
        <v>104.70687903549428</v>
      </c>
      <c r="AF3741" s="9">
        <v>115.51364337537625</v>
      </c>
      <c r="AG3741" s="9">
        <v>115.51364337537625</v>
      </c>
      <c r="AH3741" s="9">
        <v>127.68776106627702</v>
      </c>
      <c r="AI3741" s="9">
        <v>140.22732729914276</v>
      </c>
      <c r="AJ3741" s="9">
        <v>3.0428788910505911</v>
      </c>
    </row>
    <row r="3742" spans="1:36" x14ac:dyDescent="0.25">
      <c r="A3742" t="s">
        <v>5411</v>
      </c>
      <c r="B3742" t="s">
        <v>16</v>
      </c>
      <c r="C3742" t="s">
        <v>17</v>
      </c>
      <c r="D3742">
        <v>65925000</v>
      </c>
      <c r="E3742">
        <v>65926999</v>
      </c>
      <c r="F3742" t="s">
        <v>2727</v>
      </c>
      <c r="G3742" t="str">
        <f t="shared" si="116"/>
        <v>MAR</v>
      </c>
      <c r="H3742" t="s">
        <v>3213</v>
      </c>
      <c r="I3742" t="s">
        <v>20</v>
      </c>
      <c r="J3742" t="s">
        <v>77</v>
      </c>
      <c r="K3742" s="6">
        <v>0.03</v>
      </c>
      <c r="L3742" s="7">
        <f t="shared" si="117"/>
        <v>2E-3</v>
      </c>
      <c r="M3742" s="7">
        <v>3.0000000000000001E-3</v>
      </c>
      <c r="N3742">
        <v>17</v>
      </c>
      <c r="O3742" s="8">
        <v>32.902778340866817</v>
      </c>
      <c r="P3742" s="9">
        <v>32.902778340866817</v>
      </c>
      <c r="Q3742" s="9">
        <v>32.902778340866817</v>
      </c>
      <c r="R3742" s="9">
        <v>36.980915483174826</v>
      </c>
      <c r="S3742" s="9">
        <v>41.041764553716455</v>
      </c>
      <c r="T3742" s="9">
        <v>44.512516286159922</v>
      </c>
      <c r="U3742" s="9">
        <v>52.176281946965503</v>
      </c>
      <c r="V3742" s="9">
        <v>52.176281946965503</v>
      </c>
      <c r="W3742" s="9">
        <v>52.176281946965503</v>
      </c>
      <c r="X3742" s="9">
        <v>65.399646652844908</v>
      </c>
      <c r="Y3742" s="9">
        <v>65.399646652844908</v>
      </c>
      <c r="Z3742" s="9">
        <v>74.862823794027804</v>
      </c>
      <c r="AA3742" s="9">
        <v>74.862823794027804</v>
      </c>
      <c r="AB3742" s="9">
        <v>84.552915727397561</v>
      </c>
      <c r="AC3742" s="9">
        <v>84.552915727397561</v>
      </c>
      <c r="AD3742" s="9">
        <v>94.492613932172858</v>
      </c>
      <c r="AE3742" s="9">
        <v>104.70687903549428</v>
      </c>
      <c r="AF3742" s="9">
        <v>115.51364337537625</v>
      </c>
      <c r="AG3742" s="9">
        <v>115.51364337537625</v>
      </c>
      <c r="AH3742" s="9">
        <v>127.68776106627702</v>
      </c>
      <c r="AI3742" s="9">
        <v>140.22732729914276</v>
      </c>
      <c r="AJ3742" s="9">
        <v>3.0428788910505911</v>
      </c>
    </row>
    <row r="3743" spans="1:36" x14ac:dyDescent="0.25">
      <c r="A3743" t="s">
        <v>5411</v>
      </c>
      <c r="B3743" t="s">
        <v>16</v>
      </c>
      <c r="C3743" t="s">
        <v>17</v>
      </c>
      <c r="D3743">
        <v>65927000</v>
      </c>
      <c r="E3743">
        <v>65927999</v>
      </c>
      <c r="F3743" t="s">
        <v>3394</v>
      </c>
      <c r="G3743" t="str">
        <f t="shared" si="116"/>
        <v>MAI</v>
      </c>
      <c r="H3743" t="s">
        <v>3213</v>
      </c>
      <c r="I3743" t="s">
        <v>20</v>
      </c>
      <c r="J3743" t="s">
        <v>62</v>
      </c>
      <c r="K3743" s="6">
        <v>0.03</v>
      </c>
      <c r="L3743" s="7">
        <f t="shared" si="117"/>
        <v>2E-3</v>
      </c>
      <c r="M3743" s="7">
        <v>3.0000000000000001E-3</v>
      </c>
      <c r="N3743">
        <v>12</v>
      </c>
      <c r="O3743" s="8">
        <v>19.350325219569864</v>
      </c>
      <c r="P3743" s="9">
        <v>19.350325219569864</v>
      </c>
      <c r="Q3743" s="9">
        <v>19.350325219569864</v>
      </c>
      <c r="R3743" s="9">
        <v>21.236423757715794</v>
      </c>
      <c r="S3743" s="9">
        <v>23.412011215821156</v>
      </c>
      <c r="T3743" s="9">
        <v>26.602346057727168</v>
      </c>
      <c r="U3743" s="9">
        <v>32.175039039197578</v>
      </c>
      <c r="V3743" s="9">
        <v>32.175039039197578</v>
      </c>
      <c r="W3743" s="9">
        <v>32.175039039197578</v>
      </c>
      <c r="X3743" s="9">
        <v>38.477190222688968</v>
      </c>
      <c r="Y3743" s="9">
        <v>38.477190222688968</v>
      </c>
      <c r="Z3743" s="9">
        <v>46.072905764910679</v>
      </c>
      <c r="AA3743" s="9">
        <v>46.072905764910679</v>
      </c>
      <c r="AB3743" s="9">
        <v>52.857194265747438</v>
      </c>
      <c r="AC3743" s="9">
        <v>52.857194265747438</v>
      </c>
      <c r="AD3743" s="9">
        <v>60.075973585900336</v>
      </c>
      <c r="AE3743" s="9">
        <v>67.207660715359779</v>
      </c>
      <c r="AF3743" s="9">
        <v>74.765164496289444</v>
      </c>
      <c r="AG3743" s="9">
        <v>74.765164496289444</v>
      </c>
      <c r="AH3743" s="9">
        <v>82.787429668365718</v>
      </c>
      <c r="AI3743" s="9">
        <v>90.699158794373588</v>
      </c>
      <c r="AJ3743" s="9">
        <v>3.0428788910505911</v>
      </c>
    </row>
    <row r="3744" spans="1:36" x14ac:dyDescent="0.25">
      <c r="A3744" t="s">
        <v>5411</v>
      </c>
      <c r="B3744" t="s">
        <v>16</v>
      </c>
      <c r="C3744" t="s">
        <v>17</v>
      </c>
      <c r="D3744">
        <v>65928000</v>
      </c>
      <c r="E3744">
        <v>65928999</v>
      </c>
      <c r="F3744" t="s">
        <v>3395</v>
      </c>
      <c r="G3744" t="str">
        <f t="shared" si="116"/>
        <v>MAR</v>
      </c>
      <c r="H3744" t="s">
        <v>3213</v>
      </c>
      <c r="I3744" t="s">
        <v>20</v>
      </c>
      <c r="J3744" t="s">
        <v>77</v>
      </c>
      <c r="K3744" s="6">
        <v>0.03</v>
      </c>
      <c r="L3744" s="7">
        <f t="shared" si="117"/>
        <v>2E-3</v>
      </c>
      <c r="M3744" s="7">
        <v>3.0000000000000001E-3</v>
      </c>
      <c r="N3744">
        <v>17</v>
      </c>
      <c r="O3744" s="8">
        <v>32.902778340866817</v>
      </c>
      <c r="P3744" s="9">
        <v>32.902778340866817</v>
      </c>
      <c r="Q3744" s="9">
        <v>32.902778340866817</v>
      </c>
      <c r="R3744" s="9">
        <v>36.980915483174826</v>
      </c>
      <c r="S3744" s="9">
        <v>41.041764553716455</v>
      </c>
      <c r="T3744" s="9">
        <v>44.512516286159922</v>
      </c>
      <c r="U3744" s="9">
        <v>52.176281946965503</v>
      </c>
      <c r="V3744" s="9">
        <v>52.176281946965503</v>
      </c>
      <c r="W3744" s="9">
        <v>52.176281946965503</v>
      </c>
      <c r="X3744" s="9">
        <v>65.399646652844908</v>
      </c>
      <c r="Y3744" s="9">
        <v>65.399646652844908</v>
      </c>
      <c r="Z3744" s="9">
        <v>74.862823794027804</v>
      </c>
      <c r="AA3744" s="9">
        <v>74.862823794027804</v>
      </c>
      <c r="AB3744" s="9">
        <v>84.552915727397561</v>
      </c>
      <c r="AC3744" s="9">
        <v>84.552915727397561</v>
      </c>
      <c r="AD3744" s="9">
        <v>94.492613932172858</v>
      </c>
      <c r="AE3744" s="9">
        <v>104.70687903549428</v>
      </c>
      <c r="AF3744" s="9">
        <v>115.51364337537625</v>
      </c>
      <c r="AG3744" s="9">
        <v>115.51364337537625</v>
      </c>
      <c r="AH3744" s="9">
        <v>127.68776106627702</v>
      </c>
      <c r="AI3744" s="9">
        <v>140.22732729914276</v>
      </c>
      <c r="AJ3744" s="9">
        <v>3.0428788910505911</v>
      </c>
    </row>
    <row r="3745" spans="1:36" x14ac:dyDescent="0.25">
      <c r="A3745" t="s">
        <v>5411</v>
      </c>
      <c r="B3745" t="s">
        <v>16</v>
      </c>
      <c r="C3745" t="s">
        <v>17</v>
      </c>
      <c r="D3745">
        <v>65929000</v>
      </c>
      <c r="E3745">
        <v>65929999</v>
      </c>
      <c r="F3745" t="s">
        <v>3396</v>
      </c>
      <c r="G3745" t="str">
        <f t="shared" si="116"/>
        <v>MAR</v>
      </c>
      <c r="H3745" t="s">
        <v>3213</v>
      </c>
      <c r="I3745" t="s">
        <v>20</v>
      </c>
      <c r="J3745" t="s">
        <v>77</v>
      </c>
      <c r="K3745" s="6">
        <v>0.03</v>
      </c>
      <c r="L3745" s="7">
        <f t="shared" si="117"/>
        <v>2E-3</v>
      </c>
      <c r="M3745" s="7">
        <v>3.0000000000000001E-3</v>
      </c>
      <c r="N3745">
        <v>17</v>
      </c>
      <c r="O3745" s="8">
        <v>32.902778340866817</v>
      </c>
      <c r="P3745" s="9">
        <v>32.902778340866817</v>
      </c>
      <c r="Q3745" s="9">
        <v>32.902778340866817</v>
      </c>
      <c r="R3745" s="9">
        <v>36.980915483174826</v>
      </c>
      <c r="S3745" s="9">
        <v>41.041764553716455</v>
      </c>
      <c r="T3745" s="9">
        <v>44.512516286159922</v>
      </c>
      <c r="U3745" s="9">
        <v>52.176281946965503</v>
      </c>
      <c r="V3745" s="9">
        <v>52.176281946965503</v>
      </c>
      <c r="W3745" s="9">
        <v>52.176281946965503</v>
      </c>
      <c r="X3745" s="9">
        <v>65.399646652844908</v>
      </c>
      <c r="Y3745" s="9">
        <v>65.399646652844908</v>
      </c>
      <c r="Z3745" s="9">
        <v>74.862823794027804</v>
      </c>
      <c r="AA3745" s="9">
        <v>74.862823794027804</v>
      </c>
      <c r="AB3745" s="9">
        <v>84.552915727397561</v>
      </c>
      <c r="AC3745" s="9">
        <v>84.552915727397561</v>
      </c>
      <c r="AD3745" s="9">
        <v>94.492613932172858</v>
      </c>
      <c r="AE3745" s="9">
        <v>104.70687903549428</v>
      </c>
      <c r="AF3745" s="9">
        <v>115.51364337537625</v>
      </c>
      <c r="AG3745" s="9">
        <v>115.51364337537625</v>
      </c>
      <c r="AH3745" s="9">
        <v>127.68776106627702</v>
      </c>
      <c r="AI3745" s="9">
        <v>140.22732729914276</v>
      </c>
      <c r="AJ3745" s="9">
        <v>3.0428788910505911</v>
      </c>
    </row>
    <row r="3746" spans="1:36" x14ac:dyDescent="0.25">
      <c r="A3746" t="s">
        <v>5411</v>
      </c>
      <c r="B3746" t="s">
        <v>16</v>
      </c>
      <c r="C3746" t="s">
        <v>17</v>
      </c>
      <c r="D3746">
        <v>65930000</v>
      </c>
      <c r="E3746">
        <v>65934999</v>
      </c>
      <c r="F3746" t="s">
        <v>3397</v>
      </c>
      <c r="G3746" t="str">
        <f t="shared" si="116"/>
        <v>MAI</v>
      </c>
      <c r="H3746" t="s">
        <v>3213</v>
      </c>
      <c r="I3746" t="s">
        <v>20</v>
      </c>
      <c r="J3746" t="s">
        <v>62</v>
      </c>
      <c r="K3746" s="6">
        <v>0.03</v>
      </c>
      <c r="L3746" s="7">
        <f t="shared" si="117"/>
        <v>2E-3</v>
      </c>
      <c r="M3746" s="7">
        <v>3.0000000000000001E-3</v>
      </c>
      <c r="N3746">
        <v>12</v>
      </c>
      <c r="O3746" s="8">
        <v>19.350325219569864</v>
      </c>
      <c r="P3746" s="9">
        <v>19.350325219569864</v>
      </c>
      <c r="Q3746" s="9">
        <v>19.350325219569864</v>
      </c>
      <c r="R3746" s="9">
        <v>21.236423757715794</v>
      </c>
      <c r="S3746" s="9">
        <v>23.412011215821156</v>
      </c>
      <c r="T3746" s="9">
        <v>26.602346057727168</v>
      </c>
      <c r="U3746" s="9">
        <v>32.175039039197578</v>
      </c>
      <c r="V3746" s="9">
        <v>32.175039039197578</v>
      </c>
      <c r="W3746" s="9">
        <v>32.175039039197578</v>
      </c>
      <c r="X3746" s="9">
        <v>38.477190222688968</v>
      </c>
      <c r="Y3746" s="9">
        <v>38.477190222688968</v>
      </c>
      <c r="Z3746" s="9">
        <v>46.072905764910679</v>
      </c>
      <c r="AA3746" s="9">
        <v>46.072905764910679</v>
      </c>
      <c r="AB3746" s="9">
        <v>52.857194265747438</v>
      </c>
      <c r="AC3746" s="9">
        <v>52.857194265747438</v>
      </c>
      <c r="AD3746" s="9">
        <v>60.075973585900336</v>
      </c>
      <c r="AE3746" s="9">
        <v>67.207660715359779</v>
      </c>
      <c r="AF3746" s="9">
        <v>74.765164496289444</v>
      </c>
      <c r="AG3746" s="9">
        <v>74.765164496289444</v>
      </c>
      <c r="AH3746" s="9">
        <v>82.787429668365718</v>
      </c>
      <c r="AI3746" s="9">
        <v>90.699158794373588</v>
      </c>
      <c r="AJ3746" s="9">
        <v>3.0428788910505911</v>
      </c>
    </row>
    <row r="3747" spans="1:36" x14ac:dyDescent="0.25">
      <c r="A3747" t="s">
        <v>5411</v>
      </c>
      <c r="B3747" t="s">
        <v>16</v>
      </c>
      <c r="C3747" t="s">
        <v>17</v>
      </c>
      <c r="D3747">
        <v>65935000</v>
      </c>
      <c r="E3747">
        <v>65935499</v>
      </c>
      <c r="F3747" t="s">
        <v>3398</v>
      </c>
      <c r="G3747" t="str">
        <f t="shared" si="116"/>
        <v>MAR</v>
      </c>
      <c r="H3747" t="s">
        <v>3213</v>
      </c>
      <c r="I3747" t="s">
        <v>20</v>
      </c>
      <c r="J3747" t="s">
        <v>77</v>
      </c>
      <c r="K3747" s="6">
        <v>0.03</v>
      </c>
      <c r="L3747" s="7">
        <f t="shared" si="117"/>
        <v>2E-3</v>
      </c>
      <c r="M3747" s="7">
        <v>3.0000000000000001E-3</v>
      </c>
      <c r="N3747">
        <v>17</v>
      </c>
      <c r="O3747" s="8">
        <v>32.902778340866817</v>
      </c>
      <c r="P3747" s="9">
        <v>32.902778340866817</v>
      </c>
      <c r="Q3747" s="9">
        <v>32.902778340866817</v>
      </c>
      <c r="R3747" s="9">
        <v>36.980915483174826</v>
      </c>
      <c r="S3747" s="9">
        <v>41.041764553716455</v>
      </c>
      <c r="T3747" s="9">
        <v>44.512516286159922</v>
      </c>
      <c r="U3747" s="9">
        <v>52.176281946965503</v>
      </c>
      <c r="V3747" s="9">
        <v>52.176281946965503</v>
      </c>
      <c r="W3747" s="9">
        <v>52.176281946965503</v>
      </c>
      <c r="X3747" s="9">
        <v>65.399646652844908</v>
      </c>
      <c r="Y3747" s="9">
        <v>65.399646652844908</v>
      </c>
      <c r="Z3747" s="9">
        <v>74.862823794027804</v>
      </c>
      <c r="AA3747" s="9">
        <v>74.862823794027804</v>
      </c>
      <c r="AB3747" s="9">
        <v>84.552915727397561</v>
      </c>
      <c r="AC3747" s="9">
        <v>84.552915727397561</v>
      </c>
      <c r="AD3747" s="9">
        <v>94.492613932172858</v>
      </c>
      <c r="AE3747" s="9">
        <v>104.70687903549428</v>
      </c>
      <c r="AF3747" s="9">
        <v>115.51364337537625</v>
      </c>
      <c r="AG3747" s="9">
        <v>115.51364337537625</v>
      </c>
      <c r="AH3747" s="9">
        <v>127.68776106627702</v>
      </c>
      <c r="AI3747" s="9">
        <v>140.22732729914276</v>
      </c>
      <c r="AJ3747" s="9">
        <v>3.0428788910505911</v>
      </c>
    </row>
    <row r="3748" spans="1:36" x14ac:dyDescent="0.25">
      <c r="A3748" t="s">
        <v>5411</v>
      </c>
      <c r="B3748" t="s">
        <v>16</v>
      </c>
      <c r="C3748" t="s">
        <v>17</v>
      </c>
      <c r="D3748">
        <v>65935500</v>
      </c>
      <c r="E3748">
        <v>65935999</v>
      </c>
      <c r="F3748" t="s">
        <v>3399</v>
      </c>
      <c r="G3748" t="str">
        <f t="shared" si="116"/>
        <v>MAR</v>
      </c>
      <c r="H3748" t="s">
        <v>3213</v>
      </c>
      <c r="I3748" t="s">
        <v>20</v>
      </c>
      <c r="J3748" t="s">
        <v>77</v>
      </c>
      <c r="K3748" s="6">
        <v>0.03</v>
      </c>
      <c r="L3748" s="7">
        <f t="shared" si="117"/>
        <v>2E-3</v>
      </c>
      <c r="M3748" s="7">
        <v>3.0000000000000001E-3</v>
      </c>
      <c r="N3748">
        <v>17</v>
      </c>
      <c r="O3748" s="8">
        <v>32.902778340866817</v>
      </c>
      <c r="P3748" s="9">
        <v>32.902778340866817</v>
      </c>
      <c r="Q3748" s="9">
        <v>32.902778340866817</v>
      </c>
      <c r="R3748" s="9">
        <v>36.980915483174826</v>
      </c>
      <c r="S3748" s="9">
        <v>41.041764553716455</v>
      </c>
      <c r="T3748" s="9">
        <v>44.512516286159922</v>
      </c>
      <c r="U3748" s="9">
        <v>52.176281946965503</v>
      </c>
      <c r="V3748" s="9">
        <v>52.176281946965503</v>
      </c>
      <c r="W3748" s="9">
        <v>52.176281946965503</v>
      </c>
      <c r="X3748" s="9">
        <v>65.399646652844908</v>
      </c>
      <c r="Y3748" s="9">
        <v>65.399646652844908</v>
      </c>
      <c r="Z3748" s="9">
        <v>74.862823794027804</v>
      </c>
      <c r="AA3748" s="9">
        <v>74.862823794027804</v>
      </c>
      <c r="AB3748" s="9">
        <v>84.552915727397561</v>
      </c>
      <c r="AC3748" s="9">
        <v>84.552915727397561</v>
      </c>
      <c r="AD3748" s="9">
        <v>94.492613932172858</v>
      </c>
      <c r="AE3748" s="9">
        <v>104.70687903549428</v>
      </c>
      <c r="AF3748" s="9">
        <v>115.51364337537625</v>
      </c>
      <c r="AG3748" s="9">
        <v>115.51364337537625</v>
      </c>
      <c r="AH3748" s="9">
        <v>127.68776106627702</v>
      </c>
      <c r="AI3748" s="9">
        <v>140.22732729914276</v>
      </c>
      <c r="AJ3748" s="9">
        <v>3.0428788910505911</v>
      </c>
    </row>
    <row r="3749" spans="1:36" x14ac:dyDescent="0.25">
      <c r="A3749" t="s">
        <v>5411</v>
      </c>
      <c r="B3749" t="s">
        <v>16</v>
      </c>
      <c r="C3749" t="s">
        <v>17</v>
      </c>
      <c r="D3749">
        <v>65936000</v>
      </c>
      <c r="E3749">
        <v>65936999</v>
      </c>
      <c r="F3749" t="s">
        <v>3400</v>
      </c>
      <c r="G3749" t="str">
        <f t="shared" si="116"/>
        <v>MAR</v>
      </c>
      <c r="H3749" t="s">
        <v>3213</v>
      </c>
      <c r="I3749" t="s">
        <v>20</v>
      </c>
      <c r="J3749" t="s">
        <v>77</v>
      </c>
      <c r="K3749" s="6">
        <v>0.03</v>
      </c>
      <c r="L3749" s="7">
        <f t="shared" si="117"/>
        <v>2E-3</v>
      </c>
      <c r="M3749" s="7">
        <v>3.0000000000000001E-3</v>
      </c>
      <c r="N3749">
        <v>17</v>
      </c>
      <c r="O3749" s="8">
        <v>32.902778340866817</v>
      </c>
      <c r="P3749" s="9">
        <v>32.902778340866817</v>
      </c>
      <c r="Q3749" s="9">
        <v>32.902778340866817</v>
      </c>
      <c r="R3749" s="9">
        <v>36.980915483174826</v>
      </c>
      <c r="S3749" s="9">
        <v>41.041764553716455</v>
      </c>
      <c r="T3749" s="9">
        <v>44.512516286159922</v>
      </c>
      <c r="U3749" s="9">
        <v>52.176281946965503</v>
      </c>
      <c r="V3749" s="9">
        <v>52.176281946965503</v>
      </c>
      <c r="W3749" s="9">
        <v>52.176281946965503</v>
      </c>
      <c r="X3749" s="9">
        <v>65.399646652844908</v>
      </c>
      <c r="Y3749" s="9">
        <v>65.399646652844908</v>
      </c>
      <c r="Z3749" s="9">
        <v>74.862823794027804</v>
      </c>
      <c r="AA3749" s="9">
        <v>74.862823794027804</v>
      </c>
      <c r="AB3749" s="9">
        <v>84.552915727397561</v>
      </c>
      <c r="AC3749" s="9">
        <v>84.552915727397561</v>
      </c>
      <c r="AD3749" s="9">
        <v>94.492613932172858</v>
      </c>
      <c r="AE3749" s="9">
        <v>104.70687903549428</v>
      </c>
      <c r="AF3749" s="9">
        <v>115.51364337537625</v>
      </c>
      <c r="AG3749" s="9">
        <v>115.51364337537625</v>
      </c>
      <c r="AH3749" s="9">
        <v>127.68776106627702</v>
      </c>
      <c r="AI3749" s="9">
        <v>140.22732729914276</v>
      </c>
      <c r="AJ3749" s="9">
        <v>3.0428788910505911</v>
      </c>
    </row>
    <row r="3750" spans="1:36" x14ac:dyDescent="0.25">
      <c r="A3750" t="s">
        <v>5411</v>
      </c>
      <c r="B3750" t="s">
        <v>16</v>
      </c>
      <c r="C3750" t="s">
        <v>17</v>
      </c>
      <c r="D3750">
        <v>65937000</v>
      </c>
      <c r="E3750">
        <v>65937999</v>
      </c>
      <c r="F3750" t="s">
        <v>3401</v>
      </c>
      <c r="G3750" t="str">
        <f t="shared" si="116"/>
        <v>MAR</v>
      </c>
      <c r="H3750" t="s">
        <v>3213</v>
      </c>
      <c r="I3750" t="s">
        <v>20</v>
      </c>
      <c r="J3750" t="s">
        <v>77</v>
      </c>
      <c r="K3750" s="6">
        <v>0.03</v>
      </c>
      <c r="L3750" s="7">
        <f t="shared" si="117"/>
        <v>2E-3</v>
      </c>
      <c r="M3750" s="7">
        <v>3.0000000000000001E-3</v>
      </c>
      <c r="N3750">
        <v>17</v>
      </c>
      <c r="O3750" s="8">
        <v>32.902778340866817</v>
      </c>
      <c r="P3750" s="9">
        <v>32.902778340866817</v>
      </c>
      <c r="Q3750" s="9">
        <v>32.902778340866817</v>
      </c>
      <c r="R3750" s="9">
        <v>36.980915483174826</v>
      </c>
      <c r="S3750" s="9">
        <v>41.041764553716455</v>
      </c>
      <c r="T3750" s="9">
        <v>44.512516286159922</v>
      </c>
      <c r="U3750" s="9">
        <v>52.176281946965503</v>
      </c>
      <c r="V3750" s="9">
        <v>52.176281946965503</v>
      </c>
      <c r="W3750" s="9">
        <v>52.176281946965503</v>
      </c>
      <c r="X3750" s="9">
        <v>65.399646652844908</v>
      </c>
      <c r="Y3750" s="9">
        <v>65.399646652844908</v>
      </c>
      <c r="Z3750" s="9">
        <v>74.862823794027804</v>
      </c>
      <c r="AA3750" s="9">
        <v>74.862823794027804</v>
      </c>
      <c r="AB3750" s="9">
        <v>84.552915727397561</v>
      </c>
      <c r="AC3750" s="9">
        <v>84.552915727397561</v>
      </c>
      <c r="AD3750" s="9">
        <v>94.492613932172858</v>
      </c>
      <c r="AE3750" s="9">
        <v>104.70687903549428</v>
      </c>
      <c r="AF3750" s="9">
        <v>115.51364337537625</v>
      </c>
      <c r="AG3750" s="9">
        <v>115.51364337537625</v>
      </c>
      <c r="AH3750" s="9">
        <v>127.68776106627702</v>
      </c>
      <c r="AI3750" s="9">
        <v>140.22732729914276</v>
      </c>
      <c r="AJ3750" s="9">
        <v>3.0428788910505911</v>
      </c>
    </row>
    <row r="3751" spans="1:36" x14ac:dyDescent="0.25">
      <c r="A3751" t="s">
        <v>5411</v>
      </c>
      <c r="B3751" t="s">
        <v>16</v>
      </c>
      <c r="C3751" t="s">
        <v>17</v>
      </c>
      <c r="D3751">
        <v>65938000</v>
      </c>
      <c r="E3751">
        <v>65938999</v>
      </c>
      <c r="F3751" t="s">
        <v>3402</v>
      </c>
      <c r="G3751" t="str">
        <f t="shared" si="116"/>
        <v>MAR</v>
      </c>
      <c r="H3751" t="s">
        <v>3213</v>
      </c>
      <c r="I3751" t="s">
        <v>20</v>
      </c>
      <c r="J3751" t="s">
        <v>77</v>
      </c>
      <c r="K3751" s="6">
        <v>0.03</v>
      </c>
      <c r="L3751" s="7">
        <f t="shared" si="117"/>
        <v>2E-3</v>
      </c>
      <c r="M3751" s="7">
        <v>3.0000000000000001E-3</v>
      </c>
      <c r="N3751">
        <v>17</v>
      </c>
      <c r="O3751" s="8">
        <v>32.902778340866817</v>
      </c>
      <c r="P3751" s="9">
        <v>32.902778340866817</v>
      </c>
      <c r="Q3751" s="9">
        <v>32.902778340866817</v>
      </c>
      <c r="R3751" s="9">
        <v>36.980915483174826</v>
      </c>
      <c r="S3751" s="9">
        <v>41.041764553716455</v>
      </c>
      <c r="T3751" s="9">
        <v>44.512516286159922</v>
      </c>
      <c r="U3751" s="9">
        <v>52.176281946965503</v>
      </c>
      <c r="V3751" s="9">
        <v>52.176281946965503</v>
      </c>
      <c r="W3751" s="9">
        <v>52.176281946965503</v>
      </c>
      <c r="X3751" s="9">
        <v>65.399646652844908</v>
      </c>
      <c r="Y3751" s="9">
        <v>65.399646652844908</v>
      </c>
      <c r="Z3751" s="9">
        <v>74.862823794027804</v>
      </c>
      <c r="AA3751" s="9">
        <v>74.862823794027804</v>
      </c>
      <c r="AB3751" s="9">
        <v>84.552915727397561</v>
      </c>
      <c r="AC3751" s="9">
        <v>84.552915727397561</v>
      </c>
      <c r="AD3751" s="9">
        <v>94.492613932172858</v>
      </c>
      <c r="AE3751" s="9">
        <v>104.70687903549428</v>
      </c>
      <c r="AF3751" s="9">
        <v>115.51364337537625</v>
      </c>
      <c r="AG3751" s="9">
        <v>115.51364337537625</v>
      </c>
      <c r="AH3751" s="9">
        <v>127.68776106627702</v>
      </c>
      <c r="AI3751" s="9">
        <v>140.22732729914276</v>
      </c>
      <c r="AJ3751" s="9">
        <v>3.0428788910505911</v>
      </c>
    </row>
    <row r="3752" spans="1:36" x14ac:dyDescent="0.25">
      <c r="A3752" t="s">
        <v>5411</v>
      </c>
      <c r="B3752" t="s">
        <v>16</v>
      </c>
      <c r="C3752" t="s">
        <v>17</v>
      </c>
      <c r="D3752">
        <v>65939000</v>
      </c>
      <c r="E3752">
        <v>65939999</v>
      </c>
      <c r="F3752" t="s">
        <v>3403</v>
      </c>
      <c r="G3752" t="str">
        <f t="shared" si="116"/>
        <v>MAR</v>
      </c>
      <c r="H3752" t="s">
        <v>3213</v>
      </c>
      <c r="I3752" t="s">
        <v>20</v>
      </c>
      <c r="J3752" t="s">
        <v>77</v>
      </c>
      <c r="K3752" s="6">
        <v>0.03</v>
      </c>
      <c r="L3752" s="7">
        <f t="shared" si="117"/>
        <v>2E-3</v>
      </c>
      <c r="M3752" s="7">
        <v>3.0000000000000001E-3</v>
      </c>
      <c r="N3752">
        <v>17</v>
      </c>
      <c r="O3752" s="8">
        <v>32.902778340866817</v>
      </c>
      <c r="P3752" s="9">
        <v>32.902778340866817</v>
      </c>
      <c r="Q3752" s="9">
        <v>32.902778340866817</v>
      </c>
      <c r="R3752" s="9">
        <v>36.980915483174826</v>
      </c>
      <c r="S3752" s="9">
        <v>41.041764553716455</v>
      </c>
      <c r="T3752" s="9">
        <v>44.512516286159922</v>
      </c>
      <c r="U3752" s="9">
        <v>52.176281946965503</v>
      </c>
      <c r="V3752" s="9">
        <v>52.176281946965503</v>
      </c>
      <c r="W3752" s="9">
        <v>52.176281946965503</v>
      </c>
      <c r="X3752" s="9">
        <v>65.399646652844908</v>
      </c>
      <c r="Y3752" s="9">
        <v>65.399646652844908</v>
      </c>
      <c r="Z3752" s="9">
        <v>74.862823794027804</v>
      </c>
      <c r="AA3752" s="9">
        <v>74.862823794027804</v>
      </c>
      <c r="AB3752" s="9">
        <v>84.552915727397561</v>
      </c>
      <c r="AC3752" s="9">
        <v>84.552915727397561</v>
      </c>
      <c r="AD3752" s="9">
        <v>94.492613932172858</v>
      </c>
      <c r="AE3752" s="9">
        <v>104.70687903549428</v>
      </c>
      <c r="AF3752" s="9">
        <v>115.51364337537625</v>
      </c>
      <c r="AG3752" s="9">
        <v>115.51364337537625</v>
      </c>
      <c r="AH3752" s="9">
        <v>127.68776106627702</v>
      </c>
      <c r="AI3752" s="9">
        <v>140.22732729914276</v>
      </c>
      <c r="AJ3752" s="9">
        <v>3.0428788910505911</v>
      </c>
    </row>
    <row r="3753" spans="1:36" x14ac:dyDescent="0.25">
      <c r="A3753" t="s">
        <v>5411</v>
      </c>
      <c r="B3753" t="s">
        <v>16</v>
      </c>
      <c r="C3753" t="s">
        <v>17</v>
      </c>
      <c r="D3753">
        <v>65940000</v>
      </c>
      <c r="E3753">
        <v>65942999</v>
      </c>
      <c r="F3753" t="s">
        <v>3404</v>
      </c>
      <c r="G3753" t="str">
        <f t="shared" si="116"/>
        <v>MAI</v>
      </c>
      <c r="H3753" t="s">
        <v>3213</v>
      </c>
      <c r="I3753" t="s">
        <v>20</v>
      </c>
      <c r="J3753" t="s">
        <v>62</v>
      </c>
      <c r="K3753" s="6">
        <v>0.03</v>
      </c>
      <c r="L3753" s="7">
        <f t="shared" si="117"/>
        <v>2E-3</v>
      </c>
      <c r="M3753" s="7">
        <v>3.0000000000000001E-3</v>
      </c>
      <c r="N3753">
        <v>12</v>
      </c>
      <c r="O3753" s="8">
        <v>19.350325219569864</v>
      </c>
      <c r="P3753" s="9">
        <v>19.350325219569864</v>
      </c>
      <c r="Q3753" s="9">
        <v>19.350325219569864</v>
      </c>
      <c r="R3753" s="9">
        <v>21.236423757715794</v>
      </c>
      <c r="S3753" s="9">
        <v>23.412011215821156</v>
      </c>
      <c r="T3753" s="9">
        <v>26.602346057727168</v>
      </c>
      <c r="U3753" s="9">
        <v>32.175039039197578</v>
      </c>
      <c r="V3753" s="9">
        <v>32.175039039197578</v>
      </c>
      <c r="W3753" s="9">
        <v>32.175039039197578</v>
      </c>
      <c r="X3753" s="9">
        <v>38.477190222688968</v>
      </c>
      <c r="Y3753" s="9">
        <v>38.477190222688968</v>
      </c>
      <c r="Z3753" s="9">
        <v>46.072905764910679</v>
      </c>
      <c r="AA3753" s="9">
        <v>46.072905764910679</v>
      </c>
      <c r="AB3753" s="9">
        <v>52.857194265747438</v>
      </c>
      <c r="AC3753" s="9">
        <v>52.857194265747438</v>
      </c>
      <c r="AD3753" s="9">
        <v>60.075973585900336</v>
      </c>
      <c r="AE3753" s="9">
        <v>67.207660715359779</v>
      </c>
      <c r="AF3753" s="9">
        <v>74.765164496289444</v>
      </c>
      <c r="AG3753" s="9">
        <v>74.765164496289444</v>
      </c>
      <c r="AH3753" s="9">
        <v>82.787429668365718</v>
      </c>
      <c r="AI3753" s="9">
        <v>90.699158794373588</v>
      </c>
      <c r="AJ3753" s="9">
        <v>3.0428788910505911</v>
      </c>
    </row>
    <row r="3754" spans="1:36" x14ac:dyDescent="0.25">
      <c r="A3754" t="s">
        <v>5411</v>
      </c>
      <c r="B3754" t="s">
        <v>16</v>
      </c>
      <c r="C3754" t="s">
        <v>17</v>
      </c>
      <c r="D3754">
        <v>65943000</v>
      </c>
      <c r="E3754">
        <v>65944999</v>
      </c>
      <c r="F3754" t="s">
        <v>3405</v>
      </c>
      <c r="G3754" t="str">
        <f t="shared" si="116"/>
        <v>MAR</v>
      </c>
      <c r="H3754" t="s">
        <v>3213</v>
      </c>
      <c r="I3754" t="s">
        <v>20</v>
      </c>
      <c r="J3754" t="s">
        <v>77</v>
      </c>
      <c r="K3754" s="6">
        <v>0.03</v>
      </c>
      <c r="L3754" s="7">
        <f t="shared" si="117"/>
        <v>2E-3</v>
      </c>
      <c r="M3754" s="7">
        <v>3.0000000000000001E-3</v>
      </c>
      <c r="N3754">
        <v>17</v>
      </c>
      <c r="O3754" s="8">
        <v>32.902778340866817</v>
      </c>
      <c r="P3754" s="9">
        <v>32.902778340866817</v>
      </c>
      <c r="Q3754" s="9">
        <v>32.902778340866817</v>
      </c>
      <c r="R3754" s="9">
        <v>36.980915483174826</v>
      </c>
      <c r="S3754" s="9">
        <v>41.041764553716455</v>
      </c>
      <c r="T3754" s="9">
        <v>44.512516286159922</v>
      </c>
      <c r="U3754" s="9">
        <v>52.176281946965503</v>
      </c>
      <c r="V3754" s="9">
        <v>52.176281946965503</v>
      </c>
      <c r="W3754" s="9">
        <v>52.176281946965503</v>
      </c>
      <c r="X3754" s="9">
        <v>65.399646652844908</v>
      </c>
      <c r="Y3754" s="9">
        <v>65.399646652844908</v>
      </c>
      <c r="Z3754" s="9">
        <v>74.862823794027804</v>
      </c>
      <c r="AA3754" s="9">
        <v>74.862823794027804</v>
      </c>
      <c r="AB3754" s="9">
        <v>84.552915727397561</v>
      </c>
      <c r="AC3754" s="9">
        <v>84.552915727397561</v>
      </c>
      <c r="AD3754" s="9">
        <v>94.492613932172858</v>
      </c>
      <c r="AE3754" s="9">
        <v>104.70687903549428</v>
      </c>
      <c r="AF3754" s="9">
        <v>115.51364337537625</v>
      </c>
      <c r="AG3754" s="9">
        <v>115.51364337537625</v>
      </c>
      <c r="AH3754" s="9">
        <v>127.68776106627702</v>
      </c>
      <c r="AI3754" s="9">
        <v>140.22732729914276</v>
      </c>
      <c r="AJ3754" s="9">
        <v>3.0428788910505911</v>
      </c>
    </row>
    <row r="3755" spans="1:36" x14ac:dyDescent="0.25">
      <c r="A3755" t="s">
        <v>5411</v>
      </c>
      <c r="B3755" t="s">
        <v>16</v>
      </c>
      <c r="C3755" t="s">
        <v>17</v>
      </c>
      <c r="D3755">
        <v>65945000</v>
      </c>
      <c r="E3755">
        <v>65947999</v>
      </c>
      <c r="F3755" t="s">
        <v>3406</v>
      </c>
      <c r="G3755" t="str">
        <f t="shared" si="116"/>
        <v>MAR</v>
      </c>
      <c r="H3755" t="s">
        <v>3213</v>
      </c>
      <c r="I3755" t="s">
        <v>20</v>
      </c>
      <c r="J3755" t="s">
        <v>77</v>
      </c>
      <c r="K3755" s="6">
        <v>0.03</v>
      </c>
      <c r="L3755" s="7">
        <f t="shared" si="117"/>
        <v>2E-3</v>
      </c>
      <c r="M3755" s="7">
        <v>3.0000000000000001E-3</v>
      </c>
      <c r="N3755">
        <v>17</v>
      </c>
      <c r="O3755" s="8">
        <v>32.902778340866817</v>
      </c>
      <c r="P3755" s="9">
        <v>32.902778340866817</v>
      </c>
      <c r="Q3755" s="9">
        <v>32.902778340866817</v>
      </c>
      <c r="R3755" s="9">
        <v>36.980915483174826</v>
      </c>
      <c r="S3755" s="9">
        <v>41.041764553716455</v>
      </c>
      <c r="T3755" s="9">
        <v>44.512516286159922</v>
      </c>
      <c r="U3755" s="9">
        <v>52.176281946965503</v>
      </c>
      <c r="V3755" s="9">
        <v>52.176281946965503</v>
      </c>
      <c r="W3755" s="9">
        <v>52.176281946965503</v>
      </c>
      <c r="X3755" s="9">
        <v>65.399646652844908</v>
      </c>
      <c r="Y3755" s="9">
        <v>65.399646652844908</v>
      </c>
      <c r="Z3755" s="9">
        <v>74.862823794027804</v>
      </c>
      <c r="AA3755" s="9">
        <v>74.862823794027804</v>
      </c>
      <c r="AB3755" s="9">
        <v>84.552915727397561</v>
      </c>
      <c r="AC3755" s="9">
        <v>84.552915727397561</v>
      </c>
      <c r="AD3755" s="9">
        <v>94.492613932172858</v>
      </c>
      <c r="AE3755" s="9">
        <v>104.70687903549428</v>
      </c>
      <c r="AF3755" s="9">
        <v>115.51364337537625</v>
      </c>
      <c r="AG3755" s="9">
        <v>115.51364337537625</v>
      </c>
      <c r="AH3755" s="9">
        <v>127.68776106627702</v>
      </c>
      <c r="AI3755" s="9">
        <v>140.22732729914276</v>
      </c>
      <c r="AJ3755" s="9">
        <v>3.0428788910505911</v>
      </c>
    </row>
    <row r="3756" spans="1:36" x14ac:dyDescent="0.25">
      <c r="A3756" t="s">
        <v>5411</v>
      </c>
      <c r="B3756" t="s">
        <v>16</v>
      </c>
      <c r="C3756" t="s">
        <v>17</v>
      </c>
      <c r="D3756">
        <v>65948000</v>
      </c>
      <c r="E3756">
        <v>65949999</v>
      </c>
      <c r="F3756" t="s">
        <v>3407</v>
      </c>
      <c r="G3756" t="str">
        <f t="shared" si="116"/>
        <v>MAR</v>
      </c>
      <c r="H3756" t="s">
        <v>3213</v>
      </c>
      <c r="I3756" t="s">
        <v>20</v>
      </c>
      <c r="J3756" t="s">
        <v>77</v>
      </c>
      <c r="K3756" s="6">
        <v>0.03</v>
      </c>
      <c r="L3756" s="7">
        <f t="shared" si="117"/>
        <v>2E-3</v>
      </c>
      <c r="M3756" s="7">
        <v>3.0000000000000001E-3</v>
      </c>
      <c r="N3756">
        <v>17</v>
      </c>
      <c r="O3756" s="8">
        <v>32.902778340866817</v>
      </c>
      <c r="P3756" s="9">
        <v>32.902778340866817</v>
      </c>
      <c r="Q3756" s="9">
        <v>32.902778340866817</v>
      </c>
      <c r="R3756" s="9">
        <v>36.980915483174826</v>
      </c>
      <c r="S3756" s="9">
        <v>41.041764553716455</v>
      </c>
      <c r="T3756" s="9">
        <v>44.512516286159922</v>
      </c>
      <c r="U3756" s="9">
        <v>52.176281946965503</v>
      </c>
      <c r="V3756" s="9">
        <v>52.176281946965503</v>
      </c>
      <c r="W3756" s="9">
        <v>52.176281946965503</v>
      </c>
      <c r="X3756" s="9">
        <v>65.399646652844908</v>
      </c>
      <c r="Y3756" s="9">
        <v>65.399646652844908</v>
      </c>
      <c r="Z3756" s="9">
        <v>74.862823794027804</v>
      </c>
      <c r="AA3756" s="9">
        <v>74.862823794027804</v>
      </c>
      <c r="AB3756" s="9">
        <v>84.552915727397561</v>
      </c>
      <c r="AC3756" s="9">
        <v>84.552915727397561</v>
      </c>
      <c r="AD3756" s="9">
        <v>94.492613932172858</v>
      </c>
      <c r="AE3756" s="9">
        <v>104.70687903549428</v>
      </c>
      <c r="AF3756" s="9">
        <v>115.51364337537625</v>
      </c>
      <c r="AG3756" s="9">
        <v>115.51364337537625</v>
      </c>
      <c r="AH3756" s="9">
        <v>127.68776106627702</v>
      </c>
      <c r="AI3756" s="9">
        <v>140.22732729914276</v>
      </c>
      <c r="AJ3756" s="9">
        <v>3.0428788910505911</v>
      </c>
    </row>
    <row r="3757" spans="1:36" x14ac:dyDescent="0.25">
      <c r="A3757" t="s">
        <v>5411</v>
      </c>
      <c r="B3757" t="s">
        <v>16</v>
      </c>
      <c r="C3757" t="s">
        <v>17</v>
      </c>
      <c r="D3757">
        <v>65950000</v>
      </c>
      <c r="E3757">
        <v>65961999</v>
      </c>
      <c r="F3757" t="s">
        <v>3408</v>
      </c>
      <c r="G3757" t="str">
        <f t="shared" si="116"/>
        <v>MAI</v>
      </c>
      <c r="H3757" t="s">
        <v>3213</v>
      </c>
      <c r="I3757" t="s">
        <v>20</v>
      </c>
      <c r="J3757" t="s">
        <v>62</v>
      </c>
      <c r="K3757" s="6">
        <v>0.03</v>
      </c>
      <c r="L3757" s="7">
        <f t="shared" si="117"/>
        <v>2E-3</v>
      </c>
      <c r="M3757" s="7">
        <v>3.0000000000000001E-3</v>
      </c>
      <c r="N3757">
        <v>12</v>
      </c>
      <c r="O3757" s="8">
        <v>19.350325219569864</v>
      </c>
      <c r="P3757" s="9">
        <v>19.350325219569864</v>
      </c>
      <c r="Q3757" s="9">
        <v>19.350325219569864</v>
      </c>
      <c r="R3757" s="9">
        <v>21.236423757715794</v>
      </c>
      <c r="S3757" s="9">
        <v>23.412011215821156</v>
      </c>
      <c r="T3757" s="9">
        <v>26.602346057727168</v>
      </c>
      <c r="U3757" s="9">
        <v>32.175039039197578</v>
      </c>
      <c r="V3757" s="9">
        <v>32.175039039197578</v>
      </c>
      <c r="W3757" s="9">
        <v>32.175039039197578</v>
      </c>
      <c r="X3757" s="9">
        <v>38.477190222688968</v>
      </c>
      <c r="Y3757" s="9">
        <v>38.477190222688968</v>
      </c>
      <c r="Z3757" s="9">
        <v>46.072905764910679</v>
      </c>
      <c r="AA3757" s="9">
        <v>46.072905764910679</v>
      </c>
      <c r="AB3757" s="9">
        <v>52.857194265747438</v>
      </c>
      <c r="AC3757" s="9">
        <v>52.857194265747438</v>
      </c>
      <c r="AD3757" s="9">
        <v>60.075973585900336</v>
      </c>
      <c r="AE3757" s="9">
        <v>67.207660715359779</v>
      </c>
      <c r="AF3757" s="9">
        <v>74.765164496289444</v>
      </c>
      <c r="AG3757" s="9">
        <v>74.765164496289444</v>
      </c>
      <c r="AH3757" s="9">
        <v>82.787429668365718</v>
      </c>
      <c r="AI3757" s="9">
        <v>90.699158794373588</v>
      </c>
      <c r="AJ3757" s="9">
        <v>3.0428788910505911</v>
      </c>
    </row>
    <row r="3758" spans="1:36" x14ac:dyDescent="0.25">
      <c r="A3758" t="s">
        <v>5411</v>
      </c>
      <c r="B3758" t="s">
        <v>16</v>
      </c>
      <c r="C3758" t="s">
        <v>17</v>
      </c>
      <c r="D3758">
        <v>65962000</v>
      </c>
      <c r="E3758">
        <v>65963999</v>
      </c>
      <c r="F3758" t="s">
        <v>3409</v>
      </c>
      <c r="G3758" t="str">
        <f t="shared" si="116"/>
        <v>MAR</v>
      </c>
      <c r="H3758" t="s">
        <v>3213</v>
      </c>
      <c r="I3758" t="s">
        <v>20</v>
      </c>
      <c r="J3758" t="s">
        <v>77</v>
      </c>
      <c r="K3758" s="6">
        <v>0.03</v>
      </c>
      <c r="L3758" s="7">
        <f t="shared" si="117"/>
        <v>2E-3</v>
      </c>
      <c r="M3758" s="7">
        <v>3.0000000000000001E-3</v>
      </c>
      <c r="N3758">
        <v>17</v>
      </c>
      <c r="O3758" s="8">
        <v>32.902778340866817</v>
      </c>
      <c r="P3758" s="9">
        <v>32.902778340866817</v>
      </c>
      <c r="Q3758" s="9">
        <v>32.902778340866817</v>
      </c>
      <c r="R3758" s="9">
        <v>36.980915483174826</v>
      </c>
      <c r="S3758" s="9">
        <v>41.041764553716455</v>
      </c>
      <c r="T3758" s="9">
        <v>44.512516286159922</v>
      </c>
      <c r="U3758" s="9">
        <v>52.176281946965503</v>
      </c>
      <c r="V3758" s="9">
        <v>52.176281946965503</v>
      </c>
      <c r="W3758" s="9">
        <v>52.176281946965503</v>
      </c>
      <c r="X3758" s="9">
        <v>65.399646652844908</v>
      </c>
      <c r="Y3758" s="9">
        <v>65.399646652844908</v>
      </c>
      <c r="Z3758" s="9">
        <v>74.862823794027804</v>
      </c>
      <c r="AA3758" s="9">
        <v>74.862823794027804</v>
      </c>
      <c r="AB3758" s="9">
        <v>84.552915727397561</v>
      </c>
      <c r="AC3758" s="9">
        <v>84.552915727397561</v>
      </c>
      <c r="AD3758" s="9">
        <v>94.492613932172858</v>
      </c>
      <c r="AE3758" s="9">
        <v>104.70687903549428</v>
      </c>
      <c r="AF3758" s="9">
        <v>115.51364337537625</v>
      </c>
      <c r="AG3758" s="9">
        <v>115.51364337537625</v>
      </c>
      <c r="AH3758" s="9">
        <v>127.68776106627702</v>
      </c>
      <c r="AI3758" s="9">
        <v>140.22732729914276</v>
      </c>
      <c r="AJ3758" s="9">
        <v>3.0428788910505911</v>
      </c>
    </row>
    <row r="3759" spans="1:36" x14ac:dyDescent="0.25">
      <c r="A3759" t="s">
        <v>5411</v>
      </c>
      <c r="B3759" t="s">
        <v>16</v>
      </c>
      <c r="C3759" t="s">
        <v>17</v>
      </c>
      <c r="D3759">
        <v>65964000</v>
      </c>
      <c r="E3759">
        <v>65967999</v>
      </c>
      <c r="F3759" t="s">
        <v>3410</v>
      </c>
      <c r="G3759" t="str">
        <f t="shared" si="116"/>
        <v>MAR</v>
      </c>
      <c r="H3759" t="s">
        <v>3213</v>
      </c>
      <c r="I3759" t="s">
        <v>20</v>
      </c>
      <c r="J3759" t="s">
        <v>77</v>
      </c>
      <c r="K3759" s="6">
        <v>0.03</v>
      </c>
      <c r="L3759" s="7">
        <f t="shared" si="117"/>
        <v>2E-3</v>
      </c>
      <c r="M3759" s="7">
        <v>3.0000000000000001E-3</v>
      </c>
      <c r="N3759">
        <v>17</v>
      </c>
      <c r="O3759" s="8">
        <v>32.902778340866817</v>
      </c>
      <c r="P3759" s="9">
        <v>32.902778340866817</v>
      </c>
      <c r="Q3759" s="9">
        <v>32.902778340866817</v>
      </c>
      <c r="R3759" s="9">
        <v>36.980915483174826</v>
      </c>
      <c r="S3759" s="9">
        <v>41.041764553716455</v>
      </c>
      <c r="T3759" s="9">
        <v>44.512516286159922</v>
      </c>
      <c r="U3759" s="9">
        <v>52.176281946965503</v>
      </c>
      <c r="V3759" s="9">
        <v>52.176281946965503</v>
      </c>
      <c r="W3759" s="9">
        <v>52.176281946965503</v>
      </c>
      <c r="X3759" s="9">
        <v>65.399646652844908</v>
      </c>
      <c r="Y3759" s="9">
        <v>65.399646652844908</v>
      </c>
      <c r="Z3759" s="9">
        <v>74.862823794027804</v>
      </c>
      <c r="AA3759" s="9">
        <v>74.862823794027804</v>
      </c>
      <c r="AB3759" s="9">
        <v>84.552915727397561</v>
      </c>
      <c r="AC3759" s="9">
        <v>84.552915727397561</v>
      </c>
      <c r="AD3759" s="9">
        <v>94.492613932172858</v>
      </c>
      <c r="AE3759" s="9">
        <v>104.70687903549428</v>
      </c>
      <c r="AF3759" s="9">
        <v>115.51364337537625</v>
      </c>
      <c r="AG3759" s="9">
        <v>115.51364337537625</v>
      </c>
      <c r="AH3759" s="9">
        <v>127.68776106627702</v>
      </c>
      <c r="AI3759" s="9">
        <v>140.22732729914276</v>
      </c>
      <c r="AJ3759" s="9">
        <v>3.0428788910505911</v>
      </c>
    </row>
    <row r="3760" spans="1:36" x14ac:dyDescent="0.25">
      <c r="A3760" t="s">
        <v>5411</v>
      </c>
      <c r="B3760" t="s">
        <v>16</v>
      </c>
      <c r="C3760" t="s">
        <v>17</v>
      </c>
      <c r="D3760">
        <v>65968000</v>
      </c>
      <c r="E3760">
        <v>65969999</v>
      </c>
      <c r="F3760" t="s">
        <v>3411</v>
      </c>
      <c r="G3760" t="str">
        <f t="shared" si="116"/>
        <v>MAI</v>
      </c>
      <c r="H3760" t="s">
        <v>3213</v>
      </c>
      <c r="I3760" t="s">
        <v>20</v>
      </c>
      <c r="J3760" t="s">
        <v>62</v>
      </c>
      <c r="K3760" s="6">
        <v>0.03</v>
      </c>
      <c r="L3760" s="7">
        <f t="shared" si="117"/>
        <v>2E-3</v>
      </c>
      <c r="M3760" s="7">
        <v>3.0000000000000001E-3</v>
      </c>
      <c r="N3760">
        <v>12</v>
      </c>
      <c r="O3760" s="8">
        <v>19.350325219569864</v>
      </c>
      <c r="P3760" s="9">
        <v>19.350325219569864</v>
      </c>
      <c r="Q3760" s="9">
        <v>19.350325219569864</v>
      </c>
      <c r="R3760" s="9">
        <v>21.236423757715794</v>
      </c>
      <c r="S3760" s="9">
        <v>23.412011215821156</v>
      </c>
      <c r="T3760" s="9">
        <v>26.602346057727168</v>
      </c>
      <c r="U3760" s="9">
        <v>32.175039039197578</v>
      </c>
      <c r="V3760" s="9">
        <v>32.175039039197578</v>
      </c>
      <c r="W3760" s="9">
        <v>32.175039039197578</v>
      </c>
      <c r="X3760" s="9">
        <v>38.477190222688968</v>
      </c>
      <c r="Y3760" s="9">
        <v>38.477190222688968</v>
      </c>
      <c r="Z3760" s="9">
        <v>46.072905764910679</v>
      </c>
      <c r="AA3760" s="9">
        <v>46.072905764910679</v>
      </c>
      <c r="AB3760" s="9">
        <v>52.857194265747438</v>
      </c>
      <c r="AC3760" s="9">
        <v>52.857194265747438</v>
      </c>
      <c r="AD3760" s="9">
        <v>60.075973585900336</v>
      </c>
      <c r="AE3760" s="9">
        <v>67.207660715359779</v>
      </c>
      <c r="AF3760" s="9">
        <v>74.765164496289444</v>
      </c>
      <c r="AG3760" s="9">
        <v>74.765164496289444</v>
      </c>
      <c r="AH3760" s="9">
        <v>82.787429668365718</v>
      </c>
      <c r="AI3760" s="9">
        <v>90.699158794373588</v>
      </c>
      <c r="AJ3760" s="9">
        <v>3.0428788910505911</v>
      </c>
    </row>
    <row r="3761" spans="1:36" x14ac:dyDescent="0.25">
      <c r="A3761" t="s">
        <v>5411</v>
      </c>
      <c r="B3761" t="s">
        <v>16</v>
      </c>
      <c r="C3761" t="s">
        <v>17</v>
      </c>
      <c r="D3761">
        <v>65970000</v>
      </c>
      <c r="E3761">
        <v>65972999</v>
      </c>
      <c r="F3761" t="s">
        <v>3412</v>
      </c>
      <c r="G3761" t="str">
        <f t="shared" si="116"/>
        <v>MAI</v>
      </c>
      <c r="H3761" t="s">
        <v>3213</v>
      </c>
      <c r="I3761" t="s">
        <v>20</v>
      </c>
      <c r="J3761" t="s">
        <v>62</v>
      </c>
      <c r="K3761" s="6">
        <v>0.03</v>
      </c>
      <c r="L3761" s="7">
        <f t="shared" si="117"/>
        <v>2E-3</v>
      </c>
      <c r="M3761" s="7">
        <v>3.0000000000000001E-3</v>
      </c>
      <c r="N3761">
        <v>12</v>
      </c>
      <c r="O3761" s="8">
        <v>19.350325219569864</v>
      </c>
      <c r="P3761" s="9">
        <v>19.350325219569864</v>
      </c>
      <c r="Q3761" s="9">
        <v>19.350325219569864</v>
      </c>
      <c r="R3761" s="9">
        <v>21.236423757715794</v>
      </c>
      <c r="S3761" s="9">
        <v>23.412011215821156</v>
      </c>
      <c r="T3761" s="9">
        <v>26.602346057727168</v>
      </c>
      <c r="U3761" s="9">
        <v>32.175039039197578</v>
      </c>
      <c r="V3761" s="9">
        <v>32.175039039197578</v>
      </c>
      <c r="W3761" s="9">
        <v>32.175039039197578</v>
      </c>
      <c r="X3761" s="9">
        <v>38.477190222688968</v>
      </c>
      <c r="Y3761" s="9">
        <v>38.477190222688968</v>
      </c>
      <c r="Z3761" s="9">
        <v>46.072905764910679</v>
      </c>
      <c r="AA3761" s="9">
        <v>46.072905764910679</v>
      </c>
      <c r="AB3761" s="9">
        <v>52.857194265747438</v>
      </c>
      <c r="AC3761" s="9">
        <v>52.857194265747438</v>
      </c>
      <c r="AD3761" s="9">
        <v>60.075973585900336</v>
      </c>
      <c r="AE3761" s="9">
        <v>67.207660715359779</v>
      </c>
      <c r="AF3761" s="9">
        <v>74.765164496289444</v>
      </c>
      <c r="AG3761" s="9">
        <v>74.765164496289444</v>
      </c>
      <c r="AH3761" s="9">
        <v>82.787429668365718</v>
      </c>
      <c r="AI3761" s="9">
        <v>90.699158794373588</v>
      </c>
      <c r="AJ3761" s="9">
        <v>3.0428788910505911</v>
      </c>
    </row>
    <row r="3762" spans="1:36" x14ac:dyDescent="0.25">
      <c r="A3762" t="s">
        <v>5411</v>
      </c>
      <c r="B3762" t="s">
        <v>16</v>
      </c>
      <c r="C3762" t="s">
        <v>17</v>
      </c>
      <c r="D3762">
        <v>65973000</v>
      </c>
      <c r="E3762">
        <v>65974999</v>
      </c>
      <c r="F3762" t="s">
        <v>1582</v>
      </c>
      <c r="G3762" t="str">
        <f t="shared" si="116"/>
        <v>MAR</v>
      </c>
      <c r="H3762" t="s">
        <v>3213</v>
      </c>
      <c r="I3762" t="s">
        <v>20</v>
      </c>
      <c r="J3762" t="s">
        <v>77</v>
      </c>
      <c r="K3762" s="6">
        <v>0.03</v>
      </c>
      <c r="L3762" s="7">
        <f t="shared" si="117"/>
        <v>2E-3</v>
      </c>
      <c r="M3762" s="7">
        <v>3.0000000000000001E-3</v>
      </c>
      <c r="N3762">
        <v>17</v>
      </c>
      <c r="O3762" s="8">
        <v>32.902778340866817</v>
      </c>
      <c r="P3762" s="9">
        <v>32.902778340866817</v>
      </c>
      <c r="Q3762" s="9">
        <v>32.902778340866817</v>
      </c>
      <c r="R3762" s="9">
        <v>36.980915483174826</v>
      </c>
      <c r="S3762" s="9">
        <v>41.041764553716455</v>
      </c>
      <c r="T3762" s="9">
        <v>44.512516286159922</v>
      </c>
      <c r="U3762" s="9">
        <v>52.176281946965503</v>
      </c>
      <c r="V3762" s="9">
        <v>52.176281946965503</v>
      </c>
      <c r="W3762" s="9">
        <v>52.176281946965503</v>
      </c>
      <c r="X3762" s="9">
        <v>65.399646652844908</v>
      </c>
      <c r="Y3762" s="9">
        <v>65.399646652844908</v>
      </c>
      <c r="Z3762" s="9">
        <v>74.862823794027804</v>
      </c>
      <c r="AA3762" s="9">
        <v>74.862823794027804</v>
      </c>
      <c r="AB3762" s="9">
        <v>84.552915727397561</v>
      </c>
      <c r="AC3762" s="9">
        <v>84.552915727397561</v>
      </c>
      <c r="AD3762" s="9">
        <v>94.492613932172858</v>
      </c>
      <c r="AE3762" s="9">
        <v>104.70687903549428</v>
      </c>
      <c r="AF3762" s="9">
        <v>115.51364337537625</v>
      </c>
      <c r="AG3762" s="9">
        <v>115.51364337537625</v>
      </c>
      <c r="AH3762" s="9">
        <v>127.68776106627702</v>
      </c>
      <c r="AI3762" s="9">
        <v>140.22732729914276</v>
      </c>
      <c r="AJ3762" s="9">
        <v>3.0428788910505911</v>
      </c>
    </row>
    <row r="3763" spans="1:36" x14ac:dyDescent="0.25">
      <c r="A3763" t="s">
        <v>5411</v>
      </c>
      <c r="B3763" t="s">
        <v>16</v>
      </c>
      <c r="C3763" t="s">
        <v>17</v>
      </c>
      <c r="D3763">
        <v>65975000</v>
      </c>
      <c r="E3763">
        <v>65977999</v>
      </c>
      <c r="F3763" t="s">
        <v>3413</v>
      </c>
      <c r="G3763" t="str">
        <f t="shared" si="116"/>
        <v>MAI</v>
      </c>
      <c r="H3763" t="s">
        <v>3213</v>
      </c>
      <c r="I3763" t="s">
        <v>20</v>
      </c>
      <c r="J3763" t="s">
        <v>62</v>
      </c>
      <c r="K3763" s="6">
        <v>0.03</v>
      </c>
      <c r="L3763" s="7">
        <f t="shared" si="117"/>
        <v>2E-3</v>
      </c>
      <c r="M3763" s="7">
        <v>3.0000000000000001E-3</v>
      </c>
      <c r="N3763">
        <v>12</v>
      </c>
      <c r="O3763" s="8">
        <v>19.350325219569864</v>
      </c>
      <c r="P3763" s="9">
        <v>19.350325219569864</v>
      </c>
      <c r="Q3763" s="9">
        <v>19.350325219569864</v>
      </c>
      <c r="R3763" s="9">
        <v>21.236423757715794</v>
      </c>
      <c r="S3763" s="9">
        <v>23.412011215821156</v>
      </c>
      <c r="T3763" s="9">
        <v>26.602346057727168</v>
      </c>
      <c r="U3763" s="9">
        <v>32.175039039197578</v>
      </c>
      <c r="V3763" s="9">
        <v>32.175039039197578</v>
      </c>
      <c r="W3763" s="9">
        <v>32.175039039197578</v>
      </c>
      <c r="X3763" s="9">
        <v>38.477190222688968</v>
      </c>
      <c r="Y3763" s="9">
        <v>38.477190222688968</v>
      </c>
      <c r="Z3763" s="9">
        <v>46.072905764910679</v>
      </c>
      <c r="AA3763" s="9">
        <v>46.072905764910679</v>
      </c>
      <c r="AB3763" s="9">
        <v>52.857194265747438</v>
      </c>
      <c r="AC3763" s="9">
        <v>52.857194265747438</v>
      </c>
      <c r="AD3763" s="9">
        <v>60.075973585900336</v>
      </c>
      <c r="AE3763" s="9">
        <v>67.207660715359779</v>
      </c>
      <c r="AF3763" s="9">
        <v>74.765164496289444</v>
      </c>
      <c r="AG3763" s="9">
        <v>74.765164496289444</v>
      </c>
      <c r="AH3763" s="9">
        <v>82.787429668365718</v>
      </c>
      <c r="AI3763" s="9">
        <v>90.699158794373588</v>
      </c>
      <c r="AJ3763" s="9">
        <v>3.0428788910505911</v>
      </c>
    </row>
    <row r="3764" spans="1:36" x14ac:dyDescent="0.25">
      <c r="A3764" t="s">
        <v>5411</v>
      </c>
      <c r="B3764" t="s">
        <v>16</v>
      </c>
      <c r="C3764" t="s">
        <v>17</v>
      </c>
      <c r="D3764">
        <v>65978000</v>
      </c>
      <c r="E3764">
        <v>65979999</v>
      </c>
      <c r="F3764" t="s">
        <v>3414</v>
      </c>
      <c r="G3764" t="str">
        <f t="shared" si="116"/>
        <v>MAR</v>
      </c>
      <c r="H3764" t="s">
        <v>3213</v>
      </c>
      <c r="I3764" t="s">
        <v>20</v>
      </c>
      <c r="J3764" t="s">
        <v>77</v>
      </c>
      <c r="K3764" s="6">
        <v>0.03</v>
      </c>
      <c r="L3764" s="7">
        <f t="shared" si="117"/>
        <v>2E-3</v>
      </c>
      <c r="M3764" s="7">
        <v>3.0000000000000001E-3</v>
      </c>
      <c r="N3764">
        <v>17</v>
      </c>
      <c r="O3764" s="8">
        <v>32.902778340866817</v>
      </c>
      <c r="P3764" s="9">
        <v>32.902778340866817</v>
      </c>
      <c r="Q3764" s="9">
        <v>32.902778340866817</v>
      </c>
      <c r="R3764" s="9">
        <v>36.980915483174826</v>
      </c>
      <c r="S3764" s="9">
        <v>41.041764553716455</v>
      </c>
      <c r="T3764" s="9">
        <v>44.512516286159922</v>
      </c>
      <c r="U3764" s="9">
        <v>52.176281946965503</v>
      </c>
      <c r="V3764" s="9">
        <v>52.176281946965503</v>
      </c>
      <c r="W3764" s="9">
        <v>52.176281946965503</v>
      </c>
      <c r="X3764" s="9">
        <v>65.399646652844908</v>
      </c>
      <c r="Y3764" s="9">
        <v>65.399646652844908</v>
      </c>
      <c r="Z3764" s="9">
        <v>74.862823794027804</v>
      </c>
      <c r="AA3764" s="9">
        <v>74.862823794027804</v>
      </c>
      <c r="AB3764" s="9">
        <v>84.552915727397561</v>
      </c>
      <c r="AC3764" s="9">
        <v>84.552915727397561</v>
      </c>
      <c r="AD3764" s="9">
        <v>94.492613932172858</v>
      </c>
      <c r="AE3764" s="9">
        <v>104.70687903549428</v>
      </c>
      <c r="AF3764" s="9">
        <v>115.51364337537625</v>
      </c>
      <c r="AG3764" s="9">
        <v>115.51364337537625</v>
      </c>
      <c r="AH3764" s="9">
        <v>127.68776106627702</v>
      </c>
      <c r="AI3764" s="9">
        <v>140.22732729914276</v>
      </c>
      <c r="AJ3764" s="9">
        <v>3.0428788910505911</v>
      </c>
    </row>
    <row r="3765" spans="1:36" x14ac:dyDescent="0.25">
      <c r="A3765" t="s">
        <v>5411</v>
      </c>
      <c r="B3765" t="s">
        <v>16</v>
      </c>
      <c r="C3765" t="s">
        <v>17</v>
      </c>
      <c r="D3765">
        <v>65980000</v>
      </c>
      <c r="E3765">
        <v>65989999</v>
      </c>
      <c r="F3765" t="s">
        <v>3415</v>
      </c>
      <c r="G3765" t="str">
        <f t="shared" si="116"/>
        <v>MAR</v>
      </c>
      <c r="H3765" t="s">
        <v>3213</v>
      </c>
      <c r="I3765" t="s">
        <v>20</v>
      </c>
      <c r="J3765" t="s">
        <v>77</v>
      </c>
      <c r="K3765" s="6">
        <v>0.03</v>
      </c>
      <c r="L3765" s="7">
        <f t="shared" si="117"/>
        <v>2E-3</v>
      </c>
      <c r="M3765" s="7">
        <v>3.0000000000000001E-3</v>
      </c>
      <c r="N3765">
        <v>17</v>
      </c>
      <c r="O3765" s="8">
        <v>32.902778340866817</v>
      </c>
      <c r="P3765" s="9">
        <v>32.902778340866817</v>
      </c>
      <c r="Q3765" s="9">
        <v>32.902778340866817</v>
      </c>
      <c r="R3765" s="9">
        <v>36.980915483174826</v>
      </c>
      <c r="S3765" s="9">
        <v>41.041764553716455</v>
      </c>
      <c r="T3765" s="9">
        <v>44.512516286159922</v>
      </c>
      <c r="U3765" s="9">
        <v>52.176281946965503</v>
      </c>
      <c r="V3765" s="9">
        <v>52.176281946965503</v>
      </c>
      <c r="W3765" s="9">
        <v>52.176281946965503</v>
      </c>
      <c r="X3765" s="9">
        <v>65.399646652844908</v>
      </c>
      <c r="Y3765" s="9">
        <v>65.399646652844908</v>
      </c>
      <c r="Z3765" s="9">
        <v>74.862823794027804</v>
      </c>
      <c r="AA3765" s="9">
        <v>74.862823794027804</v>
      </c>
      <c r="AB3765" s="9">
        <v>84.552915727397561</v>
      </c>
      <c r="AC3765" s="9">
        <v>84.552915727397561</v>
      </c>
      <c r="AD3765" s="9">
        <v>94.492613932172858</v>
      </c>
      <c r="AE3765" s="9">
        <v>104.70687903549428</v>
      </c>
      <c r="AF3765" s="9">
        <v>115.51364337537625</v>
      </c>
      <c r="AG3765" s="9">
        <v>115.51364337537625</v>
      </c>
      <c r="AH3765" s="9">
        <v>127.68776106627702</v>
      </c>
      <c r="AI3765" s="9">
        <v>140.22732729914276</v>
      </c>
      <c r="AJ3765" s="9">
        <v>3.0428788910505911</v>
      </c>
    </row>
    <row r="3766" spans="1:36" x14ac:dyDescent="0.25">
      <c r="A3766" t="s">
        <v>5411</v>
      </c>
      <c r="B3766" t="s">
        <v>16</v>
      </c>
      <c r="C3766" t="s">
        <v>17</v>
      </c>
      <c r="D3766">
        <v>65990000</v>
      </c>
      <c r="E3766">
        <v>65994999</v>
      </c>
      <c r="F3766" t="s">
        <v>2507</v>
      </c>
      <c r="G3766" t="str">
        <f t="shared" si="116"/>
        <v>MAI</v>
      </c>
      <c r="H3766" t="s">
        <v>3213</v>
      </c>
      <c r="I3766" t="s">
        <v>20</v>
      </c>
      <c r="J3766" t="s">
        <v>62</v>
      </c>
      <c r="K3766" s="6">
        <v>0.03</v>
      </c>
      <c r="L3766" s="7">
        <f t="shared" si="117"/>
        <v>2E-3</v>
      </c>
      <c r="M3766" s="7">
        <v>3.0000000000000001E-3</v>
      </c>
      <c r="N3766">
        <v>12</v>
      </c>
      <c r="O3766" s="8">
        <v>19.350325219569864</v>
      </c>
      <c r="P3766" s="9">
        <v>19.350325219569864</v>
      </c>
      <c r="Q3766" s="9">
        <v>19.350325219569864</v>
      </c>
      <c r="R3766" s="9">
        <v>21.236423757715794</v>
      </c>
      <c r="S3766" s="9">
        <v>23.412011215821156</v>
      </c>
      <c r="T3766" s="9">
        <v>26.602346057727168</v>
      </c>
      <c r="U3766" s="9">
        <v>32.175039039197578</v>
      </c>
      <c r="V3766" s="9">
        <v>32.175039039197578</v>
      </c>
      <c r="W3766" s="9">
        <v>32.175039039197578</v>
      </c>
      <c r="X3766" s="9">
        <v>38.477190222688968</v>
      </c>
      <c r="Y3766" s="9">
        <v>38.477190222688968</v>
      </c>
      <c r="Z3766" s="9">
        <v>46.072905764910679</v>
      </c>
      <c r="AA3766" s="9">
        <v>46.072905764910679</v>
      </c>
      <c r="AB3766" s="9">
        <v>52.857194265747438</v>
      </c>
      <c r="AC3766" s="9">
        <v>52.857194265747438</v>
      </c>
      <c r="AD3766" s="9">
        <v>60.075973585900336</v>
      </c>
      <c r="AE3766" s="9">
        <v>67.207660715359779</v>
      </c>
      <c r="AF3766" s="9">
        <v>74.765164496289444</v>
      </c>
      <c r="AG3766" s="9">
        <v>74.765164496289444</v>
      </c>
      <c r="AH3766" s="9">
        <v>82.787429668365718</v>
      </c>
      <c r="AI3766" s="9">
        <v>90.699158794373588</v>
      </c>
      <c r="AJ3766" s="9">
        <v>3.0428788910505911</v>
      </c>
    </row>
    <row r="3767" spans="1:36" x14ac:dyDescent="0.25">
      <c r="A3767" t="s">
        <v>5411</v>
      </c>
      <c r="B3767" t="s">
        <v>16</v>
      </c>
      <c r="C3767" t="s">
        <v>17</v>
      </c>
      <c r="D3767">
        <v>65995000</v>
      </c>
      <c r="E3767">
        <v>65999999</v>
      </c>
      <c r="F3767" t="s">
        <v>3416</v>
      </c>
      <c r="G3767" t="str">
        <f t="shared" si="116"/>
        <v>MAR</v>
      </c>
      <c r="H3767" t="s">
        <v>3213</v>
      </c>
      <c r="I3767" t="s">
        <v>20</v>
      </c>
      <c r="J3767" t="s">
        <v>77</v>
      </c>
      <c r="K3767" s="6">
        <v>0.03</v>
      </c>
      <c r="L3767" s="7">
        <f t="shared" si="117"/>
        <v>2E-3</v>
      </c>
      <c r="M3767" s="7">
        <v>3.0000000000000001E-3</v>
      </c>
      <c r="N3767">
        <v>17</v>
      </c>
      <c r="O3767" s="8">
        <v>32.902778340866817</v>
      </c>
      <c r="P3767" s="9">
        <v>32.902778340866817</v>
      </c>
      <c r="Q3767" s="9">
        <v>32.902778340866817</v>
      </c>
      <c r="R3767" s="9">
        <v>36.980915483174826</v>
      </c>
      <c r="S3767" s="9">
        <v>41.041764553716455</v>
      </c>
      <c r="T3767" s="9">
        <v>44.512516286159922</v>
      </c>
      <c r="U3767" s="9">
        <v>52.176281946965503</v>
      </c>
      <c r="V3767" s="9">
        <v>52.176281946965503</v>
      </c>
      <c r="W3767" s="9">
        <v>52.176281946965503</v>
      </c>
      <c r="X3767" s="9">
        <v>65.399646652844908</v>
      </c>
      <c r="Y3767" s="9">
        <v>65.399646652844908</v>
      </c>
      <c r="Z3767" s="9">
        <v>74.862823794027804</v>
      </c>
      <c r="AA3767" s="9">
        <v>74.862823794027804</v>
      </c>
      <c r="AB3767" s="9">
        <v>84.552915727397561</v>
      </c>
      <c r="AC3767" s="9">
        <v>84.552915727397561</v>
      </c>
      <c r="AD3767" s="9">
        <v>94.492613932172858</v>
      </c>
      <c r="AE3767" s="9">
        <v>104.70687903549428</v>
      </c>
      <c r="AF3767" s="9">
        <v>115.51364337537625</v>
      </c>
      <c r="AG3767" s="9">
        <v>115.51364337537625</v>
      </c>
      <c r="AH3767" s="9">
        <v>127.68776106627702</v>
      </c>
      <c r="AI3767" s="9">
        <v>140.22732729914276</v>
      </c>
      <c r="AJ3767" s="9">
        <v>3.0428788910505911</v>
      </c>
    </row>
    <row r="3768" spans="1:36" x14ac:dyDescent="0.25">
      <c r="A3768" t="s">
        <v>5411</v>
      </c>
      <c r="B3768" t="s">
        <v>16</v>
      </c>
      <c r="C3768" t="s">
        <v>17</v>
      </c>
      <c r="D3768">
        <v>66000000</v>
      </c>
      <c r="E3768">
        <v>66999999</v>
      </c>
      <c r="F3768" t="s">
        <v>2434</v>
      </c>
      <c r="G3768" t="str">
        <f t="shared" si="116"/>
        <v>PAC</v>
      </c>
      <c r="H3768" t="s">
        <v>3417</v>
      </c>
      <c r="I3768" t="s">
        <v>20</v>
      </c>
      <c r="J3768" t="s">
        <v>21</v>
      </c>
      <c r="K3768" s="6">
        <v>0.03</v>
      </c>
      <c r="L3768" s="7">
        <f t="shared" si="117"/>
        <v>2E-3</v>
      </c>
      <c r="M3768" s="7">
        <v>3.0000000000000001E-3</v>
      </c>
      <c r="N3768">
        <v>12</v>
      </c>
      <c r="O3768" s="8">
        <v>22.221417269370267</v>
      </c>
      <c r="P3768" s="9">
        <v>22.221417269370267</v>
      </c>
      <c r="Q3768" s="9">
        <v>22.221417269370267</v>
      </c>
      <c r="R3768" s="9">
        <v>22.577761719342078</v>
      </c>
      <c r="S3768" s="9">
        <v>22.812666522307268</v>
      </c>
      <c r="T3768" s="9">
        <v>23.121465471690385</v>
      </c>
      <c r="U3768" s="9">
        <v>32.666066636301139</v>
      </c>
      <c r="V3768" s="9">
        <v>32.666066636301139</v>
      </c>
      <c r="W3768" s="9">
        <v>32.666066636301139</v>
      </c>
      <c r="X3768" s="9">
        <v>42.986418666425109</v>
      </c>
      <c r="Y3768" s="9">
        <v>42.986418666425109</v>
      </c>
      <c r="Z3768" s="9">
        <v>53.499185506383171</v>
      </c>
      <c r="AA3768" s="9">
        <v>53.499185506383171</v>
      </c>
      <c r="AB3768" s="9">
        <v>64.299927661583226</v>
      </c>
      <c r="AC3768" s="9">
        <v>64.299927661583226</v>
      </c>
      <c r="AD3768" s="9">
        <v>74.8019364259833</v>
      </c>
      <c r="AE3768" s="9">
        <v>85.403955934259841</v>
      </c>
      <c r="AF3768" s="9">
        <v>96.115987260800651</v>
      </c>
      <c r="AG3768" s="9">
        <v>96.115987260800651</v>
      </c>
      <c r="AH3768" s="9">
        <v>106.949031587432</v>
      </c>
      <c r="AI3768" s="9">
        <v>117.22489748650338</v>
      </c>
      <c r="AJ3768" s="9">
        <v>3.0428788910505911</v>
      </c>
    </row>
    <row r="3769" spans="1:36" x14ac:dyDescent="0.25">
      <c r="A3769" t="s">
        <v>5411</v>
      </c>
      <c r="B3769" t="s">
        <v>16</v>
      </c>
      <c r="C3769" t="s">
        <v>17</v>
      </c>
      <c r="D3769">
        <v>67000000</v>
      </c>
      <c r="E3769">
        <v>67199999</v>
      </c>
      <c r="F3769" t="s">
        <v>3418</v>
      </c>
      <c r="G3769" t="str">
        <f t="shared" si="116"/>
        <v>PAI</v>
      </c>
      <c r="H3769" t="s">
        <v>3417</v>
      </c>
      <c r="I3769" t="s">
        <v>20</v>
      </c>
      <c r="J3769" t="s">
        <v>62</v>
      </c>
      <c r="K3769" s="6">
        <v>0.03</v>
      </c>
      <c r="L3769" s="7">
        <f t="shared" si="117"/>
        <v>2E-3</v>
      </c>
      <c r="M3769" s="7">
        <v>3.0000000000000001E-3</v>
      </c>
      <c r="N3769">
        <v>14</v>
      </c>
      <c r="O3769" s="8">
        <v>28.403524857829389</v>
      </c>
      <c r="P3769" s="9">
        <v>28.403524857829389</v>
      </c>
      <c r="Q3769" s="9">
        <v>28.403524857829389</v>
      </c>
      <c r="R3769" s="9">
        <v>28.92080496803354</v>
      </c>
      <c r="S3769" s="9">
        <v>29.333627376516958</v>
      </c>
      <c r="T3769" s="9">
        <v>30.284359409358924</v>
      </c>
      <c r="U3769" s="9">
        <v>38.961884648474317</v>
      </c>
      <c r="V3769" s="9">
        <v>38.961884648474317</v>
      </c>
      <c r="W3769" s="9">
        <v>38.961884648474317</v>
      </c>
      <c r="X3769" s="9">
        <v>48.51957336294808</v>
      </c>
      <c r="Y3769" s="9">
        <v>48.51957336294808</v>
      </c>
      <c r="Z3769" s="9">
        <v>58.287780223206148</v>
      </c>
      <c r="AA3769" s="9">
        <v>58.287780223206148</v>
      </c>
      <c r="AB3769" s="9">
        <v>68.332476328937858</v>
      </c>
      <c r="AC3769" s="9">
        <v>68.332476328937858</v>
      </c>
      <c r="AD3769" s="9">
        <v>78.542023920240439</v>
      </c>
      <c r="AE3769" s="9">
        <v>88.937627731651602</v>
      </c>
      <c r="AF3769" s="9">
        <v>99.543292063618765</v>
      </c>
      <c r="AG3769" s="9">
        <v>99.543292063618765</v>
      </c>
      <c r="AH3769" s="9">
        <v>109.83422491913444</v>
      </c>
      <c r="AI3769" s="9">
        <v>120.01350520286388</v>
      </c>
      <c r="AJ3769" s="9">
        <v>3.0428788910505911</v>
      </c>
    </row>
    <row r="3770" spans="1:36" x14ac:dyDescent="0.25">
      <c r="A3770" t="s">
        <v>5411</v>
      </c>
      <c r="B3770" t="s">
        <v>16</v>
      </c>
      <c r="C3770" t="s">
        <v>17</v>
      </c>
      <c r="D3770">
        <v>67200000</v>
      </c>
      <c r="E3770">
        <v>67999999</v>
      </c>
      <c r="F3770" t="s">
        <v>3419</v>
      </c>
      <c r="G3770" t="str">
        <f t="shared" si="116"/>
        <v>PAI II</v>
      </c>
      <c r="H3770" t="s">
        <v>3417</v>
      </c>
      <c r="I3770" t="s">
        <v>20</v>
      </c>
      <c r="J3770" t="s">
        <v>64</v>
      </c>
      <c r="K3770" s="6">
        <v>0.03</v>
      </c>
      <c r="L3770" s="7">
        <f t="shared" si="117"/>
        <v>2E-3</v>
      </c>
      <c r="M3770" s="7">
        <v>3.0000000000000001E-3</v>
      </c>
      <c r="N3770">
        <v>15</v>
      </c>
      <c r="O3770" s="8">
        <v>29.265010066285189</v>
      </c>
      <c r="P3770" s="9">
        <v>29.265010066285189</v>
      </c>
      <c r="Q3770" s="9">
        <v>29.265010066285189</v>
      </c>
      <c r="R3770" s="9">
        <v>29.808934048915802</v>
      </c>
      <c r="S3770" s="9">
        <v>30.249224367117225</v>
      </c>
      <c r="T3770" s="9">
        <v>30.765556355079035</v>
      </c>
      <c r="U3770" s="9">
        <v>39.457963973958975</v>
      </c>
      <c r="V3770" s="9">
        <v>39.457963973958975</v>
      </c>
      <c r="W3770" s="9">
        <v>39.457963973958975</v>
      </c>
      <c r="X3770" s="9">
        <v>49.189335193548523</v>
      </c>
      <c r="Y3770" s="9">
        <v>49.189335193548523</v>
      </c>
      <c r="Z3770" s="9">
        <v>59.021072871873201</v>
      </c>
      <c r="AA3770" s="9">
        <v>59.021072871873201</v>
      </c>
      <c r="AB3770" s="9">
        <v>68.963213654806424</v>
      </c>
      <c r="AC3770" s="9">
        <v>68.963213654806424</v>
      </c>
      <c r="AD3770" s="9">
        <v>80.988013814636687</v>
      </c>
      <c r="AE3770" s="9">
        <v>90.402927149467544</v>
      </c>
      <c r="AF3770" s="9">
        <v>99.950154291619398</v>
      </c>
      <c r="AG3770" s="9">
        <v>99.950154291619398</v>
      </c>
      <c r="AH3770" s="9">
        <v>110.50371811060836</v>
      </c>
      <c r="AI3770" s="9">
        <v>120.12356451319805</v>
      </c>
      <c r="AJ3770" s="9">
        <v>3.0428788910505911</v>
      </c>
    </row>
    <row r="3771" spans="1:36" x14ac:dyDescent="0.25">
      <c r="A3771" t="s">
        <v>5411</v>
      </c>
      <c r="B3771" t="s">
        <v>16</v>
      </c>
      <c r="C3771" t="s">
        <v>17</v>
      </c>
      <c r="D3771">
        <v>68000000</v>
      </c>
      <c r="E3771">
        <v>68128999</v>
      </c>
      <c r="F3771" t="s">
        <v>3420</v>
      </c>
      <c r="G3771" t="str">
        <f t="shared" si="116"/>
        <v>PAR</v>
      </c>
      <c r="H3771" t="s">
        <v>3417</v>
      </c>
      <c r="I3771" t="s">
        <v>20</v>
      </c>
      <c r="J3771" t="s">
        <v>77</v>
      </c>
      <c r="K3771" s="6">
        <v>0.03</v>
      </c>
      <c r="L3771" s="7">
        <f t="shared" si="117"/>
        <v>2E-3</v>
      </c>
      <c r="M3771" s="7">
        <v>3.0000000000000001E-3</v>
      </c>
      <c r="N3771">
        <v>17</v>
      </c>
      <c r="O3771" s="8">
        <v>49.365095147237867</v>
      </c>
      <c r="P3771" s="9">
        <v>49.365095147237867</v>
      </c>
      <c r="Q3771" s="9">
        <v>49.365095147237867</v>
      </c>
      <c r="R3771" s="9">
        <v>50.770888721957412</v>
      </c>
      <c r="S3771" s="9">
        <v>52.200434315108524</v>
      </c>
      <c r="T3771" s="9">
        <v>52.412128096069225</v>
      </c>
      <c r="U3771" s="9">
        <v>59.043428948049694</v>
      </c>
      <c r="V3771" s="9">
        <v>59.043428948049694</v>
      </c>
      <c r="W3771" s="9">
        <v>59.043428948049694</v>
      </c>
      <c r="X3771" s="9">
        <v>71.670593717854672</v>
      </c>
      <c r="Y3771" s="9">
        <v>71.670593717854672</v>
      </c>
      <c r="Z3771" s="9">
        <v>81.082684339640124</v>
      </c>
      <c r="AA3771" s="9">
        <v>81.082684339640124</v>
      </c>
      <c r="AB3771" s="9">
        <v>89.394521523604197</v>
      </c>
      <c r="AC3771" s="9">
        <v>89.394521523604197</v>
      </c>
      <c r="AD3771" s="9">
        <v>100.64015972511829</v>
      </c>
      <c r="AE3771" s="9">
        <v>111.62134673584954</v>
      </c>
      <c r="AF3771" s="9">
        <v>124.72674901989339</v>
      </c>
      <c r="AG3771" s="9">
        <v>124.72674901989339</v>
      </c>
      <c r="AH3771" s="9">
        <v>144.13642656805314</v>
      </c>
      <c r="AI3771" s="9">
        <v>157.75463032016435</v>
      </c>
      <c r="AJ3771" s="9">
        <v>3.0428788910505911</v>
      </c>
    </row>
    <row r="3772" spans="1:36" x14ac:dyDescent="0.25">
      <c r="A3772" t="s">
        <v>5411</v>
      </c>
      <c r="B3772" t="s">
        <v>16</v>
      </c>
      <c r="C3772" t="s">
        <v>17</v>
      </c>
      <c r="D3772">
        <v>68129000</v>
      </c>
      <c r="E3772">
        <v>68129999</v>
      </c>
      <c r="F3772" t="s">
        <v>3421</v>
      </c>
      <c r="G3772" t="str">
        <f t="shared" si="116"/>
        <v>PAR</v>
      </c>
      <c r="H3772" t="s">
        <v>3417</v>
      </c>
      <c r="I3772" t="s">
        <v>20</v>
      </c>
      <c r="J3772" t="s">
        <v>77</v>
      </c>
      <c r="K3772" s="6">
        <v>0.03</v>
      </c>
      <c r="L3772" s="7">
        <f t="shared" si="117"/>
        <v>2E-3</v>
      </c>
      <c r="M3772" s="7">
        <v>3.0000000000000001E-3</v>
      </c>
      <c r="N3772">
        <v>17</v>
      </c>
      <c r="O3772" s="8">
        <v>49.365095147237867</v>
      </c>
      <c r="P3772" s="9">
        <v>49.365095147237867</v>
      </c>
      <c r="Q3772" s="9">
        <v>49.365095147237867</v>
      </c>
      <c r="R3772" s="9">
        <v>50.770888721957412</v>
      </c>
      <c r="S3772" s="9">
        <v>52.200434315108524</v>
      </c>
      <c r="T3772" s="9">
        <v>52.412128096069225</v>
      </c>
      <c r="U3772" s="9">
        <v>59.043428948049694</v>
      </c>
      <c r="V3772" s="9">
        <v>59.043428948049694</v>
      </c>
      <c r="W3772" s="9">
        <v>59.043428948049694</v>
      </c>
      <c r="X3772" s="9">
        <v>71.670593717854672</v>
      </c>
      <c r="Y3772" s="9">
        <v>71.670593717854672</v>
      </c>
      <c r="Z3772" s="9">
        <v>81.082684339640124</v>
      </c>
      <c r="AA3772" s="9">
        <v>81.082684339640124</v>
      </c>
      <c r="AB3772" s="9">
        <v>89.394521523604197</v>
      </c>
      <c r="AC3772" s="9">
        <v>89.394521523604197</v>
      </c>
      <c r="AD3772" s="9">
        <v>100.64015972511829</v>
      </c>
      <c r="AE3772" s="9">
        <v>111.62134673584954</v>
      </c>
      <c r="AF3772" s="9">
        <v>124.72674901989339</v>
      </c>
      <c r="AG3772" s="9">
        <v>124.72674901989339</v>
      </c>
      <c r="AH3772" s="9">
        <v>144.13642656805314</v>
      </c>
      <c r="AI3772" s="9">
        <v>157.75463032016435</v>
      </c>
      <c r="AJ3772" s="9">
        <v>3.0428788910505911</v>
      </c>
    </row>
    <row r="3773" spans="1:36" x14ac:dyDescent="0.25">
      <c r="A3773" t="s">
        <v>5411</v>
      </c>
      <c r="B3773" t="s">
        <v>16</v>
      </c>
      <c r="C3773" t="s">
        <v>17</v>
      </c>
      <c r="D3773">
        <v>68130000</v>
      </c>
      <c r="E3773">
        <v>68137999</v>
      </c>
      <c r="F3773" t="s">
        <v>3422</v>
      </c>
      <c r="G3773" t="str">
        <f t="shared" si="116"/>
        <v>PAR</v>
      </c>
      <c r="H3773" t="s">
        <v>3417</v>
      </c>
      <c r="I3773" t="s">
        <v>20</v>
      </c>
      <c r="J3773" t="s">
        <v>77</v>
      </c>
      <c r="K3773" s="6">
        <v>0.03</v>
      </c>
      <c r="L3773" s="7">
        <f t="shared" si="117"/>
        <v>2E-3</v>
      </c>
      <c r="M3773" s="7">
        <v>3.0000000000000001E-3</v>
      </c>
      <c r="N3773">
        <v>17</v>
      </c>
      <c r="O3773" s="8">
        <v>49.365095147237867</v>
      </c>
      <c r="P3773" s="9">
        <v>49.365095147237867</v>
      </c>
      <c r="Q3773" s="9">
        <v>49.365095147237867</v>
      </c>
      <c r="R3773" s="9">
        <v>50.770888721957412</v>
      </c>
      <c r="S3773" s="9">
        <v>52.200434315108524</v>
      </c>
      <c r="T3773" s="9">
        <v>52.412128096069225</v>
      </c>
      <c r="U3773" s="9">
        <v>59.043428948049694</v>
      </c>
      <c r="V3773" s="9">
        <v>59.043428948049694</v>
      </c>
      <c r="W3773" s="9">
        <v>59.043428948049694</v>
      </c>
      <c r="X3773" s="9">
        <v>71.670593717854672</v>
      </c>
      <c r="Y3773" s="9">
        <v>71.670593717854672</v>
      </c>
      <c r="Z3773" s="9">
        <v>81.082684339640124</v>
      </c>
      <c r="AA3773" s="9">
        <v>81.082684339640124</v>
      </c>
      <c r="AB3773" s="9">
        <v>89.394521523604197</v>
      </c>
      <c r="AC3773" s="9">
        <v>89.394521523604197</v>
      </c>
      <c r="AD3773" s="9">
        <v>100.64015972511829</v>
      </c>
      <c r="AE3773" s="9">
        <v>111.62134673584954</v>
      </c>
      <c r="AF3773" s="9">
        <v>124.72674901989339</v>
      </c>
      <c r="AG3773" s="9">
        <v>124.72674901989339</v>
      </c>
      <c r="AH3773" s="9">
        <v>144.13642656805314</v>
      </c>
      <c r="AI3773" s="9">
        <v>157.75463032016435</v>
      </c>
      <c r="AJ3773" s="9">
        <v>3.0428788910505911</v>
      </c>
    </row>
    <row r="3774" spans="1:36" x14ac:dyDescent="0.25">
      <c r="A3774" t="s">
        <v>5411</v>
      </c>
      <c r="B3774" t="s">
        <v>16</v>
      </c>
      <c r="C3774" t="s">
        <v>17</v>
      </c>
      <c r="D3774">
        <v>68138000</v>
      </c>
      <c r="E3774">
        <v>68139999</v>
      </c>
      <c r="F3774" t="s">
        <v>3423</v>
      </c>
      <c r="G3774" t="str">
        <f t="shared" si="116"/>
        <v>PAR</v>
      </c>
      <c r="H3774" t="s">
        <v>3417</v>
      </c>
      <c r="I3774" t="s">
        <v>20</v>
      </c>
      <c r="J3774" t="s">
        <v>77</v>
      </c>
      <c r="K3774" s="6">
        <v>0.03</v>
      </c>
      <c r="L3774" s="7">
        <f t="shared" si="117"/>
        <v>2E-3</v>
      </c>
      <c r="M3774" s="7">
        <v>3.0000000000000001E-3</v>
      </c>
      <c r="N3774">
        <v>17</v>
      </c>
      <c r="O3774" s="8">
        <v>49.365095147237867</v>
      </c>
      <c r="P3774" s="9">
        <v>49.365095147237867</v>
      </c>
      <c r="Q3774" s="9">
        <v>49.365095147237867</v>
      </c>
      <c r="R3774" s="9">
        <v>50.770888721957412</v>
      </c>
      <c r="S3774" s="9">
        <v>52.200434315108524</v>
      </c>
      <c r="T3774" s="9">
        <v>52.412128096069225</v>
      </c>
      <c r="U3774" s="9">
        <v>59.043428948049694</v>
      </c>
      <c r="V3774" s="9">
        <v>59.043428948049694</v>
      </c>
      <c r="W3774" s="9">
        <v>59.043428948049694</v>
      </c>
      <c r="X3774" s="9">
        <v>71.670593717854672</v>
      </c>
      <c r="Y3774" s="9">
        <v>71.670593717854672</v>
      </c>
      <c r="Z3774" s="9">
        <v>81.082684339640124</v>
      </c>
      <c r="AA3774" s="9">
        <v>81.082684339640124</v>
      </c>
      <c r="AB3774" s="9">
        <v>89.394521523604197</v>
      </c>
      <c r="AC3774" s="9">
        <v>89.394521523604197</v>
      </c>
      <c r="AD3774" s="9">
        <v>100.64015972511829</v>
      </c>
      <c r="AE3774" s="9">
        <v>111.62134673584954</v>
      </c>
      <c r="AF3774" s="9">
        <v>124.72674901989339</v>
      </c>
      <c r="AG3774" s="9">
        <v>124.72674901989339</v>
      </c>
      <c r="AH3774" s="9">
        <v>144.13642656805314</v>
      </c>
      <c r="AI3774" s="9">
        <v>157.75463032016435</v>
      </c>
      <c r="AJ3774" s="9">
        <v>3.0428788910505911</v>
      </c>
    </row>
    <row r="3775" spans="1:36" x14ac:dyDescent="0.25">
      <c r="A3775" t="s">
        <v>5411</v>
      </c>
      <c r="B3775" t="s">
        <v>16</v>
      </c>
      <c r="C3775" t="s">
        <v>17</v>
      </c>
      <c r="D3775">
        <v>68140000</v>
      </c>
      <c r="E3775">
        <v>68142999</v>
      </c>
      <c r="F3775" t="s">
        <v>3424</v>
      </c>
      <c r="G3775" t="str">
        <f t="shared" si="116"/>
        <v>PAR</v>
      </c>
      <c r="H3775" t="s">
        <v>3417</v>
      </c>
      <c r="I3775" t="s">
        <v>20</v>
      </c>
      <c r="J3775" t="s">
        <v>77</v>
      </c>
      <c r="K3775" s="6">
        <v>0.03</v>
      </c>
      <c r="L3775" s="7">
        <f t="shared" si="117"/>
        <v>2E-3</v>
      </c>
      <c r="M3775" s="7">
        <v>3.0000000000000001E-3</v>
      </c>
      <c r="N3775">
        <v>17</v>
      </c>
      <c r="O3775" s="8">
        <v>49.365095147237867</v>
      </c>
      <c r="P3775" s="9">
        <v>49.365095147237867</v>
      </c>
      <c r="Q3775" s="9">
        <v>49.365095147237867</v>
      </c>
      <c r="R3775" s="9">
        <v>50.770888721957412</v>
      </c>
      <c r="S3775" s="9">
        <v>52.200434315108524</v>
      </c>
      <c r="T3775" s="9">
        <v>52.412128096069225</v>
      </c>
      <c r="U3775" s="9">
        <v>59.043428948049694</v>
      </c>
      <c r="V3775" s="9">
        <v>59.043428948049694</v>
      </c>
      <c r="W3775" s="9">
        <v>59.043428948049694</v>
      </c>
      <c r="X3775" s="9">
        <v>71.670593717854672</v>
      </c>
      <c r="Y3775" s="9">
        <v>71.670593717854672</v>
      </c>
      <c r="Z3775" s="9">
        <v>81.082684339640124</v>
      </c>
      <c r="AA3775" s="9">
        <v>81.082684339640124</v>
      </c>
      <c r="AB3775" s="9">
        <v>89.394521523604197</v>
      </c>
      <c r="AC3775" s="9">
        <v>89.394521523604197</v>
      </c>
      <c r="AD3775" s="9">
        <v>100.64015972511829</v>
      </c>
      <c r="AE3775" s="9">
        <v>111.62134673584954</v>
      </c>
      <c r="AF3775" s="9">
        <v>124.72674901989339</v>
      </c>
      <c r="AG3775" s="9">
        <v>124.72674901989339</v>
      </c>
      <c r="AH3775" s="9">
        <v>144.13642656805314</v>
      </c>
      <c r="AI3775" s="9">
        <v>157.75463032016435</v>
      </c>
      <c r="AJ3775" s="9">
        <v>3.0428788910505911</v>
      </c>
    </row>
    <row r="3776" spans="1:36" x14ac:dyDescent="0.25">
      <c r="A3776" t="s">
        <v>5411</v>
      </c>
      <c r="B3776" t="s">
        <v>16</v>
      </c>
      <c r="C3776" t="s">
        <v>17</v>
      </c>
      <c r="D3776">
        <v>68143000</v>
      </c>
      <c r="E3776">
        <v>68144999</v>
      </c>
      <c r="F3776" t="s">
        <v>3425</v>
      </c>
      <c r="G3776" t="str">
        <f t="shared" si="116"/>
        <v>PAR</v>
      </c>
      <c r="H3776" t="s">
        <v>3417</v>
      </c>
      <c r="I3776" t="s">
        <v>20</v>
      </c>
      <c r="J3776" t="s">
        <v>77</v>
      </c>
      <c r="K3776" s="6">
        <v>0.03</v>
      </c>
      <c r="L3776" s="7">
        <f t="shared" si="117"/>
        <v>2E-3</v>
      </c>
      <c r="M3776" s="7">
        <v>3.0000000000000001E-3</v>
      </c>
      <c r="N3776">
        <v>17</v>
      </c>
      <c r="O3776" s="8">
        <v>49.365095147237867</v>
      </c>
      <c r="P3776" s="9">
        <v>49.365095147237867</v>
      </c>
      <c r="Q3776" s="9">
        <v>49.365095147237867</v>
      </c>
      <c r="R3776" s="9">
        <v>50.770888721957412</v>
      </c>
      <c r="S3776" s="9">
        <v>52.200434315108524</v>
      </c>
      <c r="T3776" s="9">
        <v>52.412128096069225</v>
      </c>
      <c r="U3776" s="9">
        <v>59.043428948049694</v>
      </c>
      <c r="V3776" s="9">
        <v>59.043428948049694</v>
      </c>
      <c r="W3776" s="9">
        <v>59.043428948049694</v>
      </c>
      <c r="X3776" s="9">
        <v>71.670593717854672</v>
      </c>
      <c r="Y3776" s="9">
        <v>71.670593717854672</v>
      </c>
      <c r="Z3776" s="9">
        <v>81.082684339640124</v>
      </c>
      <c r="AA3776" s="9">
        <v>81.082684339640124</v>
      </c>
      <c r="AB3776" s="9">
        <v>89.394521523604197</v>
      </c>
      <c r="AC3776" s="9">
        <v>89.394521523604197</v>
      </c>
      <c r="AD3776" s="9">
        <v>100.64015972511829</v>
      </c>
      <c r="AE3776" s="9">
        <v>111.62134673584954</v>
      </c>
      <c r="AF3776" s="9">
        <v>124.72674901989339</v>
      </c>
      <c r="AG3776" s="9">
        <v>124.72674901989339</v>
      </c>
      <c r="AH3776" s="9">
        <v>144.13642656805314</v>
      </c>
      <c r="AI3776" s="9">
        <v>157.75463032016435</v>
      </c>
      <c r="AJ3776" s="9">
        <v>3.0428788910505911</v>
      </c>
    </row>
    <row r="3777" spans="1:36" x14ac:dyDescent="0.25">
      <c r="A3777" t="s">
        <v>5411</v>
      </c>
      <c r="B3777" t="s">
        <v>16</v>
      </c>
      <c r="C3777" t="s">
        <v>17</v>
      </c>
      <c r="D3777">
        <v>68145000</v>
      </c>
      <c r="E3777">
        <v>68147999</v>
      </c>
      <c r="F3777" t="s">
        <v>3426</v>
      </c>
      <c r="G3777" t="str">
        <f t="shared" si="116"/>
        <v>PAR</v>
      </c>
      <c r="H3777" t="s">
        <v>3417</v>
      </c>
      <c r="I3777" t="s">
        <v>20</v>
      </c>
      <c r="J3777" t="s">
        <v>77</v>
      </c>
      <c r="K3777" s="6">
        <v>0.03</v>
      </c>
      <c r="L3777" s="7">
        <f t="shared" si="117"/>
        <v>2E-3</v>
      </c>
      <c r="M3777" s="7">
        <v>3.0000000000000001E-3</v>
      </c>
      <c r="N3777">
        <v>17</v>
      </c>
      <c r="O3777" s="8">
        <v>49.365095147237867</v>
      </c>
      <c r="P3777" s="9">
        <v>49.365095147237867</v>
      </c>
      <c r="Q3777" s="9">
        <v>49.365095147237867</v>
      </c>
      <c r="R3777" s="9">
        <v>50.770888721957412</v>
      </c>
      <c r="S3777" s="9">
        <v>52.200434315108524</v>
      </c>
      <c r="T3777" s="9">
        <v>52.412128096069225</v>
      </c>
      <c r="U3777" s="9">
        <v>59.043428948049694</v>
      </c>
      <c r="V3777" s="9">
        <v>59.043428948049694</v>
      </c>
      <c r="W3777" s="9">
        <v>59.043428948049694</v>
      </c>
      <c r="X3777" s="9">
        <v>71.670593717854672</v>
      </c>
      <c r="Y3777" s="9">
        <v>71.670593717854672</v>
      </c>
      <c r="Z3777" s="9">
        <v>81.082684339640124</v>
      </c>
      <c r="AA3777" s="9">
        <v>81.082684339640124</v>
      </c>
      <c r="AB3777" s="9">
        <v>89.394521523604197</v>
      </c>
      <c r="AC3777" s="9">
        <v>89.394521523604197</v>
      </c>
      <c r="AD3777" s="9">
        <v>100.64015972511829</v>
      </c>
      <c r="AE3777" s="9">
        <v>111.62134673584954</v>
      </c>
      <c r="AF3777" s="9">
        <v>124.72674901989339</v>
      </c>
      <c r="AG3777" s="9">
        <v>124.72674901989339</v>
      </c>
      <c r="AH3777" s="9">
        <v>144.13642656805314</v>
      </c>
      <c r="AI3777" s="9">
        <v>157.75463032016435</v>
      </c>
      <c r="AJ3777" s="9">
        <v>3.0428788910505911</v>
      </c>
    </row>
    <row r="3778" spans="1:36" x14ac:dyDescent="0.25">
      <c r="A3778" t="s">
        <v>5411</v>
      </c>
      <c r="B3778" t="s">
        <v>16</v>
      </c>
      <c r="C3778" t="s">
        <v>17</v>
      </c>
      <c r="D3778">
        <v>68148000</v>
      </c>
      <c r="E3778">
        <v>68149999</v>
      </c>
      <c r="F3778" t="s">
        <v>3427</v>
      </c>
      <c r="G3778" t="str">
        <f t="shared" si="116"/>
        <v>PAR</v>
      </c>
      <c r="H3778" t="s">
        <v>3417</v>
      </c>
      <c r="I3778" t="s">
        <v>20</v>
      </c>
      <c r="J3778" t="s">
        <v>77</v>
      </c>
      <c r="K3778" s="6">
        <v>0.03</v>
      </c>
      <c r="L3778" s="7">
        <f t="shared" si="117"/>
        <v>2E-3</v>
      </c>
      <c r="M3778" s="7">
        <v>3.0000000000000001E-3</v>
      </c>
      <c r="N3778">
        <v>17</v>
      </c>
      <c r="O3778" s="8">
        <v>49.365095147237867</v>
      </c>
      <c r="P3778" s="9">
        <v>49.365095147237867</v>
      </c>
      <c r="Q3778" s="9">
        <v>49.365095147237867</v>
      </c>
      <c r="R3778" s="9">
        <v>50.770888721957412</v>
      </c>
      <c r="S3778" s="9">
        <v>52.200434315108524</v>
      </c>
      <c r="T3778" s="9">
        <v>52.412128096069225</v>
      </c>
      <c r="U3778" s="9">
        <v>59.043428948049694</v>
      </c>
      <c r="V3778" s="9">
        <v>59.043428948049694</v>
      </c>
      <c r="W3778" s="9">
        <v>59.043428948049694</v>
      </c>
      <c r="X3778" s="9">
        <v>71.670593717854672</v>
      </c>
      <c r="Y3778" s="9">
        <v>71.670593717854672</v>
      </c>
      <c r="Z3778" s="9">
        <v>81.082684339640124</v>
      </c>
      <c r="AA3778" s="9">
        <v>81.082684339640124</v>
      </c>
      <c r="AB3778" s="9">
        <v>89.394521523604197</v>
      </c>
      <c r="AC3778" s="9">
        <v>89.394521523604197</v>
      </c>
      <c r="AD3778" s="9">
        <v>100.64015972511829</v>
      </c>
      <c r="AE3778" s="9">
        <v>111.62134673584954</v>
      </c>
      <c r="AF3778" s="9">
        <v>124.72674901989339</v>
      </c>
      <c r="AG3778" s="9">
        <v>124.72674901989339</v>
      </c>
      <c r="AH3778" s="9">
        <v>144.13642656805314</v>
      </c>
      <c r="AI3778" s="9">
        <v>157.75463032016435</v>
      </c>
      <c r="AJ3778" s="9">
        <v>3.0428788910505911</v>
      </c>
    </row>
    <row r="3779" spans="1:36" x14ac:dyDescent="0.25">
      <c r="A3779" t="s">
        <v>5411</v>
      </c>
      <c r="B3779" t="s">
        <v>16</v>
      </c>
      <c r="C3779" t="s">
        <v>17</v>
      </c>
      <c r="D3779">
        <v>68150000</v>
      </c>
      <c r="E3779">
        <v>68164999</v>
      </c>
      <c r="F3779" t="s">
        <v>3428</v>
      </c>
      <c r="G3779" t="str">
        <f t="shared" si="116"/>
        <v>PAR</v>
      </c>
      <c r="H3779" t="s">
        <v>3417</v>
      </c>
      <c r="I3779" t="s">
        <v>20</v>
      </c>
      <c r="J3779" t="s">
        <v>77</v>
      </c>
      <c r="K3779" s="6">
        <v>0.03</v>
      </c>
      <c r="L3779" s="7">
        <f t="shared" si="117"/>
        <v>2E-3</v>
      </c>
      <c r="M3779" s="7">
        <v>3.0000000000000001E-3</v>
      </c>
      <c r="N3779">
        <v>17</v>
      </c>
      <c r="O3779" s="8">
        <v>49.365095147237867</v>
      </c>
      <c r="P3779" s="9">
        <v>49.365095147237867</v>
      </c>
      <c r="Q3779" s="9">
        <v>49.365095147237867</v>
      </c>
      <c r="R3779" s="9">
        <v>50.770888721957412</v>
      </c>
      <c r="S3779" s="9">
        <v>52.200434315108524</v>
      </c>
      <c r="T3779" s="9">
        <v>52.412128096069225</v>
      </c>
      <c r="U3779" s="9">
        <v>59.043428948049694</v>
      </c>
      <c r="V3779" s="9">
        <v>59.043428948049694</v>
      </c>
      <c r="W3779" s="9">
        <v>59.043428948049694</v>
      </c>
      <c r="X3779" s="9">
        <v>71.670593717854672</v>
      </c>
      <c r="Y3779" s="9">
        <v>71.670593717854672</v>
      </c>
      <c r="Z3779" s="9">
        <v>81.082684339640124</v>
      </c>
      <c r="AA3779" s="9">
        <v>81.082684339640124</v>
      </c>
      <c r="AB3779" s="9">
        <v>89.394521523604197</v>
      </c>
      <c r="AC3779" s="9">
        <v>89.394521523604197</v>
      </c>
      <c r="AD3779" s="9">
        <v>100.64015972511829</v>
      </c>
      <c r="AE3779" s="9">
        <v>111.62134673584954</v>
      </c>
      <c r="AF3779" s="9">
        <v>124.72674901989339</v>
      </c>
      <c r="AG3779" s="9">
        <v>124.72674901989339</v>
      </c>
      <c r="AH3779" s="9">
        <v>144.13642656805314</v>
      </c>
      <c r="AI3779" s="9">
        <v>157.75463032016435</v>
      </c>
      <c r="AJ3779" s="9">
        <v>3.0428788910505911</v>
      </c>
    </row>
    <row r="3780" spans="1:36" x14ac:dyDescent="0.25">
      <c r="A3780" t="s">
        <v>5411</v>
      </c>
      <c r="B3780" t="s">
        <v>16</v>
      </c>
      <c r="C3780" t="s">
        <v>17</v>
      </c>
      <c r="D3780">
        <v>68165000</v>
      </c>
      <c r="E3780">
        <v>68169999</v>
      </c>
      <c r="F3780" t="s">
        <v>3429</v>
      </c>
      <c r="G3780" t="str">
        <f t="shared" ref="G3780:G3843" si="118">H3780&amp;IF(J3780="CAPITAL","C",IF(J3780="INTERIOR","I",IF(J3780="INTERIOR II","I II","R")))</f>
        <v>PAR</v>
      </c>
      <c r="H3780" t="s">
        <v>3417</v>
      </c>
      <c r="I3780" t="s">
        <v>20</v>
      </c>
      <c r="J3780" t="s">
        <v>77</v>
      </c>
      <c r="K3780" s="6">
        <v>0.03</v>
      </c>
      <c r="L3780" s="7">
        <f t="shared" ref="L3780:L3843" si="119">IF(I3780="(0) Não",0.2%,3%)</f>
        <v>2E-3</v>
      </c>
      <c r="M3780" s="7">
        <v>3.0000000000000001E-3</v>
      </c>
      <c r="N3780">
        <v>17</v>
      </c>
      <c r="O3780" s="8">
        <v>49.365095147237867</v>
      </c>
      <c r="P3780" s="9">
        <v>49.365095147237867</v>
      </c>
      <c r="Q3780" s="9">
        <v>49.365095147237867</v>
      </c>
      <c r="R3780" s="9">
        <v>50.770888721957412</v>
      </c>
      <c r="S3780" s="9">
        <v>52.200434315108524</v>
      </c>
      <c r="T3780" s="9">
        <v>52.412128096069225</v>
      </c>
      <c r="U3780" s="9">
        <v>59.043428948049694</v>
      </c>
      <c r="V3780" s="9">
        <v>59.043428948049694</v>
      </c>
      <c r="W3780" s="9">
        <v>59.043428948049694</v>
      </c>
      <c r="X3780" s="9">
        <v>71.670593717854672</v>
      </c>
      <c r="Y3780" s="9">
        <v>71.670593717854672</v>
      </c>
      <c r="Z3780" s="9">
        <v>81.082684339640124</v>
      </c>
      <c r="AA3780" s="9">
        <v>81.082684339640124</v>
      </c>
      <c r="AB3780" s="9">
        <v>89.394521523604197</v>
      </c>
      <c r="AC3780" s="9">
        <v>89.394521523604197</v>
      </c>
      <c r="AD3780" s="9">
        <v>100.64015972511829</v>
      </c>
      <c r="AE3780" s="9">
        <v>111.62134673584954</v>
      </c>
      <c r="AF3780" s="9">
        <v>124.72674901989339</v>
      </c>
      <c r="AG3780" s="9">
        <v>124.72674901989339</v>
      </c>
      <c r="AH3780" s="9">
        <v>144.13642656805314</v>
      </c>
      <c r="AI3780" s="9">
        <v>157.75463032016435</v>
      </c>
      <c r="AJ3780" s="9">
        <v>3.0428788910505911</v>
      </c>
    </row>
    <row r="3781" spans="1:36" x14ac:dyDescent="0.25">
      <c r="A3781" t="s">
        <v>5411</v>
      </c>
      <c r="B3781" t="s">
        <v>16</v>
      </c>
      <c r="C3781" t="s">
        <v>17</v>
      </c>
      <c r="D3781">
        <v>68170000</v>
      </c>
      <c r="E3781">
        <v>68179999</v>
      </c>
      <c r="F3781" t="s">
        <v>3430</v>
      </c>
      <c r="G3781" t="str">
        <f t="shared" si="118"/>
        <v>PAR</v>
      </c>
      <c r="H3781" t="s">
        <v>3417</v>
      </c>
      <c r="I3781" t="s">
        <v>20</v>
      </c>
      <c r="J3781" t="s">
        <v>77</v>
      </c>
      <c r="K3781" s="6">
        <v>0.03</v>
      </c>
      <c r="L3781" s="7">
        <f t="shared" si="119"/>
        <v>2E-3</v>
      </c>
      <c r="M3781" s="7">
        <v>3.0000000000000001E-3</v>
      </c>
      <c r="N3781">
        <v>17</v>
      </c>
      <c r="O3781" s="8">
        <v>49.365095147237867</v>
      </c>
      <c r="P3781" s="9">
        <v>49.365095147237867</v>
      </c>
      <c r="Q3781" s="9">
        <v>49.365095147237867</v>
      </c>
      <c r="R3781" s="9">
        <v>50.770888721957412</v>
      </c>
      <c r="S3781" s="9">
        <v>52.200434315108524</v>
      </c>
      <c r="T3781" s="9">
        <v>52.412128096069225</v>
      </c>
      <c r="U3781" s="9">
        <v>59.043428948049694</v>
      </c>
      <c r="V3781" s="9">
        <v>59.043428948049694</v>
      </c>
      <c r="W3781" s="9">
        <v>59.043428948049694</v>
      </c>
      <c r="X3781" s="9">
        <v>71.670593717854672</v>
      </c>
      <c r="Y3781" s="9">
        <v>71.670593717854672</v>
      </c>
      <c r="Z3781" s="9">
        <v>81.082684339640124</v>
      </c>
      <c r="AA3781" s="9">
        <v>81.082684339640124</v>
      </c>
      <c r="AB3781" s="9">
        <v>89.394521523604197</v>
      </c>
      <c r="AC3781" s="9">
        <v>89.394521523604197</v>
      </c>
      <c r="AD3781" s="9">
        <v>100.64015972511829</v>
      </c>
      <c r="AE3781" s="9">
        <v>111.62134673584954</v>
      </c>
      <c r="AF3781" s="9">
        <v>124.72674901989339</v>
      </c>
      <c r="AG3781" s="9">
        <v>124.72674901989339</v>
      </c>
      <c r="AH3781" s="9">
        <v>144.13642656805314</v>
      </c>
      <c r="AI3781" s="9">
        <v>157.75463032016435</v>
      </c>
      <c r="AJ3781" s="9">
        <v>3.0428788910505911</v>
      </c>
    </row>
    <row r="3782" spans="1:36" x14ac:dyDescent="0.25">
      <c r="A3782" t="s">
        <v>5411</v>
      </c>
      <c r="B3782" t="s">
        <v>16</v>
      </c>
      <c r="C3782" t="s">
        <v>17</v>
      </c>
      <c r="D3782">
        <v>68180000</v>
      </c>
      <c r="E3782">
        <v>68192999</v>
      </c>
      <c r="F3782" t="s">
        <v>3431</v>
      </c>
      <c r="G3782" t="str">
        <f t="shared" si="118"/>
        <v>PAR</v>
      </c>
      <c r="H3782" t="s">
        <v>3417</v>
      </c>
      <c r="I3782" t="s">
        <v>20</v>
      </c>
      <c r="J3782" t="s">
        <v>77</v>
      </c>
      <c r="K3782" s="6">
        <v>0.03</v>
      </c>
      <c r="L3782" s="7">
        <f t="shared" si="119"/>
        <v>2E-3</v>
      </c>
      <c r="M3782" s="7">
        <v>3.0000000000000001E-3</v>
      </c>
      <c r="N3782">
        <v>17</v>
      </c>
      <c r="O3782" s="8">
        <v>49.365095147237867</v>
      </c>
      <c r="P3782" s="9">
        <v>49.365095147237867</v>
      </c>
      <c r="Q3782" s="9">
        <v>49.365095147237867</v>
      </c>
      <c r="R3782" s="9">
        <v>50.770888721957412</v>
      </c>
      <c r="S3782" s="9">
        <v>52.200434315108524</v>
      </c>
      <c r="T3782" s="9">
        <v>52.412128096069225</v>
      </c>
      <c r="U3782" s="9">
        <v>59.043428948049694</v>
      </c>
      <c r="V3782" s="9">
        <v>59.043428948049694</v>
      </c>
      <c r="W3782" s="9">
        <v>59.043428948049694</v>
      </c>
      <c r="X3782" s="9">
        <v>71.670593717854672</v>
      </c>
      <c r="Y3782" s="9">
        <v>71.670593717854672</v>
      </c>
      <c r="Z3782" s="9">
        <v>81.082684339640124</v>
      </c>
      <c r="AA3782" s="9">
        <v>81.082684339640124</v>
      </c>
      <c r="AB3782" s="9">
        <v>89.394521523604197</v>
      </c>
      <c r="AC3782" s="9">
        <v>89.394521523604197</v>
      </c>
      <c r="AD3782" s="9">
        <v>100.64015972511829</v>
      </c>
      <c r="AE3782" s="9">
        <v>111.62134673584954</v>
      </c>
      <c r="AF3782" s="9">
        <v>124.72674901989339</v>
      </c>
      <c r="AG3782" s="9">
        <v>124.72674901989339</v>
      </c>
      <c r="AH3782" s="9">
        <v>144.13642656805314</v>
      </c>
      <c r="AI3782" s="9">
        <v>157.75463032016435</v>
      </c>
      <c r="AJ3782" s="9">
        <v>3.0428788910505911</v>
      </c>
    </row>
    <row r="3783" spans="1:36" x14ac:dyDescent="0.25">
      <c r="A3783" t="s">
        <v>5411</v>
      </c>
      <c r="B3783" t="s">
        <v>16</v>
      </c>
      <c r="C3783" t="s">
        <v>17</v>
      </c>
      <c r="D3783">
        <v>68193000</v>
      </c>
      <c r="E3783">
        <v>68194999</v>
      </c>
      <c r="F3783" t="s">
        <v>3432</v>
      </c>
      <c r="G3783" t="str">
        <f t="shared" si="118"/>
        <v>PAR</v>
      </c>
      <c r="H3783" t="s">
        <v>3417</v>
      </c>
      <c r="I3783" t="s">
        <v>20</v>
      </c>
      <c r="J3783" t="s">
        <v>77</v>
      </c>
      <c r="K3783" s="6">
        <v>0.03</v>
      </c>
      <c r="L3783" s="7">
        <f t="shared" si="119"/>
        <v>2E-3</v>
      </c>
      <c r="M3783" s="7">
        <v>3.0000000000000001E-3</v>
      </c>
      <c r="N3783">
        <v>17</v>
      </c>
      <c r="O3783" s="8">
        <v>49.365095147237867</v>
      </c>
      <c r="P3783" s="9">
        <v>49.365095147237867</v>
      </c>
      <c r="Q3783" s="9">
        <v>49.365095147237867</v>
      </c>
      <c r="R3783" s="9">
        <v>50.770888721957412</v>
      </c>
      <c r="S3783" s="9">
        <v>52.200434315108524</v>
      </c>
      <c r="T3783" s="9">
        <v>52.412128096069225</v>
      </c>
      <c r="U3783" s="9">
        <v>59.043428948049694</v>
      </c>
      <c r="V3783" s="9">
        <v>59.043428948049694</v>
      </c>
      <c r="W3783" s="9">
        <v>59.043428948049694</v>
      </c>
      <c r="X3783" s="9">
        <v>71.670593717854672</v>
      </c>
      <c r="Y3783" s="9">
        <v>71.670593717854672</v>
      </c>
      <c r="Z3783" s="9">
        <v>81.082684339640124</v>
      </c>
      <c r="AA3783" s="9">
        <v>81.082684339640124</v>
      </c>
      <c r="AB3783" s="9">
        <v>89.394521523604197</v>
      </c>
      <c r="AC3783" s="9">
        <v>89.394521523604197</v>
      </c>
      <c r="AD3783" s="9">
        <v>100.64015972511829</v>
      </c>
      <c r="AE3783" s="9">
        <v>111.62134673584954</v>
      </c>
      <c r="AF3783" s="9">
        <v>124.72674901989339</v>
      </c>
      <c r="AG3783" s="9">
        <v>124.72674901989339</v>
      </c>
      <c r="AH3783" s="9">
        <v>144.13642656805314</v>
      </c>
      <c r="AI3783" s="9">
        <v>157.75463032016435</v>
      </c>
      <c r="AJ3783" s="9">
        <v>3.0428788910505911</v>
      </c>
    </row>
    <row r="3784" spans="1:36" x14ac:dyDescent="0.25">
      <c r="A3784" t="s">
        <v>5411</v>
      </c>
      <c r="B3784" t="s">
        <v>16</v>
      </c>
      <c r="C3784" t="s">
        <v>17</v>
      </c>
      <c r="D3784">
        <v>68195000</v>
      </c>
      <c r="E3784">
        <v>68197999</v>
      </c>
      <c r="F3784" t="s">
        <v>3433</v>
      </c>
      <c r="G3784" t="str">
        <f t="shared" si="118"/>
        <v>PAR</v>
      </c>
      <c r="H3784" t="s">
        <v>3417</v>
      </c>
      <c r="I3784" t="s">
        <v>20</v>
      </c>
      <c r="J3784" t="s">
        <v>77</v>
      </c>
      <c r="K3784" s="6">
        <v>0.03</v>
      </c>
      <c r="L3784" s="7">
        <f t="shared" si="119"/>
        <v>2E-3</v>
      </c>
      <c r="M3784" s="7">
        <v>3.0000000000000001E-3</v>
      </c>
      <c r="N3784">
        <v>17</v>
      </c>
      <c r="O3784" s="8">
        <v>49.365095147237867</v>
      </c>
      <c r="P3784" s="9">
        <v>49.365095147237867</v>
      </c>
      <c r="Q3784" s="9">
        <v>49.365095147237867</v>
      </c>
      <c r="R3784" s="9">
        <v>50.770888721957412</v>
      </c>
      <c r="S3784" s="9">
        <v>52.200434315108524</v>
      </c>
      <c r="T3784" s="9">
        <v>52.412128096069225</v>
      </c>
      <c r="U3784" s="9">
        <v>59.043428948049694</v>
      </c>
      <c r="V3784" s="9">
        <v>59.043428948049694</v>
      </c>
      <c r="W3784" s="9">
        <v>59.043428948049694</v>
      </c>
      <c r="X3784" s="9">
        <v>71.670593717854672</v>
      </c>
      <c r="Y3784" s="9">
        <v>71.670593717854672</v>
      </c>
      <c r="Z3784" s="9">
        <v>81.082684339640124</v>
      </c>
      <c r="AA3784" s="9">
        <v>81.082684339640124</v>
      </c>
      <c r="AB3784" s="9">
        <v>89.394521523604197</v>
      </c>
      <c r="AC3784" s="9">
        <v>89.394521523604197</v>
      </c>
      <c r="AD3784" s="9">
        <v>100.64015972511829</v>
      </c>
      <c r="AE3784" s="9">
        <v>111.62134673584954</v>
      </c>
      <c r="AF3784" s="9">
        <v>124.72674901989339</v>
      </c>
      <c r="AG3784" s="9">
        <v>124.72674901989339</v>
      </c>
      <c r="AH3784" s="9">
        <v>144.13642656805314</v>
      </c>
      <c r="AI3784" s="9">
        <v>157.75463032016435</v>
      </c>
      <c r="AJ3784" s="9">
        <v>3.0428788910505911</v>
      </c>
    </row>
    <row r="3785" spans="1:36" x14ac:dyDescent="0.25">
      <c r="A3785" t="s">
        <v>5411</v>
      </c>
      <c r="B3785" t="s">
        <v>16</v>
      </c>
      <c r="C3785" t="s">
        <v>17</v>
      </c>
      <c r="D3785">
        <v>68198000</v>
      </c>
      <c r="E3785">
        <v>68199999</v>
      </c>
      <c r="F3785" t="s">
        <v>3434</v>
      </c>
      <c r="G3785" t="str">
        <f t="shared" si="118"/>
        <v>PAR</v>
      </c>
      <c r="H3785" t="s">
        <v>3417</v>
      </c>
      <c r="I3785" t="s">
        <v>20</v>
      </c>
      <c r="J3785" t="s">
        <v>77</v>
      </c>
      <c r="K3785" s="6">
        <v>0.03</v>
      </c>
      <c r="L3785" s="7">
        <f t="shared" si="119"/>
        <v>2E-3</v>
      </c>
      <c r="M3785" s="7">
        <v>3.0000000000000001E-3</v>
      </c>
      <c r="N3785">
        <v>17</v>
      </c>
      <c r="O3785" s="8">
        <v>49.365095147237867</v>
      </c>
      <c r="P3785" s="9">
        <v>49.365095147237867</v>
      </c>
      <c r="Q3785" s="9">
        <v>49.365095147237867</v>
      </c>
      <c r="R3785" s="9">
        <v>50.770888721957412</v>
      </c>
      <c r="S3785" s="9">
        <v>52.200434315108524</v>
      </c>
      <c r="T3785" s="9">
        <v>52.412128096069225</v>
      </c>
      <c r="U3785" s="9">
        <v>59.043428948049694</v>
      </c>
      <c r="V3785" s="9">
        <v>59.043428948049694</v>
      </c>
      <c r="W3785" s="9">
        <v>59.043428948049694</v>
      </c>
      <c r="X3785" s="9">
        <v>71.670593717854672</v>
      </c>
      <c r="Y3785" s="9">
        <v>71.670593717854672</v>
      </c>
      <c r="Z3785" s="9">
        <v>81.082684339640124</v>
      </c>
      <c r="AA3785" s="9">
        <v>81.082684339640124</v>
      </c>
      <c r="AB3785" s="9">
        <v>89.394521523604197</v>
      </c>
      <c r="AC3785" s="9">
        <v>89.394521523604197</v>
      </c>
      <c r="AD3785" s="9">
        <v>100.64015972511829</v>
      </c>
      <c r="AE3785" s="9">
        <v>111.62134673584954</v>
      </c>
      <c r="AF3785" s="9">
        <v>124.72674901989339</v>
      </c>
      <c r="AG3785" s="9">
        <v>124.72674901989339</v>
      </c>
      <c r="AH3785" s="9">
        <v>144.13642656805314</v>
      </c>
      <c r="AI3785" s="9">
        <v>157.75463032016435</v>
      </c>
      <c r="AJ3785" s="9">
        <v>3.0428788910505911</v>
      </c>
    </row>
    <row r="3786" spans="1:36" x14ac:dyDescent="0.25">
      <c r="A3786" t="s">
        <v>5411</v>
      </c>
      <c r="B3786" t="s">
        <v>16</v>
      </c>
      <c r="C3786" t="s">
        <v>17</v>
      </c>
      <c r="D3786">
        <v>68200000</v>
      </c>
      <c r="E3786">
        <v>68209999</v>
      </c>
      <c r="F3786" t="s">
        <v>3435</v>
      </c>
      <c r="G3786" t="str">
        <f t="shared" si="118"/>
        <v>PAR</v>
      </c>
      <c r="H3786" t="s">
        <v>3417</v>
      </c>
      <c r="I3786" t="s">
        <v>20</v>
      </c>
      <c r="J3786" t="s">
        <v>77</v>
      </c>
      <c r="K3786" s="6">
        <v>0.03</v>
      </c>
      <c r="L3786" s="7">
        <f t="shared" si="119"/>
        <v>2E-3</v>
      </c>
      <c r="M3786" s="7">
        <v>3.0000000000000001E-3</v>
      </c>
      <c r="N3786">
        <v>17</v>
      </c>
      <c r="O3786" s="8">
        <v>49.365095147237867</v>
      </c>
      <c r="P3786" s="9">
        <v>49.365095147237867</v>
      </c>
      <c r="Q3786" s="9">
        <v>49.365095147237867</v>
      </c>
      <c r="R3786" s="9">
        <v>50.770888721957412</v>
      </c>
      <c r="S3786" s="9">
        <v>52.200434315108524</v>
      </c>
      <c r="T3786" s="9">
        <v>52.412128096069225</v>
      </c>
      <c r="U3786" s="9">
        <v>59.043428948049694</v>
      </c>
      <c r="V3786" s="9">
        <v>59.043428948049694</v>
      </c>
      <c r="W3786" s="9">
        <v>59.043428948049694</v>
      </c>
      <c r="X3786" s="9">
        <v>71.670593717854672</v>
      </c>
      <c r="Y3786" s="9">
        <v>71.670593717854672</v>
      </c>
      <c r="Z3786" s="9">
        <v>81.082684339640124</v>
      </c>
      <c r="AA3786" s="9">
        <v>81.082684339640124</v>
      </c>
      <c r="AB3786" s="9">
        <v>89.394521523604197</v>
      </c>
      <c r="AC3786" s="9">
        <v>89.394521523604197</v>
      </c>
      <c r="AD3786" s="9">
        <v>100.64015972511829</v>
      </c>
      <c r="AE3786" s="9">
        <v>111.62134673584954</v>
      </c>
      <c r="AF3786" s="9">
        <v>124.72674901989339</v>
      </c>
      <c r="AG3786" s="9">
        <v>124.72674901989339</v>
      </c>
      <c r="AH3786" s="9">
        <v>144.13642656805314</v>
      </c>
      <c r="AI3786" s="9">
        <v>157.75463032016435</v>
      </c>
      <c r="AJ3786" s="9">
        <v>3.0428788910505911</v>
      </c>
    </row>
    <row r="3787" spans="1:36" x14ac:dyDescent="0.25">
      <c r="A3787" t="s">
        <v>5411</v>
      </c>
      <c r="B3787" t="s">
        <v>16</v>
      </c>
      <c r="C3787" t="s">
        <v>17</v>
      </c>
      <c r="D3787">
        <v>68210000</v>
      </c>
      <c r="E3787">
        <v>68219999</v>
      </c>
      <c r="F3787" t="s">
        <v>3436</v>
      </c>
      <c r="G3787" t="str">
        <f t="shared" si="118"/>
        <v>PAR</v>
      </c>
      <c r="H3787" t="s">
        <v>3417</v>
      </c>
      <c r="I3787" t="s">
        <v>20</v>
      </c>
      <c r="J3787" t="s">
        <v>77</v>
      </c>
      <c r="K3787" s="6">
        <v>0.03</v>
      </c>
      <c r="L3787" s="7">
        <f t="shared" si="119"/>
        <v>2E-3</v>
      </c>
      <c r="M3787" s="7">
        <v>3.0000000000000001E-3</v>
      </c>
      <c r="N3787">
        <v>17</v>
      </c>
      <c r="O3787" s="8">
        <v>49.365095147237867</v>
      </c>
      <c r="P3787" s="9">
        <v>49.365095147237867</v>
      </c>
      <c r="Q3787" s="9">
        <v>49.365095147237867</v>
      </c>
      <c r="R3787" s="9">
        <v>50.770888721957412</v>
      </c>
      <c r="S3787" s="9">
        <v>52.200434315108524</v>
      </c>
      <c r="T3787" s="9">
        <v>52.412128096069225</v>
      </c>
      <c r="U3787" s="9">
        <v>59.043428948049694</v>
      </c>
      <c r="V3787" s="9">
        <v>59.043428948049694</v>
      </c>
      <c r="W3787" s="9">
        <v>59.043428948049694</v>
      </c>
      <c r="X3787" s="9">
        <v>71.670593717854672</v>
      </c>
      <c r="Y3787" s="9">
        <v>71.670593717854672</v>
      </c>
      <c r="Z3787" s="9">
        <v>81.082684339640124</v>
      </c>
      <c r="AA3787" s="9">
        <v>81.082684339640124</v>
      </c>
      <c r="AB3787" s="9">
        <v>89.394521523604197</v>
      </c>
      <c r="AC3787" s="9">
        <v>89.394521523604197</v>
      </c>
      <c r="AD3787" s="9">
        <v>100.64015972511829</v>
      </c>
      <c r="AE3787" s="9">
        <v>111.62134673584954</v>
      </c>
      <c r="AF3787" s="9">
        <v>124.72674901989339</v>
      </c>
      <c r="AG3787" s="9">
        <v>124.72674901989339</v>
      </c>
      <c r="AH3787" s="9">
        <v>144.13642656805314</v>
      </c>
      <c r="AI3787" s="9">
        <v>157.75463032016435</v>
      </c>
      <c r="AJ3787" s="9">
        <v>3.0428788910505911</v>
      </c>
    </row>
    <row r="3788" spans="1:36" x14ac:dyDescent="0.25">
      <c r="A3788" t="s">
        <v>5411</v>
      </c>
      <c r="B3788" t="s">
        <v>16</v>
      </c>
      <c r="C3788" t="s">
        <v>17</v>
      </c>
      <c r="D3788">
        <v>68220000</v>
      </c>
      <c r="E3788">
        <v>68229999</v>
      </c>
      <c r="F3788" t="s">
        <v>2676</v>
      </c>
      <c r="G3788" t="str">
        <f t="shared" si="118"/>
        <v>PAR</v>
      </c>
      <c r="H3788" t="s">
        <v>3417</v>
      </c>
      <c r="I3788" t="s">
        <v>20</v>
      </c>
      <c r="J3788" t="s">
        <v>77</v>
      </c>
      <c r="K3788" s="6">
        <v>0.03</v>
      </c>
      <c r="L3788" s="7">
        <f t="shared" si="119"/>
        <v>2E-3</v>
      </c>
      <c r="M3788" s="7">
        <v>3.0000000000000001E-3</v>
      </c>
      <c r="N3788">
        <v>17</v>
      </c>
      <c r="O3788" s="8">
        <v>49.365095147237867</v>
      </c>
      <c r="P3788" s="9">
        <v>49.365095147237867</v>
      </c>
      <c r="Q3788" s="9">
        <v>49.365095147237867</v>
      </c>
      <c r="R3788" s="9">
        <v>50.770888721957412</v>
      </c>
      <c r="S3788" s="9">
        <v>52.200434315108524</v>
      </c>
      <c r="T3788" s="9">
        <v>52.412128096069225</v>
      </c>
      <c r="U3788" s="9">
        <v>59.043428948049694</v>
      </c>
      <c r="V3788" s="9">
        <v>59.043428948049694</v>
      </c>
      <c r="W3788" s="9">
        <v>59.043428948049694</v>
      </c>
      <c r="X3788" s="9">
        <v>71.670593717854672</v>
      </c>
      <c r="Y3788" s="9">
        <v>71.670593717854672</v>
      </c>
      <c r="Z3788" s="9">
        <v>81.082684339640124</v>
      </c>
      <c r="AA3788" s="9">
        <v>81.082684339640124</v>
      </c>
      <c r="AB3788" s="9">
        <v>89.394521523604197</v>
      </c>
      <c r="AC3788" s="9">
        <v>89.394521523604197</v>
      </c>
      <c r="AD3788" s="9">
        <v>100.64015972511829</v>
      </c>
      <c r="AE3788" s="9">
        <v>111.62134673584954</v>
      </c>
      <c r="AF3788" s="9">
        <v>124.72674901989339</v>
      </c>
      <c r="AG3788" s="9">
        <v>124.72674901989339</v>
      </c>
      <c r="AH3788" s="9">
        <v>144.13642656805314</v>
      </c>
      <c r="AI3788" s="9">
        <v>157.75463032016435</v>
      </c>
      <c r="AJ3788" s="9">
        <v>3.0428788910505911</v>
      </c>
    </row>
    <row r="3789" spans="1:36" x14ac:dyDescent="0.25">
      <c r="A3789" t="s">
        <v>5411</v>
      </c>
      <c r="B3789" t="s">
        <v>16</v>
      </c>
      <c r="C3789" t="s">
        <v>17</v>
      </c>
      <c r="D3789">
        <v>68230000</v>
      </c>
      <c r="E3789">
        <v>68249999</v>
      </c>
      <c r="F3789" t="s">
        <v>3437</v>
      </c>
      <c r="G3789" t="str">
        <f t="shared" si="118"/>
        <v>PAR</v>
      </c>
      <c r="H3789" t="s">
        <v>3417</v>
      </c>
      <c r="I3789" t="s">
        <v>20</v>
      </c>
      <c r="J3789" t="s">
        <v>77</v>
      </c>
      <c r="K3789" s="6">
        <v>0.03</v>
      </c>
      <c r="L3789" s="7">
        <f t="shared" si="119"/>
        <v>2E-3</v>
      </c>
      <c r="M3789" s="7">
        <v>3.0000000000000001E-3</v>
      </c>
      <c r="N3789">
        <v>17</v>
      </c>
      <c r="O3789" s="8">
        <v>49.365095147237867</v>
      </c>
      <c r="P3789" s="9">
        <v>49.365095147237867</v>
      </c>
      <c r="Q3789" s="9">
        <v>49.365095147237867</v>
      </c>
      <c r="R3789" s="9">
        <v>50.770888721957412</v>
      </c>
      <c r="S3789" s="9">
        <v>52.200434315108524</v>
      </c>
      <c r="T3789" s="9">
        <v>52.412128096069225</v>
      </c>
      <c r="U3789" s="9">
        <v>59.043428948049694</v>
      </c>
      <c r="V3789" s="9">
        <v>59.043428948049694</v>
      </c>
      <c r="W3789" s="9">
        <v>59.043428948049694</v>
      </c>
      <c r="X3789" s="9">
        <v>71.670593717854672</v>
      </c>
      <c r="Y3789" s="9">
        <v>71.670593717854672</v>
      </c>
      <c r="Z3789" s="9">
        <v>81.082684339640124</v>
      </c>
      <c r="AA3789" s="9">
        <v>81.082684339640124</v>
      </c>
      <c r="AB3789" s="9">
        <v>89.394521523604197</v>
      </c>
      <c r="AC3789" s="9">
        <v>89.394521523604197</v>
      </c>
      <c r="AD3789" s="9">
        <v>100.64015972511829</v>
      </c>
      <c r="AE3789" s="9">
        <v>111.62134673584954</v>
      </c>
      <c r="AF3789" s="9">
        <v>124.72674901989339</v>
      </c>
      <c r="AG3789" s="9">
        <v>124.72674901989339</v>
      </c>
      <c r="AH3789" s="9">
        <v>144.13642656805314</v>
      </c>
      <c r="AI3789" s="9">
        <v>157.75463032016435</v>
      </c>
      <c r="AJ3789" s="9">
        <v>3.0428788910505911</v>
      </c>
    </row>
    <row r="3790" spans="1:36" x14ac:dyDescent="0.25">
      <c r="A3790" t="s">
        <v>5411</v>
      </c>
      <c r="B3790" t="s">
        <v>16</v>
      </c>
      <c r="C3790" t="s">
        <v>17</v>
      </c>
      <c r="D3790">
        <v>68250000</v>
      </c>
      <c r="E3790">
        <v>68269999</v>
      </c>
      <c r="F3790" t="s">
        <v>3438</v>
      </c>
      <c r="G3790" t="str">
        <f t="shared" si="118"/>
        <v>PAR</v>
      </c>
      <c r="H3790" t="s">
        <v>3417</v>
      </c>
      <c r="I3790" t="s">
        <v>20</v>
      </c>
      <c r="J3790" t="s">
        <v>77</v>
      </c>
      <c r="K3790" s="6">
        <v>0.03</v>
      </c>
      <c r="L3790" s="7">
        <f t="shared" si="119"/>
        <v>2E-3</v>
      </c>
      <c r="M3790" s="7">
        <v>3.0000000000000001E-3</v>
      </c>
      <c r="N3790">
        <v>17</v>
      </c>
      <c r="O3790" s="8">
        <v>49.365095147237867</v>
      </c>
      <c r="P3790" s="9">
        <v>49.365095147237867</v>
      </c>
      <c r="Q3790" s="9">
        <v>49.365095147237867</v>
      </c>
      <c r="R3790" s="9">
        <v>50.770888721957412</v>
      </c>
      <c r="S3790" s="9">
        <v>52.200434315108524</v>
      </c>
      <c r="T3790" s="9">
        <v>52.412128096069225</v>
      </c>
      <c r="U3790" s="9">
        <v>59.043428948049694</v>
      </c>
      <c r="V3790" s="9">
        <v>59.043428948049694</v>
      </c>
      <c r="W3790" s="9">
        <v>59.043428948049694</v>
      </c>
      <c r="X3790" s="9">
        <v>71.670593717854672</v>
      </c>
      <c r="Y3790" s="9">
        <v>71.670593717854672</v>
      </c>
      <c r="Z3790" s="9">
        <v>81.082684339640124</v>
      </c>
      <c r="AA3790" s="9">
        <v>81.082684339640124</v>
      </c>
      <c r="AB3790" s="9">
        <v>89.394521523604197</v>
      </c>
      <c r="AC3790" s="9">
        <v>89.394521523604197</v>
      </c>
      <c r="AD3790" s="9">
        <v>100.64015972511829</v>
      </c>
      <c r="AE3790" s="9">
        <v>111.62134673584954</v>
      </c>
      <c r="AF3790" s="9">
        <v>124.72674901989339</v>
      </c>
      <c r="AG3790" s="9">
        <v>124.72674901989339</v>
      </c>
      <c r="AH3790" s="9">
        <v>144.13642656805314</v>
      </c>
      <c r="AI3790" s="9">
        <v>157.75463032016435</v>
      </c>
      <c r="AJ3790" s="9">
        <v>3.0428788910505911</v>
      </c>
    </row>
    <row r="3791" spans="1:36" x14ac:dyDescent="0.25">
      <c r="A3791" t="s">
        <v>5411</v>
      </c>
      <c r="B3791" t="s">
        <v>16</v>
      </c>
      <c r="C3791" t="s">
        <v>17</v>
      </c>
      <c r="D3791">
        <v>68270000</v>
      </c>
      <c r="E3791">
        <v>68279999</v>
      </c>
      <c r="F3791" t="s">
        <v>3439</v>
      </c>
      <c r="G3791" t="str">
        <f t="shared" si="118"/>
        <v>PAR</v>
      </c>
      <c r="H3791" t="s">
        <v>3417</v>
      </c>
      <c r="I3791" t="s">
        <v>20</v>
      </c>
      <c r="J3791" t="s">
        <v>77</v>
      </c>
      <c r="K3791" s="6">
        <v>0.03</v>
      </c>
      <c r="L3791" s="7">
        <f t="shared" si="119"/>
        <v>2E-3</v>
      </c>
      <c r="M3791" s="7">
        <v>3.0000000000000001E-3</v>
      </c>
      <c r="N3791">
        <v>17</v>
      </c>
      <c r="O3791" s="8">
        <v>49.365095147237867</v>
      </c>
      <c r="P3791" s="9">
        <v>49.365095147237867</v>
      </c>
      <c r="Q3791" s="9">
        <v>49.365095147237867</v>
      </c>
      <c r="R3791" s="9">
        <v>50.770888721957412</v>
      </c>
      <c r="S3791" s="9">
        <v>52.200434315108524</v>
      </c>
      <c r="T3791" s="9">
        <v>52.412128096069225</v>
      </c>
      <c r="U3791" s="9">
        <v>59.043428948049694</v>
      </c>
      <c r="V3791" s="9">
        <v>59.043428948049694</v>
      </c>
      <c r="W3791" s="9">
        <v>59.043428948049694</v>
      </c>
      <c r="X3791" s="9">
        <v>71.670593717854672</v>
      </c>
      <c r="Y3791" s="9">
        <v>71.670593717854672</v>
      </c>
      <c r="Z3791" s="9">
        <v>81.082684339640124</v>
      </c>
      <c r="AA3791" s="9">
        <v>81.082684339640124</v>
      </c>
      <c r="AB3791" s="9">
        <v>89.394521523604197</v>
      </c>
      <c r="AC3791" s="9">
        <v>89.394521523604197</v>
      </c>
      <c r="AD3791" s="9">
        <v>100.64015972511829</v>
      </c>
      <c r="AE3791" s="9">
        <v>111.62134673584954</v>
      </c>
      <c r="AF3791" s="9">
        <v>124.72674901989339</v>
      </c>
      <c r="AG3791" s="9">
        <v>124.72674901989339</v>
      </c>
      <c r="AH3791" s="9">
        <v>144.13642656805314</v>
      </c>
      <c r="AI3791" s="9">
        <v>157.75463032016435</v>
      </c>
      <c r="AJ3791" s="9">
        <v>3.0428788910505911</v>
      </c>
    </row>
    <row r="3792" spans="1:36" x14ac:dyDescent="0.25">
      <c r="A3792" t="s">
        <v>5411</v>
      </c>
      <c r="B3792" t="s">
        <v>16</v>
      </c>
      <c r="C3792" t="s">
        <v>17</v>
      </c>
      <c r="D3792">
        <v>68280000</v>
      </c>
      <c r="E3792">
        <v>68284999</v>
      </c>
      <c r="F3792" t="s">
        <v>3440</v>
      </c>
      <c r="G3792" t="str">
        <f t="shared" si="118"/>
        <v>PAR</v>
      </c>
      <c r="H3792" t="s">
        <v>3417</v>
      </c>
      <c r="I3792" t="s">
        <v>20</v>
      </c>
      <c r="J3792" t="s">
        <v>77</v>
      </c>
      <c r="K3792" s="6">
        <v>0.03</v>
      </c>
      <c r="L3792" s="7">
        <f t="shared" si="119"/>
        <v>2E-3</v>
      </c>
      <c r="M3792" s="7">
        <v>3.0000000000000001E-3</v>
      </c>
      <c r="N3792">
        <v>17</v>
      </c>
      <c r="O3792" s="8">
        <v>49.365095147237867</v>
      </c>
      <c r="P3792" s="9">
        <v>49.365095147237867</v>
      </c>
      <c r="Q3792" s="9">
        <v>49.365095147237867</v>
      </c>
      <c r="R3792" s="9">
        <v>50.770888721957412</v>
      </c>
      <c r="S3792" s="9">
        <v>52.200434315108524</v>
      </c>
      <c r="T3792" s="9">
        <v>52.412128096069225</v>
      </c>
      <c r="U3792" s="9">
        <v>59.043428948049694</v>
      </c>
      <c r="V3792" s="9">
        <v>59.043428948049694</v>
      </c>
      <c r="W3792" s="9">
        <v>59.043428948049694</v>
      </c>
      <c r="X3792" s="9">
        <v>71.670593717854672</v>
      </c>
      <c r="Y3792" s="9">
        <v>71.670593717854672</v>
      </c>
      <c r="Z3792" s="9">
        <v>81.082684339640124</v>
      </c>
      <c r="AA3792" s="9">
        <v>81.082684339640124</v>
      </c>
      <c r="AB3792" s="9">
        <v>89.394521523604197</v>
      </c>
      <c r="AC3792" s="9">
        <v>89.394521523604197</v>
      </c>
      <c r="AD3792" s="9">
        <v>100.64015972511829</v>
      </c>
      <c r="AE3792" s="9">
        <v>111.62134673584954</v>
      </c>
      <c r="AF3792" s="9">
        <v>124.72674901989339</v>
      </c>
      <c r="AG3792" s="9">
        <v>124.72674901989339</v>
      </c>
      <c r="AH3792" s="9">
        <v>144.13642656805314</v>
      </c>
      <c r="AI3792" s="9">
        <v>157.75463032016435</v>
      </c>
      <c r="AJ3792" s="9">
        <v>3.0428788910505911</v>
      </c>
    </row>
    <row r="3793" spans="1:36" x14ac:dyDescent="0.25">
      <c r="A3793" t="s">
        <v>5411</v>
      </c>
      <c r="B3793" t="s">
        <v>16</v>
      </c>
      <c r="C3793" t="s">
        <v>17</v>
      </c>
      <c r="D3793">
        <v>68285000</v>
      </c>
      <c r="E3793">
        <v>68299999</v>
      </c>
      <c r="F3793" t="s">
        <v>3441</v>
      </c>
      <c r="G3793" t="str">
        <f t="shared" si="118"/>
        <v>PAR</v>
      </c>
      <c r="H3793" t="s">
        <v>3417</v>
      </c>
      <c r="I3793" t="s">
        <v>20</v>
      </c>
      <c r="J3793" t="s">
        <v>77</v>
      </c>
      <c r="K3793" s="6">
        <v>0.03</v>
      </c>
      <c r="L3793" s="7">
        <f t="shared" si="119"/>
        <v>2E-3</v>
      </c>
      <c r="M3793" s="7">
        <v>3.0000000000000001E-3</v>
      </c>
      <c r="N3793">
        <v>17</v>
      </c>
      <c r="O3793" s="8">
        <v>49.365095147237867</v>
      </c>
      <c r="P3793" s="9">
        <v>49.365095147237867</v>
      </c>
      <c r="Q3793" s="9">
        <v>49.365095147237867</v>
      </c>
      <c r="R3793" s="9">
        <v>50.770888721957412</v>
      </c>
      <c r="S3793" s="9">
        <v>52.200434315108524</v>
      </c>
      <c r="T3793" s="9">
        <v>52.412128096069225</v>
      </c>
      <c r="U3793" s="9">
        <v>59.043428948049694</v>
      </c>
      <c r="V3793" s="9">
        <v>59.043428948049694</v>
      </c>
      <c r="W3793" s="9">
        <v>59.043428948049694</v>
      </c>
      <c r="X3793" s="9">
        <v>71.670593717854672</v>
      </c>
      <c r="Y3793" s="9">
        <v>71.670593717854672</v>
      </c>
      <c r="Z3793" s="9">
        <v>81.082684339640124</v>
      </c>
      <c r="AA3793" s="9">
        <v>81.082684339640124</v>
      </c>
      <c r="AB3793" s="9">
        <v>89.394521523604197</v>
      </c>
      <c r="AC3793" s="9">
        <v>89.394521523604197</v>
      </c>
      <c r="AD3793" s="9">
        <v>100.64015972511829</v>
      </c>
      <c r="AE3793" s="9">
        <v>111.62134673584954</v>
      </c>
      <c r="AF3793" s="9">
        <v>124.72674901989339</v>
      </c>
      <c r="AG3793" s="9">
        <v>124.72674901989339</v>
      </c>
      <c r="AH3793" s="9">
        <v>144.13642656805314</v>
      </c>
      <c r="AI3793" s="9">
        <v>157.75463032016435</v>
      </c>
      <c r="AJ3793" s="9">
        <v>3.0428788910505911</v>
      </c>
    </row>
    <row r="3794" spans="1:36" x14ac:dyDescent="0.25">
      <c r="A3794" t="s">
        <v>5411</v>
      </c>
      <c r="B3794" t="s">
        <v>16</v>
      </c>
      <c r="C3794" t="s">
        <v>17</v>
      </c>
      <c r="D3794">
        <v>68300000</v>
      </c>
      <c r="E3794">
        <v>68329999</v>
      </c>
      <c r="F3794" t="s">
        <v>3442</v>
      </c>
      <c r="G3794" t="str">
        <f t="shared" si="118"/>
        <v>PAR</v>
      </c>
      <c r="H3794" t="s">
        <v>3417</v>
      </c>
      <c r="I3794" t="s">
        <v>20</v>
      </c>
      <c r="J3794" t="s">
        <v>77</v>
      </c>
      <c r="K3794" s="6">
        <v>0.03</v>
      </c>
      <c r="L3794" s="7">
        <f t="shared" si="119"/>
        <v>2E-3</v>
      </c>
      <c r="M3794" s="7">
        <v>3.0000000000000001E-3</v>
      </c>
      <c r="N3794">
        <v>17</v>
      </c>
      <c r="O3794" s="8">
        <v>49.365095147237867</v>
      </c>
      <c r="P3794" s="9">
        <v>49.365095147237867</v>
      </c>
      <c r="Q3794" s="9">
        <v>49.365095147237867</v>
      </c>
      <c r="R3794" s="9">
        <v>50.770888721957412</v>
      </c>
      <c r="S3794" s="9">
        <v>52.200434315108524</v>
      </c>
      <c r="T3794" s="9">
        <v>52.412128096069225</v>
      </c>
      <c r="U3794" s="9">
        <v>59.043428948049694</v>
      </c>
      <c r="V3794" s="9">
        <v>59.043428948049694</v>
      </c>
      <c r="W3794" s="9">
        <v>59.043428948049694</v>
      </c>
      <c r="X3794" s="9">
        <v>71.670593717854672</v>
      </c>
      <c r="Y3794" s="9">
        <v>71.670593717854672</v>
      </c>
      <c r="Z3794" s="9">
        <v>81.082684339640124</v>
      </c>
      <c r="AA3794" s="9">
        <v>81.082684339640124</v>
      </c>
      <c r="AB3794" s="9">
        <v>89.394521523604197</v>
      </c>
      <c r="AC3794" s="9">
        <v>89.394521523604197</v>
      </c>
      <c r="AD3794" s="9">
        <v>100.64015972511829</v>
      </c>
      <c r="AE3794" s="9">
        <v>111.62134673584954</v>
      </c>
      <c r="AF3794" s="9">
        <v>124.72674901989339</v>
      </c>
      <c r="AG3794" s="9">
        <v>124.72674901989339</v>
      </c>
      <c r="AH3794" s="9">
        <v>144.13642656805314</v>
      </c>
      <c r="AI3794" s="9">
        <v>157.75463032016435</v>
      </c>
      <c r="AJ3794" s="9">
        <v>3.0428788910505911</v>
      </c>
    </row>
    <row r="3795" spans="1:36" x14ac:dyDescent="0.25">
      <c r="A3795" t="s">
        <v>5411</v>
      </c>
      <c r="B3795" t="s">
        <v>16</v>
      </c>
      <c r="C3795" t="s">
        <v>17</v>
      </c>
      <c r="D3795">
        <v>68330000</v>
      </c>
      <c r="E3795">
        <v>68359999</v>
      </c>
      <c r="F3795" t="s">
        <v>3443</v>
      </c>
      <c r="G3795" t="str">
        <f t="shared" si="118"/>
        <v>PAR</v>
      </c>
      <c r="H3795" t="s">
        <v>3417</v>
      </c>
      <c r="I3795" t="s">
        <v>20</v>
      </c>
      <c r="J3795" t="s">
        <v>77</v>
      </c>
      <c r="K3795" s="6">
        <v>0.03</v>
      </c>
      <c r="L3795" s="7">
        <f t="shared" si="119"/>
        <v>2E-3</v>
      </c>
      <c r="M3795" s="7">
        <v>3.0000000000000001E-3</v>
      </c>
      <c r="N3795">
        <v>17</v>
      </c>
      <c r="O3795" s="8">
        <v>49.365095147237867</v>
      </c>
      <c r="P3795" s="9">
        <v>49.365095147237867</v>
      </c>
      <c r="Q3795" s="9">
        <v>49.365095147237867</v>
      </c>
      <c r="R3795" s="9">
        <v>50.770888721957412</v>
      </c>
      <c r="S3795" s="9">
        <v>52.200434315108524</v>
      </c>
      <c r="T3795" s="9">
        <v>52.412128096069225</v>
      </c>
      <c r="U3795" s="9">
        <v>59.043428948049694</v>
      </c>
      <c r="V3795" s="9">
        <v>59.043428948049694</v>
      </c>
      <c r="W3795" s="9">
        <v>59.043428948049694</v>
      </c>
      <c r="X3795" s="9">
        <v>71.670593717854672</v>
      </c>
      <c r="Y3795" s="9">
        <v>71.670593717854672</v>
      </c>
      <c r="Z3795" s="9">
        <v>81.082684339640124</v>
      </c>
      <c r="AA3795" s="9">
        <v>81.082684339640124</v>
      </c>
      <c r="AB3795" s="9">
        <v>89.394521523604197</v>
      </c>
      <c r="AC3795" s="9">
        <v>89.394521523604197</v>
      </c>
      <c r="AD3795" s="9">
        <v>100.64015972511829</v>
      </c>
      <c r="AE3795" s="9">
        <v>111.62134673584954</v>
      </c>
      <c r="AF3795" s="9">
        <v>124.72674901989339</v>
      </c>
      <c r="AG3795" s="9">
        <v>124.72674901989339</v>
      </c>
      <c r="AH3795" s="9">
        <v>144.13642656805314</v>
      </c>
      <c r="AI3795" s="9">
        <v>157.75463032016435</v>
      </c>
      <c r="AJ3795" s="9">
        <v>3.0428788910505911</v>
      </c>
    </row>
    <row r="3796" spans="1:36" x14ac:dyDescent="0.25">
      <c r="A3796" t="s">
        <v>5411</v>
      </c>
      <c r="B3796" t="s">
        <v>16</v>
      </c>
      <c r="C3796" t="s">
        <v>17</v>
      </c>
      <c r="D3796">
        <v>68360000</v>
      </c>
      <c r="E3796">
        <v>68364999</v>
      </c>
      <c r="F3796" t="s">
        <v>3444</v>
      </c>
      <c r="G3796" t="str">
        <f t="shared" si="118"/>
        <v>PAR</v>
      </c>
      <c r="H3796" t="s">
        <v>3417</v>
      </c>
      <c r="I3796" t="s">
        <v>20</v>
      </c>
      <c r="J3796" t="s">
        <v>77</v>
      </c>
      <c r="K3796" s="6">
        <v>0.03</v>
      </c>
      <c r="L3796" s="7">
        <f t="shared" si="119"/>
        <v>2E-3</v>
      </c>
      <c r="M3796" s="7">
        <v>3.0000000000000001E-3</v>
      </c>
      <c r="N3796">
        <v>17</v>
      </c>
      <c r="O3796" s="8">
        <v>49.365095147237867</v>
      </c>
      <c r="P3796" s="9">
        <v>49.365095147237867</v>
      </c>
      <c r="Q3796" s="9">
        <v>49.365095147237867</v>
      </c>
      <c r="R3796" s="9">
        <v>50.770888721957412</v>
      </c>
      <c r="S3796" s="9">
        <v>52.200434315108524</v>
      </c>
      <c r="T3796" s="9">
        <v>52.412128096069225</v>
      </c>
      <c r="U3796" s="9">
        <v>59.043428948049694</v>
      </c>
      <c r="V3796" s="9">
        <v>59.043428948049694</v>
      </c>
      <c r="W3796" s="9">
        <v>59.043428948049694</v>
      </c>
      <c r="X3796" s="9">
        <v>71.670593717854672</v>
      </c>
      <c r="Y3796" s="9">
        <v>71.670593717854672</v>
      </c>
      <c r="Z3796" s="9">
        <v>81.082684339640124</v>
      </c>
      <c r="AA3796" s="9">
        <v>81.082684339640124</v>
      </c>
      <c r="AB3796" s="9">
        <v>89.394521523604197</v>
      </c>
      <c r="AC3796" s="9">
        <v>89.394521523604197</v>
      </c>
      <c r="AD3796" s="9">
        <v>100.64015972511829</v>
      </c>
      <c r="AE3796" s="9">
        <v>111.62134673584954</v>
      </c>
      <c r="AF3796" s="9">
        <v>124.72674901989339</v>
      </c>
      <c r="AG3796" s="9">
        <v>124.72674901989339</v>
      </c>
      <c r="AH3796" s="9">
        <v>144.13642656805314</v>
      </c>
      <c r="AI3796" s="9">
        <v>157.75463032016435</v>
      </c>
      <c r="AJ3796" s="9">
        <v>3.0428788910505911</v>
      </c>
    </row>
    <row r="3797" spans="1:36" x14ac:dyDescent="0.25">
      <c r="A3797" t="s">
        <v>5411</v>
      </c>
      <c r="B3797" t="s">
        <v>16</v>
      </c>
      <c r="C3797" t="s">
        <v>17</v>
      </c>
      <c r="D3797">
        <v>68365000</v>
      </c>
      <c r="E3797">
        <v>68369999</v>
      </c>
      <c r="F3797" t="s">
        <v>3445</v>
      </c>
      <c r="G3797" t="str">
        <f t="shared" si="118"/>
        <v>PAR</v>
      </c>
      <c r="H3797" t="s">
        <v>3417</v>
      </c>
      <c r="I3797" t="s">
        <v>20</v>
      </c>
      <c r="J3797" t="s">
        <v>77</v>
      </c>
      <c r="K3797" s="6">
        <v>0.03</v>
      </c>
      <c r="L3797" s="7">
        <f t="shared" si="119"/>
        <v>2E-3</v>
      </c>
      <c r="M3797" s="7">
        <v>3.0000000000000001E-3</v>
      </c>
      <c r="N3797">
        <v>17</v>
      </c>
      <c r="O3797" s="8">
        <v>49.365095147237867</v>
      </c>
      <c r="P3797" s="9">
        <v>49.365095147237867</v>
      </c>
      <c r="Q3797" s="9">
        <v>49.365095147237867</v>
      </c>
      <c r="R3797" s="9">
        <v>50.770888721957412</v>
      </c>
      <c r="S3797" s="9">
        <v>52.200434315108524</v>
      </c>
      <c r="T3797" s="9">
        <v>52.412128096069225</v>
      </c>
      <c r="U3797" s="9">
        <v>59.043428948049694</v>
      </c>
      <c r="V3797" s="9">
        <v>59.043428948049694</v>
      </c>
      <c r="W3797" s="9">
        <v>59.043428948049694</v>
      </c>
      <c r="X3797" s="9">
        <v>71.670593717854672</v>
      </c>
      <c r="Y3797" s="9">
        <v>71.670593717854672</v>
      </c>
      <c r="Z3797" s="9">
        <v>81.082684339640124</v>
      </c>
      <c r="AA3797" s="9">
        <v>81.082684339640124</v>
      </c>
      <c r="AB3797" s="9">
        <v>89.394521523604197</v>
      </c>
      <c r="AC3797" s="9">
        <v>89.394521523604197</v>
      </c>
      <c r="AD3797" s="9">
        <v>100.64015972511829</v>
      </c>
      <c r="AE3797" s="9">
        <v>111.62134673584954</v>
      </c>
      <c r="AF3797" s="9">
        <v>124.72674901989339</v>
      </c>
      <c r="AG3797" s="9">
        <v>124.72674901989339</v>
      </c>
      <c r="AH3797" s="9">
        <v>144.13642656805314</v>
      </c>
      <c r="AI3797" s="9">
        <v>157.75463032016435</v>
      </c>
      <c r="AJ3797" s="9">
        <v>3.0428788910505911</v>
      </c>
    </row>
    <row r="3798" spans="1:36" x14ac:dyDescent="0.25">
      <c r="A3798" t="s">
        <v>5411</v>
      </c>
      <c r="B3798" t="s">
        <v>16</v>
      </c>
      <c r="C3798" t="s">
        <v>17</v>
      </c>
      <c r="D3798">
        <v>68370000</v>
      </c>
      <c r="E3798">
        <v>68379999</v>
      </c>
      <c r="F3798" t="s">
        <v>3446</v>
      </c>
      <c r="G3798" t="str">
        <f t="shared" si="118"/>
        <v>PAR</v>
      </c>
      <c r="H3798" t="s">
        <v>3417</v>
      </c>
      <c r="I3798" t="s">
        <v>20</v>
      </c>
      <c r="J3798" t="s">
        <v>77</v>
      </c>
      <c r="K3798" s="6">
        <v>0.03</v>
      </c>
      <c r="L3798" s="7">
        <f t="shared" si="119"/>
        <v>2E-3</v>
      </c>
      <c r="M3798" s="7">
        <v>3.0000000000000001E-3</v>
      </c>
      <c r="N3798">
        <v>17</v>
      </c>
      <c r="O3798" s="8">
        <v>49.365095147237867</v>
      </c>
      <c r="P3798" s="9">
        <v>49.365095147237867</v>
      </c>
      <c r="Q3798" s="9">
        <v>49.365095147237867</v>
      </c>
      <c r="R3798" s="9">
        <v>50.770888721957412</v>
      </c>
      <c r="S3798" s="9">
        <v>52.200434315108524</v>
      </c>
      <c r="T3798" s="9">
        <v>52.412128096069225</v>
      </c>
      <c r="U3798" s="9">
        <v>59.043428948049694</v>
      </c>
      <c r="V3798" s="9">
        <v>59.043428948049694</v>
      </c>
      <c r="W3798" s="9">
        <v>59.043428948049694</v>
      </c>
      <c r="X3798" s="9">
        <v>71.670593717854672</v>
      </c>
      <c r="Y3798" s="9">
        <v>71.670593717854672</v>
      </c>
      <c r="Z3798" s="9">
        <v>81.082684339640124</v>
      </c>
      <c r="AA3798" s="9">
        <v>81.082684339640124</v>
      </c>
      <c r="AB3798" s="9">
        <v>89.394521523604197</v>
      </c>
      <c r="AC3798" s="9">
        <v>89.394521523604197</v>
      </c>
      <c r="AD3798" s="9">
        <v>100.64015972511829</v>
      </c>
      <c r="AE3798" s="9">
        <v>111.62134673584954</v>
      </c>
      <c r="AF3798" s="9">
        <v>124.72674901989339</v>
      </c>
      <c r="AG3798" s="9">
        <v>124.72674901989339</v>
      </c>
      <c r="AH3798" s="9">
        <v>144.13642656805314</v>
      </c>
      <c r="AI3798" s="9">
        <v>157.75463032016435</v>
      </c>
      <c r="AJ3798" s="9">
        <v>3.0428788910505911</v>
      </c>
    </row>
    <row r="3799" spans="1:36" x14ac:dyDescent="0.25">
      <c r="A3799" t="s">
        <v>5411</v>
      </c>
      <c r="B3799" t="s">
        <v>16</v>
      </c>
      <c r="C3799" t="s">
        <v>17</v>
      </c>
      <c r="D3799">
        <v>68380000</v>
      </c>
      <c r="E3799">
        <v>68382999</v>
      </c>
      <c r="F3799" t="s">
        <v>3447</v>
      </c>
      <c r="G3799" t="str">
        <f t="shared" si="118"/>
        <v>PAR</v>
      </c>
      <c r="H3799" t="s">
        <v>3417</v>
      </c>
      <c r="I3799" t="s">
        <v>20</v>
      </c>
      <c r="J3799" t="s">
        <v>77</v>
      </c>
      <c r="K3799" s="6">
        <v>0.03</v>
      </c>
      <c r="L3799" s="7">
        <f t="shared" si="119"/>
        <v>2E-3</v>
      </c>
      <c r="M3799" s="7">
        <v>3.0000000000000001E-3</v>
      </c>
      <c r="N3799">
        <v>17</v>
      </c>
      <c r="O3799" s="8">
        <v>49.365095147237867</v>
      </c>
      <c r="P3799" s="9">
        <v>49.365095147237867</v>
      </c>
      <c r="Q3799" s="9">
        <v>49.365095147237867</v>
      </c>
      <c r="R3799" s="9">
        <v>50.770888721957412</v>
      </c>
      <c r="S3799" s="9">
        <v>52.200434315108524</v>
      </c>
      <c r="T3799" s="9">
        <v>52.412128096069225</v>
      </c>
      <c r="U3799" s="9">
        <v>59.043428948049694</v>
      </c>
      <c r="V3799" s="9">
        <v>59.043428948049694</v>
      </c>
      <c r="W3799" s="9">
        <v>59.043428948049694</v>
      </c>
      <c r="X3799" s="9">
        <v>71.670593717854672</v>
      </c>
      <c r="Y3799" s="9">
        <v>71.670593717854672</v>
      </c>
      <c r="Z3799" s="9">
        <v>81.082684339640124</v>
      </c>
      <c r="AA3799" s="9">
        <v>81.082684339640124</v>
      </c>
      <c r="AB3799" s="9">
        <v>89.394521523604197</v>
      </c>
      <c r="AC3799" s="9">
        <v>89.394521523604197</v>
      </c>
      <c r="AD3799" s="9">
        <v>100.64015972511829</v>
      </c>
      <c r="AE3799" s="9">
        <v>111.62134673584954</v>
      </c>
      <c r="AF3799" s="9">
        <v>124.72674901989339</v>
      </c>
      <c r="AG3799" s="9">
        <v>124.72674901989339</v>
      </c>
      <c r="AH3799" s="9">
        <v>144.13642656805314</v>
      </c>
      <c r="AI3799" s="9">
        <v>157.75463032016435</v>
      </c>
      <c r="AJ3799" s="9">
        <v>3.0428788910505911</v>
      </c>
    </row>
    <row r="3800" spans="1:36" x14ac:dyDescent="0.25">
      <c r="A3800" t="s">
        <v>5411</v>
      </c>
      <c r="B3800" t="s">
        <v>16</v>
      </c>
      <c r="C3800" t="s">
        <v>17</v>
      </c>
      <c r="D3800">
        <v>68383000</v>
      </c>
      <c r="E3800">
        <v>68384999</v>
      </c>
      <c r="F3800" t="s">
        <v>3448</v>
      </c>
      <c r="G3800" t="str">
        <f t="shared" si="118"/>
        <v>PAR</v>
      </c>
      <c r="H3800" t="s">
        <v>3417</v>
      </c>
      <c r="I3800" t="s">
        <v>20</v>
      </c>
      <c r="J3800" t="s">
        <v>77</v>
      </c>
      <c r="K3800" s="6">
        <v>0.03</v>
      </c>
      <c r="L3800" s="7">
        <f t="shared" si="119"/>
        <v>2E-3</v>
      </c>
      <c r="M3800" s="7">
        <v>3.0000000000000001E-3</v>
      </c>
      <c r="N3800">
        <v>17</v>
      </c>
      <c r="O3800" s="8">
        <v>49.365095147237867</v>
      </c>
      <c r="P3800" s="9">
        <v>49.365095147237867</v>
      </c>
      <c r="Q3800" s="9">
        <v>49.365095147237867</v>
      </c>
      <c r="R3800" s="9">
        <v>50.770888721957412</v>
      </c>
      <c r="S3800" s="9">
        <v>52.200434315108524</v>
      </c>
      <c r="T3800" s="9">
        <v>52.412128096069225</v>
      </c>
      <c r="U3800" s="9">
        <v>59.043428948049694</v>
      </c>
      <c r="V3800" s="9">
        <v>59.043428948049694</v>
      </c>
      <c r="W3800" s="9">
        <v>59.043428948049694</v>
      </c>
      <c r="X3800" s="9">
        <v>71.670593717854672</v>
      </c>
      <c r="Y3800" s="9">
        <v>71.670593717854672</v>
      </c>
      <c r="Z3800" s="9">
        <v>81.082684339640124</v>
      </c>
      <c r="AA3800" s="9">
        <v>81.082684339640124</v>
      </c>
      <c r="AB3800" s="9">
        <v>89.394521523604197</v>
      </c>
      <c r="AC3800" s="9">
        <v>89.394521523604197</v>
      </c>
      <c r="AD3800" s="9">
        <v>100.64015972511829</v>
      </c>
      <c r="AE3800" s="9">
        <v>111.62134673584954</v>
      </c>
      <c r="AF3800" s="9">
        <v>124.72674901989339</v>
      </c>
      <c r="AG3800" s="9">
        <v>124.72674901989339</v>
      </c>
      <c r="AH3800" s="9">
        <v>144.13642656805314</v>
      </c>
      <c r="AI3800" s="9">
        <v>157.75463032016435</v>
      </c>
      <c r="AJ3800" s="9">
        <v>3.0428788910505911</v>
      </c>
    </row>
    <row r="3801" spans="1:36" x14ac:dyDescent="0.25">
      <c r="A3801" t="s">
        <v>5411</v>
      </c>
      <c r="B3801" t="s">
        <v>16</v>
      </c>
      <c r="C3801" t="s">
        <v>17</v>
      </c>
      <c r="D3801">
        <v>68385000</v>
      </c>
      <c r="E3801">
        <v>68387999</v>
      </c>
      <c r="F3801" t="s">
        <v>3449</v>
      </c>
      <c r="G3801" t="str">
        <f t="shared" si="118"/>
        <v>PAR</v>
      </c>
      <c r="H3801" t="s">
        <v>3417</v>
      </c>
      <c r="I3801" t="s">
        <v>20</v>
      </c>
      <c r="J3801" t="s">
        <v>77</v>
      </c>
      <c r="K3801" s="6">
        <v>0.03</v>
      </c>
      <c r="L3801" s="7">
        <f t="shared" si="119"/>
        <v>2E-3</v>
      </c>
      <c r="M3801" s="7">
        <v>3.0000000000000001E-3</v>
      </c>
      <c r="N3801">
        <v>17</v>
      </c>
      <c r="O3801" s="8">
        <v>49.365095147237867</v>
      </c>
      <c r="P3801" s="9">
        <v>49.365095147237867</v>
      </c>
      <c r="Q3801" s="9">
        <v>49.365095147237867</v>
      </c>
      <c r="R3801" s="9">
        <v>50.770888721957412</v>
      </c>
      <c r="S3801" s="9">
        <v>52.200434315108524</v>
      </c>
      <c r="T3801" s="9">
        <v>52.412128096069225</v>
      </c>
      <c r="U3801" s="9">
        <v>59.043428948049694</v>
      </c>
      <c r="V3801" s="9">
        <v>59.043428948049694</v>
      </c>
      <c r="W3801" s="9">
        <v>59.043428948049694</v>
      </c>
      <c r="X3801" s="9">
        <v>71.670593717854672</v>
      </c>
      <c r="Y3801" s="9">
        <v>71.670593717854672</v>
      </c>
      <c r="Z3801" s="9">
        <v>81.082684339640124</v>
      </c>
      <c r="AA3801" s="9">
        <v>81.082684339640124</v>
      </c>
      <c r="AB3801" s="9">
        <v>89.394521523604197</v>
      </c>
      <c r="AC3801" s="9">
        <v>89.394521523604197</v>
      </c>
      <c r="AD3801" s="9">
        <v>100.64015972511829</v>
      </c>
      <c r="AE3801" s="9">
        <v>111.62134673584954</v>
      </c>
      <c r="AF3801" s="9">
        <v>124.72674901989339</v>
      </c>
      <c r="AG3801" s="9">
        <v>124.72674901989339</v>
      </c>
      <c r="AH3801" s="9">
        <v>144.13642656805314</v>
      </c>
      <c r="AI3801" s="9">
        <v>157.75463032016435</v>
      </c>
      <c r="AJ3801" s="9">
        <v>3.0428788910505911</v>
      </c>
    </row>
    <row r="3802" spans="1:36" x14ac:dyDescent="0.25">
      <c r="A3802" t="s">
        <v>5411</v>
      </c>
      <c r="B3802" t="s">
        <v>16</v>
      </c>
      <c r="C3802" t="s">
        <v>17</v>
      </c>
      <c r="D3802">
        <v>68388000</v>
      </c>
      <c r="E3802">
        <v>68389999</v>
      </c>
      <c r="F3802" t="s">
        <v>3450</v>
      </c>
      <c r="G3802" t="str">
        <f t="shared" si="118"/>
        <v>PAR</v>
      </c>
      <c r="H3802" t="s">
        <v>3417</v>
      </c>
      <c r="I3802" t="s">
        <v>20</v>
      </c>
      <c r="J3802" t="s">
        <v>77</v>
      </c>
      <c r="K3802" s="6">
        <v>0.03</v>
      </c>
      <c r="L3802" s="7">
        <f t="shared" si="119"/>
        <v>2E-3</v>
      </c>
      <c r="M3802" s="7">
        <v>3.0000000000000001E-3</v>
      </c>
      <c r="N3802">
        <v>17</v>
      </c>
      <c r="O3802" s="8">
        <v>49.365095147237867</v>
      </c>
      <c r="P3802" s="9">
        <v>49.365095147237867</v>
      </c>
      <c r="Q3802" s="9">
        <v>49.365095147237867</v>
      </c>
      <c r="R3802" s="9">
        <v>50.770888721957412</v>
      </c>
      <c r="S3802" s="9">
        <v>52.200434315108524</v>
      </c>
      <c r="T3802" s="9">
        <v>52.412128096069225</v>
      </c>
      <c r="U3802" s="9">
        <v>59.043428948049694</v>
      </c>
      <c r="V3802" s="9">
        <v>59.043428948049694</v>
      </c>
      <c r="W3802" s="9">
        <v>59.043428948049694</v>
      </c>
      <c r="X3802" s="9">
        <v>71.670593717854672</v>
      </c>
      <c r="Y3802" s="9">
        <v>71.670593717854672</v>
      </c>
      <c r="Z3802" s="9">
        <v>81.082684339640124</v>
      </c>
      <c r="AA3802" s="9">
        <v>81.082684339640124</v>
      </c>
      <c r="AB3802" s="9">
        <v>89.394521523604197</v>
      </c>
      <c r="AC3802" s="9">
        <v>89.394521523604197</v>
      </c>
      <c r="AD3802" s="9">
        <v>100.64015972511829</v>
      </c>
      <c r="AE3802" s="9">
        <v>111.62134673584954</v>
      </c>
      <c r="AF3802" s="9">
        <v>124.72674901989339</v>
      </c>
      <c r="AG3802" s="9">
        <v>124.72674901989339</v>
      </c>
      <c r="AH3802" s="9">
        <v>144.13642656805314</v>
      </c>
      <c r="AI3802" s="9">
        <v>157.75463032016435</v>
      </c>
      <c r="AJ3802" s="9">
        <v>3.0428788910505911</v>
      </c>
    </row>
    <row r="3803" spans="1:36" x14ac:dyDescent="0.25">
      <c r="A3803" t="s">
        <v>5411</v>
      </c>
      <c r="B3803" t="s">
        <v>16</v>
      </c>
      <c r="C3803" t="s">
        <v>17</v>
      </c>
      <c r="D3803">
        <v>68390000</v>
      </c>
      <c r="E3803">
        <v>68397999</v>
      </c>
      <c r="F3803" t="s">
        <v>3451</v>
      </c>
      <c r="G3803" t="str">
        <f t="shared" si="118"/>
        <v>PAR</v>
      </c>
      <c r="H3803" t="s">
        <v>3417</v>
      </c>
      <c r="I3803" t="s">
        <v>20</v>
      </c>
      <c r="J3803" t="s">
        <v>77</v>
      </c>
      <c r="K3803" s="6">
        <v>0.03</v>
      </c>
      <c r="L3803" s="7">
        <f t="shared" si="119"/>
        <v>2E-3</v>
      </c>
      <c r="M3803" s="7">
        <v>3.0000000000000001E-3</v>
      </c>
      <c r="N3803">
        <v>17</v>
      </c>
      <c r="O3803" s="8">
        <v>49.365095147237867</v>
      </c>
      <c r="P3803" s="9">
        <v>49.365095147237867</v>
      </c>
      <c r="Q3803" s="9">
        <v>49.365095147237867</v>
      </c>
      <c r="R3803" s="9">
        <v>50.770888721957412</v>
      </c>
      <c r="S3803" s="9">
        <v>52.200434315108524</v>
      </c>
      <c r="T3803" s="9">
        <v>52.412128096069225</v>
      </c>
      <c r="U3803" s="9">
        <v>59.043428948049694</v>
      </c>
      <c r="V3803" s="9">
        <v>59.043428948049694</v>
      </c>
      <c r="W3803" s="9">
        <v>59.043428948049694</v>
      </c>
      <c r="X3803" s="9">
        <v>71.670593717854672</v>
      </c>
      <c r="Y3803" s="9">
        <v>71.670593717854672</v>
      </c>
      <c r="Z3803" s="9">
        <v>81.082684339640124</v>
      </c>
      <c r="AA3803" s="9">
        <v>81.082684339640124</v>
      </c>
      <c r="AB3803" s="9">
        <v>89.394521523604197</v>
      </c>
      <c r="AC3803" s="9">
        <v>89.394521523604197</v>
      </c>
      <c r="AD3803" s="9">
        <v>100.64015972511829</v>
      </c>
      <c r="AE3803" s="9">
        <v>111.62134673584954</v>
      </c>
      <c r="AF3803" s="9">
        <v>124.72674901989339</v>
      </c>
      <c r="AG3803" s="9">
        <v>124.72674901989339</v>
      </c>
      <c r="AH3803" s="9">
        <v>144.13642656805314</v>
      </c>
      <c r="AI3803" s="9">
        <v>157.75463032016435</v>
      </c>
      <c r="AJ3803" s="9">
        <v>3.0428788910505911</v>
      </c>
    </row>
    <row r="3804" spans="1:36" x14ac:dyDescent="0.25">
      <c r="A3804" t="s">
        <v>5411</v>
      </c>
      <c r="B3804" t="s">
        <v>16</v>
      </c>
      <c r="C3804" t="s">
        <v>17</v>
      </c>
      <c r="D3804">
        <v>68398000</v>
      </c>
      <c r="E3804">
        <v>68399999</v>
      </c>
      <c r="F3804" t="s">
        <v>3452</v>
      </c>
      <c r="G3804" t="str">
        <f t="shared" si="118"/>
        <v>PAR</v>
      </c>
      <c r="H3804" t="s">
        <v>3417</v>
      </c>
      <c r="I3804" t="s">
        <v>20</v>
      </c>
      <c r="J3804" t="s">
        <v>77</v>
      </c>
      <c r="K3804" s="6">
        <v>0.03</v>
      </c>
      <c r="L3804" s="7">
        <f t="shared" si="119"/>
        <v>2E-3</v>
      </c>
      <c r="M3804" s="7">
        <v>3.0000000000000001E-3</v>
      </c>
      <c r="N3804">
        <v>17</v>
      </c>
      <c r="O3804" s="8">
        <v>49.365095147237867</v>
      </c>
      <c r="P3804" s="9">
        <v>49.365095147237867</v>
      </c>
      <c r="Q3804" s="9">
        <v>49.365095147237867</v>
      </c>
      <c r="R3804" s="9">
        <v>50.770888721957412</v>
      </c>
      <c r="S3804" s="9">
        <v>52.200434315108524</v>
      </c>
      <c r="T3804" s="9">
        <v>52.412128096069225</v>
      </c>
      <c r="U3804" s="9">
        <v>59.043428948049694</v>
      </c>
      <c r="V3804" s="9">
        <v>59.043428948049694</v>
      </c>
      <c r="W3804" s="9">
        <v>59.043428948049694</v>
      </c>
      <c r="X3804" s="9">
        <v>71.670593717854672</v>
      </c>
      <c r="Y3804" s="9">
        <v>71.670593717854672</v>
      </c>
      <c r="Z3804" s="9">
        <v>81.082684339640124</v>
      </c>
      <c r="AA3804" s="9">
        <v>81.082684339640124</v>
      </c>
      <c r="AB3804" s="9">
        <v>89.394521523604197</v>
      </c>
      <c r="AC3804" s="9">
        <v>89.394521523604197</v>
      </c>
      <c r="AD3804" s="9">
        <v>100.64015972511829</v>
      </c>
      <c r="AE3804" s="9">
        <v>111.62134673584954</v>
      </c>
      <c r="AF3804" s="9">
        <v>124.72674901989339</v>
      </c>
      <c r="AG3804" s="9">
        <v>124.72674901989339</v>
      </c>
      <c r="AH3804" s="9">
        <v>144.13642656805314</v>
      </c>
      <c r="AI3804" s="9">
        <v>157.75463032016435</v>
      </c>
      <c r="AJ3804" s="9">
        <v>3.0428788910505911</v>
      </c>
    </row>
    <row r="3805" spans="1:36" x14ac:dyDescent="0.25">
      <c r="A3805" t="s">
        <v>5411</v>
      </c>
      <c r="B3805" t="s">
        <v>16</v>
      </c>
      <c r="C3805" t="s">
        <v>17</v>
      </c>
      <c r="D3805">
        <v>68400000</v>
      </c>
      <c r="E3805">
        <v>68414999</v>
      </c>
      <c r="F3805" t="s">
        <v>3453</v>
      </c>
      <c r="G3805" t="str">
        <f t="shared" si="118"/>
        <v>PAR</v>
      </c>
      <c r="H3805" t="s">
        <v>3417</v>
      </c>
      <c r="I3805" t="s">
        <v>20</v>
      </c>
      <c r="J3805" t="s">
        <v>77</v>
      </c>
      <c r="K3805" s="6">
        <v>0.03</v>
      </c>
      <c r="L3805" s="7">
        <f t="shared" si="119"/>
        <v>2E-3</v>
      </c>
      <c r="M3805" s="7">
        <v>3.0000000000000001E-3</v>
      </c>
      <c r="N3805">
        <v>17</v>
      </c>
      <c r="O3805" s="8">
        <v>49.365095147237867</v>
      </c>
      <c r="P3805" s="9">
        <v>49.365095147237867</v>
      </c>
      <c r="Q3805" s="9">
        <v>49.365095147237867</v>
      </c>
      <c r="R3805" s="9">
        <v>50.770888721957412</v>
      </c>
      <c r="S3805" s="9">
        <v>52.200434315108524</v>
      </c>
      <c r="T3805" s="9">
        <v>52.412128096069225</v>
      </c>
      <c r="U3805" s="9">
        <v>59.043428948049694</v>
      </c>
      <c r="V3805" s="9">
        <v>59.043428948049694</v>
      </c>
      <c r="W3805" s="9">
        <v>59.043428948049694</v>
      </c>
      <c r="X3805" s="9">
        <v>71.670593717854672</v>
      </c>
      <c r="Y3805" s="9">
        <v>71.670593717854672</v>
      </c>
      <c r="Z3805" s="9">
        <v>81.082684339640124</v>
      </c>
      <c r="AA3805" s="9">
        <v>81.082684339640124</v>
      </c>
      <c r="AB3805" s="9">
        <v>89.394521523604197</v>
      </c>
      <c r="AC3805" s="9">
        <v>89.394521523604197</v>
      </c>
      <c r="AD3805" s="9">
        <v>100.64015972511829</v>
      </c>
      <c r="AE3805" s="9">
        <v>111.62134673584954</v>
      </c>
      <c r="AF3805" s="9">
        <v>124.72674901989339</v>
      </c>
      <c r="AG3805" s="9">
        <v>124.72674901989339</v>
      </c>
      <c r="AH3805" s="9">
        <v>144.13642656805314</v>
      </c>
      <c r="AI3805" s="9">
        <v>157.75463032016435</v>
      </c>
      <c r="AJ3805" s="9">
        <v>3.0428788910505911</v>
      </c>
    </row>
    <row r="3806" spans="1:36" x14ac:dyDescent="0.25">
      <c r="A3806" t="s">
        <v>5411</v>
      </c>
      <c r="B3806" t="s">
        <v>16</v>
      </c>
      <c r="C3806" t="s">
        <v>17</v>
      </c>
      <c r="D3806">
        <v>68415000</v>
      </c>
      <c r="E3806">
        <v>68419999</v>
      </c>
      <c r="F3806" t="s">
        <v>3454</v>
      </c>
      <c r="G3806" t="str">
        <f t="shared" si="118"/>
        <v>PAR</v>
      </c>
      <c r="H3806" t="s">
        <v>3417</v>
      </c>
      <c r="I3806" t="s">
        <v>20</v>
      </c>
      <c r="J3806" t="s">
        <v>77</v>
      </c>
      <c r="K3806" s="6">
        <v>0.03</v>
      </c>
      <c r="L3806" s="7">
        <f t="shared" si="119"/>
        <v>2E-3</v>
      </c>
      <c r="M3806" s="7">
        <v>3.0000000000000001E-3</v>
      </c>
      <c r="N3806">
        <v>17</v>
      </c>
      <c r="O3806" s="8">
        <v>49.365095147237867</v>
      </c>
      <c r="P3806" s="9">
        <v>49.365095147237867</v>
      </c>
      <c r="Q3806" s="9">
        <v>49.365095147237867</v>
      </c>
      <c r="R3806" s="9">
        <v>50.770888721957412</v>
      </c>
      <c r="S3806" s="9">
        <v>52.200434315108524</v>
      </c>
      <c r="T3806" s="9">
        <v>52.412128096069225</v>
      </c>
      <c r="U3806" s="9">
        <v>59.043428948049694</v>
      </c>
      <c r="V3806" s="9">
        <v>59.043428948049694</v>
      </c>
      <c r="W3806" s="9">
        <v>59.043428948049694</v>
      </c>
      <c r="X3806" s="9">
        <v>71.670593717854672</v>
      </c>
      <c r="Y3806" s="9">
        <v>71.670593717854672</v>
      </c>
      <c r="Z3806" s="9">
        <v>81.082684339640124</v>
      </c>
      <c r="AA3806" s="9">
        <v>81.082684339640124</v>
      </c>
      <c r="AB3806" s="9">
        <v>89.394521523604197</v>
      </c>
      <c r="AC3806" s="9">
        <v>89.394521523604197</v>
      </c>
      <c r="AD3806" s="9">
        <v>100.64015972511829</v>
      </c>
      <c r="AE3806" s="9">
        <v>111.62134673584954</v>
      </c>
      <c r="AF3806" s="9">
        <v>124.72674901989339</v>
      </c>
      <c r="AG3806" s="9">
        <v>124.72674901989339</v>
      </c>
      <c r="AH3806" s="9">
        <v>144.13642656805314</v>
      </c>
      <c r="AI3806" s="9">
        <v>157.75463032016435</v>
      </c>
      <c r="AJ3806" s="9">
        <v>3.0428788910505911</v>
      </c>
    </row>
    <row r="3807" spans="1:36" x14ac:dyDescent="0.25">
      <c r="A3807" t="s">
        <v>5411</v>
      </c>
      <c r="B3807" t="s">
        <v>16</v>
      </c>
      <c r="C3807" t="s">
        <v>17</v>
      </c>
      <c r="D3807">
        <v>68420000</v>
      </c>
      <c r="E3807">
        <v>68429999</v>
      </c>
      <c r="F3807" t="s">
        <v>3455</v>
      </c>
      <c r="G3807" t="str">
        <f t="shared" si="118"/>
        <v>PAR</v>
      </c>
      <c r="H3807" t="s">
        <v>3417</v>
      </c>
      <c r="I3807" t="s">
        <v>20</v>
      </c>
      <c r="J3807" t="s">
        <v>77</v>
      </c>
      <c r="K3807" s="6">
        <v>0.03</v>
      </c>
      <c r="L3807" s="7">
        <f t="shared" si="119"/>
        <v>2E-3</v>
      </c>
      <c r="M3807" s="7">
        <v>3.0000000000000001E-3</v>
      </c>
      <c r="N3807">
        <v>17</v>
      </c>
      <c r="O3807" s="8">
        <v>49.365095147237867</v>
      </c>
      <c r="P3807" s="9">
        <v>49.365095147237867</v>
      </c>
      <c r="Q3807" s="9">
        <v>49.365095147237867</v>
      </c>
      <c r="R3807" s="9">
        <v>50.770888721957412</v>
      </c>
      <c r="S3807" s="9">
        <v>52.200434315108524</v>
      </c>
      <c r="T3807" s="9">
        <v>52.412128096069225</v>
      </c>
      <c r="U3807" s="9">
        <v>59.043428948049694</v>
      </c>
      <c r="V3807" s="9">
        <v>59.043428948049694</v>
      </c>
      <c r="W3807" s="9">
        <v>59.043428948049694</v>
      </c>
      <c r="X3807" s="9">
        <v>71.670593717854672</v>
      </c>
      <c r="Y3807" s="9">
        <v>71.670593717854672</v>
      </c>
      <c r="Z3807" s="9">
        <v>81.082684339640124</v>
      </c>
      <c r="AA3807" s="9">
        <v>81.082684339640124</v>
      </c>
      <c r="AB3807" s="9">
        <v>89.394521523604197</v>
      </c>
      <c r="AC3807" s="9">
        <v>89.394521523604197</v>
      </c>
      <c r="AD3807" s="9">
        <v>100.64015972511829</v>
      </c>
      <c r="AE3807" s="9">
        <v>111.62134673584954</v>
      </c>
      <c r="AF3807" s="9">
        <v>124.72674901989339</v>
      </c>
      <c r="AG3807" s="9">
        <v>124.72674901989339</v>
      </c>
      <c r="AH3807" s="9">
        <v>144.13642656805314</v>
      </c>
      <c r="AI3807" s="9">
        <v>157.75463032016435</v>
      </c>
      <c r="AJ3807" s="9">
        <v>3.0428788910505911</v>
      </c>
    </row>
    <row r="3808" spans="1:36" x14ac:dyDescent="0.25">
      <c r="A3808" t="s">
        <v>5411</v>
      </c>
      <c r="B3808" t="s">
        <v>16</v>
      </c>
      <c r="C3808" t="s">
        <v>17</v>
      </c>
      <c r="D3808">
        <v>68430000</v>
      </c>
      <c r="E3808">
        <v>68439999</v>
      </c>
      <c r="F3808" t="s">
        <v>3456</v>
      </c>
      <c r="G3808" t="str">
        <f t="shared" si="118"/>
        <v>PAR</v>
      </c>
      <c r="H3808" t="s">
        <v>3417</v>
      </c>
      <c r="I3808" t="s">
        <v>20</v>
      </c>
      <c r="J3808" t="s">
        <v>77</v>
      </c>
      <c r="K3808" s="6">
        <v>0.03</v>
      </c>
      <c r="L3808" s="7">
        <f t="shared" si="119"/>
        <v>2E-3</v>
      </c>
      <c r="M3808" s="7">
        <v>3.0000000000000001E-3</v>
      </c>
      <c r="N3808">
        <v>17</v>
      </c>
      <c r="O3808" s="8">
        <v>49.365095147237867</v>
      </c>
      <c r="P3808" s="9">
        <v>49.365095147237867</v>
      </c>
      <c r="Q3808" s="9">
        <v>49.365095147237867</v>
      </c>
      <c r="R3808" s="9">
        <v>50.770888721957412</v>
      </c>
      <c r="S3808" s="9">
        <v>52.200434315108524</v>
      </c>
      <c r="T3808" s="9">
        <v>52.412128096069225</v>
      </c>
      <c r="U3808" s="9">
        <v>59.043428948049694</v>
      </c>
      <c r="V3808" s="9">
        <v>59.043428948049694</v>
      </c>
      <c r="W3808" s="9">
        <v>59.043428948049694</v>
      </c>
      <c r="X3808" s="9">
        <v>71.670593717854672</v>
      </c>
      <c r="Y3808" s="9">
        <v>71.670593717854672</v>
      </c>
      <c r="Z3808" s="9">
        <v>81.082684339640124</v>
      </c>
      <c r="AA3808" s="9">
        <v>81.082684339640124</v>
      </c>
      <c r="AB3808" s="9">
        <v>89.394521523604197</v>
      </c>
      <c r="AC3808" s="9">
        <v>89.394521523604197</v>
      </c>
      <c r="AD3808" s="9">
        <v>100.64015972511829</v>
      </c>
      <c r="AE3808" s="9">
        <v>111.62134673584954</v>
      </c>
      <c r="AF3808" s="9">
        <v>124.72674901989339</v>
      </c>
      <c r="AG3808" s="9">
        <v>124.72674901989339</v>
      </c>
      <c r="AH3808" s="9">
        <v>144.13642656805314</v>
      </c>
      <c r="AI3808" s="9">
        <v>157.75463032016435</v>
      </c>
      <c r="AJ3808" s="9">
        <v>3.0428788910505911</v>
      </c>
    </row>
    <row r="3809" spans="1:36" x14ac:dyDescent="0.25">
      <c r="A3809" t="s">
        <v>5411</v>
      </c>
      <c r="B3809" t="s">
        <v>16</v>
      </c>
      <c r="C3809" t="s">
        <v>17</v>
      </c>
      <c r="D3809">
        <v>68440000</v>
      </c>
      <c r="E3809">
        <v>68444999</v>
      </c>
      <c r="F3809" t="s">
        <v>3457</v>
      </c>
      <c r="G3809" t="str">
        <f t="shared" si="118"/>
        <v>PAR</v>
      </c>
      <c r="H3809" t="s">
        <v>3417</v>
      </c>
      <c r="I3809" t="s">
        <v>20</v>
      </c>
      <c r="J3809" t="s">
        <v>77</v>
      </c>
      <c r="K3809" s="6">
        <v>0.03</v>
      </c>
      <c r="L3809" s="7">
        <f t="shared" si="119"/>
        <v>2E-3</v>
      </c>
      <c r="M3809" s="7">
        <v>3.0000000000000001E-3</v>
      </c>
      <c r="N3809">
        <v>17</v>
      </c>
      <c r="O3809" s="8">
        <v>49.365095147237867</v>
      </c>
      <c r="P3809" s="9">
        <v>49.365095147237867</v>
      </c>
      <c r="Q3809" s="9">
        <v>49.365095147237867</v>
      </c>
      <c r="R3809" s="9">
        <v>50.770888721957412</v>
      </c>
      <c r="S3809" s="9">
        <v>52.200434315108524</v>
      </c>
      <c r="T3809" s="9">
        <v>52.412128096069225</v>
      </c>
      <c r="U3809" s="9">
        <v>59.043428948049694</v>
      </c>
      <c r="V3809" s="9">
        <v>59.043428948049694</v>
      </c>
      <c r="W3809" s="9">
        <v>59.043428948049694</v>
      </c>
      <c r="X3809" s="9">
        <v>71.670593717854672</v>
      </c>
      <c r="Y3809" s="9">
        <v>71.670593717854672</v>
      </c>
      <c r="Z3809" s="9">
        <v>81.082684339640124</v>
      </c>
      <c r="AA3809" s="9">
        <v>81.082684339640124</v>
      </c>
      <c r="AB3809" s="9">
        <v>89.394521523604197</v>
      </c>
      <c r="AC3809" s="9">
        <v>89.394521523604197</v>
      </c>
      <c r="AD3809" s="9">
        <v>100.64015972511829</v>
      </c>
      <c r="AE3809" s="9">
        <v>111.62134673584954</v>
      </c>
      <c r="AF3809" s="9">
        <v>124.72674901989339</v>
      </c>
      <c r="AG3809" s="9">
        <v>124.72674901989339</v>
      </c>
      <c r="AH3809" s="9">
        <v>144.13642656805314</v>
      </c>
      <c r="AI3809" s="9">
        <v>157.75463032016435</v>
      </c>
      <c r="AJ3809" s="9">
        <v>3.0428788910505911</v>
      </c>
    </row>
    <row r="3810" spans="1:36" x14ac:dyDescent="0.25">
      <c r="A3810" t="s">
        <v>5411</v>
      </c>
      <c r="B3810" t="s">
        <v>16</v>
      </c>
      <c r="C3810" t="s">
        <v>17</v>
      </c>
      <c r="D3810">
        <v>68445000</v>
      </c>
      <c r="E3810">
        <v>68449999</v>
      </c>
      <c r="F3810" t="s">
        <v>3458</v>
      </c>
      <c r="G3810" t="str">
        <f t="shared" si="118"/>
        <v>PAR</v>
      </c>
      <c r="H3810" t="s">
        <v>3417</v>
      </c>
      <c r="I3810" t="s">
        <v>20</v>
      </c>
      <c r="J3810" t="s">
        <v>77</v>
      </c>
      <c r="K3810" s="6">
        <v>0.03</v>
      </c>
      <c r="L3810" s="7">
        <f t="shared" si="119"/>
        <v>2E-3</v>
      </c>
      <c r="M3810" s="7">
        <v>3.0000000000000001E-3</v>
      </c>
      <c r="N3810">
        <v>17</v>
      </c>
      <c r="O3810" s="8">
        <v>49.365095147237867</v>
      </c>
      <c r="P3810" s="9">
        <v>49.365095147237867</v>
      </c>
      <c r="Q3810" s="9">
        <v>49.365095147237867</v>
      </c>
      <c r="R3810" s="9">
        <v>50.770888721957412</v>
      </c>
      <c r="S3810" s="9">
        <v>52.200434315108524</v>
      </c>
      <c r="T3810" s="9">
        <v>52.412128096069225</v>
      </c>
      <c r="U3810" s="9">
        <v>59.043428948049694</v>
      </c>
      <c r="V3810" s="9">
        <v>59.043428948049694</v>
      </c>
      <c r="W3810" s="9">
        <v>59.043428948049694</v>
      </c>
      <c r="X3810" s="9">
        <v>71.670593717854672</v>
      </c>
      <c r="Y3810" s="9">
        <v>71.670593717854672</v>
      </c>
      <c r="Z3810" s="9">
        <v>81.082684339640124</v>
      </c>
      <c r="AA3810" s="9">
        <v>81.082684339640124</v>
      </c>
      <c r="AB3810" s="9">
        <v>89.394521523604197</v>
      </c>
      <c r="AC3810" s="9">
        <v>89.394521523604197</v>
      </c>
      <c r="AD3810" s="9">
        <v>100.64015972511829</v>
      </c>
      <c r="AE3810" s="9">
        <v>111.62134673584954</v>
      </c>
      <c r="AF3810" s="9">
        <v>124.72674901989339</v>
      </c>
      <c r="AG3810" s="9">
        <v>124.72674901989339</v>
      </c>
      <c r="AH3810" s="9">
        <v>144.13642656805314</v>
      </c>
      <c r="AI3810" s="9">
        <v>157.75463032016435</v>
      </c>
      <c r="AJ3810" s="9">
        <v>3.0428788910505911</v>
      </c>
    </row>
    <row r="3811" spans="1:36" x14ac:dyDescent="0.25">
      <c r="A3811" t="s">
        <v>5411</v>
      </c>
      <c r="B3811" t="s">
        <v>16</v>
      </c>
      <c r="C3811" t="s">
        <v>17</v>
      </c>
      <c r="D3811">
        <v>68450000</v>
      </c>
      <c r="E3811">
        <v>68454999</v>
      </c>
      <c r="F3811" t="s">
        <v>3459</v>
      </c>
      <c r="G3811" t="str">
        <f t="shared" si="118"/>
        <v>PAR</v>
      </c>
      <c r="H3811" t="s">
        <v>3417</v>
      </c>
      <c r="I3811" t="s">
        <v>20</v>
      </c>
      <c r="J3811" t="s">
        <v>77</v>
      </c>
      <c r="K3811" s="6">
        <v>0.03</v>
      </c>
      <c r="L3811" s="7">
        <f t="shared" si="119"/>
        <v>2E-3</v>
      </c>
      <c r="M3811" s="7">
        <v>3.0000000000000001E-3</v>
      </c>
      <c r="N3811">
        <v>17</v>
      </c>
      <c r="O3811" s="8">
        <v>49.365095147237867</v>
      </c>
      <c r="P3811" s="9">
        <v>49.365095147237867</v>
      </c>
      <c r="Q3811" s="9">
        <v>49.365095147237867</v>
      </c>
      <c r="R3811" s="9">
        <v>50.770888721957412</v>
      </c>
      <c r="S3811" s="9">
        <v>52.200434315108524</v>
      </c>
      <c r="T3811" s="9">
        <v>52.412128096069225</v>
      </c>
      <c r="U3811" s="9">
        <v>59.043428948049694</v>
      </c>
      <c r="V3811" s="9">
        <v>59.043428948049694</v>
      </c>
      <c r="W3811" s="9">
        <v>59.043428948049694</v>
      </c>
      <c r="X3811" s="9">
        <v>71.670593717854672</v>
      </c>
      <c r="Y3811" s="9">
        <v>71.670593717854672</v>
      </c>
      <c r="Z3811" s="9">
        <v>81.082684339640124</v>
      </c>
      <c r="AA3811" s="9">
        <v>81.082684339640124</v>
      </c>
      <c r="AB3811" s="9">
        <v>89.394521523604197</v>
      </c>
      <c r="AC3811" s="9">
        <v>89.394521523604197</v>
      </c>
      <c r="AD3811" s="9">
        <v>100.64015972511829</v>
      </c>
      <c r="AE3811" s="9">
        <v>111.62134673584954</v>
      </c>
      <c r="AF3811" s="9">
        <v>124.72674901989339</v>
      </c>
      <c r="AG3811" s="9">
        <v>124.72674901989339</v>
      </c>
      <c r="AH3811" s="9">
        <v>144.13642656805314</v>
      </c>
      <c r="AI3811" s="9">
        <v>157.75463032016435</v>
      </c>
      <c r="AJ3811" s="9">
        <v>3.0428788910505911</v>
      </c>
    </row>
    <row r="3812" spans="1:36" x14ac:dyDescent="0.25">
      <c r="A3812" t="s">
        <v>5411</v>
      </c>
      <c r="B3812" t="s">
        <v>16</v>
      </c>
      <c r="C3812" t="s">
        <v>17</v>
      </c>
      <c r="D3812">
        <v>68455000</v>
      </c>
      <c r="E3812">
        <v>68464999</v>
      </c>
      <c r="F3812" t="s">
        <v>3460</v>
      </c>
      <c r="G3812" t="str">
        <f t="shared" si="118"/>
        <v>PAR</v>
      </c>
      <c r="H3812" t="s">
        <v>3417</v>
      </c>
      <c r="I3812" t="s">
        <v>20</v>
      </c>
      <c r="J3812" t="s">
        <v>77</v>
      </c>
      <c r="K3812" s="6">
        <v>0.03</v>
      </c>
      <c r="L3812" s="7">
        <f t="shared" si="119"/>
        <v>2E-3</v>
      </c>
      <c r="M3812" s="7">
        <v>3.0000000000000001E-3</v>
      </c>
      <c r="N3812">
        <v>17</v>
      </c>
      <c r="O3812" s="8">
        <v>49.365095147237867</v>
      </c>
      <c r="P3812" s="9">
        <v>49.365095147237867</v>
      </c>
      <c r="Q3812" s="9">
        <v>49.365095147237867</v>
      </c>
      <c r="R3812" s="9">
        <v>50.770888721957412</v>
      </c>
      <c r="S3812" s="9">
        <v>52.200434315108524</v>
      </c>
      <c r="T3812" s="9">
        <v>52.412128096069225</v>
      </c>
      <c r="U3812" s="9">
        <v>59.043428948049694</v>
      </c>
      <c r="V3812" s="9">
        <v>59.043428948049694</v>
      </c>
      <c r="W3812" s="9">
        <v>59.043428948049694</v>
      </c>
      <c r="X3812" s="9">
        <v>71.670593717854672</v>
      </c>
      <c r="Y3812" s="9">
        <v>71.670593717854672</v>
      </c>
      <c r="Z3812" s="9">
        <v>81.082684339640124</v>
      </c>
      <c r="AA3812" s="9">
        <v>81.082684339640124</v>
      </c>
      <c r="AB3812" s="9">
        <v>89.394521523604197</v>
      </c>
      <c r="AC3812" s="9">
        <v>89.394521523604197</v>
      </c>
      <c r="AD3812" s="9">
        <v>100.64015972511829</v>
      </c>
      <c r="AE3812" s="9">
        <v>111.62134673584954</v>
      </c>
      <c r="AF3812" s="9">
        <v>124.72674901989339</v>
      </c>
      <c r="AG3812" s="9">
        <v>124.72674901989339</v>
      </c>
      <c r="AH3812" s="9">
        <v>144.13642656805314</v>
      </c>
      <c r="AI3812" s="9">
        <v>157.75463032016435</v>
      </c>
      <c r="AJ3812" s="9">
        <v>3.0428788910505911</v>
      </c>
    </row>
    <row r="3813" spans="1:36" x14ac:dyDescent="0.25">
      <c r="A3813" t="s">
        <v>5411</v>
      </c>
      <c r="B3813" t="s">
        <v>16</v>
      </c>
      <c r="C3813" t="s">
        <v>17</v>
      </c>
      <c r="D3813">
        <v>68465000</v>
      </c>
      <c r="E3813">
        <v>68469999</v>
      </c>
      <c r="F3813" t="s">
        <v>3461</v>
      </c>
      <c r="G3813" t="str">
        <f t="shared" si="118"/>
        <v>PAR</v>
      </c>
      <c r="H3813" t="s">
        <v>3417</v>
      </c>
      <c r="I3813" t="s">
        <v>20</v>
      </c>
      <c r="J3813" t="s">
        <v>77</v>
      </c>
      <c r="K3813" s="6">
        <v>0.03</v>
      </c>
      <c r="L3813" s="7">
        <f t="shared" si="119"/>
        <v>2E-3</v>
      </c>
      <c r="M3813" s="7">
        <v>3.0000000000000001E-3</v>
      </c>
      <c r="N3813">
        <v>17</v>
      </c>
      <c r="O3813" s="8">
        <v>49.365095147237867</v>
      </c>
      <c r="P3813" s="9">
        <v>49.365095147237867</v>
      </c>
      <c r="Q3813" s="9">
        <v>49.365095147237867</v>
      </c>
      <c r="R3813" s="9">
        <v>50.770888721957412</v>
      </c>
      <c r="S3813" s="9">
        <v>52.200434315108524</v>
      </c>
      <c r="T3813" s="9">
        <v>52.412128096069225</v>
      </c>
      <c r="U3813" s="9">
        <v>59.043428948049694</v>
      </c>
      <c r="V3813" s="9">
        <v>59.043428948049694</v>
      </c>
      <c r="W3813" s="9">
        <v>59.043428948049694</v>
      </c>
      <c r="X3813" s="9">
        <v>71.670593717854672</v>
      </c>
      <c r="Y3813" s="9">
        <v>71.670593717854672</v>
      </c>
      <c r="Z3813" s="9">
        <v>81.082684339640124</v>
      </c>
      <c r="AA3813" s="9">
        <v>81.082684339640124</v>
      </c>
      <c r="AB3813" s="9">
        <v>89.394521523604197</v>
      </c>
      <c r="AC3813" s="9">
        <v>89.394521523604197</v>
      </c>
      <c r="AD3813" s="9">
        <v>100.64015972511829</v>
      </c>
      <c r="AE3813" s="9">
        <v>111.62134673584954</v>
      </c>
      <c r="AF3813" s="9">
        <v>124.72674901989339</v>
      </c>
      <c r="AG3813" s="9">
        <v>124.72674901989339</v>
      </c>
      <c r="AH3813" s="9">
        <v>144.13642656805314</v>
      </c>
      <c r="AI3813" s="9">
        <v>157.75463032016435</v>
      </c>
      <c r="AJ3813" s="9">
        <v>3.0428788910505911</v>
      </c>
    </row>
    <row r="3814" spans="1:36" x14ac:dyDescent="0.25">
      <c r="A3814" t="s">
        <v>5411</v>
      </c>
      <c r="B3814" t="s">
        <v>16</v>
      </c>
      <c r="C3814" t="s">
        <v>17</v>
      </c>
      <c r="D3814">
        <v>68470000</v>
      </c>
      <c r="E3814">
        <v>68472999</v>
      </c>
      <c r="F3814" t="s">
        <v>3462</v>
      </c>
      <c r="G3814" t="str">
        <f t="shared" si="118"/>
        <v>PAR</v>
      </c>
      <c r="H3814" t="s">
        <v>3417</v>
      </c>
      <c r="I3814" t="s">
        <v>20</v>
      </c>
      <c r="J3814" t="s">
        <v>77</v>
      </c>
      <c r="K3814" s="6">
        <v>0.03</v>
      </c>
      <c r="L3814" s="7">
        <f t="shared" si="119"/>
        <v>2E-3</v>
      </c>
      <c r="M3814" s="7">
        <v>3.0000000000000001E-3</v>
      </c>
      <c r="N3814">
        <v>17</v>
      </c>
      <c r="O3814" s="8">
        <v>49.365095147237867</v>
      </c>
      <c r="P3814" s="9">
        <v>49.365095147237867</v>
      </c>
      <c r="Q3814" s="9">
        <v>49.365095147237867</v>
      </c>
      <c r="R3814" s="9">
        <v>50.770888721957412</v>
      </c>
      <c r="S3814" s="9">
        <v>52.200434315108524</v>
      </c>
      <c r="T3814" s="9">
        <v>52.412128096069225</v>
      </c>
      <c r="U3814" s="9">
        <v>59.043428948049694</v>
      </c>
      <c r="V3814" s="9">
        <v>59.043428948049694</v>
      </c>
      <c r="W3814" s="9">
        <v>59.043428948049694</v>
      </c>
      <c r="X3814" s="9">
        <v>71.670593717854672</v>
      </c>
      <c r="Y3814" s="9">
        <v>71.670593717854672</v>
      </c>
      <c r="Z3814" s="9">
        <v>81.082684339640124</v>
      </c>
      <c r="AA3814" s="9">
        <v>81.082684339640124</v>
      </c>
      <c r="AB3814" s="9">
        <v>89.394521523604197</v>
      </c>
      <c r="AC3814" s="9">
        <v>89.394521523604197</v>
      </c>
      <c r="AD3814" s="9">
        <v>100.64015972511829</v>
      </c>
      <c r="AE3814" s="9">
        <v>111.62134673584954</v>
      </c>
      <c r="AF3814" s="9">
        <v>124.72674901989339</v>
      </c>
      <c r="AG3814" s="9">
        <v>124.72674901989339</v>
      </c>
      <c r="AH3814" s="9">
        <v>144.13642656805314</v>
      </c>
      <c r="AI3814" s="9">
        <v>157.75463032016435</v>
      </c>
      <c r="AJ3814" s="9">
        <v>3.0428788910505911</v>
      </c>
    </row>
    <row r="3815" spans="1:36" x14ac:dyDescent="0.25">
      <c r="A3815" t="s">
        <v>5411</v>
      </c>
      <c r="B3815" t="s">
        <v>16</v>
      </c>
      <c r="C3815" t="s">
        <v>17</v>
      </c>
      <c r="D3815">
        <v>68473000</v>
      </c>
      <c r="E3815">
        <v>68474999</v>
      </c>
      <c r="F3815" t="s">
        <v>3463</v>
      </c>
      <c r="G3815" t="str">
        <f t="shared" si="118"/>
        <v>PAR</v>
      </c>
      <c r="H3815" t="s">
        <v>3417</v>
      </c>
      <c r="I3815" t="s">
        <v>20</v>
      </c>
      <c r="J3815" t="s">
        <v>77</v>
      </c>
      <c r="K3815" s="6">
        <v>0.03</v>
      </c>
      <c r="L3815" s="7">
        <f t="shared" si="119"/>
        <v>2E-3</v>
      </c>
      <c r="M3815" s="7">
        <v>3.0000000000000001E-3</v>
      </c>
      <c r="N3815">
        <v>17</v>
      </c>
      <c r="O3815" s="8">
        <v>49.365095147237867</v>
      </c>
      <c r="P3815" s="9">
        <v>49.365095147237867</v>
      </c>
      <c r="Q3815" s="9">
        <v>49.365095147237867</v>
      </c>
      <c r="R3815" s="9">
        <v>50.770888721957412</v>
      </c>
      <c r="S3815" s="9">
        <v>52.200434315108524</v>
      </c>
      <c r="T3815" s="9">
        <v>52.412128096069225</v>
      </c>
      <c r="U3815" s="9">
        <v>59.043428948049694</v>
      </c>
      <c r="V3815" s="9">
        <v>59.043428948049694</v>
      </c>
      <c r="W3815" s="9">
        <v>59.043428948049694</v>
      </c>
      <c r="X3815" s="9">
        <v>71.670593717854672</v>
      </c>
      <c r="Y3815" s="9">
        <v>71.670593717854672</v>
      </c>
      <c r="Z3815" s="9">
        <v>81.082684339640124</v>
      </c>
      <c r="AA3815" s="9">
        <v>81.082684339640124</v>
      </c>
      <c r="AB3815" s="9">
        <v>89.394521523604197</v>
      </c>
      <c r="AC3815" s="9">
        <v>89.394521523604197</v>
      </c>
      <c r="AD3815" s="9">
        <v>100.64015972511829</v>
      </c>
      <c r="AE3815" s="9">
        <v>111.62134673584954</v>
      </c>
      <c r="AF3815" s="9">
        <v>124.72674901989339</v>
      </c>
      <c r="AG3815" s="9">
        <v>124.72674901989339</v>
      </c>
      <c r="AH3815" s="9">
        <v>144.13642656805314</v>
      </c>
      <c r="AI3815" s="9">
        <v>157.75463032016435</v>
      </c>
      <c r="AJ3815" s="9">
        <v>3.0428788910505911</v>
      </c>
    </row>
    <row r="3816" spans="1:36" x14ac:dyDescent="0.25">
      <c r="A3816" t="s">
        <v>5411</v>
      </c>
      <c r="B3816" t="s">
        <v>16</v>
      </c>
      <c r="C3816" t="s">
        <v>17</v>
      </c>
      <c r="D3816">
        <v>68475000</v>
      </c>
      <c r="E3816">
        <v>68479999</v>
      </c>
      <c r="F3816" t="s">
        <v>3464</v>
      </c>
      <c r="G3816" t="str">
        <f t="shared" si="118"/>
        <v>PAR</v>
      </c>
      <c r="H3816" t="s">
        <v>3417</v>
      </c>
      <c r="I3816" t="s">
        <v>20</v>
      </c>
      <c r="J3816" t="s">
        <v>77</v>
      </c>
      <c r="K3816" s="6">
        <v>0.03</v>
      </c>
      <c r="L3816" s="7">
        <f t="shared" si="119"/>
        <v>2E-3</v>
      </c>
      <c r="M3816" s="7">
        <v>3.0000000000000001E-3</v>
      </c>
      <c r="N3816">
        <v>17</v>
      </c>
      <c r="O3816" s="8">
        <v>49.365095147237867</v>
      </c>
      <c r="P3816" s="9">
        <v>49.365095147237867</v>
      </c>
      <c r="Q3816" s="9">
        <v>49.365095147237867</v>
      </c>
      <c r="R3816" s="9">
        <v>50.770888721957412</v>
      </c>
      <c r="S3816" s="9">
        <v>52.200434315108524</v>
      </c>
      <c r="T3816" s="9">
        <v>52.412128096069225</v>
      </c>
      <c r="U3816" s="9">
        <v>59.043428948049694</v>
      </c>
      <c r="V3816" s="9">
        <v>59.043428948049694</v>
      </c>
      <c r="W3816" s="9">
        <v>59.043428948049694</v>
      </c>
      <c r="X3816" s="9">
        <v>71.670593717854672</v>
      </c>
      <c r="Y3816" s="9">
        <v>71.670593717854672</v>
      </c>
      <c r="Z3816" s="9">
        <v>81.082684339640124</v>
      </c>
      <c r="AA3816" s="9">
        <v>81.082684339640124</v>
      </c>
      <c r="AB3816" s="9">
        <v>89.394521523604197</v>
      </c>
      <c r="AC3816" s="9">
        <v>89.394521523604197</v>
      </c>
      <c r="AD3816" s="9">
        <v>100.64015972511829</v>
      </c>
      <c r="AE3816" s="9">
        <v>111.62134673584954</v>
      </c>
      <c r="AF3816" s="9">
        <v>124.72674901989339</v>
      </c>
      <c r="AG3816" s="9">
        <v>124.72674901989339</v>
      </c>
      <c r="AH3816" s="9">
        <v>144.13642656805314</v>
      </c>
      <c r="AI3816" s="9">
        <v>157.75463032016435</v>
      </c>
      <c r="AJ3816" s="9">
        <v>3.0428788910505911</v>
      </c>
    </row>
    <row r="3817" spans="1:36" x14ac:dyDescent="0.25">
      <c r="A3817" t="s">
        <v>5411</v>
      </c>
      <c r="B3817" t="s">
        <v>16</v>
      </c>
      <c r="C3817" t="s">
        <v>17</v>
      </c>
      <c r="D3817">
        <v>68480000</v>
      </c>
      <c r="E3817">
        <v>68484999</v>
      </c>
      <c r="F3817" t="s">
        <v>3465</v>
      </c>
      <c r="G3817" t="str">
        <f t="shared" si="118"/>
        <v>PAR</v>
      </c>
      <c r="H3817" t="s">
        <v>3417</v>
      </c>
      <c r="I3817" t="s">
        <v>20</v>
      </c>
      <c r="J3817" t="s">
        <v>77</v>
      </c>
      <c r="K3817" s="6">
        <v>0.03</v>
      </c>
      <c r="L3817" s="7">
        <f t="shared" si="119"/>
        <v>2E-3</v>
      </c>
      <c r="M3817" s="7">
        <v>3.0000000000000001E-3</v>
      </c>
      <c r="N3817">
        <v>17</v>
      </c>
      <c r="O3817" s="8">
        <v>49.365095147237867</v>
      </c>
      <c r="P3817" s="9">
        <v>49.365095147237867</v>
      </c>
      <c r="Q3817" s="9">
        <v>49.365095147237867</v>
      </c>
      <c r="R3817" s="9">
        <v>50.770888721957412</v>
      </c>
      <c r="S3817" s="9">
        <v>52.200434315108524</v>
      </c>
      <c r="T3817" s="9">
        <v>52.412128096069225</v>
      </c>
      <c r="U3817" s="9">
        <v>59.043428948049694</v>
      </c>
      <c r="V3817" s="9">
        <v>59.043428948049694</v>
      </c>
      <c r="W3817" s="9">
        <v>59.043428948049694</v>
      </c>
      <c r="X3817" s="9">
        <v>71.670593717854672</v>
      </c>
      <c r="Y3817" s="9">
        <v>71.670593717854672</v>
      </c>
      <c r="Z3817" s="9">
        <v>81.082684339640124</v>
      </c>
      <c r="AA3817" s="9">
        <v>81.082684339640124</v>
      </c>
      <c r="AB3817" s="9">
        <v>89.394521523604197</v>
      </c>
      <c r="AC3817" s="9">
        <v>89.394521523604197</v>
      </c>
      <c r="AD3817" s="9">
        <v>100.64015972511829</v>
      </c>
      <c r="AE3817" s="9">
        <v>111.62134673584954</v>
      </c>
      <c r="AF3817" s="9">
        <v>124.72674901989339</v>
      </c>
      <c r="AG3817" s="9">
        <v>124.72674901989339</v>
      </c>
      <c r="AH3817" s="9">
        <v>144.13642656805314</v>
      </c>
      <c r="AI3817" s="9">
        <v>157.75463032016435</v>
      </c>
      <c r="AJ3817" s="9">
        <v>3.0428788910505911</v>
      </c>
    </row>
    <row r="3818" spans="1:36" x14ac:dyDescent="0.25">
      <c r="A3818" t="s">
        <v>5411</v>
      </c>
      <c r="B3818" t="s">
        <v>16</v>
      </c>
      <c r="C3818" t="s">
        <v>17</v>
      </c>
      <c r="D3818">
        <v>68485000</v>
      </c>
      <c r="E3818">
        <v>68487999</v>
      </c>
      <c r="F3818" t="s">
        <v>3466</v>
      </c>
      <c r="G3818" t="str">
        <f t="shared" si="118"/>
        <v>PAR</v>
      </c>
      <c r="H3818" t="s">
        <v>3417</v>
      </c>
      <c r="I3818" t="s">
        <v>20</v>
      </c>
      <c r="J3818" t="s">
        <v>77</v>
      </c>
      <c r="K3818" s="6">
        <v>0.03</v>
      </c>
      <c r="L3818" s="7">
        <f t="shared" si="119"/>
        <v>2E-3</v>
      </c>
      <c r="M3818" s="7">
        <v>3.0000000000000001E-3</v>
      </c>
      <c r="N3818">
        <v>17</v>
      </c>
      <c r="O3818" s="8">
        <v>49.365095147237867</v>
      </c>
      <c r="P3818" s="9">
        <v>49.365095147237867</v>
      </c>
      <c r="Q3818" s="9">
        <v>49.365095147237867</v>
      </c>
      <c r="R3818" s="9">
        <v>50.770888721957412</v>
      </c>
      <c r="S3818" s="9">
        <v>52.200434315108524</v>
      </c>
      <c r="T3818" s="9">
        <v>52.412128096069225</v>
      </c>
      <c r="U3818" s="9">
        <v>59.043428948049694</v>
      </c>
      <c r="V3818" s="9">
        <v>59.043428948049694</v>
      </c>
      <c r="W3818" s="9">
        <v>59.043428948049694</v>
      </c>
      <c r="X3818" s="9">
        <v>71.670593717854672</v>
      </c>
      <c r="Y3818" s="9">
        <v>71.670593717854672</v>
      </c>
      <c r="Z3818" s="9">
        <v>81.082684339640124</v>
      </c>
      <c r="AA3818" s="9">
        <v>81.082684339640124</v>
      </c>
      <c r="AB3818" s="9">
        <v>89.394521523604197</v>
      </c>
      <c r="AC3818" s="9">
        <v>89.394521523604197</v>
      </c>
      <c r="AD3818" s="9">
        <v>100.64015972511829</v>
      </c>
      <c r="AE3818" s="9">
        <v>111.62134673584954</v>
      </c>
      <c r="AF3818" s="9">
        <v>124.72674901989339</v>
      </c>
      <c r="AG3818" s="9">
        <v>124.72674901989339</v>
      </c>
      <c r="AH3818" s="9">
        <v>144.13642656805314</v>
      </c>
      <c r="AI3818" s="9">
        <v>157.75463032016435</v>
      </c>
      <c r="AJ3818" s="9">
        <v>3.0428788910505911</v>
      </c>
    </row>
    <row r="3819" spans="1:36" x14ac:dyDescent="0.25">
      <c r="A3819" t="s">
        <v>5411</v>
      </c>
      <c r="B3819" t="s">
        <v>16</v>
      </c>
      <c r="C3819" t="s">
        <v>17</v>
      </c>
      <c r="D3819">
        <v>68488000</v>
      </c>
      <c r="E3819">
        <v>68489999</v>
      </c>
      <c r="F3819" t="s">
        <v>3467</v>
      </c>
      <c r="G3819" t="str">
        <f t="shared" si="118"/>
        <v>PAR</v>
      </c>
      <c r="H3819" t="s">
        <v>3417</v>
      </c>
      <c r="I3819" t="s">
        <v>20</v>
      </c>
      <c r="J3819" t="s">
        <v>77</v>
      </c>
      <c r="K3819" s="6">
        <v>0.03</v>
      </c>
      <c r="L3819" s="7">
        <f t="shared" si="119"/>
        <v>2E-3</v>
      </c>
      <c r="M3819" s="7">
        <v>3.0000000000000001E-3</v>
      </c>
      <c r="N3819">
        <v>17</v>
      </c>
      <c r="O3819" s="8">
        <v>49.365095147237867</v>
      </c>
      <c r="P3819" s="9">
        <v>49.365095147237867</v>
      </c>
      <c r="Q3819" s="9">
        <v>49.365095147237867</v>
      </c>
      <c r="R3819" s="9">
        <v>50.770888721957412</v>
      </c>
      <c r="S3819" s="9">
        <v>52.200434315108524</v>
      </c>
      <c r="T3819" s="9">
        <v>52.412128096069225</v>
      </c>
      <c r="U3819" s="9">
        <v>59.043428948049694</v>
      </c>
      <c r="V3819" s="9">
        <v>59.043428948049694</v>
      </c>
      <c r="W3819" s="9">
        <v>59.043428948049694</v>
      </c>
      <c r="X3819" s="9">
        <v>71.670593717854672</v>
      </c>
      <c r="Y3819" s="9">
        <v>71.670593717854672</v>
      </c>
      <c r="Z3819" s="9">
        <v>81.082684339640124</v>
      </c>
      <c r="AA3819" s="9">
        <v>81.082684339640124</v>
      </c>
      <c r="AB3819" s="9">
        <v>89.394521523604197</v>
      </c>
      <c r="AC3819" s="9">
        <v>89.394521523604197</v>
      </c>
      <c r="AD3819" s="9">
        <v>100.64015972511829</v>
      </c>
      <c r="AE3819" s="9">
        <v>111.62134673584954</v>
      </c>
      <c r="AF3819" s="9">
        <v>124.72674901989339</v>
      </c>
      <c r="AG3819" s="9">
        <v>124.72674901989339</v>
      </c>
      <c r="AH3819" s="9">
        <v>144.13642656805314</v>
      </c>
      <c r="AI3819" s="9">
        <v>157.75463032016435</v>
      </c>
      <c r="AJ3819" s="9">
        <v>3.0428788910505911</v>
      </c>
    </row>
    <row r="3820" spans="1:36" x14ac:dyDescent="0.25">
      <c r="A3820" t="s">
        <v>5411</v>
      </c>
      <c r="B3820" t="s">
        <v>16</v>
      </c>
      <c r="C3820" t="s">
        <v>17</v>
      </c>
      <c r="D3820">
        <v>68490000</v>
      </c>
      <c r="E3820">
        <v>68499999</v>
      </c>
      <c r="F3820" t="s">
        <v>3468</v>
      </c>
      <c r="G3820" t="str">
        <f t="shared" si="118"/>
        <v>PAR</v>
      </c>
      <c r="H3820" t="s">
        <v>3417</v>
      </c>
      <c r="I3820" t="s">
        <v>20</v>
      </c>
      <c r="J3820" t="s">
        <v>77</v>
      </c>
      <c r="K3820" s="6">
        <v>0.03</v>
      </c>
      <c r="L3820" s="7">
        <f t="shared" si="119"/>
        <v>2E-3</v>
      </c>
      <c r="M3820" s="7">
        <v>3.0000000000000001E-3</v>
      </c>
      <c r="N3820">
        <v>17</v>
      </c>
      <c r="O3820" s="8">
        <v>49.365095147237867</v>
      </c>
      <c r="P3820" s="9">
        <v>49.365095147237867</v>
      </c>
      <c r="Q3820" s="9">
        <v>49.365095147237867</v>
      </c>
      <c r="R3820" s="9">
        <v>50.770888721957412</v>
      </c>
      <c r="S3820" s="9">
        <v>52.200434315108524</v>
      </c>
      <c r="T3820" s="9">
        <v>52.412128096069225</v>
      </c>
      <c r="U3820" s="9">
        <v>59.043428948049694</v>
      </c>
      <c r="V3820" s="9">
        <v>59.043428948049694</v>
      </c>
      <c r="W3820" s="9">
        <v>59.043428948049694</v>
      </c>
      <c r="X3820" s="9">
        <v>71.670593717854672</v>
      </c>
      <c r="Y3820" s="9">
        <v>71.670593717854672</v>
      </c>
      <c r="Z3820" s="9">
        <v>81.082684339640124</v>
      </c>
      <c r="AA3820" s="9">
        <v>81.082684339640124</v>
      </c>
      <c r="AB3820" s="9">
        <v>89.394521523604197</v>
      </c>
      <c r="AC3820" s="9">
        <v>89.394521523604197</v>
      </c>
      <c r="AD3820" s="9">
        <v>100.64015972511829</v>
      </c>
      <c r="AE3820" s="9">
        <v>111.62134673584954</v>
      </c>
      <c r="AF3820" s="9">
        <v>124.72674901989339</v>
      </c>
      <c r="AG3820" s="9">
        <v>124.72674901989339</v>
      </c>
      <c r="AH3820" s="9">
        <v>144.13642656805314</v>
      </c>
      <c r="AI3820" s="9">
        <v>157.75463032016435</v>
      </c>
      <c r="AJ3820" s="9">
        <v>3.0428788910505911</v>
      </c>
    </row>
    <row r="3821" spans="1:36" x14ac:dyDescent="0.25">
      <c r="A3821" t="s">
        <v>5411</v>
      </c>
      <c r="B3821" t="s">
        <v>16</v>
      </c>
      <c r="C3821" t="s">
        <v>17</v>
      </c>
      <c r="D3821">
        <v>68500000</v>
      </c>
      <c r="E3821">
        <v>68514999</v>
      </c>
      <c r="F3821" t="s">
        <v>3469</v>
      </c>
      <c r="G3821" t="str">
        <f t="shared" si="118"/>
        <v>PAR</v>
      </c>
      <c r="H3821" t="s">
        <v>3417</v>
      </c>
      <c r="I3821" t="s">
        <v>20</v>
      </c>
      <c r="J3821" t="s">
        <v>77</v>
      </c>
      <c r="K3821" s="6">
        <v>0.03</v>
      </c>
      <c r="L3821" s="7">
        <f t="shared" si="119"/>
        <v>2E-3</v>
      </c>
      <c r="M3821" s="7">
        <v>3.0000000000000001E-3</v>
      </c>
      <c r="N3821">
        <v>17</v>
      </c>
      <c r="O3821" s="8">
        <v>49.365095147237867</v>
      </c>
      <c r="P3821" s="9">
        <v>49.365095147237867</v>
      </c>
      <c r="Q3821" s="9">
        <v>49.365095147237867</v>
      </c>
      <c r="R3821" s="9">
        <v>50.770888721957412</v>
      </c>
      <c r="S3821" s="9">
        <v>52.200434315108524</v>
      </c>
      <c r="T3821" s="9">
        <v>52.412128096069225</v>
      </c>
      <c r="U3821" s="9">
        <v>59.043428948049694</v>
      </c>
      <c r="V3821" s="9">
        <v>59.043428948049694</v>
      </c>
      <c r="W3821" s="9">
        <v>59.043428948049694</v>
      </c>
      <c r="X3821" s="9">
        <v>71.670593717854672</v>
      </c>
      <c r="Y3821" s="9">
        <v>71.670593717854672</v>
      </c>
      <c r="Z3821" s="9">
        <v>81.082684339640124</v>
      </c>
      <c r="AA3821" s="9">
        <v>81.082684339640124</v>
      </c>
      <c r="AB3821" s="9">
        <v>89.394521523604197</v>
      </c>
      <c r="AC3821" s="9">
        <v>89.394521523604197</v>
      </c>
      <c r="AD3821" s="9">
        <v>100.64015972511829</v>
      </c>
      <c r="AE3821" s="9">
        <v>111.62134673584954</v>
      </c>
      <c r="AF3821" s="9">
        <v>124.72674901989339</v>
      </c>
      <c r="AG3821" s="9">
        <v>124.72674901989339</v>
      </c>
      <c r="AH3821" s="9">
        <v>144.13642656805314</v>
      </c>
      <c r="AI3821" s="9">
        <v>157.75463032016435</v>
      </c>
      <c r="AJ3821" s="9">
        <v>3.0428788910505911</v>
      </c>
    </row>
    <row r="3822" spans="1:36" x14ac:dyDescent="0.25">
      <c r="A3822" t="s">
        <v>5411</v>
      </c>
      <c r="B3822" t="s">
        <v>16</v>
      </c>
      <c r="C3822" t="s">
        <v>17</v>
      </c>
      <c r="D3822">
        <v>68515000</v>
      </c>
      <c r="E3822">
        <v>68517999</v>
      </c>
      <c r="F3822" t="s">
        <v>3470</v>
      </c>
      <c r="G3822" t="str">
        <f t="shared" si="118"/>
        <v>PAR</v>
      </c>
      <c r="H3822" t="s">
        <v>3417</v>
      </c>
      <c r="I3822" t="s">
        <v>20</v>
      </c>
      <c r="J3822" t="s">
        <v>77</v>
      </c>
      <c r="K3822" s="6">
        <v>0.03</v>
      </c>
      <c r="L3822" s="7">
        <f t="shared" si="119"/>
        <v>2E-3</v>
      </c>
      <c r="M3822" s="7">
        <v>3.0000000000000001E-3</v>
      </c>
      <c r="N3822">
        <v>17</v>
      </c>
      <c r="O3822" s="8">
        <v>49.365095147237867</v>
      </c>
      <c r="P3822" s="9">
        <v>49.365095147237867</v>
      </c>
      <c r="Q3822" s="9">
        <v>49.365095147237867</v>
      </c>
      <c r="R3822" s="9">
        <v>50.770888721957412</v>
      </c>
      <c r="S3822" s="9">
        <v>52.200434315108524</v>
      </c>
      <c r="T3822" s="9">
        <v>52.412128096069225</v>
      </c>
      <c r="U3822" s="9">
        <v>59.043428948049694</v>
      </c>
      <c r="V3822" s="9">
        <v>59.043428948049694</v>
      </c>
      <c r="W3822" s="9">
        <v>59.043428948049694</v>
      </c>
      <c r="X3822" s="9">
        <v>71.670593717854672</v>
      </c>
      <c r="Y3822" s="9">
        <v>71.670593717854672</v>
      </c>
      <c r="Z3822" s="9">
        <v>81.082684339640124</v>
      </c>
      <c r="AA3822" s="9">
        <v>81.082684339640124</v>
      </c>
      <c r="AB3822" s="9">
        <v>89.394521523604197</v>
      </c>
      <c r="AC3822" s="9">
        <v>89.394521523604197</v>
      </c>
      <c r="AD3822" s="9">
        <v>100.64015972511829</v>
      </c>
      <c r="AE3822" s="9">
        <v>111.62134673584954</v>
      </c>
      <c r="AF3822" s="9">
        <v>124.72674901989339</v>
      </c>
      <c r="AG3822" s="9">
        <v>124.72674901989339</v>
      </c>
      <c r="AH3822" s="9">
        <v>144.13642656805314</v>
      </c>
      <c r="AI3822" s="9">
        <v>157.75463032016435</v>
      </c>
      <c r="AJ3822" s="9">
        <v>3.0428788910505911</v>
      </c>
    </row>
    <row r="3823" spans="1:36" x14ac:dyDescent="0.25">
      <c r="A3823" t="s">
        <v>5411</v>
      </c>
      <c r="B3823" t="s">
        <v>16</v>
      </c>
      <c r="C3823" t="s">
        <v>17</v>
      </c>
      <c r="D3823">
        <v>68518000</v>
      </c>
      <c r="E3823">
        <v>68519999</v>
      </c>
      <c r="F3823" t="s">
        <v>3471</v>
      </c>
      <c r="G3823" t="str">
        <f t="shared" si="118"/>
        <v>PAR</v>
      </c>
      <c r="H3823" t="s">
        <v>3417</v>
      </c>
      <c r="I3823" t="s">
        <v>20</v>
      </c>
      <c r="J3823" t="s">
        <v>77</v>
      </c>
      <c r="K3823" s="6">
        <v>0.03</v>
      </c>
      <c r="L3823" s="7">
        <f t="shared" si="119"/>
        <v>2E-3</v>
      </c>
      <c r="M3823" s="7">
        <v>3.0000000000000001E-3</v>
      </c>
      <c r="N3823">
        <v>17</v>
      </c>
      <c r="O3823" s="8">
        <v>49.365095147237867</v>
      </c>
      <c r="P3823" s="9">
        <v>49.365095147237867</v>
      </c>
      <c r="Q3823" s="9">
        <v>49.365095147237867</v>
      </c>
      <c r="R3823" s="9">
        <v>50.770888721957412</v>
      </c>
      <c r="S3823" s="9">
        <v>52.200434315108524</v>
      </c>
      <c r="T3823" s="9">
        <v>52.412128096069225</v>
      </c>
      <c r="U3823" s="9">
        <v>59.043428948049694</v>
      </c>
      <c r="V3823" s="9">
        <v>59.043428948049694</v>
      </c>
      <c r="W3823" s="9">
        <v>59.043428948049694</v>
      </c>
      <c r="X3823" s="9">
        <v>71.670593717854672</v>
      </c>
      <c r="Y3823" s="9">
        <v>71.670593717854672</v>
      </c>
      <c r="Z3823" s="9">
        <v>81.082684339640124</v>
      </c>
      <c r="AA3823" s="9">
        <v>81.082684339640124</v>
      </c>
      <c r="AB3823" s="9">
        <v>89.394521523604197</v>
      </c>
      <c r="AC3823" s="9">
        <v>89.394521523604197</v>
      </c>
      <c r="AD3823" s="9">
        <v>100.64015972511829</v>
      </c>
      <c r="AE3823" s="9">
        <v>111.62134673584954</v>
      </c>
      <c r="AF3823" s="9">
        <v>124.72674901989339</v>
      </c>
      <c r="AG3823" s="9">
        <v>124.72674901989339</v>
      </c>
      <c r="AH3823" s="9">
        <v>144.13642656805314</v>
      </c>
      <c r="AI3823" s="9">
        <v>157.75463032016435</v>
      </c>
      <c r="AJ3823" s="9">
        <v>3.0428788910505911</v>
      </c>
    </row>
    <row r="3824" spans="1:36" x14ac:dyDescent="0.25">
      <c r="A3824" t="s">
        <v>5411</v>
      </c>
      <c r="B3824" t="s">
        <v>16</v>
      </c>
      <c r="C3824" t="s">
        <v>17</v>
      </c>
      <c r="D3824">
        <v>68520000</v>
      </c>
      <c r="E3824">
        <v>68520999</v>
      </c>
      <c r="F3824" t="s">
        <v>3472</v>
      </c>
      <c r="G3824" t="str">
        <f t="shared" si="118"/>
        <v>PAR</v>
      </c>
      <c r="H3824" t="s">
        <v>3417</v>
      </c>
      <c r="I3824" t="s">
        <v>20</v>
      </c>
      <c r="J3824" t="s">
        <v>77</v>
      </c>
      <c r="K3824" s="6">
        <v>0.03</v>
      </c>
      <c r="L3824" s="7">
        <f t="shared" si="119"/>
        <v>2E-3</v>
      </c>
      <c r="M3824" s="7">
        <v>3.0000000000000001E-3</v>
      </c>
      <c r="N3824">
        <v>17</v>
      </c>
      <c r="O3824" s="8">
        <v>49.365095147237867</v>
      </c>
      <c r="P3824" s="9">
        <v>49.365095147237867</v>
      </c>
      <c r="Q3824" s="9">
        <v>49.365095147237867</v>
      </c>
      <c r="R3824" s="9">
        <v>50.770888721957412</v>
      </c>
      <c r="S3824" s="9">
        <v>52.200434315108524</v>
      </c>
      <c r="T3824" s="9">
        <v>52.412128096069225</v>
      </c>
      <c r="U3824" s="9">
        <v>59.043428948049694</v>
      </c>
      <c r="V3824" s="9">
        <v>59.043428948049694</v>
      </c>
      <c r="W3824" s="9">
        <v>59.043428948049694</v>
      </c>
      <c r="X3824" s="9">
        <v>71.670593717854672</v>
      </c>
      <c r="Y3824" s="9">
        <v>71.670593717854672</v>
      </c>
      <c r="Z3824" s="9">
        <v>81.082684339640124</v>
      </c>
      <c r="AA3824" s="9">
        <v>81.082684339640124</v>
      </c>
      <c r="AB3824" s="9">
        <v>89.394521523604197</v>
      </c>
      <c r="AC3824" s="9">
        <v>89.394521523604197</v>
      </c>
      <c r="AD3824" s="9">
        <v>100.64015972511829</v>
      </c>
      <c r="AE3824" s="9">
        <v>111.62134673584954</v>
      </c>
      <c r="AF3824" s="9">
        <v>124.72674901989339</v>
      </c>
      <c r="AG3824" s="9">
        <v>124.72674901989339</v>
      </c>
      <c r="AH3824" s="9">
        <v>144.13642656805314</v>
      </c>
      <c r="AI3824" s="9">
        <v>157.75463032016435</v>
      </c>
      <c r="AJ3824" s="9">
        <v>3.0428788910505911</v>
      </c>
    </row>
    <row r="3825" spans="1:36" x14ac:dyDescent="0.25">
      <c r="A3825" t="s">
        <v>5411</v>
      </c>
      <c r="B3825" t="s">
        <v>16</v>
      </c>
      <c r="C3825" t="s">
        <v>17</v>
      </c>
      <c r="D3825">
        <v>68521000</v>
      </c>
      <c r="E3825">
        <v>68522999</v>
      </c>
      <c r="F3825" t="s">
        <v>3473</v>
      </c>
      <c r="G3825" t="str">
        <f t="shared" si="118"/>
        <v>PAR</v>
      </c>
      <c r="H3825" t="s">
        <v>3417</v>
      </c>
      <c r="I3825" t="s">
        <v>20</v>
      </c>
      <c r="J3825" t="s">
        <v>77</v>
      </c>
      <c r="K3825" s="6">
        <v>0.03</v>
      </c>
      <c r="L3825" s="7">
        <f t="shared" si="119"/>
        <v>2E-3</v>
      </c>
      <c r="M3825" s="7">
        <v>3.0000000000000001E-3</v>
      </c>
      <c r="N3825">
        <v>17</v>
      </c>
      <c r="O3825" s="8">
        <v>49.365095147237867</v>
      </c>
      <c r="P3825" s="9">
        <v>49.365095147237867</v>
      </c>
      <c r="Q3825" s="9">
        <v>49.365095147237867</v>
      </c>
      <c r="R3825" s="9">
        <v>50.770888721957412</v>
      </c>
      <c r="S3825" s="9">
        <v>52.200434315108524</v>
      </c>
      <c r="T3825" s="9">
        <v>52.412128096069225</v>
      </c>
      <c r="U3825" s="9">
        <v>59.043428948049694</v>
      </c>
      <c r="V3825" s="9">
        <v>59.043428948049694</v>
      </c>
      <c r="W3825" s="9">
        <v>59.043428948049694</v>
      </c>
      <c r="X3825" s="9">
        <v>71.670593717854672</v>
      </c>
      <c r="Y3825" s="9">
        <v>71.670593717854672</v>
      </c>
      <c r="Z3825" s="9">
        <v>81.082684339640124</v>
      </c>
      <c r="AA3825" s="9">
        <v>81.082684339640124</v>
      </c>
      <c r="AB3825" s="9">
        <v>89.394521523604197</v>
      </c>
      <c r="AC3825" s="9">
        <v>89.394521523604197</v>
      </c>
      <c r="AD3825" s="9">
        <v>100.64015972511829</v>
      </c>
      <c r="AE3825" s="9">
        <v>111.62134673584954</v>
      </c>
      <c r="AF3825" s="9">
        <v>124.72674901989339</v>
      </c>
      <c r="AG3825" s="9">
        <v>124.72674901989339</v>
      </c>
      <c r="AH3825" s="9">
        <v>144.13642656805314</v>
      </c>
      <c r="AI3825" s="9">
        <v>157.75463032016435</v>
      </c>
      <c r="AJ3825" s="9">
        <v>3.0428788910505911</v>
      </c>
    </row>
    <row r="3826" spans="1:36" x14ac:dyDescent="0.25">
      <c r="A3826" t="s">
        <v>5411</v>
      </c>
      <c r="B3826" t="s">
        <v>16</v>
      </c>
      <c r="C3826" t="s">
        <v>17</v>
      </c>
      <c r="D3826">
        <v>68523000</v>
      </c>
      <c r="E3826">
        <v>68523999</v>
      </c>
      <c r="F3826" t="s">
        <v>3474</v>
      </c>
      <c r="G3826" t="str">
        <f t="shared" si="118"/>
        <v>PAR</v>
      </c>
      <c r="H3826" t="s">
        <v>3417</v>
      </c>
      <c r="I3826" t="s">
        <v>20</v>
      </c>
      <c r="J3826" t="s">
        <v>77</v>
      </c>
      <c r="K3826" s="6">
        <v>0.03</v>
      </c>
      <c r="L3826" s="7">
        <f t="shared" si="119"/>
        <v>2E-3</v>
      </c>
      <c r="M3826" s="7">
        <v>3.0000000000000001E-3</v>
      </c>
      <c r="N3826">
        <v>17</v>
      </c>
      <c r="O3826" s="8">
        <v>49.365095147237867</v>
      </c>
      <c r="P3826" s="9">
        <v>49.365095147237867</v>
      </c>
      <c r="Q3826" s="9">
        <v>49.365095147237867</v>
      </c>
      <c r="R3826" s="9">
        <v>50.770888721957412</v>
      </c>
      <c r="S3826" s="9">
        <v>52.200434315108524</v>
      </c>
      <c r="T3826" s="9">
        <v>52.412128096069225</v>
      </c>
      <c r="U3826" s="9">
        <v>59.043428948049694</v>
      </c>
      <c r="V3826" s="9">
        <v>59.043428948049694</v>
      </c>
      <c r="W3826" s="9">
        <v>59.043428948049694</v>
      </c>
      <c r="X3826" s="9">
        <v>71.670593717854672</v>
      </c>
      <c r="Y3826" s="9">
        <v>71.670593717854672</v>
      </c>
      <c r="Z3826" s="9">
        <v>81.082684339640124</v>
      </c>
      <c r="AA3826" s="9">
        <v>81.082684339640124</v>
      </c>
      <c r="AB3826" s="9">
        <v>89.394521523604197</v>
      </c>
      <c r="AC3826" s="9">
        <v>89.394521523604197</v>
      </c>
      <c r="AD3826" s="9">
        <v>100.64015972511829</v>
      </c>
      <c r="AE3826" s="9">
        <v>111.62134673584954</v>
      </c>
      <c r="AF3826" s="9">
        <v>124.72674901989339</v>
      </c>
      <c r="AG3826" s="9">
        <v>124.72674901989339</v>
      </c>
      <c r="AH3826" s="9">
        <v>144.13642656805314</v>
      </c>
      <c r="AI3826" s="9">
        <v>157.75463032016435</v>
      </c>
      <c r="AJ3826" s="9">
        <v>3.0428788910505911</v>
      </c>
    </row>
    <row r="3827" spans="1:36" x14ac:dyDescent="0.25">
      <c r="A3827" t="s">
        <v>5411</v>
      </c>
      <c r="B3827" t="s">
        <v>16</v>
      </c>
      <c r="C3827" t="s">
        <v>17</v>
      </c>
      <c r="D3827">
        <v>68524000</v>
      </c>
      <c r="E3827">
        <v>68524999</v>
      </c>
      <c r="F3827" t="s">
        <v>3475</v>
      </c>
      <c r="G3827" t="str">
        <f t="shared" si="118"/>
        <v>PAR</v>
      </c>
      <c r="H3827" t="s">
        <v>3417</v>
      </c>
      <c r="I3827" t="s">
        <v>20</v>
      </c>
      <c r="J3827" t="s">
        <v>77</v>
      </c>
      <c r="K3827" s="6">
        <v>0.03</v>
      </c>
      <c r="L3827" s="7">
        <f t="shared" si="119"/>
        <v>2E-3</v>
      </c>
      <c r="M3827" s="7">
        <v>3.0000000000000001E-3</v>
      </c>
      <c r="N3827">
        <v>17</v>
      </c>
      <c r="O3827" s="8">
        <v>49.365095147237867</v>
      </c>
      <c r="P3827" s="9">
        <v>49.365095147237867</v>
      </c>
      <c r="Q3827" s="9">
        <v>49.365095147237867</v>
      </c>
      <c r="R3827" s="9">
        <v>50.770888721957412</v>
      </c>
      <c r="S3827" s="9">
        <v>52.200434315108524</v>
      </c>
      <c r="T3827" s="9">
        <v>52.412128096069225</v>
      </c>
      <c r="U3827" s="9">
        <v>59.043428948049694</v>
      </c>
      <c r="V3827" s="9">
        <v>59.043428948049694</v>
      </c>
      <c r="W3827" s="9">
        <v>59.043428948049694</v>
      </c>
      <c r="X3827" s="9">
        <v>71.670593717854672</v>
      </c>
      <c r="Y3827" s="9">
        <v>71.670593717854672</v>
      </c>
      <c r="Z3827" s="9">
        <v>81.082684339640124</v>
      </c>
      <c r="AA3827" s="9">
        <v>81.082684339640124</v>
      </c>
      <c r="AB3827" s="9">
        <v>89.394521523604197</v>
      </c>
      <c r="AC3827" s="9">
        <v>89.394521523604197</v>
      </c>
      <c r="AD3827" s="9">
        <v>100.64015972511829</v>
      </c>
      <c r="AE3827" s="9">
        <v>111.62134673584954</v>
      </c>
      <c r="AF3827" s="9">
        <v>124.72674901989339</v>
      </c>
      <c r="AG3827" s="9">
        <v>124.72674901989339</v>
      </c>
      <c r="AH3827" s="9">
        <v>144.13642656805314</v>
      </c>
      <c r="AI3827" s="9">
        <v>157.75463032016435</v>
      </c>
      <c r="AJ3827" s="9">
        <v>3.0428788910505911</v>
      </c>
    </row>
    <row r="3828" spans="1:36" x14ac:dyDescent="0.25">
      <c r="A3828" t="s">
        <v>5411</v>
      </c>
      <c r="B3828" t="s">
        <v>16</v>
      </c>
      <c r="C3828" t="s">
        <v>17</v>
      </c>
      <c r="D3828">
        <v>68525000</v>
      </c>
      <c r="E3828">
        <v>68526999</v>
      </c>
      <c r="F3828" t="s">
        <v>3476</v>
      </c>
      <c r="G3828" t="str">
        <f t="shared" si="118"/>
        <v>PAR</v>
      </c>
      <c r="H3828" t="s">
        <v>3417</v>
      </c>
      <c r="I3828" t="s">
        <v>20</v>
      </c>
      <c r="J3828" t="s">
        <v>77</v>
      </c>
      <c r="K3828" s="6">
        <v>0.03</v>
      </c>
      <c r="L3828" s="7">
        <f t="shared" si="119"/>
        <v>2E-3</v>
      </c>
      <c r="M3828" s="7">
        <v>3.0000000000000001E-3</v>
      </c>
      <c r="N3828">
        <v>17</v>
      </c>
      <c r="O3828" s="8">
        <v>49.365095147237867</v>
      </c>
      <c r="P3828" s="9">
        <v>49.365095147237867</v>
      </c>
      <c r="Q3828" s="9">
        <v>49.365095147237867</v>
      </c>
      <c r="R3828" s="9">
        <v>50.770888721957412</v>
      </c>
      <c r="S3828" s="9">
        <v>52.200434315108524</v>
      </c>
      <c r="T3828" s="9">
        <v>52.412128096069225</v>
      </c>
      <c r="U3828" s="9">
        <v>59.043428948049694</v>
      </c>
      <c r="V3828" s="9">
        <v>59.043428948049694</v>
      </c>
      <c r="W3828" s="9">
        <v>59.043428948049694</v>
      </c>
      <c r="X3828" s="9">
        <v>71.670593717854672</v>
      </c>
      <c r="Y3828" s="9">
        <v>71.670593717854672</v>
      </c>
      <c r="Z3828" s="9">
        <v>81.082684339640124</v>
      </c>
      <c r="AA3828" s="9">
        <v>81.082684339640124</v>
      </c>
      <c r="AB3828" s="9">
        <v>89.394521523604197</v>
      </c>
      <c r="AC3828" s="9">
        <v>89.394521523604197</v>
      </c>
      <c r="AD3828" s="9">
        <v>100.64015972511829</v>
      </c>
      <c r="AE3828" s="9">
        <v>111.62134673584954</v>
      </c>
      <c r="AF3828" s="9">
        <v>124.72674901989339</v>
      </c>
      <c r="AG3828" s="9">
        <v>124.72674901989339</v>
      </c>
      <c r="AH3828" s="9">
        <v>144.13642656805314</v>
      </c>
      <c r="AI3828" s="9">
        <v>157.75463032016435</v>
      </c>
      <c r="AJ3828" s="9">
        <v>3.0428788910505911</v>
      </c>
    </row>
    <row r="3829" spans="1:36" x14ac:dyDescent="0.25">
      <c r="A3829" t="s">
        <v>5411</v>
      </c>
      <c r="B3829" t="s">
        <v>16</v>
      </c>
      <c r="C3829" t="s">
        <v>17</v>
      </c>
      <c r="D3829">
        <v>68527000</v>
      </c>
      <c r="E3829">
        <v>68529999</v>
      </c>
      <c r="F3829" t="s">
        <v>3477</v>
      </c>
      <c r="G3829" t="str">
        <f t="shared" si="118"/>
        <v>PAR</v>
      </c>
      <c r="H3829" t="s">
        <v>3417</v>
      </c>
      <c r="I3829" t="s">
        <v>20</v>
      </c>
      <c r="J3829" t="s">
        <v>77</v>
      </c>
      <c r="K3829" s="6">
        <v>0.03</v>
      </c>
      <c r="L3829" s="7">
        <f t="shared" si="119"/>
        <v>2E-3</v>
      </c>
      <c r="M3829" s="7">
        <v>3.0000000000000001E-3</v>
      </c>
      <c r="N3829">
        <v>17</v>
      </c>
      <c r="O3829" s="8">
        <v>49.365095147237867</v>
      </c>
      <c r="P3829" s="9">
        <v>49.365095147237867</v>
      </c>
      <c r="Q3829" s="9">
        <v>49.365095147237867</v>
      </c>
      <c r="R3829" s="9">
        <v>50.770888721957412</v>
      </c>
      <c r="S3829" s="9">
        <v>52.200434315108524</v>
      </c>
      <c r="T3829" s="9">
        <v>52.412128096069225</v>
      </c>
      <c r="U3829" s="9">
        <v>59.043428948049694</v>
      </c>
      <c r="V3829" s="9">
        <v>59.043428948049694</v>
      </c>
      <c r="W3829" s="9">
        <v>59.043428948049694</v>
      </c>
      <c r="X3829" s="9">
        <v>71.670593717854672</v>
      </c>
      <c r="Y3829" s="9">
        <v>71.670593717854672</v>
      </c>
      <c r="Z3829" s="9">
        <v>81.082684339640124</v>
      </c>
      <c r="AA3829" s="9">
        <v>81.082684339640124</v>
      </c>
      <c r="AB3829" s="9">
        <v>89.394521523604197</v>
      </c>
      <c r="AC3829" s="9">
        <v>89.394521523604197</v>
      </c>
      <c r="AD3829" s="9">
        <v>100.64015972511829</v>
      </c>
      <c r="AE3829" s="9">
        <v>111.62134673584954</v>
      </c>
      <c r="AF3829" s="9">
        <v>124.72674901989339</v>
      </c>
      <c r="AG3829" s="9">
        <v>124.72674901989339</v>
      </c>
      <c r="AH3829" s="9">
        <v>144.13642656805314</v>
      </c>
      <c r="AI3829" s="9">
        <v>157.75463032016435</v>
      </c>
      <c r="AJ3829" s="9">
        <v>3.0428788910505911</v>
      </c>
    </row>
    <row r="3830" spans="1:36" x14ac:dyDescent="0.25">
      <c r="A3830" t="s">
        <v>5411</v>
      </c>
      <c r="B3830" t="s">
        <v>16</v>
      </c>
      <c r="C3830" t="s">
        <v>17</v>
      </c>
      <c r="D3830">
        <v>68530000</v>
      </c>
      <c r="E3830">
        <v>68532999</v>
      </c>
      <c r="F3830" t="s">
        <v>3478</v>
      </c>
      <c r="G3830" t="str">
        <f t="shared" si="118"/>
        <v>PAR</v>
      </c>
      <c r="H3830" t="s">
        <v>3417</v>
      </c>
      <c r="I3830" t="s">
        <v>20</v>
      </c>
      <c r="J3830" t="s">
        <v>77</v>
      </c>
      <c r="K3830" s="6">
        <v>0.03</v>
      </c>
      <c r="L3830" s="7">
        <f t="shared" si="119"/>
        <v>2E-3</v>
      </c>
      <c r="M3830" s="7">
        <v>3.0000000000000001E-3</v>
      </c>
      <c r="N3830">
        <v>17</v>
      </c>
      <c r="O3830" s="8">
        <v>49.365095147237867</v>
      </c>
      <c r="P3830" s="9">
        <v>49.365095147237867</v>
      </c>
      <c r="Q3830" s="9">
        <v>49.365095147237867</v>
      </c>
      <c r="R3830" s="9">
        <v>50.770888721957412</v>
      </c>
      <c r="S3830" s="9">
        <v>52.200434315108524</v>
      </c>
      <c r="T3830" s="9">
        <v>52.412128096069225</v>
      </c>
      <c r="U3830" s="9">
        <v>59.043428948049694</v>
      </c>
      <c r="V3830" s="9">
        <v>59.043428948049694</v>
      </c>
      <c r="W3830" s="9">
        <v>59.043428948049694</v>
      </c>
      <c r="X3830" s="9">
        <v>71.670593717854672</v>
      </c>
      <c r="Y3830" s="9">
        <v>71.670593717854672</v>
      </c>
      <c r="Z3830" s="9">
        <v>81.082684339640124</v>
      </c>
      <c r="AA3830" s="9">
        <v>81.082684339640124</v>
      </c>
      <c r="AB3830" s="9">
        <v>89.394521523604197</v>
      </c>
      <c r="AC3830" s="9">
        <v>89.394521523604197</v>
      </c>
      <c r="AD3830" s="9">
        <v>100.64015972511829</v>
      </c>
      <c r="AE3830" s="9">
        <v>111.62134673584954</v>
      </c>
      <c r="AF3830" s="9">
        <v>124.72674901989339</v>
      </c>
      <c r="AG3830" s="9">
        <v>124.72674901989339</v>
      </c>
      <c r="AH3830" s="9">
        <v>144.13642656805314</v>
      </c>
      <c r="AI3830" s="9">
        <v>157.75463032016435</v>
      </c>
      <c r="AJ3830" s="9">
        <v>3.0428788910505911</v>
      </c>
    </row>
    <row r="3831" spans="1:36" x14ac:dyDescent="0.25">
      <c r="A3831" t="s">
        <v>5411</v>
      </c>
      <c r="B3831" t="s">
        <v>16</v>
      </c>
      <c r="C3831" t="s">
        <v>17</v>
      </c>
      <c r="D3831">
        <v>68533000</v>
      </c>
      <c r="E3831">
        <v>68534999</v>
      </c>
      <c r="F3831" t="s">
        <v>3479</v>
      </c>
      <c r="G3831" t="str">
        <f t="shared" si="118"/>
        <v>PAR</v>
      </c>
      <c r="H3831" t="s">
        <v>3417</v>
      </c>
      <c r="I3831" t="s">
        <v>20</v>
      </c>
      <c r="J3831" t="s">
        <v>77</v>
      </c>
      <c r="K3831" s="6">
        <v>0.03</v>
      </c>
      <c r="L3831" s="7">
        <f t="shared" si="119"/>
        <v>2E-3</v>
      </c>
      <c r="M3831" s="7">
        <v>3.0000000000000001E-3</v>
      </c>
      <c r="N3831">
        <v>17</v>
      </c>
      <c r="O3831" s="8">
        <v>49.365095147237867</v>
      </c>
      <c r="P3831" s="9">
        <v>49.365095147237867</v>
      </c>
      <c r="Q3831" s="9">
        <v>49.365095147237867</v>
      </c>
      <c r="R3831" s="9">
        <v>50.770888721957412</v>
      </c>
      <c r="S3831" s="9">
        <v>52.200434315108524</v>
      </c>
      <c r="T3831" s="9">
        <v>52.412128096069225</v>
      </c>
      <c r="U3831" s="9">
        <v>59.043428948049694</v>
      </c>
      <c r="V3831" s="9">
        <v>59.043428948049694</v>
      </c>
      <c r="W3831" s="9">
        <v>59.043428948049694</v>
      </c>
      <c r="X3831" s="9">
        <v>71.670593717854672</v>
      </c>
      <c r="Y3831" s="9">
        <v>71.670593717854672</v>
      </c>
      <c r="Z3831" s="9">
        <v>81.082684339640124</v>
      </c>
      <c r="AA3831" s="9">
        <v>81.082684339640124</v>
      </c>
      <c r="AB3831" s="9">
        <v>89.394521523604197</v>
      </c>
      <c r="AC3831" s="9">
        <v>89.394521523604197</v>
      </c>
      <c r="AD3831" s="9">
        <v>100.64015972511829</v>
      </c>
      <c r="AE3831" s="9">
        <v>111.62134673584954</v>
      </c>
      <c r="AF3831" s="9">
        <v>124.72674901989339</v>
      </c>
      <c r="AG3831" s="9">
        <v>124.72674901989339</v>
      </c>
      <c r="AH3831" s="9">
        <v>144.13642656805314</v>
      </c>
      <c r="AI3831" s="9">
        <v>157.75463032016435</v>
      </c>
      <c r="AJ3831" s="9">
        <v>3.0428788910505911</v>
      </c>
    </row>
    <row r="3832" spans="1:36" x14ac:dyDescent="0.25">
      <c r="A3832" t="s">
        <v>5411</v>
      </c>
      <c r="B3832" t="s">
        <v>16</v>
      </c>
      <c r="C3832" t="s">
        <v>17</v>
      </c>
      <c r="D3832">
        <v>68535000</v>
      </c>
      <c r="E3832">
        <v>68536999</v>
      </c>
      <c r="F3832" t="s">
        <v>3480</v>
      </c>
      <c r="G3832" t="str">
        <f t="shared" si="118"/>
        <v>PAR</v>
      </c>
      <c r="H3832" t="s">
        <v>3417</v>
      </c>
      <c r="I3832" t="s">
        <v>20</v>
      </c>
      <c r="J3832" t="s">
        <v>77</v>
      </c>
      <c r="K3832" s="6">
        <v>0.03</v>
      </c>
      <c r="L3832" s="7">
        <f t="shared" si="119"/>
        <v>2E-3</v>
      </c>
      <c r="M3832" s="7">
        <v>3.0000000000000001E-3</v>
      </c>
      <c r="N3832">
        <v>17</v>
      </c>
      <c r="O3832" s="8">
        <v>49.365095147237867</v>
      </c>
      <c r="P3832" s="9">
        <v>49.365095147237867</v>
      </c>
      <c r="Q3832" s="9">
        <v>49.365095147237867</v>
      </c>
      <c r="R3832" s="9">
        <v>50.770888721957412</v>
      </c>
      <c r="S3832" s="9">
        <v>52.200434315108524</v>
      </c>
      <c r="T3832" s="9">
        <v>52.412128096069225</v>
      </c>
      <c r="U3832" s="9">
        <v>59.043428948049694</v>
      </c>
      <c r="V3832" s="9">
        <v>59.043428948049694</v>
      </c>
      <c r="W3832" s="9">
        <v>59.043428948049694</v>
      </c>
      <c r="X3832" s="9">
        <v>71.670593717854672</v>
      </c>
      <c r="Y3832" s="9">
        <v>71.670593717854672</v>
      </c>
      <c r="Z3832" s="9">
        <v>81.082684339640124</v>
      </c>
      <c r="AA3832" s="9">
        <v>81.082684339640124</v>
      </c>
      <c r="AB3832" s="9">
        <v>89.394521523604197</v>
      </c>
      <c r="AC3832" s="9">
        <v>89.394521523604197</v>
      </c>
      <c r="AD3832" s="9">
        <v>100.64015972511829</v>
      </c>
      <c r="AE3832" s="9">
        <v>111.62134673584954</v>
      </c>
      <c r="AF3832" s="9">
        <v>124.72674901989339</v>
      </c>
      <c r="AG3832" s="9">
        <v>124.72674901989339</v>
      </c>
      <c r="AH3832" s="9">
        <v>144.13642656805314</v>
      </c>
      <c r="AI3832" s="9">
        <v>157.75463032016435</v>
      </c>
      <c r="AJ3832" s="9">
        <v>3.0428788910505911</v>
      </c>
    </row>
    <row r="3833" spans="1:36" x14ac:dyDescent="0.25">
      <c r="A3833" t="s">
        <v>5411</v>
      </c>
      <c r="B3833" t="s">
        <v>16</v>
      </c>
      <c r="C3833" t="s">
        <v>17</v>
      </c>
      <c r="D3833">
        <v>68537000</v>
      </c>
      <c r="E3833">
        <v>68539999</v>
      </c>
      <c r="F3833" t="s">
        <v>3481</v>
      </c>
      <c r="G3833" t="str">
        <f t="shared" si="118"/>
        <v>PAR</v>
      </c>
      <c r="H3833" t="s">
        <v>3417</v>
      </c>
      <c r="I3833" t="s">
        <v>20</v>
      </c>
      <c r="J3833" t="s">
        <v>77</v>
      </c>
      <c r="K3833" s="6">
        <v>0.03</v>
      </c>
      <c r="L3833" s="7">
        <f t="shared" si="119"/>
        <v>2E-3</v>
      </c>
      <c r="M3833" s="7">
        <v>3.0000000000000001E-3</v>
      </c>
      <c r="N3833">
        <v>17</v>
      </c>
      <c r="O3833" s="8">
        <v>49.365095147237867</v>
      </c>
      <c r="P3833" s="9">
        <v>49.365095147237867</v>
      </c>
      <c r="Q3833" s="9">
        <v>49.365095147237867</v>
      </c>
      <c r="R3833" s="9">
        <v>50.770888721957412</v>
      </c>
      <c r="S3833" s="9">
        <v>52.200434315108524</v>
      </c>
      <c r="T3833" s="9">
        <v>52.412128096069225</v>
      </c>
      <c r="U3833" s="9">
        <v>59.043428948049694</v>
      </c>
      <c r="V3833" s="9">
        <v>59.043428948049694</v>
      </c>
      <c r="W3833" s="9">
        <v>59.043428948049694</v>
      </c>
      <c r="X3833" s="9">
        <v>71.670593717854672</v>
      </c>
      <c r="Y3833" s="9">
        <v>71.670593717854672</v>
      </c>
      <c r="Z3833" s="9">
        <v>81.082684339640124</v>
      </c>
      <c r="AA3833" s="9">
        <v>81.082684339640124</v>
      </c>
      <c r="AB3833" s="9">
        <v>89.394521523604197</v>
      </c>
      <c r="AC3833" s="9">
        <v>89.394521523604197</v>
      </c>
      <c r="AD3833" s="9">
        <v>100.64015972511829</v>
      </c>
      <c r="AE3833" s="9">
        <v>111.62134673584954</v>
      </c>
      <c r="AF3833" s="9">
        <v>124.72674901989339</v>
      </c>
      <c r="AG3833" s="9">
        <v>124.72674901989339</v>
      </c>
      <c r="AH3833" s="9">
        <v>144.13642656805314</v>
      </c>
      <c r="AI3833" s="9">
        <v>157.75463032016435</v>
      </c>
      <c r="AJ3833" s="9">
        <v>3.0428788910505911</v>
      </c>
    </row>
    <row r="3834" spans="1:36" x14ac:dyDescent="0.25">
      <c r="A3834" t="s">
        <v>5411</v>
      </c>
      <c r="B3834" t="s">
        <v>16</v>
      </c>
      <c r="C3834" t="s">
        <v>17</v>
      </c>
      <c r="D3834">
        <v>68540000</v>
      </c>
      <c r="E3834">
        <v>68542999</v>
      </c>
      <c r="F3834" t="s">
        <v>3482</v>
      </c>
      <c r="G3834" t="str">
        <f t="shared" si="118"/>
        <v>PAR</v>
      </c>
      <c r="H3834" t="s">
        <v>3417</v>
      </c>
      <c r="I3834" t="s">
        <v>20</v>
      </c>
      <c r="J3834" t="s">
        <v>77</v>
      </c>
      <c r="K3834" s="6">
        <v>0.03</v>
      </c>
      <c r="L3834" s="7">
        <f t="shared" si="119"/>
        <v>2E-3</v>
      </c>
      <c r="M3834" s="7">
        <v>3.0000000000000001E-3</v>
      </c>
      <c r="N3834">
        <v>17</v>
      </c>
      <c r="O3834" s="8">
        <v>49.365095147237867</v>
      </c>
      <c r="P3834" s="9">
        <v>49.365095147237867</v>
      </c>
      <c r="Q3834" s="9">
        <v>49.365095147237867</v>
      </c>
      <c r="R3834" s="9">
        <v>50.770888721957412</v>
      </c>
      <c r="S3834" s="9">
        <v>52.200434315108524</v>
      </c>
      <c r="T3834" s="9">
        <v>52.412128096069225</v>
      </c>
      <c r="U3834" s="9">
        <v>59.043428948049694</v>
      </c>
      <c r="V3834" s="9">
        <v>59.043428948049694</v>
      </c>
      <c r="W3834" s="9">
        <v>59.043428948049694</v>
      </c>
      <c r="X3834" s="9">
        <v>71.670593717854672</v>
      </c>
      <c r="Y3834" s="9">
        <v>71.670593717854672</v>
      </c>
      <c r="Z3834" s="9">
        <v>81.082684339640124</v>
      </c>
      <c r="AA3834" s="9">
        <v>81.082684339640124</v>
      </c>
      <c r="AB3834" s="9">
        <v>89.394521523604197</v>
      </c>
      <c r="AC3834" s="9">
        <v>89.394521523604197</v>
      </c>
      <c r="AD3834" s="9">
        <v>100.64015972511829</v>
      </c>
      <c r="AE3834" s="9">
        <v>111.62134673584954</v>
      </c>
      <c r="AF3834" s="9">
        <v>124.72674901989339</v>
      </c>
      <c r="AG3834" s="9">
        <v>124.72674901989339</v>
      </c>
      <c r="AH3834" s="9">
        <v>144.13642656805314</v>
      </c>
      <c r="AI3834" s="9">
        <v>157.75463032016435</v>
      </c>
      <c r="AJ3834" s="9">
        <v>3.0428788910505911</v>
      </c>
    </row>
    <row r="3835" spans="1:36" x14ac:dyDescent="0.25">
      <c r="A3835" t="s">
        <v>5411</v>
      </c>
      <c r="B3835" t="s">
        <v>16</v>
      </c>
      <c r="C3835" t="s">
        <v>17</v>
      </c>
      <c r="D3835">
        <v>68543000</v>
      </c>
      <c r="E3835">
        <v>68544999</v>
      </c>
      <c r="F3835" t="s">
        <v>3483</v>
      </c>
      <c r="G3835" t="str">
        <f t="shared" si="118"/>
        <v>PAR</v>
      </c>
      <c r="H3835" t="s">
        <v>3417</v>
      </c>
      <c r="I3835" t="s">
        <v>20</v>
      </c>
      <c r="J3835" t="s">
        <v>77</v>
      </c>
      <c r="K3835" s="6">
        <v>0.03</v>
      </c>
      <c r="L3835" s="7">
        <f t="shared" si="119"/>
        <v>2E-3</v>
      </c>
      <c r="M3835" s="7">
        <v>3.0000000000000001E-3</v>
      </c>
      <c r="N3835">
        <v>17</v>
      </c>
      <c r="O3835" s="8">
        <v>49.365095147237867</v>
      </c>
      <c r="P3835" s="9">
        <v>49.365095147237867</v>
      </c>
      <c r="Q3835" s="9">
        <v>49.365095147237867</v>
      </c>
      <c r="R3835" s="9">
        <v>50.770888721957412</v>
      </c>
      <c r="S3835" s="9">
        <v>52.200434315108524</v>
      </c>
      <c r="T3835" s="9">
        <v>52.412128096069225</v>
      </c>
      <c r="U3835" s="9">
        <v>59.043428948049694</v>
      </c>
      <c r="V3835" s="9">
        <v>59.043428948049694</v>
      </c>
      <c r="W3835" s="9">
        <v>59.043428948049694</v>
      </c>
      <c r="X3835" s="9">
        <v>71.670593717854672</v>
      </c>
      <c r="Y3835" s="9">
        <v>71.670593717854672</v>
      </c>
      <c r="Z3835" s="9">
        <v>81.082684339640124</v>
      </c>
      <c r="AA3835" s="9">
        <v>81.082684339640124</v>
      </c>
      <c r="AB3835" s="9">
        <v>89.394521523604197</v>
      </c>
      <c r="AC3835" s="9">
        <v>89.394521523604197</v>
      </c>
      <c r="AD3835" s="9">
        <v>100.64015972511829</v>
      </c>
      <c r="AE3835" s="9">
        <v>111.62134673584954</v>
      </c>
      <c r="AF3835" s="9">
        <v>124.72674901989339</v>
      </c>
      <c r="AG3835" s="9">
        <v>124.72674901989339</v>
      </c>
      <c r="AH3835" s="9">
        <v>144.13642656805314</v>
      </c>
      <c r="AI3835" s="9">
        <v>157.75463032016435</v>
      </c>
      <c r="AJ3835" s="9">
        <v>3.0428788910505911</v>
      </c>
    </row>
    <row r="3836" spans="1:36" x14ac:dyDescent="0.25">
      <c r="A3836" t="s">
        <v>5411</v>
      </c>
      <c r="B3836" t="s">
        <v>16</v>
      </c>
      <c r="C3836" t="s">
        <v>17</v>
      </c>
      <c r="D3836">
        <v>68545000</v>
      </c>
      <c r="E3836">
        <v>68547999</v>
      </c>
      <c r="F3836" t="s">
        <v>3484</v>
      </c>
      <c r="G3836" t="str">
        <f t="shared" si="118"/>
        <v>PAR</v>
      </c>
      <c r="H3836" t="s">
        <v>3417</v>
      </c>
      <c r="I3836" t="s">
        <v>20</v>
      </c>
      <c r="J3836" t="s">
        <v>77</v>
      </c>
      <c r="K3836" s="6">
        <v>0.03</v>
      </c>
      <c r="L3836" s="7">
        <f t="shared" si="119"/>
        <v>2E-3</v>
      </c>
      <c r="M3836" s="7">
        <v>3.0000000000000001E-3</v>
      </c>
      <c r="N3836">
        <v>17</v>
      </c>
      <c r="O3836" s="8">
        <v>49.365095147237867</v>
      </c>
      <c r="P3836" s="9">
        <v>49.365095147237867</v>
      </c>
      <c r="Q3836" s="9">
        <v>49.365095147237867</v>
      </c>
      <c r="R3836" s="9">
        <v>50.770888721957412</v>
      </c>
      <c r="S3836" s="9">
        <v>52.200434315108524</v>
      </c>
      <c r="T3836" s="9">
        <v>52.412128096069225</v>
      </c>
      <c r="U3836" s="9">
        <v>59.043428948049694</v>
      </c>
      <c r="V3836" s="9">
        <v>59.043428948049694</v>
      </c>
      <c r="W3836" s="9">
        <v>59.043428948049694</v>
      </c>
      <c r="X3836" s="9">
        <v>71.670593717854672</v>
      </c>
      <c r="Y3836" s="9">
        <v>71.670593717854672</v>
      </c>
      <c r="Z3836" s="9">
        <v>81.082684339640124</v>
      </c>
      <c r="AA3836" s="9">
        <v>81.082684339640124</v>
      </c>
      <c r="AB3836" s="9">
        <v>89.394521523604197</v>
      </c>
      <c r="AC3836" s="9">
        <v>89.394521523604197</v>
      </c>
      <c r="AD3836" s="9">
        <v>100.64015972511829</v>
      </c>
      <c r="AE3836" s="9">
        <v>111.62134673584954</v>
      </c>
      <c r="AF3836" s="9">
        <v>124.72674901989339</v>
      </c>
      <c r="AG3836" s="9">
        <v>124.72674901989339</v>
      </c>
      <c r="AH3836" s="9">
        <v>144.13642656805314</v>
      </c>
      <c r="AI3836" s="9">
        <v>157.75463032016435</v>
      </c>
      <c r="AJ3836" s="9">
        <v>3.0428788910505911</v>
      </c>
    </row>
    <row r="3837" spans="1:36" x14ac:dyDescent="0.25">
      <c r="A3837" t="s">
        <v>5411</v>
      </c>
      <c r="B3837" t="s">
        <v>16</v>
      </c>
      <c r="C3837" t="s">
        <v>17</v>
      </c>
      <c r="D3837">
        <v>68548000</v>
      </c>
      <c r="E3837">
        <v>68548999</v>
      </c>
      <c r="F3837" t="s">
        <v>682</v>
      </c>
      <c r="G3837" t="str">
        <f t="shared" si="118"/>
        <v>PAR</v>
      </c>
      <c r="H3837" t="s">
        <v>3417</v>
      </c>
      <c r="I3837" t="s">
        <v>20</v>
      </c>
      <c r="J3837" t="s">
        <v>77</v>
      </c>
      <c r="K3837" s="6">
        <v>0.03</v>
      </c>
      <c r="L3837" s="7">
        <f t="shared" si="119"/>
        <v>2E-3</v>
      </c>
      <c r="M3837" s="7">
        <v>3.0000000000000001E-3</v>
      </c>
      <c r="N3837">
        <v>17</v>
      </c>
      <c r="O3837" s="8">
        <v>49.365095147237867</v>
      </c>
      <c r="P3837" s="9">
        <v>49.365095147237867</v>
      </c>
      <c r="Q3837" s="9">
        <v>49.365095147237867</v>
      </c>
      <c r="R3837" s="9">
        <v>50.770888721957412</v>
      </c>
      <c r="S3837" s="9">
        <v>52.200434315108524</v>
      </c>
      <c r="T3837" s="9">
        <v>52.412128096069225</v>
      </c>
      <c r="U3837" s="9">
        <v>59.043428948049694</v>
      </c>
      <c r="V3837" s="9">
        <v>59.043428948049694</v>
      </c>
      <c r="W3837" s="9">
        <v>59.043428948049694</v>
      </c>
      <c r="X3837" s="9">
        <v>71.670593717854672</v>
      </c>
      <c r="Y3837" s="9">
        <v>71.670593717854672</v>
      </c>
      <c r="Z3837" s="9">
        <v>81.082684339640124</v>
      </c>
      <c r="AA3837" s="9">
        <v>81.082684339640124</v>
      </c>
      <c r="AB3837" s="9">
        <v>89.394521523604197</v>
      </c>
      <c r="AC3837" s="9">
        <v>89.394521523604197</v>
      </c>
      <c r="AD3837" s="9">
        <v>100.64015972511829</v>
      </c>
      <c r="AE3837" s="9">
        <v>111.62134673584954</v>
      </c>
      <c r="AF3837" s="9">
        <v>124.72674901989339</v>
      </c>
      <c r="AG3837" s="9">
        <v>124.72674901989339</v>
      </c>
      <c r="AH3837" s="9">
        <v>144.13642656805314</v>
      </c>
      <c r="AI3837" s="9">
        <v>157.75463032016435</v>
      </c>
      <c r="AJ3837" s="9">
        <v>3.0428788910505911</v>
      </c>
    </row>
    <row r="3838" spans="1:36" x14ac:dyDescent="0.25">
      <c r="A3838" t="s">
        <v>5411</v>
      </c>
      <c r="B3838" t="s">
        <v>16</v>
      </c>
      <c r="C3838" t="s">
        <v>17</v>
      </c>
      <c r="D3838">
        <v>68549000</v>
      </c>
      <c r="E3838">
        <v>68554999</v>
      </c>
      <c r="F3838" t="s">
        <v>2902</v>
      </c>
      <c r="G3838" t="str">
        <f t="shared" si="118"/>
        <v>PAR</v>
      </c>
      <c r="H3838" t="s">
        <v>3417</v>
      </c>
      <c r="I3838" t="s">
        <v>20</v>
      </c>
      <c r="J3838" t="s">
        <v>77</v>
      </c>
      <c r="K3838" s="6">
        <v>0.03</v>
      </c>
      <c r="L3838" s="7">
        <f t="shared" si="119"/>
        <v>2E-3</v>
      </c>
      <c r="M3838" s="7">
        <v>3.0000000000000001E-3</v>
      </c>
      <c r="N3838">
        <v>17</v>
      </c>
      <c r="O3838" s="8">
        <v>49.365095147237867</v>
      </c>
      <c r="P3838" s="9">
        <v>49.365095147237867</v>
      </c>
      <c r="Q3838" s="9">
        <v>49.365095147237867</v>
      </c>
      <c r="R3838" s="9">
        <v>50.770888721957412</v>
      </c>
      <c r="S3838" s="9">
        <v>52.200434315108524</v>
      </c>
      <c r="T3838" s="9">
        <v>52.412128096069225</v>
      </c>
      <c r="U3838" s="9">
        <v>59.043428948049694</v>
      </c>
      <c r="V3838" s="9">
        <v>59.043428948049694</v>
      </c>
      <c r="W3838" s="9">
        <v>59.043428948049694</v>
      </c>
      <c r="X3838" s="9">
        <v>71.670593717854672</v>
      </c>
      <c r="Y3838" s="9">
        <v>71.670593717854672</v>
      </c>
      <c r="Z3838" s="9">
        <v>81.082684339640124</v>
      </c>
      <c r="AA3838" s="9">
        <v>81.082684339640124</v>
      </c>
      <c r="AB3838" s="9">
        <v>89.394521523604197</v>
      </c>
      <c r="AC3838" s="9">
        <v>89.394521523604197</v>
      </c>
      <c r="AD3838" s="9">
        <v>100.64015972511829</v>
      </c>
      <c r="AE3838" s="9">
        <v>111.62134673584954</v>
      </c>
      <c r="AF3838" s="9">
        <v>124.72674901989339</v>
      </c>
      <c r="AG3838" s="9">
        <v>124.72674901989339</v>
      </c>
      <c r="AH3838" s="9">
        <v>144.13642656805314</v>
      </c>
      <c r="AI3838" s="9">
        <v>157.75463032016435</v>
      </c>
      <c r="AJ3838" s="9">
        <v>3.0428788910505911</v>
      </c>
    </row>
    <row r="3839" spans="1:36" x14ac:dyDescent="0.25">
      <c r="A3839" t="s">
        <v>5411</v>
      </c>
      <c r="B3839" t="s">
        <v>16</v>
      </c>
      <c r="C3839" t="s">
        <v>17</v>
      </c>
      <c r="D3839">
        <v>68555000</v>
      </c>
      <c r="E3839">
        <v>68559999</v>
      </c>
      <c r="F3839" t="s">
        <v>3485</v>
      </c>
      <c r="G3839" t="str">
        <f t="shared" si="118"/>
        <v>PAR</v>
      </c>
      <c r="H3839" t="s">
        <v>3417</v>
      </c>
      <c r="I3839" t="s">
        <v>20</v>
      </c>
      <c r="J3839" t="s">
        <v>77</v>
      </c>
      <c r="K3839" s="6">
        <v>0.03</v>
      </c>
      <c r="L3839" s="7">
        <f t="shared" si="119"/>
        <v>2E-3</v>
      </c>
      <c r="M3839" s="7">
        <v>3.0000000000000001E-3</v>
      </c>
      <c r="N3839">
        <v>17</v>
      </c>
      <c r="O3839" s="8">
        <v>49.365095147237867</v>
      </c>
      <c r="P3839" s="9">
        <v>49.365095147237867</v>
      </c>
      <c r="Q3839" s="9">
        <v>49.365095147237867</v>
      </c>
      <c r="R3839" s="9">
        <v>50.770888721957412</v>
      </c>
      <c r="S3839" s="9">
        <v>52.200434315108524</v>
      </c>
      <c r="T3839" s="9">
        <v>52.412128096069225</v>
      </c>
      <c r="U3839" s="9">
        <v>59.043428948049694</v>
      </c>
      <c r="V3839" s="9">
        <v>59.043428948049694</v>
      </c>
      <c r="W3839" s="9">
        <v>59.043428948049694</v>
      </c>
      <c r="X3839" s="9">
        <v>71.670593717854672</v>
      </c>
      <c r="Y3839" s="9">
        <v>71.670593717854672</v>
      </c>
      <c r="Z3839" s="9">
        <v>81.082684339640124</v>
      </c>
      <c r="AA3839" s="9">
        <v>81.082684339640124</v>
      </c>
      <c r="AB3839" s="9">
        <v>89.394521523604197</v>
      </c>
      <c r="AC3839" s="9">
        <v>89.394521523604197</v>
      </c>
      <c r="AD3839" s="9">
        <v>100.64015972511829</v>
      </c>
      <c r="AE3839" s="9">
        <v>111.62134673584954</v>
      </c>
      <c r="AF3839" s="9">
        <v>124.72674901989339</v>
      </c>
      <c r="AG3839" s="9">
        <v>124.72674901989339</v>
      </c>
      <c r="AH3839" s="9">
        <v>144.13642656805314</v>
      </c>
      <c r="AI3839" s="9">
        <v>157.75463032016435</v>
      </c>
      <c r="AJ3839" s="9">
        <v>3.0428788910505911</v>
      </c>
    </row>
    <row r="3840" spans="1:36" x14ac:dyDescent="0.25">
      <c r="A3840" t="s">
        <v>5411</v>
      </c>
      <c r="B3840" t="s">
        <v>16</v>
      </c>
      <c r="C3840" t="s">
        <v>17</v>
      </c>
      <c r="D3840">
        <v>68560000</v>
      </c>
      <c r="E3840">
        <v>68564999</v>
      </c>
      <c r="F3840" t="s">
        <v>3486</v>
      </c>
      <c r="G3840" t="str">
        <f t="shared" si="118"/>
        <v>PAR</v>
      </c>
      <c r="H3840" t="s">
        <v>3417</v>
      </c>
      <c r="I3840" t="s">
        <v>20</v>
      </c>
      <c r="J3840" t="s">
        <v>77</v>
      </c>
      <c r="K3840" s="6">
        <v>0.03</v>
      </c>
      <c r="L3840" s="7">
        <f t="shared" si="119"/>
        <v>2E-3</v>
      </c>
      <c r="M3840" s="7">
        <v>3.0000000000000001E-3</v>
      </c>
      <c r="N3840">
        <v>17</v>
      </c>
      <c r="O3840" s="8">
        <v>49.365095147237867</v>
      </c>
      <c r="P3840" s="9">
        <v>49.365095147237867</v>
      </c>
      <c r="Q3840" s="9">
        <v>49.365095147237867</v>
      </c>
      <c r="R3840" s="9">
        <v>50.770888721957412</v>
      </c>
      <c r="S3840" s="9">
        <v>52.200434315108524</v>
      </c>
      <c r="T3840" s="9">
        <v>52.412128096069225</v>
      </c>
      <c r="U3840" s="9">
        <v>59.043428948049694</v>
      </c>
      <c r="V3840" s="9">
        <v>59.043428948049694</v>
      </c>
      <c r="W3840" s="9">
        <v>59.043428948049694</v>
      </c>
      <c r="X3840" s="9">
        <v>71.670593717854672</v>
      </c>
      <c r="Y3840" s="9">
        <v>71.670593717854672</v>
      </c>
      <c r="Z3840" s="9">
        <v>81.082684339640124</v>
      </c>
      <c r="AA3840" s="9">
        <v>81.082684339640124</v>
      </c>
      <c r="AB3840" s="9">
        <v>89.394521523604197</v>
      </c>
      <c r="AC3840" s="9">
        <v>89.394521523604197</v>
      </c>
      <c r="AD3840" s="9">
        <v>100.64015972511829</v>
      </c>
      <c r="AE3840" s="9">
        <v>111.62134673584954</v>
      </c>
      <c r="AF3840" s="9">
        <v>124.72674901989339</v>
      </c>
      <c r="AG3840" s="9">
        <v>124.72674901989339</v>
      </c>
      <c r="AH3840" s="9">
        <v>144.13642656805314</v>
      </c>
      <c r="AI3840" s="9">
        <v>157.75463032016435</v>
      </c>
      <c r="AJ3840" s="9">
        <v>3.0428788910505911</v>
      </c>
    </row>
    <row r="3841" spans="1:36" x14ac:dyDescent="0.25">
      <c r="A3841" t="s">
        <v>5411</v>
      </c>
      <c r="B3841" t="s">
        <v>16</v>
      </c>
      <c r="C3841" t="s">
        <v>17</v>
      </c>
      <c r="D3841">
        <v>68565000</v>
      </c>
      <c r="E3841">
        <v>68569999</v>
      </c>
      <c r="F3841" t="s">
        <v>3487</v>
      </c>
      <c r="G3841" t="str">
        <f t="shared" si="118"/>
        <v>PAR</v>
      </c>
      <c r="H3841" t="s">
        <v>3417</v>
      </c>
      <c r="I3841" t="s">
        <v>20</v>
      </c>
      <c r="J3841" t="s">
        <v>77</v>
      </c>
      <c r="K3841" s="6">
        <v>0.03</v>
      </c>
      <c r="L3841" s="7">
        <f t="shared" si="119"/>
        <v>2E-3</v>
      </c>
      <c r="M3841" s="7">
        <v>3.0000000000000001E-3</v>
      </c>
      <c r="N3841">
        <v>17</v>
      </c>
      <c r="O3841" s="8">
        <v>49.365095147237867</v>
      </c>
      <c r="P3841" s="9">
        <v>49.365095147237867</v>
      </c>
      <c r="Q3841" s="9">
        <v>49.365095147237867</v>
      </c>
      <c r="R3841" s="9">
        <v>50.770888721957412</v>
      </c>
      <c r="S3841" s="9">
        <v>52.200434315108524</v>
      </c>
      <c r="T3841" s="9">
        <v>52.412128096069225</v>
      </c>
      <c r="U3841" s="9">
        <v>59.043428948049694</v>
      </c>
      <c r="V3841" s="9">
        <v>59.043428948049694</v>
      </c>
      <c r="W3841" s="9">
        <v>59.043428948049694</v>
      </c>
      <c r="X3841" s="9">
        <v>71.670593717854672</v>
      </c>
      <c r="Y3841" s="9">
        <v>71.670593717854672</v>
      </c>
      <c r="Z3841" s="9">
        <v>81.082684339640124</v>
      </c>
      <c r="AA3841" s="9">
        <v>81.082684339640124</v>
      </c>
      <c r="AB3841" s="9">
        <v>89.394521523604197</v>
      </c>
      <c r="AC3841" s="9">
        <v>89.394521523604197</v>
      </c>
      <c r="AD3841" s="9">
        <v>100.64015972511829</v>
      </c>
      <c r="AE3841" s="9">
        <v>111.62134673584954</v>
      </c>
      <c r="AF3841" s="9">
        <v>124.72674901989339</v>
      </c>
      <c r="AG3841" s="9">
        <v>124.72674901989339</v>
      </c>
      <c r="AH3841" s="9">
        <v>144.13642656805314</v>
      </c>
      <c r="AI3841" s="9">
        <v>157.75463032016435</v>
      </c>
      <c r="AJ3841" s="9">
        <v>3.0428788910505911</v>
      </c>
    </row>
    <row r="3842" spans="1:36" x14ac:dyDescent="0.25">
      <c r="A3842" t="s">
        <v>5411</v>
      </c>
      <c r="B3842" t="s">
        <v>16</v>
      </c>
      <c r="C3842" t="s">
        <v>17</v>
      </c>
      <c r="D3842">
        <v>68570000</v>
      </c>
      <c r="E3842">
        <v>68574999</v>
      </c>
      <c r="F3842" t="s">
        <v>3488</v>
      </c>
      <c r="G3842" t="str">
        <f t="shared" si="118"/>
        <v>PAR</v>
      </c>
      <c r="H3842" t="s">
        <v>3417</v>
      </c>
      <c r="I3842" t="s">
        <v>20</v>
      </c>
      <c r="J3842" t="s">
        <v>77</v>
      </c>
      <c r="K3842" s="6">
        <v>0.03</v>
      </c>
      <c r="L3842" s="7">
        <f t="shared" si="119"/>
        <v>2E-3</v>
      </c>
      <c r="M3842" s="7">
        <v>3.0000000000000001E-3</v>
      </c>
      <c r="N3842">
        <v>17</v>
      </c>
      <c r="O3842" s="8">
        <v>49.365095147237867</v>
      </c>
      <c r="P3842" s="9">
        <v>49.365095147237867</v>
      </c>
      <c r="Q3842" s="9">
        <v>49.365095147237867</v>
      </c>
      <c r="R3842" s="9">
        <v>50.770888721957412</v>
      </c>
      <c r="S3842" s="9">
        <v>52.200434315108524</v>
      </c>
      <c r="T3842" s="9">
        <v>52.412128096069225</v>
      </c>
      <c r="U3842" s="9">
        <v>59.043428948049694</v>
      </c>
      <c r="V3842" s="9">
        <v>59.043428948049694</v>
      </c>
      <c r="W3842" s="9">
        <v>59.043428948049694</v>
      </c>
      <c r="X3842" s="9">
        <v>71.670593717854672</v>
      </c>
      <c r="Y3842" s="9">
        <v>71.670593717854672</v>
      </c>
      <c r="Z3842" s="9">
        <v>81.082684339640124</v>
      </c>
      <c r="AA3842" s="9">
        <v>81.082684339640124</v>
      </c>
      <c r="AB3842" s="9">
        <v>89.394521523604197</v>
      </c>
      <c r="AC3842" s="9">
        <v>89.394521523604197</v>
      </c>
      <c r="AD3842" s="9">
        <v>100.64015972511829</v>
      </c>
      <c r="AE3842" s="9">
        <v>111.62134673584954</v>
      </c>
      <c r="AF3842" s="9">
        <v>124.72674901989339</v>
      </c>
      <c r="AG3842" s="9">
        <v>124.72674901989339</v>
      </c>
      <c r="AH3842" s="9">
        <v>144.13642656805314</v>
      </c>
      <c r="AI3842" s="9">
        <v>157.75463032016435</v>
      </c>
      <c r="AJ3842" s="9">
        <v>3.0428788910505911</v>
      </c>
    </row>
    <row r="3843" spans="1:36" x14ac:dyDescent="0.25">
      <c r="A3843" t="s">
        <v>5411</v>
      </c>
      <c r="B3843" t="s">
        <v>16</v>
      </c>
      <c r="C3843" t="s">
        <v>17</v>
      </c>
      <c r="D3843">
        <v>68575000</v>
      </c>
      <c r="E3843">
        <v>68579999</v>
      </c>
      <c r="F3843" t="s">
        <v>3489</v>
      </c>
      <c r="G3843" t="str">
        <f t="shared" si="118"/>
        <v>PAR</v>
      </c>
      <c r="H3843" t="s">
        <v>3417</v>
      </c>
      <c r="I3843" t="s">
        <v>20</v>
      </c>
      <c r="J3843" t="s">
        <v>77</v>
      </c>
      <c r="K3843" s="6">
        <v>0.03</v>
      </c>
      <c r="L3843" s="7">
        <f t="shared" si="119"/>
        <v>2E-3</v>
      </c>
      <c r="M3843" s="7">
        <v>3.0000000000000001E-3</v>
      </c>
      <c r="N3843">
        <v>17</v>
      </c>
      <c r="O3843" s="8">
        <v>49.365095147237867</v>
      </c>
      <c r="P3843" s="9">
        <v>49.365095147237867</v>
      </c>
      <c r="Q3843" s="9">
        <v>49.365095147237867</v>
      </c>
      <c r="R3843" s="9">
        <v>50.770888721957412</v>
      </c>
      <c r="S3843" s="9">
        <v>52.200434315108524</v>
      </c>
      <c r="T3843" s="9">
        <v>52.412128096069225</v>
      </c>
      <c r="U3843" s="9">
        <v>59.043428948049694</v>
      </c>
      <c r="V3843" s="9">
        <v>59.043428948049694</v>
      </c>
      <c r="W3843" s="9">
        <v>59.043428948049694</v>
      </c>
      <c r="X3843" s="9">
        <v>71.670593717854672</v>
      </c>
      <c r="Y3843" s="9">
        <v>71.670593717854672</v>
      </c>
      <c r="Z3843" s="9">
        <v>81.082684339640124</v>
      </c>
      <c r="AA3843" s="9">
        <v>81.082684339640124</v>
      </c>
      <c r="AB3843" s="9">
        <v>89.394521523604197</v>
      </c>
      <c r="AC3843" s="9">
        <v>89.394521523604197</v>
      </c>
      <c r="AD3843" s="9">
        <v>100.64015972511829</v>
      </c>
      <c r="AE3843" s="9">
        <v>111.62134673584954</v>
      </c>
      <c r="AF3843" s="9">
        <v>124.72674901989339</v>
      </c>
      <c r="AG3843" s="9">
        <v>124.72674901989339</v>
      </c>
      <c r="AH3843" s="9">
        <v>144.13642656805314</v>
      </c>
      <c r="AI3843" s="9">
        <v>157.75463032016435</v>
      </c>
      <c r="AJ3843" s="9">
        <v>3.0428788910505911</v>
      </c>
    </row>
    <row r="3844" spans="1:36" x14ac:dyDescent="0.25">
      <c r="A3844" t="s">
        <v>5411</v>
      </c>
      <c r="B3844" t="s">
        <v>16</v>
      </c>
      <c r="C3844" t="s">
        <v>17</v>
      </c>
      <c r="D3844">
        <v>68580000</v>
      </c>
      <c r="E3844">
        <v>68584999</v>
      </c>
      <c r="F3844" t="s">
        <v>3490</v>
      </c>
      <c r="G3844" t="str">
        <f t="shared" ref="G3844:G3907" si="120">H3844&amp;IF(J3844="CAPITAL","C",IF(J3844="INTERIOR","I",IF(J3844="INTERIOR II","I II","R")))</f>
        <v>PAR</v>
      </c>
      <c r="H3844" t="s">
        <v>3417</v>
      </c>
      <c r="I3844" t="s">
        <v>20</v>
      </c>
      <c r="J3844" t="s">
        <v>77</v>
      </c>
      <c r="K3844" s="6">
        <v>0.03</v>
      </c>
      <c r="L3844" s="7">
        <f t="shared" ref="L3844:L3907" si="121">IF(I3844="(0) Não",0.2%,3%)</f>
        <v>2E-3</v>
      </c>
      <c r="M3844" s="7">
        <v>3.0000000000000001E-3</v>
      </c>
      <c r="N3844">
        <v>17</v>
      </c>
      <c r="O3844" s="8">
        <v>49.365095147237867</v>
      </c>
      <c r="P3844" s="9">
        <v>49.365095147237867</v>
      </c>
      <c r="Q3844" s="9">
        <v>49.365095147237867</v>
      </c>
      <c r="R3844" s="9">
        <v>50.770888721957412</v>
      </c>
      <c r="S3844" s="9">
        <v>52.200434315108524</v>
      </c>
      <c r="T3844" s="9">
        <v>52.412128096069225</v>
      </c>
      <c r="U3844" s="9">
        <v>59.043428948049694</v>
      </c>
      <c r="V3844" s="9">
        <v>59.043428948049694</v>
      </c>
      <c r="W3844" s="9">
        <v>59.043428948049694</v>
      </c>
      <c r="X3844" s="9">
        <v>71.670593717854672</v>
      </c>
      <c r="Y3844" s="9">
        <v>71.670593717854672</v>
      </c>
      <c r="Z3844" s="9">
        <v>81.082684339640124</v>
      </c>
      <c r="AA3844" s="9">
        <v>81.082684339640124</v>
      </c>
      <c r="AB3844" s="9">
        <v>89.394521523604197</v>
      </c>
      <c r="AC3844" s="9">
        <v>89.394521523604197</v>
      </c>
      <c r="AD3844" s="9">
        <v>100.64015972511829</v>
      </c>
      <c r="AE3844" s="9">
        <v>111.62134673584954</v>
      </c>
      <c r="AF3844" s="9">
        <v>124.72674901989339</v>
      </c>
      <c r="AG3844" s="9">
        <v>124.72674901989339</v>
      </c>
      <c r="AH3844" s="9">
        <v>144.13642656805314</v>
      </c>
      <c r="AI3844" s="9">
        <v>157.75463032016435</v>
      </c>
      <c r="AJ3844" s="9">
        <v>3.0428788910505911</v>
      </c>
    </row>
    <row r="3845" spans="1:36" x14ac:dyDescent="0.25">
      <c r="A3845" t="s">
        <v>5411</v>
      </c>
      <c r="B3845" t="s">
        <v>16</v>
      </c>
      <c r="C3845" t="s">
        <v>17</v>
      </c>
      <c r="D3845">
        <v>68585000</v>
      </c>
      <c r="E3845">
        <v>68589999</v>
      </c>
      <c r="F3845" t="s">
        <v>3491</v>
      </c>
      <c r="G3845" t="str">
        <f t="shared" si="120"/>
        <v>PAR</v>
      </c>
      <c r="H3845" t="s">
        <v>3417</v>
      </c>
      <c r="I3845" t="s">
        <v>20</v>
      </c>
      <c r="J3845" t="s">
        <v>77</v>
      </c>
      <c r="K3845" s="6">
        <v>0.03</v>
      </c>
      <c r="L3845" s="7">
        <f t="shared" si="121"/>
        <v>2E-3</v>
      </c>
      <c r="M3845" s="7">
        <v>3.0000000000000001E-3</v>
      </c>
      <c r="N3845">
        <v>17</v>
      </c>
      <c r="O3845" s="8">
        <v>49.365095147237867</v>
      </c>
      <c r="P3845" s="9">
        <v>49.365095147237867</v>
      </c>
      <c r="Q3845" s="9">
        <v>49.365095147237867</v>
      </c>
      <c r="R3845" s="9">
        <v>50.770888721957412</v>
      </c>
      <c r="S3845" s="9">
        <v>52.200434315108524</v>
      </c>
      <c r="T3845" s="9">
        <v>52.412128096069225</v>
      </c>
      <c r="U3845" s="9">
        <v>59.043428948049694</v>
      </c>
      <c r="V3845" s="9">
        <v>59.043428948049694</v>
      </c>
      <c r="W3845" s="9">
        <v>59.043428948049694</v>
      </c>
      <c r="X3845" s="9">
        <v>71.670593717854672</v>
      </c>
      <c r="Y3845" s="9">
        <v>71.670593717854672</v>
      </c>
      <c r="Z3845" s="9">
        <v>81.082684339640124</v>
      </c>
      <c r="AA3845" s="9">
        <v>81.082684339640124</v>
      </c>
      <c r="AB3845" s="9">
        <v>89.394521523604197</v>
      </c>
      <c r="AC3845" s="9">
        <v>89.394521523604197</v>
      </c>
      <c r="AD3845" s="9">
        <v>100.64015972511829</v>
      </c>
      <c r="AE3845" s="9">
        <v>111.62134673584954</v>
      </c>
      <c r="AF3845" s="9">
        <v>124.72674901989339</v>
      </c>
      <c r="AG3845" s="9">
        <v>124.72674901989339</v>
      </c>
      <c r="AH3845" s="9">
        <v>144.13642656805314</v>
      </c>
      <c r="AI3845" s="9">
        <v>157.75463032016435</v>
      </c>
      <c r="AJ3845" s="9">
        <v>3.0428788910505911</v>
      </c>
    </row>
    <row r="3846" spans="1:36" x14ac:dyDescent="0.25">
      <c r="A3846" t="s">
        <v>5411</v>
      </c>
      <c r="B3846" t="s">
        <v>16</v>
      </c>
      <c r="C3846" t="s">
        <v>17</v>
      </c>
      <c r="D3846">
        <v>68590000</v>
      </c>
      <c r="E3846">
        <v>68599999</v>
      </c>
      <c r="F3846" t="s">
        <v>3492</v>
      </c>
      <c r="G3846" t="str">
        <f t="shared" si="120"/>
        <v>PAR</v>
      </c>
      <c r="H3846" t="s">
        <v>3417</v>
      </c>
      <c r="I3846" t="s">
        <v>20</v>
      </c>
      <c r="J3846" t="s">
        <v>77</v>
      </c>
      <c r="K3846" s="6">
        <v>0.03</v>
      </c>
      <c r="L3846" s="7">
        <f t="shared" si="121"/>
        <v>2E-3</v>
      </c>
      <c r="M3846" s="7">
        <v>3.0000000000000001E-3</v>
      </c>
      <c r="N3846">
        <v>17</v>
      </c>
      <c r="O3846" s="8">
        <v>49.365095147237867</v>
      </c>
      <c r="P3846" s="9">
        <v>49.365095147237867</v>
      </c>
      <c r="Q3846" s="9">
        <v>49.365095147237867</v>
      </c>
      <c r="R3846" s="9">
        <v>50.770888721957412</v>
      </c>
      <c r="S3846" s="9">
        <v>52.200434315108524</v>
      </c>
      <c r="T3846" s="9">
        <v>52.412128096069225</v>
      </c>
      <c r="U3846" s="9">
        <v>59.043428948049694</v>
      </c>
      <c r="V3846" s="9">
        <v>59.043428948049694</v>
      </c>
      <c r="W3846" s="9">
        <v>59.043428948049694</v>
      </c>
      <c r="X3846" s="9">
        <v>71.670593717854672</v>
      </c>
      <c r="Y3846" s="9">
        <v>71.670593717854672</v>
      </c>
      <c r="Z3846" s="9">
        <v>81.082684339640124</v>
      </c>
      <c r="AA3846" s="9">
        <v>81.082684339640124</v>
      </c>
      <c r="AB3846" s="9">
        <v>89.394521523604197</v>
      </c>
      <c r="AC3846" s="9">
        <v>89.394521523604197</v>
      </c>
      <c r="AD3846" s="9">
        <v>100.64015972511829</v>
      </c>
      <c r="AE3846" s="9">
        <v>111.62134673584954</v>
      </c>
      <c r="AF3846" s="9">
        <v>124.72674901989339</v>
      </c>
      <c r="AG3846" s="9">
        <v>124.72674901989339</v>
      </c>
      <c r="AH3846" s="9">
        <v>144.13642656805314</v>
      </c>
      <c r="AI3846" s="9">
        <v>157.75463032016435</v>
      </c>
      <c r="AJ3846" s="9">
        <v>3.0428788910505911</v>
      </c>
    </row>
    <row r="3847" spans="1:36" x14ac:dyDescent="0.25">
      <c r="A3847" t="s">
        <v>5411</v>
      </c>
      <c r="B3847" t="s">
        <v>16</v>
      </c>
      <c r="C3847" t="s">
        <v>17</v>
      </c>
      <c r="D3847">
        <v>68600000</v>
      </c>
      <c r="E3847">
        <v>68609999</v>
      </c>
      <c r="F3847" t="s">
        <v>3493</v>
      </c>
      <c r="G3847" t="str">
        <f t="shared" si="120"/>
        <v>PAR</v>
      </c>
      <c r="H3847" t="s">
        <v>3417</v>
      </c>
      <c r="I3847" t="s">
        <v>20</v>
      </c>
      <c r="J3847" t="s">
        <v>77</v>
      </c>
      <c r="K3847" s="6">
        <v>0.03</v>
      </c>
      <c r="L3847" s="7">
        <f t="shared" si="121"/>
        <v>2E-3</v>
      </c>
      <c r="M3847" s="7">
        <v>3.0000000000000001E-3</v>
      </c>
      <c r="N3847">
        <v>17</v>
      </c>
      <c r="O3847" s="8">
        <v>49.365095147237867</v>
      </c>
      <c r="P3847" s="9">
        <v>49.365095147237867</v>
      </c>
      <c r="Q3847" s="9">
        <v>49.365095147237867</v>
      </c>
      <c r="R3847" s="9">
        <v>50.770888721957412</v>
      </c>
      <c r="S3847" s="9">
        <v>52.200434315108524</v>
      </c>
      <c r="T3847" s="9">
        <v>52.412128096069225</v>
      </c>
      <c r="U3847" s="9">
        <v>59.043428948049694</v>
      </c>
      <c r="V3847" s="9">
        <v>59.043428948049694</v>
      </c>
      <c r="W3847" s="9">
        <v>59.043428948049694</v>
      </c>
      <c r="X3847" s="9">
        <v>71.670593717854672</v>
      </c>
      <c r="Y3847" s="9">
        <v>71.670593717854672</v>
      </c>
      <c r="Z3847" s="9">
        <v>81.082684339640124</v>
      </c>
      <c r="AA3847" s="9">
        <v>81.082684339640124</v>
      </c>
      <c r="AB3847" s="9">
        <v>89.394521523604197</v>
      </c>
      <c r="AC3847" s="9">
        <v>89.394521523604197</v>
      </c>
      <c r="AD3847" s="9">
        <v>100.64015972511829</v>
      </c>
      <c r="AE3847" s="9">
        <v>111.62134673584954</v>
      </c>
      <c r="AF3847" s="9">
        <v>124.72674901989339</v>
      </c>
      <c r="AG3847" s="9">
        <v>124.72674901989339</v>
      </c>
      <c r="AH3847" s="9">
        <v>144.13642656805314</v>
      </c>
      <c r="AI3847" s="9">
        <v>157.75463032016435</v>
      </c>
      <c r="AJ3847" s="9">
        <v>3.0428788910505911</v>
      </c>
    </row>
    <row r="3848" spans="1:36" x14ac:dyDescent="0.25">
      <c r="A3848" t="s">
        <v>5411</v>
      </c>
      <c r="B3848" t="s">
        <v>16</v>
      </c>
      <c r="C3848" t="s">
        <v>17</v>
      </c>
      <c r="D3848">
        <v>68610000</v>
      </c>
      <c r="E3848">
        <v>68616999</v>
      </c>
      <c r="F3848" t="s">
        <v>3494</v>
      </c>
      <c r="G3848" t="str">
        <f t="shared" si="120"/>
        <v>PAR</v>
      </c>
      <c r="H3848" t="s">
        <v>3417</v>
      </c>
      <c r="I3848" t="s">
        <v>20</v>
      </c>
      <c r="J3848" t="s">
        <v>77</v>
      </c>
      <c r="K3848" s="6">
        <v>0.03</v>
      </c>
      <c r="L3848" s="7">
        <f t="shared" si="121"/>
        <v>2E-3</v>
      </c>
      <c r="M3848" s="7">
        <v>3.0000000000000001E-3</v>
      </c>
      <c r="N3848">
        <v>17</v>
      </c>
      <c r="O3848" s="8">
        <v>49.365095147237867</v>
      </c>
      <c r="P3848" s="9">
        <v>49.365095147237867</v>
      </c>
      <c r="Q3848" s="9">
        <v>49.365095147237867</v>
      </c>
      <c r="R3848" s="9">
        <v>50.770888721957412</v>
      </c>
      <c r="S3848" s="9">
        <v>52.200434315108524</v>
      </c>
      <c r="T3848" s="9">
        <v>52.412128096069225</v>
      </c>
      <c r="U3848" s="9">
        <v>59.043428948049694</v>
      </c>
      <c r="V3848" s="9">
        <v>59.043428948049694</v>
      </c>
      <c r="W3848" s="9">
        <v>59.043428948049694</v>
      </c>
      <c r="X3848" s="9">
        <v>71.670593717854672</v>
      </c>
      <c r="Y3848" s="9">
        <v>71.670593717854672</v>
      </c>
      <c r="Z3848" s="9">
        <v>81.082684339640124</v>
      </c>
      <c r="AA3848" s="9">
        <v>81.082684339640124</v>
      </c>
      <c r="AB3848" s="9">
        <v>89.394521523604197</v>
      </c>
      <c r="AC3848" s="9">
        <v>89.394521523604197</v>
      </c>
      <c r="AD3848" s="9">
        <v>100.64015972511829</v>
      </c>
      <c r="AE3848" s="9">
        <v>111.62134673584954</v>
      </c>
      <c r="AF3848" s="9">
        <v>124.72674901989339</v>
      </c>
      <c r="AG3848" s="9">
        <v>124.72674901989339</v>
      </c>
      <c r="AH3848" s="9">
        <v>144.13642656805314</v>
      </c>
      <c r="AI3848" s="9">
        <v>157.75463032016435</v>
      </c>
      <c r="AJ3848" s="9">
        <v>3.0428788910505911</v>
      </c>
    </row>
    <row r="3849" spans="1:36" x14ac:dyDescent="0.25">
      <c r="A3849" t="s">
        <v>5411</v>
      </c>
      <c r="B3849" t="s">
        <v>16</v>
      </c>
      <c r="C3849" t="s">
        <v>17</v>
      </c>
      <c r="D3849">
        <v>68617000</v>
      </c>
      <c r="E3849">
        <v>68617999</v>
      </c>
      <c r="F3849" t="s">
        <v>3495</v>
      </c>
      <c r="G3849" t="str">
        <f t="shared" si="120"/>
        <v>PAR</v>
      </c>
      <c r="H3849" t="s">
        <v>3417</v>
      </c>
      <c r="I3849" t="s">
        <v>20</v>
      </c>
      <c r="J3849" t="s">
        <v>77</v>
      </c>
      <c r="K3849" s="6">
        <v>0.03</v>
      </c>
      <c r="L3849" s="7">
        <f t="shared" si="121"/>
        <v>2E-3</v>
      </c>
      <c r="M3849" s="7">
        <v>3.0000000000000001E-3</v>
      </c>
      <c r="N3849">
        <v>17</v>
      </c>
      <c r="O3849" s="8">
        <v>49.365095147237867</v>
      </c>
      <c r="P3849" s="9">
        <v>49.365095147237867</v>
      </c>
      <c r="Q3849" s="9">
        <v>49.365095147237867</v>
      </c>
      <c r="R3849" s="9">
        <v>50.770888721957412</v>
      </c>
      <c r="S3849" s="9">
        <v>52.200434315108524</v>
      </c>
      <c r="T3849" s="9">
        <v>52.412128096069225</v>
      </c>
      <c r="U3849" s="9">
        <v>59.043428948049694</v>
      </c>
      <c r="V3849" s="9">
        <v>59.043428948049694</v>
      </c>
      <c r="W3849" s="9">
        <v>59.043428948049694</v>
      </c>
      <c r="X3849" s="9">
        <v>71.670593717854672</v>
      </c>
      <c r="Y3849" s="9">
        <v>71.670593717854672</v>
      </c>
      <c r="Z3849" s="9">
        <v>81.082684339640124</v>
      </c>
      <c r="AA3849" s="9">
        <v>81.082684339640124</v>
      </c>
      <c r="AB3849" s="9">
        <v>89.394521523604197</v>
      </c>
      <c r="AC3849" s="9">
        <v>89.394521523604197</v>
      </c>
      <c r="AD3849" s="9">
        <v>100.64015972511829</v>
      </c>
      <c r="AE3849" s="9">
        <v>111.62134673584954</v>
      </c>
      <c r="AF3849" s="9">
        <v>124.72674901989339</v>
      </c>
      <c r="AG3849" s="9">
        <v>124.72674901989339</v>
      </c>
      <c r="AH3849" s="9">
        <v>144.13642656805314</v>
      </c>
      <c r="AI3849" s="9">
        <v>157.75463032016435</v>
      </c>
      <c r="AJ3849" s="9">
        <v>3.0428788910505911</v>
      </c>
    </row>
    <row r="3850" spans="1:36" x14ac:dyDescent="0.25">
      <c r="A3850" t="s">
        <v>5411</v>
      </c>
      <c r="B3850" t="s">
        <v>16</v>
      </c>
      <c r="C3850" t="s">
        <v>17</v>
      </c>
      <c r="D3850">
        <v>68618000</v>
      </c>
      <c r="E3850">
        <v>68619999</v>
      </c>
      <c r="F3850" t="s">
        <v>3496</v>
      </c>
      <c r="G3850" t="str">
        <f t="shared" si="120"/>
        <v>PAR</v>
      </c>
      <c r="H3850" t="s">
        <v>3417</v>
      </c>
      <c r="I3850" t="s">
        <v>20</v>
      </c>
      <c r="J3850" t="s">
        <v>77</v>
      </c>
      <c r="K3850" s="6">
        <v>0.03</v>
      </c>
      <c r="L3850" s="7">
        <f t="shared" si="121"/>
        <v>2E-3</v>
      </c>
      <c r="M3850" s="7">
        <v>3.0000000000000001E-3</v>
      </c>
      <c r="N3850">
        <v>17</v>
      </c>
      <c r="O3850" s="8">
        <v>49.365095147237867</v>
      </c>
      <c r="P3850" s="9">
        <v>49.365095147237867</v>
      </c>
      <c r="Q3850" s="9">
        <v>49.365095147237867</v>
      </c>
      <c r="R3850" s="9">
        <v>50.770888721957412</v>
      </c>
      <c r="S3850" s="9">
        <v>52.200434315108524</v>
      </c>
      <c r="T3850" s="9">
        <v>52.412128096069225</v>
      </c>
      <c r="U3850" s="9">
        <v>59.043428948049694</v>
      </c>
      <c r="V3850" s="9">
        <v>59.043428948049694</v>
      </c>
      <c r="W3850" s="9">
        <v>59.043428948049694</v>
      </c>
      <c r="X3850" s="9">
        <v>71.670593717854672</v>
      </c>
      <c r="Y3850" s="9">
        <v>71.670593717854672</v>
      </c>
      <c r="Z3850" s="9">
        <v>81.082684339640124</v>
      </c>
      <c r="AA3850" s="9">
        <v>81.082684339640124</v>
      </c>
      <c r="AB3850" s="9">
        <v>89.394521523604197</v>
      </c>
      <c r="AC3850" s="9">
        <v>89.394521523604197</v>
      </c>
      <c r="AD3850" s="9">
        <v>100.64015972511829</v>
      </c>
      <c r="AE3850" s="9">
        <v>111.62134673584954</v>
      </c>
      <c r="AF3850" s="9">
        <v>124.72674901989339</v>
      </c>
      <c r="AG3850" s="9">
        <v>124.72674901989339</v>
      </c>
      <c r="AH3850" s="9">
        <v>144.13642656805314</v>
      </c>
      <c r="AI3850" s="9">
        <v>157.75463032016435</v>
      </c>
      <c r="AJ3850" s="9">
        <v>3.0428788910505911</v>
      </c>
    </row>
    <row r="3851" spans="1:36" x14ac:dyDescent="0.25">
      <c r="A3851" t="s">
        <v>5411</v>
      </c>
      <c r="B3851" t="s">
        <v>16</v>
      </c>
      <c r="C3851" t="s">
        <v>17</v>
      </c>
      <c r="D3851">
        <v>68620000</v>
      </c>
      <c r="E3851">
        <v>68624999</v>
      </c>
      <c r="F3851" t="s">
        <v>3497</v>
      </c>
      <c r="G3851" t="str">
        <f t="shared" si="120"/>
        <v>PAR</v>
      </c>
      <c r="H3851" t="s">
        <v>3417</v>
      </c>
      <c r="I3851" t="s">
        <v>20</v>
      </c>
      <c r="J3851" t="s">
        <v>77</v>
      </c>
      <c r="K3851" s="6">
        <v>0.03</v>
      </c>
      <c r="L3851" s="7">
        <f t="shared" si="121"/>
        <v>2E-3</v>
      </c>
      <c r="M3851" s="7">
        <v>3.0000000000000001E-3</v>
      </c>
      <c r="N3851">
        <v>17</v>
      </c>
      <c r="O3851" s="8">
        <v>49.365095147237867</v>
      </c>
      <c r="P3851" s="9">
        <v>49.365095147237867</v>
      </c>
      <c r="Q3851" s="9">
        <v>49.365095147237867</v>
      </c>
      <c r="R3851" s="9">
        <v>50.770888721957412</v>
      </c>
      <c r="S3851" s="9">
        <v>52.200434315108524</v>
      </c>
      <c r="T3851" s="9">
        <v>52.412128096069225</v>
      </c>
      <c r="U3851" s="9">
        <v>59.043428948049694</v>
      </c>
      <c r="V3851" s="9">
        <v>59.043428948049694</v>
      </c>
      <c r="W3851" s="9">
        <v>59.043428948049694</v>
      </c>
      <c r="X3851" s="9">
        <v>71.670593717854672</v>
      </c>
      <c r="Y3851" s="9">
        <v>71.670593717854672</v>
      </c>
      <c r="Z3851" s="9">
        <v>81.082684339640124</v>
      </c>
      <c r="AA3851" s="9">
        <v>81.082684339640124</v>
      </c>
      <c r="AB3851" s="9">
        <v>89.394521523604197</v>
      </c>
      <c r="AC3851" s="9">
        <v>89.394521523604197</v>
      </c>
      <c r="AD3851" s="9">
        <v>100.64015972511829</v>
      </c>
      <c r="AE3851" s="9">
        <v>111.62134673584954</v>
      </c>
      <c r="AF3851" s="9">
        <v>124.72674901989339</v>
      </c>
      <c r="AG3851" s="9">
        <v>124.72674901989339</v>
      </c>
      <c r="AH3851" s="9">
        <v>144.13642656805314</v>
      </c>
      <c r="AI3851" s="9">
        <v>157.75463032016435</v>
      </c>
      <c r="AJ3851" s="9">
        <v>3.0428788910505911</v>
      </c>
    </row>
    <row r="3852" spans="1:36" x14ac:dyDescent="0.25">
      <c r="A3852" t="s">
        <v>5411</v>
      </c>
      <c r="B3852" t="s">
        <v>16</v>
      </c>
      <c r="C3852" t="s">
        <v>17</v>
      </c>
      <c r="D3852">
        <v>68625000</v>
      </c>
      <c r="E3852">
        <v>68631999</v>
      </c>
      <c r="F3852" t="s">
        <v>3498</v>
      </c>
      <c r="G3852" t="str">
        <f t="shared" si="120"/>
        <v>PAR</v>
      </c>
      <c r="H3852" t="s">
        <v>3417</v>
      </c>
      <c r="I3852" t="s">
        <v>20</v>
      </c>
      <c r="J3852" t="s">
        <v>77</v>
      </c>
      <c r="K3852" s="6">
        <v>0.03</v>
      </c>
      <c r="L3852" s="7">
        <f t="shared" si="121"/>
        <v>2E-3</v>
      </c>
      <c r="M3852" s="7">
        <v>3.0000000000000001E-3</v>
      </c>
      <c r="N3852">
        <v>17</v>
      </c>
      <c r="O3852" s="8">
        <v>49.365095147237867</v>
      </c>
      <c r="P3852" s="9">
        <v>49.365095147237867</v>
      </c>
      <c r="Q3852" s="9">
        <v>49.365095147237867</v>
      </c>
      <c r="R3852" s="9">
        <v>50.770888721957412</v>
      </c>
      <c r="S3852" s="9">
        <v>52.200434315108524</v>
      </c>
      <c r="T3852" s="9">
        <v>52.412128096069225</v>
      </c>
      <c r="U3852" s="9">
        <v>59.043428948049694</v>
      </c>
      <c r="V3852" s="9">
        <v>59.043428948049694</v>
      </c>
      <c r="W3852" s="9">
        <v>59.043428948049694</v>
      </c>
      <c r="X3852" s="9">
        <v>71.670593717854672</v>
      </c>
      <c r="Y3852" s="9">
        <v>71.670593717854672</v>
      </c>
      <c r="Z3852" s="9">
        <v>81.082684339640124</v>
      </c>
      <c r="AA3852" s="9">
        <v>81.082684339640124</v>
      </c>
      <c r="AB3852" s="9">
        <v>89.394521523604197</v>
      </c>
      <c r="AC3852" s="9">
        <v>89.394521523604197</v>
      </c>
      <c r="AD3852" s="9">
        <v>100.64015972511829</v>
      </c>
      <c r="AE3852" s="9">
        <v>111.62134673584954</v>
      </c>
      <c r="AF3852" s="9">
        <v>124.72674901989339</v>
      </c>
      <c r="AG3852" s="9">
        <v>124.72674901989339</v>
      </c>
      <c r="AH3852" s="9">
        <v>144.13642656805314</v>
      </c>
      <c r="AI3852" s="9">
        <v>157.75463032016435</v>
      </c>
      <c r="AJ3852" s="9">
        <v>3.0428788910505911</v>
      </c>
    </row>
    <row r="3853" spans="1:36" x14ac:dyDescent="0.25">
      <c r="A3853" t="s">
        <v>5411</v>
      </c>
      <c r="B3853" t="s">
        <v>16</v>
      </c>
      <c r="C3853" t="s">
        <v>17</v>
      </c>
      <c r="D3853">
        <v>68632000</v>
      </c>
      <c r="E3853">
        <v>68632999</v>
      </c>
      <c r="F3853" t="s">
        <v>3499</v>
      </c>
      <c r="G3853" t="str">
        <f t="shared" si="120"/>
        <v>PAR</v>
      </c>
      <c r="H3853" t="s">
        <v>3417</v>
      </c>
      <c r="I3853" t="s">
        <v>20</v>
      </c>
      <c r="J3853" t="s">
        <v>77</v>
      </c>
      <c r="K3853" s="6">
        <v>0.03</v>
      </c>
      <c r="L3853" s="7">
        <f t="shared" si="121"/>
        <v>2E-3</v>
      </c>
      <c r="M3853" s="7">
        <v>3.0000000000000001E-3</v>
      </c>
      <c r="N3853">
        <v>17</v>
      </c>
      <c r="O3853" s="8">
        <v>49.365095147237867</v>
      </c>
      <c r="P3853" s="9">
        <v>49.365095147237867</v>
      </c>
      <c r="Q3853" s="9">
        <v>49.365095147237867</v>
      </c>
      <c r="R3853" s="9">
        <v>50.770888721957412</v>
      </c>
      <c r="S3853" s="9">
        <v>52.200434315108524</v>
      </c>
      <c r="T3853" s="9">
        <v>52.412128096069225</v>
      </c>
      <c r="U3853" s="9">
        <v>59.043428948049694</v>
      </c>
      <c r="V3853" s="9">
        <v>59.043428948049694</v>
      </c>
      <c r="W3853" s="9">
        <v>59.043428948049694</v>
      </c>
      <c r="X3853" s="9">
        <v>71.670593717854672</v>
      </c>
      <c r="Y3853" s="9">
        <v>71.670593717854672</v>
      </c>
      <c r="Z3853" s="9">
        <v>81.082684339640124</v>
      </c>
      <c r="AA3853" s="9">
        <v>81.082684339640124</v>
      </c>
      <c r="AB3853" s="9">
        <v>89.394521523604197</v>
      </c>
      <c r="AC3853" s="9">
        <v>89.394521523604197</v>
      </c>
      <c r="AD3853" s="9">
        <v>100.64015972511829</v>
      </c>
      <c r="AE3853" s="9">
        <v>111.62134673584954</v>
      </c>
      <c r="AF3853" s="9">
        <v>124.72674901989339</v>
      </c>
      <c r="AG3853" s="9">
        <v>124.72674901989339</v>
      </c>
      <c r="AH3853" s="9">
        <v>144.13642656805314</v>
      </c>
      <c r="AI3853" s="9">
        <v>157.75463032016435</v>
      </c>
      <c r="AJ3853" s="9">
        <v>3.0428788910505911</v>
      </c>
    </row>
    <row r="3854" spans="1:36" x14ac:dyDescent="0.25">
      <c r="A3854" t="s">
        <v>5411</v>
      </c>
      <c r="B3854" t="s">
        <v>16</v>
      </c>
      <c r="C3854" t="s">
        <v>17</v>
      </c>
      <c r="D3854">
        <v>68633000</v>
      </c>
      <c r="E3854">
        <v>68634999</v>
      </c>
      <c r="F3854" t="s">
        <v>3500</v>
      </c>
      <c r="G3854" t="str">
        <f t="shared" si="120"/>
        <v>PAR</v>
      </c>
      <c r="H3854" t="s">
        <v>3417</v>
      </c>
      <c r="I3854" t="s">
        <v>20</v>
      </c>
      <c r="J3854" t="s">
        <v>77</v>
      </c>
      <c r="K3854" s="6">
        <v>0.03</v>
      </c>
      <c r="L3854" s="7">
        <f t="shared" si="121"/>
        <v>2E-3</v>
      </c>
      <c r="M3854" s="7">
        <v>3.0000000000000001E-3</v>
      </c>
      <c r="N3854">
        <v>17</v>
      </c>
      <c r="O3854" s="8">
        <v>49.365095147237867</v>
      </c>
      <c r="P3854" s="9">
        <v>49.365095147237867</v>
      </c>
      <c r="Q3854" s="9">
        <v>49.365095147237867</v>
      </c>
      <c r="R3854" s="9">
        <v>50.770888721957412</v>
      </c>
      <c r="S3854" s="9">
        <v>52.200434315108524</v>
      </c>
      <c r="T3854" s="9">
        <v>52.412128096069225</v>
      </c>
      <c r="U3854" s="9">
        <v>59.043428948049694</v>
      </c>
      <c r="V3854" s="9">
        <v>59.043428948049694</v>
      </c>
      <c r="W3854" s="9">
        <v>59.043428948049694</v>
      </c>
      <c r="X3854" s="9">
        <v>71.670593717854672</v>
      </c>
      <c r="Y3854" s="9">
        <v>71.670593717854672</v>
      </c>
      <c r="Z3854" s="9">
        <v>81.082684339640124</v>
      </c>
      <c r="AA3854" s="9">
        <v>81.082684339640124</v>
      </c>
      <c r="AB3854" s="9">
        <v>89.394521523604197</v>
      </c>
      <c r="AC3854" s="9">
        <v>89.394521523604197</v>
      </c>
      <c r="AD3854" s="9">
        <v>100.64015972511829</v>
      </c>
      <c r="AE3854" s="9">
        <v>111.62134673584954</v>
      </c>
      <c r="AF3854" s="9">
        <v>124.72674901989339</v>
      </c>
      <c r="AG3854" s="9">
        <v>124.72674901989339</v>
      </c>
      <c r="AH3854" s="9">
        <v>144.13642656805314</v>
      </c>
      <c r="AI3854" s="9">
        <v>157.75463032016435</v>
      </c>
      <c r="AJ3854" s="9">
        <v>3.0428788910505911</v>
      </c>
    </row>
    <row r="3855" spans="1:36" x14ac:dyDescent="0.25">
      <c r="A3855" t="s">
        <v>5411</v>
      </c>
      <c r="B3855" t="s">
        <v>16</v>
      </c>
      <c r="C3855" t="s">
        <v>17</v>
      </c>
      <c r="D3855">
        <v>68635000</v>
      </c>
      <c r="E3855">
        <v>68636999</v>
      </c>
      <c r="F3855" t="s">
        <v>3501</v>
      </c>
      <c r="G3855" t="str">
        <f t="shared" si="120"/>
        <v>PAR</v>
      </c>
      <c r="H3855" t="s">
        <v>3417</v>
      </c>
      <c r="I3855" t="s">
        <v>20</v>
      </c>
      <c r="J3855" t="s">
        <v>77</v>
      </c>
      <c r="K3855" s="6">
        <v>0.03</v>
      </c>
      <c r="L3855" s="7">
        <f t="shared" si="121"/>
        <v>2E-3</v>
      </c>
      <c r="M3855" s="7">
        <v>3.0000000000000001E-3</v>
      </c>
      <c r="N3855">
        <v>17</v>
      </c>
      <c r="O3855" s="8">
        <v>49.365095147237867</v>
      </c>
      <c r="P3855" s="9">
        <v>49.365095147237867</v>
      </c>
      <c r="Q3855" s="9">
        <v>49.365095147237867</v>
      </c>
      <c r="R3855" s="9">
        <v>50.770888721957412</v>
      </c>
      <c r="S3855" s="9">
        <v>52.200434315108524</v>
      </c>
      <c r="T3855" s="9">
        <v>52.412128096069225</v>
      </c>
      <c r="U3855" s="9">
        <v>59.043428948049694</v>
      </c>
      <c r="V3855" s="9">
        <v>59.043428948049694</v>
      </c>
      <c r="W3855" s="9">
        <v>59.043428948049694</v>
      </c>
      <c r="X3855" s="9">
        <v>71.670593717854672</v>
      </c>
      <c r="Y3855" s="9">
        <v>71.670593717854672</v>
      </c>
      <c r="Z3855" s="9">
        <v>81.082684339640124</v>
      </c>
      <c r="AA3855" s="9">
        <v>81.082684339640124</v>
      </c>
      <c r="AB3855" s="9">
        <v>89.394521523604197</v>
      </c>
      <c r="AC3855" s="9">
        <v>89.394521523604197</v>
      </c>
      <c r="AD3855" s="9">
        <v>100.64015972511829</v>
      </c>
      <c r="AE3855" s="9">
        <v>111.62134673584954</v>
      </c>
      <c r="AF3855" s="9">
        <v>124.72674901989339</v>
      </c>
      <c r="AG3855" s="9">
        <v>124.72674901989339</v>
      </c>
      <c r="AH3855" s="9">
        <v>144.13642656805314</v>
      </c>
      <c r="AI3855" s="9">
        <v>157.75463032016435</v>
      </c>
      <c r="AJ3855" s="9">
        <v>3.0428788910505911</v>
      </c>
    </row>
    <row r="3856" spans="1:36" x14ac:dyDescent="0.25">
      <c r="A3856" t="s">
        <v>5411</v>
      </c>
      <c r="B3856" t="s">
        <v>16</v>
      </c>
      <c r="C3856" t="s">
        <v>17</v>
      </c>
      <c r="D3856">
        <v>68637000</v>
      </c>
      <c r="E3856">
        <v>68637999</v>
      </c>
      <c r="F3856" t="s">
        <v>3502</v>
      </c>
      <c r="G3856" t="str">
        <f t="shared" si="120"/>
        <v>PAR</v>
      </c>
      <c r="H3856" t="s">
        <v>3417</v>
      </c>
      <c r="I3856" t="s">
        <v>20</v>
      </c>
      <c r="J3856" t="s">
        <v>77</v>
      </c>
      <c r="K3856" s="6">
        <v>0.03</v>
      </c>
      <c r="L3856" s="7">
        <f t="shared" si="121"/>
        <v>2E-3</v>
      </c>
      <c r="M3856" s="7">
        <v>3.0000000000000001E-3</v>
      </c>
      <c r="N3856">
        <v>17</v>
      </c>
      <c r="O3856" s="8">
        <v>49.365095147237867</v>
      </c>
      <c r="P3856" s="9">
        <v>49.365095147237867</v>
      </c>
      <c r="Q3856" s="9">
        <v>49.365095147237867</v>
      </c>
      <c r="R3856" s="9">
        <v>50.770888721957412</v>
      </c>
      <c r="S3856" s="9">
        <v>52.200434315108524</v>
      </c>
      <c r="T3856" s="9">
        <v>52.412128096069225</v>
      </c>
      <c r="U3856" s="9">
        <v>59.043428948049694</v>
      </c>
      <c r="V3856" s="9">
        <v>59.043428948049694</v>
      </c>
      <c r="W3856" s="9">
        <v>59.043428948049694</v>
      </c>
      <c r="X3856" s="9">
        <v>71.670593717854672</v>
      </c>
      <c r="Y3856" s="9">
        <v>71.670593717854672</v>
      </c>
      <c r="Z3856" s="9">
        <v>81.082684339640124</v>
      </c>
      <c r="AA3856" s="9">
        <v>81.082684339640124</v>
      </c>
      <c r="AB3856" s="9">
        <v>89.394521523604197</v>
      </c>
      <c r="AC3856" s="9">
        <v>89.394521523604197</v>
      </c>
      <c r="AD3856" s="9">
        <v>100.64015972511829</v>
      </c>
      <c r="AE3856" s="9">
        <v>111.62134673584954</v>
      </c>
      <c r="AF3856" s="9">
        <v>124.72674901989339</v>
      </c>
      <c r="AG3856" s="9">
        <v>124.72674901989339</v>
      </c>
      <c r="AH3856" s="9">
        <v>144.13642656805314</v>
      </c>
      <c r="AI3856" s="9">
        <v>157.75463032016435</v>
      </c>
      <c r="AJ3856" s="9">
        <v>3.0428788910505911</v>
      </c>
    </row>
    <row r="3857" spans="1:36" x14ac:dyDescent="0.25">
      <c r="A3857" t="s">
        <v>5411</v>
      </c>
      <c r="B3857" t="s">
        <v>16</v>
      </c>
      <c r="C3857" t="s">
        <v>17</v>
      </c>
      <c r="D3857">
        <v>68638000</v>
      </c>
      <c r="E3857">
        <v>68638999</v>
      </c>
      <c r="F3857" t="s">
        <v>3503</v>
      </c>
      <c r="G3857" t="str">
        <f t="shared" si="120"/>
        <v>PAR</v>
      </c>
      <c r="H3857" t="s">
        <v>3417</v>
      </c>
      <c r="I3857" t="s">
        <v>20</v>
      </c>
      <c r="J3857" t="s">
        <v>77</v>
      </c>
      <c r="K3857" s="6">
        <v>0.03</v>
      </c>
      <c r="L3857" s="7">
        <f t="shared" si="121"/>
        <v>2E-3</v>
      </c>
      <c r="M3857" s="7">
        <v>3.0000000000000001E-3</v>
      </c>
      <c r="N3857">
        <v>17</v>
      </c>
      <c r="O3857" s="8">
        <v>49.365095147237867</v>
      </c>
      <c r="P3857" s="9">
        <v>49.365095147237867</v>
      </c>
      <c r="Q3857" s="9">
        <v>49.365095147237867</v>
      </c>
      <c r="R3857" s="9">
        <v>50.770888721957412</v>
      </c>
      <c r="S3857" s="9">
        <v>52.200434315108524</v>
      </c>
      <c r="T3857" s="9">
        <v>52.412128096069225</v>
      </c>
      <c r="U3857" s="9">
        <v>59.043428948049694</v>
      </c>
      <c r="V3857" s="9">
        <v>59.043428948049694</v>
      </c>
      <c r="W3857" s="9">
        <v>59.043428948049694</v>
      </c>
      <c r="X3857" s="9">
        <v>71.670593717854672</v>
      </c>
      <c r="Y3857" s="9">
        <v>71.670593717854672</v>
      </c>
      <c r="Z3857" s="9">
        <v>81.082684339640124</v>
      </c>
      <c r="AA3857" s="9">
        <v>81.082684339640124</v>
      </c>
      <c r="AB3857" s="9">
        <v>89.394521523604197</v>
      </c>
      <c r="AC3857" s="9">
        <v>89.394521523604197</v>
      </c>
      <c r="AD3857" s="9">
        <v>100.64015972511829</v>
      </c>
      <c r="AE3857" s="9">
        <v>111.62134673584954</v>
      </c>
      <c r="AF3857" s="9">
        <v>124.72674901989339</v>
      </c>
      <c r="AG3857" s="9">
        <v>124.72674901989339</v>
      </c>
      <c r="AH3857" s="9">
        <v>144.13642656805314</v>
      </c>
      <c r="AI3857" s="9">
        <v>157.75463032016435</v>
      </c>
      <c r="AJ3857" s="9">
        <v>3.0428788910505911</v>
      </c>
    </row>
    <row r="3858" spans="1:36" x14ac:dyDescent="0.25">
      <c r="A3858" t="s">
        <v>5411</v>
      </c>
      <c r="B3858" t="s">
        <v>16</v>
      </c>
      <c r="C3858" t="s">
        <v>17</v>
      </c>
      <c r="D3858">
        <v>68639000</v>
      </c>
      <c r="E3858">
        <v>68639999</v>
      </c>
      <c r="F3858" t="s">
        <v>3504</v>
      </c>
      <c r="G3858" t="str">
        <f t="shared" si="120"/>
        <v>PAR</v>
      </c>
      <c r="H3858" t="s">
        <v>3417</v>
      </c>
      <c r="I3858" t="s">
        <v>20</v>
      </c>
      <c r="J3858" t="s">
        <v>77</v>
      </c>
      <c r="K3858" s="6">
        <v>0.03</v>
      </c>
      <c r="L3858" s="7">
        <f t="shared" si="121"/>
        <v>2E-3</v>
      </c>
      <c r="M3858" s="7">
        <v>3.0000000000000001E-3</v>
      </c>
      <c r="N3858">
        <v>17</v>
      </c>
      <c r="O3858" s="8">
        <v>49.365095147237867</v>
      </c>
      <c r="P3858" s="9">
        <v>49.365095147237867</v>
      </c>
      <c r="Q3858" s="9">
        <v>49.365095147237867</v>
      </c>
      <c r="R3858" s="9">
        <v>50.770888721957412</v>
      </c>
      <c r="S3858" s="9">
        <v>52.200434315108524</v>
      </c>
      <c r="T3858" s="9">
        <v>52.412128096069225</v>
      </c>
      <c r="U3858" s="9">
        <v>59.043428948049694</v>
      </c>
      <c r="V3858" s="9">
        <v>59.043428948049694</v>
      </c>
      <c r="W3858" s="9">
        <v>59.043428948049694</v>
      </c>
      <c r="X3858" s="9">
        <v>71.670593717854672</v>
      </c>
      <c r="Y3858" s="9">
        <v>71.670593717854672</v>
      </c>
      <c r="Z3858" s="9">
        <v>81.082684339640124</v>
      </c>
      <c r="AA3858" s="9">
        <v>81.082684339640124</v>
      </c>
      <c r="AB3858" s="9">
        <v>89.394521523604197</v>
      </c>
      <c r="AC3858" s="9">
        <v>89.394521523604197</v>
      </c>
      <c r="AD3858" s="9">
        <v>100.64015972511829</v>
      </c>
      <c r="AE3858" s="9">
        <v>111.62134673584954</v>
      </c>
      <c r="AF3858" s="9">
        <v>124.72674901989339</v>
      </c>
      <c r="AG3858" s="9">
        <v>124.72674901989339</v>
      </c>
      <c r="AH3858" s="9">
        <v>144.13642656805314</v>
      </c>
      <c r="AI3858" s="9">
        <v>157.75463032016435</v>
      </c>
      <c r="AJ3858" s="9">
        <v>3.0428788910505911</v>
      </c>
    </row>
    <row r="3859" spans="1:36" x14ac:dyDescent="0.25">
      <c r="A3859" t="s">
        <v>5411</v>
      </c>
      <c r="B3859" t="s">
        <v>16</v>
      </c>
      <c r="C3859" t="s">
        <v>17</v>
      </c>
      <c r="D3859">
        <v>68640000</v>
      </c>
      <c r="E3859">
        <v>68643999</v>
      </c>
      <c r="F3859" t="s">
        <v>3505</v>
      </c>
      <c r="G3859" t="str">
        <f t="shared" si="120"/>
        <v>PAR</v>
      </c>
      <c r="H3859" t="s">
        <v>3417</v>
      </c>
      <c r="I3859" t="s">
        <v>20</v>
      </c>
      <c r="J3859" t="s">
        <v>77</v>
      </c>
      <c r="K3859" s="6">
        <v>0.03</v>
      </c>
      <c r="L3859" s="7">
        <f t="shared" si="121"/>
        <v>2E-3</v>
      </c>
      <c r="M3859" s="7">
        <v>3.0000000000000001E-3</v>
      </c>
      <c r="N3859">
        <v>17</v>
      </c>
      <c r="O3859" s="8">
        <v>49.365095147237867</v>
      </c>
      <c r="P3859" s="9">
        <v>49.365095147237867</v>
      </c>
      <c r="Q3859" s="9">
        <v>49.365095147237867</v>
      </c>
      <c r="R3859" s="9">
        <v>50.770888721957412</v>
      </c>
      <c r="S3859" s="9">
        <v>52.200434315108524</v>
      </c>
      <c r="T3859" s="9">
        <v>52.412128096069225</v>
      </c>
      <c r="U3859" s="9">
        <v>59.043428948049694</v>
      </c>
      <c r="V3859" s="9">
        <v>59.043428948049694</v>
      </c>
      <c r="W3859" s="9">
        <v>59.043428948049694</v>
      </c>
      <c r="X3859" s="9">
        <v>71.670593717854672</v>
      </c>
      <c r="Y3859" s="9">
        <v>71.670593717854672</v>
      </c>
      <c r="Z3859" s="9">
        <v>81.082684339640124</v>
      </c>
      <c r="AA3859" s="9">
        <v>81.082684339640124</v>
      </c>
      <c r="AB3859" s="9">
        <v>89.394521523604197</v>
      </c>
      <c r="AC3859" s="9">
        <v>89.394521523604197</v>
      </c>
      <c r="AD3859" s="9">
        <v>100.64015972511829</v>
      </c>
      <c r="AE3859" s="9">
        <v>111.62134673584954</v>
      </c>
      <c r="AF3859" s="9">
        <v>124.72674901989339</v>
      </c>
      <c r="AG3859" s="9">
        <v>124.72674901989339</v>
      </c>
      <c r="AH3859" s="9">
        <v>144.13642656805314</v>
      </c>
      <c r="AI3859" s="9">
        <v>157.75463032016435</v>
      </c>
      <c r="AJ3859" s="9">
        <v>3.0428788910505911</v>
      </c>
    </row>
    <row r="3860" spans="1:36" x14ac:dyDescent="0.25">
      <c r="A3860" t="s">
        <v>5411</v>
      </c>
      <c r="B3860" t="s">
        <v>16</v>
      </c>
      <c r="C3860" t="s">
        <v>17</v>
      </c>
      <c r="D3860">
        <v>68644000</v>
      </c>
      <c r="E3860">
        <v>68644999</v>
      </c>
      <c r="F3860" t="s">
        <v>3506</v>
      </c>
      <c r="G3860" t="str">
        <f t="shared" si="120"/>
        <v>PAR</v>
      </c>
      <c r="H3860" t="s">
        <v>3417</v>
      </c>
      <c r="I3860" t="s">
        <v>20</v>
      </c>
      <c r="J3860" t="s">
        <v>77</v>
      </c>
      <c r="K3860" s="6">
        <v>0.03</v>
      </c>
      <c r="L3860" s="7">
        <f t="shared" si="121"/>
        <v>2E-3</v>
      </c>
      <c r="M3860" s="7">
        <v>3.0000000000000001E-3</v>
      </c>
      <c r="N3860">
        <v>17</v>
      </c>
      <c r="O3860" s="8">
        <v>49.365095147237867</v>
      </c>
      <c r="P3860" s="9">
        <v>49.365095147237867</v>
      </c>
      <c r="Q3860" s="9">
        <v>49.365095147237867</v>
      </c>
      <c r="R3860" s="9">
        <v>50.770888721957412</v>
      </c>
      <c r="S3860" s="9">
        <v>52.200434315108524</v>
      </c>
      <c r="T3860" s="9">
        <v>52.412128096069225</v>
      </c>
      <c r="U3860" s="9">
        <v>59.043428948049694</v>
      </c>
      <c r="V3860" s="9">
        <v>59.043428948049694</v>
      </c>
      <c r="W3860" s="9">
        <v>59.043428948049694</v>
      </c>
      <c r="X3860" s="9">
        <v>71.670593717854672</v>
      </c>
      <c r="Y3860" s="9">
        <v>71.670593717854672</v>
      </c>
      <c r="Z3860" s="9">
        <v>81.082684339640124</v>
      </c>
      <c r="AA3860" s="9">
        <v>81.082684339640124</v>
      </c>
      <c r="AB3860" s="9">
        <v>89.394521523604197</v>
      </c>
      <c r="AC3860" s="9">
        <v>89.394521523604197</v>
      </c>
      <c r="AD3860" s="9">
        <v>100.64015972511829</v>
      </c>
      <c r="AE3860" s="9">
        <v>111.62134673584954</v>
      </c>
      <c r="AF3860" s="9">
        <v>124.72674901989339</v>
      </c>
      <c r="AG3860" s="9">
        <v>124.72674901989339</v>
      </c>
      <c r="AH3860" s="9">
        <v>144.13642656805314</v>
      </c>
      <c r="AI3860" s="9">
        <v>157.75463032016435</v>
      </c>
      <c r="AJ3860" s="9">
        <v>3.0428788910505911</v>
      </c>
    </row>
    <row r="3861" spans="1:36" x14ac:dyDescent="0.25">
      <c r="A3861" t="s">
        <v>5411</v>
      </c>
      <c r="B3861" t="s">
        <v>16</v>
      </c>
      <c r="C3861" t="s">
        <v>17</v>
      </c>
      <c r="D3861">
        <v>68645000</v>
      </c>
      <c r="E3861">
        <v>68646999</v>
      </c>
      <c r="F3861" t="s">
        <v>1986</v>
      </c>
      <c r="G3861" t="str">
        <f t="shared" si="120"/>
        <v>PAR</v>
      </c>
      <c r="H3861" t="s">
        <v>3417</v>
      </c>
      <c r="I3861" t="s">
        <v>20</v>
      </c>
      <c r="J3861" t="s">
        <v>77</v>
      </c>
      <c r="K3861" s="6">
        <v>0.03</v>
      </c>
      <c r="L3861" s="7">
        <f t="shared" si="121"/>
        <v>2E-3</v>
      </c>
      <c r="M3861" s="7">
        <v>3.0000000000000001E-3</v>
      </c>
      <c r="N3861">
        <v>17</v>
      </c>
      <c r="O3861" s="8">
        <v>49.365095147237867</v>
      </c>
      <c r="P3861" s="9">
        <v>49.365095147237867</v>
      </c>
      <c r="Q3861" s="9">
        <v>49.365095147237867</v>
      </c>
      <c r="R3861" s="9">
        <v>50.770888721957412</v>
      </c>
      <c r="S3861" s="9">
        <v>52.200434315108524</v>
      </c>
      <c r="T3861" s="9">
        <v>52.412128096069225</v>
      </c>
      <c r="U3861" s="9">
        <v>59.043428948049694</v>
      </c>
      <c r="V3861" s="9">
        <v>59.043428948049694</v>
      </c>
      <c r="W3861" s="9">
        <v>59.043428948049694</v>
      </c>
      <c r="X3861" s="9">
        <v>71.670593717854672</v>
      </c>
      <c r="Y3861" s="9">
        <v>71.670593717854672</v>
      </c>
      <c r="Z3861" s="9">
        <v>81.082684339640124</v>
      </c>
      <c r="AA3861" s="9">
        <v>81.082684339640124</v>
      </c>
      <c r="AB3861" s="9">
        <v>89.394521523604197</v>
      </c>
      <c r="AC3861" s="9">
        <v>89.394521523604197</v>
      </c>
      <c r="AD3861" s="9">
        <v>100.64015972511829</v>
      </c>
      <c r="AE3861" s="9">
        <v>111.62134673584954</v>
      </c>
      <c r="AF3861" s="9">
        <v>124.72674901989339</v>
      </c>
      <c r="AG3861" s="9">
        <v>124.72674901989339</v>
      </c>
      <c r="AH3861" s="9">
        <v>144.13642656805314</v>
      </c>
      <c r="AI3861" s="9">
        <v>157.75463032016435</v>
      </c>
      <c r="AJ3861" s="9">
        <v>3.0428788910505911</v>
      </c>
    </row>
    <row r="3862" spans="1:36" x14ac:dyDescent="0.25">
      <c r="A3862" t="s">
        <v>5411</v>
      </c>
      <c r="B3862" t="s">
        <v>16</v>
      </c>
      <c r="C3862" t="s">
        <v>17</v>
      </c>
      <c r="D3862">
        <v>68647000</v>
      </c>
      <c r="E3862">
        <v>68649999</v>
      </c>
      <c r="F3862" t="s">
        <v>3507</v>
      </c>
      <c r="G3862" t="str">
        <f t="shared" si="120"/>
        <v>PAR</v>
      </c>
      <c r="H3862" t="s">
        <v>3417</v>
      </c>
      <c r="I3862" t="s">
        <v>20</v>
      </c>
      <c r="J3862" t="s">
        <v>77</v>
      </c>
      <c r="K3862" s="6">
        <v>0.03</v>
      </c>
      <c r="L3862" s="7">
        <f t="shared" si="121"/>
        <v>2E-3</v>
      </c>
      <c r="M3862" s="7">
        <v>3.0000000000000001E-3</v>
      </c>
      <c r="N3862">
        <v>17</v>
      </c>
      <c r="O3862" s="8">
        <v>49.365095147237867</v>
      </c>
      <c r="P3862" s="9">
        <v>49.365095147237867</v>
      </c>
      <c r="Q3862" s="9">
        <v>49.365095147237867</v>
      </c>
      <c r="R3862" s="9">
        <v>50.770888721957412</v>
      </c>
      <c r="S3862" s="9">
        <v>52.200434315108524</v>
      </c>
      <c r="T3862" s="9">
        <v>52.412128096069225</v>
      </c>
      <c r="U3862" s="9">
        <v>59.043428948049694</v>
      </c>
      <c r="V3862" s="9">
        <v>59.043428948049694</v>
      </c>
      <c r="W3862" s="9">
        <v>59.043428948049694</v>
      </c>
      <c r="X3862" s="9">
        <v>71.670593717854672</v>
      </c>
      <c r="Y3862" s="9">
        <v>71.670593717854672</v>
      </c>
      <c r="Z3862" s="9">
        <v>81.082684339640124</v>
      </c>
      <c r="AA3862" s="9">
        <v>81.082684339640124</v>
      </c>
      <c r="AB3862" s="9">
        <v>89.394521523604197</v>
      </c>
      <c r="AC3862" s="9">
        <v>89.394521523604197</v>
      </c>
      <c r="AD3862" s="9">
        <v>100.64015972511829</v>
      </c>
      <c r="AE3862" s="9">
        <v>111.62134673584954</v>
      </c>
      <c r="AF3862" s="9">
        <v>124.72674901989339</v>
      </c>
      <c r="AG3862" s="9">
        <v>124.72674901989339</v>
      </c>
      <c r="AH3862" s="9">
        <v>144.13642656805314</v>
      </c>
      <c r="AI3862" s="9">
        <v>157.75463032016435</v>
      </c>
      <c r="AJ3862" s="9">
        <v>3.0428788910505911</v>
      </c>
    </row>
    <row r="3863" spans="1:36" x14ac:dyDescent="0.25">
      <c r="A3863" t="s">
        <v>5411</v>
      </c>
      <c r="B3863" t="s">
        <v>16</v>
      </c>
      <c r="C3863" t="s">
        <v>17</v>
      </c>
      <c r="D3863">
        <v>68650000</v>
      </c>
      <c r="E3863">
        <v>68654999</v>
      </c>
      <c r="F3863" t="s">
        <v>3508</v>
      </c>
      <c r="G3863" t="str">
        <f t="shared" si="120"/>
        <v>PAR</v>
      </c>
      <c r="H3863" t="s">
        <v>3417</v>
      </c>
      <c r="I3863" t="s">
        <v>20</v>
      </c>
      <c r="J3863" t="s">
        <v>77</v>
      </c>
      <c r="K3863" s="6">
        <v>0.03</v>
      </c>
      <c r="L3863" s="7">
        <f t="shared" si="121"/>
        <v>2E-3</v>
      </c>
      <c r="M3863" s="7">
        <v>3.0000000000000001E-3</v>
      </c>
      <c r="N3863">
        <v>17</v>
      </c>
      <c r="O3863" s="8">
        <v>49.365095147237867</v>
      </c>
      <c r="P3863" s="9">
        <v>49.365095147237867</v>
      </c>
      <c r="Q3863" s="9">
        <v>49.365095147237867</v>
      </c>
      <c r="R3863" s="9">
        <v>50.770888721957412</v>
      </c>
      <c r="S3863" s="9">
        <v>52.200434315108524</v>
      </c>
      <c r="T3863" s="9">
        <v>52.412128096069225</v>
      </c>
      <c r="U3863" s="9">
        <v>59.043428948049694</v>
      </c>
      <c r="V3863" s="9">
        <v>59.043428948049694</v>
      </c>
      <c r="W3863" s="9">
        <v>59.043428948049694</v>
      </c>
      <c r="X3863" s="9">
        <v>71.670593717854672</v>
      </c>
      <c r="Y3863" s="9">
        <v>71.670593717854672</v>
      </c>
      <c r="Z3863" s="9">
        <v>81.082684339640124</v>
      </c>
      <c r="AA3863" s="9">
        <v>81.082684339640124</v>
      </c>
      <c r="AB3863" s="9">
        <v>89.394521523604197</v>
      </c>
      <c r="AC3863" s="9">
        <v>89.394521523604197</v>
      </c>
      <c r="AD3863" s="9">
        <v>100.64015972511829</v>
      </c>
      <c r="AE3863" s="9">
        <v>111.62134673584954</v>
      </c>
      <c r="AF3863" s="9">
        <v>124.72674901989339</v>
      </c>
      <c r="AG3863" s="9">
        <v>124.72674901989339</v>
      </c>
      <c r="AH3863" s="9">
        <v>144.13642656805314</v>
      </c>
      <c r="AI3863" s="9">
        <v>157.75463032016435</v>
      </c>
      <c r="AJ3863" s="9">
        <v>3.0428788910505911</v>
      </c>
    </row>
    <row r="3864" spans="1:36" x14ac:dyDescent="0.25">
      <c r="A3864" t="s">
        <v>5411</v>
      </c>
      <c r="B3864" t="s">
        <v>16</v>
      </c>
      <c r="C3864" t="s">
        <v>17</v>
      </c>
      <c r="D3864">
        <v>68655000</v>
      </c>
      <c r="E3864">
        <v>68657999</v>
      </c>
      <c r="F3864" t="s">
        <v>3509</v>
      </c>
      <c r="G3864" t="str">
        <f t="shared" si="120"/>
        <v>PAR</v>
      </c>
      <c r="H3864" t="s">
        <v>3417</v>
      </c>
      <c r="I3864" t="s">
        <v>20</v>
      </c>
      <c r="J3864" t="s">
        <v>77</v>
      </c>
      <c r="K3864" s="6">
        <v>0.03</v>
      </c>
      <c r="L3864" s="7">
        <f t="shared" si="121"/>
        <v>2E-3</v>
      </c>
      <c r="M3864" s="7">
        <v>3.0000000000000001E-3</v>
      </c>
      <c r="N3864">
        <v>17</v>
      </c>
      <c r="O3864" s="8">
        <v>49.365095147237867</v>
      </c>
      <c r="P3864" s="9">
        <v>49.365095147237867</v>
      </c>
      <c r="Q3864" s="9">
        <v>49.365095147237867</v>
      </c>
      <c r="R3864" s="9">
        <v>50.770888721957412</v>
      </c>
      <c r="S3864" s="9">
        <v>52.200434315108524</v>
      </c>
      <c r="T3864" s="9">
        <v>52.412128096069225</v>
      </c>
      <c r="U3864" s="9">
        <v>59.043428948049694</v>
      </c>
      <c r="V3864" s="9">
        <v>59.043428948049694</v>
      </c>
      <c r="W3864" s="9">
        <v>59.043428948049694</v>
      </c>
      <c r="X3864" s="9">
        <v>71.670593717854672</v>
      </c>
      <c r="Y3864" s="9">
        <v>71.670593717854672</v>
      </c>
      <c r="Z3864" s="9">
        <v>81.082684339640124</v>
      </c>
      <c r="AA3864" s="9">
        <v>81.082684339640124</v>
      </c>
      <c r="AB3864" s="9">
        <v>89.394521523604197</v>
      </c>
      <c r="AC3864" s="9">
        <v>89.394521523604197</v>
      </c>
      <c r="AD3864" s="9">
        <v>100.64015972511829</v>
      </c>
      <c r="AE3864" s="9">
        <v>111.62134673584954</v>
      </c>
      <c r="AF3864" s="9">
        <v>124.72674901989339</v>
      </c>
      <c r="AG3864" s="9">
        <v>124.72674901989339</v>
      </c>
      <c r="AH3864" s="9">
        <v>144.13642656805314</v>
      </c>
      <c r="AI3864" s="9">
        <v>157.75463032016435</v>
      </c>
      <c r="AJ3864" s="9">
        <v>3.0428788910505911</v>
      </c>
    </row>
    <row r="3865" spans="1:36" x14ac:dyDescent="0.25">
      <c r="A3865" t="s">
        <v>5411</v>
      </c>
      <c r="B3865" t="s">
        <v>16</v>
      </c>
      <c r="C3865" t="s">
        <v>17</v>
      </c>
      <c r="D3865">
        <v>68658000</v>
      </c>
      <c r="E3865">
        <v>68659999</v>
      </c>
      <c r="F3865" t="s">
        <v>3510</v>
      </c>
      <c r="G3865" t="str">
        <f t="shared" si="120"/>
        <v>PAR</v>
      </c>
      <c r="H3865" t="s">
        <v>3417</v>
      </c>
      <c r="I3865" t="s">
        <v>20</v>
      </c>
      <c r="J3865" t="s">
        <v>77</v>
      </c>
      <c r="K3865" s="6">
        <v>0.03</v>
      </c>
      <c r="L3865" s="7">
        <f t="shared" si="121"/>
        <v>2E-3</v>
      </c>
      <c r="M3865" s="7">
        <v>3.0000000000000001E-3</v>
      </c>
      <c r="N3865">
        <v>17</v>
      </c>
      <c r="O3865" s="8">
        <v>49.365095147237867</v>
      </c>
      <c r="P3865" s="9">
        <v>49.365095147237867</v>
      </c>
      <c r="Q3865" s="9">
        <v>49.365095147237867</v>
      </c>
      <c r="R3865" s="9">
        <v>50.770888721957412</v>
      </c>
      <c r="S3865" s="9">
        <v>52.200434315108524</v>
      </c>
      <c r="T3865" s="9">
        <v>52.412128096069225</v>
      </c>
      <c r="U3865" s="9">
        <v>59.043428948049694</v>
      </c>
      <c r="V3865" s="9">
        <v>59.043428948049694</v>
      </c>
      <c r="W3865" s="9">
        <v>59.043428948049694</v>
      </c>
      <c r="X3865" s="9">
        <v>71.670593717854672</v>
      </c>
      <c r="Y3865" s="9">
        <v>71.670593717854672</v>
      </c>
      <c r="Z3865" s="9">
        <v>81.082684339640124</v>
      </c>
      <c r="AA3865" s="9">
        <v>81.082684339640124</v>
      </c>
      <c r="AB3865" s="9">
        <v>89.394521523604197</v>
      </c>
      <c r="AC3865" s="9">
        <v>89.394521523604197</v>
      </c>
      <c r="AD3865" s="9">
        <v>100.64015972511829</v>
      </c>
      <c r="AE3865" s="9">
        <v>111.62134673584954</v>
      </c>
      <c r="AF3865" s="9">
        <v>124.72674901989339</v>
      </c>
      <c r="AG3865" s="9">
        <v>124.72674901989339</v>
      </c>
      <c r="AH3865" s="9">
        <v>144.13642656805314</v>
      </c>
      <c r="AI3865" s="9">
        <v>157.75463032016435</v>
      </c>
      <c r="AJ3865" s="9">
        <v>3.0428788910505911</v>
      </c>
    </row>
    <row r="3866" spans="1:36" x14ac:dyDescent="0.25">
      <c r="A3866" t="s">
        <v>5411</v>
      </c>
      <c r="B3866" t="s">
        <v>16</v>
      </c>
      <c r="C3866" t="s">
        <v>17</v>
      </c>
      <c r="D3866">
        <v>68660000</v>
      </c>
      <c r="E3866">
        <v>68664999</v>
      </c>
      <c r="F3866" t="s">
        <v>3511</v>
      </c>
      <c r="G3866" t="str">
        <f t="shared" si="120"/>
        <v>PAR</v>
      </c>
      <c r="H3866" t="s">
        <v>3417</v>
      </c>
      <c r="I3866" t="s">
        <v>20</v>
      </c>
      <c r="J3866" t="s">
        <v>77</v>
      </c>
      <c r="K3866" s="6">
        <v>0.03</v>
      </c>
      <c r="L3866" s="7">
        <f t="shared" si="121"/>
        <v>2E-3</v>
      </c>
      <c r="M3866" s="7">
        <v>3.0000000000000001E-3</v>
      </c>
      <c r="N3866">
        <v>17</v>
      </c>
      <c r="O3866" s="8">
        <v>49.365095147237867</v>
      </c>
      <c r="P3866" s="9">
        <v>49.365095147237867</v>
      </c>
      <c r="Q3866" s="9">
        <v>49.365095147237867</v>
      </c>
      <c r="R3866" s="9">
        <v>50.770888721957412</v>
      </c>
      <c r="S3866" s="9">
        <v>52.200434315108524</v>
      </c>
      <c r="T3866" s="9">
        <v>52.412128096069225</v>
      </c>
      <c r="U3866" s="9">
        <v>59.043428948049694</v>
      </c>
      <c r="V3866" s="9">
        <v>59.043428948049694</v>
      </c>
      <c r="W3866" s="9">
        <v>59.043428948049694</v>
      </c>
      <c r="X3866" s="9">
        <v>71.670593717854672</v>
      </c>
      <c r="Y3866" s="9">
        <v>71.670593717854672</v>
      </c>
      <c r="Z3866" s="9">
        <v>81.082684339640124</v>
      </c>
      <c r="AA3866" s="9">
        <v>81.082684339640124</v>
      </c>
      <c r="AB3866" s="9">
        <v>89.394521523604197</v>
      </c>
      <c r="AC3866" s="9">
        <v>89.394521523604197</v>
      </c>
      <c r="AD3866" s="9">
        <v>100.64015972511829</v>
      </c>
      <c r="AE3866" s="9">
        <v>111.62134673584954</v>
      </c>
      <c r="AF3866" s="9">
        <v>124.72674901989339</v>
      </c>
      <c r="AG3866" s="9">
        <v>124.72674901989339</v>
      </c>
      <c r="AH3866" s="9">
        <v>144.13642656805314</v>
      </c>
      <c r="AI3866" s="9">
        <v>157.75463032016435</v>
      </c>
      <c r="AJ3866" s="9">
        <v>3.0428788910505911</v>
      </c>
    </row>
    <row r="3867" spans="1:36" x14ac:dyDescent="0.25">
      <c r="A3867" t="s">
        <v>5411</v>
      </c>
      <c r="B3867" t="s">
        <v>16</v>
      </c>
      <c r="C3867" t="s">
        <v>17</v>
      </c>
      <c r="D3867">
        <v>68665000</v>
      </c>
      <c r="E3867">
        <v>68669999</v>
      </c>
      <c r="F3867" t="s">
        <v>3512</v>
      </c>
      <c r="G3867" t="str">
        <f t="shared" si="120"/>
        <v>PAR</v>
      </c>
      <c r="H3867" t="s">
        <v>3417</v>
      </c>
      <c r="I3867" t="s">
        <v>20</v>
      </c>
      <c r="J3867" t="s">
        <v>77</v>
      </c>
      <c r="K3867" s="6">
        <v>0.03</v>
      </c>
      <c r="L3867" s="7">
        <f t="shared" si="121"/>
        <v>2E-3</v>
      </c>
      <c r="M3867" s="7">
        <v>3.0000000000000001E-3</v>
      </c>
      <c r="N3867">
        <v>17</v>
      </c>
      <c r="O3867" s="8">
        <v>49.365095147237867</v>
      </c>
      <c r="P3867" s="9">
        <v>49.365095147237867</v>
      </c>
      <c r="Q3867" s="9">
        <v>49.365095147237867</v>
      </c>
      <c r="R3867" s="9">
        <v>50.770888721957412</v>
      </c>
      <c r="S3867" s="9">
        <v>52.200434315108524</v>
      </c>
      <c r="T3867" s="9">
        <v>52.412128096069225</v>
      </c>
      <c r="U3867" s="9">
        <v>59.043428948049694</v>
      </c>
      <c r="V3867" s="9">
        <v>59.043428948049694</v>
      </c>
      <c r="W3867" s="9">
        <v>59.043428948049694</v>
      </c>
      <c r="X3867" s="9">
        <v>71.670593717854672</v>
      </c>
      <c r="Y3867" s="9">
        <v>71.670593717854672</v>
      </c>
      <c r="Z3867" s="9">
        <v>81.082684339640124</v>
      </c>
      <c r="AA3867" s="9">
        <v>81.082684339640124</v>
      </c>
      <c r="AB3867" s="9">
        <v>89.394521523604197</v>
      </c>
      <c r="AC3867" s="9">
        <v>89.394521523604197</v>
      </c>
      <c r="AD3867" s="9">
        <v>100.64015972511829</v>
      </c>
      <c r="AE3867" s="9">
        <v>111.62134673584954</v>
      </c>
      <c r="AF3867" s="9">
        <v>124.72674901989339</v>
      </c>
      <c r="AG3867" s="9">
        <v>124.72674901989339</v>
      </c>
      <c r="AH3867" s="9">
        <v>144.13642656805314</v>
      </c>
      <c r="AI3867" s="9">
        <v>157.75463032016435</v>
      </c>
      <c r="AJ3867" s="9">
        <v>3.0428788910505911</v>
      </c>
    </row>
    <row r="3868" spans="1:36" x14ac:dyDescent="0.25">
      <c r="A3868" t="s">
        <v>5411</v>
      </c>
      <c r="B3868" t="s">
        <v>16</v>
      </c>
      <c r="C3868" t="s">
        <v>17</v>
      </c>
      <c r="D3868">
        <v>68670000</v>
      </c>
      <c r="E3868">
        <v>68674999</v>
      </c>
      <c r="F3868" t="s">
        <v>3513</v>
      </c>
      <c r="G3868" t="str">
        <f t="shared" si="120"/>
        <v>PAR</v>
      </c>
      <c r="H3868" t="s">
        <v>3417</v>
      </c>
      <c r="I3868" t="s">
        <v>20</v>
      </c>
      <c r="J3868" t="s">
        <v>77</v>
      </c>
      <c r="K3868" s="6">
        <v>0.03</v>
      </c>
      <c r="L3868" s="7">
        <f t="shared" si="121"/>
        <v>2E-3</v>
      </c>
      <c r="M3868" s="7">
        <v>3.0000000000000001E-3</v>
      </c>
      <c r="N3868">
        <v>17</v>
      </c>
      <c r="O3868" s="8">
        <v>49.365095147237867</v>
      </c>
      <c r="P3868" s="9">
        <v>49.365095147237867</v>
      </c>
      <c r="Q3868" s="9">
        <v>49.365095147237867</v>
      </c>
      <c r="R3868" s="9">
        <v>50.770888721957412</v>
      </c>
      <c r="S3868" s="9">
        <v>52.200434315108524</v>
      </c>
      <c r="T3868" s="9">
        <v>52.412128096069225</v>
      </c>
      <c r="U3868" s="9">
        <v>59.043428948049694</v>
      </c>
      <c r="V3868" s="9">
        <v>59.043428948049694</v>
      </c>
      <c r="W3868" s="9">
        <v>59.043428948049694</v>
      </c>
      <c r="X3868" s="9">
        <v>71.670593717854672</v>
      </c>
      <c r="Y3868" s="9">
        <v>71.670593717854672</v>
      </c>
      <c r="Z3868" s="9">
        <v>81.082684339640124</v>
      </c>
      <c r="AA3868" s="9">
        <v>81.082684339640124</v>
      </c>
      <c r="AB3868" s="9">
        <v>89.394521523604197</v>
      </c>
      <c r="AC3868" s="9">
        <v>89.394521523604197</v>
      </c>
      <c r="AD3868" s="9">
        <v>100.64015972511829</v>
      </c>
      <c r="AE3868" s="9">
        <v>111.62134673584954</v>
      </c>
      <c r="AF3868" s="9">
        <v>124.72674901989339</v>
      </c>
      <c r="AG3868" s="9">
        <v>124.72674901989339</v>
      </c>
      <c r="AH3868" s="9">
        <v>144.13642656805314</v>
      </c>
      <c r="AI3868" s="9">
        <v>157.75463032016435</v>
      </c>
      <c r="AJ3868" s="9">
        <v>3.0428788910505911</v>
      </c>
    </row>
    <row r="3869" spans="1:36" x14ac:dyDescent="0.25">
      <c r="A3869" t="s">
        <v>5411</v>
      </c>
      <c r="B3869" t="s">
        <v>16</v>
      </c>
      <c r="C3869" t="s">
        <v>17</v>
      </c>
      <c r="D3869">
        <v>68675000</v>
      </c>
      <c r="E3869">
        <v>68679999</v>
      </c>
      <c r="F3869" t="s">
        <v>3514</v>
      </c>
      <c r="G3869" t="str">
        <f t="shared" si="120"/>
        <v>PAR</v>
      </c>
      <c r="H3869" t="s">
        <v>3417</v>
      </c>
      <c r="I3869" t="s">
        <v>20</v>
      </c>
      <c r="J3869" t="s">
        <v>77</v>
      </c>
      <c r="K3869" s="6">
        <v>0.03</v>
      </c>
      <c r="L3869" s="7">
        <f t="shared" si="121"/>
        <v>2E-3</v>
      </c>
      <c r="M3869" s="7">
        <v>3.0000000000000001E-3</v>
      </c>
      <c r="N3869">
        <v>17</v>
      </c>
      <c r="O3869" s="8">
        <v>49.365095147237867</v>
      </c>
      <c r="P3869" s="9">
        <v>49.365095147237867</v>
      </c>
      <c r="Q3869" s="9">
        <v>49.365095147237867</v>
      </c>
      <c r="R3869" s="9">
        <v>50.770888721957412</v>
      </c>
      <c r="S3869" s="9">
        <v>52.200434315108524</v>
      </c>
      <c r="T3869" s="9">
        <v>52.412128096069225</v>
      </c>
      <c r="U3869" s="9">
        <v>59.043428948049694</v>
      </c>
      <c r="V3869" s="9">
        <v>59.043428948049694</v>
      </c>
      <c r="W3869" s="9">
        <v>59.043428948049694</v>
      </c>
      <c r="X3869" s="9">
        <v>71.670593717854672</v>
      </c>
      <c r="Y3869" s="9">
        <v>71.670593717854672</v>
      </c>
      <c r="Z3869" s="9">
        <v>81.082684339640124</v>
      </c>
      <c r="AA3869" s="9">
        <v>81.082684339640124</v>
      </c>
      <c r="AB3869" s="9">
        <v>89.394521523604197</v>
      </c>
      <c r="AC3869" s="9">
        <v>89.394521523604197</v>
      </c>
      <c r="AD3869" s="9">
        <v>100.64015972511829</v>
      </c>
      <c r="AE3869" s="9">
        <v>111.62134673584954</v>
      </c>
      <c r="AF3869" s="9">
        <v>124.72674901989339</v>
      </c>
      <c r="AG3869" s="9">
        <v>124.72674901989339</v>
      </c>
      <c r="AH3869" s="9">
        <v>144.13642656805314</v>
      </c>
      <c r="AI3869" s="9">
        <v>157.75463032016435</v>
      </c>
      <c r="AJ3869" s="9">
        <v>3.0428788910505911</v>
      </c>
    </row>
    <row r="3870" spans="1:36" x14ac:dyDescent="0.25">
      <c r="A3870" t="s">
        <v>5411</v>
      </c>
      <c r="B3870" t="s">
        <v>16</v>
      </c>
      <c r="C3870" t="s">
        <v>17</v>
      </c>
      <c r="D3870">
        <v>68680000</v>
      </c>
      <c r="E3870">
        <v>68684999</v>
      </c>
      <c r="F3870" t="s">
        <v>3515</v>
      </c>
      <c r="G3870" t="str">
        <f t="shared" si="120"/>
        <v>PAR</v>
      </c>
      <c r="H3870" t="s">
        <v>3417</v>
      </c>
      <c r="I3870" t="s">
        <v>20</v>
      </c>
      <c r="J3870" t="s">
        <v>77</v>
      </c>
      <c r="K3870" s="6">
        <v>0.03</v>
      </c>
      <c r="L3870" s="7">
        <f t="shared" si="121"/>
        <v>2E-3</v>
      </c>
      <c r="M3870" s="7">
        <v>3.0000000000000001E-3</v>
      </c>
      <c r="N3870">
        <v>17</v>
      </c>
      <c r="O3870" s="8">
        <v>49.365095147237867</v>
      </c>
      <c r="P3870" s="9">
        <v>49.365095147237867</v>
      </c>
      <c r="Q3870" s="9">
        <v>49.365095147237867</v>
      </c>
      <c r="R3870" s="9">
        <v>50.770888721957412</v>
      </c>
      <c r="S3870" s="9">
        <v>52.200434315108524</v>
      </c>
      <c r="T3870" s="9">
        <v>52.412128096069225</v>
      </c>
      <c r="U3870" s="9">
        <v>59.043428948049694</v>
      </c>
      <c r="V3870" s="9">
        <v>59.043428948049694</v>
      </c>
      <c r="W3870" s="9">
        <v>59.043428948049694</v>
      </c>
      <c r="X3870" s="9">
        <v>71.670593717854672</v>
      </c>
      <c r="Y3870" s="9">
        <v>71.670593717854672</v>
      </c>
      <c r="Z3870" s="9">
        <v>81.082684339640124</v>
      </c>
      <c r="AA3870" s="9">
        <v>81.082684339640124</v>
      </c>
      <c r="AB3870" s="9">
        <v>89.394521523604197</v>
      </c>
      <c r="AC3870" s="9">
        <v>89.394521523604197</v>
      </c>
      <c r="AD3870" s="9">
        <v>100.64015972511829</v>
      </c>
      <c r="AE3870" s="9">
        <v>111.62134673584954</v>
      </c>
      <c r="AF3870" s="9">
        <v>124.72674901989339</v>
      </c>
      <c r="AG3870" s="9">
        <v>124.72674901989339</v>
      </c>
      <c r="AH3870" s="9">
        <v>144.13642656805314</v>
      </c>
      <c r="AI3870" s="9">
        <v>157.75463032016435</v>
      </c>
      <c r="AJ3870" s="9">
        <v>3.0428788910505911</v>
      </c>
    </row>
    <row r="3871" spans="1:36" x14ac:dyDescent="0.25">
      <c r="A3871" t="s">
        <v>5411</v>
      </c>
      <c r="B3871" t="s">
        <v>16</v>
      </c>
      <c r="C3871" t="s">
        <v>17</v>
      </c>
      <c r="D3871">
        <v>68685000</v>
      </c>
      <c r="E3871">
        <v>68689999</v>
      </c>
      <c r="F3871" t="s">
        <v>3516</v>
      </c>
      <c r="G3871" t="str">
        <f t="shared" si="120"/>
        <v>PAR</v>
      </c>
      <c r="H3871" t="s">
        <v>3417</v>
      </c>
      <c r="I3871" t="s">
        <v>20</v>
      </c>
      <c r="J3871" t="s">
        <v>77</v>
      </c>
      <c r="K3871" s="6">
        <v>0.03</v>
      </c>
      <c r="L3871" s="7">
        <f t="shared" si="121"/>
        <v>2E-3</v>
      </c>
      <c r="M3871" s="7">
        <v>3.0000000000000001E-3</v>
      </c>
      <c r="N3871">
        <v>17</v>
      </c>
      <c r="O3871" s="8">
        <v>49.365095147237867</v>
      </c>
      <c r="P3871" s="9">
        <v>49.365095147237867</v>
      </c>
      <c r="Q3871" s="9">
        <v>49.365095147237867</v>
      </c>
      <c r="R3871" s="9">
        <v>50.770888721957412</v>
      </c>
      <c r="S3871" s="9">
        <v>52.200434315108524</v>
      </c>
      <c r="T3871" s="9">
        <v>52.412128096069225</v>
      </c>
      <c r="U3871" s="9">
        <v>59.043428948049694</v>
      </c>
      <c r="V3871" s="9">
        <v>59.043428948049694</v>
      </c>
      <c r="W3871" s="9">
        <v>59.043428948049694</v>
      </c>
      <c r="X3871" s="9">
        <v>71.670593717854672</v>
      </c>
      <c r="Y3871" s="9">
        <v>71.670593717854672</v>
      </c>
      <c r="Z3871" s="9">
        <v>81.082684339640124</v>
      </c>
      <c r="AA3871" s="9">
        <v>81.082684339640124</v>
      </c>
      <c r="AB3871" s="9">
        <v>89.394521523604197</v>
      </c>
      <c r="AC3871" s="9">
        <v>89.394521523604197</v>
      </c>
      <c r="AD3871" s="9">
        <v>100.64015972511829</v>
      </c>
      <c r="AE3871" s="9">
        <v>111.62134673584954</v>
      </c>
      <c r="AF3871" s="9">
        <v>124.72674901989339</v>
      </c>
      <c r="AG3871" s="9">
        <v>124.72674901989339</v>
      </c>
      <c r="AH3871" s="9">
        <v>144.13642656805314</v>
      </c>
      <c r="AI3871" s="9">
        <v>157.75463032016435</v>
      </c>
      <c r="AJ3871" s="9">
        <v>3.0428788910505911</v>
      </c>
    </row>
    <row r="3872" spans="1:36" x14ac:dyDescent="0.25">
      <c r="A3872" t="s">
        <v>5411</v>
      </c>
      <c r="B3872" t="s">
        <v>16</v>
      </c>
      <c r="C3872" t="s">
        <v>17</v>
      </c>
      <c r="D3872">
        <v>68690000</v>
      </c>
      <c r="E3872">
        <v>68694999</v>
      </c>
      <c r="F3872" t="s">
        <v>3517</v>
      </c>
      <c r="G3872" t="str">
        <f t="shared" si="120"/>
        <v>PAR</v>
      </c>
      <c r="H3872" t="s">
        <v>3417</v>
      </c>
      <c r="I3872" t="s">
        <v>20</v>
      </c>
      <c r="J3872" t="s">
        <v>77</v>
      </c>
      <c r="K3872" s="6">
        <v>0.03</v>
      </c>
      <c r="L3872" s="7">
        <f t="shared" si="121"/>
        <v>2E-3</v>
      </c>
      <c r="M3872" s="7">
        <v>3.0000000000000001E-3</v>
      </c>
      <c r="N3872">
        <v>17</v>
      </c>
      <c r="O3872" s="8">
        <v>49.365095147237867</v>
      </c>
      <c r="P3872" s="9">
        <v>49.365095147237867</v>
      </c>
      <c r="Q3872" s="9">
        <v>49.365095147237867</v>
      </c>
      <c r="R3872" s="9">
        <v>50.770888721957412</v>
      </c>
      <c r="S3872" s="9">
        <v>52.200434315108524</v>
      </c>
      <c r="T3872" s="9">
        <v>52.412128096069225</v>
      </c>
      <c r="U3872" s="9">
        <v>59.043428948049694</v>
      </c>
      <c r="V3872" s="9">
        <v>59.043428948049694</v>
      </c>
      <c r="W3872" s="9">
        <v>59.043428948049694</v>
      </c>
      <c r="X3872" s="9">
        <v>71.670593717854672</v>
      </c>
      <c r="Y3872" s="9">
        <v>71.670593717854672</v>
      </c>
      <c r="Z3872" s="9">
        <v>81.082684339640124</v>
      </c>
      <c r="AA3872" s="9">
        <v>81.082684339640124</v>
      </c>
      <c r="AB3872" s="9">
        <v>89.394521523604197</v>
      </c>
      <c r="AC3872" s="9">
        <v>89.394521523604197</v>
      </c>
      <c r="AD3872" s="9">
        <v>100.64015972511829</v>
      </c>
      <c r="AE3872" s="9">
        <v>111.62134673584954</v>
      </c>
      <c r="AF3872" s="9">
        <v>124.72674901989339</v>
      </c>
      <c r="AG3872" s="9">
        <v>124.72674901989339</v>
      </c>
      <c r="AH3872" s="9">
        <v>144.13642656805314</v>
      </c>
      <c r="AI3872" s="9">
        <v>157.75463032016435</v>
      </c>
      <c r="AJ3872" s="9">
        <v>3.0428788910505911</v>
      </c>
    </row>
    <row r="3873" spans="1:36" x14ac:dyDescent="0.25">
      <c r="A3873" t="s">
        <v>5411</v>
      </c>
      <c r="B3873" t="s">
        <v>16</v>
      </c>
      <c r="C3873" t="s">
        <v>17</v>
      </c>
      <c r="D3873">
        <v>68695000</v>
      </c>
      <c r="E3873">
        <v>68699999</v>
      </c>
      <c r="F3873" t="s">
        <v>3518</v>
      </c>
      <c r="G3873" t="str">
        <f t="shared" si="120"/>
        <v>PAR</v>
      </c>
      <c r="H3873" t="s">
        <v>3417</v>
      </c>
      <c r="I3873" t="s">
        <v>20</v>
      </c>
      <c r="J3873" t="s">
        <v>77</v>
      </c>
      <c r="K3873" s="6">
        <v>0.03</v>
      </c>
      <c r="L3873" s="7">
        <f t="shared" si="121"/>
        <v>2E-3</v>
      </c>
      <c r="M3873" s="7">
        <v>3.0000000000000001E-3</v>
      </c>
      <c r="N3873">
        <v>17</v>
      </c>
      <c r="O3873" s="8">
        <v>49.365095147237867</v>
      </c>
      <c r="P3873" s="9">
        <v>49.365095147237867</v>
      </c>
      <c r="Q3873" s="9">
        <v>49.365095147237867</v>
      </c>
      <c r="R3873" s="9">
        <v>50.770888721957412</v>
      </c>
      <c r="S3873" s="9">
        <v>52.200434315108524</v>
      </c>
      <c r="T3873" s="9">
        <v>52.412128096069225</v>
      </c>
      <c r="U3873" s="9">
        <v>59.043428948049694</v>
      </c>
      <c r="V3873" s="9">
        <v>59.043428948049694</v>
      </c>
      <c r="W3873" s="9">
        <v>59.043428948049694</v>
      </c>
      <c r="X3873" s="9">
        <v>71.670593717854672</v>
      </c>
      <c r="Y3873" s="9">
        <v>71.670593717854672</v>
      </c>
      <c r="Z3873" s="9">
        <v>81.082684339640124</v>
      </c>
      <c r="AA3873" s="9">
        <v>81.082684339640124</v>
      </c>
      <c r="AB3873" s="9">
        <v>89.394521523604197</v>
      </c>
      <c r="AC3873" s="9">
        <v>89.394521523604197</v>
      </c>
      <c r="AD3873" s="9">
        <v>100.64015972511829</v>
      </c>
      <c r="AE3873" s="9">
        <v>111.62134673584954</v>
      </c>
      <c r="AF3873" s="9">
        <v>124.72674901989339</v>
      </c>
      <c r="AG3873" s="9">
        <v>124.72674901989339</v>
      </c>
      <c r="AH3873" s="9">
        <v>144.13642656805314</v>
      </c>
      <c r="AI3873" s="9">
        <v>157.75463032016435</v>
      </c>
      <c r="AJ3873" s="9">
        <v>3.0428788910505911</v>
      </c>
    </row>
    <row r="3874" spans="1:36" x14ac:dyDescent="0.25">
      <c r="A3874" t="s">
        <v>5411</v>
      </c>
      <c r="B3874" t="s">
        <v>16</v>
      </c>
      <c r="C3874" t="s">
        <v>17</v>
      </c>
      <c r="D3874">
        <v>68700000</v>
      </c>
      <c r="E3874">
        <v>68706999</v>
      </c>
      <c r="F3874" t="s">
        <v>3519</v>
      </c>
      <c r="G3874" t="str">
        <f t="shared" si="120"/>
        <v>PAR</v>
      </c>
      <c r="H3874" t="s">
        <v>3417</v>
      </c>
      <c r="I3874" t="s">
        <v>20</v>
      </c>
      <c r="J3874" t="s">
        <v>77</v>
      </c>
      <c r="K3874" s="6">
        <v>0.03</v>
      </c>
      <c r="L3874" s="7">
        <f t="shared" si="121"/>
        <v>2E-3</v>
      </c>
      <c r="M3874" s="7">
        <v>3.0000000000000001E-3</v>
      </c>
      <c r="N3874">
        <v>17</v>
      </c>
      <c r="O3874" s="8">
        <v>49.365095147237867</v>
      </c>
      <c r="P3874" s="9">
        <v>49.365095147237867</v>
      </c>
      <c r="Q3874" s="9">
        <v>49.365095147237867</v>
      </c>
      <c r="R3874" s="9">
        <v>50.770888721957412</v>
      </c>
      <c r="S3874" s="9">
        <v>52.200434315108524</v>
      </c>
      <c r="T3874" s="9">
        <v>52.412128096069225</v>
      </c>
      <c r="U3874" s="9">
        <v>59.043428948049694</v>
      </c>
      <c r="V3874" s="9">
        <v>59.043428948049694</v>
      </c>
      <c r="W3874" s="9">
        <v>59.043428948049694</v>
      </c>
      <c r="X3874" s="9">
        <v>71.670593717854672</v>
      </c>
      <c r="Y3874" s="9">
        <v>71.670593717854672</v>
      </c>
      <c r="Z3874" s="9">
        <v>81.082684339640124</v>
      </c>
      <c r="AA3874" s="9">
        <v>81.082684339640124</v>
      </c>
      <c r="AB3874" s="9">
        <v>89.394521523604197</v>
      </c>
      <c r="AC3874" s="9">
        <v>89.394521523604197</v>
      </c>
      <c r="AD3874" s="9">
        <v>100.64015972511829</v>
      </c>
      <c r="AE3874" s="9">
        <v>111.62134673584954</v>
      </c>
      <c r="AF3874" s="9">
        <v>124.72674901989339</v>
      </c>
      <c r="AG3874" s="9">
        <v>124.72674901989339</v>
      </c>
      <c r="AH3874" s="9">
        <v>144.13642656805314</v>
      </c>
      <c r="AI3874" s="9">
        <v>157.75463032016435</v>
      </c>
      <c r="AJ3874" s="9">
        <v>3.0428788910505911</v>
      </c>
    </row>
    <row r="3875" spans="1:36" x14ac:dyDescent="0.25">
      <c r="A3875" t="s">
        <v>5411</v>
      </c>
      <c r="B3875" t="s">
        <v>16</v>
      </c>
      <c r="C3875" t="s">
        <v>17</v>
      </c>
      <c r="D3875">
        <v>68707000</v>
      </c>
      <c r="E3875">
        <v>68708999</v>
      </c>
      <c r="F3875" t="s">
        <v>2259</v>
      </c>
      <c r="G3875" t="str">
        <f t="shared" si="120"/>
        <v>PAR</v>
      </c>
      <c r="H3875" t="s">
        <v>3417</v>
      </c>
      <c r="I3875" t="s">
        <v>20</v>
      </c>
      <c r="J3875" t="s">
        <v>77</v>
      </c>
      <c r="K3875" s="6">
        <v>0.03</v>
      </c>
      <c r="L3875" s="7">
        <f t="shared" si="121"/>
        <v>2E-3</v>
      </c>
      <c r="M3875" s="7">
        <v>3.0000000000000001E-3</v>
      </c>
      <c r="N3875">
        <v>17</v>
      </c>
      <c r="O3875" s="8">
        <v>49.365095147237867</v>
      </c>
      <c r="P3875" s="9">
        <v>49.365095147237867</v>
      </c>
      <c r="Q3875" s="9">
        <v>49.365095147237867</v>
      </c>
      <c r="R3875" s="9">
        <v>50.770888721957412</v>
      </c>
      <c r="S3875" s="9">
        <v>52.200434315108524</v>
      </c>
      <c r="T3875" s="9">
        <v>52.412128096069225</v>
      </c>
      <c r="U3875" s="9">
        <v>59.043428948049694</v>
      </c>
      <c r="V3875" s="9">
        <v>59.043428948049694</v>
      </c>
      <c r="W3875" s="9">
        <v>59.043428948049694</v>
      </c>
      <c r="X3875" s="9">
        <v>71.670593717854672</v>
      </c>
      <c r="Y3875" s="9">
        <v>71.670593717854672</v>
      </c>
      <c r="Z3875" s="9">
        <v>81.082684339640124</v>
      </c>
      <c r="AA3875" s="9">
        <v>81.082684339640124</v>
      </c>
      <c r="AB3875" s="9">
        <v>89.394521523604197</v>
      </c>
      <c r="AC3875" s="9">
        <v>89.394521523604197</v>
      </c>
      <c r="AD3875" s="9">
        <v>100.64015972511829</v>
      </c>
      <c r="AE3875" s="9">
        <v>111.62134673584954</v>
      </c>
      <c r="AF3875" s="9">
        <v>124.72674901989339</v>
      </c>
      <c r="AG3875" s="9">
        <v>124.72674901989339</v>
      </c>
      <c r="AH3875" s="9">
        <v>144.13642656805314</v>
      </c>
      <c r="AI3875" s="9">
        <v>157.75463032016435</v>
      </c>
      <c r="AJ3875" s="9">
        <v>3.0428788910505911</v>
      </c>
    </row>
    <row r="3876" spans="1:36" x14ac:dyDescent="0.25">
      <c r="A3876" t="s">
        <v>5411</v>
      </c>
      <c r="B3876" t="s">
        <v>16</v>
      </c>
      <c r="C3876" t="s">
        <v>17</v>
      </c>
      <c r="D3876">
        <v>68709000</v>
      </c>
      <c r="E3876">
        <v>68709999</v>
      </c>
      <c r="F3876" t="s">
        <v>3520</v>
      </c>
      <c r="G3876" t="str">
        <f t="shared" si="120"/>
        <v>PAR</v>
      </c>
      <c r="H3876" t="s">
        <v>3417</v>
      </c>
      <c r="I3876" t="s">
        <v>20</v>
      </c>
      <c r="J3876" t="s">
        <v>77</v>
      </c>
      <c r="K3876" s="6">
        <v>0.03</v>
      </c>
      <c r="L3876" s="7">
        <f t="shared" si="121"/>
        <v>2E-3</v>
      </c>
      <c r="M3876" s="7">
        <v>3.0000000000000001E-3</v>
      </c>
      <c r="N3876">
        <v>17</v>
      </c>
      <c r="O3876" s="8">
        <v>49.365095147237867</v>
      </c>
      <c r="P3876" s="9">
        <v>49.365095147237867</v>
      </c>
      <c r="Q3876" s="9">
        <v>49.365095147237867</v>
      </c>
      <c r="R3876" s="9">
        <v>50.770888721957412</v>
      </c>
      <c r="S3876" s="9">
        <v>52.200434315108524</v>
      </c>
      <c r="T3876" s="9">
        <v>52.412128096069225</v>
      </c>
      <c r="U3876" s="9">
        <v>59.043428948049694</v>
      </c>
      <c r="V3876" s="9">
        <v>59.043428948049694</v>
      </c>
      <c r="W3876" s="9">
        <v>59.043428948049694</v>
      </c>
      <c r="X3876" s="9">
        <v>71.670593717854672</v>
      </c>
      <c r="Y3876" s="9">
        <v>71.670593717854672</v>
      </c>
      <c r="Z3876" s="9">
        <v>81.082684339640124</v>
      </c>
      <c r="AA3876" s="9">
        <v>81.082684339640124</v>
      </c>
      <c r="AB3876" s="9">
        <v>89.394521523604197</v>
      </c>
      <c r="AC3876" s="9">
        <v>89.394521523604197</v>
      </c>
      <c r="AD3876" s="9">
        <v>100.64015972511829</v>
      </c>
      <c r="AE3876" s="9">
        <v>111.62134673584954</v>
      </c>
      <c r="AF3876" s="9">
        <v>124.72674901989339</v>
      </c>
      <c r="AG3876" s="9">
        <v>124.72674901989339</v>
      </c>
      <c r="AH3876" s="9">
        <v>144.13642656805314</v>
      </c>
      <c r="AI3876" s="9">
        <v>157.75463032016435</v>
      </c>
      <c r="AJ3876" s="9">
        <v>3.0428788910505911</v>
      </c>
    </row>
    <row r="3877" spans="1:36" x14ac:dyDescent="0.25">
      <c r="A3877" t="s">
        <v>5411</v>
      </c>
      <c r="B3877" t="s">
        <v>16</v>
      </c>
      <c r="C3877" t="s">
        <v>17</v>
      </c>
      <c r="D3877">
        <v>68710000</v>
      </c>
      <c r="E3877">
        <v>68718999</v>
      </c>
      <c r="F3877" t="s">
        <v>3521</v>
      </c>
      <c r="G3877" t="str">
        <f t="shared" si="120"/>
        <v>PAR</v>
      </c>
      <c r="H3877" t="s">
        <v>3417</v>
      </c>
      <c r="I3877" t="s">
        <v>20</v>
      </c>
      <c r="J3877" t="s">
        <v>77</v>
      </c>
      <c r="K3877" s="6">
        <v>0.03</v>
      </c>
      <c r="L3877" s="7">
        <f t="shared" si="121"/>
        <v>2E-3</v>
      </c>
      <c r="M3877" s="7">
        <v>3.0000000000000001E-3</v>
      </c>
      <c r="N3877">
        <v>17</v>
      </c>
      <c r="O3877" s="8">
        <v>49.365095147237867</v>
      </c>
      <c r="P3877" s="9">
        <v>49.365095147237867</v>
      </c>
      <c r="Q3877" s="9">
        <v>49.365095147237867</v>
      </c>
      <c r="R3877" s="9">
        <v>50.770888721957412</v>
      </c>
      <c r="S3877" s="9">
        <v>52.200434315108524</v>
      </c>
      <c r="T3877" s="9">
        <v>52.412128096069225</v>
      </c>
      <c r="U3877" s="9">
        <v>59.043428948049694</v>
      </c>
      <c r="V3877" s="9">
        <v>59.043428948049694</v>
      </c>
      <c r="W3877" s="9">
        <v>59.043428948049694</v>
      </c>
      <c r="X3877" s="9">
        <v>71.670593717854672</v>
      </c>
      <c r="Y3877" s="9">
        <v>71.670593717854672</v>
      </c>
      <c r="Z3877" s="9">
        <v>81.082684339640124</v>
      </c>
      <c r="AA3877" s="9">
        <v>81.082684339640124</v>
      </c>
      <c r="AB3877" s="9">
        <v>89.394521523604197</v>
      </c>
      <c r="AC3877" s="9">
        <v>89.394521523604197</v>
      </c>
      <c r="AD3877" s="9">
        <v>100.64015972511829</v>
      </c>
      <c r="AE3877" s="9">
        <v>111.62134673584954</v>
      </c>
      <c r="AF3877" s="9">
        <v>124.72674901989339</v>
      </c>
      <c r="AG3877" s="9">
        <v>124.72674901989339</v>
      </c>
      <c r="AH3877" s="9">
        <v>144.13642656805314</v>
      </c>
      <c r="AI3877" s="9">
        <v>157.75463032016435</v>
      </c>
      <c r="AJ3877" s="9">
        <v>3.0428788910505911</v>
      </c>
    </row>
    <row r="3878" spans="1:36" x14ac:dyDescent="0.25">
      <c r="A3878" t="s">
        <v>5411</v>
      </c>
      <c r="B3878" t="s">
        <v>16</v>
      </c>
      <c r="C3878" t="s">
        <v>17</v>
      </c>
      <c r="D3878">
        <v>68719000</v>
      </c>
      <c r="E3878">
        <v>68719999</v>
      </c>
      <c r="F3878" t="s">
        <v>3522</v>
      </c>
      <c r="G3878" t="str">
        <f t="shared" si="120"/>
        <v>PAR</v>
      </c>
      <c r="H3878" t="s">
        <v>3417</v>
      </c>
      <c r="I3878" t="s">
        <v>20</v>
      </c>
      <c r="J3878" t="s">
        <v>77</v>
      </c>
      <c r="K3878" s="6">
        <v>0.03</v>
      </c>
      <c r="L3878" s="7">
        <f t="shared" si="121"/>
        <v>2E-3</v>
      </c>
      <c r="M3878" s="7">
        <v>3.0000000000000001E-3</v>
      </c>
      <c r="N3878">
        <v>17</v>
      </c>
      <c r="O3878" s="8">
        <v>49.365095147237867</v>
      </c>
      <c r="P3878" s="9">
        <v>49.365095147237867</v>
      </c>
      <c r="Q3878" s="9">
        <v>49.365095147237867</v>
      </c>
      <c r="R3878" s="9">
        <v>50.770888721957412</v>
      </c>
      <c r="S3878" s="9">
        <v>52.200434315108524</v>
      </c>
      <c r="T3878" s="9">
        <v>52.412128096069225</v>
      </c>
      <c r="U3878" s="9">
        <v>59.043428948049694</v>
      </c>
      <c r="V3878" s="9">
        <v>59.043428948049694</v>
      </c>
      <c r="W3878" s="9">
        <v>59.043428948049694</v>
      </c>
      <c r="X3878" s="9">
        <v>71.670593717854672</v>
      </c>
      <c r="Y3878" s="9">
        <v>71.670593717854672</v>
      </c>
      <c r="Z3878" s="9">
        <v>81.082684339640124</v>
      </c>
      <c r="AA3878" s="9">
        <v>81.082684339640124</v>
      </c>
      <c r="AB3878" s="9">
        <v>89.394521523604197</v>
      </c>
      <c r="AC3878" s="9">
        <v>89.394521523604197</v>
      </c>
      <c r="AD3878" s="9">
        <v>100.64015972511829</v>
      </c>
      <c r="AE3878" s="9">
        <v>111.62134673584954</v>
      </c>
      <c r="AF3878" s="9">
        <v>124.72674901989339</v>
      </c>
      <c r="AG3878" s="9">
        <v>124.72674901989339</v>
      </c>
      <c r="AH3878" s="9">
        <v>144.13642656805314</v>
      </c>
      <c r="AI3878" s="9">
        <v>157.75463032016435</v>
      </c>
      <c r="AJ3878" s="9">
        <v>3.0428788910505911</v>
      </c>
    </row>
    <row r="3879" spans="1:36" x14ac:dyDescent="0.25">
      <c r="A3879" t="s">
        <v>5411</v>
      </c>
      <c r="B3879" t="s">
        <v>16</v>
      </c>
      <c r="C3879" t="s">
        <v>17</v>
      </c>
      <c r="D3879">
        <v>68720000</v>
      </c>
      <c r="E3879">
        <v>68720999</v>
      </c>
      <c r="F3879" t="s">
        <v>3523</v>
      </c>
      <c r="G3879" t="str">
        <f t="shared" si="120"/>
        <v>PAR</v>
      </c>
      <c r="H3879" t="s">
        <v>3417</v>
      </c>
      <c r="I3879" t="s">
        <v>20</v>
      </c>
      <c r="J3879" t="s">
        <v>77</v>
      </c>
      <c r="K3879" s="6">
        <v>0.03</v>
      </c>
      <c r="L3879" s="7">
        <f t="shared" si="121"/>
        <v>2E-3</v>
      </c>
      <c r="M3879" s="7">
        <v>3.0000000000000001E-3</v>
      </c>
      <c r="N3879">
        <v>17</v>
      </c>
      <c r="O3879" s="8">
        <v>49.365095147237867</v>
      </c>
      <c r="P3879" s="9">
        <v>49.365095147237867</v>
      </c>
      <c r="Q3879" s="9">
        <v>49.365095147237867</v>
      </c>
      <c r="R3879" s="9">
        <v>50.770888721957412</v>
      </c>
      <c r="S3879" s="9">
        <v>52.200434315108524</v>
      </c>
      <c r="T3879" s="9">
        <v>52.412128096069225</v>
      </c>
      <c r="U3879" s="9">
        <v>59.043428948049694</v>
      </c>
      <c r="V3879" s="9">
        <v>59.043428948049694</v>
      </c>
      <c r="W3879" s="9">
        <v>59.043428948049694</v>
      </c>
      <c r="X3879" s="9">
        <v>71.670593717854672</v>
      </c>
      <c r="Y3879" s="9">
        <v>71.670593717854672</v>
      </c>
      <c r="Z3879" s="9">
        <v>81.082684339640124</v>
      </c>
      <c r="AA3879" s="9">
        <v>81.082684339640124</v>
      </c>
      <c r="AB3879" s="9">
        <v>89.394521523604197</v>
      </c>
      <c r="AC3879" s="9">
        <v>89.394521523604197</v>
      </c>
      <c r="AD3879" s="9">
        <v>100.64015972511829</v>
      </c>
      <c r="AE3879" s="9">
        <v>111.62134673584954</v>
      </c>
      <c r="AF3879" s="9">
        <v>124.72674901989339</v>
      </c>
      <c r="AG3879" s="9">
        <v>124.72674901989339</v>
      </c>
      <c r="AH3879" s="9">
        <v>144.13642656805314</v>
      </c>
      <c r="AI3879" s="9">
        <v>157.75463032016435</v>
      </c>
      <c r="AJ3879" s="9">
        <v>3.0428788910505911</v>
      </c>
    </row>
    <row r="3880" spans="1:36" x14ac:dyDescent="0.25">
      <c r="A3880" t="s">
        <v>5411</v>
      </c>
      <c r="B3880" t="s">
        <v>16</v>
      </c>
      <c r="C3880" t="s">
        <v>17</v>
      </c>
      <c r="D3880">
        <v>68721000</v>
      </c>
      <c r="E3880">
        <v>68721999</v>
      </c>
      <c r="F3880" t="s">
        <v>3524</v>
      </c>
      <c r="G3880" t="str">
        <f t="shared" si="120"/>
        <v>PAR</v>
      </c>
      <c r="H3880" t="s">
        <v>3417</v>
      </c>
      <c r="I3880" t="s">
        <v>20</v>
      </c>
      <c r="J3880" t="s">
        <v>77</v>
      </c>
      <c r="K3880" s="6">
        <v>0.03</v>
      </c>
      <c r="L3880" s="7">
        <f t="shared" si="121"/>
        <v>2E-3</v>
      </c>
      <c r="M3880" s="7">
        <v>3.0000000000000001E-3</v>
      </c>
      <c r="N3880">
        <v>17</v>
      </c>
      <c r="O3880" s="8">
        <v>49.365095147237867</v>
      </c>
      <c r="P3880" s="9">
        <v>49.365095147237867</v>
      </c>
      <c r="Q3880" s="9">
        <v>49.365095147237867</v>
      </c>
      <c r="R3880" s="9">
        <v>50.770888721957412</v>
      </c>
      <c r="S3880" s="9">
        <v>52.200434315108524</v>
      </c>
      <c r="T3880" s="9">
        <v>52.412128096069225</v>
      </c>
      <c r="U3880" s="9">
        <v>59.043428948049694</v>
      </c>
      <c r="V3880" s="9">
        <v>59.043428948049694</v>
      </c>
      <c r="W3880" s="9">
        <v>59.043428948049694</v>
      </c>
      <c r="X3880" s="9">
        <v>71.670593717854672</v>
      </c>
      <c r="Y3880" s="9">
        <v>71.670593717854672</v>
      </c>
      <c r="Z3880" s="9">
        <v>81.082684339640124</v>
      </c>
      <c r="AA3880" s="9">
        <v>81.082684339640124</v>
      </c>
      <c r="AB3880" s="9">
        <v>89.394521523604197</v>
      </c>
      <c r="AC3880" s="9">
        <v>89.394521523604197</v>
      </c>
      <c r="AD3880" s="9">
        <v>100.64015972511829</v>
      </c>
      <c r="AE3880" s="9">
        <v>111.62134673584954</v>
      </c>
      <c r="AF3880" s="9">
        <v>124.72674901989339</v>
      </c>
      <c r="AG3880" s="9">
        <v>124.72674901989339</v>
      </c>
      <c r="AH3880" s="9">
        <v>144.13642656805314</v>
      </c>
      <c r="AI3880" s="9">
        <v>157.75463032016435</v>
      </c>
      <c r="AJ3880" s="9">
        <v>3.0428788910505911</v>
      </c>
    </row>
    <row r="3881" spans="1:36" x14ac:dyDescent="0.25">
      <c r="A3881" t="s">
        <v>5411</v>
      </c>
      <c r="B3881" t="s">
        <v>16</v>
      </c>
      <c r="C3881" t="s">
        <v>17</v>
      </c>
      <c r="D3881">
        <v>68722000</v>
      </c>
      <c r="E3881">
        <v>68724999</v>
      </c>
      <c r="F3881" t="s">
        <v>3525</v>
      </c>
      <c r="G3881" t="str">
        <f t="shared" si="120"/>
        <v>PAR</v>
      </c>
      <c r="H3881" t="s">
        <v>3417</v>
      </c>
      <c r="I3881" t="s">
        <v>20</v>
      </c>
      <c r="J3881" t="s">
        <v>77</v>
      </c>
      <c r="K3881" s="6">
        <v>0.03</v>
      </c>
      <c r="L3881" s="7">
        <f t="shared" si="121"/>
        <v>2E-3</v>
      </c>
      <c r="M3881" s="7">
        <v>3.0000000000000001E-3</v>
      </c>
      <c r="N3881">
        <v>17</v>
      </c>
      <c r="O3881" s="8">
        <v>49.365095147237867</v>
      </c>
      <c r="P3881" s="9">
        <v>49.365095147237867</v>
      </c>
      <c r="Q3881" s="9">
        <v>49.365095147237867</v>
      </c>
      <c r="R3881" s="9">
        <v>50.770888721957412</v>
      </c>
      <c r="S3881" s="9">
        <v>52.200434315108524</v>
      </c>
      <c r="T3881" s="9">
        <v>52.412128096069225</v>
      </c>
      <c r="U3881" s="9">
        <v>59.043428948049694</v>
      </c>
      <c r="V3881" s="9">
        <v>59.043428948049694</v>
      </c>
      <c r="W3881" s="9">
        <v>59.043428948049694</v>
      </c>
      <c r="X3881" s="9">
        <v>71.670593717854672</v>
      </c>
      <c r="Y3881" s="9">
        <v>71.670593717854672</v>
      </c>
      <c r="Z3881" s="9">
        <v>81.082684339640124</v>
      </c>
      <c r="AA3881" s="9">
        <v>81.082684339640124</v>
      </c>
      <c r="AB3881" s="9">
        <v>89.394521523604197</v>
      </c>
      <c r="AC3881" s="9">
        <v>89.394521523604197</v>
      </c>
      <c r="AD3881" s="9">
        <v>100.64015972511829</v>
      </c>
      <c r="AE3881" s="9">
        <v>111.62134673584954</v>
      </c>
      <c r="AF3881" s="9">
        <v>124.72674901989339</v>
      </c>
      <c r="AG3881" s="9">
        <v>124.72674901989339</v>
      </c>
      <c r="AH3881" s="9">
        <v>144.13642656805314</v>
      </c>
      <c r="AI3881" s="9">
        <v>157.75463032016435</v>
      </c>
      <c r="AJ3881" s="9">
        <v>3.0428788910505911</v>
      </c>
    </row>
    <row r="3882" spans="1:36" x14ac:dyDescent="0.25">
      <c r="A3882" t="s">
        <v>5411</v>
      </c>
      <c r="B3882" t="s">
        <v>16</v>
      </c>
      <c r="C3882" t="s">
        <v>17</v>
      </c>
      <c r="D3882">
        <v>68725000</v>
      </c>
      <c r="E3882">
        <v>68729999</v>
      </c>
      <c r="F3882" t="s">
        <v>3526</v>
      </c>
      <c r="G3882" t="str">
        <f t="shared" si="120"/>
        <v>PAR</v>
      </c>
      <c r="H3882" t="s">
        <v>3417</v>
      </c>
      <c r="I3882" t="s">
        <v>20</v>
      </c>
      <c r="J3882" t="s">
        <v>77</v>
      </c>
      <c r="K3882" s="6">
        <v>0.03</v>
      </c>
      <c r="L3882" s="7">
        <f t="shared" si="121"/>
        <v>2E-3</v>
      </c>
      <c r="M3882" s="7">
        <v>3.0000000000000001E-3</v>
      </c>
      <c r="N3882">
        <v>17</v>
      </c>
      <c r="O3882" s="8">
        <v>49.365095147237867</v>
      </c>
      <c r="P3882" s="9">
        <v>49.365095147237867</v>
      </c>
      <c r="Q3882" s="9">
        <v>49.365095147237867</v>
      </c>
      <c r="R3882" s="9">
        <v>50.770888721957412</v>
      </c>
      <c r="S3882" s="9">
        <v>52.200434315108524</v>
      </c>
      <c r="T3882" s="9">
        <v>52.412128096069225</v>
      </c>
      <c r="U3882" s="9">
        <v>59.043428948049694</v>
      </c>
      <c r="V3882" s="9">
        <v>59.043428948049694</v>
      </c>
      <c r="W3882" s="9">
        <v>59.043428948049694</v>
      </c>
      <c r="X3882" s="9">
        <v>71.670593717854672</v>
      </c>
      <c r="Y3882" s="9">
        <v>71.670593717854672</v>
      </c>
      <c r="Z3882" s="9">
        <v>81.082684339640124</v>
      </c>
      <c r="AA3882" s="9">
        <v>81.082684339640124</v>
      </c>
      <c r="AB3882" s="9">
        <v>89.394521523604197</v>
      </c>
      <c r="AC3882" s="9">
        <v>89.394521523604197</v>
      </c>
      <c r="AD3882" s="9">
        <v>100.64015972511829</v>
      </c>
      <c r="AE3882" s="9">
        <v>111.62134673584954</v>
      </c>
      <c r="AF3882" s="9">
        <v>124.72674901989339</v>
      </c>
      <c r="AG3882" s="9">
        <v>124.72674901989339</v>
      </c>
      <c r="AH3882" s="9">
        <v>144.13642656805314</v>
      </c>
      <c r="AI3882" s="9">
        <v>157.75463032016435</v>
      </c>
      <c r="AJ3882" s="9">
        <v>3.0428788910505911</v>
      </c>
    </row>
    <row r="3883" spans="1:36" x14ac:dyDescent="0.25">
      <c r="A3883" t="s">
        <v>5411</v>
      </c>
      <c r="B3883" t="s">
        <v>16</v>
      </c>
      <c r="C3883" t="s">
        <v>17</v>
      </c>
      <c r="D3883">
        <v>68730000</v>
      </c>
      <c r="E3883">
        <v>68733999</v>
      </c>
      <c r="F3883" t="s">
        <v>3527</v>
      </c>
      <c r="G3883" t="str">
        <f t="shared" si="120"/>
        <v>PAR</v>
      </c>
      <c r="H3883" t="s">
        <v>3417</v>
      </c>
      <c r="I3883" t="s">
        <v>20</v>
      </c>
      <c r="J3883" t="s">
        <v>77</v>
      </c>
      <c r="K3883" s="6">
        <v>0.03</v>
      </c>
      <c r="L3883" s="7">
        <f t="shared" si="121"/>
        <v>2E-3</v>
      </c>
      <c r="M3883" s="7">
        <v>3.0000000000000001E-3</v>
      </c>
      <c r="N3883">
        <v>17</v>
      </c>
      <c r="O3883" s="8">
        <v>49.365095147237867</v>
      </c>
      <c r="P3883" s="9">
        <v>49.365095147237867</v>
      </c>
      <c r="Q3883" s="9">
        <v>49.365095147237867</v>
      </c>
      <c r="R3883" s="9">
        <v>50.770888721957412</v>
      </c>
      <c r="S3883" s="9">
        <v>52.200434315108524</v>
      </c>
      <c r="T3883" s="9">
        <v>52.412128096069225</v>
      </c>
      <c r="U3883" s="9">
        <v>59.043428948049694</v>
      </c>
      <c r="V3883" s="9">
        <v>59.043428948049694</v>
      </c>
      <c r="W3883" s="9">
        <v>59.043428948049694</v>
      </c>
      <c r="X3883" s="9">
        <v>71.670593717854672</v>
      </c>
      <c r="Y3883" s="9">
        <v>71.670593717854672</v>
      </c>
      <c r="Z3883" s="9">
        <v>81.082684339640124</v>
      </c>
      <c r="AA3883" s="9">
        <v>81.082684339640124</v>
      </c>
      <c r="AB3883" s="9">
        <v>89.394521523604197</v>
      </c>
      <c r="AC3883" s="9">
        <v>89.394521523604197</v>
      </c>
      <c r="AD3883" s="9">
        <v>100.64015972511829</v>
      </c>
      <c r="AE3883" s="9">
        <v>111.62134673584954</v>
      </c>
      <c r="AF3883" s="9">
        <v>124.72674901989339</v>
      </c>
      <c r="AG3883" s="9">
        <v>124.72674901989339</v>
      </c>
      <c r="AH3883" s="9">
        <v>144.13642656805314</v>
      </c>
      <c r="AI3883" s="9">
        <v>157.75463032016435</v>
      </c>
      <c r="AJ3883" s="9">
        <v>3.0428788910505911</v>
      </c>
    </row>
    <row r="3884" spans="1:36" x14ac:dyDescent="0.25">
      <c r="A3884" t="s">
        <v>5411</v>
      </c>
      <c r="B3884" t="s">
        <v>16</v>
      </c>
      <c r="C3884" t="s">
        <v>17</v>
      </c>
      <c r="D3884">
        <v>68734000</v>
      </c>
      <c r="E3884">
        <v>68737999</v>
      </c>
      <c r="F3884" t="s">
        <v>3528</v>
      </c>
      <c r="G3884" t="str">
        <f t="shared" si="120"/>
        <v>PAR</v>
      </c>
      <c r="H3884" t="s">
        <v>3417</v>
      </c>
      <c r="I3884" t="s">
        <v>20</v>
      </c>
      <c r="J3884" t="s">
        <v>77</v>
      </c>
      <c r="K3884" s="6">
        <v>0.03</v>
      </c>
      <c r="L3884" s="7">
        <f t="shared" si="121"/>
        <v>2E-3</v>
      </c>
      <c r="M3884" s="7">
        <v>3.0000000000000001E-3</v>
      </c>
      <c r="N3884">
        <v>17</v>
      </c>
      <c r="O3884" s="8">
        <v>49.365095147237867</v>
      </c>
      <c r="P3884" s="9">
        <v>49.365095147237867</v>
      </c>
      <c r="Q3884" s="9">
        <v>49.365095147237867</v>
      </c>
      <c r="R3884" s="9">
        <v>50.770888721957412</v>
      </c>
      <c r="S3884" s="9">
        <v>52.200434315108524</v>
      </c>
      <c r="T3884" s="9">
        <v>52.412128096069225</v>
      </c>
      <c r="U3884" s="9">
        <v>59.043428948049694</v>
      </c>
      <c r="V3884" s="9">
        <v>59.043428948049694</v>
      </c>
      <c r="W3884" s="9">
        <v>59.043428948049694</v>
      </c>
      <c r="X3884" s="9">
        <v>71.670593717854672</v>
      </c>
      <c r="Y3884" s="9">
        <v>71.670593717854672</v>
      </c>
      <c r="Z3884" s="9">
        <v>81.082684339640124</v>
      </c>
      <c r="AA3884" s="9">
        <v>81.082684339640124</v>
      </c>
      <c r="AB3884" s="9">
        <v>89.394521523604197</v>
      </c>
      <c r="AC3884" s="9">
        <v>89.394521523604197</v>
      </c>
      <c r="AD3884" s="9">
        <v>100.64015972511829</v>
      </c>
      <c r="AE3884" s="9">
        <v>111.62134673584954</v>
      </c>
      <c r="AF3884" s="9">
        <v>124.72674901989339</v>
      </c>
      <c r="AG3884" s="9">
        <v>124.72674901989339</v>
      </c>
      <c r="AH3884" s="9">
        <v>144.13642656805314</v>
      </c>
      <c r="AI3884" s="9">
        <v>157.75463032016435</v>
      </c>
      <c r="AJ3884" s="9">
        <v>3.0428788910505911</v>
      </c>
    </row>
    <row r="3885" spans="1:36" x14ac:dyDescent="0.25">
      <c r="A3885" t="s">
        <v>5411</v>
      </c>
      <c r="B3885" t="s">
        <v>16</v>
      </c>
      <c r="C3885" t="s">
        <v>17</v>
      </c>
      <c r="D3885">
        <v>68738000</v>
      </c>
      <c r="E3885">
        <v>68739999</v>
      </c>
      <c r="F3885" t="s">
        <v>3529</v>
      </c>
      <c r="G3885" t="str">
        <f t="shared" si="120"/>
        <v>PAR</v>
      </c>
      <c r="H3885" t="s">
        <v>3417</v>
      </c>
      <c r="I3885" t="s">
        <v>20</v>
      </c>
      <c r="J3885" t="s">
        <v>77</v>
      </c>
      <c r="K3885" s="6">
        <v>0.03</v>
      </c>
      <c r="L3885" s="7">
        <f t="shared" si="121"/>
        <v>2E-3</v>
      </c>
      <c r="M3885" s="7">
        <v>3.0000000000000001E-3</v>
      </c>
      <c r="N3885">
        <v>17</v>
      </c>
      <c r="O3885" s="8">
        <v>49.365095147237867</v>
      </c>
      <c r="P3885" s="9">
        <v>49.365095147237867</v>
      </c>
      <c r="Q3885" s="9">
        <v>49.365095147237867</v>
      </c>
      <c r="R3885" s="9">
        <v>50.770888721957412</v>
      </c>
      <c r="S3885" s="9">
        <v>52.200434315108524</v>
      </c>
      <c r="T3885" s="9">
        <v>52.412128096069225</v>
      </c>
      <c r="U3885" s="9">
        <v>59.043428948049694</v>
      </c>
      <c r="V3885" s="9">
        <v>59.043428948049694</v>
      </c>
      <c r="W3885" s="9">
        <v>59.043428948049694</v>
      </c>
      <c r="X3885" s="9">
        <v>71.670593717854672</v>
      </c>
      <c r="Y3885" s="9">
        <v>71.670593717854672</v>
      </c>
      <c r="Z3885" s="9">
        <v>81.082684339640124</v>
      </c>
      <c r="AA3885" s="9">
        <v>81.082684339640124</v>
      </c>
      <c r="AB3885" s="9">
        <v>89.394521523604197</v>
      </c>
      <c r="AC3885" s="9">
        <v>89.394521523604197</v>
      </c>
      <c r="AD3885" s="9">
        <v>100.64015972511829</v>
      </c>
      <c r="AE3885" s="9">
        <v>111.62134673584954</v>
      </c>
      <c r="AF3885" s="9">
        <v>124.72674901989339</v>
      </c>
      <c r="AG3885" s="9">
        <v>124.72674901989339</v>
      </c>
      <c r="AH3885" s="9">
        <v>144.13642656805314</v>
      </c>
      <c r="AI3885" s="9">
        <v>157.75463032016435</v>
      </c>
      <c r="AJ3885" s="9">
        <v>3.0428788910505911</v>
      </c>
    </row>
    <row r="3886" spans="1:36" x14ac:dyDescent="0.25">
      <c r="A3886" t="s">
        <v>5411</v>
      </c>
      <c r="B3886" t="s">
        <v>16</v>
      </c>
      <c r="C3886" t="s">
        <v>17</v>
      </c>
      <c r="D3886">
        <v>68740000</v>
      </c>
      <c r="E3886">
        <v>68747999</v>
      </c>
      <c r="F3886" t="s">
        <v>3530</v>
      </c>
      <c r="G3886" t="str">
        <f t="shared" si="120"/>
        <v>PAI II</v>
      </c>
      <c r="H3886" t="s">
        <v>3417</v>
      </c>
      <c r="I3886" t="s">
        <v>20</v>
      </c>
      <c r="J3886" t="s">
        <v>64</v>
      </c>
      <c r="K3886" s="6">
        <v>0.03</v>
      </c>
      <c r="L3886" s="7">
        <f t="shared" si="121"/>
        <v>2E-3</v>
      </c>
      <c r="M3886" s="7">
        <v>3.0000000000000001E-3</v>
      </c>
      <c r="N3886">
        <v>15</v>
      </c>
      <c r="O3886" s="8">
        <v>29.265010066285189</v>
      </c>
      <c r="P3886" s="9">
        <v>29.265010066285189</v>
      </c>
      <c r="Q3886" s="9">
        <v>29.265010066285189</v>
      </c>
      <c r="R3886" s="9">
        <v>29.808934048915802</v>
      </c>
      <c r="S3886" s="9">
        <v>30.249224367117225</v>
      </c>
      <c r="T3886" s="9">
        <v>30.765556355079035</v>
      </c>
      <c r="U3886" s="9">
        <v>39.457963973958975</v>
      </c>
      <c r="V3886" s="9">
        <v>39.457963973958975</v>
      </c>
      <c r="W3886" s="9">
        <v>39.457963973958975</v>
      </c>
      <c r="X3886" s="9">
        <v>49.189335193548523</v>
      </c>
      <c r="Y3886" s="9">
        <v>49.189335193548523</v>
      </c>
      <c r="Z3886" s="9">
        <v>59.021072871873201</v>
      </c>
      <c r="AA3886" s="9">
        <v>59.021072871873201</v>
      </c>
      <c r="AB3886" s="9">
        <v>68.963213654806424</v>
      </c>
      <c r="AC3886" s="9">
        <v>68.963213654806424</v>
      </c>
      <c r="AD3886" s="9">
        <v>80.988013814636687</v>
      </c>
      <c r="AE3886" s="9">
        <v>90.402927149467544</v>
      </c>
      <c r="AF3886" s="9">
        <v>99.950154291619398</v>
      </c>
      <c r="AG3886" s="9">
        <v>99.950154291619398</v>
      </c>
      <c r="AH3886" s="9">
        <v>110.50371811060836</v>
      </c>
      <c r="AI3886" s="9">
        <v>120.12356451319805</v>
      </c>
      <c r="AJ3886" s="9">
        <v>3.0428788910505911</v>
      </c>
    </row>
    <row r="3887" spans="1:36" x14ac:dyDescent="0.25">
      <c r="A3887" t="s">
        <v>5411</v>
      </c>
      <c r="B3887" t="s">
        <v>16</v>
      </c>
      <c r="C3887" t="s">
        <v>17</v>
      </c>
      <c r="D3887">
        <v>68748000</v>
      </c>
      <c r="E3887">
        <v>68749999</v>
      </c>
      <c r="F3887" t="s">
        <v>3531</v>
      </c>
      <c r="G3887" t="str">
        <f t="shared" si="120"/>
        <v>PAR</v>
      </c>
      <c r="H3887" t="s">
        <v>3417</v>
      </c>
      <c r="I3887" t="s">
        <v>20</v>
      </c>
      <c r="J3887" t="s">
        <v>77</v>
      </c>
      <c r="K3887" s="6">
        <v>0.03</v>
      </c>
      <c r="L3887" s="7">
        <f t="shared" si="121"/>
        <v>2E-3</v>
      </c>
      <c r="M3887" s="7">
        <v>3.0000000000000001E-3</v>
      </c>
      <c r="N3887">
        <v>17</v>
      </c>
      <c r="O3887" s="8">
        <v>49.365095147237867</v>
      </c>
      <c r="P3887" s="9">
        <v>49.365095147237867</v>
      </c>
      <c r="Q3887" s="9">
        <v>49.365095147237867</v>
      </c>
      <c r="R3887" s="9">
        <v>50.770888721957412</v>
      </c>
      <c r="S3887" s="9">
        <v>52.200434315108524</v>
      </c>
      <c r="T3887" s="9">
        <v>52.412128096069225</v>
      </c>
      <c r="U3887" s="9">
        <v>59.043428948049694</v>
      </c>
      <c r="V3887" s="9">
        <v>59.043428948049694</v>
      </c>
      <c r="W3887" s="9">
        <v>59.043428948049694</v>
      </c>
      <c r="X3887" s="9">
        <v>71.670593717854672</v>
      </c>
      <c r="Y3887" s="9">
        <v>71.670593717854672</v>
      </c>
      <c r="Z3887" s="9">
        <v>81.082684339640124</v>
      </c>
      <c r="AA3887" s="9">
        <v>81.082684339640124</v>
      </c>
      <c r="AB3887" s="9">
        <v>89.394521523604197</v>
      </c>
      <c r="AC3887" s="9">
        <v>89.394521523604197</v>
      </c>
      <c r="AD3887" s="9">
        <v>100.64015972511829</v>
      </c>
      <c r="AE3887" s="9">
        <v>111.62134673584954</v>
      </c>
      <c r="AF3887" s="9">
        <v>124.72674901989339</v>
      </c>
      <c r="AG3887" s="9">
        <v>124.72674901989339</v>
      </c>
      <c r="AH3887" s="9">
        <v>144.13642656805314</v>
      </c>
      <c r="AI3887" s="9">
        <v>157.75463032016435</v>
      </c>
      <c r="AJ3887" s="9">
        <v>3.0428788910505911</v>
      </c>
    </row>
    <row r="3888" spans="1:36" x14ac:dyDescent="0.25">
      <c r="A3888" t="s">
        <v>5411</v>
      </c>
      <c r="B3888" t="s">
        <v>16</v>
      </c>
      <c r="C3888" t="s">
        <v>17</v>
      </c>
      <c r="D3888">
        <v>68750000</v>
      </c>
      <c r="E3888">
        <v>68759999</v>
      </c>
      <c r="F3888" t="s">
        <v>3532</v>
      </c>
      <c r="G3888" t="str">
        <f t="shared" si="120"/>
        <v>PAR</v>
      </c>
      <c r="H3888" t="s">
        <v>3417</v>
      </c>
      <c r="I3888" t="s">
        <v>20</v>
      </c>
      <c r="J3888" t="s">
        <v>77</v>
      </c>
      <c r="K3888" s="6">
        <v>0.03</v>
      </c>
      <c r="L3888" s="7">
        <f t="shared" si="121"/>
        <v>2E-3</v>
      </c>
      <c r="M3888" s="7">
        <v>3.0000000000000001E-3</v>
      </c>
      <c r="N3888">
        <v>17</v>
      </c>
      <c r="O3888" s="8">
        <v>49.365095147237867</v>
      </c>
      <c r="P3888" s="9">
        <v>49.365095147237867</v>
      </c>
      <c r="Q3888" s="9">
        <v>49.365095147237867</v>
      </c>
      <c r="R3888" s="9">
        <v>50.770888721957412</v>
      </c>
      <c r="S3888" s="9">
        <v>52.200434315108524</v>
      </c>
      <c r="T3888" s="9">
        <v>52.412128096069225</v>
      </c>
      <c r="U3888" s="9">
        <v>59.043428948049694</v>
      </c>
      <c r="V3888" s="9">
        <v>59.043428948049694</v>
      </c>
      <c r="W3888" s="9">
        <v>59.043428948049694</v>
      </c>
      <c r="X3888" s="9">
        <v>71.670593717854672</v>
      </c>
      <c r="Y3888" s="9">
        <v>71.670593717854672</v>
      </c>
      <c r="Z3888" s="9">
        <v>81.082684339640124</v>
      </c>
      <c r="AA3888" s="9">
        <v>81.082684339640124</v>
      </c>
      <c r="AB3888" s="9">
        <v>89.394521523604197</v>
      </c>
      <c r="AC3888" s="9">
        <v>89.394521523604197</v>
      </c>
      <c r="AD3888" s="9">
        <v>100.64015972511829</v>
      </c>
      <c r="AE3888" s="9">
        <v>111.62134673584954</v>
      </c>
      <c r="AF3888" s="9">
        <v>124.72674901989339</v>
      </c>
      <c r="AG3888" s="9">
        <v>124.72674901989339</v>
      </c>
      <c r="AH3888" s="9">
        <v>144.13642656805314</v>
      </c>
      <c r="AI3888" s="9">
        <v>157.75463032016435</v>
      </c>
      <c r="AJ3888" s="9">
        <v>3.0428788910505911</v>
      </c>
    </row>
    <row r="3889" spans="1:36" x14ac:dyDescent="0.25">
      <c r="A3889" t="s">
        <v>5411</v>
      </c>
      <c r="B3889" t="s">
        <v>16</v>
      </c>
      <c r="C3889" t="s">
        <v>17</v>
      </c>
      <c r="D3889">
        <v>68760000</v>
      </c>
      <c r="E3889">
        <v>68769999</v>
      </c>
      <c r="F3889" t="s">
        <v>3533</v>
      </c>
      <c r="G3889" t="str">
        <f t="shared" si="120"/>
        <v>PAR</v>
      </c>
      <c r="H3889" t="s">
        <v>3417</v>
      </c>
      <c r="I3889" t="s">
        <v>20</v>
      </c>
      <c r="J3889" t="s">
        <v>77</v>
      </c>
      <c r="K3889" s="6">
        <v>0.03</v>
      </c>
      <c r="L3889" s="7">
        <f t="shared" si="121"/>
        <v>2E-3</v>
      </c>
      <c r="M3889" s="7">
        <v>3.0000000000000001E-3</v>
      </c>
      <c r="N3889">
        <v>17</v>
      </c>
      <c r="O3889" s="8">
        <v>49.365095147237867</v>
      </c>
      <c r="P3889" s="9">
        <v>49.365095147237867</v>
      </c>
      <c r="Q3889" s="9">
        <v>49.365095147237867</v>
      </c>
      <c r="R3889" s="9">
        <v>50.770888721957412</v>
      </c>
      <c r="S3889" s="9">
        <v>52.200434315108524</v>
      </c>
      <c r="T3889" s="9">
        <v>52.412128096069225</v>
      </c>
      <c r="U3889" s="9">
        <v>59.043428948049694</v>
      </c>
      <c r="V3889" s="9">
        <v>59.043428948049694</v>
      </c>
      <c r="W3889" s="9">
        <v>59.043428948049694</v>
      </c>
      <c r="X3889" s="9">
        <v>71.670593717854672</v>
      </c>
      <c r="Y3889" s="9">
        <v>71.670593717854672</v>
      </c>
      <c r="Z3889" s="9">
        <v>81.082684339640124</v>
      </c>
      <c r="AA3889" s="9">
        <v>81.082684339640124</v>
      </c>
      <c r="AB3889" s="9">
        <v>89.394521523604197</v>
      </c>
      <c r="AC3889" s="9">
        <v>89.394521523604197</v>
      </c>
      <c r="AD3889" s="9">
        <v>100.64015972511829</v>
      </c>
      <c r="AE3889" s="9">
        <v>111.62134673584954</v>
      </c>
      <c r="AF3889" s="9">
        <v>124.72674901989339</v>
      </c>
      <c r="AG3889" s="9">
        <v>124.72674901989339</v>
      </c>
      <c r="AH3889" s="9">
        <v>144.13642656805314</v>
      </c>
      <c r="AI3889" s="9">
        <v>157.75463032016435</v>
      </c>
      <c r="AJ3889" s="9">
        <v>3.0428788910505911</v>
      </c>
    </row>
    <row r="3890" spans="1:36" x14ac:dyDescent="0.25">
      <c r="A3890" t="s">
        <v>5411</v>
      </c>
      <c r="B3890" t="s">
        <v>16</v>
      </c>
      <c r="C3890" t="s">
        <v>17</v>
      </c>
      <c r="D3890">
        <v>68770000</v>
      </c>
      <c r="E3890">
        <v>68772999</v>
      </c>
      <c r="F3890" t="s">
        <v>3534</v>
      </c>
      <c r="G3890" t="str">
        <f t="shared" si="120"/>
        <v>PAR</v>
      </c>
      <c r="H3890" t="s">
        <v>3417</v>
      </c>
      <c r="I3890" t="s">
        <v>20</v>
      </c>
      <c r="J3890" t="s">
        <v>77</v>
      </c>
      <c r="K3890" s="6">
        <v>0.03</v>
      </c>
      <c r="L3890" s="7">
        <f t="shared" si="121"/>
        <v>2E-3</v>
      </c>
      <c r="M3890" s="7">
        <v>3.0000000000000001E-3</v>
      </c>
      <c r="N3890">
        <v>17</v>
      </c>
      <c r="O3890" s="8">
        <v>49.365095147237867</v>
      </c>
      <c r="P3890" s="9">
        <v>49.365095147237867</v>
      </c>
      <c r="Q3890" s="9">
        <v>49.365095147237867</v>
      </c>
      <c r="R3890" s="9">
        <v>50.770888721957412</v>
      </c>
      <c r="S3890" s="9">
        <v>52.200434315108524</v>
      </c>
      <c r="T3890" s="9">
        <v>52.412128096069225</v>
      </c>
      <c r="U3890" s="9">
        <v>59.043428948049694</v>
      </c>
      <c r="V3890" s="9">
        <v>59.043428948049694</v>
      </c>
      <c r="W3890" s="9">
        <v>59.043428948049694</v>
      </c>
      <c r="X3890" s="9">
        <v>71.670593717854672</v>
      </c>
      <c r="Y3890" s="9">
        <v>71.670593717854672</v>
      </c>
      <c r="Z3890" s="9">
        <v>81.082684339640124</v>
      </c>
      <c r="AA3890" s="9">
        <v>81.082684339640124</v>
      </c>
      <c r="AB3890" s="9">
        <v>89.394521523604197</v>
      </c>
      <c r="AC3890" s="9">
        <v>89.394521523604197</v>
      </c>
      <c r="AD3890" s="9">
        <v>100.64015972511829</v>
      </c>
      <c r="AE3890" s="9">
        <v>111.62134673584954</v>
      </c>
      <c r="AF3890" s="9">
        <v>124.72674901989339</v>
      </c>
      <c r="AG3890" s="9">
        <v>124.72674901989339</v>
      </c>
      <c r="AH3890" s="9">
        <v>144.13642656805314</v>
      </c>
      <c r="AI3890" s="9">
        <v>157.75463032016435</v>
      </c>
      <c r="AJ3890" s="9">
        <v>3.0428788910505911</v>
      </c>
    </row>
    <row r="3891" spans="1:36" x14ac:dyDescent="0.25">
      <c r="A3891" t="s">
        <v>5411</v>
      </c>
      <c r="B3891" t="s">
        <v>16</v>
      </c>
      <c r="C3891" t="s">
        <v>17</v>
      </c>
      <c r="D3891">
        <v>68773000</v>
      </c>
      <c r="E3891">
        <v>68773999</v>
      </c>
      <c r="F3891" t="s">
        <v>3535</v>
      </c>
      <c r="G3891" t="str">
        <f t="shared" si="120"/>
        <v>PAR</v>
      </c>
      <c r="H3891" t="s">
        <v>3417</v>
      </c>
      <c r="I3891" t="s">
        <v>20</v>
      </c>
      <c r="J3891" t="s">
        <v>77</v>
      </c>
      <c r="K3891" s="6">
        <v>0.03</v>
      </c>
      <c r="L3891" s="7">
        <f t="shared" si="121"/>
        <v>2E-3</v>
      </c>
      <c r="M3891" s="7">
        <v>3.0000000000000001E-3</v>
      </c>
      <c r="N3891">
        <v>17</v>
      </c>
      <c r="O3891" s="8">
        <v>49.365095147237867</v>
      </c>
      <c r="P3891" s="9">
        <v>49.365095147237867</v>
      </c>
      <c r="Q3891" s="9">
        <v>49.365095147237867</v>
      </c>
      <c r="R3891" s="9">
        <v>50.770888721957412</v>
      </c>
      <c r="S3891" s="9">
        <v>52.200434315108524</v>
      </c>
      <c r="T3891" s="9">
        <v>52.412128096069225</v>
      </c>
      <c r="U3891" s="9">
        <v>59.043428948049694</v>
      </c>
      <c r="V3891" s="9">
        <v>59.043428948049694</v>
      </c>
      <c r="W3891" s="9">
        <v>59.043428948049694</v>
      </c>
      <c r="X3891" s="9">
        <v>71.670593717854672</v>
      </c>
      <c r="Y3891" s="9">
        <v>71.670593717854672</v>
      </c>
      <c r="Z3891" s="9">
        <v>81.082684339640124</v>
      </c>
      <c r="AA3891" s="9">
        <v>81.082684339640124</v>
      </c>
      <c r="AB3891" s="9">
        <v>89.394521523604197</v>
      </c>
      <c r="AC3891" s="9">
        <v>89.394521523604197</v>
      </c>
      <c r="AD3891" s="9">
        <v>100.64015972511829</v>
      </c>
      <c r="AE3891" s="9">
        <v>111.62134673584954</v>
      </c>
      <c r="AF3891" s="9">
        <v>124.72674901989339</v>
      </c>
      <c r="AG3891" s="9">
        <v>124.72674901989339</v>
      </c>
      <c r="AH3891" s="9">
        <v>144.13642656805314</v>
      </c>
      <c r="AI3891" s="9">
        <v>157.75463032016435</v>
      </c>
      <c r="AJ3891" s="9">
        <v>3.0428788910505911</v>
      </c>
    </row>
    <row r="3892" spans="1:36" x14ac:dyDescent="0.25">
      <c r="A3892" t="s">
        <v>5411</v>
      </c>
      <c r="B3892" t="s">
        <v>16</v>
      </c>
      <c r="C3892" t="s">
        <v>17</v>
      </c>
      <c r="D3892">
        <v>68774000</v>
      </c>
      <c r="E3892">
        <v>68774999</v>
      </c>
      <c r="F3892" t="s">
        <v>3536</v>
      </c>
      <c r="G3892" t="str">
        <f t="shared" si="120"/>
        <v>PAR</v>
      </c>
      <c r="H3892" t="s">
        <v>3417</v>
      </c>
      <c r="I3892" t="s">
        <v>20</v>
      </c>
      <c r="J3892" t="s">
        <v>77</v>
      </c>
      <c r="K3892" s="6">
        <v>0.03</v>
      </c>
      <c r="L3892" s="7">
        <f t="shared" si="121"/>
        <v>2E-3</v>
      </c>
      <c r="M3892" s="7">
        <v>3.0000000000000001E-3</v>
      </c>
      <c r="N3892">
        <v>17</v>
      </c>
      <c r="O3892" s="8">
        <v>49.365095147237867</v>
      </c>
      <c r="P3892" s="9">
        <v>49.365095147237867</v>
      </c>
      <c r="Q3892" s="9">
        <v>49.365095147237867</v>
      </c>
      <c r="R3892" s="9">
        <v>50.770888721957412</v>
      </c>
      <c r="S3892" s="9">
        <v>52.200434315108524</v>
      </c>
      <c r="T3892" s="9">
        <v>52.412128096069225</v>
      </c>
      <c r="U3892" s="9">
        <v>59.043428948049694</v>
      </c>
      <c r="V3892" s="9">
        <v>59.043428948049694</v>
      </c>
      <c r="W3892" s="9">
        <v>59.043428948049694</v>
      </c>
      <c r="X3892" s="9">
        <v>71.670593717854672</v>
      </c>
      <c r="Y3892" s="9">
        <v>71.670593717854672</v>
      </c>
      <c r="Z3892" s="9">
        <v>81.082684339640124</v>
      </c>
      <c r="AA3892" s="9">
        <v>81.082684339640124</v>
      </c>
      <c r="AB3892" s="9">
        <v>89.394521523604197</v>
      </c>
      <c r="AC3892" s="9">
        <v>89.394521523604197</v>
      </c>
      <c r="AD3892" s="9">
        <v>100.64015972511829</v>
      </c>
      <c r="AE3892" s="9">
        <v>111.62134673584954</v>
      </c>
      <c r="AF3892" s="9">
        <v>124.72674901989339</v>
      </c>
      <c r="AG3892" s="9">
        <v>124.72674901989339</v>
      </c>
      <c r="AH3892" s="9">
        <v>144.13642656805314</v>
      </c>
      <c r="AI3892" s="9">
        <v>157.75463032016435</v>
      </c>
      <c r="AJ3892" s="9">
        <v>3.0428788910505911</v>
      </c>
    </row>
    <row r="3893" spans="1:36" x14ac:dyDescent="0.25">
      <c r="A3893" t="s">
        <v>5411</v>
      </c>
      <c r="B3893" t="s">
        <v>16</v>
      </c>
      <c r="C3893" t="s">
        <v>17</v>
      </c>
      <c r="D3893">
        <v>68775000</v>
      </c>
      <c r="E3893">
        <v>68779999</v>
      </c>
      <c r="F3893" t="s">
        <v>3537</v>
      </c>
      <c r="G3893" t="str">
        <f t="shared" si="120"/>
        <v>PAR</v>
      </c>
      <c r="H3893" t="s">
        <v>3417</v>
      </c>
      <c r="I3893" t="s">
        <v>20</v>
      </c>
      <c r="J3893" t="s">
        <v>77</v>
      </c>
      <c r="K3893" s="6">
        <v>0.03</v>
      </c>
      <c r="L3893" s="7">
        <f t="shared" si="121"/>
        <v>2E-3</v>
      </c>
      <c r="M3893" s="7">
        <v>3.0000000000000001E-3</v>
      </c>
      <c r="N3893">
        <v>17</v>
      </c>
      <c r="O3893" s="8">
        <v>49.365095147237867</v>
      </c>
      <c r="P3893" s="9">
        <v>49.365095147237867</v>
      </c>
      <c r="Q3893" s="9">
        <v>49.365095147237867</v>
      </c>
      <c r="R3893" s="9">
        <v>50.770888721957412</v>
      </c>
      <c r="S3893" s="9">
        <v>52.200434315108524</v>
      </c>
      <c r="T3893" s="9">
        <v>52.412128096069225</v>
      </c>
      <c r="U3893" s="9">
        <v>59.043428948049694</v>
      </c>
      <c r="V3893" s="9">
        <v>59.043428948049694</v>
      </c>
      <c r="W3893" s="9">
        <v>59.043428948049694</v>
      </c>
      <c r="X3893" s="9">
        <v>71.670593717854672</v>
      </c>
      <c r="Y3893" s="9">
        <v>71.670593717854672</v>
      </c>
      <c r="Z3893" s="9">
        <v>81.082684339640124</v>
      </c>
      <c r="AA3893" s="9">
        <v>81.082684339640124</v>
      </c>
      <c r="AB3893" s="9">
        <v>89.394521523604197</v>
      </c>
      <c r="AC3893" s="9">
        <v>89.394521523604197</v>
      </c>
      <c r="AD3893" s="9">
        <v>100.64015972511829</v>
      </c>
      <c r="AE3893" s="9">
        <v>111.62134673584954</v>
      </c>
      <c r="AF3893" s="9">
        <v>124.72674901989339</v>
      </c>
      <c r="AG3893" s="9">
        <v>124.72674901989339</v>
      </c>
      <c r="AH3893" s="9">
        <v>144.13642656805314</v>
      </c>
      <c r="AI3893" s="9">
        <v>157.75463032016435</v>
      </c>
      <c r="AJ3893" s="9">
        <v>3.0428788910505911</v>
      </c>
    </row>
    <row r="3894" spans="1:36" x14ac:dyDescent="0.25">
      <c r="A3894" t="s">
        <v>5411</v>
      </c>
      <c r="B3894" t="s">
        <v>16</v>
      </c>
      <c r="C3894" t="s">
        <v>17</v>
      </c>
      <c r="D3894">
        <v>68780000</v>
      </c>
      <c r="E3894">
        <v>68784999</v>
      </c>
      <c r="F3894" t="s">
        <v>3538</v>
      </c>
      <c r="G3894" t="str">
        <f t="shared" si="120"/>
        <v>PAR</v>
      </c>
      <c r="H3894" t="s">
        <v>3417</v>
      </c>
      <c r="I3894" t="s">
        <v>20</v>
      </c>
      <c r="J3894" t="s">
        <v>77</v>
      </c>
      <c r="K3894" s="6">
        <v>0.03</v>
      </c>
      <c r="L3894" s="7">
        <f t="shared" si="121"/>
        <v>2E-3</v>
      </c>
      <c r="M3894" s="7">
        <v>3.0000000000000001E-3</v>
      </c>
      <c r="N3894">
        <v>17</v>
      </c>
      <c r="O3894" s="8">
        <v>49.365095147237867</v>
      </c>
      <c r="P3894" s="9">
        <v>49.365095147237867</v>
      </c>
      <c r="Q3894" s="9">
        <v>49.365095147237867</v>
      </c>
      <c r="R3894" s="9">
        <v>50.770888721957412</v>
      </c>
      <c r="S3894" s="9">
        <v>52.200434315108524</v>
      </c>
      <c r="T3894" s="9">
        <v>52.412128096069225</v>
      </c>
      <c r="U3894" s="9">
        <v>59.043428948049694</v>
      </c>
      <c r="V3894" s="9">
        <v>59.043428948049694</v>
      </c>
      <c r="W3894" s="9">
        <v>59.043428948049694</v>
      </c>
      <c r="X3894" s="9">
        <v>71.670593717854672</v>
      </c>
      <c r="Y3894" s="9">
        <v>71.670593717854672</v>
      </c>
      <c r="Z3894" s="9">
        <v>81.082684339640124</v>
      </c>
      <c r="AA3894" s="9">
        <v>81.082684339640124</v>
      </c>
      <c r="AB3894" s="9">
        <v>89.394521523604197</v>
      </c>
      <c r="AC3894" s="9">
        <v>89.394521523604197</v>
      </c>
      <c r="AD3894" s="9">
        <v>100.64015972511829</v>
      </c>
      <c r="AE3894" s="9">
        <v>111.62134673584954</v>
      </c>
      <c r="AF3894" s="9">
        <v>124.72674901989339</v>
      </c>
      <c r="AG3894" s="9">
        <v>124.72674901989339</v>
      </c>
      <c r="AH3894" s="9">
        <v>144.13642656805314</v>
      </c>
      <c r="AI3894" s="9">
        <v>157.75463032016435</v>
      </c>
      <c r="AJ3894" s="9">
        <v>3.0428788910505911</v>
      </c>
    </row>
    <row r="3895" spans="1:36" x14ac:dyDescent="0.25">
      <c r="A3895" t="s">
        <v>5411</v>
      </c>
      <c r="B3895" t="s">
        <v>16</v>
      </c>
      <c r="C3895" t="s">
        <v>17</v>
      </c>
      <c r="D3895">
        <v>68785000</v>
      </c>
      <c r="E3895">
        <v>68785999</v>
      </c>
      <c r="F3895" t="s">
        <v>3539</v>
      </c>
      <c r="G3895" t="str">
        <f t="shared" si="120"/>
        <v>PAR</v>
      </c>
      <c r="H3895" t="s">
        <v>3417</v>
      </c>
      <c r="I3895" t="s">
        <v>20</v>
      </c>
      <c r="J3895" t="s">
        <v>77</v>
      </c>
      <c r="K3895" s="6">
        <v>0.03</v>
      </c>
      <c r="L3895" s="7">
        <f t="shared" si="121"/>
        <v>2E-3</v>
      </c>
      <c r="M3895" s="7">
        <v>3.0000000000000001E-3</v>
      </c>
      <c r="N3895">
        <v>17</v>
      </c>
      <c r="O3895" s="8">
        <v>49.365095147237867</v>
      </c>
      <c r="P3895" s="9">
        <v>49.365095147237867</v>
      </c>
      <c r="Q3895" s="9">
        <v>49.365095147237867</v>
      </c>
      <c r="R3895" s="9">
        <v>50.770888721957412</v>
      </c>
      <c r="S3895" s="9">
        <v>52.200434315108524</v>
      </c>
      <c r="T3895" s="9">
        <v>52.412128096069225</v>
      </c>
      <c r="U3895" s="9">
        <v>59.043428948049694</v>
      </c>
      <c r="V3895" s="9">
        <v>59.043428948049694</v>
      </c>
      <c r="W3895" s="9">
        <v>59.043428948049694</v>
      </c>
      <c r="X3895" s="9">
        <v>71.670593717854672</v>
      </c>
      <c r="Y3895" s="9">
        <v>71.670593717854672</v>
      </c>
      <c r="Z3895" s="9">
        <v>81.082684339640124</v>
      </c>
      <c r="AA3895" s="9">
        <v>81.082684339640124</v>
      </c>
      <c r="AB3895" s="9">
        <v>89.394521523604197</v>
      </c>
      <c r="AC3895" s="9">
        <v>89.394521523604197</v>
      </c>
      <c r="AD3895" s="9">
        <v>100.64015972511829</v>
      </c>
      <c r="AE3895" s="9">
        <v>111.62134673584954</v>
      </c>
      <c r="AF3895" s="9">
        <v>124.72674901989339</v>
      </c>
      <c r="AG3895" s="9">
        <v>124.72674901989339</v>
      </c>
      <c r="AH3895" s="9">
        <v>144.13642656805314</v>
      </c>
      <c r="AI3895" s="9">
        <v>157.75463032016435</v>
      </c>
      <c r="AJ3895" s="9">
        <v>3.0428788910505911</v>
      </c>
    </row>
    <row r="3896" spans="1:36" x14ac:dyDescent="0.25">
      <c r="A3896" t="s">
        <v>5411</v>
      </c>
      <c r="B3896" t="s">
        <v>16</v>
      </c>
      <c r="C3896" t="s">
        <v>17</v>
      </c>
      <c r="D3896">
        <v>68786000</v>
      </c>
      <c r="E3896">
        <v>68789999</v>
      </c>
      <c r="F3896" t="s">
        <v>3540</v>
      </c>
      <c r="G3896" t="str">
        <f t="shared" si="120"/>
        <v>PAR</v>
      </c>
      <c r="H3896" t="s">
        <v>3417</v>
      </c>
      <c r="I3896" t="s">
        <v>20</v>
      </c>
      <c r="J3896" t="s">
        <v>77</v>
      </c>
      <c r="K3896" s="6">
        <v>0.03</v>
      </c>
      <c r="L3896" s="7">
        <f t="shared" si="121"/>
        <v>2E-3</v>
      </c>
      <c r="M3896" s="7">
        <v>3.0000000000000001E-3</v>
      </c>
      <c r="N3896">
        <v>17</v>
      </c>
      <c r="O3896" s="8">
        <v>49.365095147237867</v>
      </c>
      <c r="P3896" s="9">
        <v>49.365095147237867</v>
      </c>
      <c r="Q3896" s="9">
        <v>49.365095147237867</v>
      </c>
      <c r="R3896" s="9">
        <v>50.770888721957412</v>
      </c>
      <c r="S3896" s="9">
        <v>52.200434315108524</v>
      </c>
      <c r="T3896" s="9">
        <v>52.412128096069225</v>
      </c>
      <c r="U3896" s="9">
        <v>59.043428948049694</v>
      </c>
      <c r="V3896" s="9">
        <v>59.043428948049694</v>
      </c>
      <c r="W3896" s="9">
        <v>59.043428948049694</v>
      </c>
      <c r="X3896" s="9">
        <v>71.670593717854672</v>
      </c>
      <c r="Y3896" s="9">
        <v>71.670593717854672</v>
      </c>
      <c r="Z3896" s="9">
        <v>81.082684339640124</v>
      </c>
      <c r="AA3896" s="9">
        <v>81.082684339640124</v>
      </c>
      <c r="AB3896" s="9">
        <v>89.394521523604197</v>
      </c>
      <c r="AC3896" s="9">
        <v>89.394521523604197</v>
      </c>
      <c r="AD3896" s="9">
        <v>100.64015972511829</v>
      </c>
      <c r="AE3896" s="9">
        <v>111.62134673584954</v>
      </c>
      <c r="AF3896" s="9">
        <v>124.72674901989339</v>
      </c>
      <c r="AG3896" s="9">
        <v>124.72674901989339</v>
      </c>
      <c r="AH3896" s="9">
        <v>144.13642656805314</v>
      </c>
      <c r="AI3896" s="9">
        <v>157.75463032016435</v>
      </c>
      <c r="AJ3896" s="9">
        <v>3.0428788910505911</v>
      </c>
    </row>
    <row r="3897" spans="1:36" x14ac:dyDescent="0.25">
      <c r="A3897" t="s">
        <v>5411</v>
      </c>
      <c r="B3897" t="s">
        <v>16</v>
      </c>
      <c r="C3897" t="s">
        <v>17</v>
      </c>
      <c r="D3897">
        <v>68790000</v>
      </c>
      <c r="E3897">
        <v>68794999</v>
      </c>
      <c r="F3897" t="s">
        <v>3541</v>
      </c>
      <c r="G3897" t="str">
        <f t="shared" si="120"/>
        <v>PAI II</v>
      </c>
      <c r="H3897" t="s">
        <v>3417</v>
      </c>
      <c r="I3897" t="s">
        <v>20</v>
      </c>
      <c r="J3897" t="s">
        <v>64</v>
      </c>
      <c r="K3897" s="6">
        <v>0.03</v>
      </c>
      <c r="L3897" s="7">
        <f t="shared" si="121"/>
        <v>2E-3</v>
      </c>
      <c r="M3897" s="7">
        <v>3.0000000000000001E-3</v>
      </c>
      <c r="N3897">
        <v>15</v>
      </c>
      <c r="O3897" s="8">
        <v>29.265010066285189</v>
      </c>
      <c r="P3897" s="9">
        <v>29.265010066285189</v>
      </c>
      <c r="Q3897" s="9">
        <v>29.265010066285189</v>
      </c>
      <c r="R3897" s="9">
        <v>29.808934048915802</v>
      </c>
      <c r="S3897" s="9">
        <v>30.249224367117225</v>
      </c>
      <c r="T3897" s="9">
        <v>30.765556355079035</v>
      </c>
      <c r="U3897" s="9">
        <v>39.457963973958975</v>
      </c>
      <c r="V3897" s="9">
        <v>39.457963973958975</v>
      </c>
      <c r="W3897" s="9">
        <v>39.457963973958975</v>
      </c>
      <c r="X3897" s="9">
        <v>49.189335193548523</v>
      </c>
      <c r="Y3897" s="9">
        <v>49.189335193548523</v>
      </c>
      <c r="Z3897" s="9">
        <v>59.021072871873201</v>
      </c>
      <c r="AA3897" s="9">
        <v>59.021072871873201</v>
      </c>
      <c r="AB3897" s="9">
        <v>68.963213654806424</v>
      </c>
      <c r="AC3897" s="9">
        <v>68.963213654806424</v>
      </c>
      <c r="AD3897" s="9">
        <v>80.988013814636687</v>
      </c>
      <c r="AE3897" s="9">
        <v>90.402927149467544</v>
      </c>
      <c r="AF3897" s="9">
        <v>99.950154291619398</v>
      </c>
      <c r="AG3897" s="9">
        <v>99.950154291619398</v>
      </c>
      <c r="AH3897" s="9">
        <v>110.50371811060836</v>
      </c>
      <c r="AI3897" s="9">
        <v>120.12356451319805</v>
      </c>
      <c r="AJ3897" s="9">
        <v>3.0428788910505911</v>
      </c>
    </row>
    <row r="3898" spans="1:36" x14ac:dyDescent="0.25">
      <c r="A3898" t="s">
        <v>5411</v>
      </c>
      <c r="B3898" t="s">
        <v>16</v>
      </c>
      <c r="C3898" t="s">
        <v>17</v>
      </c>
      <c r="D3898">
        <v>68795000</v>
      </c>
      <c r="E3898">
        <v>68797999</v>
      </c>
      <c r="F3898" t="s">
        <v>3542</v>
      </c>
      <c r="G3898" t="str">
        <f t="shared" si="120"/>
        <v>PAR</v>
      </c>
      <c r="H3898" t="s">
        <v>3417</v>
      </c>
      <c r="I3898" t="s">
        <v>20</v>
      </c>
      <c r="J3898" t="s">
        <v>77</v>
      </c>
      <c r="K3898" s="6">
        <v>0.03</v>
      </c>
      <c r="L3898" s="7">
        <f t="shared" si="121"/>
        <v>2E-3</v>
      </c>
      <c r="M3898" s="7">
        <v>3.0000000000000001E-3</v>
      </c>
      <c r="N3898">
        <v>17</v>
      </c>
      <c r="O3898" s="8">
        <v>49.365095147237867</v>
      </c>
      <c r="P3898" s="9">
        <v>49.365095147237867</v>
      </c>
      <c r="Q3898" s="9">
        <v>49.365095147237867</v>
      </c>
      <c r="R3898" s="9">
        <v>50.770888721957412</v>
      </c>
      <c r="S3898" s="9">
        <v>52.200434315108524</v>
      </c>
      <c r="T3898" s="9">
        <v>52.412128096069225</v>
      </c>
      <c r="U3898" s="9">
        <v>59.043428948049694</v>
      </c>
      <c r="V3898" s="9">
        <v>59.043428948049694</v>
      </c>
      <c r="W3898" s="9">
        <v>59.043428948049694</v>
      </c>
      <c r="X3898" s="9">
        <v>71.670593717854672</v>
      </c>
      <c r="Y3898" s="9">
        <v>71.670593717854672</v>
      </c>
      <c r="Z3898" s="9">
        <v>81.082684339640124</v>
      </c>
      <c r="AA3898" s="9">
        <v>81.082684339640124</v>
      </c>
      <c r="AB3898" s="9">
        <v>89.394521523604197</v>
      </c>
      <c r="AC3898" s="9">
        <v>89.394521523604197</v>
      </c>
      <c r="AD3898" s="9">
        <v>100.64015972511829</v>
      </c>
      <c r="AE3898" s="9">
        <v>111.62134673584954</v>
      </c>
      <c r="AF3898" s="9">
        <v>124.72674901989339</v>
      </c>
      <c r="AG3898" s="9">
        <v>124.72674901989339</v>
      </c>
      <c r="AH3898" s="9">
        <v>144.13642656805314</v>
      </c>
      <c r="AI3898" s="9">
        <v>157.75463032016435</v>
      </c>
      <c r="AJ3898" s="9">
        <v>3.0428788910505911</v>
      </c>
    </row>
    <row r="3899" spans="1:36" x14ac:dyDescent="0.25">
      <c r="A3899" t="s">
        <v>5411</v>
      </c>
      <c r="B3899" t="s">
        <v>16</v>
      </c>
      <c r="C3899" t="s">
        <v>17</v>
      </c>
      <c r="D3899">
        <v>68798000</v>
      </c>
      <c r="E3899">
        <v>68799999</v>
      </c>
      <c r="F3899" t="s">
        <v>3543</v>
      </c>
      <c r="G3899" t="str">
        <f t="shared" si="120"/>
        <v>PAR</v>
      </c>
      <c r="H3899" t="s">
        <v>3417</v>
      </c>
      <c r="I3899" t="s">
        <v>20</v>
      </c>
      <c r="J3899" t="s">
        <v>77</v>
      </c>
      <c r="K3899" s="6">
        <v>0.03</v>
      </c>
      <c r="L3899" s="7">
        <f t="shared" si="121"/>
        <v>2E-3</v>
      </c>
      <c r="M3899" s="7">
        <v>3.0000000000000001E-3</v>
      </c>
      <c r="N3899">
        <v>17</v>
      </c>
      <c r="O3899" s="8">
        <v>49.365095147237867</v>
      </c>
      <c r="P3899" s="9">
        <v>49.365095147237867</v>
      </c>
      <c r="Q3899" s="9">
        <v>49.365095147237867</v>
      </c>
      <c r="R3899" s="9">
        <v>50.770888721957412</v>
      </c>
      <c r="S3899" s="9">
        <v>52.200434315108524</v>
      </c>
      <c r="T3899" s="9">
        <v>52.412128096069225</v>
      </c>
      <c r="U3899" s="9">
        <v>59.043428948049694</v>
      </c>
      <c r="V3899" s="9">
        <v>59.043428948049694</v>
      </c>
      <c r="W3899" s="9">
        <v>59.043428948049694</v>
      </c>
      <c r="X3899" s="9">
        <v>71.670593717854672</v>
      </c>
      <c r="Y3899" s="9">
        <v>71.670593717854672</v>
      </c>
      <c r="Z3899" s="9">
        <v>81.082684339640124</v>
      </c>
      <c r="AA3899" s="9">
        <v>81.082684339640124</v>
      </c>
      <c r="AB3899" s="9">
        <v>89.394521523604197</v>
      </c>
      <c r="AC3899" s="9">
        <v>89.394521523604197</v>
      </c>
      <c r="AD3899" s="9">
        <v>100.64015972511829</v>
      </c>
      <c r="AE3899" s="9">
        <v>111.62134673584954</v>
      </c>
      <c r="AF3899" s="9">
        <v>124.72674901989339</v>
      </c>
      <c r="AG3899" s="9">
        <v>124.72674901989339</v>
      </c>
      <c r="AH3899" s="9">
        <v>144.13642656805314</v>
      </c>
      <c r="AI3899" s="9">
        <v>157.75463032016435</v>
      </c>
      <c r="AJ3899" s="9">
        <v>3.0428788910505911</v>
      </c>
    </row>
    <row r="3900" spans="1:36" x14ac:dyDescent="0.25">
      <c r="A3900" t="s">
        <v>5411</v>
      </c>
      <c r="B3900" t="s">
        <v>16</v>
      </c>
      <c r="C3900" t="s">
        <v>17</v>
      </c>
      <c r="D3900">
        <v>68800000</v>
      </c>
      <c r="E3900">
        <v>68809999</v>
      </c>
      <c r="F3900" t="s">
        <v>3544</v>
      </c>
      <c r="G3900" t="str">
        <f t="shared" si="120"/>
        <v>PAR</v>
      </c>
      <c r="H3900" t="s">
        <v>3417</v>
      </c>
      <c r="I3900" t="s">
        <v>20</v>
      </c>
      <c r="J3900" t="s">
        <v>77</v>
      </c>
      <c r="K3900" s="6">
        <v>0.03</v>
      </c>
      <c r="L3900" s="7">
        <f t="shared" si="121"/>
        <v>2E-3</v>
      </c>
      <c r="M3900" s="7">
        <v>3.0000000000000001E-3</v>
      </c>
      <c r="N3900">
        <v>17</v>
      </c>
      <c r="O3900" s="8">
        <v>49.365095147237867</v>
      </c>
      <c r="P3900" s="9">
        <v>49.365095147237867</v>
      </c>
      <c r="Q3900" s="9">
        <v>49.365095147237867</v>
      </c>
      <c r="R3900" s="9">
        <v>50.770888721957412</v>
      </c>
      <c r="S3900" s="9">
        <v>52.200434315108524</v>
      </c>
      <c r="T3900" s="9">
        <v>52.412128096069225</v>
      </c>
      <c r="U3900" s="9">
        <v>59.043428948049694</v>
      </c>
      <c r="V3900" s="9">
        <v>59.043428948049694</v>
      </c>
      <c r="W3900" s="9">
        <v>59.043428948049694</v>
      </c>
      <c r="X3900" s="9">
        <v>71.670593717854672</v>
      </c>
      <c r="Y3900" s="9">
        <v>71.670593717854672</v>
      </c>
      <c r="Z3900" s="9">
        <v>81.082684339640124</v>
      </c>
      <c r="AA3900" s="9">
        <v>81.082684339640124</v>
      </c>
      <c r="AB3900" s="9">
        <v>89.394521523604197</v>
      </c>
      <c r="AC3900" s="9">
        <v>89.394521523604197</v>
      </c>
      <c r="AD3900" s="9">
        <v>100.64015972511829</v>
      </c>
      <c r="AE3900" s="9">
        <v>111.62134673584954</v>
      </c>
      <c r="AF3900" s="9">
        <v>124.72674901989339</v>
      </c>
      <c r="AG3900" s="9">
        <v>124.72674901989339</v>
      </c>
      <c r="AH3900" s="9">
        <v>144.13642656805314</v>
      </c>
      <c r="AI3900" s="9">
        <v>157.75463032016435</v>
      </c>
      <c r="AJ3900" s="9">
        <v>3.0428788910505911</v>
      </c>
    </row>
    <row r="3901" spans="1:36" x14ac:dyDescent="0.25">
      <c r="A3901" t="s">
        <v>5411</v>
      </c>
      <c r="B3901" t="s">
        <v>16</v>
      </c>
      <c r="C3901" t="s">
        <v>17</v>
      </c>
      <c r="D3901">
        <v>68810000</v>
      </c>
      <c r="E3901">
        <v>68814999</v>
      </c>
      <c r="F3901" t="s">
        <v>3545</v>
      </c>
      <c r="G3901" t="str">
        <f t="shared" si="120"/>
        <v>PAR</v>
      </c>
      <c r="H3901" t="s">
        <v>3417</v>
      </c>
      <c r="I3901" t="s">
        <v>20</v>
      </c>
      <c r="J3901" t="s">
        <v>77</v>
      </c>
      <c r="K3901" s="6">
        <v>0.03</v>
      </c>
      <c r="L3901" s="7">
        <f t="shared" si="121"/>
        <v>2E-3</v>
      </c>
      <c r="M3901" s="7">
        <v>3.0000000000000001E-3</v>
      </c>
      <c r="N3901">
        <v>17</v>
      </c>
      <c r="O3901" s="8">
        <v>49.365095147237867</v>
      </c>
      <c r="P3901" s="9">
        <v>49.365095147237867</v>
      </c>
      <c r="Q3901" s="9">
        <v>49.365095147237867</v>
      </c>
      <c r="R3901" s="9">
        <v>50.770888721957412</v>
      </c>
      <c r="S3901" s="9">
        <v>52.200434315108524</v>
      </c>
      <c r="T3901" s="9">
        <v>52.412128096069225</v>
      </c>
      <c r="U3901" s="9">
        <v>59.043428948049694</v>
      </c>
      <c r="V3901" s="9">
        <v>59.043428948049694</v>
      </c>
      <c r="W3901" s="9">
        <v>59.043428948049694</v>
      </c>
      <c r="X3901" s="9">
        <v>71.670593717854672</v>
      </c>
      <c r="Y3901" s="9">
        <v>71.670593717854672</v>
      </c>
      <c r="Z3901" s="9">
        <v>81.082684339640124</v>
      </c>
      <c r="AA3901" s="9">
        <v>81.082684339640124</v>
      </c>
      <c r="AB3901" s="9">
        <v>89.394521523604197</v>
      </c>
      <c r="AC3901" s="9">
        <v>89.394521523604197</v>
      </c>
      <c r="AD3901" s="9">
        <v>100.64015972511829</v>
      </c>
      <c r="AE3901" s="9">
        <v>111.62134673584954</v>
      </c>
      <c r="AF3901" s="9">
        <v>124.72674901989339</v>
      </c>
      <c r="AG3901" s="9">
        <v>124.72674901989339</v>
      </c>
      <c r="AH3901" s="9">
        <v>144.13642656805314</v>
      </c>
      <c r="AI3901" s="9">
        <v>157.75463032016435</v>
      </c>
      <c r="AJ3901" s="9">
        <v>3.0428788910505911</v>
      </c>
    </row>
    <row r="3902" spans="1:36" x14ac:dyDescent="0.25">
      <c r="A3902" t="s">
        <v>5411</v>
      </c>
      <c r="B3902" t="s">
        <v>16</v>
      </c>
      <c r="C3902" t="s">
        <v>17</v>
      </c>
      <c r="D3902">
        <v>68815000</v>
      </c>
      <c r="E3902">
        <v>68819999</v>
      </c>
      <c r="F3902" t="s">
        <v>3546</v>
      </c>
      <c r="G3902" t="str">
        <f t="shared" si="120"/>
        <v>PAR</v>
      </c>
      <c r="H3902" t="s">
        <v>3417</v>
      </c>
      <c r="I3902" t="s">
        <v>20</v>
      </c>
      <c r="J3902" t="s">
        <v>77</v>
      </c>
      <c r="K3902" s="6">
        <v>0.03</v>
      </c>
      <c r="L3902" s="7">
        <f t="shared" si="121"/>
        <v>2E-3</v>
      </c>
      <c r="M3902" s="7">
        <v>3.0000000000000001E-3</v>
      </c>
      <c r="N3902">
        <v>17</v>
      </c>
      <c r="O3902" s="8">
        <v>49.365095147237867</v>
      </c>
      <c r="P3902" s="9">
        <v>49.365095147237867</v>
      </c>
      <c r="Q3902" s="9">
        <v>49.365095147237867</v>
      </c>
      <c r="R3902" s="9">
        <v>50.770888721957412</v>
      </c>
      <c r="S3902" s="9">
        <v>52.200434315108524</v>
      </c>
      <c r="T3902" s="9">
        <v>52.412128096069225</v>
      </c>
      <c r="U3902" s="9">
        <v>59.043428948049694</v>
      </c>
      <c r="V3902" s="9">
        <v>59.043428948049694</v>
      </c>
      <c r="W3902" s="9">
        <v>59.043428948049694</v>
      </c>
      <c r="X3902" s="9">
        <v>71.670593717854672</v>
      </c>
      <c r="Y3902" s="9">
        <v>71.670593717854672</v>
      </c>
      <c r="Z3902" s="9">
        <v>81.082684339640124</v>
      </c>
      <c r="AA3902" s="9">
        <v>81.082684339640124</v>
      </c>
      <c r="AB3902" s="9">
        <v>89.394521523604197</v>
      </c>
      <c r="AC3902" s="9">
        <v>89.394521523604197</v>
      </c>
      <c r="AD3902" s="9">
        <v>100.64015972511829</v>
      </c>
      <c r="AE3902" s="9">
        <v>111.62134673584954</v>
      </c>
      <c r="AF3902" s="9">
        <v>124.72674901989339</v>
      </c>
      <c r="AG3902" s="9">
        <v>124.72674901989339</v>
      </c>
      <c r="AH3902" s="9">
        <v>144.13642656805314</v>
      </c>
      <c r="AI3902" s="9">
        <v>157.75463032016435</v>
      </c>
      <c r="AJ3902" s="9">
        <v>3.0428788910505911</v>
      </c>
    </row>
    <row r="3903" spans="1:36" x14ac:dyDescent="0.25">
      <c r="A3903" t="s">
        <v>5411</v>
      </c>
      <c r="B3903" t="s">
        <v>16</v>
      </c>
      <c r="C3903" t="s">
        <v>17</v>
      </c>
      <c r="D3903">
        <v>68820000</v>
      </c>
      <c r="E3903">
        <v>68824999</v>
      </c>
      <c r="F3903" t="s">
        <v>3547</v>
      </c>
      <c r="G3903" t="str">
        <f t="shared" si="120"/>
        <v>PAR</v>
      </c>
      <c r="H3903" t="s">
        <v>3417</v>
      </c>
      <c r="I3903" t="s">
        <v>20</v>
      </c>
      <c r="J3903" t="s">
        <v>77</v>
      </c>
      <c r="K3903" s="6">
        <v>0.03</v>
      </c>
      <c r="L3903" s="7">
        <f t="shared" si="121"/>
        <v>2E-3</v>
      </c>
      <c r="M3903" s="7">
        <v>3.0000000000000001E-3</v>
      </c>
      <c r="N3903">
        <v>17</v>
      </c>
      <c r="O3903" s="8">
        <v>49.365095147237867</v>
      </c>
      <c r="P3903" s="9">
        <v>49.365095147237867</v>
      </c>
      <c r="Q3903" s="9">
        <v>49.365095147237867</v>
      </c>
      <c r="R3903" s="9">
        <v>50.770888721957412</v>
      </c>
      <c r="S3903" s="9">
        <v>52.200434315108524</v>
      </c>
      <c r="T3903" s="9">
        <v>52.412128096069225</v>
      </c>
      <c r="U3903" s="9">
        <v>59.043428948049694</v>
      </c>
      <c r="V3903" s="9">
        <v>59.043428948049694</v>
      </c>
      <c r="W3903" s="9">
        <v>59.043428948049694</v>
      </c>
      <c r="X3903" s="9">
        <v>71.670593717854672</v>
      </c>
      <c r="Y3903" s="9">
        <v>71.670593717854672</v>
      </c>
      <c r="Z3903" s="9">
        <v>81.082684339640124</v>
      </c>
      <c r="AA3903" s="9">
        <v>81.082684339640124</v>
      </c>
      <c r="AB3903" s="9">
        <v>89.394521523604197</v>
      </c>
      <c r="AC3903" s="9">
        <v>89.394521523604197</v>
      </c>
      <c r="AD3903" s="9">
        <v>100.64015972511829</v>
      </c>
      <c r="AE3903" s="9">
        <v>111.62134673584954</v>
      </c>
      <c r="AF3903" s="9">
        <v>124.72674901989339</v>
      </c>
      <c r="AG3903" s="9">
        <v>124.72674901989339</v>
      </c>
      <c r="AH3903" s="9">
        <v>144.13642656805314</v>
      </c>
      <c r="AI3903" s="9">
        <v>157.75463032016435</v>
      </c>
      <c r="AJ3903" s="9">
        <v>3.0428788910505911</v>
      </c>
    </row>
    <row r="3904" spans="1:36" x14ac:dyDescent="0.25">
      <c r="A3904" t="s">
        <v>5411</v>
      </c>
      <c r="B3904" t="s">
        <v>16</v>
      </c>
      <c r="C3904" t="s">
        <v>17</v>
      </c>
      <c r="D3904">
        <v>68825000</v>
      </c>
      <c r="E3904">
        <v>68829999</v>
      </c>
      <c r="F3904" t="s">
        <v>3548</v>
      </c>
      <c r="G3904" t="str">
        <f t="shared" si="120"/>
        <v>PAR</v>
      </c>
      <c r="H3904" t="s">
        <v>3417</v>
      </c>
      <c r="I3904" t="s">
        <v>20</v>
      </c>
      <c r="J3904" t="s">
        <v>77</v>
      </c>
      <c r="K3904" s="6">
        <v>0.03</v>
      </c>
      <c r="L3904" s="7">
        <f t="shared" si="121"/>
        <v>2E-3</v>
      </c>
      <c r="M3904" s="7">
        <v>3.0000000000000001E-3</v>
      </c>
      <c r="N3904">
        <v>17</v>
      </c>
      <c r="O3904" s="8">
        <v>49.365095147237867</v>
      </c>
      <c r="P3904" s="9">
        <v>49.365095147237867</v>
      </c>
      <c r="Q3904" s="9">
        <v>49.365095147237867</v>
      </c>
      <c r="R3904" s="9">
        <v>50.770888721957412</v>
      </c>
      <c r="S3904" s="9">
        <v>52.200434315108524</v>
      </c>
      <c r="T3904" s="9">
        <v>52.412128096069225</v>
      </c>
      <c r="U3904" s="9">
        <v>59.043428948049694</v>
      </c>
      <c r="V3904" s="9">
        <v>59.043428948049694</v>
      </c>
      <c r="W3904" s="9">
        <v>59.043428948049694</v>
      </c>
      <c r="X3904" s="9">
        <v>71.670593717854672</v>
      </c>
      <c r="Y3904" s="9">
        <v>71.670593717854672</v>
      </c>
      <c r="Z3904" s="9">
        <v>81.082684339640124</v>
      </c>
      <c r="AA3904" s="9">
        <v>81.082684339640124</v>
      </c>
      <c r="AB3904" s="9">
        <v>89.394521523604197</v>
      </c>
      <c r="AC3904" s="9">
        <v>89.394521523604197</v>
      </c>
      <c r="AD3904" s="9">
        <v>100.64015972511829</v>
      </c>
      <c r="AE3904" s="9">
        <v>111.62134673584954</v>
      </c>
      <c r="AF3904" s="9">
        <v>124.72674901989339</v>
      </c>
      <c r="AG3904" s="9">
        <v>124.72674901989339</v>
      </c>
      <c r="AH3904" s="9">
        <v>144.13642656805314</v>
      </c>
      <c r="AI3904" s="9">
        <v>157.75463032016435</v>
      </c>
      <c r="AJ3904" s="9">
        <v>3.0428788910505911</v>
      </c>
    </row>
    <row r="3905" spans="1:36" x14ac:dyDescent="0.25">
      <c r="A3905" t="s">
        <v>5411</v>
      </c>
      <c r="B3905" t="s">
        <v>16</v>
      </c>
      <c r="C3905" t="s">
        <v>17</v>
      </c>
      <c r="D3905">
        <v>68830000</v>
      </c>
      <c r="E3905">
        <v>68839999</v>
      </c>
      <c r="F3905" t="s">
        <v>3549</v>
      </c>
      <c r="G3905" t="str">
        <f t="shared" si="120"/>
        <v>PAR</v>
      </c>
      <c r="H3905" t="s">
        <v>3417</v>
      </c>
      <c r="I3905" t="s">
        <v>20</v>
      </c>
      <c r="J3905" t="s">
        <v>77</v>
      </c>
      <c r="K3905" s="6">
        <v>0.03</v>
      </c>
      <c r="L3905" s="7">
        <f t="shared" si="121"/>
        <v>2E-3</v>
      </c>
      <c r="M3905" s="7">
        <v>3.0000000000000001E-3</v>
      </c>
      <c r="N3905">
        <v>17</v>
      </c>
      <c r="O3905" s="8">
        <v>49.365095147237867</v>
      </c>
      <c r="P3905" s="9">
        <v>49.365095147237867</v>
      </c>
      <c r="Q3905" s="9">
        <v>49.365095147237867</v>
      </c>
      <c r="R3905" s="9">
        <v>50.770888721957412</v>
      </c>
      <c r="S3905" s="9">
        <v>52.200434315108524</v>
      </c>
      <c r="T3905" s="9">
        <v>52.412128096069225</v>
      </c>
      <c r="U3905" s="9">
        <v>59.043428948049694</v>
      </c>
      <c r="V3905" s="9">
        <v>59.043428948049694</v>
      </c>
      <c r="W3905" s="9">
        <v>59.043428948049694</v>
      </c>
      <c r="X3905" s="9">
        <v>71.670593717854672</v>
      </c>
      <c r="Y3905" s="9">
        <v>71.670593717854672</v>
      </c>
      <c r="Z3905" s="9">
        <v>81.082684339640124</v>
      </c>
      <c r="AA3905" s="9">
        <v>81.082684339640124</v>
      </c>
      <c r="AB3905" s="9">
        <v>89.394521523604197</v>
      </c>
      <c r="AC3905" s="9">
        <v>89.394521523604197</v>
      </c>
      <c r="AD3905" s="9">
        <v>100.64015972511829</v>
      </c>
      <c r="AE3905" s="9">
        <v>111.62134673584954</v>
      </c>
      <c r="AF3905" s="9">
        <v>124.72674901989339</v>
      </c>
      <c r="AG3905" s="9">
        <v>124.72674901989339</v>
      </c>
      <c r="AH3905" s="9">
        <v>144.13642656805314</v>
      </c>
      <c r="AI3905" s="9">
        <v>157.75463032016435</v>
      </c>
      <c r="AJ3905" s="9">
        <v>3.0428788910505911</v>
      </c>
    </row>
    <row r="3906" spans="1:36" x14ac:dyDescent="0.25">
      <c r="A3906" t="s">
        <v>5411</v>
      </c>
      <c r="B3906" t="s">
        <v>16</v>
      </c>
      <c r="C3906" t="s">
        <v>17</v>
      </c>
      <c r="D3906">
        <v>68840000</v>
      </c>
      <c r="E3906">
        <v>68849999</v>
      </c>
      <c r="F3906" t="s">
        <v>3550</v>
      </c>
      <c r="G3906" t="str">
        <f t="shared" si="120"/>
        <v>PAR</v>
      </c>
      <c r="H3906" t="s">
        <v>3417</v>
      </c>
      <c r="I3906" t="s">
        <v>20</v>
      </c>
      <c r="J3906" t="s">
        <v>77</v>
      </c>
      <c r="K3906" s="6">
        <v>0.03</v>
      </c>
      <c r="L3906" s="7">
        <f t="shared" si="121"/>
        <v>2E-3</v>
      </c>
      <c r="M3906" s="7">
        <v>3.0000000000000001E-3</v>
      </c>
      <c r="N3906">
        <v>17</v>
      </c>
      <c r="O3906" s="8">
        <v>49.365095147237867</v>
      </c>
      <c r="P3906" s="9">
        <v>49.365095147237867</v>
      </c>
      <c r="Q3906" s="9">
        <v>49.365095147237867</v>
      </c>
      <c r="R3906" s="9">
        <v>50.770888721957412</v>
      </c>
      <c r="S3906" s="9">
        <v>52.200434315108524</v>
      </c>
      <c r="T3906" s="9">
        <v>52.412128096069225</v>
      </c>
      <c r="U3906" s="9">
        <v>59.043428948049694</v>
      </c>
      <c r="V3906" s="9">
        <v>59.043428948049694</v>
      </c>
      <c r="W3906" s="9">
        <v>59.043428948049694</v>
      </c>
      <c r="X3906" s="9">
        <v>71.670593717854672</v>
      </c>
      <c r="Y3906" s="9">
        <v>71.670593717854672</v>
      </c>
      <c r="Z3906" s="9">
        <v>81.082684339640124</v>
      </c>
      <c r="AA3906" s="9">
        <v>81.082684339640124</v>
      </c>
      <c r="AB3906" s="9">
        <v>89.394521523604197</v>
      </c>
      <c r="AC3906" s="9">
        <v>89.394521523604197</v>
      </c>
      <c r="AD3906" s="9">
        <v>100.64015972511829</v>
      </c>
      <c r="AE3906" s="9">
        <v>111.62134673584954</v>
      </c>
      <c r="AF3906" s="9">
        <v>124.72674901989339</v>
      </c>
      <c r="AG3906" s="9">
        <v>124.72674901989339</v>
      </c>
      <c r="AH3906" s="9">
        <v>144.13642656805314</v>
      </c>
      <c r="AI3906" s="9">
        <v>157.75463032016435</v>
      </c>
      <c r="AJ3906" s="9">
        <v>3.0428788910505911</v>
      </c>
    </row>
    <row r="3907" spans="1:36" x14ac:dyDescent="0.25">
      <c r="A3907" t="s">
        <v>5411</v>
      </c>
      <c r="B3907" t="s">
        <v>16</v>
      </c>
      <c r="C3907" t="s">
        <v>17</v>
      </c>
      <c r="D3907">
        <v>68850000</v>
      </c>
      <c r="E3907">
        <v>68859999</v>
      </c>
      <c r="F3907" t="s">
        <v>3551</v>
      </c>
      <c r="G3907" t="str">
        <f t="shared" si="120"/>
        <v>PAR</v>
      </c>
      <c r="H3907" t="s">
        <v>3417</v>
      </c>
      <c r="I3907" t="s">
        <v>20</v>
      </c>
      <c r="J3907" t="s">
        <v>77</v>
      </c>
      <c r="K3907" s="6">
        <v>0.03</v>
      </c>
      <c r="L3907" s="7">
        <f t="shared" si="121"/>
        <v>2E-3</v>
      </c>
      <c r="M3907" s="7">
        <v>3.0000000000000001E-3</v>
      </c>
      <c r="N3907">
        <v>17</v>
      </c>
      <c r="O3907" s="8">
        <v>49.365095147237867</v>
      </c>
      <c r="P3907" s="9">
        <v>49.365095147237867</v>
      </c>
      <c r="Q3907" s="9">
        <v>49.365095147237867</v>
      </c>
      <c r="R3907" s="9">
        <v>50.770888721957412</v>
      </c>
      <c r="S3907" s="9">
        <v>52.200434315108524</v>
      </c>
      <c r="T3907" s="9">
        <v>52.412128096069225</v>
      </c>
      <c r="U3907" s="9">
        <v>59.043428948049694</v>
      </c>
      <c r="V3907" s="9">
        <v>59.043428948049694</v>
      </c>
      <c r="W3907" s="9">
        <v>59.043428948049694</v>
      </c>
      <c r="X3907" s="9">
        <v>71.670593717854672</v>
      </c>
      <c r="Y3907" s="9">
        <v>71.670593717854672</v>
      </c>
      <c r="Z3907" s="9">
        <v>81.082684339640124</v>
      </c>
      <c r="AA3907" s="9">
        <v>81.082684339640124</v>
      </c>
      <c r="AB3907" s="9">
        <v>89.394521523604197</v>
      </c>
      <c r="AC3907" s="9">
        <v>89.394521523604197</v>
      </c>
      <c r="AD3907" s="9">
        <v>100.64015972511829</v>
      </c>
      <c r="AE3907" s="9">
        <v>111.62134673584954</v>
      </c>
      <c r="AF3907" s="9">
        <v>124.72674901989339</v>
      </c>
      <c r="AG3907" s="9">
        <v>124.72674901989339</v>
      </c>
      <c r="AH3907" s="9">
        <v>144.13642656805314</v>
      </c>
      <c r="AI3907" s="9">
        <v>157.75463032016435</v>
      </c>
      <c r="AJ3907" s="9">
        <v>3.0428788910505911</v>
      </c>
    </row>
    <row r="3908" spans="1:36" x14ac:dyDescent="0.25">
      <c r="A3908" t="s">
        <v>5411</v>
      </c>
      <c r="B3908" t="s">
        <v>16</v>
      </c>
      <c r="C3908" t="s">
        <v>17</v>
      </c>
      <c r="D3908">
        <v>68860000</v>
      </c>
      <c r="E3908">
        <v>68869999</v>
      </c>
      <c r="F3908" t="s">
        <v>3552</v>
      </c>
      <c r="G3908" t="str">
        <f t="shared" ref="G3908:G3971" si="122">H3908&amp;IF(J3908="CAPITAL","C",IF(J3908="INTERIOR","I",IF(J3908="INTERIOR II","I II","R")))</f>
        <v>PAR</v>
      </c>
      <c r="H3908" t="s">
        <v>3417</v>
      </c>
      <c r="I3908" t="s">
        <v>20</v>
      </c>
      <c r="J3908" t="s">
        <v>77</v>
      </c>
      <c r="K3908" s="6">
        <v>0.03</v>
      </c>
      <c r="L3908" s="7">
        <f t="shared" ref="L3908:L3971" si="123">IF(I3908="(0) Não",0.2%,3%)</f>
        <v>2E-3</v>
      </c>
      <c r="M3908" s="7">
        <v>3.0000000000000001E-3</v>
      </c>
      <c r="N3908">
        <v>17</v>
      </c>
      <c r="O3908" s="8">
        <v>49.365095147237867</v>
      </c>
      <c r="P3908" s="9">
        <v>49.365095147237867</v>
      </c>
      <c r="Q3908" s="9">
        <v>49.365095147237867</v>
      </c>
      <c r="R3908" s="9">
        <v>50.770888721957412</v>
      </c>
      <c r="S3908" s="9">
        <v>52.200434315108524</v>
      </c>
      <c r="T3908" s="9">
        <v>52.412128096069225</v>
      </c>
      <c r="U3908" s="9">
        <v>59.043428948049694</v>
      </c>
      <c r="V3908" s="9">
        <v>59.043428948049694</v>
      </c>
      <c r="W3908" s="9">
        <v>59.043428948049694</v>
      </c>
      <c r="X3908" s="9">
        <v>71.670593717854672</v>
      </c>
      <c r="Y3908" s="9">
        <v>71.670593717854672</v>
      </c>
      <c r="Z3908" s="9">
        <v>81.082684339640124</v>
      </c>
      <c r="AA3908" s="9">
        <v>81.082684339640124</v>
      </c>
      <c r="AB3908" s="9">
        <v>89.394521523604197</v>
      </c>
      <c r="AC3908" s="9">
        <v>89.394521523604197</v>
      </c>
      <c r="AD3908" s="9">
        <v>100.64015972511829</v>
      </c>
      <c r="AE3908" s="9">
        <v>111.62134673584954</v>
      </c>
      <c r="AF3908" s="9">
        <v>124.72674901989339</v>
      </c>
      <c r="AG3908" s="9">
        <v>124.72674901989339</v>
      </c>
      <c r="AH3908" s="9">
        <v>144.13642656805314</v>
      </c>
      <c r="AI3908" s="9">
        <v>157.75463032016435</v>
      </c>
      <c r="AJ3908" s="9">
        <v>3.0428788910505911</v>
      </c>
    </row>
    <row r="3909" spans="1:36" x14ac:dyDescent="0.25">
      <c r="A3909" t="s">
        <v>5411</v>
      </c>
      <c r="B3909" t="s">
        <v>16</v>
      </c>
      <c r="C3909" t="s">
        <v>17</v>
      </c>
      <c r="D3909">
        <v>68870000</v>
      </c>
      <c r="E3909">
        <v>68879999</v>
      </c>
      <c r="F3909" t="s">
        <v>3553</v>
      </c>
      <c r="G3909" t="str">
        <f t="shared" si="122"/>
        <v>PAR</v>
      </c>
      <c r="H3909" t="s">
        <v>3417</v>
      </c>
      <c r="I3909" t="s">
        <v>20</v>
      </c>
      <c r="J3909" t="s">
        <v>77</v>
      </c>
      <c r="K3909" s="6">
        <v>0.03</v>
      </c>
      <c r="L3909" s="7">
        <f t="shared" si="123"/>
        <v>2E-3</v>
      </c>
      <c r="M3909" s="7">
        <v>3.0000000000000001E-3</v>
      </c>
      <c r="N3909">
        <v>17</v>
      </c>
      <c r="O3909" s="8">
        <v>49.365095147237867</v>
      </c>
      <c r="P3909" s="9">
        <v>49.365095147237867</v>
      </c>
      <c r="Q3909" s="9">
        <v>49.365095147237867</v>
      </c>
      <c r="R3909" s="9">
        <v>50.770888721957412</v>
      </c>
      <c r="S3909" s="9">
        <v>52.200434315108524</v>
      </c>
      <c r="T3909" s="9">
        <v>52.412128096069225</v>
      </c>
      <c r="U3909" s="9">
        <v>59.043428948049694</v>
      </c>
      <c r="V3909" s="9">
        <v>59.043428948049694</v>
      </c>
      <c r="W3909" s="9">
        <v>59.043428948049694</v>
      </c>
      <c r="X3909" s="9">
        <v>71.670593717854672</v>
      </c>
      <c r="Y3909" s="9">
        <v>71.670593717854672</v>
      </c>
      <c r="Z3909" s="9">
        <v>81.082684339640124</v>
      </c>
      <c r="AA3909" s="9">
        <v>81.082684339640124</v>
      </c>
      <c r="AB3909" s="9">
        <v>89.394521523604197</v>
      </c>
      <c r="AC3909" s="9">
        <v>89.394521523604197</v>
      </c>
      <c r="AD3909" s="9">
        <v>100.64015972511829</v>
      </c>
      <c r="AE3909" s="9">
        <v>111.62134673584954</v>
      </c>
      <c r="AF3909" s="9">
        <v>124.72674901989339</v>
      </c>
      <c r="AG3909" s="9">
        <v>124.72674901989339</v>
      </c>
      <c r="AH3909" s="9">
        <v>144.13642656805314</v>
      </c>
      <c r="AI3909" s="9">
        <v>157.75463032016435</v>
      </c>
      <c r="AJ3909" s="9">
        <v>3.0428788910505911</v>
      </c>
    </row>
    <row r="3910" spans="1:36" x14ac:dyDescent="0.25">
      <c r="A3910" t="s">
        <v>5411</v>
      </c>
      <c r="B3910" t="s">
        <v>16</v>
      </c>
      <c r="C3910" t="s">
        <v>17</v>
      </c>
      <c r="D3910">
        <v>68880000</v>
      </c>
      <c r="E3910">
        <v>68889999</v>
      </c>
      <c r="F3910" t="s">
        <v>3554</v>
      </c>
      <c r="G3910" t="str">
        <f t="shared" si="122"/>
        <v>PAR</v>
      </c>
      <c r="H3910" t="s">
        <v>3417</v>
      </c>
      <c r="I3910" t="s">
        <v>20</v>
      </c>
      <c r="J3910" t="s">
        <v>77</v>
      </c>
      <c r="K3910" s="6">
        <v>0.03</v>
      </c>
      <c r="L3910" s="7">
        <f t="shared" si="123"/>
        <v>2E-3</v>
      </c>
      <c r="M3910" s="7">
        <v>3.0000000000000001E-3</v>
      </c>
      <c r="N3910">
        <v>17</v>
      </c>
      <c r="O3910" s="8">
        <v>49.365095147237867</v>
      </c>
      <c r="P3910" s="9">
        <v>49.365095147237867</v>
      </c>
      <c r="Q3910" s="9">
        <v>49.365095147237867</v>
      </c>
      <c r="R3910" s="9">
        <v>50.770888721957412</v>
      </c>
      <c r="S3910" s="9">
        <v>52.200434315108524</v>
      </c>
      <c r="T3910" s="9">
        <v>52.412128096069225</v>
      </c>
      <c r="U3910" s="9">
        <v>59.043428948049694</v>
      </c>
      <c r="V3910" s="9">
        <v>59.043428948049694</v>
      </c>
      <c r="W3910" s="9">
        <v>59.043428948049694</v>
      </c>
      <c r="X3910" s="9">
        <v>71.670593717854672</v>
      </c>
      <c r="Y3910" s="9">
        <v>71.670593717854672</v>
      </c>
      <c r="Z3910" s="9">
        <v>81.082684339640124</v>
      </c>
      <c r="AA3910" s="9">
        <v>81.082684339640124</v>
      </c>
      <c r="AB3910" s="9">
        <v>89.394521523604197</v>
      </c>
      <c r="AC3910" s="9">
        <v>89.394521523604197</v>
      </c>
      <c r="AD3910" s="9">
        <v>100.64015972511829</v>
      </c>
      <c r="AE3910" s="9">
        <v>111.62134673584954</v>
      </c>
      <c r="AF3910" s="9">
        <v>124.72674901989339</v>
      </c>
      <c r="AG3910" s="9">
        <v>124.72674901989339</v>
      </c>
      <c r="AH3910" s="9">
        <v>144.13642656805314</v>
      </c>
      <c r="AI3910" s="9">
        <v>157.75463032016435</v>
      </c>
      <c r="AJ3910" s="9">
        <v>3.0428788910505911</v>
      </c>
    </row>
    <row r="3911" spans="1:36" x14ac:dyDescent="0.25">
      <c r="A3911" t="s">
        <v>5411</v>
      </c>
      <c r="B3911" t="s">
        <v>16</v>
      </c>
      <c r="C3911" t="s">
        <v>17</v>
      </c>
      <c r="D3911">
        <v>68890000</v>
      </c>
      <c r="E3911">
        <v>68899999</v>
      </c>
      <c r="F3911" t="s">
        <v>3555</v>
      </c>
      <c r="G3911" t="str">
        <f t="shared" si="122"/>
        <v>PAR</v>
      </c>
      <c r="H3911" t="s">
        <v>3417</v>
      </c>
      <c r="I3911" t="s">
        <v>20</v>
      </c>
      <c r="J3911" t="s">
        <v>77</v>
      </c>
      <c r="K3911" s="6">
        <v>0.03</v>
      </c>
      <c r="L3911" s="7">
        <f t="shared" si="123"/>
        <v>2E-3</v>
      </c>
      <c r="M3911" s="7">
        <v>3.0000000000000001E-3</v>
      </c>
      <c r="N3911">
        <v>17</v>
      </c>
      <c r="O3911" s="8">
        <v>49.365095147237867</v>
      </c>
      <c r="P3911" s="9">
        <v>49.365095147237867</v>
      </c>
      <c r="Q3911" s="9">
        <v>49.365095147237867</v>
      </c>
      <c r="R3911" s="9">
        <v>50.770888721957412</v>
      </c>
      <c r="S3911" s="9">
        <v>52.200434315108524</v>
      </c>
      <c r="T3911" s="9">
        <v>52.412128096069225</v>
      </c>
      <c r="U3911" s="9">
        <v>59.043428948049694</v>
      </c>
      <c r="V3911" s="9">
        <v>59.043428948049694</v>
      </c>
      <c r="W3911" s="9">
        <v>59.043428948049694</v>
      </c>
      <c r="X3911" s="9">
        <v>71.670593717854672</v>
      </c>
      <c r="Y3911" s="9">
        <v>71.670593717854672</v>
      </c>
      <c r="Z3911" s="9">
        <v>81.082684339640124</v>
      </c>
      <c r="AA3911" s="9">
        <v>81.082684339640124</v>
      </c>
      <c r="AB3911" s="9">
        <v>89.394521523604197</v>
      </c>
      <c r="AC3911" s="9">
        <v>89.394521523604197</v>
      </c>
      <c r="AD3911" s="9">
        <v>100.64015972511829</v>
      </c>
      <c r="AE3911" s="9">
        <v>111.62134673584954</v>
      </c>
      <c r="AF3911" s="9">
        <v>124.72674901989339</v>
      </c>
      <c r="AG3911" s="9">
        <v>124.72674901989339</v>
      </c>
      <c r="AH3911" s="9">
        <v>144.13642656805314</v>
      </c>
      <c r="AI3911" s="9">
        <v>157.75463032016435</v>
      </c>
      <c r="AJ3911" s="9">
        <v>3.0428788910505911</v>
      </c>
    </row>
    <row r="3912" spans="1:36" x14ac:dyDescent="0.25">
      <c r="A3912" t="s">
        <v>5411</v>
      </c>
      <c r="B3912" t="s">
        <v>16</v>
      </c>
      <c r="C3912" t="s">
        <v>17</v>
      </c>
      <c r="D3912">
        <v>68900000</v>
      </c>
      <c r="E3912">
        <v>68914000</v>
      </c>
      <c r="F3912" t="s">
        <v>3556</v>
      </c>
      <c r="G3912" t="str">
        <f t="shared" si="122"/>
        <v>APC</v>
      </c>
      <c r="H3912" t="s">
        <v>3557</v>
      </c>
      <c r="I3912" t="s">
        <v>20</v>
      </c>
      <c r="J3912" t="s">
        <v>21</v>
      </c>
      <c r="K3912" s="6">
        <v>0.03</v>
      </c>
      <c r="L3912" s="7">
        <f t="shared" si="123"/>
        <v>2E-3</v>
      </c>
      <c r="M3912" s="7">
        <v>3.0000000000000001E-3</v>
      </c>
      <c r="N3912">
        <v>12</v>
      </c>
      <c r="O3912" s="8">
        <v>30.779537697391756</v>
      </c>
      <c r="P3912" s="9">
        <v>30.779537697391756</v>
      </c>
      <c r="Q3912" s="9">
        <v>30.779537697391756</v>
      </c>
      <c r="R3912" s="9">
        <v>31.220071039207543</v>
      </c>
      <c r="S3912" s="9">
        <v>31.51691079084026</v>
      </c>
      <c r="T3912" s="9">
        <v>32.517372179526149</v>
      </c>
      <c r="U3912" s="9">
        <v>44.116455955149917</v>
      </c>
      <c r="V3912" s="9">
        <v>44.116455955149917</v>
      </c>
      <c r="W3912" s="9">
        <v>44.116455955149917</v>
      </c>
      <c r="X3912" s="9">
        <v>56.753210024104519</v>
      </c>
      <c r="Y3912" s="9">
        <v>56.753210024104519</v>
      </c>
      <c r="Z3912" s="9">
        <v>70.289534853573102</v>
      </c>
      <c r="AA3912" s="9">
        <v>70.289534853573102</v>
      </c>
      <c r="AB3912" s="9">
        <v>83.634546107669067</v>
      </c>
      <c r="AC3912" s="9">
        <v>83.634546107669067</v>
      </c>
      <c r="AD3912" s="9">
        <v>96.539123515540069</v>
      </c>
      <c r="AE3912" s="9">
        <v>110.20703690257861</v>
      </c>
      <c r="AF3912" s="9">
        <v>123.4212584536434</v>
      </c>
      <c r="AG3912" s="9">
        <v>123.4212584536434</v>
      </c>
      <c r="AH3912" s="9">
        <v>136.81389401102467</v>
      </c>
      <c r="AI3912" s="9">
        <v>150.0009468950652</v>
      </c>
      <c r="AJ3912" s="9">
        <v>3.0428788910505911</v>
      </c>
    </row>
    <row r="3913" spans="1:36" x14ac:dyDescent="0.25">
      <c r="A3913" t="s">
        <v>5411</v>
      </c>
      <c r="B3913" t="s">
        <v>16</v>
      </c>
      <c r="C3913" t="s">
        <v>17</v>
      </c>
      <c r="D3913">
        <v>68914001</v>
      </c>
      <c r="E3913">
        <v>68917999</v>
      </c>
      <c r="F3913" t="s">
        <v>3558</v>
      </c>
      <c r="G3913" t="str">
        <f t="shared" si="122"/>
        <v>API II</v>
      </c>
      <c r="H3913" t="s">
        <v>3557</v>
      </c>
      <c r="I3913" t="s">
        <v>20</v>
      </c>
      <c r="J3913" t="s">
        <v>64</v>
      </c>
      <c r="K3913" s="6">
        <v>0.03</v>
      </c>
      <c r="L3913" s="7">
        <f t="shared" si="123"/>
        <v>2E-3</v>
      </c>
      <c r="M3913" s="7">
        <v>3.0000000000000001E-3</v>
      </c>
      <c r="N3913">
        <v>14</v>
      </c>
      <c r="O3913" s="8">
        <v>37.390239265099389</v>
      </c>
      <c r="P3913" s="9">
        <v>37.390239265099389</v>
      </c>
      <c r="Q3913" s="9">
        <v>37.390239265099389</v>
      </c>
      <c r="R3913" s="9">
        <v>38.114063254599913</v>
      </c>
      <c r="S3913" s="9">
        <v>38.717639388386893</v>
      </c>
      <c r="T3913" s="9">
        <v>39.413800722517003</v>
      </c>
      <c r="U3913" s="9">
        <v>49.952330001375891</v>
      </c>
      <c r="V3913" s="9">
        <v>49.952330001375891</v>
      </c>
      <c r="W3913" s="9">
        <v>49.952330001375891</v>
      </c>
      <c r="X3913" s="9">
        <v>61.925012865655091</v>
      </c>
      <c r="Y3913" s="9">
        <v>61.925012865655091</v>
      </c>
      <c r="Z3913" s="9">
        <v>74.045669765693347</v>
      </c>
      <c r="AA3913" s="9">
        <v>74.045669765693347</v>
      </c>
      <c r="AB3913" s="9">
        <v>86.329098105066564</v>
      </c>
      <c r="AC3913" s="9">
        <v>86.329098105066564</v>
      </c>
      <c r="AD3913" s="9">
        <v>101.6830693030289</v>
      </c>
      <c r="AE3913" s="9">
        <v>113.18918643463523</v>
      </c>
      <c r="AF3913" s="9">
        <v>124.8903787766523</v>
      </c>
      <c r="AG3913" s="9">
        <v>124.8903787766523</v>
      </c>
      <c r="AH3913" s="9">
        <v>138.07525103804363</v>
      </c>
      <c r="AI3913" s="9">
        <v>149.88350868032381</v>
      </c>
      <c r="AJ3913" s="9">
        <v>3.0428788910505911</v>
      </c>
    </row>
    <row r="3914" spans="1:36" x14ac:dyDescent="0.25">
      <c r="A3914" t="s">
        <v>5411</v>
      </c>
      <c r="B3914" t="s">
        <v>16</v>
      </c>
      <c r="C3914" t="s">
        <v>17</v>
      </c>
      <c r="D3914">
        <v>68918000</v>
      </c>
      <c r="E3914">
        <v>68919999</v>
      </c>
      <c r="F3914" t="s">
        <v>3559</v>
      </c>
      <c r="G3914" t="str">
        <f t="shared" si="122"/>
        <v>APR</v>
      </c>
      <c r="H3914" t="s">
        <v>3557</v>
      </c>
      <c r="I3914" t="s">
        <v>20</v>
      </c>
      <c r="J3914" t="s">
        <v>77</v>
      </c>
      <c r="K3914" s="6">
        <v>0.03</v>
      </c>
      <c r="L3914" s="7">
        <f t="shared" si="123"/>
        <v>2E-3</v>
      </c>
      <c r="M3914" s="7">
        <v>3.0000000000000001E-3</v>
      </c>
      <c r="N3914">
        <v>17</v>
      </c>
      <c r="O3914" s="8">
        <v>49.77590767518263</v>
      </c>
      <c r="P3914" s="9">
        <v>49.77590767518263</v>
      </c>
      <c r="Q3914" s="9">
        <v>49.77590767518263</v>
      </c>
      <c r="R3914" s="9">
        <v>51.577692441153197</v>
      </c>
      <c r="S3914" s="9">
        <v>53.023942399602873</v>
      </c>
      <c r="T3914" s="9">
        <v>53.362170653318003</v>
      </c>
      <c r="U3914" s="9">
        <v>60.127506009791624</v>
      </c>
      <c r="V3914" s="9">
        <v>60.127506009791624</v>
      </c>
      <c r="W3914" s="9">
        <v>60.127506009791624</v>
      </c>
      <c r="X3914" s="9">
        <v>72.863078485770799</v>
      </c>
      <c r="Y3914" s="9">
        <v>72.863078485770799</v>
      </c>
      <c r="Z3914" s="9">
        <v>85.04546387049389</v>
      </c>
      <c r="AA3914" s="9">
        <v>85.04546387049389</v>
      </c>
      <c r="AB3914" s="9">
        <v>103.8296654132198</v>
      </c>
      <c r="AC3914" s="9">
        <v>103.8296654132198</v>
      </c>
      <c r="AD3914" s="9">
        <v>118.46770652358066</v>
      </c>
      <c r="AE3914" s="9">
        <v>133.40366924423441</v>
      </c>
      <c r="AF3914" s="9">
        <v>150.22852935101852</v>
      </c>
      <c r="AG3914" s="9">
        <v>150.22852935101852</v>
      </c>
      <c r="AH3914" s="9">
        <v>166.00880935292977</v>
      </c>
      <c r="AI3914" s="9">
        <v>181.80625539974244</v>
      </c>
      <c r="AJ3914" s="9">
        <v>3.0428788910505911</v>
      </c>
    </row>
    <row r="3915" spans="1:36" x14ac:dyDescent="0.25">
      <c r="A3915" t="s">
        <v>5411</v>
      </c>
      <c r="B3915" t="s">
        <v>16</v>
      </c>
      <c r="C3915" t="s">
        <v>17</v>
      </c>
      <c r="D3915">
        <v>68920000</v>
      </c>
      <c r="E3915">
        <v>68923999</v>
      </c>
      <c r="F3915" t="s">
        <v>3560</v>
      </c>
      <c r="G3915" t="str">
        <f t="shared" si="122"/>
        <v>APR</v>
      </c>
      <c r="H3915" t="s">
        <v>3557</v>
      </c>
      <c r="I3915" t="s">
        <v>20</v>
      </c>
      <c r="J3915" t="s">
        <v>77</v>
      </c>
      <c r="K3915" s="6">
        <v>0.03</v>
      </c>
      <c r="L3915" s="7">
        <f t="shared" si="123"/>
        <v>2E-3</v>
      </c>
      <c r="M3915" s="7">
        <v>3.0000000000000001E-3</v>
      </c>
      <c r="N3915">
        <v>17</v>
      </c>
      <c r="O3915" s="8">
        <v>49.77590767518263</v>
      </c>
      <c r="P3915" s="9">
        <v>49.77590767518263</v>
      </c>
      <c r="Q3915" s="9">
        <v>49.77590767518263</v>
      </c>
      <c r="R3915" s="9">
        <v>51.577692441153197</v>
      </c>
      <c r="S3915" s="9">
        <v>53.023942399602873</v>
      </c>
      <c r="T3915" s="9">
        <v>53.362170653318003</v>
      </c>
      <c r="U3915" s="9">
        <v>60.127506009791624</v>
      </c>
      <c r="V3915" s="9">
        <v>60.127506009791624</v>
      </c>
      <c r="W3915" s="9">
        <v>60.127506009791624</v>
      </c>
      <c r="X3915" s="9">
        <v>72.863078485770799</v>
      </c>
      <c r="Y3915" s="9">
        <v>72.863078485770799</v>
      </c>
      <c r="Z3915" s="9">
        <v>85.04546387049389</v>
      </c>
      <c r="AA3915" s="9">
        <v>85.04546387049389</v>
      </c>
      <c r="AB3915" s="9">
        <v>103.8296654132198</v>
      </c>
      <c r="AC3915" s="9">
        <v>103.8296654132198</v>
      </c>
      <c r="AD3915" s="9">
        <v>118.46770652358066</v>
      </c>
      <c r="AE3915" s="9">
        <v>133.40366924423441</v>
      </c>
      <c r="AF3915" s="9">
        <v>150.22852935101852</v>
      </c>
      <c r="AG3915" s="9">
        <v>150.22852935101852</v>
      </c>
      <c r="AH3915" s="9">
        <v>166.00880935292977</v>
      </c>
      <c r="AI3915" s="9">
        <v>181.80625539974244</v>
      </c>
      <c r="AJ3915" s="9">
        <v>3.0428788910505911</v>
      </c>
    </row>
    <row r="3916" spans="1:36" x14ac:dyDescent="0.25">
      <c r="A3916" t="s">
        <v>5411</v>
      </c>
      <c r="B3916" t="s">
        <v>16</v>
      </c>
      <c r="C3916" t="s">
        <v>17</v>
      </c>
      <c r="D3916">
        <v>68924000</v>
      </c>
      <c r="E3916">
        <v>68924999</v>
      </c>
      <c r="F3916" t="s">
        <v>3561</v>
      </c>
      <c r="G3916" t="str">
        <f t="shared" si="122"/>
        <v>APR</v>
      </c>
      <c r="H3916" t="s">
        <v>3557</v>
      </c>
      <c r="I3916" t="s">
        <v>20</v>
      </c>
      <c r="J3916" t="s">
        <v>77</v>
      </c>
      <c r="K3916" s="6">
        <v>0.03</v>
      </c>
      <c r="L3916" s="7">
        <f t="shared" si="123"/>
        <v>2E-3</v>
      </c>
      <c r="M3916" s="7">
        <v>3.0000000000000001E-3</v>
      </c>
      <c r="N3916">
        <v>17</v>
      </c>
      <c r="O3916" s="8">
        <v>49.77590767518263</v>
      </c>
      <c r="P3916" s="9">
        <v>49.77590767518263</v>
      </c>
      <c r="Q3916" s="9">
        <v>49.77590767518263</v>
      </c>
      <c r="R3916" s="9">
        <v>51.577692441153197</v>
      </c>
      <c r="S3916" s="9">
        <v>53.023942399602873</v>
      </c>
      <c r="T3916" s="9">
        <v>53.362170653318003</v>
      </c>
      <c r="U3916" s="9">
        <v>60.127506009791624</v>
      </c>
      <c r="V3916" s="9">
        <v>60.127506009791624</v>
      </c>
      <c r="W3916" s="9">
        <v>60.127506009791624</v>
      </c>
      <c r="X3916" s="9">
        <v>72.863078485770799</v>
      </c>
      <c r="Y3916" s="9">
        <v>72.863078485770799</v>
      </c>
      <c r="Z3916" s="9">
        <v>85.04546387049389</v>
      </c>
      <c r="AA3916" s="9">
        <v>85.04546387049389</v>
      </c>
      <c r="AB3916" s="9">
        <v>103.8296654132198</v>
      </c>
      <c r="AC3916" s="9">
        <v>103.8296654132198</v>
      </c>
      <c r="AD3916" s="9">
        <v>118.46770652358066</v>
      </c>
      <c r="AE3916" s="9">
        <v>133.40366924423441</v>
      </c>
      <c r="AF3916" s="9">
        <v>150.22852935101852</v>
      </c>
      <c r="AG3916" s="9">
        <v>150.22852935101852</v>
      </c>
      <c r="AH3916" s="9">
        <v>166.00880935292977</v>
      </c>
      <c r="AI3916" s="9">
        <v>181.80625539974244</v>
      </c>
      <c r="AJ3916" s="9">
        <v>3.0428788910505911</v>
      </c>
    </row>
    <row r="3917" spans="1:36" x14ac:dyDescent="0.25">
      <c r="A3917" t="s">
        <v>5411</v>
      </c>
      <c r="B3917" t="s">
        <v>16</v>
      </c>
      <c r="C3917" t="s">
        <v>17</v>
      </c>
      <c r="D3917">
        <v>68925000</v>
      </c>
      <c r="E3917">
        <v>68929578</v>
      </c>
      <c r="F3917" t="s">
        <v>2028</v>
      </c>
      <c r="G3917" t="str">
        <f t="shared" si="122"/>
        <v>API</v>
      </c>
      <c r="H3917" t="s">
        <v>3557</v>
      </c>
      <c r="I3917" t="s">
        <v>20</v>
      </c>
      <c r="J3917" t="s">
        <v>62</v>
      </c>
      <c r="K3917" s="6">
        <v>0.03</v>
      </c>
      <c r="L3917" s="7">
        <f t="shared" si="123"/>
        <v>2E-3</v>
      </c>
      <c r="M3917" s="7">
        <v>3.0000000000000001E-3</v>
      </c>
      <c r="N3917">
        <v>14</v>
      </c>
      <c r="O3917" s="8">
        <v>36.120119300237285</v>
      </c>
      <c r="P3917" s="9">
        <v>36.120119300237285</v>
      </c>
      <c r="Q3917" s="9">
        <v>36.120119300237285</v>
      </c>
      <c r="R3917" s="9">
        <v>36.804661228968868</v>
      </c>
      <c r="S3917" s="9">
        <v>37.367740392890973</v>
      </c>
      <c r="T3917" s="9">
        <v>38.704354011429167</v>
      </c>
      <c r="U3917" s="9">
        <v>49.220941639429668</v>
      </c>
      <c r="V3917" s="9">
        <v>49.220941639429668</v>
      </c>
      <c r="W3917" s="9">
        <v>49.220941639429668</v>
      </c>
      <c r="X3917" s="9">
        <v>60.937557870028357</v>
      </c>
      <c r="Y3917" s="9">
        <v>60.937557870028357</v>
      </c>
      <c r="Z3917" s="9">
        <v>72.964548901380283</v>
      </c>
      <c r="AA3917" s="9">
        <v>72.964548901380283</v>
      </c>
      <c r="AB3917" s="9">
        <v>85.399178400925152</v>
      </c>
      <c r="AC3917" s="9">
        <v>85.399178400925152</v>
      </c>
      <c r="AD3917" s="9">
        <v>98.076854630704631</v>
      </c>
      <c r="AE3917" s="9">
        <v>111.02884052642762</v>
      </c>
      <c r="AF3917" s="9">
        <v>124.29052652886016</v>
      </c>
      <c r="AG3917" s="9">
        <v>124.29052652886016</v>
      </c>
      <c r="AH3917" s="9">
        <v>137.08819210716018</v>
      </c>
      <c r="AI3917" s="9">
        <v>149.72124410978648</v>
      </c>
      <c r="AJ3917" s="9">
        <v>3.0428788910505911</v>
      </c>
    </row>
    <row r="3918" spans="1:36" x14ac:dyDescent="0.25">
      <c r="A3918" t="s">
        <v>5411</v>
      </c>
      <c r="B3918" t="s">
        <v>16</v>
      </c>
      <c r="C3918" t="s">
        <v>17</v>
      </c>
      <c r="D3918">
        <v>68929579</v>
      </c>
      <c r="E3918">
        <v>68944999</v>
      </c>
      <c r="F3918" t="s">
        <v>3562</v>
      </c>
      <c r="G3918" t="str">
        <f t="shared" si="122"/>
        <v>API II</v>
      </c>
      <c r="H3918" t="s">
        <v>3557</v>
      </c>
      <c r="I3918" t="s">
        <v>20</v>
      </c>
      <c r="J3918" t="s">
        <v>64</v>
      </c>
      <c r="K3918" s="6">
        <v>0.03</v>
      </c>
      <c r="L3918" s="7">
        <f t="shared" si="123"/>
        <v>2E-3</v>
      </c>
      <c r="M3918" s="7">
        <v>3.0000000000000001E-3</v>
      </c>
      <c r="N3918">
        <v>14</v>
      </c>
      <c r="O3918" s="8">
        <v>37.390239265099389</v>
      </c>
      <c r="P3918" s="9">
        <v>37.390239265099389</v>
      </c>
      <c r="Q3918" s="9">
        <v>37.390239265099389</v>
      </c>
      <c r="R3918" s="9">
        <v>38.114063254599913</v>
      </c>
      <c r="S3918" s="9">
        <v>38.717639388386893</v>
      </c>
      <c r="T3918" s="9">
        <v>39.413800722517003</v>
      </c>
      <c r="U3918" s="9">
        <v>49.952330001375891</v>
      </c>
      <c r="V3918" s="9">
        <v>49.952330001375891</v>
      </c>
      <c r="W3918" s="9">
        <v>49.952330001375891</v>
      </c>
      <c r="X3918" s="9">
        <v>61.925012865655091</v>
      </c>
      <c r="Y3918" s="9">
        <v>61.925012865655091</v>
      </c>
      <c r="Z3918" s="9">
        <v>74.045669765693347</v>
      </c>
      <c r="AA3918" s="9">
        <v>74.045669765693347</v>
      </c>
      <c r="AB3918" s="9">
        <v>86.329098105066564</v>
      </c>
      <c r="AC3918" s="9">
        <v>86.329098105066564</v>
      </c>
      <c r="AD3918" s="9">
        <v>101.6830693030289</v>
      </c>
      <c r="AE3918" s="9">
        <v>113.18918643463523</v>
      </c>
      <c r="AF3918" s="9">
        <v>124.8903787766523</v>
      </c>
      <c r="AG3918" s="9">
        <v>124.8903787766523</v>
      </c>
      <c r="AH3918" s="9">
        <v>138.07525103804363</v>
      </c>
      <c r="AI3918" s="9">
        <v>149.88350868032381</v>
      </c>
      <c r="AJ3918" s="9">
        <v>3.0428788910505911</v>
      </c>
    </row>
    <row r="3919" spans="1:36" x14ac:dyDescent="0.25">
      <c r="A3919" t="s">
        <v>5411</v>
      </c>
      <c r="B3919" t="s">
        <v>16</v>
      </c>
      <c r="C3919" t="s">
        <v>17</v>
      </c>
      <c r="D3919">
        <v>68945000</v>
      </c>
      <c r="E3919">
        <v>68947999</v>
      </c>
      <c r="F3919" t="s">
        <v>3563</v>
      </c>
      <c r="G3919" t="str">
        <f t="shared" si="122"/>
        <v>APR</v>
      </c>
      <c r="H3919" t="s">
        <v>3557</v>
      </c>
      <c r="I3919" t="s">
        <v>20</v>
      </c>
      <c r="J3919" t="s">
        <v>77</v>
      </c>
      <c r="K3919" s="6">
        <v>0.03</v>
      </c>
      <c r="L3919" s="7">
        <f t="shared" si="123"/>
        <v>2E-3</v>
      </c>
      <c r="M3919" s="7">
        <v>3.0000000000000001E-3</v>
      </c>
      <c r="N3919">
        <v>17</v>
      </c>
      <c r="O3919" s="8">
        <v>49.77590767518263</v>
      </c>
      <c r="P3919" s="9">
        <v>49.77590767518263</v>
      </c>
      <c r="Q3919" s="9">
        <v>49.77590767518263</v>
      </c>
      <c r="R3919" s="9">
        <v>51.577692441153197</v>
      </c>
      <c r="S3919" s="9">
        <v>53.023942399602873</v>
      </c>
      <c r="T3919" s="9">
        <v>53.362170653318003</v>
      </c>
      <c r="U3919" s="9">
        <v>60.127506009791624</v>
      </c>
      <c r="V3919" s="9">
        <v>60.127506009791624</v>
      </c>
      <c r="W3919" s="9">
        <v>60.127506009791624</v>
      </c>
      <c r="X3919" s="9">
        <v>72.863078485770799</v>
      </c>
      <c r="Y3919" s="9">
        <v>72.863078485770799</v>
      </c>
      <c r="Z3919" s="9">
        <v>85.04546387049389</v>
      </c>
      <c r="AA3919" s="9">
        <v>85.04546387049389</v>
      </c>
      <c r="AB3919" s="9">
        <v>103.8296654132198</v>
      </c>
      <c r="AC3919" s="9">
        <v>103.8296654132198</v>
      </c>
      <c r="AD3919" s="9">
        <v>118.46770652358066</v>
      </c>
      <c r="AE3919" s="9">
        <v>133.40366924423441</v>
      </c>
      <c r="AF3919" s="9">
        <v>150.22852935101852</v>
      </c>
      <c r="AG3919" s="9">
        <v>150.22852935101852</v>
      </c>
      <c r="AH3919" s="9">
        <v>166.00880935292977</v>
      </c>
      <c r="AI3919" s="9">
        <v>181.80625539974244</v>
      </c>
      <c r="AJ3919" s="9">
        <v>3.0428788910505911</v>
      </c>
    </row>
    <row r="3920" spans="1:36" x14ac:dyDescent="0.25">
      <c r="A3920" t="s">
        <v>5411</v>
      </c>
      <c r="B3920" t="s">
        <v>16</v>
      </c>
      <c r="C3920" t="s">
        <v>17</v>
      </c>
      <c r="D3920">
        <v>68948000</v>
      </c>
      <c r="E3920">
        <v>68949999</v>
      </c>
      <c r="F3920" t="s">
        <v>3564</v>
      </c>
      <c r="G3920" t="str">
        <f t="shared" si="122"/>
        <v>APR</v>
      </c>
      <c r="H3920" t="s">
        <v>3557</v>
      </c>
      <c r="I3920" t="s">
        <v>20</v>
      </c>
      <c r="J3920" t="s">
        <v>77</v>
      </c>
      <c r="K3920" s="6">
        <v>0.03</v>
      </c>
      <c r="L3920" s="7">
        <f t="shared" si="123"/>
        <v>2E-3</v>
      </c>
      <c r="M3920" s="7">
        <v>3.0000000000000001E-3</v>
      </c>
      <c r="N3920">
        <v>17</v>
      </c>
      <c r="O3920" s="8">
        <v>49.77590767518263</v>
      </c>
      <c r="P3920" s="9">
        <v>49.77590767518263</v>
      </c>
      <c r="Q3920" s="9">
        <v>49.77590767518263</v>
      </c>
      <c r="R3920" s="9">
        <v>51.577692441153197</v>
      </c>
      <c r="S3920" s="9">
        <v>53.023942399602873</v>
      </c>
      <c r="T3920" s="9">
        <v>53.362170653318003</v>
      </c>
      <c r="U3920" s="9">
        <v>60.127506009791624</v>
      </c>
      <c r="V3920" s="9">
        <v>60.127506009791624</v>
      </c>
      <c r="W3920" s="9">
        <v>60.127506009791624</v>
      </c>
      <c r="X3920" s="9">
        <v>72.863078485770799</v>
      </c>
      <c r="Y3920" s="9">
        <v>72.863078485770799</v>
      </c>
      <c r="Z3920" s="9">
        <v>85.04546387049389</v>
      </c>
      <c r="AA3920" s="9">
        <v>85.04546387049389</v>
      </c>
      <c r="AB3920" s="9">
        <v>103.8296654132198</v>
      </c>
      <c r="AC3920" s="9">
        <v>103.8296654132198</v>
      </c>
      <c r="AD3920" s="9">
        <v>118.46770652358066</v>
      </c>
      <c r="AE3920" s="9">
        <v>133.40366924423441</v>
      </c>
      <c r="AF3920" s="9">
        <v>150.22852935101852</v>
      </c>
      <c r="AG3920" s="9">
        <v>150.22852935101852</v>
      </c>
      <c r="AH3920" s="9">
        <v>166.00880935292977</v>
      </c>
      <c r="AI3920" s="9">
        <v>181.80625539974244</v>
      </c>
      <c r="AJ3920" s="9">
        <v>3.0428788910505911</v>
      </c>
    </row>
    <row r="3921" spans="1:36" x14ac:dyDescent="0.25">
      <c r="A3921" t="s">
        <v>5411</v>
      </c>
      <c r="B3921" t="s">
        <v>16</v>
      </c>
      <c r="C3921" t="s">
        <v>17</v>
      </c>
      <c r="D3921">
        <v>68950000</v>
      </c>
      <c r="E3921">
        <v>68959999</v>
      </c>
      <c r="F3921" t="s">
        <v>3565</v>
      </c>
      <c r="G3921" t="str">
        <f t="shared" si="122"/>
        <v>APR</v>
      </c>
      <c r="H3921" t="s">
        <v>3557</v>
      </c>
      <c r="I3921" t="s">
        <v>20</v>
      </c>
      <c r="J3921" t="s">
        <v>77</v>
      </c>
      <c r="K3921" s="6">
        <v>0.03</v>
      </c>
      <c r="L3921" s="7">
        <f t="shared" si="123"/>
        <v>2E-3</v>
      </c>
      <c r="M3921" s="7">
        <v>3.0000000000000001E-3</v>
      </c>
      <c r="N3921">
        <v>17</v>
      </c>
      <c r="O3921" s="8">
        <v>49.77590767518263</v>
      </c>
      <c r="P3921" s="9">
        <v>49.77590767518263</v>
      </c>
      <c r="Q3921" s="9">
        <v>49.77590767518263</v>
      </c>
      <c r="R3921" s="9">
        <v>51.577692441153197</v>
      </c>
      <c r="S3921" s="9">
        <v>53.023942399602873</v>
      </c>
      <c r="T3921" s="9">
        <v>53.362170653318003</v>
      </c>
      <c r="U3921" s="9">
        <v>60.127506009791624</v>
      </c>
      <c r="V3921" s="9">
        <v>60.127506009791624</v>
      </c>
      <c r="W3921" s="9">
        <v>60.127506009791624</v>
      </c>
      <c r="X3921" s="9">
        <v>72.863078485770799</v>
      </c>
      <c r="Y3921" s="9">
        <v>72.863078485770799</v>
      </c>
      <c r="Z3921" s="9">
        <v>85.04546387049389</v>
      </c>
      <c r="AA3921" s="9">
        <v>85.04546387049389</v>
      </c>
      <c r="AB3921" s="9">
        <v>103.8296654132198</v>
      </c>
      <c r="AC3921" s="9">
        <v>103.8296654132198</v>
      </c>
      <c r="AD3921" s="9">
        <v>118.46770652358066</v>
      </c>
      <c r="AE3921" s="9">
        <v>133.40366924423441</v>
      </c>
      <c r="AF3921" s="9">
        <v>150.22852935101852</v>
      </c>
      <c r="AG3921" s="9">
        <v>150.22852935101852</v>
      </c>
      <c r="AH3921" s="9">
        <v>166.00880935292977</v>
      </c>
      <c r="AI3921" s="9">
        <v>181.80625539974244</v>
      </c>
      <c r="AJ3921" s="9">
        <v>3.0428788910505911</v>
      </c>
    </row>
    <row r="3922" spans="1:36" x14ac:dyDescent="0.25">
      <c r="A3922" t="s">
        <v>5411</v>
      </c>
      <c r="B3922" t="s">
        <v>16</v>
      </c>
      <c r="C3922" t="s">
        <v>17</v>
      </c>
      <c r="D3922">
        <v>68960000</v>
      </c>
      <c r="E3922">
        <v>68972999</v>
      </c>
      <c r="F3922" t="s">
        <v>3566</v>
      </c>
      <c r="G3922" t="str">
        <f t="shared" si="122"/>
        <v>APR</v>
      </c>
      <c r="H3922" t="s">
        <v>3557</v>
      </c>
      <c r="I3922" t="s">
        <v>20</v>
      </c>
      <c r="J3922" t="s">
        <v>77</v>
      </c>
      <c r="K3922" s="6">
        <v>0.03</v>
      </c>
      <c r="L3922" s="7">
        <f t="shared" si="123"/>
        <v>2E-3</v>
      </c>
      <c r="M3922" s="7">
        <v>3.0000000000000001E-3</v>
      </c>
      <c r="N3922">
        <v>17</v>
      </c>
      <c r="O3922" s="8">
        <v>49.77590767518263</v>
      </c>
      <c r="P3922" s="9">
        <v>49.77590767518263</v>
      </c>
      <c r="Q3922" s="9">
        <v>49.77590767518263</v>
      </c>
      <c r="R3922" s="9">
        <v>51.577692441153197</v>
      </c>
      <c r="S3922" s="9">
        <v>53.023942399602873</v>
      </c>
      <c r="T3922" s="9">
        <v>53.362170653318003</v>
      </c>
      <c r="U3922" s="9">
        <v>60.127506009791624</v>
      </c>
      <c r="V3922" s="9">
        <v>60.127506009791624</v>
      </c>
      <c r="W3922" s="9">
        <v>60.127506009791624</v>
      </c>
      <c r="X3922" s="9">
        <v>72.863078485770799</v>
      </c>
      <c r="Y3922" s="9">
        <v>72.863078485770799</v>
      </c>
      <c r="Z3922" s="9">
        <v>85.04546387049389</v>
      </c>
      <c r="AA3922" s="9">
        <v>85.04546387049389</v>
      </c>
      <c r="AB3922" s="9">
        <v>103.8296654132198</v>
      </c>
      <c r="AC3922" s="9">
        <v>103.8296654132198</v>
      </c>
      <c r="AD3922" s="9">
        <v>118.46770652358066</v>
      </c>
      <c r="AE3922" s="9">
        <v>133.40366924423441</v>
      </c>
      <c r="AF3922" s="9">
        <v>150.22852935101852</v>
      </c>
      <c r="AG3922" s="9">
        <v>150.22852935101852</v>
      </c>
      <c r="AH3922" s="9">
        <v>166.00880935292977</v>
      </c>
      <c r="AI3922" s="9">
        <v>181.80625539974244</v>
      </c>
      <c r="AJ3922" s="9">
        <v>3.0428788910505911</v>
      </c>
    </row>
    <row r="3923" spans="1:36" x14ac:dyDescent="0.25">
      <c r="A3923" t="s">
        <v>5411</v>
      </c>
      <c r="B3923" t="s">
        <v>16</v>
      </c>
      <c r="C3923" t="s">
        <v>17</v>
      </c>
      <c r="D3923">
        <v>68973000</v>
      </c>
      <c r="E3923">
        <v>68975999</v>
      </c>
      <c r="F3923" t="s">
        <v>3567</v>
      </c>
      <c r="G3923" t="str">
        <f t="shared" si="122"/>
        <v>APR</v>
      </c>
      <c r="H3923" t="s">
        <v>3557</v>
      </c>
      <c r="I3923" t="s">
        <v>20</v>
      </c>
      <c r="J3923" t="s">
        <v>77</v>
      </c>
      <c r="K3923" s="6">
        <v>0.03</v>
      </c>
      <c r="L3923" s="7">
        <f t="shared" si="123"/>
        <v>2E-3</v>
      </c>
      <c r="M3923" s="7">
        <v>3.0000000000000001E-3</v>
      </c>
      <c r="N3923">
        <v>17</v>
      </c>
      <c r="O3923" s="8">
        <v>49.77590767518263</v>
      </c>
      <c r="P3923" s="9">
        <v>49.77590767518263</v>
      </c>
      <c r="Q3923" s="9">
        <v>49.77590767518263</v>
      </c>
      <c r="R3923" s="9">
        <v>51.577692441153197</v>
      </c>
      <c r="S3923" s="9">
        <v>53.023942399602873</v>
      </c>
      <c r="T3923" s="9">
        <v>53.362170653318003</v>
      </c>
      <c r="U3923" s="9">
        <v>60.127506009791624</v>
      </c>
      <c r="V3923" s="9">
        <v>60.127506009791624</v>
      </c>
      <c r="W3923" s="9">
        <v>60.127506009791624</v>
      </c>
      <c r="X3923" s="9">
        <v>72.863078485770799</v>
      </c>
      <c r="Y3923" s="9">
        <v>72.863078485770799</v>
      </c>
      <c r="Z3923" s="9">
        <v>85.04546387049389</v>
      </c>
      <c r="AA3923" s="9">
        <v>85.04546387049389</v>
      </c>
      <c r="AB3923" s="9">
        <v>103.8296654132198</v>
      </c>
      <c r="AC3923" s="9">
        <v>103.8296654132198</v>
      </c>
      <c r="AD3923" s="9">
        <v>118.46770652358066</v>
      </c>
      <c r="AE3923" s="9">
        <v>133.40366924423441</v>
      </c>
      <c r="AF3923" s="9">
        <v>150.22852935101852</v>
      </c>
      <c r="AG3923" s="9">
        <v>150.22852935101852</v>
      </c>
      <c r="AH3923" s="9">
        <v>166.00880935292977</v>
      </c>
      <c r="AI3923" s="9">
        <v>181.80625539974244</v>
      </c>
      <c r="AJ3923" s="9">
        <v>3.0428788910505911</v>
      </c>
    </row>
    <row r="3924" spans="1:36" x14ac:dyDescent="0.25">
      <c r="A3924" t="s">
        <v>5411</v>
      </c>
      <c r="B3924" t="s">
        <v>16</v>
      </c>
      <c r="C3924" t="s">
        <v>17</v>
      </c>
      <c r="D3924">
        <v>68976000</v>
      </c>
      <c r="E3924">
        <v>68979999</v>
      </c>
      <c r="F3924" t="s">
        <v>3568</v>
      </c>
      <c r="G3924" t="str">
        <f t="shared" si="122"/>
        <v>APR</v>
      </c>
      <c r="H3924" t="s">
        <v>3557</v>
      </c>
      <c r="I3924" t="s">
        <v>20</v>
      </c>
      <c r="J3924" t="s">
        <v>77</v>
      </c>
      <c r="K3924" s="6">
        <v>0.03</v>
      </c>
      <c r="L3924" s="7">
        <f t="shared" si="123"/>
        <v>2E-3</v>
      </c>
      <c r="M3924" s="7">
        <v>3.0000000000000001E-3</v>
      </c>
      <c r="N3924">
        <v>17</v>
      </c>
      <c r="O3924" s="8">
        <v>49.77590767518263</v>
      </c>
      <c r="P3924" s="9">
        <v>49.77590767518263</v>
      </c>
      <c r="Q3924" s="9">
        <v>49.77590767518263</v>
      </c>
      <c r="R3924" s="9">
        <v>51.577692441153197</v>
      </c>
      <c r="S3924" s="9">
        <v>53.023942399602873</v>
      </c>
      <c r="T3924" s="9">
        <v>53.362170653318003</v>
      </c>
      <c r="U3924" s="9">
        <v>60.127506009791624</v>
      </c>
      <c r="V3924" s="9">
        <v>60.127506009791624</v>
      </c>
      <c r="W3924" s="9">
        <v>60.127506009791624</v>
      </c>
      <c r="X3924" s="9">
        <v>72.863078485770799</v>
      </c>
      <c r="Y3924" s="9">
        <v>72.863078485770799</v>
      </c>
      <c r="Z3924" s="9">
        <v>85.04546387049389</v>
      </c>
      <c r="AA3924" s="9">
        <v>85.04546387049389</v>
      </c>
      <c r="AB3924" s="9">
        <v>103.8296654132198</v>
      </c>
      <c r="AC3924" s="9">
        <v>103.8296654132198</v>
      </c>
      <c r="AD3924" s="9">
        <v>118.46770652358066</v>
      </c>
      <c r="AE3924" s="9">
        <v>133.40366924423441</v>
      </c>
      <c r="AF3924" s="9">
        <v>150.22852935101852</v>
      </c>
      <c r="AG3924" s="9">
        <v>150.22852935101852</v>
      </c>
      <c r="AH3924" s="9">
        <v>166.00880935292977</v>
      </c>
      <c r="AI3924" s="9">
        <v>181.80625539974244</v>
      </c>
      <c r="AJ3924" s="9">
        <v>3.0428788910505911</v>
      </c>
    </row>
    <row r="3925" spans="1:36" x14ac:dyDescent="0.25">
      <c r="A3925" t="s">
        <v>5411</v>
      </c>
      <c r="B3925" t="s">
        <v>16</v>
      </c>
      <c r="C3925" t="s">
        <v>17</v>
      </c>
      <c r="D3925">
        <v>68980000</v>
      </c>
      <c r="E3925">
        <v>68989999</v>
      </c>
      <c r="F3925" t="s">
        <v>3569</v>
      </c>
      <c r="G3925" t="str">
        <f t="shared" si="122"/>
        <v>APR</v>
      </c>
      <c r="H3925" t="s">
        <v>3557</v>
      </c>
      <c r="I3925" t="s">
        <v>20</v>
      </c>
      <c r="J3925" t="s">
        <v>77</v>
      </c>
      <c r="K3925" s="6">
        <v>0.03</v>
      </c>
      <c r="L3925" s="7">
        <f t="shared" si="123"/>
        <v>2E-3</v>
      </c>
      <c r="M3925" s="7">
        <v>3.0000000000000001E-3</v>
      </c>
      <c r="N3925">
        <v>17</v>
      </c>
      <c r="O3925" s="8">
        <v>49.77590767518263</v>
      </c>
      <c r="P3925" s="9">
        <v>49.77590767518263</v>
      </c>
      <c r="Q3925" s="9">
        <v>49.77590767518263</v>
      </c>
      <c r="R3925" s="9">
        <v>51.577692441153197</v>
      </c>
      <c r="S3925" s="9">
        <v>53.023942399602873</v>
      </c>
      <c r="T3925" s="9">
        <v>53.362170653318003</v>
      </c>
      <c r="U3925" s="9">
        <v>60.127506009791624</v>
      </c>
      <c r="V3925" s="9">
        <v>60.127506009791624</v>
      </c>
      <c r="W3925" s="9">
        <v>60.127506009791624</v>
      </c>
      <c r="X3925" s="9">
        <v>72.863078485770799</v>
      </c>
      <c r="Y3925" s="9">
        <v>72.863078485770799</v>
      </c>
      <c r="Z3925" s="9">
        <v>85.04546387049389</v>
      </c>
      <c r="AA3925" s="9">
        <v>85.04546387049389</v>
      </c>
      <c r="AB3925" s="9">
        <v>103.8296654132198</v>
      </c>
      <c r="AC3925" s="9">
        <v>103.8296654132198</v>
      </c>
      <c r="AD3925" s="9">
        <v>118.46770652358066</v>
      </c>
      <c r="AE3925" s="9">
        <v>133.40366924423441</v>
      </c>
      <c r="AF3925" s="9">
        <v>150.22852935101852</v>
      </c>
      <c r="AG3925" s="9">
        <v>150.22852935101852</v>
      </c>
      <c r="AH3925" s="9">
        <v>166.00880935292977</v>
      </c>
      <c r="AI3925" s="9">
        <v>181.80625539974244</v>
      </c>
      <c r="AJ3925" s="9">
        <v>3.0428788910505911</v>
      </c>
    </row>
    <row r="3926" spans="1:36" x14ac:dyDescent="0.25">
      <c r="A3926" t="s">
        <v>5411</v>
      </c>
      <c r="B3926" t="s">
        <v>16</v>
      </c>
      <c r="C3926" t="s">
        <v>17</v>
      </c>
      <c r="D3926">
        <v>68990000</v>
      </c>
      <c r="E3926">
        <v>68996999</v>
      </c>
      <c r="F3926" t="s">
        <v>3570</v>
      </c>
      <c r="G3926" t="str">
        <f t="shared" si="122"/>
        <v>APR</v>
      </c>
      <c r="H3926" t="s">
        <v>3557</v>
      </c>
      <c r="I3926" t="s">
        <v>20</v>
      </c>
      <c r="J3926" t="s">
        <v>77</v>
      </c>
      <c r="K3926" s="6">
        <v>0.03</v>
      </c>
      <c r="L3926" s="7">
        <f t="shared" si="123"/>
        <v>2E-3</v>
      </c>
      <c r="M3926" s="7">
        <v>3.0000000000000001E-3</v>
      </c>
      <c r="N3926">
        <v>17</v>
      </c>
      <c r="O3926" s="8">
        <v>49.77590767518263</v>
      </c>
      <c r="P3926" s="9">
        <v>49.77590767518263</v>
      </c>
      <c r="Q3926" s="9">
        <v>49.77590767518263</v>
      </c>
      <c r="R3926" s="9">
        <v>51.577692441153197</v>
      </c>
      <c r="S3926" s="9">
        <v>53.023942399602873</v>
      </c>
      <c r="T3926" s="9">
        <v>53.362170653318003</v>
      </c>
      <c r="U3926" s="9">
        <v>60.127506009791624</v>
      </c>
      <c r="V3926" s="9">
        <v>60.127506009791624</v>
      </c>
      <c r="W3926" s="9">
        <v>60.127506009791624</v>
      </c>
      <c r="X3926" s="9">
        <v>72.863078485770799</v>
      </c>
      <c r="Y3926" s="9">
        <v>72.863078485770799</v>
      </c>
      <c r="Z3926" s="9">
        <v>85.04546387049389</v>
      </c>
      <c r="AA3926" s="9">
        <v>85.04546387049389</v>
      </c>
      <c r="AB3926" s="9">
        <v>103.8296654132198</v>
      </c>
      <c r="AC3926" s="9">
        <v>103.8296654132198</v>
      </c>
      <c r="AD3926" s="9">
        <v>118.46770652358066</v>
      </c>
      <c r="AE3926" s="9">
        <v>133.40366924423441</v>
      </c>
      <c r="AF3926" s="9">
        <v>150.22852935101852</v>
      </c>
      <c r="AG3926" s="9">
        <v>150.22852935101852</v>
      </c>
      <c r="AH3926" s="9">
        <v>166.00880935292977</v>
      </c>
      <c r="AI3926" s="9">
        <v>181.80625539974244</v>
      </c>
      <c r="AJ3926" s="9">
        <v>3.0428788910505911</v>
      </c>
    </row>
    <row r="3927" spans="1:36" x14ac:dyDescent="0.25">
      <c r="A3927" t="s">
        <v>5411</v>
      </c>
      <c r="B3927" t="s">
        <v>16</v>
      </c>
      <c r="C3927" t="s">
        <v>17</v>
      </c>
      <c r="D3927">
        <v>68997000</v>
      </c>
      <c r="E3927">
        <v>68999999</v>
      </c>
      <c r="F3927" t="s">
        <v>3571</v>
      </c>
      <c r="G3927" t="str">
        <f t="shared" si="122"/>
        <v>APR</v>
      </c>
      <c r="H3927" t="s">
        <v>3557</v>
      </c>
      <c r="I3927" t="s">
        <v>20</v>
      </c>
      <c r="J3927" t="s">
        <v>77</v>
      </c>
      <c r="K3927" s="6">
        <v>0.03</v>
      </c>
      <c r="L3927" s="7">
        <f t="shared" si="123"/>
        <v>2E-3</v>
      </c>
      <c r="M3927" s="7">
        <v>3.0000000000000001E-3</v>
      </c>
      <c r="N3927">
        <v>17</v>
      </c>
      <c r="O3927" s="8">
        <v>49.77590767518263</v>
      </c>
      <c r="P3927" s="9">
        <v>49.77590767518263</v>
      </c>
      <c r="Q3927" s="9">
        <v>49.77590767518263</v>
      </c>
      <c r="R3927" s="9">
        <v>51.577692441153197</v>
      </c>
      <c r="S3927" s="9">
        <v>53.023942399602873</v>
      </c>
      <c r="T3927" s="9">
        <v>53.362170653318003</v>
      </c>
      <c r="U3927" s="9">
        <v>60.127506009791624</v>
      </c>
      <c r="V3927" s="9">
        <v>60.127506009791624</v>
      </c>
      <c r="W3927" s="9">
        <v>60.127506009791624</v>
      </c>
      <c r="X3927" s="9">
        <v>72.863078485770799</v>
      </c>
      <c r="Y3927" s="9">
        <v>72.863078485770799</v>
      </c>
      <c r="Z3927" s="9">
        <v>85.04546387049389</v>
      </c>
      <c r="AA3927" s="9">
        <v>85.04546387049389</v>
      </c>
      <c r="AB3927" s="9">
        <v>103.8296654132198</v>
      </c>
      <c r="AC3927" s="9">
        <v>103.8296654132198</v>
      </c>
      <c r="AD3927" s="9">
        <v>118.46770652358066</v>
      </c>
      <c r="AE3927" s="9">
        <v>133.40366924423441</v>
      </c>
      <c r="AF3927" s="9">
        <v>150.22852935101852</v>
      </c>
      <c r="AG3927" s="9">
        <v>150.22852935101852</v>
      </c>
      <c r="AH3927" s="9">
        <v>166.00880935292977</v>
      </c>
      <c r="AI3927" s="9">
        <v>181.80625539974244</v>
      </c>
      <c r="AJ3927" s="9">
        <v>3.0428788910505911</v>
      </c>
    </row>
    <row r="3928" spans="1:36" x14ac:dyDescent="0.25">
      <c r="A3928" t="s">
        <v>5411</v>
      </c>
      <c r="B3928" t="s">
        <v>16</v>
      </c>
      <c r="C3928" t="s">
        <v>17</v>
      </c>
      <c r="D3928">
        <v>69000000</v>
      </c>
      <c r="E3928">
        <v>69099999</v>
      </c>
      <c r="F3928" t="s">
        <v>3572</v>
      </c>
      <c r="G3928" t="str">
        <f t="shared" si="122"/>
        <v>AMC</v>
      </c>
      <c r="H3928" t="s">
        <v>3573</v>
      </c>
      <c r="I3928" t="s">
        <v>20</v>
      </c>
      <c r="J3928" t="s">
        <v>21</v>
      </c>
      <c r="K3928" s="6">
        <v>0.03</v>
      </c>
      <c r="L3928" s="7">
        <f t="shared" si="123"/>
        <v>2E-3</v>
      </c>
      <c r="M3928" s="7">
        <v>3.0000000000000001E-3</v>
      </c>
      <c r="N3928">
        <v>12</v>
      </c>
      <c r="O3928" s="8">
        <v>22.140468937181417</v>
      </c>
      <c r="P3928" s="9">
        <v>22.140468937181417</v>
      </c>
      <c r="Q3928" s="9">
        <v>22.140468937181417</v>
      </c>
      <c r="R3928" s="9">
        <v>22.495222432025844</v>
      </c>
      <c r="S3928" s="9">
        <v>22.729253360613264</v>
      </c>
      <c r="T3928" s="9">
        <v>23.036750252014947</v>
      </c>
      <c r="U3928" s="9">
        <v>32.528605120647242</v>
      </c>
      <c r="V3928" s="9">
        <v>32.528605120647242</v>
      </c>
      <c r="W3928" s="9">
        <v>32.528605120647242</v>
      </c>
      <c r="X3928" s="9">
        <v>42.794884125418676</v>
      </c>
      <c r="Y3928" s="9">
        <v>42.794884125418676</v>
      </c>
      <c r="Z3928" s="9">
        <v>53.253963540845533</v>
      </c>
      <c r="AA3928" s="9">
        <v>53.253963540845533</v>
      </c>
      <c r="AB3928" s="9">
        <v>64.001595376354601</v>
      </c>
      <c r="AC3928" s="9">
        <v>64.001595376354601</v>
      </c>
      <c r="AD3928" s="9">
        <v>74.449895156953758</v>
      </c>
      <c r="AE3928" s="9">
        <v>84.998406103761923</v>
      </c>
      <c r="AF3928" s="9">
        <v>95.657149333399929</v>
      </c>
      <c r="AG3928" s="9">
        <v>95.657149333399929</v>
      </c>
      <c r="AH3928" s="9">
        <v>106.43714807415071</v>
      </c>
      <c r="AI3928" s="9">
        <v>116.65885179730634</v>
      </c>
      <c r="AJ3928" s="9">
        <v>3.0428788910505911</v>
      </c>
    </row>
    <row r="3929" spans="1:36" x14ac:dyDescent="0.25">
      <c r="A3929" t="s">
        <v>5411</v>
      </c>
      <c r="B3929" t="s">
        <v>16</v>
      </c>
      <c r="C3929" t="s">
        <v>17</v>
      </c>
      <c r="D3929">
        <v>69100000</v>
      </c>
      <c r="E3929">
        <v>69113999</v>
      </c>
      <c r="F3929" t="s">
        <v>3574</v>
      </c>
      <c r="G3929" t="str">
        <f t="shared" si="122"/>
        <v>AMR</v>
      </c>
      <c r="H3929" t="s">
        <v>3573</v>
      </c>
      <c r="I3929" t="s">
        <v>20</v>
      </c>
      <c r="J3929" t="s">
        <v>77</v>
      </c>
      <c r="K3929" s="6">
        <v>0.03</v>
      </c>
      <c r="L3929" s="7">
        <f t="shared" si="123"/>
        <v>2E-3</v>
      </c>
      <c r="M3929" s="7">
        <v>3.0000000000000001E-3</v>
      </c>
      <c r="N3929">
        <v>17</v>
      </c>
      <c r="O3929" s="8">
        <v>49.365095147237867</v>
      </c>
      <c r="P3929" s="9">
        <v>49.365095147237867</v>
      </c>
      <c r="Q3929" s="9">
        <v>49.365095147237867</v>
      </c>
      <c r="R3929" s="9">
        <v>50.770888721957412</v>
      </c>
      <c r="S3929" s="9">
        <v>52.200434315108524</v>
      </c>
      <c r="T3929" s="9">
        <v>52.412128096069225</v>
      </c>
      <c r="U3929" s="9">
        <v>59.043428948049694</v>
      </c>
      <c r="V3929" s="9">
        <v>59.043428948049694</v>
      </c>
      <c r="W3929" s="9">
        <v>59.043428948049694</v>
      </c>
      <c r="X3929" s="9">
        <v>71.670593717854672</v>
      </c>
      <c r="Y3929" s="9">
        <v>71.670593717854672</v>
      </c>
      <c r="Z3929" s="9">
        <v>81.082684339640124</v>
      </c>
      <c r="AA3929" s="9">
        <v>81.082684339640124</v>
      </c>
      <c r="AB3929" s="9">
        <v>89.394521523604197</v>
      </c>
      <c r="AC3929" s="9">
        <v>89.394521523604197</v>
      </c>
      <c r="AD3929" s="9">
        <v>100.59499627651029</v>
      </c>
      <c r="AE3929" s="9">
        <v>111.57005612744882</v>
      </c>
      <c r="AF3929" s="9">
        <v>112.69702639136246</v>
      </c>
      <c r="AG3929" s="9">
        <v>112.69702639136246</v>
      </c>
      <c r="AH3929" s="9">
        <v>136.54753079098907</v>
      </c>
      <c r="AI3929" s="9">
        <v>157.12119388919811</v>
      </c>
      <c r="AJ3929" s="9">
        <v>3.0428788910505911</v>
      </c>
    </row>
    <row r="3930" spans="1:36" x14ac:dyDescent="0.25">
      <c r="A3930" t="s">
        <v>5411</v>
      </c>
      <c r="B3930" t="s">
        <v>16</v>
      </c>
      <c r="C3930" t="s">
        <v>17</v>
      </c>
      <c r="D3930">
        <v>69114000</v>
      </c>
      <c r="E3930">
        <v>69116999</v>
      </c>
      <c r="F3930" t="s">
        <v>3575</v>
      </c>
      <c r="G3930" t="str">
        <f t="shared" si="122"/>
        <v>AMR</v>
      </c>
      <c r="H3930" t="s">
        <v>3573</v>
      </c>
      <c r="I3930" t="s">
        <v>20</v>
      </c>
      <c r="J3930" t="s">
        <v>77</v>
      </c>
      <c r="K3930" s="6">
        <v>0.03</v>
      </c>
      <c r="L3930" s="7">
        <f t="shared" si="123"/>
        <v>2E-3</v>
      </c>
      <c r="M3930" s="7">
        <v>3.0000000000000001E-3</v>
      </c>
      <c r="N3930">
        <v>17</v>
      </c>
      <c r="O3930" s="8">
        <v>49.365095147237867</v>
      </c>
      <c r="P3930" s="9">
        <v>49.365095147237867</v>
      </c>
      <c r="Q3930" s="9">
        <v>49.365095147237867</v>
      </c>
      <c r="R3930" s="9">
        <v>50.770888721957412</v>
      </c>
      <c r="S3930" s="9">
        <v>52.200434315108524</v>
      </c>
      <c r="T3930" s="9">
        <v>52.412128096069225</v>
      </c>
      <c r="U3930" s="9">
        <v>59.043428948049694</v>
      </c>
      <c r="V3930" s="9">
        <v>59.043428948049694</v>
      </c>
      <c r="W3930" s="9">
        <v>59.043428948049694</v>
      </c>
      <c r="X3930" s="9">
        <v>71.670593717854672</v>
      </c>
      <c r="Y3930" s="9">
        <v>71.670593717854672</v>
      </c>
      <c r="Z3930" s="9">
        <v>81.082684339640124</v>
      </c>
      <c r="AA3930" s="9">
        <v>81.082684339640124</v>
      </c>
      <c r="AB3930" s="9">
        <v>89.394521523604197</v>
      </c>
      <c r="AC3930" s="9">
        <v>89.394521523604197</v>
      </c>
      <c r="AD3930" s="9">
        <v>100.59499627651029</v>
      </c>
      <c r="AE3930" s="9">
        <v>111.57005612744882</v>
      </c>
      <c r="AF3930" s="9">
        <v>112.69702639136246</v>
      </c>
      <c r="AG3930" s="9">
        <v>112.69702639136246</v>
      </c>
      <c r="AH3930" s="9">
        <v>136.54753079098907</v>
      </c>
      <c r="AI3930" s="9">
        <v>157.12119388919811</v>
      </c>
      <c r="AJ3930" s="9">
        <v>3.0428788910505911</v>
      </c>
    </row>
    <row r="3931" spans="1:36" x14ac:dyDescent="0.25">
      <c r="A3931" t="s">
        <v>5411</v>
      </c>
      <c r="B3931" t="s">
        <v>16</v>
      </c>
      <c r="C3931" t="s">
        <v>17</v>
      </c>
      <c r="D3931">
        <v>69117000</v>
      </c>
      <c r="E3931">
        <v>69119999</v>
      </c>
      <c r="F3931" t="s">
        <v>3576</v>
      </c>
      <c r="G3931" t="str">
        <f t="shared" si="122"/>
        <v>AMR</v>
      </c>
      <c r="H3931" t="s">
        <v>3573</v>
      </c>
      <c r="I3931" t="s">
        <v>20</v>
      </c>
      <c r="J3931" t="s">
        <v>77</v>
      </c>
      <c r="K3931" s="6">
        <v>0.03</v>
      </c>
      <c r="L3931" s="7">
        <f t="shared" si="123"/>
        <v>2E-3</v>
      </c>
      <c r="M3931" s="7">
        <v>3.0000000000000001E-3</v>
      </c>
      <c r="N3931">
        <v>17</v>
      </c>
      <c r="O3931" s="8">
        <v>49.365095147237867</v>
      </c>
      <c r="P3931" s="9">
        <v>49.365095147237867</v>
      </c>
      <c r="Q3931" s="9">
        <v>49.365095147237867</v>
      </c>
      <c r="R3931" s="9">
        <v>50.770888721957412</v>
      </c>
      <c r="S3931" s="9">
        <v>52.200434315108524</v>
      </c>
      <c r="T3931" s="9">
        <v>52.412128096069225</v>
      </c>
      <c r="U3931" s="9">
        <v>59.043428948049694</v>
      </c>
      <c r="V3931" s="9">
        <v>59.043428948049694</v>
      </c>
      <c r="W3931" s="9">
        <v>59.043428948049694</v>
      </c>
      <c r="X3931" s="9">
        <v>71.670593717854672</v>
      </c>
      <c r="Y3931" s="9">
        <v>71.670593717854672</v>
      </c>
      <c r="Z3931" s="9">
        <v>81.082684339640124</v>
      </c>
      <c r="AA3931" s="9">
        <v>81.082684339640124</v>
      </c>
      <c r="AB3931" s="9">
        <v>89.394521523604197</v>
      </c>
      <c r="AC3931" s="9">
        <v>89.394521523604197</v>
      </c>
      <c r="AD3931" s="9">
        <v>100.59499627651029</v>
      </c>
      <c r="AE3931" s="9">
        <v>111.57005612744882</v>
      </c>
      <c r="AF3931" s="9">
        <v>112.69702639136246</v>
      </c>
      <c r="AG3931" s="9">
        <v>112.69702639136246</v>
      </c>
      <c r="AH3931" s="9">
        <v>136.54753079098907</v>
      </c>
      <c r="AI3931" s="9">
        <v>157.12119388919811</v>
      </c>
      <c r="AJ3931" s="9">
        <v>3.0428788910505911</v>
      </c>
    </row>
    <row r="3932" spans="1:36" x14ac:dyDescent="0.25">
      <c r="A3932" t="s">
        <v>5411</v>
      </c>
      <c r="B3932" t="s">
        <v>16</v>
      </c>
      <c r="C3932" t="s">
        <v>17</v>
      </c>
      <c r="D3932">
        <v>69120000</v>
      </c>
      <c r="E3932">
        <v>69129999</v>
      </c>
      <c r="F3932" t="s">
        <v>3577</v>
      </c>
      <c r="G3932" t="str">
        <f t="shared" si="122"/>
        <v>AMR</v>
      </c>
      <c r="H3932" t="s">
        <v>3573</v>
      </c>
      <c r="I3932" t="s">
        <v>20</v>
      </c>
      <c r="J3932" t="s">
        <v>77</v>
      </c>
      <c r="K3932" s="6">
        <v>0.03</v>
      </c>
      <c r="L3932" s="7">
        <f t="shared" si="123"/>
        <v>2E-3</v>
      </c>
      <c r="M3932" s="7">
        <v>3.0000000000000001E-3</v>
      </c>
      <c r="N3932">
        <v>17</v>
      </c>
      <c r="O3932" s="8">
        <v>49.365095147237867</v>
      </c>
      <c r="P3932" s="9">
        <v>49.365095147237867</v>
      </c>
      <c r="Q3932" s="9">
        <v>49.365095147237867</v>
      </c>
      <c r="R3932" s="9">
        <v>50.770888721957412</v>
      </c>
      <c r="S3932" s="9">
        <v>52.200434315108524</v>
      </c>
      <c r="T3932" s="9">
        <v>52.412128096069225</v>
      </c>
      <c r="U3932" s="9">
        <v>59.043428948049694</v>
      </c>
      <c r="V3932" s="9">
        <v>59.043428948049694</v>
      </c>
      <c r="W3932" s="9">
        <v>59.043428948049694</v>
      </c>
      <c r="X3932" s="9">
        <v>71.670593717854672</v>
      </c>
      <c r="Y3932" s="9">
        <v>71.670593717854672</v>
      </c>
      <c r="Z3932" s="9">
        <v>81.082684339640124</v>
      </c>
      <c r="AA3932" s="9">
        <v>81.082684339640124</v>
      </c>
      <c r="AB3932" s="9">
        <v>89.394521523604197</v>
      </c>
      <c r="AC3932" s="9">
        <v>89.394521523604197</v>
      </c>
      <c r="AD3932" s="9">
        <v>100.59499627651029</v>
      </c>
      <c r="AE3932" s="9">
        <v>111.57005612744882</v>
      </c>
      <c r="AF3932" s="9">
        <v>112.69702639136246</v>
      </c>
      <c r="AG3932" s="9">
        <v>112.69702639136246</v>
      </c>
      <c r="AH3932" s="9">
        <v>136.54753079098907</v>
      </c>
      <c r="AI3932" s="9">
        <v>157.12119388919811</v>
      </c>
      <c r="AJ3932" s="9">
        <v>3.0428788910505911</v>
      </c>
    </row>
    <row r="3933" spans="1:36" x14ac:dyDescent="0.25">
      <c r="A3933" t="s">
        <v>5411</v>
      </c>
      <c r="B3933" t="s">
        <v>16</v>
      </c>
      <c r="C3933" t="s">
        <v>17</v>
      </c>
      <c r="D3933">
        <v>69130000</v>
      </c>
      <c r="E3933">
        <v>69134999</v>
      </c>
      <c r="F3933" t="s">
        <v>3578</v>
      </c>
      <c r="G3933" t="str">
        <f t="shared" si="122"/>
        <v>AMR</v>
      </c>
      <c r="H3933" t="s">
        <v>3573</v>
      </c>
      <c r="I3933" t="s">
        <v>20</v>
      </c>
      <c r="J3933" t="s">
        <v>77</v>
      </c>
      <c r="K3933" s="6">
        <v>0.03</v>
      </c>
      <c r="L3933" s="7">
        <f t="shared" si="123"/>
        <v>2E-3</v>
      </c>
      <c r="M3933" s="7">
        <v>3.0000000000000001E-3</v>
      </c>
      <c r="N3933">
        <v>17</v>
      </c>
      <c r="O3933" s="8">
        <v>49.365095147237867</v>
      </c>
      <c r="P3933" s="9">
        <v>49.365095147237867</v>
      </c>
      <c r="Q3933" s="9">
        <v>49.365095147237867</v>
      </c>
      <c r="R3933" s="9">
        <v>50.770888721957412</v>
      </c>
      <c r="S3933" s="9">
        <v>52.200434315108524</v>
      </c>
      <c r="T3933" s="9">
        <v>52.412128096069225</v>
      </c>
      <c r="U3933" s="9">
        <v>59.043428948049694</v>
      </c>
      <c r="V3933" s="9">
        <v>59.043428948049694</v>
      </c>
      <c r="W3933" s="9">
        <v>59.043428948049694</v>
      </c>
      <c r="X3933" s="9">
        <v>71.670593717854672</v>
      </c>
      <c r="Y3933" s="9">
        <v>71.670593717854672</v>
      </c>
      <c r="Z3933" s="9">
        <v>81.082684339640124</v>
      </c>
      <c r="AA3933" s="9">
        <v>81.082684339640124</v>
      </c>
      <c r="AB3933" s="9">
        <v>89.394521523604197</v>
      </c>
      <c r="AC3933" s="9">
        <v>89.394521523604197</v>
      </c>
      <c r="AD3933" s="9">
        <v>100.59499627651029</v>
      </c>
      <c r="AE3933" s="9">
        <v>111.57005612744882</v>
      </c>
      <c r="AF3933" s="9">
        <v>112.69702639136246</v>
      </c>
      <c r="AG3933" s="9">
        <v>112.69702639136246</v>
      </c>
      <c r="AH3933" s="9">
        <v>136.54753079098907</v>
      </c>
      <c r="AI3933" s="9">
        <v>157.12119388919811</v>
      </c>
      <c r="AJ3933" s="9">
        <v>3.0428788910505911</v>
      </c>
    </row>
    <row r="3934" spans="1:36" x14ac:dyDescent="0.25">
      <c r="A3934" t="s">
        <v>5411</v>
      </c>
      <c r="B3934" t="s">
        <v>16</v>
      </c>
      <c r="C3934" t="s">
        <v>17</v>
      </c>
      <c r="D3934">
        <v>69135000</v>
      </c>
      <c r="E3934">
        <v>69139999</v>
      </c>
      <c r="F3934" t="s">
        <v>3579</v>
      </c>
      <c r="G3934" t="str">
        <f t="shared" si="122"/>
        <v>AMR</v>
      </c>
      <c r="H3934" t="s">
        <v>3573</v>
      </c>
      <c r="I3934" t="s">
        <v>20</v>
      </c>
      <c r="J3934" t="s">
        <v>77</v>
      </c>
      <c r="K3934" s="6">
        <v>0.03</v>
      </c>
      <c r="L3934" s="7">
        <f t="shared" si="123"/>
        <v>2E-3</v>
      </c>
      <c r="M3934" s="7">
        <v>3.0000000000000001E-3</v>
      </c>
      <c r="N3934">
        <v>17</v>
      </c>
      <c r="O3934" s="8">
        <v>49.365095147237867</v>
      </c>
      <c r="P3934" s="9">
        <v>49.365095147237867</v>
      </c>
      <c r="Q3934" s="9">
        <v>49.365095147237867</v>
      </c>
      <c r="R3934" s="9">
        <v>50.770888721957412</v>
      </c>
      <c r="S3934" s="9">
        <v>52.200434315108524</v>
      </c>
      <c r="T3934" s="9">
        <v>52.412128096069225</v>
      </c>
      <c r="U3934" s="9">
        <v>59.043428948049694</v>
      </c>
      <c r="V3934" s="9">
        <v>59.043428948049694</v>
      </c>
      <c r="W3934" s="9">
        <v>59.043428948049694</v>
      </c>
      <c r="X3934" s="9">
        <v>71.670593717854672</v>
      </c>
      <c r="Y3934" s="9">
        <v>71.670593717854672</v>
      </c>
      <c r="Z3934" s="9">
        <v>81.082684339640124</v>
      </c>
      <c r="AA3934" s="9">
        <v>81.082684339640124</v>
      </c>
      <c r="AB3934" s="9">
        <v>89.394521523604197</v>
      </c>
      <c r="AC3934" s="9">
        <v>89.394521523604197</v>
      </c>
      <c r="AD3934" s="9">
        <v>100.59499627651029</v>
      </c>
      <c r="AE3934" s="9">
        <v>111.57005612744882</v>
      </c>
      <c r="AF3934" s="9">
        <v>112.69702639136246</v>
      </c>
      <c r="AG3934" s="9">
        <v>112.69702639136246</v>
      </c>
      <c r="AH3934" s="9">
        <v>136.54753079098907</v>
      </c>
      <c r="AI3934" s="9">
        <v>157.12119388919811</v>
      </c>
      <c r="AJ3934" s="9">
        <v>3.0428788910505911</v>
      </c>
    </row>
    <row r="3935" spans="1:36" x14ac:dyDescent="0.25">
      <c r="A3935" t="s">
        <v>5411</v>
      </c>
      <c r="B3935" t="s">
        <v>16</v>
      </c>
      <c r="C3935" t="s">
        <v>17</v>
      </c>
      <c r="D3935">
        <v>69140000</v>
      </c>
      <c r="E3935">
        <v>69149999</v>
      </c>
      <c r="F3935" t="s">
        <v>3580</v>
      </c>
      <c r="G3935" t="str">
        <f t="shared" si="122"/>
        <v>AMR</v>
      </c>
      <c r="H3935" t="s">
        <v>3573</v>
      </c>
      <c r="I3935" t="s">
        <v>20</v>
      </c>
      <c r="J3935" t="s">
        <v>77</v>
      </c>
      <c r="K3935" s="6">
        <v>0.03</v>
      </c>
      <c r="L3935" s="7">
        <f t="shared" si="123"/>
        <v>2E-3</v>
      </c>
      <c r="M3935" s="7">
        <v>3.0000000000000001E-3</v>
      </c>
      <c r="N3935">
        <v>17</v>
      </c>
      <c r="O3935" s="8">
        <v>49.365095147237867</v>
      </c>
      <c r="P3935" s="9">
        <v>49.365095147237867</v>
      </c>
      <c r="Q3935" s="9">
        <v>49.365095147237867</v>
      </c>
      <c r="R3935" s="9">
        <v>50.770888721957412</v>
      </c>
      <c r="S3935" s="9">
        <v>52.200434315108524</v>
      </c>
      <c r="T3935" s="9">
        <v>52.412128096069225</v>
      </c>
      <c r="U3935" s="9">
        <v>59.043428948049694</v>
      </c>
      <c r="V3935" s="9">
        <v>59.043428948049694</v>
      </c>
      <c r="W3935" s="9">
        <v>59.043428948049694</v>
      </c>
      <c r="X3935" s="9">
        <v>71.670593717854672</v>
      </c>
      <c r="Y3935" s="9">
        <v>71.670593717854672</v>
      </c>
      <c r="Z3935" s="9">
        <v>81.082684339640124</v>
      </c>
      <c r="AA3935" s="9">
        <v>81.082684339640124</v>
      </c>
      <c r="AB3935" s="9">
        <v>89.394521523604197</v>
      </c>
      <c r="AC3935" s="9">
        <v>89.394521523604197</v>
      </c>
      <c r="AD3935" s="9">
        <v>100.59499627651029</v>
      </c>
      <c r="AE3935" s="9">
        <v>111.57005612744882</v>
      </c>
      <c r="AF3935" s="9">
        <v>112.69702639136246</v>
      </c>
      <c r="AG3935" s="9">
        <v>112.69702639136246</v>
      </c>
      <c r="AH3935" s="9">
        <v>136.54753079098907</v>
      </c>
      <c r="AI3935" s="9">
        <v>157.12119388919811</v>
      </c>
      <c r="AJ3935" s="9">
        <v>3.0428788910505911</v>
      </c>
    </row>
    <row r="3936" spans="1:36" x14ac:dyDescent="0.25">
      <c r="A3936" t="s">
        <v>5411</v>
      </c>
      <c r="B3936" t="s">
        <v>16</v>
      </c>
      <c r="C3936" t="s">
        <v>17</v>
      </c>
      <c r="D3936">
        <v>69150000</v>
      </c>
      <c r="E3936">
        <v>69159999</v>
      </c>
      <c r="F3936" t="s">
        <v>3581</v>
      </c>
      <c r="G3936" t="str">
        <f t="shared" si="122"/>
        <v>AMR</v>
      </c>
      <c r="H3936" t="s">
        <v>3573</v>
      </c>
      <c r="I3936" t="s">
        <v>20</v>
      </c>
      <c r="J3936" t="s">
        <v>77</v>
      </c>
      <c r="K3936" s="6">
        <v>0.03</v>
      </c>
      <c r="L3936" s="7">
        <f t="shared" si="123"/>
        <v>2E-3</v>
      </c>
      <c r="M3936" s="7">
        <v>3.0000000000000001E-3</v>
      </c>
      <c r="N3936">
        <v>17</v>
      </c>
      <c r="O3936" s="8">
        <v>49.365095147237867</v>
      </c>
      <c r="P3936" s="9">
        <v>49.365095147237867</v>
      </c>
      <c r="Q3936" s="9">
        <v>49.365095147237867</v>
      </c>
      <c r="R3936" s="9">
        <v>50.770888721957412</v>
      </c>
      <c r="S3936" s="9">
        <v>52.200434315108524</v>
      </c>
      <c r="T3936" s="9">
        <v>52.412128096069225</v>
      </c>
      <c r="U3936" s="9">
        <v>59.043428948049694</v>
      </c>
      <c r="V3936" s="9">
        <v>59.043428948049694</v>
      </c>
      <c r="W3936" s="9">
        <v>59.043428948049694</v>
      </c>
      <c r="X3936" s="9">
        <v>71.670593717854672</v>
      </c>
      <c r="Y3936" s="9">
        <v>71.670593717854672</v>
      </c>
      <c r="Z3936" s="9">
        <v>81.082684339640124</v>
      </c>
      <c r="AA3936" s="9">
        <v>81.082684339640124</v>
      </c>
      <c r="AB3936" s="9">
        <v>89.394521523604197</v>
      </c>
      <c r="AC3936" s="9">
        <v>89.394521523604197</v>
      </c>
      <c r="AD3936" s="9">
        <v>100.59499627651029</v>
      </c>
      <c r="AE3936" s="9">
        <v>111.57005612744882</v>
      </c>
      <c r="AF3936" s="9">
        <v>112.69702639136246</v>
      </c>
      <c r="AG3936" s="9">
        <v>112.69702639136246</v>
      </c>
      <c r="AH3936" s="9">
        <v>136.54753079098907</v>
      </c>
      <c r="AI3936" s="9">
        <v>157.12119388919811</v>
      </c>
      <c r="AJ3936" s="9">
        <v>3.0428788910505911</v>
      </c>
    </row>
    <row r="3937" spans="1:36" x14ac:dyDescent="0.25">
      <c r="A3937" t="s">
        <v>5411</v>
      </c>
      <c r="B3937" t="s">
        <v>16</v>
      </c>
      <c r="C3937" t="s">
        <v>17</v>
      </c>
      <c r="D3937">
        <v>69160000</v>
      </c>
      <c r="E3937">
        <v>69179999</v>
      </c>
      <c r="F3937" t="s">
        <v>3582</v>
      </c>
      <c r="G3937" t="str">
        <f t="shared" si="122"/>
        <v>AMR</v>
      </c>
      <c r="H3937" t="s">
        <v>3573</v>
      </c>
      <c r="I3937" t="s">
        <v>20</v>
      </c>
      <c r="J3937" t="s">
        <v>77</v>
      </c>
      <c r="K3937" s="6">
        <v>0.03</v>
      </c>
      <c r="L3937" s="7">
        <f t="shared" si="123"/>
        <v>2E-3</v>
      </c>
      <c r="M3937" s="7">
        <v>3.0000000000000001E-3</v>
      </c>
      <c r="N3937">
        <v>17</v>
      </c>
      <c r="O3937" s="8">
        <v>49.365095147237867</v>
      </c>
      <c r="P3937" s="9">
        <v>49.365095147237867</v>
      </c>
      <c r="Q3937" s="9">
        <v>49.365095147237867</v>
      </c>
      <c r="R3937" s="9">
        <v>50.770888721957412</v>
      </c>
      <c r="S3937" s="9">
        <v>52.200434315108524</v>
      </c>
      <c r="T3937" s="9">
        <v>52.412128096069225</v>
      </c>
      <c r="U3937" s="9">
        <v>59.043428948049694</v>
      </c>
      <c r="V3937" s="9">
        <v>59.043428948049694</v>
      </c>
      <c r="W3937" s="9">
        <v>59.043428948049694</v>
      </c>
      <c r="X3937" s="9">
        <v>71.670593717854672</v>
      </c>
      <c r="Y3937" s="9">
        <v>71.670593717854672</v>
      </c>
      <c r="Z3937" s="9">
        <v>81.082684339640124</v>
      </c>
      <c r="AA3937" s="9">
        <v>81.082684339640124</v>
      </c>
      <c r="AB3937" s="9">
        <v>89.394521523604197</v>
      </c>
      <c r="AC3937" s="9">
        <v>89.394521523604197</v>
      </c>
      <c r="AD3937" s="9">
        <v>100.59499627651029</v>
      </c>
      <c r="AE3937" s="9">
        <v>111.57005612744882</v>
      </c>
      <c r="AF3937" s="9">
        <v>112.69702639136246</v>
      </c>
      <c r="AG3937" s="9">
        <v>112.69702639136246</v>
      </c>
      <c r="AH3937" s="9">
        <v>136.54753079098907</v>
      </c>
      <c r="AI3937" s="9">
        <v>157.12119388919811</v>
      </c>
      <c r="AJ3937" s="9">
        <v>3.0428788910505911</v>
      </c>
    </row>
    <row r="3938" spans="1:36" x14ac:dyDescent="0.25">
      <c r="A3938" t="s">
        <v>5411</v>
      </c>
      <c r="B3938" t="s">
        <v>16</v>
      </c>
      <c r="C3938" t="s">
        <v>17</v>
      </c>
      <c r="D3938">
        <v>69180000</v>
      </c>
      <c r="E3938">
        <v>69189999</v>
      </c>
      <c r="F3938" t="s">
        <v>3583</v>
      </c>
      <c r="G3938" t="str">
        <f t="shared" si="122"/>
        <v>AMR</v>
      </c>
      <c r="H3938" t="s">
        <v>3573</v>
      </c>
      <c r="I3938" t="s">
        <v>20</v>
      </c>
      <c r="J3938" t="s">
        <v>77</v>
      </c>
      <c r="K3938" s="6">
        <v>0.03</v>
      </c>
      <c r="L3938" s="7">
        <f t="shared" si="123"/>
        <v>2E-3</v>
      </c>
      <c r="M3938" s="7">
        <v>3.0000000000000001E-3</v>
      </c>
      <c r="N3938">
        <v>17</v>
      </c>
      <c r="O3938" s="8">
        <v>49.365095147237867</v>
      </c>
      <c r="P3938" s="9">
        <v>49.365095147237867</v>
      </c>
      <c r="Q3938" s="9">
        <v>49.365095147237867</v>
      </c>
      <c r="R3938" s="9">
        <v>50.770888721957412</v>
      </c>
      <c r="S3938" s="9">
        <v>52.200434315108524</v>
      </c>
      <c r="T3938" s="9">
        <v>52.412128096069225</v>
      </c>
      <c r="U3938" s="9">
        <v>59.043428948049694</v>
      </c>
      <c r="V3938" s="9">
        <v>59.043428948049694</v>
      </c>
      <c r="W3938" s="9">
        <v>59.043428948049694</v>
      </c>
      <c r="X3938" s="9">
        <v>71.670593717854672</v>
      </c>
      <c r="Y3938" s="9">
        <v>71.670593717854672</v>
      </c>
      <c r="Z3938" s="9">
        <v>81.082684339640124</v>
      </c>
      <c r="AA3938" s="9">
        <v>81.082684339640124</v>
      </c>
      <c r="AB3938" s="9">
        <v>89.394521523604197</v>
      </c>
      <c r="AC3938" s="9">
        <v>89.394521523604197</v>
      </c>
      <c r="AD3938" s="9">
        <v>100.59499627651029</v>
      </c>
      <c r="AE3938" s="9">
        <v>111.57005612744882</v>
      </c>
      <c r="AF3938" s="9">
        <v>112.69702639136246</v>
      </c>
      <c r="AG3938" s="9">
        <v>112.69702639136246</v>
      </c>
      <c r="AH3938" s="9">
        <v>136.54753079098907</v>
      </c>
      <c r="AI3938" s="9">
        <v>157.12119388919811</v>
      </c>
      <c r="AJ3938" s="9">
        <v>3.0428788910505911</v>
      </c>
    </row>
    <row r="3939" spans="1:36" x14ac:dyDescent="0.25">
      <c r="A3939" t="s">
        <v>5411</v>
      </c>
      <c r="B3939" t="s">
        <v>16</v>
      </c>
      <c r="C3939" t="s">
        <v>17</v>
      </c>
      <c r="D3939">
        <v>69190000</v>
      </c>
      <c r="E3939">
        <v>69194999</v>
      </c>
      <c r="F3939" t="s">
        <v>3584</v>
      </c>
      <c r="G3939" t="str">
        <f t="shared" si="122"/>
        <v>AMR</v>
      </c>
      <c r="H3939" t="s">
        <v>3573</v>
      </c>
      <c r="I3939" t="s">
        <v>20</v>
      </c>
      <c r="J3939" t="s">
        <v>77</v>
      </c>
      <c r="K3939" s="6">
        <v>0.03</v>
      </c>
      <c r="L3939" s="7">
        <f t="shared" si="123"/>
        <v>2E-3</v>
      </c>
      <c r="M3939" s="7">
        <v>3.0000000000000001E-3</v>
      </c>
      <c r="N3939">
        <v>17</v>
      </c>
      <c r="O3939" s="8">
        <v>49.365095147237867</v>
      </c>
      <c r="P3939" s="9">
        <v>49.365095147237867</v>
      </c>
      <c r="Q3939" s="9">
        <v>49.365095147237867</v>
      </c>
      <c r="R3939" s="9">
        <v>50.770888721957412</v>
      </c>
      <c r="S3939" s="9">
        <v>52.200434315108524</v>
      </c>
      <c r="T3939" s="9">
        <v>52.412128096069225</v>
      </c>
      <c r="U3939" s="9">
        <v>59.043428948049694</v>
      </c>
      <c r="V3939" s="9">
        <v>59.043428948049694</v>
      </c>
      <c r="W3939" s="9">
        <v>59.043428948049694</v>
      </c>
      <c r="X3939" s="9">
        <v>71.670593717854672</v>
      </c>
      <c r="Y3939" s="9">
        <v>71.670593717854672</v>
      </c>
      <c r="Z3939" s="9">
        <v>81.082684339640124</v>
      </c>
      <c r="AA3939" s="9">
        <v>81.082684339640124</v>
      </c>
      <c r="AB3939" s="9">
        <v>89.394521523604197</v>
      </c>
      <c r="AC3939" s="9">
        <v>89.394521523604197</v>
      </c>
      <c r="AD3939" s="9">
        <v>100.59499627651029</v>
      </c>
      <c r="AE3939" s="9">
        <v>111.57005612744882</v>
      </c>
      <c r="AF3939" s="9">
        <v>112.69702639136246</v>
      </c>
      <c r="AG3939" s="9">
        <v>112.69702639136246</v>
      </c>
      <c r="AH3939" s="9">
        <v>136.54753079098907</v>
      </c>
      <c r="AI3939" s="9">
        <v>157.12119388919811</v>
      </c>
      <c r="AJ3939" s="9">
        <v>3.0428788910505911</v>
      </c>
    </row>
    <row r="3940" spans="1:36" x14ac:dyDescent="0.25">
      <c r="A3940" t="s">
        <v>5411</v>
      </c>
      <c r="B3940" t="s">
        <v>16</v>
      </c>
      <c r="C3940" t="s">
        <v>17</v>
      </c>
      <c r="D3940">
        <v>69195000</v>
      </c>
      <c r="E3940">
        <v>69199999</v>
      </c>
      <c r="F3940" t="s">
        <v>3585</v>
      </c>
      <c r="G3940" t="str">
        <f t="shared" si="122"/>
        <v>AMR</v>
      </c>
      <c r="H3940" t="s">
        <v>3573</v>
      </c>
      <c r="I3940" t="s">
        <v>20</v>
      </c>
      <c r="J3940" t="s">
        <v>77</v>
      </c>
      <c r="K3940" s="6">
        <v>0.03</v>
      </c>
      <c r="L3940" s="7">
        <f t="shared" si="123"/>
        <v>2E-3</v>
      </c>
      <c r="M3940" s="7">
        <v>3.0000000000000001E-3</v>
      </c>
      <c r="N3940">
        <v>17</v>
      </c>
      <c r="O3940" s="8">
        <v>49.365095147237867</v>
      </c>
      <c r="P3940" s="9">
        <v>49.365095147237867</v>
      </c>
      <c r="Q3940" s="9">
        <v>49.365095147237867</v>
      </c>
      <c r="R3940" s="9">
        <v>50.770888721957412</v>
      </c>
      <c r="S3940" s="9">
        <v>52.200434315108524</v>
      </c>
      <c r="T3940" s="9">
        <v>52.412128096069225</v>
      </c>
      <c r="U3940" s="9">
        <v>59.043428948049694</v>
      </c>
      <c r="V3940" s="9">
        <v>59.043428948049694</v>
      </c>
      <c r="W3940" s="9">
        <v>59.043428948049694</v>
      </c>
      <c r="X3940" s="9">
        <v>71.670593717854672</v>
      </c>
      <c r="Y3940" s="9">
        <v>71.670593717854672</v>
      </c>
      <c r="Z3940" s="9">
        <v>81.082684339640124</v>
      </c>
      <c r="AA3940" s="9">
        <v>81.082684339640124</v>
      </c>
      <c r="AB3940" s="9">
        <v>89.394521523604197</v>
      </c>
      <c r="AC3940" s="9">
        <v>89.394521523604197</v>
      </c>
      <c r="AD3940" s="9">
        <v>100.59499627651029</v>
      </c>
      <c r="AE3940" s="9">
        <v>111.57005612744882</v>
      </c>
      <c r="AF3940" s="9">
        <v>112.69702639136246</v>
      </c>
      <c r="AG3940" s="9">
        <v>112.69702639136246</v>
      </c>
      <c r="AH3940" s="9">
        <v>136.54753079098907</v>
      </c>
      <c r="AI3940" s="9">
        <v>157.12119388919811</v>
      </c>
      <c r="AJ3940" s="9">
        <v>3.0428788910505911</v>
      </c>
    </row>
    <row r="3941" spans="1:36" x14ac:dyDescent="0.25">
      <c r="A3941" t="s">
        <v>5411</v>
      </c>
      <c r="B3941" t="s">
        <v>16</v>
      </c>
      <c r="C3941" t="s">
        <v>17</v>
      </c>
      <c r="D3941">
        <v>69200000</v>
      </c>
      <c r="E3941">
        <v>69229999</v>
      </c>
      <c r="F3941" t="s">
        <v>3586</v>
      </c>
      <c r="G3941" t="str">
        <f t="shared" si="122"/>
        <v>AMR</v>
      </c>
      <c r="H3941" t="s">
        <v>3573</v>
      </c>
      <c r="I3941" t="s">
        <v>20</v>
      </c>
      <c r="J3941" t="s">
        <v>77</v>
      </c>
      <c r="K3941" s="6">
        <v>0.03</v>
      </c>
      <c r="L3941" s="7">
        <f t="shared" si="123"/>
        <v>2E-3</v>
      </c>
      <c r="M3941" s="7">
        <v>3.0000000000000001E-3</v>
      </c>
      <c r="N3941">
        <v>17</v>
      </c>
      <c r="O3941" s="8">
        <v>49.365095147237867</v>
      </c>
      <c r="P3941" s="9">
        <v>49.365095147237867</v>
      </c>
      <c r="Q3941" s="9">
        <v>49.365095147237867</v>
      </c>
      <c r="R3941" s="9">
        <v>50.770888721957412</v>
      </c>
      <c r="S3941" s="9">
        <v>52.200434315108524</v>
      </c>
      <c r="T3941" s="9">
        <v>52.412128096069225</v>
      </c>
      <c r="U3941" s="9">
        <v>59.043428948049694</v>
      </c>
      <c r="V3941" s="9">
        <v>59.043428948049694</v>
      </c>
      <c r="W3941" s="9">
        <v>59.043428948049694</v>
      </c>
      <c r="X3941" s="9">
        <v>71.670593717854672</v>
      </c>
      <c r="Y3941" s="9">
        <v>71.670593717854672</v>
      </c>
      <c r="Z3941" s="9">
        <v>81.082684339640124</v>
      </c>
      <c r="AA3941" s="9">
        <v>81.082684339640124</v>
      </c>
      <c r="AB3941" s="9">
        <v>89.394521523604197</v>
      </c>
      <c r="AC3941" s="9">
        <v>89.394521523604197</v>
      </c>
      <c r="AD3941" s="9">
        <v>100.59499627651029</v>
      </c>
      <c r="AE3941" s="9">
        <v>111.57005612744882</v>
      </c>
      <c r="AF3941" s="9">
        <v>112.69702639136246</v>
      </c>
      <c r="AG3941" s="9">
        <v>112.69702639136246</v>
      </c>
      <c r="AH3941" s="9">
        <v>136.54753079098907</v>
      </c>
      <c r="AI3941" s="9">
        <v>157.12119388919811</v>
      </c>
      <c r="AJ3941" s="9">
        <v>3.0428788910505911</v>
      </c>
    </row>
    <row r="3942" spans="1:36" x14ac:dyDescent="0.25">
      <c r="A3942" t="s">
        <v>5411</v>
      </c>
      <c r="B3942" t="s">
        <v>16</v>
      </c>
      <c r="C3942" t="s">
        <v>17</v>
      </c>
      <c r="D3942">
        <v>69230000</v>
      </c>
      <c r="E3942">
        <v>69239999</v>
      </c>
      <c r="F3942" t="s">
        <v>3587</v>
      </c>
      <c r="G3942" t="str">
        <f t="shared" si="122"/>
        <v>AMR</v>
      </c>
      <c r="H3942" t="s">
        <v>3573</v>
      </c>
      <c r="I3942" t="s">
        <v>20</v>
      </c>
      <c r="J3942" t="s">
        <v>77</v>
      </c>
      <c r="K3942" s="6">
        <v>0.03</v>
      </c>
      <c r="L3942" s="7">
        <f t="shared" si="123"/>
        <v>2E-3</v>
      </c>
      <c r="M3942" s="7">
        <v>3.0000000000000001E-3</v>
      </c>
      <c r="N3942">
        <v>17</v>
      </c>
      <c r="O3942" s="8">
        <v>49.365095147237867</v>
      </c>
      <c r="P3942" s="9">
        <v>49.365095147237867</v>
      </c>
      <c r="Q3942" s="9">
        <v>49.365095147237867</v>
      </c>
      <c r="R3942" s="9">
        <v>50.770888721957412</v>
      </c>
      <c r="S3942" s="9">
        <v>52.200434315108524</v>
      </c>
      <c r="T3942" s="9">
        <v>52.412128096069225</v>
      </c>
      <c r="U3942" s="9">
        <v>59.043428948049694</v>
      </c>
      <c r="V3942" s="9">
        <v>59.043428948049694</v>
      </c>
      <c r="W3942" s="9">
        <v>59.043428948049694</v>
      </c>
      <c r="X3942" s="9">
        <v>71.670593717854672</v>
      </c>
      <c r="Y3942" s="9">
        <v>71.670593717854672</v>
      </c>
      <c r="Z3942" s="9">
        <v>81.082684339640124</v>
      </c>
      <c r="AA3942" s="9">
        <v>81.082684339640124</v>
      </c>
      <c r="AB3942" s="9">
        <v>89.394521523604197</v>
      </c>
      <c r="AC3942" s="9">
        <v>89.394521523604197</v>
      </c>
      <c r="AD3942" s="9">
        <v>100.59499627651029</v>
      </c>
      <c r="AE3942" s="9">
        <v>111.57005612744882</v>
      </c>
      <c r="AF3942" s="9">
        <v>112.69702639136246</v>
      </c>
      <c r="AG3942" s="9">
        <v>112.69702639136246</v>
      </c>
      <c r="AH3942" s="9">
        <v>136.54753079098907</v>
      </c>
      <c r="AI3942" s="9">
        <v>157.12119388919811</v>
      </c>
      <c r="AJ3942" s="9">
        <v>3.0428788910505911</v>
      </c>
    </row>
    <row r="3943" spans="1:36" x14ac:dyDescent="0.25">
      <c r="A3943" t="s">
        <v>5411</v>
      </c>
      <c r="B3943" t="s">
        <v>16</v>
      </c>
      <c r="C3943" t="s">
        <v>17</v>
      </c>
      <c r="D3943">
        <v>69240000</v>
      </c>
      <c r="E3943">
        <v>69249999</v>
      </c>
      <c r="F3943" t="s">
        <v>3588</v>
      </c>
      <c r="G3943" t="str">
        <f t="shared" si="122"/>
        <v>AMR</v>
      </c>
      <c r="H3943" t="s">
        <v>3573</v>
      </c>
      <c r="I3943" t="s">
        <v>20</v>
      </c>
      <c r="J3943" t="s">
        <v>77</v>
      </c>
      <c r="K3943" s="6">
        <v>0.03</v>
      </c>
      <c r="L3943" s="7">
        <f t="shared" si="123"/>
        <v>2E-3</v>
      </c>
      <c r="M3943" s="7">
        <v>3.0000000000000001E-3</v>
      </c>
      <c r="N3943">
        <v>17</v>
      </c>
      <c r="O3943" s="8">
        <v>49.365095147237867</v>
      </c>
      <c r="P3943" s="9">
        <v>49.365095147237867</v>
      </c>
      <c r="Q3943" s="9">
        <v>49.365095147237867</v>
      </c>
      <c r="R3943" s="9">
        <v>50.770888721957412</v>
      </c>
      <c r="S3943" s="9">
        <v>52.200434315108524</v>
      </c>
      <c r="T3943" s="9">
        <v>52.412128096069225</v>
      </c>
      <c r="U3943" s="9">
        <v>59.043428948049694</v>
      </c>
      <c r="V3943" s="9">
        <v>59.043428948049694</v>
      </c>
      <c r="W3943" s="9">
        <v>59.043428948049694</v>
      </c>
      <c r="X3943" s="9">
        <v>71.670593717854672</v>
      </c>
      <c r="Y3943" s="9">
        <v>71.670593717854672</v>
      </c>
      <c r="Z3943" s="9">
        <v>81.082684339640124</v>
      </c>
      <c r="AA3943" s="9">
        <v>81.082684339640124</v>
      </c>
      <c r="AB3943" s="9">
        <v>89.394521523604197</v>
      </c>
      <c r="AC3943" s="9">
        <v>89.394521523604197</v>
      </c>
      <c r="AD3943" s="9">
        <v>100.59499627651029</v>
      </c>
      <c r="AE3943" s="9">
        <v>111.57005612744882</v>
      </c>
      <c r="AF3943" s="9">
        <v>112.69702639136246</v>
      </c>
      <c r="AG3943" s="9">
        <v>112.69702639136246</v>
      </c>
      <c r="AH3943" s="9">
        <v>136.54753079098907</v>
      </c>
      <c r="AI3943" s="9">
        <v>157.12119388919811</v>
      </c>
      <c r="AJ3943" s="9">
        <v>3.0428788910505911</v>
      </c>
    </row>
    <row r="3944" spans="1:36" x14ac:dyDescent="0.25">
      <c r="A3944" t="s">
        <v>5411</v>
      </c>
      <c r="B3944" t="s">
        <v>16</v>
      </c>
      <c r="C3944" t="s">
        <v>17</v>
      </c>
      <c r="D3944">
        <v>69250000</v>
      </c>
      <c r="E3944">
        <v>69254999</v>
      </c>
      <c r="F3944" t="s">
        <v>3589</v>
      </c>
      <c r="G3944" t="str">
        <f t="shared" si="122"/>
        <v>AMR</v>
      </c>
      <c r="H3944" t="s">
        <v>3573</v>
      </c>
      <c r="I3944" t="s">
        <v>20</v>
      </c>
      <c r="J3944" t="s">
        <v>77</v>
      </c>
      <c r="K3944" s="6">
        <v>0.03</v>
      </c>
      <c r="L3944" s="7">
        <f t="shared" si="123"/>
        <v>2E-3</v>
      </c>
      <c r="M3944" s="7">
        <v>3.0000000000000001E-3</v>
      </c>
      <c r="N3944">
        <v>17</v>
      </c>
      <c r="O3944" s="8">
        <v>49.365095147237867</v>
      </c>
      <c r="P3944" s="9">
        <v>49.365095147237867</v>
      </c>
      <c r="Q3944" s="9">
        <v>49.365095147237867</v>
      </c>
      <c r="R3944" s="9">
        <v>50.770888721957412</v>
      </c>
      <c r="S3944" s="9">
        <v>52.200434315108524</v>
      </c>
      <c r="T3944" s="9">
        <v>52.412128096069225</v>
      </c>
      <c r="U3944" s="9">
        <v>59.043428948049694</v>
      </c>
      <c r="V3944" s="9">
        <v>59.043428948049694</v>
      </c>
      <c r="W3944" s="9">
        <v>59.043428948049694</v>
      </c>
      <c r="X3944" s="9">
        <v>71.670593717854672</v>
      </c>
      <c r="Y3944" s="9">
        <v>71.670593717854672</v>
      </c>
      <c r="Z3944" s="9">
        <v>81.082684339640124</v>
      </c>
      <c r="AA3944" s="9">
        <v>81.082684339640124</v>
      </c>
      <c r="AB3944" s="9">
        <v>89.394521523604197</v>
      </c>
      <c r="AC3944" s="9">
        <v>89.394521523604197</v>
      </c>
      <c r="AD3944" s="9">
        <v>100.59499627651029</v>
      </c>
      <c r="AE3944" s="9">
        <v>111.57005612744882</v>
      </c>
      <c r="AF3944" s="9">
        <v>112.69702639136246</v>
      </c>
      <c r="AG3944" s="9">
        <v>112.69702639136246</v>
      </c>
      <c r="AH3944" s="9">
        <v>136.54753079098907</v>
      </c>
      <c r="AI3944" s="9">
        <v>157.12119388919811</v>
      </c>
      <c r="AJ3944" s="9">
        <v>3.0428788910505911</v>
      </c>
    </row>
    <row r="3945" spans="1:36" x14ac:dyDescent="0.25">
      <c r="A3945" t="s">
        <v>5411</v>
      </c>
      <c r="B3945" t="s">
        <v>16</v>
      </c>
      <c r="C3945" t="s">
        <v>17</v>
      </c>
      <c r="D3945">
        <v>69255000</v>
      </c>
      <c r="E3945">
        <v>69259999</v>
      </c>
      <c r="F3945" t="s">
        <v>3590</v>
      </c>
      <c r="G3945" t="str">
        <f t="shared" si="122"/>
        <v>AMR</v>
      </c>
      <c r="H3945" t="s">
        <v>3573</v>
      </c>
      <c r="I3945" t="s">
        <v>20</v>
      </c>
      <c r="J3945" t="s">
        <v>77</v>
      </c>
      <c r="K3945" s="6">
        <v>0.03</v>
      </c>
      <c r="L3945" s="7">
        <f t="shared" si="123"/>
        <v>2E-3</v>
      </c>
      <c r="M3945" s="7">
        <v>3.0000000000000001E-3</v>
      </c>
      <c r="N3945">
        <v>17</v>
      </c>
      <c r="O3945" s="8">
        <v>49.365095147237867</v>
      </c>
      <c r="P3945" s="9">
        <v>49.365095147237867</v>
      </c>
      <c r="Q3945" s="9">
        <v>49.365095147237867</v>
      </c>
      <c r="R3945" s="9">
        <v>50.770888721957412</v>
      </c>
      <c r="S3945" s="9">
        <v>52.200434315108524</v>
      </c>
      <c r="T3945" s="9">
        <v>52.412128096069225</v>
      </c>
      <c r="U3945" s="9">
        <v>59.043428948049694</v>
      </c>
      <c r="V3945" s="9">
        <v>59.043428948049694</v>
      </c>
      <c r="W3945" s="9">
        <v>59.043428948049694</v>
      </c>
      <c r="X3945" s="9">
        <v>71.670593717854672</v>
      </c>
      <c r="Y3945" s="9">
        <v>71.670593717854672</v>
      </c>
      <c r="Z3945" s="9">
        <v>81.082684339640124</v>
      </c>
      <c r="AA3945" s="9">
        <v>81.082684339640124</v>
      </c>
      <c r="AB3945" s="9">
        <v>89.394521523604197</v>
      </c>
      <c r="AC3945" s="9">
        <v>89.394521523604197</v>
      </c>
      <c r="AD3945" s="9">
        <v>100.59499627651029</v>
      </c>
      <c r="AE3945" s="9">
        <v>111.57005612744882</v>
      </c>
      <c r="AF3945" s="9">
        <v>112.69702639136246</v>
      </c>
      <c r="AG3945" s="9">
        <v>112.69702639136246</v>
      </c>
      <c r="AH3945" s="9">
        <v>136.54753079098907</v>
      </c>
      <c r="AI3945" s="9">
        <v>157.12119388919811</v>
      </c>
      <c r="AJ3945" s="9">
        <v>3.0428788910505911</v>
      </c>
    </row>
    <row r="3946" spans="1:36" x14ac:dyDescent="0.25">
      <c r="A3946" t="s">
        <v>5411</v>
      </c>
      <c r="B3946" t="s">
        <v>16</v>
      </c>
      <c r="C3946" t="s">
        <v>17</v>
      </c>
      <c r="D3946">
        <v>69260000</v>
      </c>
      <c r="E3946">
        <v>69264999</v>
      </c>
      <c r="F3946" t="s">
        <v>3591</v>
      </c>
      <c r="G3946" t="str">
        <f t="shared" si="122"/>
        <v>AMR</v>
      </c>
      <c r="H3946" t="s">
        <v>3573</v>
      </c>
      <c r="I3946" t="s">
        <v>20</v>
      </c>
      <c r="J3946" t="s">
        <v>77</v>
      </c>
      <c r="K3946" s="6">
        <v>0.03</v>
      </c>
      <c r="L3946" s="7">
        <f t="shared" si="123"/>
        <v>2E-3</v>
      </c>
      <c r="M3946" s="7">
        <v>3.0000000000000001E-3</v>
      </c>
      <c r="N3946">
        <v>17</v>
      </c>
      <c r="O3946" s="8">
        <v>49.365095147237867</v>
      </c>
      <c r="P3946" s="9">
        <v>49.365095147237867</v>
      </c>
      <c r="Q3946" s="9">
        <v>49.365095147237867</v>
      </c>
      <c r="R3946" s="9">
        <v>50.770888721957412</v>
      </c>
      <c r="S3946" s="9">
        <v>52.200434315108524</v>
      </c>
      <c r="T3946" s="9">
        <v>52.412128096069225</v>
      </c>
      <c r="U3946" s="9">
        <v>59.043428948049694</v>
      </c>
      <c r="V3946" s="9">
        <v>59.043428948049694</v>
      </c>
      <c r="W3946" s="9">
        <v>59.043428948049694</v>
      </c>
      <c r="X3946" s="9">
        <v>71.670593717854672</v>
      </c>
      <c r="Y3946" s="9">
        <v>71.670593717854672</v>
      </c>
      <c r="Z3946" s="9">
        <v>81.082684339640124</v>
      </c>
      <c r="AA3946" s="9">
        <v>81.082684339640124</v>
      </c>
      <c r="AB3946" s="9">
        <v>89.394521523604197</v>
      </c>
      <c r="AC3946" s="9">
        <v>89.394521523604197</v>
      </c>
      <c r="AD3946" s="9">
        <v>100.59499627651029</v>
      </c>
      <c r="AE3946" s="9">
        <v>111.57005612744882</v>
      </c>
      <c r="AF3946" s="9">
        <v>112.69702639136246</v>
      </c>
      <c r="AG3946" s="9">
        <v>112.69702639136246</v>
      </c>
      <c r="AH3946" s="9">
        <v>136.54753079098907</v>
      </c>
      <c r="AI3946" s="9">
        <v>157.12119388919811</v>
      </c>
      <c r="AJ3946" s="9">
        <v>3.0428788910505911</v>
      </c>
    </row>
    <row r="3947" spans="1:36" x14ac:dyDescent="0.25">
      <c r="A3947" t="s">
        <v>5411</v>
      </c>
      <c r="B3947" t="s">
        <v>16</v>
      </c>
      <c r="C3947" t="s">
        <v>17</v>
      </c>
      <c r="D3947">
        <v>69265000</v>
      </c>
      <c r="E3947">
        <v>69279999</v>
      </c>
      <c r="F3947" t="s">
        <v>3592</v>
      </c>
      <c r="G3947" t="str">
        <f t="shared" si="122"/>
        <v>AMR</v>
      </c>
      <c r="H3947" t="s">
        <v>3573</v>
      </c>
      <c r="I3947" t="s">
        <v>20</v>
      </c>
      <c r="J3947" t="s">
        <v>77</v>
      </c>
      <c r="K3947" s="6">
        <v>0.03</v>
      </c>
      <c r="L3947" s="7">
        <f t="shared" si="123"/>
        <v>2E-3</v>
      </c>
      <c r="M3947" s="7">
        <v>3.0000000000000001E-3</v>
      </c>
      <c r="N3947">
        <v>17</v>
      </c>
      <c r="O3947" s="8">
        <v>49.365095147237867</v>
      </c>
      <c r="P3947" s="9">
        <v>49.365095147237867</v>
      </c>
      <c r="Q3947" s="9">
        <v>49.365095147237867</v>
      </c>
      <c r="R3947" s="9">
        <v>50.770888721957412</v>
      </c>
      <c r="S3947" s="9">
        <v>52.200434315108524</v>
      </c>
      <c r="T3947" s="9">
        <v>52.412128096069225</v>
      </c>
      <c r="U3947" s="9">
        <v>59.043428948049694</v>
      </c>
      <c r="V3947" s="9">
        <v>59.043428948049694</v>
      </c>
      <c r="W3947" s="9">
        <v>59.043428948049694</v>
      </c>
      <c r="X3947" s="9">
        <v>71.670593717854672</v>
      </c>
      <c r="Y3947" s="9">
        <v>71.670593717854672</v>
      </c>
      <c r="Z3947" s="9">
        <v>81.082684339640124</v>
      </c>
      <c r="AA3947" s="9">
        <v>81.082684339640124</v>
      </c>
      <c r="AB3947" s="9">
        <v>89.394521523604197</v>
      </c>
      <c r="AC3947" s="9">
        <v>89.394521523604197</v>
      </c>
      <c r="AD3947" s="9">
        <v>100.59499627651029</v>
      </c>
      <c r="AE3947" s="9">
        <v>111.57005612744882</v>
      </c>
      <c r="AF3947" s="9">
        <v>112.69702639136246</v>
      </c>
      <c r="AG3947" s="9">
        <v>112.69702639136246</v>
      </c>
      <c r="AH3947" s="9">
        <v>136.54753079098907</v>
      </c>
      <c r="AI3947" s="9">
        <v>157.12119388919811</v>
      </c>
      <c r="AJ3947" s="9">
        <v>3.0428788910505911</v>
      </c>
    </row>
    <row r="3948" spans="1:36" x14ac:dyDescent="0.25">
      <c r="A3948" t="s">
        <v>5411</v>
      </c>
      <c r="B3948" t="s">
        <v>16</v>
      </c>
      <c r="C3948" t="s">
        <v>17</v>
      </c>
      <c r="D3948">
        <v>69280000</v>
      </c>
      <c r="E3948">
        <v>69299999</v>
      </c>
      <c r="F3948" t="s">
        <v>3593</v>
      </c>
      <c r="G3948" t="str">
        <f t="shared" si="122"/>
        <v>AMR</v>
      </c>
      <c r="H3948" t="s">
        <v>3573</v>
      </c>
      <c r="I3948" t="s">
        <v>20</v>
      </c>
      <c r="J3948" t="s">
        <v>77</v>
      </c>
      <c r="K3948" s="6">
        <v>0.03</v>
      </c>
      <c r="L3948" s="7">
        <f t="shared" si="123"/>
        <v>2E-3</v>
      </c>
      <c r="M3948" s="7">
        <v>3.0000000000000001E-3</v>
      </c>
      <c r="N3948">
        <v>17</v>
      </c>
      <c r="O3948" s="8">
        <v>49.365095147237867</v>
      </c>
      <c r="P3948" s="9">
        <v>49.365095147237867</v>
      </c>
      <c r="Q3948" s="9">
        <v>49.365095147237867</v>
      </c>
      <c r="R3948" s="9">
        <v>50.770888721957412</v>
      </c>
      <c r="S3948" s="9">
        <v>52.200434315108524</v>
      </c>
      <c r="T3948" s="9">
        <v>52.412128096069225</v>
      </c>
      <c r="U3948" s="9">
        <v>59.043428948049694</v>
      </c>
      <c r="V3948" s="9">
        <v>59.043428948049694</v>
      </c>
      <c r="W3948" s="9">
        <v>59.043428948049694</v>
      </c>
      <c r="X3948" s="9">
        <v>71.670593717854672</v>
      </c>
      <c r="Y3948" s="9">
        <v>71.670593717854672</v>
      </c>
      <c r="Z3948" s="9">
        <v>81.082684339640124</v>
      </c>
      <c r="AA3948" s="9">
        <v>81.082684339640124</v>
      </c>
      <c r="AB3948" s="9">
        <v>89.394521523604197</v>
      </c>
      <c r="AC3948" s="9">
        <v>89.394521523604197</v>
      </c>
      <c r="AD3948" s="9">
        <v>100.59499627651029</v>
      </c>
      <c r="AE3948" s="9">
        <v>111.57005612744882</v>
      </c>
      <c r="AF3948" s="9">
        <v>112.69702639136246</v>
      </c>
      <c r="AG3948" s="9">
        <v>112.69702639136246</v>
      </c>
      <c r="AH3948" s="9">
        <v>136.54753079098907</v>
      </c>
      <c r="AI3948" s="9">
        <v>157.12119388919811</v>
      </c>
      <c r="AJ3948" s="9">
        <v>3.0428788910505911</v>
      </c>
    </row>
    <row r="3949" spans="1:36" x14ac:dyDescent="0.25">
      <c r="A3949" t="s">
        <v>5411</v>
      </c>
      <c r="B3949" t="s">
        <v>16</v>
      </c>
      <c r="C3949" t="s">
        <v>17</v>
      </c>
      <c r="D3949">
        <v>69300000</v>
      </c>
      <c r="E3949">
        <v>69339999</v>
      </c>
      <c r="F3949" t="s">
        <v>2477</v>
      </c>
      <c r="G3949" t="str">
        <f t="shared" si="122"/>
        <v>RRC</v>
      </c>
      <c r="H3949" t="s">
        <v>3594</v>
      </c>
      <c r="I3949" t="s">
        <v>20</v>
      </c>
      <c r="J3949" t="s">
        <v>21</v>
      </c>
      <c r="K3949" s="6">
        <v>0.03</v>
      </c>
      <c r="L3949" s="7">
        <f t="shared" si="123"/>
        <v>2E-3</v>
      </c>
      <c r="M3949" s="7">
        <v>3.0000000000000001E-3</v>
      </c>
      <c r="N3949">
        <v>12</v>
      </c>
      <c r="O3949" s="8">
        <v>36.414248910442588</v>
      </c>
      <c r="P3949" s="9">
        <v>36.414248910442588</v>
      </c>
      <c r="Q3949" s="9">
        <v>36.414248910442588</v>
      </c>
      <c r="R3949" s="9">
        <v>36.846302167885199</v>
      </c>
      <c r="S3949" s="9">
        <v>37.143121963835526</v>
      </c>
      <c r="T3949" s="9">
        <v>37.522788685864185</v>
      </c>
      <c r="U3949" s="9">
        <v>48.492422907044407</v>
      </c>
      <c r="V3949" s="9">
        <v>48.492422907044407</v>
      </c>
      <c r="W3949" s="9">
        <v>48.492422907044407</v>
      </c>
      <c r="X3949" s="9">
        <v>60.549318774253891</v>
      </c>
      <c r="Y3949" s="9">
        <v>60.549318774253891</v>
      </c>
      <c r="Z3949" s="9">
        <v>72.924961128366149</v>
      </c>
      <c r="AA3949" s="9">
        <v>72.924961128366149</v>
      </c>
      <c r="AB3949" s="9">
        <v>85.777651585622053</v>
      </c>
      <c r="AC3949" s="9">
        <v>85.777651585622053</v>
      </c>
      <c r="AD3949" s="9">
        <v>98.135472552737582</v>
      </c>
      <c r="AE3949" s="9">
        <v>110.6589672187262</v>
      </c>
      <c r="AF3949" s="9">
        <v>123.36470295347523</v>
      </c>
      <c r="AG3949" s="9">
        <v>123.36470295347523</v>
      </c>
      <c r="AH3949" s="9">
        <v>136.2709038638607</v>
      </c>
      <c r="AI3949" s="9">
        <v>148.2541058298516</v>
      </c>
      <c r="AJ3949" s="9">
        <v>3.0428788910505911</v>
      </c>
    </row>
    <row r="3950" spans="1:36" x14ac:dyDescent="0.25">
      <c r="A3950" t="s">
        <v>5411</v>
      </c>
      <c r="B3950" t="s">
        <v>16</v>
      </c>
      <c r="C3950" t="s">
        <v>17</v>
      </c>
      <c r="D3950">
        <v>69340000</v>
      </c>
      <c r="E3950">
        <v>69342999</v>
      </c>
      <c r="F3950" t="s">
        <v>3595</v>
      </c>
      <c r="G3950" t="str">
        <f t="shared" si="122"/>
        <v>RRR</v>
      </c>
      <c r="H3950" t="s">
        <v>3594</v>
      </c>
      <c r="I3950" t="s">
        <v>20</v>
      </c>
      <c r="J3950" t="s">
        <v>77</v>
      </c>
      <c r="K3950" s="6">
        <v>0.03</v>
      </c>
      <c r="L3950" s="7">
        <f t="shared" si="123"/>
        <v>2E-3</v>
      </c>
      <c r="M3950" s="7">
        <v>3.0000000000000001E-3</v>
      </c>
      <c r="N3950">
        <v>17</v>
      </c>
      <c r="O3950" s="8">
        <v>66.933220997741898</v>
      </c>
      <c r="P3950" s="9">
        <v>66.933220997741898</v>
      </c>
      <c r="Q3950" s="9">
        <v>66.933220997741898</v>
      </c>
      <c r="R3950" s="9">
        <v>68.74102066695302</v>
      </c>
      <c r="S3950" s="9">
        <v>70.413781489323256</v>
      </c>
      <c r="T3950" s="9">
        <v>81.093052260918398</v>
      </c>
      <c r="U3950" s="9">
        <v>99.997478425686808</v>
      </c>
      <c r="V3950" s="9">
        <v>99.997478425686808</v>
      </c>
      <c r="W3950" s="9">
        <v>99.997478425686808</v>
      </c>
      <c r="X3950" s="9">
        <v>111.1608887682555</v>
      </c>
      <c r="Y3950" s="9">
        <v>111.1608887682555</v>
      </c>
      <c r="Z3950" s="9">
        <v>126.11634913115904</v>
      </c>
      <c r="AA3950" s="9">
        <v>126.11634913115904</v>
      </c>
      <c r="AB3950" s="9">
        <v>136.25844966927497</v>
      </c>
      <c r="AC3950" s="9">
        <v>136.25844966927497</v>
      </c>
      <c r="AD3950" s="9">
        <v>147.97349151120244</v>
      </c>
      <c r="AE3950" s="9">
        <v>162.85530003732265</v>
      </c>
      <c r="AF3950" s="9">
        <v>176.92949490586307</v>
      </c>
      <c r="AG3950" s="9">
        <v>176.92949490586307</v>
      </c>
      <c r="AH3950" s="9">
        <v>189.96996002144937</v>
      </c>
      <c r="AI3950" s="9">
        <v>175.64475610771009</v>
      </c>
      <c r="AJ3950" s="9">
        <v>3.0428788910505911</v>
      </c>
    </row>
    <row r="3951" spans="1:36" x14ac:dyDescent="0.25">
      <c r="A3951" t="s">
        <v>5411</v>
      </c>
      <c r="B3951" t="s">
        <v>16</v>
      </c>
      <c r="C3951" t="s">
        <v>17</v>
      </c>
      <c r="D3951">
        <v>69343000</v>
      </c>
      <c r="E3951">
        <v>69344999</v>
      </c>
      <c r="F3951" t="s">
        <v>3596</v>
      </c>
      <c r="G3951" t="str">
        <f t="shared" si="122"/>
        <v>RRR</v>
      </c>
      <c r="H3951" t="s">
        <v>3594</v>
      </c>
      <c r="I3951" t="s">
        <v>20</v>
      </c>
      <c r="J3951" t="s">
        <v>77</v>
      </c>
      <c r="K3951" s="6">
        <v>0.03</v>
      </c>
      <c r="L3951" s="7">
        <f t="shared" si="123"/>
        <v>2E-3</v>
      </c>
      <c r="M3951" s="7">
        <v>3.0000000000000001E-3</v>
      </c>
      <c r="N3951">
        <v>17</v>
      </c>
      <c r="O3951" s="8">
        <v>66.933220997741898</v>
      </c>
      <c r="P3951" s="9">
        <v>66.933220997741898</v>
      </c>
      <c r="Q3951" s="9">
        <v>66.933220997741898</v>
      </c>
      <c r="R3951" s="9">
        <v>68.74102066695302</v>
      </c>
      <c r="S3951" s="9">
        <v>70.413781489323256</v>
      </c>
      <c r="T3951" s="9">
        <v>81.093052260918398</v>
      </c>
      <c r="U3951" s="9">
        <v>99.997478425686808</v>
      </c>
      <c r="V3951" s="9">
        <v>99.997478425686808</v>
      </c>
      <c r="W3951" s="9">
        <v>99.997478425686808</v>
      </c>
      <c r="X3951" s="9">
        <v>111.1608887682555</v>
      </c>
      <c r="Y3951" s="9">
        <v>111.1608887682555</v>
      </c>
      <c r="Z3951" s="9">
        <v>126.11634913115904</v>
      </c>
      <c r="AA3951" s="9">
        <v>126.11634913115904</v>
      </c>
      <c r="AB3951" s="9">
        <v>136.25844966927497</v>
      </c>
      <c r="AC3951" s="9">
        <v>136.25844966927497</v>
      </c>
      <c r="AD3951" s="9">
        <v>147.97349151120244</v>
      </c>
      <c r="AE3951" s="9">
        <v>162.85530003732265</v>
      </c>
      <c r="AF3951" s="9">
        <v>176.92949490586307</v>
      </c>
      <c r="AG3951" s="9">
        <v>176.92949490586307</v>
      </c>
      <c r="AH3951" s="9">
        <v>189.96996002144937</v>
      </c>
      <c r="AI3951" s="9">
        <v>175.64475610771009</v>
      </c>
      <c r="AJ3951" s="9">
        <v>3.0428788910505911</v>
      </c>
    </row>
    <row r="3952" spans="1:36" x14ac:dyDescent="0.25">
      <c r="A3952" t="s">
        <v>5411</v>
      </c>
      <c r="B3952" t="s">
        <v>16</v>
      </c>
      <c r="C3952" t="s">
        <v>17</v>
      </c>
      <c r="D3952">
        <v>69345000</v>
      </c>
      <c r="E3952">
        <v>69347999</v>
      </c>
      <c r="F3952" t="s">
        <v>3597</v>
      </c>
      <c r="G3952" t="str">
        <f t="shared" si="122"/>
        <v>RRR</v>
      </c>
      <c r="H3952" t="s">
        <v>3594</v>
      </c>
      <c r="I3952" t="s">
        <v>20</v>
      </c>
      <c r="J3952" t="s">
        <v>77</v>
      </c>
      <c r="K3952" s="6">
        <v>0.03</v>
      </c>
      <c r="L3952" s="7">
        <f t="shared" si="123"/>
        <v>2E-3</v>
      </c>
      <c r="M3952" s="7">
        <v>3.0000000000000001E-3</v>
      </c>
      <c r="N3952">
        <v>17</v>
      </c>
      <c r="O3952" s="8">
        <v>66.933220997741898</v>
      </c>
      <c r="P3952" s="9">
        <v>66.933220997741898</v>
      </c>
      <c r="Q3952" s="9">
        <v>66.933220997741898</v>
      </c>
      <c r="R3952" s="9">
        <v>68.74102066695302</v>
      </c>
      <c r="S3952" s="9">
        <v>70.413781489323256</v>
      </c>
      <c r="T3952" s="9">
        <v>81.093052260918398</v>
      </c>
      <c r="U3952" s="9">
        <v>99.997478425686808</v>
      </c>
      <c r="V3952" s="9">
        <v>99.997478425686808</v>
      </c>
      <c r="W3952" s="9">
        <v>99.997478425686808</v>
      </c>
      <c r="X3952" s="9">
        <v>111.1608887682555</v>
      </c>
      <c r="Y3952" s="9">
        <v>111.1608887682555</v>
      </c>
      <c r="Z3952" s="9">
        <v>126.11634913115904</v>
      </c>
      <c r="AA3952" s="9">
        <v>126.11634913115904</v>
      </c>
      <c r="AB3952" s="9">
        <v>136.25844966927497</v>
      </c>
      <c r="AC3952" s="9">
        <v>136.25844966927497</v>
      </c>
      <c r="AD3952" s="9">
        <v>147.97349151120244</v>
      </c>
      <c r="AE3952" s="9">
        <v>162.85530003732265</v>
      </c>
      <c r="AF3952" s="9">
        <v>176.92949490586307</v>
      </c>
      <c r="AG3952" s="9">
        <v>176.92949490586307</v>
      </c>
      <c r="AH3952" s="9">
        <v>189.96996002144937</v>
      </c>
      <c r="AI3952" s="9">
        <v>175.64475610771009</v>
      </c>
      <c r="AJ3952" s="9">
        <v>3.0428788910505911</v>
      </c>
    </row>
    <row r="3953" spans="1:36" x14ac:dyDescent="0.25">
      <c r="A3953" t="s">
        <v>5411</v>
      </c>
      <c r="B3953" t="s">
        <v>16</v>
      </c>
      <c r="C3953" t="s">
        <v>17</v>
      </c>
      <c r="D3953">
        <v>69348000</v>
      </c>
      <c r="E3953">
        <v>69349999</v>
      </c>
      <c r="F3953" t="s">
        <v>2924</v>
      </c>
      <c r="G3953" t="str">
        <f t="shared" si="122"/>
        <v>RRR</v>
      </c>
      <c r="H3953" t="s">
        <v>3594</v>
      </c>
      <c r="I3953" t="s">
        <v>20</v>
      </c>
      <c r="J3953" t="s">
        <v>77</v>
      </c>
      <c r="K3953" s="6">
        <v>0.03</v>
      </c>
      <c r="L3953" s="7">
        <f t="shared" si="123"/>
        <v>2E-3</v>
      </c>
      <c r="M3953" s="7">
        <v>3.0000000000000001E-3</v>
      </c>
      <c r="N3953">
        <v>17</v>
      </c>
      <c r="O3953" s="8">
        <v>66.933220997741898</v>
      </c>
      <c r="P3953" s="9">
        <v>66.933220997741898</v>
      </c>
      <c r="Q3953" s="9">
        <v>66.933220997741898</v>
      </c>
      <c r="R3953" s="9">
        <v>68.74102066695302</v>
      </c>
      <c r="S3953" s="9">
        <v>70.413781489323256</v>
      </c>
      <c r="T3953" s="9">
        <v>81.093052260918398</v>
      </c>
      <c r="U3953" s="9">
        <v>99.997478425686808</v>
      </c>
      <c r="V3953" s="9">
        <v>99.997478425686808</v>
      </c>
      <c r="W3953" s="9">
        <v>99.997478425686808</v>
      </c>
      <c r="X3953" s="9">
        <v>111.1608887682555</v>
      </c>
      <c r="Y3953" s="9">
        <v>111.1608887682555</v>
      </c>
      <c r="Z3953" s="9">
        <v>126.11634913115904</v>
      </c>
      <c r="AA3953" s="9">
        <v>126.11634913115904</v>
      </c>
      <c r="AB3953" s="9">
        <v>136.25844966927497</v>
      </c>
      <c r="AC3953" s="9">
        <v>136.25844966927497</v>
      </c>
      <c r="AD3953" s="9">
        <v>147.97349151120244</v>
      </c>
      <c r="AE3953" s="9">
        <v>162.85530003732265</v>
      </c>
      <c r="AF3953" s="9">
        <v>176.92949490586307</v>
      </c>
      <c r="AG3953" s="9">
        <v>176.92949490586307</v>
      </c>
      <c r="AH3953" s="9">
        <v>189.96996002144937</v>
      </c>
      <c r="AI3953" s="9">
        <v>175.64475610771009</v>
      </c>
      <c r="AJ3953" s="9">
        <v>3.0428788910505911</v>
      </c>
    </row>
    <row r="3954" spans="1:36" x14ac:dyDescent="0.25">
      <c r="A3954" t="s">
        <v>5411</v>
      </c>
      <c r="B3954" t="s">
        <v>16</v>
      </c>
      <c r="C3954" t="s">
        <v>17</v>
      </c>
      <c r="D3954">
        <v>69350000</v>
      </c>
      <c r="E3954">
        <v>69354999</v>
      </c>
      <c r="F3954" t="s">
        <v>428</v>
      </c>
      <c r="G3954" t="str">
        <f t="shared" si="122"/>
        <v>RRR</v>
      </c>
      <c r="H3954" t="s">
        <v>3594</v>
      </c>
      <c r="I3954" t="s">
        <v>20</v>
      </c>
      <c r="J3954" t="s">
        <v>77</v>
      </c>
      <c r="K3954" s="6">
        <v>0.03</v>
      </c>
      <c r="L3954" s="7">
        <f t="shared" si="123"/>
        <v>2E-3</v>
      </c>
      <c r="M3954" s="7">
        <v>3.0000000000000001E-3</v>
      </c>
      <c r="N3954">
        <v>17</v>
      </c>
      <c r="O3954" s="8">
        <v>66.933220997741898</v>
      </c>
      <c r="P3954" s="9">
        <v>66.933220997741898</v>
      </c>
      <c r="Q3954" s="9">
        <v>66.933220997741898</v>
      </c>
      <c r="R3954" s="9">
        <v>68.74102066695302</v>
      </c>
      <c r="S3954" s="9">
        <v>70.413781489323256</v>
      </c>
      <c r="T3954" s="9">
        <v>81.093052260918398</v>
      </c>
      <c r="U3954" s="9">
        <v>99.997478425686808</v>
      </c>
      <c r="V3954" s="9">
        <v>99.997478425686808</v>
      </c>
      <c r="W3954" s="9">
        <v>99.997478425686808</v>
      </c>
      <c r="X3954" s="9">
        <v>111.1608887682555</v>
      </c>
      <c r="Y3954" s="9">
        <v>111.1608887682555</v>
      </c>
      <c r="Z3954" s="9">
        <v>126.11634913115904</v>
      </c>
      <c r="AA3954" s="9">
        <v>126.11634913115904</v>
      </c>
      <c r="AB3954" s="9">
        <v>136.25844966927497</v>
      </c>
      <c r="AC3954" s="9">
        <v>136.25844966927497</v>
      </c>
      <c r="AD3954" s="9">
        <v>147.97349151120244</v>
      </c>
      <c r="AE3954" s="9">
        <v>162.85530003732265</v>
      </c>
      <c r="AF3954" s="9">
        <v>176.92949490586307</v>
      </c>
      <c r="AG3954" s="9">
        <v>176.92949490586307</v>
      </c>
      <c r="AH3954" s="9">
        <v>189.96996002144937</v>
      </c>
      <c r="AI3954" s="9">
        <v>175.64475610771009</v>
      </c>
      <c r="AJ3954" s="9">
        <v>3.0428788910505911</v>
      </c>
    </row>
    <row r="3955" spans="1:36" x14ac:dyDescent="0.25">
      <c r="A3955" t="s">
        <v>5411</v>
      </c>
      <c r="B3955" t="s">
        <v>16</v>
      </c>
      <c r="C3955" t="s">
        <v>17</v>
      </c>
      <c r="D3955">
        <v>69355000</v>
      </c>
      <c r="E3955">
        <v>69357999</v>
      </c>
      <c r="F3955" t="s">
        <v>3598</v>
      </c>
      <c r="G3955" t="str">
        <f t="shared" si="122"/>
        <v>RRR</v>
      </c>
      <c r="H3955" t="s">
        <v>3594</v>
      </c>
      <c r="I3955" t="s">
        <v>20</v>
      </c>
      <c r="J3955" t="s">
        <v>77</v>
      </c>
      <c r="K3955" s="6">
        <v>0.03</v>
      </c>
      <c r="L3955" s="7">
        <f t="shared" si="123"/>
        <v>2E-3</v>
      </c>
      <c r="M3955" s="7">
        <v>3.0000000000000001E-3</v>
      </c>
      <c r="N3955">
        <v>17</v>
      </c>
      <c r="O3955" s="8">
        <v>66.933220997741898</v>
      </c>
      <c r="P3955" s="9">
        <v>66.933220997741898</v>
      </c>
      <c r="Q3955" s="9">
        <v>66.933220997741898</v>
      </c>
      <c r="R3955" s="9">
        <v>68.74102066695302</v>
      </c>
      <c r="S3955" s="9">
        <v>70.413781489323256</v>
      </c>
      <c r="T3955" s="9">
        <v>81.093052260918398</v>
      </c>
      <c r="U3955" s="9">
        <v>99.997478425686808</v>
      </c>
      <c r="V3955" s="9">
        <v>99.997478425686808</v>
      </c>
      <c r="W3955" s="9">
        <v>99.997478425686808</v>
      </c>
      <c r="X3955" s="9">
        <v>111.1608887682555</v>
      </c>
      <c r="Y3955" s="9">
        <v>111.1608887682555</v>
      </c>
      <c r="Z3955" s="9">
        <v>126.11634913115904</v>
      </c>
      <c r="AA3955" s="9">
        <v>126.11634913115904</v>
      </c>
      <c r="AB3955" s="9">
        <v>136.25844966927497</v>
      </c>
      <c r="AC3955" s="9">
        <v>136.25844966927497</v>
      </c>
      <c r="AD3955" s="9">
        <v>147.97349151120244</v>
      </c>
      <c r="AE3955" s="9">
        <v>162.85530003732265</v>
      </c>
      <c r="AF3955" s="9">
        <v>176.92949490586307</v>
      </c>
      <c r="AG3955" s="9">
        <v>176.92949490586307</v>
      </c>
      <c r="AH3955" s="9">
        <v>189.96996002144937</v>
      </c>
      <c r="AI3955" s="9">
        <v>175.64475610771009</v>
      </c>
      <c r="AJ3955" s="9">
        <v>3.0428788910505911</v>
      </c>
    </row>
    <row r="3956" spans="1:36" x14ac:dyDescent="0.25">
      <c r="A3956" t="s">
        <v>5411</v>
      </c>
      <c r="B3956" t="s">
        <v>16</v>
      </c>
      <c r="C3956" t="s">
        <v>17</v>
      </c>
      <c r="D3956">
        <v>69358000</v>
      </c>
      <c r="E3956">
        <v>69359999</v>
      </c>
      <c r="F3956" t="s">
        <v>3599</v>
      </c>
      <c r="G3956" t="str">
        <f t="shared" si="122"/>
        <v>RRR</v>
      </c>
      <c r="H3956" t="s">
        <v>3594</v>
      </c>
      <c r="I3956" t="s">
        <v>20</v>
      </c>
      <c r="J3956" t="s">
        <v>77</v>
      </c>
      <c r="K3956" s="6">
        <v>0.03</v>
      </c>
      <c r="L3956" s="7">
        <f t="shared" si="123"/>
        <v>2E-3</v>
      </c>
      <c r="M3956" s="7">
        <v>3.0000000000000001E-3</v>
      </c>
      <c r="N3956">
        <v>17</v>
      </c>
      <c r="O3956" s="8">
        <v>66.933220997741898</v>
      </c>
      <c r="P3956" s="9">
        <v>66.933220997741898</v>
      </c>
      <c r="Q3956" s="9">
        <v>66.933220997741898</v>
      </c>
      <c r="R3956" s="9">
        <v>68.74102066695302</v>
      </c>
      <c r="S3956" s="9">
        <v>70.413781489323256</v>
      </c>
      <c r="T3956" s="9">
        <v>81.093052260918398</v>
      </c>
      <c r="U3956" s="9">
        <v>99.997478425686808</v>
      </c>
      <c r="V3956" s="9">
        <v>99.997478425686808</v>
      </c>
      <c r="W3956" s="9">
        <v>99.997478425686808</v>
      </c>
      <c r="X3956" s="9">
        <v>111.1608887682555</v>
      </c>
      <c r="Y3956" s="9">
        <v>111.1608887682555</v>
      </c>
      <c r="Z3956" s="9">
        <v>126.11634913115904</v>
      </c>
      <c r="AA3956" s="9">
        <v>126.11634913115904</v>
      </c>
      <c r="AB3956" s="9">
        <v>136.25844966927497</v>
      </c>
      <c r="AC3956" s="9">
        <v>136.25844966927497</v>
      </c>
      <c r="AD3956" s="9">
        <v>147.97349151120244</v>
      </c>
      <c r="AE3956" s="9">
        <v>162.85530003732265</v>
      </c>
      <c r="AF3956" s="9">
        <v>176.92949490586307</v>
      </c>
      <c r="AG3956" s="9">
        <v>176.92949490586307</v>
      </c>
      <c r="AH3956" s="9">
        <v>189.96996002144937</v>
      </c>
      <c r="AI3956" s="9">
        <v>175.64475610771009</v>
      </c>
      <c r="AJ3956" s="9">
        <v>3.0428788910505911</v>
      </c>
    </row>
    <row r="3957" spans="1:36" x14ac:dyDescent="0.25">
      <c r="A3957" t="s">
        <v>5411</v>
      </c>
      <c r="B3957" t="s">
        <v>16</v>
      </c>
      <c r="C3957" t="s">
        <v>17</v>
      </c>
      <c r="D3957">
        <v>69360000</v>
      </c>
      <c r="E3957">
        <v>69369999</v>
      </c>
      <c r="F3957" t="s">
        <v>3600</v>
      </c>
      <c r="G3957" t="str">
        <f t="shared" si="122"/>
        <v>RRR</v>
      </c>
      <c r="H3957" t="s">
        <v>3594</v>
      </c>
      <c r="I3957" t="s">
        <v>20</v>
      </c>
      <c r="J3957" t="s">
        <v>77</v>
      </c>
      <c r="K3957" s="6">
        <v>0.03</v>
      </c>
      <c r="L3957" s="7">
        <f t="shared" si="123"/>
        <v>2E-3</v>
      </c>
      <c r="M3957" s="7">
        <v>3.0000000000000001E-3</v>
      </c>
      <c r="N3957">
        <v>17</v>
      </c>
      <c r="O3957" s="8">
        <v>66.933220997741898</v>
      </c>
      <c r="P3957" s="9">
        <v>66.933220997741898</v>
      </c>
      <c r="Q3957" s="9">
        <v>66.933220997741898</v>
      </c>
      <c r="R3957" s="9">
        <v>68.74102066695302</v>
      </c>
      <c r="S3957" s="9">
        <v>70.413781489323256</v>
      </c>
      <c r="T3957" s="9">
        <v>81.093052260918398</v>
      </c>
      <c r="U3957" s="9">
        <v>99.997478425686808</v>
      </c>
      <c r="V3957" s="9">
        <v>99.997478425686808</v>
      </c>
      <c r="W3957" s="9">
        <v>99.997478425686808</v>
      </c>
      <c r="X3957" s="9">
        <v>111.1608887682555</v>
      </c>
      <c r="Y3957" s="9">
        <v>111.1608887682555</v>
      </c>
      <c r="Z3957" s="9">
        <v>126.11634913115904</v>
      </c>
      <c r="AA3957" s="9">
        <v>126.11634913115904</v>
      </c>
      <c r="AB3957" s="9">
        <v>136.25844966927497</v>
      </c>
      <c r="AC3957" s="9">
        <v>136.25844966927497</v>
      </c>
      <c r="AD3957" s="9">
        <v>147.97349151120244</v>
      </c>
      <c r="AE3957" s="9">
        <v>162.85530003732265</v>
      </c>
      <c r="AF3957" s="9">
        <v>176.92949490586307</v>
      </c>
      <c r="AG3957" s="9">
        <v>176.92949490586307</v>
      </c>
      <c r="AH3957" s="9">
        <v>189.96996002144937</v>
      </c>
      <c r="AI3957" s="9">
        <v>175.64475610771009</v>
      </c>
      <c r="AJ3957" s="9">
        <v>3.0428788910505911</v>
      </c>
    </row>
    <row r="3958" spans="1:36" x14ac:dyDescent="0.25">
      <c r="A3958" t="s">
        <v>5411</v>
      </c>
      <c r="B3958" t="s">
        <v>16</v>
      </c>
      <c r="C3958" t="s">
        <v>17</v>
      </c>
      <c r="D3958">
        <v>69370000</v>
      </c>
      <c r="E3958">
        <v>69372999</v>
      </c>
      <c r="F3958" t="s">
        <v>3601</v>
      </c>
      <c r="G3958" t="str">
        <f t="shared" si="122"/>
        <v>RRR</v>
      </c>
      <c r="H3958" t="s">
        <v>3594</v>
      </c>
      <c r="I3958" t="s">
        <v>20</v>
      </c>
      <c r="J3958" t="s">
        <v>77</v>
      </c>
      <c r="K3958" s="6">
        <v>0.03</v>
      </c>
      <c r="L3958" s="7">
        <f t="shared" si="123"/>
        <v>2E-3</v>
      </c>
      <c r="M3958" s="7">
        <v>3.0000000000000001E-3</v>
      </c>
      <c r="N3958">
        <v>17</v>
      </c>
      <c r="O3958" s="8">
        <v>66.933220997741898</v>
      </c>
      <c r="P3958" s="9">
        <v>66.933220997741898</v>
      </c>
      <c r="Q3958" s="9">
        <v>66.933220997741898</v>
      </c>
      <c r="R3958" s="9">
        <v>68.74102066695302</v>
      </c>
      <c r="S3958" s="9">
        <v>70.413781489323256</v>
      </c>
      <c r="T3958" s="9">
        <v>81.093052260918398</v>
      </c>
      <c r="U3958" s="9">
        <v>99.997478425686808</v>
      </c>
      <c r="V3958" s="9">
        <v>99.997478425686808</v>
      </c>
      <c r="W3958" s="9">
        <v>99.997478425686808</v>
      </c>
      <c r="X3958" s="9">
        <v>111.1608887682555</v>
      </c>
      <c r="Y3958" s="9">
        <v>111.1608887682555</v>
      </c>
      <c r="Z3958" s="9">
        <v>126.11634913115904</v>
      </c>
      <c r="AA3958" s="9">
        <v>126.11634913115904</v>
      </c>
      <c r="AB3958" s="9">
        <v>136.25844966927497</v>
      </c>
      <c r="AC3958" s="9">
        <v>136.25844966927497</v>
      </c>
      <c r="AD3958" s="9">
        <v>147.97349151120244</v>
      </c>
      <c r="AE3958" s="9">
        <v>162.85530003732265</v>
      </c>
      <c r="AF3958" s="9">
        <v>176.92949490586307</v>
      </c>
      <c r="AG3958" s="9">
        <v>176.92949490586307</v>
      </c>
      <c r="AH3958" s="9">
        <v>189.96996002144937</v>
      </c>
      <c r="AI3958" s="9">
        <v>175.64475610771009</v>
      </c>
      <c r="AJ3958" s="9">
        <v>3.0428788910505911</v>
      </c>
    </row>
    <row r="3959" spans="1:36" x14ac:dyDescent="0.25">
      <c r="A3959" t="s">
        <v>5411</v>
      </c>
      <c r="B3959" t="s">
        <v>16</v>
      </c>
      <c r="C3959" t="s">
        <v>17</v>
      </c>
      <c r="D3959">
        <v>69373000</v>
      </c>
      <c r="E3959">
        <v>69374999</v>
      </c>
      <c r="F3959" t="s">
        <v>3602</v>
      </c>
      <c r="G3959" t="str">
        <f t="shared" si="122"/>
        <v>RRR</v>
      </c>
      <c r="H3959" t="s">
        <v>3594</v>
      </c>
      <c r="I3959" t="s">
        <v>20</v>
      </c>
      <c r="J3959" t="s">
        <v>77</v>
      </c>
      <c r="K3959" s="6">
        <v>0.03</v>
      </c>
      <c r="L3959" s="7">
        <f t="shared" si="123"/>
        <v>2E-3</v>
      </c>
      <c r="M3959" s="7">
        <v>3.0000000000000001E-3</v>
      </c>
      <c r="N3959">
        <v>17</v>
      </c>
      <c r="O3959" s="8">
        <v>66.933220997741898</v>
      </c>
      <c r="P3959" s="9">
        <v>66.933220997741898</v>
      </c>
      <c r="Q3959" s="9">
        <v>66.933220997741898</v>
      </c>
      <c r="R3959" s="9">
        <v>68.74102066695302</v>
      </c>
      <c r="S3959" s="9">
        <v>70.413781489323256</v>
      </c>
      <c r="T3959" s="9">
        <v>81.093052260918398</v>
      </c>
      <c r="U3959" s="9">
        <v>99.997478425686808</v>
      </c>
      <c r="V3959" s="9">
        <v>99.997478425686808</v>
      </c>
      <c r="W3959" s="9">
        <v>99.997478425686808</v>
      </c>
      <c r="X3959" s="9">
        <v>111.1608887682555</v>
      </c>
      <c r="Y3959" s="9">
        <v>111.1608887682555</v>
      </c>
      <c r="Z3959" s="9">
        <v>126.11634913115904</v>
      </c>
      <c r="AA3959" s="9">
        <v>126.11634913115904</v>
      </c>
      <c r="AB3959" s="9">
        <v>136.25844966927497</v>
      </c>
      <c r="AC3959" s="9">
        <v>136.25844966927497</v>
      </c>
      <c r="AD3959" s="9">
        <v>147.97349151120244</v>
      </c>
      <c r="AE3959" s="9">
        <v>162.85530003732265</v>
      </c>
      <c r="AF3959" s="9">
        <v>176.92949490586307</v>
      </c>
      <c r="AG3959" s="9">
        <v>176.92949490586307</v>
      </c>
      <c r="AH3959" s="9">
        <v>189.96996002144937</v>
      </c>
      <c r="AI3959" s="9">
        <v>175.64475610771009</v>
      </c>
      <c r="AJ3959" s="9">
        <v>3.0428788910505911</v>
      </c>
    </row>
    <row r="3960" spans="1:36" x14ac:dyDescent="0.25">
      <c r="A3960" t="s">
        <v>5411</v>
      </c>
      <c r="B3960" t="s">
        <v>16</v>
      </c>
      <c r="C3960" t="s">
        <v>17</v>
      </c>
      <c r="D3960">
        <v>69375000</v>
      </c>
      <c r="E3960">
        <v>69377999</v>
      </c>
      <c r="F3960" t="s">
        <v>3603</v>
      </c>
      <c r="G3960" t="str">
        <f t="shared" si="122"/>
        <v>RRR</v>
      </c>
      <c r="H3960" t="s">
        <v>3594</v>
      </c>
      <c r="I3960" t="s">
        <v>20</v>
      </c>
      <c r="J3960" t="s">
        <v>77</v>
      </c>
      <c r="K3960" s="6">
        <v>0.03</v>
      </c>
      <c r="L3960" s="7">
        <f t="shared" si="123"/>
        <v>2E-3</v>
      </c>
      <c r="M3960" s="7">
        <v>3.0000000000000001E-3</v>
      </c>
      <c r="N3960">
        <v>17</v>
      </c>
      <c r="O3960" s="8">
        <v>66.933220997741898</v>
      </c>
      <c r="P3960" s="9">
        <v>66.933220997741898</v>
      </c>
      <c r="Q3960" s="9">
        <v>66.933220997741898</v>
      </c>
      <c r="R3960" s="9">
        <v>68.74102066695302</v>
      </c>
      <c r="S3960" s="9">
        <v>70.413781489323256</v>
      </c>
      <c r="T3960" s="9">
        <v>81.093052260918398</v>
      </c>
      <c r="U3960" s="9">
        <v>99.997478425686808</v>
      </c>
      <c r="V3960" s="9">
        <v>99.997478425686808</v>
      </c>
      <c r="W3960" s="9">
        <v>99.997478425686808</v>
      </c>
      <c r="X3960" s="9">
        <v>111.1608887682555</v>
      </c>
      <c r="Y3960" s="9">
        <v>111.1608887682555</v>
      </c>
      <c r="Z3960" s="9">
        <v>126.11634913115904</v>
      </c>
      <c r="AA3960" s="9">
        <v>126.11634913115904</v>
      </c>
      <c r="AB3960" s="9">
        <v>136.25844966927497</v>
      </c>
      <c r="AC3960" s="9">
        <v>136.25844966927497</v>
      </c>
      <c r="AD3960" s="9">
        <v>147.97349151120244</v>
      </c>
      <c r="AE3960" s="9">
        <v>162.85530003732265</v>
      </c>
      <c r="AF3960" s="9">
        <v>176.92949490586307</v>
      </c>
      <c r="AG3960" s="9">
        <v>176.92949490586307</v>
      </c>
      <c r="AH3960" s="9">
        <v>189.96996002144937</v>
      </c>
      <c r="AI3960" s="9">
        <v>175.64475610771009</v>
      </c>
      <c r="AJ3960" s="9">
        <v>3.0428788910505911</v>
      </c>
    </row>
    <row r="3961" spans="1:36" x14ac:dyDescent="0.25">
      <c r="A3961" t="s">
        <v>5411</v>
      </c>
      <c r="B3961" t="s">
        <v>16</v>
      </c>
      <c r="C3961" t="s">
        <v>17</v>
      </c>
      <c r="D3961">
        <v>69378000</v>
      </c>
      <c r="E3961">
        <v>69379999</v>
      </c>
      <c r="F3961" t="s">
        <v>3604</v>
      </c>
      <c r="G3961" t="str">
        <f t="shared" si="122"/>
        <v>RRR</v>
      </c>
      <c r="H3961" t="s">
        <v>3594</v>
      </c>
      <c r="I3961" t="s">
        <v>20</v>
      </c>
      <c r="J3961" t="s">
        <v>77</v>
      </c>
      <c r="K3961" s="6">
        <v>0.03</v>
      </c>
      <c r="L3961" s="7">
        <f t="shared" si="123"/>
        <v>2E-3</v>
      </c>
      <c r="M3961" s="7">
        <v>3.0000000000000001E-3</v>
      </c>
      <c r="N3961">
        <v>17</v>
      </c>
      <c r="O3961" s="8">
        <v>66.933220997741898</v>
      </c>
      <c r="P3961" s="9">
        <v>66.933220997741898</v>
      </c>
      <c r="Q3961" s="9">
        <v>66.933220997741898</v>
      </c>
      <c r="R3961" s="9">
        <v>68.74102066695302</v>
      </c>
      <c r="S3961" s="9">
        <v>70.413781489323256</v>
      </c>
      <c r="T3961" s="9">
        <v>81.093052260918398</v>
      </c>
      <c r="U3961" s="9">
        <v>99.997478425686808</v>
      </c>
      <c r="V3961" s="9">
        <v>99.997478425686808</v>
      </c>
      <c r="W3961" s="9">
        <v>99.997478425686808</v>
      </c>
      <c r="X3961" s="9">
        <v>111.1608887682555</v>
      </c>
      <c r="Y3961" s="9">
        <v>111.1608887682555</v>
      </c>
      <c r="Z3961" s="9">
        <v>126.11634913115904</v>
      </c>
      <c r="AA3961" s="9">
        <v>126.11634913115904</v>
      </c>
      <c r="AB3961" s="9">
        <v>136.25844966927497</v>
      </c>
      <c r="AC3961" s="9">
        <v>136.25844966927497</v>
      </c>
      <c r="AD3961" s="9">
        <v>147.97349151120244</v>
      </c>
      <c r="AE3961" s="9">
        <v>162.85530003732265</v>
      </c>
      <c r="AF3961" s="9">
        <v>176.92949490586307</v>
      </c>
      <c r="AG3961" s="9">
        <v>176.92949490586307</v>
      </c>
      <c r="AH3961" s="9">
        <v>189.96996002144937</v>
      </c>
      <c r="AI3961" s="9">
        <v>175.64475610771009</v>
      </c>
      <c r="AJ3961" s="9">
        <v>3.0428788910505911</v>
      </c>
    </row>
    <row r="3962" spans="1:36" x14ac:dyDescent="0.25">
      <c r="A3962" t="s">
        <v>5411</v>
      </c>
      <c r="B3962" t="s">
        <v>16</v>
      </c>
      <c r="C3962" t="s">
        <v>17</v>
      </c>
      <c r="D3962">
        <v>69380000</v>
      </c>
      <c r="E3962">
        <v>69389999</v>
      </c>
      <c r="F3962" t="s">
        <v>968</v>
      </c>
      <c r="G3962" t="str">
        <f t="shared" si="122"/>
        <v>RRR</v>
      </c>
      <c r="H3962" t="s">
        <v>3594</v>
      </c>
      <c r="I3962" t="s">
        <v>20</v>
      </c>
      <c r="J3962" t="s">
        <v>77</v>
      </c>
      <c r="K3962" s="6">
        <v>0.03</v>
      </c>
      <c r="L3962" s="7">
        <f t="shared" si="123"/>
        <v>2E-3</v>
      </c>
      <c r="M3962" s="7">
        <v>3.0000000000000001E-3</v>
      </c>
      <c r="N3962">
        <v>17</v>
      </c>
      <c r="O3962" s="8">
        <v>66.933220997741898</v>
      </c>
      <c r="P3962" s="9">
        <v>66.933220997741898</v>
      </c>
      <c r="Q3962" s="9">
        <v>66.933220997741898</v>
      </c>
      <c r="R3962" s="9">
        <v>68.74102066695302</v>
      </c>
      <c r="S3962" s="9">
        <v>70.413781489323256</v>
      </c>
      <c r="T3962" s="9">
        <v>81.093052260918398</v>
      </c>
      <c r="U3962" s="9">
        <v>99.997478425686808</v>
      </c>
      <c r="V3962" s="9">
        <v>99.997478425686808</v>
      </c>
      <c r="W3962" s="9">
        <v>99.997478425686808</v>
      </c>
      <c r="X3962" s="9">
        <v>111.1608887682555</v>
      </c>
      <c r="Y3962" s="9">
        <v>111.1608887682555</v>
      </c>
      <c r="Z3962" s="9">
        <v>126.11634913115904</v>
      </c>
      <c r="AA3962" s="9">
        <v>126.11634913115904</v>
      </c>
      <c r="AB3962" s="9">
        <v>136.25844966927497</v>
      </c>
      <c r="AC3962" s="9">
        <v>136.25844966927497</v>
      </c>
      <c r="AD3962" s="9">
        <v>147.97349151120244</v>
      </c>
      <c r="AE3962" s="9">
        <v>162.85530003732265</v>
      </c>
      <c r="AF3962" s="9">
        <v>176.92949490586307</v>
      </c>
      <c r="AG3962" s="9">
        <v>176.92949490586307</v>
      </c>
      <c r="AH3962" s="9">
        <v>189.96996002144937</v>
      </c>
      <c r="AI3962" s="9">
        <v>175.64475610771009</v>
      </c>
      <c r="AJ3962" s="9">
        <v>3.0428788910505911</v>
      </c>
    </row>
    <row r="3963" spans="1:36" x14ac:dyDescent="0.25">
      <c r="A3963" t="s">
        <v>5411</v>
      </c>
      <c r="B3963" t="s">
        <v>16</v>
      </c>
      <c r="C3963" t="s">
        <v>17</v>
      </c>
      <c r="D3963">
        <v>69390000</v>
      </c>
      <c r="E3963">
        <v>69399999</v>
      </c>
      <c r="F3963" t="s">
        <v>3605</v>
      </c>
      <c r="G3963" t="str">
        <f t="shared" si="122"/>
        <v>RRR</v>
      </c>
      <c r="H3963" t="s">
        <v>3594</v>
      </c>
      <c r="I3963" t="s">
        <v>20</v>
      </c>
      <c r="J3963" t="s">
        <v>77</v>
      </c>
      <c r="K3963" s="6">
        <v>0.03</v>
      </c>
      <c r="L3963" s="7">
        <f t="shared" si="123"/>
        <v>2E-3</v>
      </c>
      <c r="M3963" s="7">
        <v>3.0000000000000001E-3</v>
      </c>
      <c r="N3963">
        <v>17</v>
      </c>
      <c r="O3963" s="8">
        <v>66.933220997741898</v>
      </c>
      <c r="P3963" s="9">
        <v>66.933220997741898</v>
      </c>
      <c r="Q3963" s="9">
        <v>66.933220997741898</v>
      </c>
      <c r="R3963" s="9">
        <v>68.74102066695302</v>
      </c>
      <c r="S3963" s="9">
        <v>70.413781489323256</v>
      </c>
      <c r="T3963" s="9">
        <v>81.093052260918398</v>
      </c>
      <c r="U3963" s="9">
        <v>99.997478425686808</v>
      </c>
      <c r="V3963" s="9">
        <v>99.997478425686808</v>
      </c>
      <c r="W3963" s="9">
        <v>99.997478425686808</v>
      </c>
      <c r="X3963" s="9">
        <v>111.1608887682555</v>
      </c>
      <c r="Y3963" s="9">
        <v>111.1608887682555</v>
      </c>
      <c r="Z3963" s="9">
        <v>126.11634913115904</v>
      </c>
      <c r="AA3963" s="9">
        <v>126.11634913115904</v>
      </c>
      <c r="AB3963" s="9">
        <v>136.25844966927497</v>
      </c>
      <c r="AC3963" s="9">
        <v>136.25844966927497</v>
      </c>
      <c r="AD3963" s="9">
        <v>147.97349151120244</v>
      </c>
      <c r="AE3963" s="9">
        <v>162.85530003732265</v>
      </c>
      <c r="AF3963" s="9">
        <v>176.92949490586307</v>
      </c>
      <c r="AG3963" s="9">
        <v>176.92949490586307</v>
      </c>
      <c r="AH3963" s="9">
        <v>189.96996002144937</v>
      </c>
      <c r="AI3963" s="9">
        <v>175.64475610771009</v>
      </c>
      <c r="AJ3963" s="9">
        <v>3.0428788910505911</v>
      </c>
    </row>
    <row r="3964" spans="1:36" x14ac:dyDescent="0.25">
      <c r="A3964" t="s">
        <v>5411</v>
      </c>
      <c r="B3964" t="s">
        <v>16</v>
      </c>
      <c r="C3964" t="s">
        <v>17</v>
      </c>
      <c r="D3964">
        <v>69400000</v>
      </c>
      <c r="E3964">
        <v>69414999</v>
      </c>
      <c r="F3964" t="s">
        <v>3606</v>
      </c>
      <c r="G3964" t="str">
        <f t="shared" si="122"/>
        <v>AMR</v>
      </c>
      <c r="H3964" t="s">
        <v>3573</v>
      </c>
      <c r="I3964" t="s">
        <v>20</v>
      </c>
      <c r="J3964" t="s">
        <v>77</v>
      </c>
      <c r="K3964" s="6">
        <v>0.03</v>
      </c>
      <c r="L3964" s="7">
        <f t="shared" si="123"/>
        <v>2E-3</v>
      </c>
      <c r="M3964" s="7">
        <v>3.0000000000000001E-3</v>
      </c>
      <c r="N3964">
        <v>17</v>
      </c>
      <c r="O3964" s="8">
        <v>49.365095147237867</v>
      </c>
      <c r="P3964" s="9">
        <v>49.365095147237867</v>
      </c>
      <c r="Q3964" s="9">
        <v>49.365095147237867</v>
      </c>
      <c r="R3964" s="9">
        <v>50.770888721957412</v>
      </c>
      <c r="S3964" s="9">
        <v>52.200434315108524</v>
      </c>
      <c r="T3964" s="9">
        <v>52.412128096069225</v>
      </c>
      <c r="U3964" s="9">
        <v>59.043428948049694</v>
      </c>
      <c r="V3964" s="9">
        <v>59.043428948049694</v>
      </c>
      <c r="W3964" s="9">
        <v>59.043428948049694</v>
      </c>
      <c r="X3964" s="9">
        <v>71.670593717854672</v>
      </c>
      <c r="Y3964" s="9">
        <v>71.670593717854672</v>
      </c>
      <c r="Z3964" s="9">
        <v>81.082684339640124</v>
      </c>
      <c r="AA3964" s="9">
        <v>81.082684339640124</v>
      </c>
      <c r="AB3964" s="9">
        <v>89.394521523604197</v>
      </c>
      <c r="AC3964" s="9">
        <v>89.394521523604197</v>
      </c>
      <c r="AD3964" s="9">
        <v>100.59499627651029</v>
      </c>
      <c r="AE3964" s="9">
        <v>111.57005612744882</v>
      </c>
      <c r="AF3964" s="9">
        <v>112.69702639136246</v>
      </c>
      <c r="AG3964" s="9">
        <v>112.69702639136246</v>
      </c>
      <c r="AH3964" s="9">
        <v>136.54753079098907</v>
      </c>
      <c r="AI3964" s="9">
        <v>157.12119388919811</v>
      </c>
      <c r="AJ3964" s="9">
        <v>3.0428788910505911</v>
      </c>
    </row>
    <row r="3965" spans="1:36" x14ac:dyDescent="0.25">
      <c r="A3965" t="s">
        <v>5411</v>
      </c>
      <c r="B3965" t="s">
        <v>16</v>
      </c>
      <c r="C3965" t="s">
        <v>17</v>
      </c>
      <c r="D3965">
        <v>69415000</v>
      </c>
      <c r="E3965">
        <v>69424999</v>
      </c>
      <c r="F3965" t="s">
        <v>3607</v>
      </c>
      <c r="G3965" t="str">
        <f t="shared" si="122"/>
        <v>AMR</v>
      </c>
      <c r="H3965" t="s">
        <v>3573</v>
      </c>
      <c r="I3965" t="s">
        <v>20</v>
      </c>
      <c r="J3965" t="s">
        <v>77</v>
      </c>
      <c r="K3965" s="6">
        <v>0.03</v>
      </c>
      <c r="L3965" s="7">
        <f t="shared" si="123"/>
        <v>2E-3</v>
      </c>
      <c r="M3965" s="7">
        <v>3.0000000000000001E-3</v>
      </c>
      <c r="N3965">
        <v>17</v>
      </c>
      <c r="O3965" s="8">
        <v>49.365095147237867</v>
      </c>
      <c r="P3965" s="9">
        <v>49.365095147237867</v>
      </c>
      <c r="Q3965" s="9">
        <v>49.365095147237867</v>
      </c>
      <c r="R3965" s="9">
        <v>50.770888721957412</v>
      </c>
      <c r="S3965" s="9">
        <v>52.200434315108524</v>
      </c>
      <c r="T3965" s="9">
        <v>52.412128096069225</v>
      </c>
      <c r="U3965" s="9">
        <v>59.043428948049694</v>
      </c>
      <c r="V3965" s="9">
        <v>59.043428948049694</v>
      </c>
      <c r="W3965" s="9">
        <v>59.043428948049694</v>
      </c>
      <c r="X3965" s="9">
        <v>71.670593717854672</v>
      </c>
      <c r="Y3965" s="9">
        <v>71.670593717854672</v>
      </c>
      <c r="Z3965" s="9">
        <v>81.082684339640124</v>
      </c>
      <c r="AA3965" s="9">
        <v>81.082684339640124</v>
      </c>
      <c r="AB3965" s="9">
        <v>89.394521523604197</v>
      </c>
      <c r="AC3965" s="9">
        <v>89.394521523604197</v>
      </c>
      <c r="AD3965" s="9">
        <v>100.59499627651029</v>
      </c>
      <c r="AE3965" s="9">
        <v>111.57005612744882</v>
      </c>
      <c r="AF3965" s="9">
        <v>112.69702639136246</v>
      </c>
      <c r="AG3965" s="9">
        <v>112.69702639136246</v>
      </c>
      <c r="AH3965" s="9">
        <v>136.54753079098907</v>
      </c>
      <c r="AI3965" s="9">
        <v>157.12119388919811</v>
      </c>
      <c r="AJ3965" s="9">
        <v>3.0428788910505911</v>
      </c>
    </row>
    <row r="3966" spans="1:36" x14ac:dyDescent="0.25">
      <c r="A3966" t="s">
        <v>5411</v>
      </c>
      <c r="B3966" t="s">
        <v>16</v>
      </c>
      <c r="C3966" t="s">
        <v>17</v>
      </c>
      <c r="D3966">
        <v>69425000</v>
      </c>
      <c r="E3966">
        <v>69429999</v>
      </c>
      <c r="F3966" t="s">
        <v>3608</v>
      </c>
      <c r="G3966" t="str">
        <f t="shared" si="122"/>
        <v>AMR</v>
      </c>
      <c r="H3966" t="s">
        <v>3573</v>
      </c>
      <c r="I3966" t="s">
        <v>20</v>
      </c>
      <c r="J3966" t="s">
        <v>77</v>
      </c>
      <c r="K3966" s="6">
        <v>0.03</v>
      </c>
      <c r="L3966" s="7">
        <f t="shared" si="123"/>
        <v>2E-3</v>
      </c>
      <c r="M3966" s="7">
        <v>3.0000000000000001E-3</v>
      </c>
      <c r="N3966">
        <v>17</v>
      </c>
      <c r="O3966" s="8">
        <v>49.365095147237867</v>
      </c>
      <c r="P3966" s="9">
        <v>49.365095147237867</v>
      </c>
      <c r="Q3966" s="9">
        <v>49.365095147237867</v>
      </c>
      <c r="R3966" s="9">
        <v>50.770888721957412</v>
      </c>
      <c r="S3966" s="9">
        <v>52.200434315108524</v>
      </c>
      <c r="T3966" s="9">
        <v>52.412128096069225</v>
      </c>
      <c r="U3966" s="9">
        <v>59.043428948049694</v>
      </c>
      <c r="V3966" s="9">
        <v>59.043428948049694</v>
      </c>
      <c r="W3966" s="9">
        <v>59.043428948049694</v>
      </c>
      <c r="X3966" s="9">
        <v>71.670593717854672</v>
      </c>
      <c r="Y3966" s="9">
        <v>71.670593717854672</v>
      </c>
      <c r="Z3966" s="9">
        <v>81.082684339640124</v>
      </c>
      <c r="AA3966" s="9">
        <v>81.082684339640124</v>
      </c>
      <c r="AB3966" s="9">
        <v>89.394521523604197</v>
      </c>
      <c r="AC3966" s="9">
        <v>89.394521523604197</v>
      </c>
      <c r="AD3966" s="9">
        <v>100.59499627651029</v>
      </c>
      <c r="AE3966" s="9">
        <v>111.57005612744882</v>
      </c>
      <c r="AF3966" s="9">
        <v>112.69702639136246</v>
      </c>
      <c r="AG3966" s="9">
        <v>112.69702639136246</v>
      </c>
      <c r="AH3966" s="9">
        <v>136.54753079098907</v>
      </c>
      <c r="AI3966" s="9">
        <v>157.12119388919811</v>
      </c>
      <c r="AJ3966" s="9">
        <v>3.0428788910505911</v>
      </c>
    </row>
    <row r="3967" spans="1:36" x14ac:dyDescent="0.25">
      <c r="A3967" t="s">
        <v>5411</v>
      </c>
      <c r="B3967" t="s">
        <v>16</v>
      </c>
      <c r="C3967" t="s">
        <v>17</v>
      </c>
      <c r="D3967">
        <v>69430000</v>
      </c>
      <c r="E3967">
        <v>69434999</v>
      </c>
      <c r="F3967" t="s">
        <v>3609</v>
      </c>
      <c r="G3967" t="str">
        <f t="shared" si="122"/>
        <v>AMR</v>
      </c>
      <c r="H3967" t="s">
        <v>3573</v>
      </c>
      <c r="I3967" t="s">
        <v>20</v>
      </c>
      <c r="J3967" t="s">
        <v>77</v>
      </c>
      <c r="K3967" s="6">
        <v>0.03</v>
      </c>
      <c r="L3967" s="7">
        <f t="shared" si="123"/>
        <v>2E-3</v>
      </c>
      <c r="M3967" s="7">
        <v>3.0000000000000001E-3</v>
      </c>
      <c r="N3967">
        <v>17</v>
      </c>
      <c r="O3967" s="8">
        <v>49.365095147237867</v>
      </c>
      <c r="P3967" s="9">
        <v>49.365095147237867</v>
      </c>
      <c r="Q3967" s="9">
        <v>49.365095147237867</v>
      </c>
      <c r="R3967" s="9">
        <v>50.770888721957412</v>
      </c>
      <c r="S3967" s="9">
        <v>52.200434315108524</v>
      </c>
      <c r="T3967" s="9">
        <v>52.412128096069225</v>
      </c>
      <c r="U3967" s="9">
        <v>59.043428948049694</v>
      </c>
      <c r="V3967" s="9">
        <v>59.043428948049694</v>
      </c>
      <c r="W3967" s="9">
        <v>59.043428948049694</v>
      </c>
      <c r="X3967" s="9">
        <v>71.670593717854672</v>
      </c>
      <c r="Y3967" s="9">
        <v>71.670593717854672</v>
      </c>
      <c r="Z3967" s="9">
        <v>81.082684339640124</v>
      </c>
      <c r="AA3967" s="9">
        <v>81.082684339640124</v>
      </c>
      <c r="AB3967" s="9">
        <v>89.394521523604197</v>
      </c>
      <c r="AC3967" s="9">
        <v>89.394521523604197</v>
      </c>
      <c r="AD3967" s="9">
        <v>100.59499627651029</v>
      </c>
      <c r="AE3967" s="9">
        <v>111.57005612744882</v>
      </c>
      <c r="AF3967" s="9">
        <v>112.69702639136246</v>
      </c>
      <c r="AG3967" s="9">
        <v>112.69702639136246</v>
      </c>
      <c r="AH3967" s="9">
        <v>136.54753079098907</v>
      </c>
      <c r="AI3967" s="9">
        <v>157.12119388919811</v>
      </c>
      <c r="AJ3967" s="9">
        <v>3.0428788910505911</v>
      </c>
    </row>
    <row r="3968" spans="1:36" x14ac:dyDescent="0.25">
      <c r="A3968" t="s">
        <v>5411</v>
      </c>
      <c r="B3968" t="s">
        <v>16</v>
      </c>
      <c r="C3968" t="s">
        <v>17</v>
      </c>
      <c r="D3968">
        <v>69435000</v>
      </c>
      <c r="E3968">
        <v>69439999</v>
      </c>
      <c r="F3968" t="s">
        <v>3610</v>
      </c>
      <c r="G3968" t="str">
        <f t="shared" si="122"/>
        <v>AMR</v>
      </c>
      <c r="H3968" t="s">
        <v>3573</v>
      </c>
      <c r="I3968" t="s">
        <v>20</v>
      </c>
      <c r="J3968" t="s">
        <v>77</v>
      </c>
      <c r="K3968" s="6">
        <v>0.03</v>
      </c>
      <c r="L3968" s="7">
        <f t="shared" si="123"/>
        <v>2E-3</v>
      </c>
      <c r="M3968" s="7">
        <v>3.0000000000000001E-3</v>
      </c>
      <c r="N3968">
        <v>17</v>
      </c>
      <c r="O3968" s="8">
        <v>49.365095147237867</v>
      </c>
      <c r="P3968" s="9">
        <v>49.365095147237867</v>
      </c>
      <c r="Q3968" s="9">
        <v>49.365095147237867</v>
      </c>
      <c r="R3968" s="9">
        <v>50.770888721957412</v>
      </c>
      <c r="S3968" s="9">
        <v>52.200434315108524</v>
      </c>
      <c r="T3968" s="9">
        <v>52.412128096069225</v>
      </c>
      <c r="U3968" s="9">
        <v>59.043428948049694</v>
      </c>
      <c r="V3968" s="9">
        <v>59.043428948049694</v>
      </c>
      <c r="W3968" s="9">
        <v>59.043428948049694</v>
      </c>
      <c r="X3968" s="9">
        <v>71.670593717854672</v>
      </c>
      <c r="Y3968" s="9">
        <v>71.670593717854672</v>
      </c>
      <c r="Z3968" s="9">
        <v>81.082684339640124</v>
      </c>
      <c r="AA3968" s="9">
        <v>81.082684339640124</v>
      </c>
      <c r="AB3968" s="9">
        <v>89.394521523604197</v>
      </c>
      <c r="AC3968" s="9">
        <v>89.394521523604197</v>
      </c>
      <c r="AD3968" s="9">
        <v>100.59499627651029</v>
      </c>
      <c r="AE3968" s="9">
        <v>111.57005612744882</v>
      </c>
      <c r="AF3968" s="9">
        <v>112.69702639136246</v>
      </c>
      <c r="AG3968" s="9">
        <v>112.69702639136246</v>
      </c>
      <c r="AH3968" s="9">
        <v>136.54753079098907</v>
      </c>
      <c r="AI3968" s="9">
        <v>157.12119388919811</v>
      </c>
      <c r="AJ3968" s="9">
        <v>3.0428788910505911</v>
      </c>
    </row>
    <row r="3969" spans="1:36" x14ac:dyDescent="0.25">
      <c r="A3969" t="s">
        <v>5411</v>
      </c>
      <c r="B3969" t="s">
        <v>16</v>
      </c>
      <c r="C3969" t="s">
        <v>17</v>
      </c>
      <c r="D3969">
        <v>69440000</v>
      </c>
      <c r="E3969">
        <v>69444999</v>
      </c>
      <c r="F3969" t="s">
        <v>3611</v>
      </c>
      <c r="G3969" t="str">
        <f t="shared" si="122"/>
        <v>AMR</v>
      </c>
      <c r="H3969" t="s">
        <v>3573</v>
      </c>
      <c r="I3969" t="s">
        <v>20</v>
      </c>
      <c r="J3969" t="s">
        <v>77</v>
      </c>
      <c r="K3969" s="6">
        <v>0.03</v>
      </c>
      <c r="L3969" s="7">
        <f t="shared" si="123"/>
        <v>2E-3</v>
      </c>
      <c r="M3969" s="7">
        <v>3.0000000000000001E-3</v>
      </c>
      <c r="N3969">
        <v>17</v>
      </c>
      <c r="O3969" s="8">
        <v>49.365095147237867</v>
      </c>
      <c r="P3969" s="9">
        <v>49.365095147237867</v>
      </c>
      <c r="Q3969" s="9">
        <v>49.365095147237867</v>
      </c>
      <c r="R3969" s="9">
        <v>50.770888721957412</v>
      </c>
      <c r="S3969" s="9">
        <v>52.200434315108524</v>
      </c>
      <c r="T3969" s="9">
        <v>52.412128096069225</v>
      </c>
      <c r="U3969" s="9">
        <v>59.043428948049694</v>
      </c>
      <c r="V3969" s="9">
        <v>59.043428948049694</v>
      </c>
      <c r="W3969" s="9">
        <v>59.043428948049694</v>
      </c>
      <c r="X3969" s="9">
        <v>71.670593717854672</v>
      </c>
      <c r="Y3969" s="9">
        <v>71.670593717854672</v>
      </c>
      <c r="Z3969" s="9">
        <v>81.082684339640124</v>
      </c>
      <c r="AA3969" s="9">
        <v>81.082684339640124</v>
      </c>
      <c r="AB3969" s="9">
        <v>89.394521523604197</v>
      </c>
      <c r="AC3969" s="9">
        <v>89.394521523604197</v>
      </c>
      <c r="AD3969" s="9">
        <v>100.59499627651029</v>
      </c>
      <c r="AE3969" s="9">
        <v>111.57005612744882</v>
      </c>
      <c r="AF3969" s="9">
        <v>112.69702639136246</v>
      </c>
      <c r="AG3969" s="9">
        <v>112.69702639136246</v>
      </c>
      <c r="AH3969" s="9">
        <v>136.54753079098907</v>
      </c>
      <c r="AI3969" s="9">
        <v>157.12119388919811</v>
      </c>
      <c r="AJ3969" s="9">
        <v>3.0428788910505911</v>
      </c>
    </row>
    <row r="3970" spans="1:36" x14ac:dyDescent="0.25">
      <c r="A3970" t="s">
        <v>5411</v>
      </c>
      <c r="B3970" t="s">
        <v>16</v>
      </c>
      <c r="C3970" t="s">
        <v>17</v>
      </c>
      <c r="D3970">
        <v>69445000</v>
      </c>
      <c r="E3970">
        <v>69449999</v>
      </c>
      <c r="F3970" t="s">
        <v>3612</v>
      </c>
      <c r="G3970" t="str">
        <f t="shared" si="122"/>
        <v>AMR</v>
      </c>
      <c r="H3970" t="s">
        <v>3573</v>
      </c>
      <c r="I3970" t="s">
        <v>20</v>
      </c>
      <c r="J3970" t="s">
        <v>77</v>
      </c>
      <c r="K3970" s="6">
        <v>0.03</v>
      </c>
      <c r="L3970" s="7">
        <f t="shared" si="123"/>
        <v>2E-3</v>
      </c>
      <c r="M3970" s="7">
        <v>3.0000000000000001E-3</v>
      </c>
      <c r="N3970">
        <v>17</v>
      </c>
      <c r="O3970" s="8">
        <v>49.365095147237867</v>
      </c>
      <c r="P3970" s="9">
        <v>49.365095147237867</v>
      </c>
      <c r="Q3970" s="9">
        <v>49.365095147237867</v>
      </c>
      <c r="R3970" s="9">
        <v>50.770888721957412</v>
      </c>
      <c r="S3970" s="9">
        <v>52.200434315108524</v>
      </c>
      <c r="T3970" s="9">
        <v>52.412128096069225</v>
      </c>
      <c r="U3970" s="9">
        <v>59.043428948049694</v>
      </c>
      <c r="V3970" s="9">
        <v>59.043428948049694</v>
      </c>
      <c r="W3970" s="9">
        <v>59.043428948049694</v>
      </c>
      <c r="X3970" s="9">
        <v>71.670593717854672</v>
      </c>
      <c r="Y3970" s="9">
        <v>71.670593717854672</v>
      </c>
      <c r="Z3970" s="9">
        <v>81.082684339640124</v>
      </c>
      <c r="AA3970" s="9">
        <v>81.082684339640124</v>
      </c>
      <c r="AB3970" s="9">
        <v>89.394521523604197</v>
      </c>
      <c r="AC3970" s="9">
        <v>89.394521523604197</v>
      </c>
      <c r="AD3970" s="9">
        <v>100.59499627651029</v>
      </c>
      <c r="AE3970" s="9">
        <v>111.57005612744882</v>
      </c>
      <c r="AF3970" s="9">
        <v>112.69702639136246</v>
      </c>
      <c r="AG3970" s="9">
        <v>112.69702639136246</v>
      </c>
      <c r="AH3970" s="9">
        <v>136.54753079098907</v>
      </c>
      <c r="AI3970" s="9">
        <v>157.12119388919811</v>
      </c>
      <c r="AJ3970" s="9">
        <v>3.0428788910505911</v>
      </c>
    </row>
    <row r="3971" spans="1:36" x14ac:dyDescent="0.25">
      <c r="A3971" t="s">
        <v>5411</v>
      </c>
      <c r="B3971" t="s">
        <v>16</v>
      </c>
      <c r="C3971" t="s">
        <v>17</v>
      </c>
      <c r="D3971">
        <v>69450000</v>
      </c>
      <c r="E3971">
        <v>69459999</v>
      </c>
      <c r="F3971" t="s">
        <v>3613</v>
      </c>
      <c r="G3971" t="str">
        <f t="shared" si="122"/>
        <v>AMR</v>
      </c>
      <c r="H3971" t="s">
        <v>3573</v>
      </c>
      <c r="I3971" t="s">
        <v>20</v>
      </c>
      <c r="J3971" t="s">
        <v>77</v>
      </c>
      <c r="K3971" s="6">
        <v>0.03</v>
      </c>
      <c r="L3971" s="7">
        <f t="shared" si="123"/>
        <v>2E-3</v>
      </c>
      <c r="M3971" s="7">
        <v>3.0000000000000001E-3</v>
      </c>
      <c r="N3971">
        <v>17</v>
      </c>
      <c r="O3971" s="8">
        <v>49.365095147237867</v>
      </c>
      <c r="P3971" s="9">
        <v>49.365095147237867</v>
      </c>
      <c r="Q3971" s="9">
        <v>49.365095147237867</v>
      </c>
      <c r="R3971" s="9">
        <v>50.770888721957412</v>
      </c>
      <c r="S3971" s="9">
        <v>52.200434315108524</v>
      </c>
      <c r="T3971" s="9">
        <v>52.412128096069225</v>
      </c>
      <c r="U3971" s="9">
        <v>59.043428948049694</v>
      </c>
      <c r="V3971" s="9">
        <v>59.043428948049694</v>
      </c>
      <c r="W3971" s="9">
        <v>59.043428948049694</v>
      </c>
      <c r="X3971" s="9">
        <v>71.670593717854672</v>
      </c>
      <c r="Y3971" s="9">
        <v>71.670593717854672</v>
      </c>
      <c r="Z3971" s="9">
        <v>81.082684339640124</v>
      </c>
      <c r="AA3971" s="9">
        <v>81.082684339640124</v>
      </c>
      <c r="AB3971" s="9">
        <v>89.394521523604197</v>
      </c>
      <c r="AC3971" s="9">
        <v>89.394521523604197</v>
      </c>
      <c r="AD3971" s="9">
        <v>100.59499627651029</v>
      </c>
      <c r="AE3971" s="9">
        <v>111.57005612744882</v>
      </c>
      <c r="AF3971" s="9">
        <v>112.69702639136246</v>
      </c>
      <c r="AG3971" s="9">
        <v>112.69702639136246</v>
      </c>
      <c r="AH3971" s="9">
        <v>136.54753079098907</v>
      </c>
      <c r="AI3971" s="9">
        <v>157.12119388919811</v>
      </c>
      <c r="AJ3971" s="9">
        <v>3.0428788910505911</v>
      </c>
    </row>
    <row r="3972" spans="1:36" x14ac:dyDescent="0.25">
      <c r="A3972" t="s">
        <v>5411</v>
      </c>
      <c r="B3972" t="s">
        <v>16</v>
      </c>
      <c r="C3972" t="s">
        <v>17</v>
      </c>
      <c r="D3972">
        <v>69460000</v>
      </c>
      <c r="E3972">
        <v>69479999</v>
      </c>
      <c r="F3972" t="s">
        <v>3614</v>
      </c>
      <c r="G3972" t="str">
        <f t="shared" ref="G3972:G4035" si="124">H3972&amp;IF(J3972="CAPITAL","C",IF(J3972="INTERIOR","I",IF(J3972="INTERIOR II","I II","R")))</f>
        <v>AMR</v>
      </c>
      <c r="H3972" t="s">
        <v>3573</v>
      </c>
      <c r="I3972" t="s">
        <v>20</v>
      </c>
      <c r="J3972" t="s">
        <v>77</v>
      </c>
      <c r="K3972" s="6">
        <v>0.03</v>
      </c>
      <c r="L3972" s="7">
        <f t="shared" ref="L3972:L4035" si="125">IF(I3972="(0) Não",0.2%,3%)</f>
        <v>2E-3</v>
      </c>
      <c r="M3972" s="7">
        <v>3.0000000000000001E-3</v>
      </c>
      <c r="N3972">
        <v>17</v>
      </c>
      <c r="O3972" s="8">
        <v>49.365095147237867</v>
      </c>
      <c r="P3972" s="9">
        <v>49.365095147237867</v>
      </c>
      <c r="Q3972" s="9">
        <v>49.365095147237867</v>
      </c>
      <c r="R3972" s="9">
        <v>50.770888721957412</v>
      </c>
      <c r="S3972" s="9">
        <v>52.200434315108524</v>
      </c>
      <c r="T3972" s="9">
        <v>52.412128096069225</v>
      </c>
      <c r="U3972" s="9">
        <v>59.043428948049694</v>
      </c>
      <c r="V3972" s="9">
        <v>59.043428948049694</v>
      </c>
      <c r="W3972" s="9">
        <v>59.043428948049694</v>
      </c>
      <c r="X3972" s="9">
        <v>71.670593717854672</v>
      </c>
      <c r="Y3972" s="9">
        <v>71.670593717854672</v>
      </c>
      <c r="Z3972" s="9">
        <v>81.082684339640124</v>
      </c>
      <c r="AA3972" s="9">
        <v>81.082684339640124</v>
      </c>
      <c r="AB3972" s="9">
        <v>89.394521523604197</v>
      </c>
      <c r="AC3972" s="9">
        <v>89.394521523604197</v>
      </c>
      <c r="AD3972" s="9">
        <v>100.59499627651029</v>
      </c>
      <c r="AE3972" s="9">
        <v>111.57005612744882</v>
      </c>
      <c r="AF3972" s="9">
        <v>112.69702639136246</v>
      </c>
      <c r="AG3972" s="9">
        <v>112.69702639136246</v>
      </c>
      <c r="AH3972" s="9">
        <v>136.54753079098907</v>
      </c>
      <c r="AI3972" s="9">
        <v>157.12119388919811</v>
      </c>
      <c r="AJ3972" s="9">
        <v>3.0428788910505911</v>
      </c>
    </row>
    <row r="3973" spans="1:36" x14ac:dyDescent="0.25">
      <c r="A3973" t="s">
        <v>5411</v>
      </c>
      <c r="B3973" t="s">
        <v>16</v>
      </c>
      <c r="C3973" t="s">
        <v>17</v>
      </c>
      <c r="D3973">
        <v>69480000</v>
      </c>
      <c r="E3973">
        <v>69489999</v>
      </c>
      <c r="F3973" t="s">
        <v>3615</v>
      </c>
      <c r="G3973" t="str">
        <f t="shared" si="124"/>
        <v>AMR</v>
      </c>
      <c r="H3973" t="s">
        <v>3573</v>
      </c>
      <c r="I3973" t="s">
        <v>20</v>
      </c>
      <c r="J3973" t="s">
        <v>77</v>
      </c>
      <c r="K3973" s="6">
        <v>0.03</v>
      </c>
      <c r="L3973" s="7">
        <f t="shared" si="125"/>
        <v>2E-3</v>
      </c>
      <c r="M3973" s="7">
        <v>3.0000000000000001E-3</v>
      </c>
      <c r="N3973">
        <v>17</v>
      </c>
      <c r="O3973" s="8">
        <v>49.365095147237867</v>
      </c>
      <c r="P3973" s="9">
        <v>49.365095147237867</v>
      </c>
      <c r="Q3973" s="9">
        <v>49.365095147237867</v>
      </c>
      <c r="R3973" s="9">
        <v>50.770888721957412</v>
      </c>
      <c r="S3973" s="9">
        <v>52.200434315108524</v>
      </c>
      <c r="T3973" s="9">
        <v>52.412128096069225</v>
      </c>
      <c r="U3973" s="9">
        <v>59.043428948049694</v>
      </c>
      <c r="V3973" s="9">
        <v>59.043428948049694</v>
      </c>
      <c r="W3973" s="9">
        <v>59.043428948049694</v>
      </c>
      <c r="X3973" s="9">
        <v>71.670593717854672</v>
      </c>
      <c r="Y3973" s="9">
        <v>71.670593717854672</v>
      </c>
      <c r="Z3973" s="9">
        <v>81.082684339640124</v>
      </c>
      <c r="AA3973" s="9">
        <v>81.082684339640124</v>
      </c>
      <c r="AB3973" s="9">
        <v>89.394521523604197</v>
      </c>
      <c r="AC3973" s="9">
        <v>89.394521523604197</v>
      </c>
      <c r="AD3973" s="9">
        <v>100.59499627651029</v>
      </c>
      <c r="AE3973" s="9">
        <v>111.57005612744882</v>
      </c>
      <c r="AF3973" s="9">
        <v>112.69702639136246</v>
      </c>
      <c r="AG3973" s="9">
        <v>112.69702639136246</v>
      </c>
      <c r="AH3973" s="9">
        <v>136.54753079098907</v>
      </c>
      <c r="AI3973" s="9">
        <v>157.12119388919811</v>
      </c>
      <c r="AJ3973" s="9">
        <v>3.0428788910505911</v>
      </c>
    </row>
    <row r="3974" spans="1:36" x14ac:dyDescent="0.25">
      <c r="A3974" t="s">
        <v>5411</v>
      </c>
      <c r="B3974" t="s">
        <v>16</v>
      </c>
      <c r="C3974" t="s">
        <v>17</v>
      </c>
      <c r="D3974">
        <v>69490000</v>
      </c>
      <c r="E3974">
        <v>69494999</v>
      </c>
      <c r="F3974" t="s">
        <v>3616</v>
      </c>
      <c r="G3974" t="str">
        <f t="shared" si="124"/>
        <v>AMR</v>
      </c>
      <c r="H3974" t="s">
        <v>3573</v>
      </c>
      <c r="I3974" t="s">
        <v>20</v>
      </c>
      <c r="J3974" t="s">
        <v>77</v>
      </c>
      <c r="K3974" s="6">
        <v>0.03</v>
      </c>
      <c r="L3974" s="7">
        <f t="shared" si="125"/>
        <v>2E-3</v>
      </c>
      <c r="M3974" s="7">
        <v>3.0000000000000001E-3</v>
      </c>
      <c r="N3974">
        <v>17</v>
      </c>
      <c r="O3974" s="8">
        <v>49.365095147237867</v>
      </c>
      <c r="P3974" s="9">
        <v>49.365095147237867</v>
      </c>
      <c r="Q3974" s="9">
        <v>49.365095147237867</v>
      </c>
      <c r="R3974" s="9">
        <v>50.770888721957412</v>
      </c>
      <c r="S3974" s="9">
        <v>52.200434315108524</v>
      </c>
      <c r="T3974" s="9">
        <v>52.412128096069225</v>
      </c>
      <c r="U3974" s="9">
        <v>59.043428948049694</v>
      </c>
      <c r="V3974" s="9">
        <v>59.043428948049694</v>
      </c>
      <c r="W3974" s="9">
        <v>59.043428948049694</v>
      </c>
      <c r="X3974" s="9">
        <v>71.670593717854672</v>
      </c>
      <c r="Y3974" s="9">
        <v>71.670593717854672</v>
      </c>
      <c r="Z3974" s="9">
        <v>81.082684339640124</v>
      </c>
      <c r="AA3974" s="9">
        <v>81.082684339640124</v>
      </c>
      <c r="AB3974" s="9">
        <v>89.394521523604197</v>
      </c>
      <c r="AC3974" s="9">
        <v>89.394521523604197</v>
      </c>
      <c r="AD3974" s="9">
        <v>100.59499627651029</v>
      </c>
      <c r="AE3974" s="9">
        <v>111.57005612744882</v>
      </c>
      <c r="AF3974" s="9">
        <v>112.69702639136246</v>
      </c>
      <c r="AG3974" s="9">
        <v>112.69702639136246</v>
      </c>
      <c r="AH3974" s="9">
        <v>136.54753079098907</v>
      </c>
      <c r="AI3974" s="9">
        <v>157.12119388919811</v>
      </c>
      <c r="AJ3974" s="9">
        <v>3.0428788910505911</v>
      </c>
    </row>
    <row r="3975" spans="1:36" x14ac:dyDescent="0.25">
      <c r="A3975" t="s">
        <v>5411</v>
      </c>
      <c r="B3975" t="s">
        <v>16</v>
      </c>
      <c r="C3975" t="s">
        <v>17</v>
      </c>
      <c r="D3975">
        <v>69495000</v>
      </c>
      <c r="E3975">
        <v>69499999</v>
      </c>
      <c r="F3975" t="s">
        <v>3617</v>
      </c>
      <c r="G3975" t="str">
        <f t="shared" si="124"/>
        <v>AMR</v>
      </c>
      <c r="H3975" t="s">
        <v>3573</v>
      </c>
      <c r="I3975" t="s">
        <v>20</v>
      </c>
      <c r="J3975" t="s">
        <v>77</v>
      </c>
      <c r="K3975" s="6">
        <v>0.03</v>
      </c>
      <c r="L3975" s="7">
        <f t="shared" si="125"/>
        <v>2E-3</v>
      </c>
      <c r="M3975" s="7">
        <v>3.0000000000000001E-3</v>
      </c>
      <c r="N3975">
        <v>17</v>
      </c>
      <c r="O3975" s="8">
        <v>49.365095147237867</v>
      </c>
      <c r="P3975" s="9">
        <v>49.365095147237867</v>
      </c>
      <c r="Q3975" s="9">
        <v>49.365095147237867</v>
      </c>
      <c r="R3975" s="9">
        <v>50.770888721957412</v>
      </c>
      <c r="S3975" s="9">
        <v>52.200434315108524</v>
      </c>
      <c r="T3975" s="9">
        <v>52.412128096069225</v>
      </c>
      <c r="U3975" s="9">
        <v>59.043428948049694</v>
      </c>
      <c r="V3975" s="9">
        <v>59.043428948049694</v>
      </c>
      <c r="W3975" s="9">
        <v>59.043428948049694</v>
      </c>
      <c r="X3975" s="9">
        <v>71.670593717854672</v>
      </c>
      <c r="Y3975" s="9">
        <v>71.670593717854672</v>
      </c>
      <c r="Z3975" s="9">
        <v>81.082684339640124</v>
      </c>
      <c r="AA3975" s="9">
        <v>81.082684339640124</v>
      </c>
      <c r="AB3975" s="9">
        <v>89.394521523604197</v>
      </c>
      <c r="AC3975" s="9">
        <v>89.394521523604197</v>
      </c>
      <c r="AD3975" s="9">
        <v>100.59499627651029</v>
      </c>
      <c r="AE3975" s="9">
        <v>111.57005612744882</v>
      </c>
      <c r="AF3975" s="9">
        <v>112.69702639136246</v>
      </c>
      <c r="AG3975" s="9">
        <v>112.69702639136246</v>
      </c>
      <c r="AH3975" s="9">
        <v>136.54753079098907</v>
      </c>
      <c r="AI3975" s="9">
        <v>157.12119388919811</v>
      </c>
      <c r="AJ3975" s="9">
        <v>3.0428788910505911</v>
      </c>
    </row>
    <row r="3976" spans="1:36" x14ac:dyDescent="0.25">
      <c r="A3976" t="s">
        <v>5411</v>
      </c>
      <c r="B3976" t="s">
        <v>16</v>
      </c>
      <c r="C3976" t="s">
        <v>17</v>
      </c>
      <c r="D3976">
        <v>69500000</v>
      </c>
      <c r="E3976">
        <v>69509999</v>
      </c>
      <c r="F3976" t="s">
        <v>3618</v>
      </c>
      <c r="G3976" t="str">
        <f t="shared" si="124"/>
        <v>AMR</v>
      </c>
      <c r="H3976" t="s">
        <v>3573</v>
      </c>
      <c r="I3976" t="s">
        <v>20</v>
      </c>
      <c r="J3976" t="s">
        <v>77</v>
      </c>
      <c r="K3976" s="6">
        <v>0.03</v>
      </c>
      <c r="L3976" s="7">
        <f t="shared" si="125"/>
        <v>2E-3</v>
      </c>
      <c r="M3976" s="7">
        <v>3.0000000000000001E-3</v>
      </c>
      <c r="N3976">
        <v>17</v>
      </c>
      <c r="O3976" s="8">
        <v>49.365095147237867</v>
      </c>
      <c r="P3976" s="9">
        <v>49.365095147237867</v>
      </c>
      <c r="Q3976" s="9">
        <v>49.365095147237867</v>
      </c>
      <c r="R3976" s="9">
        <v>50.770888721957412</v>
      </c>
      <c r="S3976" s="9">
        <v>52.200434315108524</v>
      </c>
      <c r="T3976" s="9">
        <v>52.412128096069225</v>
      </c>
      <c r="U3976" s="9">
        <v>59.043428948049694</v>
      </c>
      <c r="V3976" s="9">
        <v>59.043428948049694</v>
      </c>
      <c r="W3976" s="9">
        <v>59.043428948049694</v>
      </c>
      <c r="X3976" s="9">
        <v>71.670593717854672</v>
      </c>
      <c r="Y3976" s="9">
        <v>71.670593717854672</v>
      </c>
      <c r="Z3976" s="9">
        <v>81.082684339640124</v>
      </c>
      <c r="AA3976" s="9">
        <v>81.082684339640124</v>
      </c>
      <c r="AB3976" s="9">
        <v>89.394521523604197</v>
      </c>
      <c r="AC3976" s="9">
        <v>89.394521523604197</v>
      </c>
      <c r="AD3976" s="9">
        <v>100.59499627651029</v>
      </c>
      <c r="AE3976" s="9">
        <v>111.57005612744882</v>
      </c>
      <c r="AF3976" s="9">
        <v>112.69702639136246</v>
      </c>
      <c r="AG3976" s="9">
        <v>112.69702639136246</v>
      </c>
      <c r="AH3976" s="9">
        <v>136.54753079098907</v>
      </c>
      <c r="AI3976" s="9">
        <v>157.12119388919811</v>
      </c>
      <c r="AJ3976" s="9">
        <v>3.0428788910505911</v>
      </c>
    </row>
    <row r="3977" spans="1:36" x14ac:dyDescent="0.25">
      <c r="A3977" t="s">
        <v>5411</v>
      </c>
      <c r="B3977" t="s">
        <v>16</v>
      </c>
      <c r="C3977" t="s">
        <v>17</v>
      </c>
      <c r="D3977">
        <v>69510000</v>
      </c>
      <c r="E3977">
        <v>69519999</v>
      </c>
      <c r="F3977" t="s">
        <v>3619</v>
      </c>
      <c r="G3977" t="str">
        <f t="shared" si="124"/>
        <v>AMR</v>
      </c>
      <c r="H3977" t="s">
        <v>3573</v>
      </c>
      <c r="I3977" t="s">
        <v>20</v>
      </c>
      <c r="J3977" t="s">
        <v>77</v>
      </c>
      <c r="K3977" s="6">
        <v>0.03</v>
      </c>
      <c r="L3977" s="7">
        <f t="shared" si="125"/>
        <v>2E-3</v>
      </c>
      <c r="M3977" s="7">
        <v>3.0000000000000001E-3</v>
      </c>
      <c r="N3977">
        <v>17</v>
      </c>
      <c r="O3977" s="8">
        <v>49.365095147237867</v>
      </c>
      <c r="P3977" s="9">
        <v>49.365095147237867</v>
      </c>
      <c r="Q3977" s="9">
        <v>49.365095147237867</v>
      </c>
      <c r="R3977" s="9">
        <v>50.770888721957412</v>
      </c>
      <c r="S3977" s="9">
        <v>52.200434315108524</v>
      </c>
      <c r="T3977" s="9">
        <v>52.412128096069225</v>
      </c>
      <c r="U3977" s="9">
        <v>59.043428948049694</v>
      </c>
      <c r="V3977" s="9">
        <v>59.043428948049694</v>
      </c>
      <c r="W3977" s="9">
        <v>59.043428948049694</v>
      </c>
      <c r="X3977" s="9">
        <v>71.670593717854672</v>
      </c>
      <c r="Y3977" s="9">
        <v>71.670593717854672</v>
      </c>
      <c r="Z3977" s="9">
        <v>81.082684339640124</v>
      </c>
      <c r="AA3977" s="9">
        <v>81.082684339640124</v>
      </c>
      <c r="AB3977" s="9">
        <v>89.394521523604197</v>
      </c>
      <c r="AC3977" s="9">
        <v>89.394521523604197</v>
      </c>
      <c r="AD3977" s="9">
        <v>100.59499627651029</v>
      </c>
      <c r="AE3977" s="9">
        <v>111.57005612744882</v>
      </c>
      <c r="AF3977" s="9">
        <v>112.69702639136246</v>
      </c>
      <c r="AG3977" s="9">
        <v>112.69702639136246</v>
      </c>
      <c r="AH3977" s="9">
        <v>136.54753079098907</v>
      </c>
      <c r="AI3977" s="9">
        <v>157.12119388919811</v>
      </c>
      <c r="AJ3977" s="9">
        <v>3.0428788910505911</v>
      </c>
    </row>
    <row r="3978" spans="1:36" x14ac:dyDescent="0.25">
      <c r="A3978" t="s">
        <v>5411</v>
      </c>
      <c r="B3978" t="s">
        <v>16</v>
      </c>
      <c r="C3978" t="s">
        <v>17</v>
      </c>
      <c r="D3978">
        <v>69520000</v>
      </c>
      <c r="E3978">
        <v>69529999</v>
      </c>
      <c r="F3978" t="s">
        <v>3620</v>
      </c>
      <c r="G3978" t="str">
        <f t="shared" si="124"/>
        <v>AMR</v>
      </c>
      <c r="H3978" t="s">
        <v>3573</v>
      </c>
      <c r="I3978" t="s">
        <v>20</v>
      </c>
      <c r="J3978" t="s">
        <v>77</v>
      </c>
      <c r="K3978" s="6">
        <v>0.03</v>
      </c>
      <c r="L3978" s="7">
        <f t="shared" si="125"/>
        <v>2E-3</v>
      </c>
      <c r="M3978" s="7">
        <v>3.0000000000000001E-3</v>
      </c>
      <c r="N3978">
        <v>17</v>
      </c>
      <c r="O3978" s="8">
        <v>49.365095147237867</v>
      </c>
      <c r="P3978" s="9">
        <v>49.365095147237867</v>
      </c>
      <c r="Q3978" s="9">
        <v>49.365095147237867</v>
      </c>
      <c r="R3978" s="9">
        <v>50.770888721957412</v>
      </c>
      <c r="S3978" s="9">
        <v>52.200434315108524</v>
      </c>
      <c r="T3978" s="9">
        <v>52.412128096069225</v>
      </c>
      <c r="U3978" s="9">
        <v>59.043428948049694</v>
      </c>
      <c r="V3978" s="9">
        <v>59.043428948049694</v>
      </c>
      <c r="W3978" s="9">
        <v>59.043428948049694</v>
      </c>
      <c r="X3978" s="9">
        <v>71.670593717854672</v>
      </c>
      <c r="Y3978" s="9">
        <v>71.670593717854672</v>
      </c>
      <c r="Z3978" s="9">
        <v>81.082684339640124</v>
      </c>
      <c r="AA3978" s="9">
        <v>81.082684339640124</v>
      </c>
      <c r="AB3978" s="9">
        <v>89.394521523604197</v>
      </c>
      <c r="AC3978" s="9">
        <v>89.394521523604197</v>
      </c>
      <c r="AD3978" s="9">
        <v>100.59499627651029</v>
      </c>
      <c r="AE3978" s="9">
        <v>111.57005612744882</v>
      </c>
      <c r="AF3978" s="9">
        <v>112.69702639136246</v>
      </c>
      <c r="AG3978" s="9">
        <v>112.69702639136246</v>
      </c>
      <c r="AH3978" s="9">
        <v>136.54753079098907</v>
      </c>
      <c r="AI3978" s="9">
        <v>157.12119388919811</v>
      </c>
      <c r="AJ3978" s="9">
        <v>3.0428788910505911</v>
      </c>
    </row>
    <row r="3979" spans="1:36" x14ac:dyDescent="0.25">
      <c r="A3979" t="s">
        <v>5411</v>
      </c>
      <c r="B3979" t="s">
        <v>16</v>
      </c>
      <c r="C3979" t="s">
        <v>17</v>
      </c>
      <c r="D3979">
        <v>69530000</v>
      </c>
      <c r="E3979">
        <v>69539999</v>
      </c>
      <c r="F3979" t="s">
        <v>3621</v>
      </c>
      <c r="G3979" t="str">
        <f t="shared" si="124"/>
        <v>AMR</v>
      </c>
      <c r="H3979" t="s">
        <v>3573</v>
      </c>
      <c r="I3979" t="s">
        <v>20</v>
      </c>
      <c r="J3979" t="s">
        <v>77</v>
      </c>
      <c r="K3979" s="6">
        <v>0.03</v>
      </c>
      <c r="L3979" s="7">
        <f t="shared" si="125"/>
        <v>2E-3</v>
      </c>
      <c r="M3979" s="7">
        <v>3.0000000000000001E-3</v>
      </c>
      <c r="N3979">
        <v>17</v>
      </c>
      <c r="O3979" s="8">
        <v>49.365095147237867</v>
      </c>
      <c r="P3979" s="9">
        <v>49.365095147237867</v>
      </c>
      <c r="Q3979" s="9">
        <v>49.365095147237867</v>
      </c>
      <c r="R3979" s="9">
        <v>50.770888721957412</v>
      </c>
      <c r="S3979" s="9">
        <v>52.200434315108524</v>
      </c>
      <c r="T3979" s="9">
        <v>52.412128096069225</v>
      </c>
      <c r="U3979" s="9">
        <v>59.043428948049694</v>
      </c>
      <c r="V3979" s="9">
        <v>59.043428948049694</v>
      </c>
      <c r="W3979" s="9">
        <v>59.043428948049694</v>
      </c>
      <c r="X3979" s="9">
        <v>71.670593717854672</v>
      </c>
      <c r="Y3979" s="9">
        <v>71.670593717854672</v>
      </c>
      <c r="Z3979" s="9">
        <v>81.082684339640124</v>
      </c>
      <c r="AA3979" s="9">
        <v>81.082684339640124</v>
      </c>
      <c r="AB3979" s="9">
        <v>89.394521523604197</v>
      </c>
      <c r="AC3979" s="9">
        <v>89.394521523604197</v>
      </c>
      <c r="AD3979" s="9">
        <v>100.59499627651029</v>
      </c>
      <c r="AE3979" s="9">
        <v>111.57005612744882</v>
      </c>
      <c r="AF3979" s="9">
        <v>112.69702639136246</v>
      </c>
      <c r="AG3979" s="9">
        <v>112.69702639136246</v>
      </c>
      <c r="AH3979" s="9">
        <v>136.54753079098907</v>
      </c>
      <c r="AI3979" s="9">
        <v>157.12119388919811</v>
      </c>
      <c r="AJ3979" s="9">
        <v>3.0428788910505911</v>
      </c>
    </row>
    <row r="3980" spans="1:36" x14ac:dyDescent="0.25">
      <c r="A3980" t="s">
        <v>5411</v>
      </c>
      <c r="B3980" t="s">
        <v>16</v>
      </c>
      <c r="C3980" t="s">
        <v>17</v>
      </c>
      <c r="D3980">
        <v>69540000</v>
      </c>
      <c r="E3980">
        <v>69549999</v>
      </c>
      <c r="F3980" t="s">
        <v>3622</v>
      </c>
      <c r="G3980" t="str">
        <f t="shared" si="124"/>
        <v>AMR</v>
      </c>
      <c r="H3980" t="s">
        <v>3573</v>
      </c>
      <c r="I3980" t="s">
        <v>20</v>
      </c>
      <c r="J3980" t="s">
        <v>77</v>
      </c>
      <c r="K3980" s="6">
        <v>0.03</v>
      </c>
      <c r="L3980" s="7">
        <f t="shared" si="125"/>
        <v>2E-3</v>
      </c>
      <c r="M3980" s="7">
        <v>3.0000000000000001E-3</v>
      </c>
      <c r="N3980">
        <v>17</v>
      </c>
      <c r="O3980" s="8">
        <v>49.365095147237867</v>
      </c>
      <c r="P3980" s="9">
        <v>49.365095147237867</v>
      </c>
      <c r="Q3980" s="9">
        <v>49.365095147237867</v>
      </c>
      <c r="R3980" s="9">
        <v>50.770888721957412</v>
      </c>
      <c r="S3980" s="9">
        <v>52.200434315108524</v>
      </c>
      <c r="T3980" s="9">
        <v>52.412128096069225</v>
      </c>
      <c r="U3980" s="9">
        <v>59.043428948049694</v>
      </c>
      <c r="V3980" s="9">
        <v>59.043428948049694</v>
      </c>
      <c r="W3980" s="9">
        <v>59.043428948049694</v>
      </c>
      <c r="X3980" s="9">
        <v>71.670593717854672</v>
      </c>
      <c r="Y3980" s="9">
        <v>71.670593717854672</v>
      </c>
      <c r="Z3980" s="9">
        <v>81.082684339640124</v>
      </c>
      <c r="AA3980" s="9">
        <v>81.082684339640124</v>
      </c>
      <c r="AB3980" s="9">
        <v>89.394521523604197</v>
      </c>
      <c r="AC3980" s="9">
        <v>89.394521523604197</v>
      </c>
      <c r="AD3980" s="9">
        <v>100.59499627651029</v>
      </c>
      <c r="AE3980" s="9">
        <v>111.57005612744882</v>
      </c>
      <c r="AF3980" s="9">
        <v>112.69702639136246</v>
      </c>
      <c r="AG3980" s="9">
        <v>112.69702639136246</v>
      </c>
      <c r="AH3980" s="9">
        <v>136.54753079098907</v>
      </c>
      <c r="AI3980" s="9">
        <v>157.12119388919811</v>
      </c>
      <c r="AJ3980" s="9">
        <v>3.0428788910505911</v>
      </c>
    </row>
    <row r="3981" spans="1:36" x14ac:dyDescent="0.25">
      <c r="A3981" t="s">
        <v>5411</v>
      </c>
      <c r="B3981" t="s">
        <v>16</v>
      </c>
      <c r="C3981" t="s">
        <v>17</v>
      </c>
      <c r="D3981">
        <v>69550000</v>
      </c>
      <c r="E3981">
        <v>69599999</v>
      </c>
      <c r="F3981" t="s">
        <v>3623</v>
      </c>
      <c r="G3981" t="str">
        <f t="shared" si="124"/>
        <v>AMR</v>
      </c>
      <c r="H3981" t="s">
        <v>3573</v>
      </c>
      <c r="I3981" t="s">
        <v>20</v>
      </c>
      <c r="J3981" t="s">
        <v>77</v>
      </c>
      <c r="K3981" s="6">
        <v>0.03</v>
      </c>
      <c r="L3981" s="7">
        <f t="shared" si="125"/>
        <v>2E-3</v>
      </c>
      <c r="M3981" s="7">
        <v>3.0000000000000001E-3</v>
      </c>
      <c r="N3981">
        <v>17</v>
      </c>
      <c r="O3981" s="8">
        <v>49.365095147237867</v>
      </c>
      <c r="P3981" s="9">
        <v>49.365095147237867</v>
      </c>
      <c r="Q3981" s="9">
        <v>49.365095147237867</v>
      </c>
      <c r="R3981" s="9">
        <v>50.770888721957412</v>
      </c>
      <c r="S3981" s="9">
        <v>52.200434315108524</v>
      </c>
      <c r="T3981" s="9">
        <v>52.412128096069225</v>
      </c>
      <c r="U3981" s="9">
        <v>59.043428948049694</v>
      </c>
      <c r="V3981" s="9">
        <v>59.043428948049694</v>
      </c>
      <c r="W3981" s="9">
        <v>59.043428948049694</v>
      </c>
      <c r="X3981" s="9">
        <v>71.670593717854672</v>
      </c>
      <c r="Y3981" s="9">
        <v>71.670593717854672</v>
      </c>
      <c r="Z3981" s="9">
        <v>81.082684339640124</v>
      </c>
      <c r="AA3981" s="9">
        <v>81.082684339640124</v>
      </c>
      <c r="AB3981" s="9">
        <v>89.394521523604197</v>
      </c>
      <c r="AC3981" s="9">
        <v>89.394521523604197</v>
      </c>
      <c r="AD3981" s="9">
        <v>100.59499627651029</v>
      </c>
      <c r="AE3981" s="9">
        <v>111.57005612744882</v>
      </c>
      <c r="AF3981" s="9">
        <v>112.69702639136246</v>
      </c>
      <c r="AG3981" s="9">
        <v>112.69702639136246</v>
      </c>
      <c r="AH3981" s="9">
        <v>136.54753079098907</v>
      </c>
      <c r="AI3981" s="9">
        <v>157.12119388919811</v>
      </c>
      <c r="AJ3981" s="9">
        <v>3.0428788910505911</v>
      </c>
    </row>
    <row r="3982" spans="1:36" x14ac:dyDescent="0.25">
      <c r="A3982" t="s">
        <v>5411</v>
      </c>
      <c r="B3982" t="s">
        <v>16</v>
      </c>
      <c r="C3982" t="s">
        <v>17</v>
      </c>
      <c r="D3982">
        <v>69600000</v>
      </c>
      <c r="E3982">
        <v>69619999</v>
      </c>
      <c r="F3982" t="s">
        <v>3624</v>
      </c>
      <c r="G3982" t="str">
        <f t="shared" si="124"/>
        <v>AMR</v>
      </c>
      <c r="H3982" t="s">
        <v>3573</v>
      </c>
      <c r="I3982" t="s">
        <v>20</v>
      </c>
      <c r="J3982" t="s">
        <v>77</v>
      </c>
      <c r="K3982" s="6">
        <v>0.03</v>
      </c>
      <c r="L3982" s="7">
        <f t="shared" si="125"/>
        <v>2E-3</v>
      </c>
      <c r="M3982" s="7">
        <v>3.0000000000000001E-3</v>
      </c>
      <c r="N3982">
        <v>17</v>
      </c>
      <c r="O3982" s="8">
        <v>49.365095147237867</v>
      </c>
      <c r="P3982" s="9">
        <v>49.365095147237867</v>
      </c>
      <c r="Q3982" s="9">
        <v>49.365095147237867</v>
      </c>
      <c r="R3982" s="9">
        <v>50.770888721957412</v>
      </c>
      <c r="S3982" s="9">
        <v>52.200434315108524</v>
      </c>
      <c r="T3982" s="9">
        <v>52.412128096069225</v>
      </c>
      <c r="U3982" s="9">
        <v>59.043428948049694</v>
      </c>
      <c r="V3982" s="9">
        <v>59.043428948049694</v>
      </c>
      <c r="W3982" s="9">
        <v>59.043428948049694</v>
      </c>
      <c r="X3982" s="9">
        <v>71.670593717854672</v>
      </c>
      <c r="Y3982" s="9">
        <v>71.670593717854672</v>
      </c>
      <c r="Z3982" s="9">
        <v>81.082684339640124</v>
      </c>
      <c r="AA3982" s="9">
        <v>81.082684339640124</v>
      </c>
      <c r="AB3982" s="9">
        <v>89.394521523604197</v>
      </c>
      <c r="AC3982" s="9">
        <v>89.394521523604197</v>
      </c>
      <c r="AD3982" s="9">
        <v>100.59499627651029</v>
      </c>
      <c r="AE3982" s="9">
        <v>111.57005612744882</v>
      </c>
      <c r="AF3982" s="9">
        <v>112.69702639136246</v>
      </c>
      <c r="AG3982" s="9">
        <v>112.69702639136246</v>
      </c>
      <c r="AH3982" s="9">
        <v>136.54753079098907</v>
      </c>
      <c r="AI3982" s="9">
        <v>157.12119388919811</v>
      </c>
      <c r="AJ3982" s="9">
        <v>3.0428788910505911</v>
      </c>
    </row>
    <row r="3983" spans="1:36" x14ac:dyDescent="0.25">
      <c r="A3983" t="s">
        <v>5411</v>
      </c>
      <c r="B3983" t="s">
        <v>16</v>
      </c>
      <c r="C3983" t="s">
        <v>17</v>
      </c>
      <c r="D3983">
        <v>69620000</v>
      </c>
      <c r="E3983">
        <v>69629999</v>
      </c>
      <c r="F3983" t="s">
        <v>3625</v>
      </c>
      <c r="G3983" t="str">
        <f t="shared" si="124"/>
        <v>AMR</v>
      </c>
      <c r="H3983" t="s">
        <v>3573</v>
      </c>
      <c r="I3983" t="s">
        <v>20</v>
      </c>
      <c r="J3983" t="s">
        <v>77</v>
      </c>
      <c r="K3983" s="6">
        <v>0.03</v>
      </c>
      <c r="L3983" s="7">
        <f t="shared" si="125"/>
        <v>2E-3</v>
      </c>
      <c r="M3983" s="7">
        <v>3.0000000000000001E-3</v>
      </c>
      <c r="N3983">
        <v>17</v>
      </c>
      <c r="O3983" s="8">
        <v>49.365095147237867</v>
      </c>
      <c r="P3983" s="9">
        <v>49.365095147237867</v>
      </c>
      <c r="Q3983" s="9">
        <v>49.365095147237867</v>
      </c>
      <c r="R3983" s="9">
        <v>50.770888721957412</v>
      </c>
      <c r="S3983" s="9">
        <v>52.200434315108524</v>
      </c>
      <c r="T3983" s="9">
        <v>52.412128096069225</v>
      </c>
      <c r="U3983" s="9">
        <v>59.043428948049694</v>
      </c>
      <c r="V3983" s="9">
        <v>59.043428948049694</v>
      </c>
      <c r="W3983" s="9">
        <v>59.043428948049694</v>
      </c>
      <c r="X3983" s="9">
        <v>71.670593717854672</v>
      </c>
      <c r="Y3983" s="9">
        <v>71.670593717854672</v>
      </c>
      <c r="Z3983" s="9">
        <v>81.082684339640124</v>
      </c>
      <c r="AA3983" s="9">
        <v>81.082684339640124</v>
      </c>
      <c r="AB3983" s="9">
        <v>89.394521523604197</v>
      </c>
      <c r="AC3983" s="9">
        <v>89.394521523604197</v>
      </c>
      <c r="AD3983" s="9">
        <v>100.59499627651029</v>
      </c>
      <c r="AE3983" s="9">
        <v>111.57005612744882</v>
      </c>
      <c r="AF3983" s="9">
        <v>112.69702639136246</v>
      </c>
      <c r="AG3983" s="9">
        <v>112.69702639136246</v>
      </c>
      <c r="AH3983" s="9">
        <v>136.54753079098907</v>
      </c>
      <c r="AI3983" s="9">
        <v>157.12119388919811</v>
      </c>
      <c r="AJ3983" s="9">
        <v>3.0428788910505911</v>
      </c>
    </row>
    <row r="3984" spans="1:36" x14ac:dyDescent="0.25">
      <c r="A3984" t="s">
        <v>5411</v>
      </c>
      <c r="B3984" t="s">
        <v>16</v>
      </c>
      <c r="C3984" t="s">
        <v>17</v>
      </c>
      <c r="D3984">
        <v>69630000</v>
      </c>
      <c r="E3984">
        <v>69639999</v>
      </c>
      <c r="F3984" t="s">
        <v>3626</v>
      </c>
      <c r="G3984" t="str">
        <f t="shared" si="124"/>
        <v>AMR</v>
      </c>
      <c r="H3984" t="s">
        <v>3573</v>
      </c>
      <c r="I3984" t="s">
        <v>20</v>
      </c>
      <c r="J3984" t="s">
        <v>77</v>
      </c>
      <c r="K3984" s="6">
        <v>0.03</v>
      </c>
      <c r="L3984" s="7">
        <f t="shared" si="125"/>
        <v>2E-3</v>
      </c>
      <c r="M3984" s="7">
        <v>3.0000000000000001E-3</v>
      </c>
      <c r="N3984">
        <v>17</v>
      </c>
      <c r="O3984" s="8">
        <v>49.365095147237867</v>
      </c>
      <c r="P3984" s="9">
        <v>49.365095147237867</v>
      </c>
      <c r="Q3984" s="9">
        <v>49.365095147237867</v>
      </c>
      <c r="R3984" s="9">
        <v>50.770888721957412</v>
      </c>
      <c r="S3984" s="9">
        <v>52.200434315108524</v>
      </c>
      <c r="T3984" s="9">
        <v>52.412128096069225</v>
      </c>
      <c r="U3984" s="9">
        <v>59.043428948049694</v>
      </c>
      <c r="V3984" s="9">
        <v>59.043428948049694</v>
      </c>
      <c r="W3984" s="9">
        <v>59.043428948049694</v>
      </c>
      <c r="X3984" s="9">
        <v>71.670593717854672</v>
      </c>
      <c r="Y3984" s="9">
        <v>71.670593717854672</v>
      </c>
      <c r="Z3984" s="9">
        <v>81.082684339640124</v>
      </c>
      <c r="AA3984" s="9">
        <v>81.082684339640124</v>
      </c>
      <c r="AB3984" s="9">
        <v>89.394521523604197</v>
      </c>
      <c r="AC3984" s="9">
        <v>89.394521523604197</v>
      </c>
      <c r="AD3984" s="9">
        <v>100.59499627651029</v>
      </c>
      <c r="AE3984" s="9">
        <v>111.57005612744882</v>
      </c>
      <c r="AF3984" s="9">
        <v>112.69702639136246</v>
      </c>
      <c r="AG3984" s="9">
        <v>112.69702639136246</v>
      </c>
      <c r="AH3984" s="9">
        <v>136.54753079098907</v>
      </c>
      <c r="AI3984" s="9">
        <v>157.12119388919811</v>
      </c>
      <c r="AJ3984" s="9">
        <v>3.0428788910505911</v>
      </c>
    </row>
    <row r="3985" spans="1:36" x14ac:dyDescent="0.25">
      <c r="A3985" t="s">
        <v>5411</v>
      </c>
      <c r="B3985" t="s">
        <v>16</v>
      </c>
      <c r="C3985" t="s">
        <v>17</v>
      </c>
      <c r="D3985">
        <v>69640000</v>
      </c>
      <c r="E3985">
        <v>69649999</v>
      </c>
      <c r="F3985" t="s">
        <v>286</v>
      </c>
      <c r="G3985" t="str">
        <f t="shared" si="124"/>
        <v>AMR</v>
      </c>
      <c r="H3985" t="s">
        <v>3573</v>
      </c>
      <c r="I3985" t="s">
        <v>20</v>
      </c>
      <c r="J3985" t="s">
        <v>77</v>
      </c>
      <c r="K3985" s="6">
        <v>0.03</v>
      </c>
      <c r="L3985" s="7">
        <f t="shared" si="125"/>
        <v>2E-3</v>
      </c>
      <c r="M3985" s="7">
        <v>3.0000000000000001E-3</v>
      </c>
      <c r="N3985">
        <v>17</v>
      </c>
      <c r="O3985" s="8">
        <v>49.365095147237867</v>
      </c>
      <c r="P3985" s="9">
        <v>49.365095147237867</v>
      </c>
      <c r="Q3985" s="9">
        <v>49.365095147237867</v>
      </c>
      <c r="R3985" s="9">
        <v>50.770888721957412</v>
      </c>
      <c r="S3985" s="9">
        <v>52.200434315108524</v>
      </c>
      <c r="T3985" s="9">
        <v>52.412128096069225</v>
      </c>
      <c r="U3985" s="9">
        <v>59.043428948049694</v>
      </c>
      <c r="V3985" s="9">
        <v>59.043428948049694</v>
      </c>
      <c r="W3985" s="9">
        <v>59.043428948049694</v>
      </c>
      <c r="X3985" s="9">
        <v>71.670593717854672</v>
      </c>
      <c r="Y3985" s="9">
        <v>71.670593717854672</v>
      </c>
      <c r="Z3985" s="9">
        <v>81.082684339640124</v>
      </c>
      <c r="AA3985" s="9">
        <v>81.082684339640124</v>
      </c>
      <c r="AB3985" s="9">
        <v>89.394521523604197</v>
      </c>
      <c r="AC3985" s="9">
        <v>89.394521523604197</v>
      </c>
      <c r="AD3985" s="9">
        <v>100.59499627651029</v>
      </c>
      <c r="AE3985" s="9">
        <v>111.57005612744882</v>
      </c>
      <c r="AF3985" s="9">
        <v>112.69702639136246</v>
      </c>
      <c r="AG3985" s="9">
        <v>112.69702639136246</v>
      </c>
      <c r="AH3985" s="9">
        <v>136.54753079098907</v>
      </c>
      <c r="AI3985" s="9">
        <v>157.12119388919811</v>
      </c>
      <c r="AJ3985" s="9">
        <v>3.0428788910505911</v>
      </c>
    </row>
    <row r="3986" spans="1:36" x14ac:dyDescent="0.25">
      <c r="A3986" t="s">
        <v>5411</v>
      </c>
      <c r="B3986" t="s">
        <v>16</v>
      </c>
      <c r="C3986" t="s">
        <v>17</v>
      </c>
      <c r="D3986">
        <v>69650000</v>
      </c>
      <c r="E3986">
        <v>69659999</v>
      </c>
      <c r="F3986" t="s">
        <v>3627</v>
      </c>
      <c r="G3986" t="str">
        <f t="shared" si="124"/>
        <v>AMR</v>
      </c>
      <c r="H3986" t="s">
        <v>3573</v>
      </c>
      <c r="I3986" t="s">
        <v>20</v>
      </c>
      <c r="J3986" t="s">
        <v>77</v>
      </c>
      <c r="K3986" s="6">
        <v>0.03</v>
      </c>
      <c r="L3986" s="7">
        <f t="shared" si="125"/>
        <v>2E-3</v>
      </c>
      <c r="M3986" s="7">
        <v>3.0000000000000001E-3</v>
      </c>
      <c r="N3986">
        <v>17</v>
      </c>
      <c r="O3986" s="8">
        <v>49.365095147237867</v>
      </c>
      <c r="P3986" s="9">
        <v>49.365095147237867</v>
      </c>
      <c r="Q3986" s="9">
        <v>49.365095147237867</v>
      </c>
      <c r="R3986" s="9">
        <v>50.770888721957412</v>
      </c>
      <c r="S3986" s="9">
        <v>52.200434315108524</v>
      </c>
      <c r="T3986" s="9">
        <v>52.412128096069225</v>
      </c>
      <c r="U3986" s="9">
        <v>59.043428948049694</v>
      </c>
      <c r="V3986" s="9">
        <v>59.043428948049694</v>
      </c>
      <c r="W3986" s="9">
        <v>59.043428948049694</v>
      </c>
      <c r="X3986" s="9">
        <v>71.670593717854672</v>
      </c>
      <c r="Y3986" s="9">
        <v>71.670593717854672</v>
      </c>
      <c r="Z3986" s="9">
        <v>81.082684339640124</v>
      </c>
      <c r="AA3986" s="9">
        <v>81.082684339640124</v>
      </c>
      <c r="AB3986" s="9">
        <v>89.394521523604197</v>
      </c>
      <c r="AC3986" s="9">
        <v>89.394521523604197</v>
      </c>
      <c r="AD3986" s="9">
        <v>100.59499627651029</v>
      </c>
      <c r="AE3986" s="9">
        <v>111.57005612744882</v>
      </c>
      <c r="AF3986" s="9">
        <v>112.69702639136246</v>
      </c>
      <c r="AG3986" s="9">
        <v>112.69702639136246</v>
      </c>
      <c r="AH3986" s="9">
        <v>136.54753079098907</v>
      </c>
      <c r="AI3986" s="9">
        <v>157.12119388919811</v>
      </c>
      <c r="AJ3986" s="9">
        <v>3.0428788910505911</v>
      </c>
    </row>
    <row r="3987" spans="1:36" x14ac:dyDescent="0.25">
      <c r="A3987" t="s">
        <v>5411</v>
      </c>
      <c r="B3987" t="s">
        <v>16</v>
      </c>
      <c r="C3987" t="s">
        <v>17</v>
      </c>
      <c r="D3987">
        <v>69660000</v>
      </c>
      <c r="E3987">
        <v>69669999</v>
      </c>
      <c r="F3987" t="s">
        <v>3628</v>
      </c>
      <c r="G3987" t="str">
        <f t="shared" si="124"/>
        <v>AMR</v>
      </c>
      <c r="H3987" t="s">
        <v>3573</v>
      </c>
      <c r="I3987" t="s">
        <v>20</v>
      </c>
      <c r="J3987" t="s">
        <v>77</v>
      </c>
      <c r="K3987" s="6">
        <v>0.03</v>
      </c>
      <c r="L3987" s="7">
        <f t="shared" si="125"/>
        <v>2E-3</v>
      </c>
      <c r="M3987" s="7">
        <v>3.0000000000000001E-3</v>
      </c>
      <c r="N3987">
        <v>17</v>
      </c>
      <c r="O3987" s="8">
        <v>49.365095147237867</v>
      </c>
      <c r="P3987" s="9">
        <v>49.365095147237867</v>
      </c>
      <c r="Q3987" s="9">
        <v>49.365095147237867</v>
      </c>
      <c r="R3987" s="9">
        <v>50.770888721957412</v>
      </c>
      <c r="S3987" s="9">
        <v>52.200434315108524</v>
      </c>
      <c r="T3987" s="9">
        <v>52.412128096069225</v>
      </c>
      <c r="U3987" s="9">
        <v>59.043428948049694</v>
      </c>
      <c r="V3987" s="9">
        <v>59.043428948049694</v>
      </c>
      <c r="W3987" s="9">
        <v>59.043428948049694</v>
      </c>
      <c r="X3987" s="9">
        <v>71.670593717854672</v>
      </c>
      <c r="Y3987" s="9">
        <v>71.670593717854672</v>
      </c>
      <c r="Z3987" s="9">
        <v>81.082684339640124</v>
      </c>
      <c r="AA3987" s="9">
        <v>81.082684339640124</v>
      </c>
      <c r="AB3987" s="9">
        <v>89.394521523604197</v>
      </c>
      <c r="AC3987" s="9">
        <v>89.394521523604197</v>
      </c>
      <c r="AD3987" s="9">
        <v>100.59499627651029</v>
      </c>
      <c r="AE3987" s="9">
        <v>111.57005612744882</v>
      </c>
      <c r="AF3987" s="9">
        <v>112.69702639136246</v>
      </c>
      <c r="AG3987" s="9">
        <v>112.69702639136246</v>
      </c>
      <c r="AH3987" s="9">
        <v>136.54753079098907</v>
      </c>
      <c r="AI3987" s="9">
        <v>157.12119388919811</v>
      </c>
      <c r="AJ3987" s="9">
        <v>3.0428788910505911</v>
      </c>
    </row>
    <row r="3988" spans="1:36" x14ac:dyDescent="0.25">
      <c r="A3988" t="s">
        <v>5411</v>
      </c>
      <c r="B3988" t="s">
        <v>16</v>
      </c>
      <c r="C3988" t="s">
        <v>17</v>
      </c>
      <c r="D3988">
        <v>69670000</v>
      </c>
      <c r="E3988">
        <v>69679999</v>
      </c>
      <c r="F3988" t="s">
        <v>3629</v>
      </c>
      <c r="G3988" t="str">
        <f t="shared" si="124"/>
        <v>AMR</v>
      </c>
      <c r="H3988" t="s">
        <v>3573</v>
      </c>
      <c r="I3988" t="s">
        <v>20</v>
      </c>
      <c r="J3988" t="s">
        <v>77</v>
      </c>
      <c r="K3988" s="6">
        <v>0.03</v>
      </c>
      <c r="L3988" s="7">
        <f t="shared" si="125"/>
        <v>2E-3</v>
      </c>
      <c r="M3988" s="7">
        <v>3.0000000000000001E-3</v>
      </c>
      <c r="N3988">
        <v>17</v>
      </c>
      <c r="O3988" s="8">
        <v>49.365095147237867</v>
      </c>
      <c r="P3988" s="9">
        <v>49.365095147237867</v>
      </c>
      <c r="Q3988" s="9">
        <v>49.365095147237867</v>
      </c>
      <c r="R3988" s="9">
        <v>50.770888721957412</v>
      </c>
      <c r="S3988" s="9">
        <v>52.200434315108524</v>
      </c>
      <c r="T3988" s="9">
        <v>52.412128096069225</v>
      </c>
      <c r="U3988" s="9">
        <v>59.043428948049694</v>
      </c>
      <c r="V3988" s="9">
        <v>59.043428948049694</v>
      </c>
      <c r="W3988" s="9">
        <v>59.043428948049694</v>
      </c>
      <c r="X3988" s="9">
        <v>71.670593717854672</v>
      </c>
      <c r="Y3988" s="9">
        <v>71.670593717854672</v>
      </c>
      <c r="Z3988" s="9">
        <v>81.082684339640124</v>
      </c>
      <c r="AA3988" s="9">
        <v>81.082684339640124</v>
      </c>
      <c r="AB3988" s="9">
        <v>89.394521523604197</v>
      </c>
      <c r="AC3988" s="9">
        <v>89.394521523604197</v>
      </c>
      <c r="AD3988" s="9">
        <v>100.59499627651029</v>
      </c>
      <c r="AE3988" s="9">
        <v>111.57005612744882</v>
      </c>
      <c r="AF3988" s="9">
        <v>112.69702639136246</v>
      </c>
      <c r="AG3988" s="9">
        <v>112.69702639136246</v>
      </c>
      <c r="AH3988" s="9">
        <v>136.54753079098907</v>
      </c>
      <c r="AI3988" s="9">
        <v>157.12119388919811</v>
      </c>
      <c r="AJ3988" s="9">
        <v>3.0428788910505911</v>
      </c>
    </row>
    <row r="3989" spans="1:36" x14ac:dyDescent="0.25">
      <c r="A3989" t="s">
        <v>5411</v>
      </c>
      <c r="B3989" t="s">
        <v>16</v>
      </c>
      <c r="C3989" t="s">
        <v>17</v>
      </c>
      <c r="D3989">
        <v>69680000</v>
      </c>
      <c r="E3989">
        <v>69684999</v>
      </c>
      <c r="F3989" t="s">
        <v>3630</v>
      </c>
      <c r="G3989" t="str">
        <f t="shared" si="124"/>
        <v>AMR</v>
      </c>
      <c r="H3989" t="s">
        <v>3573</v>
      </c>
      <c r="I3989" t="s">
        <v>20</v>
      </c>
      <c r="J3989" t="s">
        <v>77</v>
      </c>
      <c r="K3989" s="6">
        <v>0.03</v>
      </c>
      <c r="L3989" s="7">
        <f t="shared" si="125"/>
        <v>2E-3</v>
      </c>
      <c r="M3989" s="7">
        <v>3.0000000000000001E-3</v>
      </c>
      <c r="N3989">
        <v>17</v>
      </c>
      <c r="O3989" s="8">
        <v>49.365095147237867</v>
      </c>
      <c r="P3989" s="9">
        <v>49.365095147237867</v>
      </c>
      <c r="Q3989" s="9">
        <v>49.365095147237867</v>
      </c>
      <c r="R3989" s="9">
        <v>50.770888721957412</v>
      </c>
      <c r="S3989" s="9">
        <v>52.200434315108524</v>
      </c>
      <c r="T3989" s="9">
        <v>52.412128096069225</v>
      </c>
      <c r="U3989" s="9">
        <v>59.043428948049694</v>
      </c>
      <c r="V3989" s="9">
        <v>59.043428948049694</v>
      </c>
      <c r="W3989" s="9">
        <v>59.043428948049694</v>
      </c>
      <c r="X3989" s="9">
        <v>71.670593717854672</v>
      </c>
      <c r="Y3989" s="9">
        <v>71.670593717854672</v>
      </c>
      <c r="Z3989" s="9">
        <v>81.082684339640124</v>
      </c>
      <c r="AA3989" s="9">
        <v>81.082684339640124</v>
      </c>
      <c r="AB3989" s="9">
        <v>89.394521523604197</v>
      </c>
      <c r="AC3989" s="9">
        <v>89.394521523604197</v>
      </c>
      <c r="AD3989" s="9">
        <v>100.59499627651029</v>
      </c>
      <c r="AE3989" s="9">
        <v>111.57005612744882</v>
      </c>
      <c r="AF3989" s="9">
        <v>112.69702639136246</v>
      </c>
      <c r="AG3989" s="9">
        <v>112.69702639136246</v>
      </c>
      <c r="AH3989" s="9">
        <v>136.54753079098907</v>
      </c>
      <c r="AI3989" s="9">
        <v>157.12119388919811</v>
      </c>
      <c r="AJ3989" s="9">
        <v>3.0428788910505911</v>
      </c>
    </row>
    <row r="3990" spans="1:36" x14ac:dyDescent="0.25">
      <c r="A3990" t="s">
        <v>5411</v>
      </c>
      <c r="B3990" t="s">
        <v>16</v>
      </c>
      <c r="C3990" t="s">
        <v>17</v>
      </c>
      <c r="D3990">
        <v>69685000</v>
      </c>
      <c r="E3990">
        <v>69699999</v>
      </c>
      <c r="F3990" t="s">
        <v>3631</v>
      </c>
      <c r="G3990" t="str">
        <f t="shared" si="124"/>
        <v>AMR</v>
      </c>
      <c r="H3990" t="s">
        <v>3573</v>
      </c>
      <c r="I3990" t="s">
        <v>20</v>
      </c>
      <c r="J3990" t="s">
        <v>77</v>
      </c>
      <c r="K3990" s="6">
        <v>0.03</v>
      </c>
      <c r="L3990" s="7">
        <f t="shared" si="125"/>
        <v>2E-3</v>
      </c>
      <c r="M3990" s="7">
        <v>3.0000000000000001E-3</v>
      </c>
      <c r="N3990">
        <v>17</v>
      </c>
      <c r="O3990" s="8">
        <v>49.365095147237867</v>
      </c>
      <c r="P3990" s="9">
        <v>49.365095147237867</v>
      </c>
      <c r="Q3990" s="9">
        <v>49.365095147237867</v>
      </c>
      <c r="R3990" s="9">
        <v>50.770888721957412</v>
      </c>
      <c r="S3990" s="9">
        <v>52.200434315108524</v>
      </c>
      <c r="T3990" s="9">
        <v>52.412128096069225</v>
      </c>
      <c r="U3990" s="9">
        <v>59.043428948049694</v>
      </c>
      <c r="V3990" s="9">
        <v>59.043428948049694</v>
      </c>
      <c r="W3990" s="9">
        <v>59.043428948049694</v>
      </c>
      <c r="X3990" s="9">
        <v>71.670593717854672</v>
      </c>
      <c r="Y3990" s="9">
        <v>71.670593717854672</v>
      </c>
      <c r="Z3990" s="9">
        <v>81.082684339640124</v>
      </c>
      <c r="AA3990" s="9">
        <v>81.082684339640124</v>
      </c>
      <c r="AB3990" s="9">
        <v>89.394521523604197</v>
      </c>
      <c r="AC3990" s="9">
        <v>89.394521523604197</v>
      </c>
      <c r="AD3990" s="9">
        <v>100.59499627651029</v>
      </c>
      <c r="AE3990" s="9">
        <v>111.57005612744882</v>
      </c>
      <c r="AF3990" s="9">
        <v>112.69702639136246</v>
      </c>
      <c r="AG3990" s="9">
        <v>112.69702639136246</v>
      </c>
      <c r="AH3990" s="9">
        <v>136.54753079098907</v>
      </c>
      <c r="AI3990" s="9">
        <v>157.12119388919811</v>
      </c>
      <c r="AJ3990" s="9">
        <v>3.0428788910505911</v>
      </c>
    </row>
    <row r="3991" spans="1:36" x14ac:dyDescent="0.25">
      <c r="A3991" t="s">
        <v>5411</v>
      </c>
      <c r="B3991" t="s">
        <v>16</v>
      </c>
      <c r="C3991" t="s">
        <v>17</v>
      </c>
      <c r="D3991">
        <v>69700000</v>
      </c>
      <c r="E3991">
        <v>69729999</v>
      </c>
      <c r="F3991" t="s">
        <v>3632</v>
      </c>
      <c r="G3991" t="str">
        <f t="shared" si="124"/>
        <v>AMR</v>
      </c>
      <c r="H3991" t="s">
        <v>3573</v>
      </c>
      <c r="I3991" t="s">
        <v>20</v>
      </c>
      <c r="J3991" t="s">
        <v>77</v>
      </c>
      <c r="K3991" s="6">
        <v>0.03</v>
      </c>
      <c r="L3991" s="7">
        <f t="shared" si="125"/>
        <v>2E-3</v>
      </c>
      <c r="M3991" s="7">
        <v>3.0000000000000001E-3</v>
      </c>
      <c r="N3991">
        <v>17</v>
      </c>
      <c r="O3991" s="8">
        <v>49.365095147237867</v>
      </c>
      <c r="P3991" s="9">
        <v>49.365095147237867</v>
      </c>
      <c r="Q3991" s="9">
        <v>49.365095147237867</v>
      </c>
      <c r="R3991" s="9">
        <v>50.770888721957412</v>
      </c>
      <c r="S3991" s="9">
        <v>52.200434315108524</v>
      </c>
      <c r="T3991" s="9">
        <v>52.412128096069225</v>
      </c>
      <c r="U3991" s="9">
        <v>59.043428948049694</v>
      </c>
      <c r="V3991" s="9">
        <v>59.043428948049694</v>
      </c>
      <c r="W3991" s="9">
        <v>59.043428948049694</v>
      </c>
      <c r="X3991" s="9">
        <v>71.670593717854672</v>
      </c>
      <c r="Y3991" s="9">
        <v>71.670593717854672</v>
      </c>
      <c r="Z3991" s="9">
        <v>81.082684339640124</v>
      </c>
      <c r="AA3991" s="9">
        <v>81.082684339640124</v>
      </c>
      <c r="AB3991" s="9">
        <v>89.394521523604197</v>
      </c>
      <c r="AC3991" s="9">
        <v>89.394521523604197</v>
      </c>
      <c r="AD3991" s="9">
        <v>100.59499627651029</v>
      </c>
      <c r="AE3991" s="9">
        <v>111.57005612744882</v>
      </c>
      <c r="AF3991" s="9">
        <v>112.69702639136246</v>
      </c>
      <c r="AG3991" s="9">
        <v>112.69702639136246</v>
      </c>
      <c r="AH3991" s="9">
        <v>136.54753079098907</v>
      </c>
      <c r="AI3991" s="9">
        <v>157.12119388919811</v>
      </c>
      <c r="AJ3991" s="9">
        <v>3.0428788910505911</v>
      </c>
    </row>
    <row r="3992" spans="1:36" x14ac:dyDescent="0.25">
      <c r="A3992" t="s">
        <v>5411</v>
      </c>
      <c r="B3992" t="s">
        <v>16</v>
      </c>
      <c r="C3992" t="s">
        <v>17</v>
      </c>
      <c r="D3992">
        <v>69730000</v>
      </c>
      <c r="E3992">
        <v>69734999</v>
      </c>
      <c r="F3992" t="s">
        <v>3633</v>
      </c>
      <c r="G3992" t="str">
        <f t="shared" si="124"/>
        <v>AMR</v>
      </c>
      <c r="H3992" t="s">
        <v>3573</v>
      </c>
      <c r="I3992" t="s">
        <v>20</v>
      </c>
      <c r="J3992" t="s">
        <v>77</v>
      </c>
      <c r="K3992" s="6">
        <v>0.03</v>
      </c>
      <c r="L3992" s="7">
        <f t="shared" si="125"/>
        <v>2E-3</v>
      </c>
      <c r="M3992" s="7">
        <v>3.0000000000000001E-3</v>
      </c>
      <c r="N3992">
        <v>17</v>
      </c>
      <c r="O3992" s="8">
        <v>49.365095147237867</v>
      </c>
      <c r="P3992" s="9">
        <v>49.365095147237867</v>
      </c>
      <c r="Q3992" s="9">
        <v>49.365095147237867</v>
      </c>
      <c r="R3992" s="9">
        <v>50.770888721957412</v>
      </c>
      <c r="S3992" s="9">
        <v>52.200434315108524</v>
      </c>
      <c r="T3992" s="9">
        <v>52.412128096069225</v>
      </c>
      <c r="U3992" s="9">
        <v>59.043428948049694</v>
      </c>
      <c r="V3992" s="9">
        <v>59.043428948049694</v>
      </c>
      <c r="W3992" s="9">
        <v>59.043428948049694</v>
      </c>
      <c r="X3992" s="9">
        <v>71.670593717854672</v>
      </c>
      <c r="Y3992" s="9">
        <v>71.670593717854672</v>
      </c>
      <c r="Z3992" s="9">
        <v>81.082684339640124</v>
      </c>
      <c r="AA3992" s="9">
        <v>81.082684339640124</v>
      </c>
      <c r="AB3992" s="9">
        <v>89.394521523604197</v>
      </c>
      <c r="AC3992" s="9">
        <v>89.394521523604197</v>
      </c>
      <c r="AD3992" s="9">
        <v>100.59499627651029</v>
      </c>
      <c r="AE3992" s="9">
        <v>111.57005612744882</v>
      </c>
      <c r="AF3992" s="9">
        <v>112.69702639136246</v>
      </c>
      <c r="AG3992" s="9">
        <v>112.69702639136246</v>
      </c>
      <c r="AH3992" s="9">
        <v>136.54753079098907</v>
      </c>
      <c r="AI3992" s="9">
        <v>157.12119388919811</v>
      </c>
      <c r="AJ3992" s="9">
        <v>3.0428788910505911</v>
      </c>
    </row>
    <row r="3993" spans="1:36" x14ac:dyDescent="0.25">
      <c r="A3993" t="s">
        <v>5411</v>
      </c>
      <c r="B3993" t="s">
        <v>16</v>
      </c>
      <c r="C3993" t="s">
        <v>17</v>
      </c>
      <c r="D3993">
        <v>69735000</v>
      </c>
      <c r="E3993">
        <v>69739999</v>
      </c>
      <c r="F3993" t="s">
        <v>3634</v>
      </c>
      <c r="G3993" t="str">
        <f t="shared" si="124"/>
        <v>AMR</v>
      </c>
      <c r="H3993" t="s">
        <v>3573</v>
      </c>
      <c r="I3993" t="s">
        <v>20</v>
      </c>
      <c r="J3993" t="s">
        <v>77</v>
      </c>
      <c r="K3993" s="6">
        <v>0.03</v>
      </c>
      <c r="L3993" s="7">
        <f t="shared" si="125"/>
        <v>2E-3</v>
      </c>
      <c r="M3993" s="7">
        <v>3.0000000000000001E-3</v>
      </c>
      <c r="N3993">
        <v>17</v>
      </c>
      <c r="O3993" s="8">
        <v>49.365095147237867</v>
      </c>
      <c r="P3993" s="9">
        <v>49.365095147237867</v>
      </c>
      <c r="Q3993" s="9">
        <v>49.365095147237867</v>
      </c>
      <c r="R3993" s="9">
        <v>50.770888721957412</v>
      </c>
      <c r="S3993" s="9">
        <v>52.200434315108524</v>
      </c>
      <c r="T3993" s="9">
        <v>52.412128096069225</v>
      </c>
      <c r="U3993" s="9">
        <v>59.043428948049694</v>
      </c>
      <c r="V3993" s="9">
        <v>59.043428948049694</v>
      </c>
      <c r="W3993" s="9">
        <v>59.043428948049694</v>
      </c>
      <c r="X3993" s="9">
        <v>71.670593717854672</v>
      </c>
      <c r="Y3993" s="9">
        <v>71.670593717854672</v>
      </c>
      <c r="Z3993" s="9">
        <v>81.082684339640124</v>
      </c>
      <c r="AA3993" s="9">
        <v>81.082684339640124</v>
      </c>
      <c r="AB3993" s="9">
        <v>89.394521523604197</v>
      </c>
      <c r="AC3993" s="9">
        <v>89.394521523604197</v>
      </c>
      <c r="AD3993" s="9">
        <v>100.59499627651029</v>
      </c>
      <c r="AE3993" s="9">
        <v>111.57005612744882</v>
      </c>
      <c r="AF3993" s="9">
        <v>112.69702639136246</v>
      </c>
      <c r="AG3993" s="9">
        <v>112.69702639136246</v>
      </c>
      <c r="AH3993" s="9">
        <v>136.54753079098907</v>
      </c>
      <c r="AI3993" s="9">
        <v>157.12119388919811</v>
      </c>
      <c r="AJ3993" s="9">
        <v>3.0428788910505911</v>
      </c>
    </row>
    <row r="3994" spans="1:36" x14ac:dyDescent="0.25">
      <c r="A3994" t="s">
        <v>5411</v>
      </c>
      <c r="B3994" t="s">
        <v>16</v>
      </c>
      <c r="C3994" t="s">
        <v>17</v>
      </c>
      <c r="D3994">
        <v>69740000</v>
      </c>
      <c r="E3994">
        <v>69749999</v>
      </c>
      <c r="F3994" t="s">
        <v>3635</v>
      </c>
      <c r="G3994" t="str">
        <f t="shared" si="124"/>
        <v>AMR</v>
      </c>
      <c r="H3994" t="s">
        <v>3573</v>
      </c>
      <c r="I3994" t="s">
        <v>20</v>
      </c>
      <c r="J3994" t="s">
        <v>77</v>
      </c>
      <c r="K3994" s="6">
        <v>0.03</v>
      </c>
      <c r="L3994" s="7">
        <f t="shared" si="125"/>
        <v>2E-3</v>
      </c>
      <c r="M3994" s="7">
        <v>3.0000000000000001E-3</v>
      </c>
      <c r="N3994">
        <v>17</v>
      </c>
      <c r="O3994" s="8">
        <v>49.365095147237867</v>
      </c>
      <c r="P3994" s="9">
        <v>49.365095147237867</v>
      </c>
      <c r="Q3994" s="9">
        <v>49.365095147237867</v>
      </c>
      <c r="R3994" s="9">
        <v>50.770888721957412</v>
      </c>
      <c r="S3994" s="9">
        <v>52.200434315108524</v>
      </c>
      <c r="T3994" s="9">
        <v>52.412128096069225</v>
      </c>
      <c r="U3994" s="9">
        <v>59.043428948049694</v>
      </c>
      <c r="V3994" s="9">
        <v>59.043428948049694</v>
      </c>
      <c r="W3994" s="9">
        <v>59.043428948049694</v>
      </c>
      <c r="X3994" s="9">
        <v>71.670593717854672</v>
      </c>
      <c r="Y3994" s="9">
        <v>71.670593717854672</v>
      </c>
      <c r="Z3994" s="9">
        <v>81.082684339640124</v>
      </c>
      <c r="AA3994" s="9">
        <v>81.082684339640124</v>
      </c>
      <c r="AB3994" s="9">
        <v>89.394521523604197</v>
      </c>
      <c r="AC3994" s="9">
        <v>89.394521523604197</v>
      </c>
      <c r="AD3994" s="9">
        <v>100.59499627651029</v>
      </c>
      <c r="AE3994" s="9">
        <v>111.57005612744882</v>
      </c>
      <c r="AF3994" s="9">
        <v>112.69702639136246</v>
      </c>
      <c r="AG3994" s="9">
        <v>112.69702639136246</v>
      </c>
      <c r="AH3994" s="9">
        <v>136.54753079098907</v>
      </c>
      <c r="AI3994" s="9">
        <v>157.12119388919811</v>
      </c>
      <c r="AJ3994" s="9">
        <v>3.0428788910505911</v>
      </c>
    </row>
    <row r="3995" spans="1:36" x14ac:dyDescent="0.25">
      <c r="A3995" t="s">
        <v>5411</v>
      </c>
      <c r="B3995" t="s">
        <v>16</v>
      </c>
      <c r="C3995" t="s">
        <v>17</v>
      </c>
      <c r="D3995">
        <v>69750000</v>
      </c>
      <c r="E3995">
        <v>69799999</v>
      </c>
      <c r="F3995" t="s">
        <v>3636</v>
      </c>
      <c r="G3995" t="str">
        <f t="shared" si="124"/>
        <v>AMR</v>
      </c>
      <c r="H3995" t="s">
        <v>3573</v>
      </c>
      <c r="I3995" t="s">
        <v>20</v>
      </c>
      <c r="J3995" t="s">
        <v>77</v>
      </c>
      <c r="K3995" s="6">
        <v>0.03</v>
      </c>
      <c r="L3995" s="7">
        <f t="shared" si="125"/>
        <v>2E-3</v>
      </c>
      <c r="M3995" s="7">
        <v>3.0000000000000001E-3</v>
      </c>
      <c r="N3995">
        <v>17</v>
      </c>
      <c r="O3995" s="8">
        <v>49.365095147237867</v>
      </c>
      <c r="P3995" s="9">
        <v>49.365095147237867</v>
      </c>
      <c r="Q3995" s="9">
        <v>49.365095147237867</v>
      </c>
      <c r="R3995" s="9">
        <v>50.770888721957412</v>
      </c>
      <c r="S3995" s="9">
        <v>52.200434315108524</v>
      </c>
      <c r="T3995" s="9">
        <v>52.412128096069225</v>
      </c>
      <c r="U3995" s="9">
        <v>59.043428948049694</v>
      </c>
      <c r="V3995" s="9">
        <v>59.043428948049694</v>
      </c>
      <c r="W3995" s="9">
        <v>59.043428948049694</v>
      </c>
      <c r="X3995" s="9">
        <v>71.670593717854672</v>
      </c>
      <c r="Y3995" s="9">
        <v>71.670593717854672</v>
      </c>
      <c r="Z3995" s="9">
        <v>81.082684339640124</v>
      </c>
      <c r="AA3995" s="9">
        <v>81.082684339640124</v>
      </c>
      <c r="AB3995" s="9">
        <v>89.394521523604197</v>
      </c>
      <c r="AC3995" s="9">
        <v>89.394521523604197</v>
      </c>
      <c r="AD3995" s="9">
        <v>100.59499627651029</v>
      </c>
      <c r="AE3995" s="9">
        <v>111.57005612744882</v>
      </c>
      <c r="AF3995" s="9">
        <v>112.69702639136246</v>
      </c>
      <c r="AG3995" s="9">
        <v>112.69702639136246</v>
      </c>
      <c r="AH3995" s="9">
        <v>136.54753079098907</v>
      </c>
      <c r="AI3995" s="9">
        <v>157.12119388919811</v>
      </c>
      <c r="AJ3995" s="9">
        <v>3.0428788910505911</v>
      </c>
    </row>
    <row r="3996" spans="1:36" x14ac:dyDescent="0.25">
      <c r="A3996" t="s">
        <v>5411</v>
      </c>
      <c r="B3996" t="s">
        <v>16</v>
      </c>
      <c r="C3996" t="s">
        <v>17</v>
      </c>
      <c r="D3996">
        <v>69800000</v>
      </c>
      <c r="E3996">
        <v>69819999</v>
      </c>
      <c r="F3996" t="s">
        <v>3637</v>
      </c>
      <c r="G3996" t="str">
        <f t="shared" si="124"/>
        <v>AMR</v>
      </c>
      <c r="H3996" t="s">
        <v>3573</v>
      </c>
      <c r="I3996" t="s">
        <v>20</v>
      </c>
      <c r="J3996" t="s">
        <v>77</v>
      </c>
      <c r="K3996" s="6">
        <v>0.03</v>
      </c>
      <c r="L3996" s="7">
        <f t="shared" si="125"/>
        <v>2E-3</v>
      </c>
      <c r="M3996" s="7">
        <v>3.0000000000000001E-3</v>
      </c>
      <c r="N3996">
        <v>17</v>
      </c>
      <c r="O3996" s="8">
        <v>49.365095147237867</v>
      </c>
      <c r="P3996" s="9">
        <v>49.365095147237867</v>
      </c>
      <c r="Q3996" s="9">
        <v>49.365095147237867</v>
      </c>
      <c r="R3996" s="9">
        <v>50.770888721957412</v>
      </c>
      <c r="S3996" s="9">
        <v>52.200434315108524</v>
      </c>
      <c r="T3996" s="9">
        <v>52.412128096069225</v>
      </c>
      <c r="U3996" s="9">
        <v>59.043428948049694</v>
      </c>
      <c r="V3996" s="9">
        <v>59.043428948049694</v>
      </c>
      <c r="W3996" s="9">
        <v>59.043428948049694</v>
      </c>
      <c r="X3996" s="9">
        <v>71.670593717854672</v>
      </c>
      <c r="Y3996" s="9">
        <v>71.670593717854672</v>
      </c>
      <c r="Z3996" s="9">
        <v>81.082684339640124</v>
      </c>
      <c r="AA3996" s="9">
        <v>81.082684339640124</v>
      </c>
      <c r="AB3996" s="9">
        <v>89.394521523604197</v>
      </c>
      <c r="AC3996" s="9">
        <v>89.394521523604197</v>
      </c>
      <c r="AD3996" s="9">
        <v>100.59499627651029</v>
      </c>
      <c r="AE3996" s="9">
        <v>111.57005612744882</v>
      </c>
      <c r="AF3996" s="9">
        <v>112.69702639136246</v>
      </c>
      <c r="AG3996" s="9">
        <v>112.69702639136246</v>
      </c>
      <c r="AH3996" s="9">
        <v>136.54753079098907</v>
      </c>
      <c r="AI3996" s="9">
        <v>157.12119388919811</v>
      </c>
      <c r="AJ3996" s="9">
        <v>3.0428788910505911</v>
      </c>
    </row>
    <row r="3997" spans="1:36" x14ac:dyDescent="0.25">
      <c r="A3997" t="s">
        <v>5411</v>
      </c>
      <c r="B3997" t="s">
        <v>16</v>
      </c>
      <c r="C3997" t="s">
        <v>17</v>
      </c>
      <c r="D3997">
        <v>69820000</v>
      </c>
      <c r="E3997">
        <v>69829999</v>
      </c>
      <c r="F3997" t="s">
        <v>3638</v>
      </c>
      <c r="G3997" t="str">
        <f t="shared" si="124"/>
        <v>AMR</v>
      </c>
      <c r="H3997" t="s">
        <v>3573</v>
      </c>
      <c r="I3997" t="s">
        <v>20</v>
      </c>
      <c r="J3997" t="s">
        <v>77</v>
      </c>
      <c r="K3997" s="6">
        <v>0.03</v>
      </c>
      <c r="L3997" s="7">
        <f t="shared" si="125"/>
        <v>2E-3</v>
      </c>
      <c r="M3997" s="7">
        <v>3.0000000000000001E-3</v>
      </c>
      <c r="N3997">
        <v>17</v>
      </c>
      <c r="O3997" s="8">
        <v>49.365095147237867</v>
      </c>
      <c r="P3997" s="9">
        <v>49.365095147237867</v>
      </c>
      <c r="Q3997" s="9">
        <v>49.365095147237867</v>
      </c>
      <c r="R3997" s="9">
        <v>50.770888721957412</v>
      </c>
      <c r="S3997" s="9">
        <v>52.200434315108524</v>
      </c>
      <c r="T3997" s="9">
        <v>52.412128096069225</v>
      </c>
      <c r="U3997" s="9">
        <v>59.043428948049694</v>
      </c>
      <c r="V3997" s="9">
        <v>59.043428948049694</v>
      </c>
      <c r="W3997" s="9">
        <v>59.043428948049694</v>
      </c>
      <c r="X3997" s="9">
        <v>71.670593717854672</v>
      </c>
      <c r="Y3997" s="9">
        <v>71.670593717854672</v>
      </c>
      <c r="Z3997" s="9">
        <v>81.082684339640124</v>
      </c>
      <c r="AA3997" s="9">
        <v>81.082684339640124</v>
      </c>
      <c r="AB3997" s="9">
        <v>89.394521523604197</v>
      </c>
      <c r="AC3997" s="9">
        <v>89.394521523604197</v>
      </c>
      <c r="AD3997" s="9">
        <v>100.59499627651029</v>
      </c>
      <c r="AE3997" s="9">
        <v>111.57005612744882</v>
      </c>
      <c r="AF3997" s="9">
        <v>112.69702639136246</v>
      </c>
      <c r="AG3997" s="9">
        <v>112.69702639136246</v>
      </c>
      <c r="AH3997" s="9">
        <v>136.54753079098907</v>
      </c>
      <c r="AI3997" s="9">
        <v>157.12119388919811</v>
      </c>
      <c r="AJ3997" s="9">
        <v>3.0428788910505911</v>
      </c>
    </row>
    <row r="3998" spans="1:36" x14ac:dyDescent="0.25">
      <c r="A3998" t="s">
        <v>5411</v>
      </c>
      <c r="B3998" t="s">
        <v>16</v>
      </c>
      <c r="C3998" t="s">
        <v>17</v>
      </c>
      <c r="D3998">
        <v>69830000</v>
      </c>
      <c r="E3998">
        <v>69849999</v>
      </c>
      <c r="F3998" t="s">
        <v>3639</v>
      </c>
      <c r="G3998" t="str">
        <f t="shared" si="124"/>
        <v>AMR</v>
      </c>
      <c r="H3998" t="s">
        <v>3573</v>
      </c>
      <c r="I3998" t="s">
        <v>20</v>
      </c>
      <c r="J3998" t="s">
        <v>77</v>
      </c>
      <c r="K3998" s="6">
        <v>0.03</v>
      </c>
      <c r="L3998" s="7">
        <f t="shared" si="125"/>
        <v>2E-3</v>
      </c>
      <c r="M3998" s="7">
        <v>3.0000000000000001E-3</v>
      </c>
      <c r="N3998">
        <v>17</v>
      </c>
      <c r="O3998" s="8">
        <v>49.365095147237867</v>
      </c>
      <c r="P3998" s="9">
        <v>49.365095147237867</v>
      </c>
      <c r="Q3998" s="9">
        <v>49.365095147237867</v>
      </c>
      <c r="R3998" s="9">
        <v>50.770888721957412</v>
      </c>
      <c r="S3998" s="9">
        <v>52.200434315108524</v>
      </c>
      <c r="T3998" s="9">
        <v>52.412128096069225</v>
      </c>
      <c r="U3998" s="9">
        <v>59.043428948049694</v>
      </c>
      <c r="V3998" s="9">
        <v>59.043428948049694</v>
      </c>
      <c r="W3998" s="9">
        <v>59.043428948049694</v>
      </c>
      <c r="X3998" s="9">
        <v>71.670593717854672</v>
      </c>
      <c r="Y3998" s="9">
        <v>71.670593717854672</v>
      </c>
      <c r="Z3998" s="9">
        <v>81.082684339640124</v>
      </c>
      <c r="AA3998" s="9">
        <v>81.082684339640124</v>
      </c>
      <c r="AB3998" s="9">
        <v>89.394521523604197</v>
      </c>
      <c r="AC3998" s="9">
        <v>89.394521523604197</v>
      </c>
      <c r="AD3998" s="9">
        <v>100.59499627651029</v>
      </c>
      <c r="AE3998" s="9">
        <v>111.57005612744882</v>
      </c>
      <c r="AF3998" s="9">
        <v>112.69702639136246</v>
      </c>
      <c r="AG3998" s="9">
        <v>112.69702639136246</v>
      </c>
      <c r="AH3998" s="9">
        <v>136.54753079098907</v>
      </c>
      <c r="AI3998" s="9">
        <v>157.12119388919811</v>
      </c>
      <c r="AJ3998" s="9">
        <v>3.0428788910505911</v>
      </c>
    </row>
    <row r="3999" spans="1:36" x14ac:dyDescent="0.25">
      <c r="A3999" t="s">
        <v>5411</v>
      </c>
      <c r="B3999" t="s">
        <v>16</v>
      </c>
      <c r="C3999" t="s">
        <v>17</v>
      </c>
      <c r="D3999">
        <v>69850000</v>
      </c>
      <c r="E3999">
        <v>69859999</v>
      </c>
      <c r="F3999" t="s">
        <v>3640</v>
      </c>
      <c r="G3999" t="str">
        <f t="shared" si="124"/>
        <v>AMR</v>
      </c>
      <c r="H3999" t="s">
        <v>3573</v>
      </c>
      <c r="I3999" t="s">
        <v>20</v>
      </c>
      <c r="J3999" t="s">
        <v>77</v>
      </c>
      <c r="K3999" s="6">
        <v>0.03</v>
      </c>
      <c r="L3999" s="7">
        <f t="shared" si="125"/>
        <v>2E-3</v>
      </c>
      <c r="M3999" s="7">
        <v>3.0000000000000001E-3</v>
      </c>
      <c r="N3999">
        <v>17</v>
      </c>
      <c r="O3999" s="8">
        <v>49.365095147237867</v>
      </c>
      <c r="P3999" s="9">
        <v>49.365095147237867</v>
      </c>
      <c r="Q3999" s="9">
        <v>49.365095147237867</v>
      </c>
      <c r="R3999" s="9">
        <v>50.770888721957412</v>
      </c>
      <c r="S3999" s="9">
        <v>52.200434315108524</v>
      </c>
      <c r="T3999" s="9">
        <v>52.412128096069225</v>
      </c>
      <c r="U3999" s="9">
        <v>59.043428948049694</v>
      </c>
      <c r="V3999" s="9">
        <v>59.043428948049694</v>
      </c>
      <c r="W3999" s="9">
        <v>59.043428948049694</v>
      </c>
      <c r="X3999" s="9">
        <v>71.670593717854672</v>
      </c>
      <c r="Y3999" s="9">
        <v>71.670593717854672</v>
      </c>
      <c r="Z3999" s="9">
        <v>81.082684339640124</v>
      </c>
      <c r="AA3999" s="9">
        <v>81.082684339640124</v>
      </c>
      <c r="AB3999" s="9">
        <v>89.394521523604197</v>
      </c>
      <c r="AC3999" s="9">
        <v>89.394521523604197</v>
      </c>
      <c r="AD3999" s="9">
        <v>100.59499627651029</v>
      </c>
      <c r="AE3999" s="9">
        <v>111.57005612744882</v>
      </c>
      <c r="AF3999" s="9">
        <v>112.69702639136246</v>
      </c>
      <c r="AG3999" s="9">
        <v>112.69702639136246</v>
      </c>
      <c r="AH3999" s="9">
        <v>136.54753079098907</v>
      </c>
      <c r="AI3999" s="9">
        <v>157.12119388919811</v>
      </c>
      <c r="AJ3999" s="9">
        <v>3.0428788910505911</v>
      </c>
    </row>
    <row r="4000" spans="1:36" x14ac:dyDescent="0.25">
      <c r="A4000" t="s">
        <v>5411</v>
      </c>
      <c r="B4000" t="s">
        <v>16</v>
      </c>
      <c r="C4000" t="s">
        <v>17</v>
      </c>
      <c r="D4000">
        <v>69860000</v>
      </c>
      <c r="E4000">
        <v>69869999</v>
      </c>
      <c r="F4000" t="s">
        <v>3641</v>
      </c>
      <c r="G4000" t="str">
        <f t="shared" si="124"/>
        <v>AMR</v>
      </c>
      <c r="H4000" t="s">
        <v>3573</v>
      </c>
      <c r="I4000" t="s">
        <v>20</v>
      </c>
      <c r="J4000" t="s">
        <v>77</v>
      </c>
      <c r="K4000" s="6">
        <v>0.03</v>
      </c>
      <c r="L4000" s="7">
        <f t="shared" si="125"/>
        <v>2E-3</v>
      </c>
      <c r="M4000" s="7">
        <v>3.0000000000000001E-3</v>
      </c>
      <c r="N4000">
        <v>17</v>
      </c>
      <c r="O4000" s="8">
        <v>49.365095147237867</v>
      </c>
      <c r="P4000" s="9">
        <v>49.365095147237867</v>
      </c>
      <c r="Q4000" s="9">
        <v>49.365095147237867</v>
      </c>
      <c r="R4000" s="9">
        <v>50.770888721957412</v>
      </c>
      <c r="S4000" s="9">
        <v>52.200434315108524</v>
      </c>
      <c r="T4000" s="9">
        <v>52.412128096069225</v>
      </c>
      <c r="U4000" s="9">
        <v>59.043428948049694</v>
      </c>
      <c r="V4000" s="9">
        <v>59.043428948049694</v>
      </c>
      <c r="W4000" s="9">
        <v>59.043428948049694</v>
      </c>
      <c r="X4000" s="9">
        <v>71.670593717854672</v>
      </c>
      <c r="Y4000" s="9">
        <v>71.670593717854672</v>
      </c>
      <c r="Z4000" s="9">
        <v>81.082684339640124</v>
      </c>
      <c r="AA4000" s="9">
        <v>81.082684339640124</v>
      </c>
      <c r="AB4000" s="9">
        <v>89.394521523604197</v>
      </c>
      <c r="AC4000" s="9">
        <v>89.394521523604197</v>
      </c>
      <c r="AD4000" s="9">
        <v>100.59499627651029</v>
      </c>
      <c r="AE4000" s="9">
        <v>111.57005612744882</v>
      </c>
      <c r="AF4000" s="9">
        <v>112.69702639136246</v>
      </c>
      <c r="AG4000" s="9">
        <v>112.69702639136246</v>
      </c>
      <c r="AH4000" s="9">
        <v>136.54753079098907</v>
      </c>
      <c r="AI4000" s="9">
        <v>157.12119388919811</v>
      </c>
      <c r="AJ4000" s="9">
        <v>3.0428788910505911</v>
      </c>
    </row>
    <row r="4001" spans="1:36" x14ac:dyDescent="0.25">
      <c r="A4001" t="s">
        <v>5411</v>
      </c>
      <c r="B4001" t="s">
        <v>16</v>
      </c>
      <c r="C4001" t="s">
        <v>17</v>
      </c>
      <c r="D4001">
        <v>69870000</v>
      </c>
      <c r="E4001">
        <v>69879999</v>
      </c>
      <c r="F4001" t="s">
        <v>3642</v>
      </c>
      <c r="G4001" t="str">
        <f t="shared" si="124"/>
        <v>AMR</v>
      </c>
      <c r="H4001" t="s">
        <v>3573</v>
      </c>
      <c r="I4001" t="s">
        <v>20</v>
      </c>
      <c r="J4001" t="s">
        <v>77</v>
      </c>
      <c r="K4001" s="6">
        <v>0.03</v>
      </c>
      <c r="L4001" s="7">
        <f t="shared" si="125"/>
        <v>2E-3</v>
      </c>
      <c r="M4001" s="7">
        <v>3.0000000000000001E-3</v>
      </c>
      <c r="N4001">
        <v>17</v>
      </c>
      <c r="O4001" s="8">
        <v>49.365095147237867</v>
      </c>
      <c r="P4001" s="9">
        <v>49.365095147237867</v>
      </c>
      <c r="Q4001" s="9">
        <v>49.365095147237867</v>
      </c>
      <c r="R4001" s="9">
        <v>50.770888721957412</v>
      </c>
      <c r="S4001" s="9">
        <v>52.200434315108524</v>
      </c>
      <c r="T4001" s="9">
        <v>52.412128096069225</v>
      </c>
      <c r="U4001" s="9">
        <v>59.043428948049694</v>
      </c>
      <c r="V4001" s="9">
        <v>59.043428948049694</v>
      </c>
      <c r="W4001" s="9">
        <v>59.043428948049694</v>
      </c>
      <c r="X4001" s="9">
        <v>71.670593717854672</v>
      </c>
      <c r="Y4001" s="9">
        <v>71.670593717854672</v>
      </c>
      <c r="Z4001" s="9">
        <v>81.082684339640124</v>
      </c>
      <c r="AA4001" s="9">
        <v>81.082684339640124</v>
      </c>
      <c r="AB4001" s="9">
        <v>89.394521523604197</v>
      </c>
      <c r="AC4001" s="9">
        <v>89.394521523604197</v>
      </c>
      <c r="AD4001" s="9">
        <v>100.59499627651029</v>
      </c>
      <c r="AE4001" s="9">
        <v>111.57005612744882</v>
      </c>
      <c r="AF4001" s="9">
        <v>112.69702639136246</v>
      </c>
      <c r="AG4001" s="9">
        <v>112.69702639136246</v>
      </c>
      <c r="AH4001" s="9">
        <v>136.54753079098907</v>
      </c>
      <c r="AI4001" s="9">
        <v>157.12119388919811</v>
      </c>
      <c r="AJ4001" s="9">
        <v>3.0428788910505911</v>
      </c>
    </row>
    <row r="4002" spans="1:36" x14ac:dyDescent="0.25">
      <c r="A4002" t="s">
        <v>5411</v>
      </c>
      <c r="B4002" t="s">
        <v>16</v>
      </c>
      <c r="C4002" t="s">
        <v>17</v>
      </c>
      <c r="D4002">
        <v>69880000</v>
      </c>
      <c r="E4002">
        <v>69889999</v>
      </c>
      <c r="F4002" t="s">
        <v>3643</v>
      </c>
      <c r="G4002" t="str">
        <f t="shared" si="124"/>
        <v>AMR</v>
      </c>
      <c r="H4002" t="s">
        <v>3573</v>
      </c>
      <c r="I4002" t="s">
        <v>20</v>
      </c>
      <c r="J4002" t="s">
        <v>77</v>
      </c>
      <c r="K4002" s="6">
        <v>0.03</v>
      </c>
      <c r="L4002" s="7">
        <f t="shared" si="125"/>
        <v>2E-3</v>
      </c>
      <c r="M4002" s="7">
        <v>3.0000000000000001E-3</v>
      </c>
      <c r="N4002">
        <v>17</v>
      </c>
      <c r="O4002" s="8">
        <v>49.365095147237867</v>
      </c>
      <c r="P4002" s="9">
        <v>49.365095147237867</v>
      </c>
      <c r="Q4002" s="9">
        <v>49.365095147237867</v>
      </c>
      <c r="R4002" s="9">
        <v>50.770888721957412</v>
      </c>
      <c r="S4002" s="9">
        <v>52.200434315108524</v>
      </c>
      <c r="T4002" s="9">
        <v>52.412128096069225</v>
      </c>
      <c r="U4002" s="9">
        <v>59.043428948049694</v>
      </c>
      <c r="V4002" s="9">
        <v>59.043428948049694</v>
      </c>
      <c r="W4002" s="9">
        <v>59.043428948049694</v>
      </c>
      <c r="X4002" s="9">
        <v>71.670593717854672</v>
      </c>
      <c r="Y4002" s="9">
        <v>71.670593717854672</v>
      </c>
      <c r="Z4002" s="9">
        <v>81.082684339640124</v>
      </c>
      <c r="AA4002" s="9">
        <v>81.082684339640124</v>
      </c>
      <c r="AB4002" s="9">
        <v>89.394521523604197</v>
      </c>
      <c r="AC4002" s="9">
        <v>89.394521523604197</v>
      </c>
      <c r="AD4002" s="9">
        <v>100.59499627651029</v>
      </c>
      <c r="AE4002" s="9">
        <v>111.57005612744882</v>
      </c>
      <c r="AF4002" s="9">
        <v>112.69702639136246</v>
      </c>
      <c r="AG4002" s="9">
        <v>112.69702639136246</v>
      </c>
      <c r="AH4002" s="9">
        <v>136.54753079098907</v>
      </c>
      <c r="AI4002" s="9">
        <v>157.12119388919811</v>
      </c>
      <c r="AJ4002" s="9">
        <v>3.0428788910505911</v>
      </c>
    </row>
    <row r="4003" spans="1:36" x14ac:dyDescent="0.25">
      <c r="A4003" t="s">
        <v>5411</v>
      </c>
      <c r="B4003" t="s">
        <v>16</v>
      </c>
      <c r="C4003" t="s">
        <v>17</v>
      </c>
      <c r="D4003">
        <v>69890000</v>
      </c>
      <c r="E4003">
        <v>69894999</v>
      </c>
      <c r="F4003" t="s">
        <v>3644</v>
      </c>
      <c r="G4003" t="str">
        <f t="shared" si="124"/>
        <v>AMR</v>
      </c>
      <c r="H4003" t="s">
        <v>3573</v>
      </c>
      <c r="I4003" t="s">
        <v>20</v>
      </c>
      <c r="J4003" t="s">
        <v>77</v>
      </c>
      <c r="K4003" s="6">
        <v>0.03</v>
      </c>
      <c r="L4003" s="7">
        <f t="shared" si="125"/>
        <v>2E-3</v>
      </c>
      <c r="M4003" s="7">
        <v>3.0000000000000001E-3</v>
      </c>
      <c r="N4003">
        <v>17</v>
      </c>
      <c r="O4003" s="8">
        <v>49.365095147237867</v>
      </c>
      <c r="P4003" s="9">
        <v>49.365095147237867</v>
      </c>
      <c r="Q4003" s="9">
        <v>49.365095147237867</v>
      </c>
      <c r="R4003" s="9">
        <v>50.770888721957412</v>
      </c>
      <c r="S4003" s="9">
        <v>52.200434315108524</v>
      </c>
      <c r="T4003" s="9">
        <v>52.412128096069225</v>
      </c>
      <c r="U4003" s="9">
        <v>59.043428948049694</v>
      </c>
      <c r="V4003" s="9">
        <v>59.043428948049694</v>
      </c>
      <c r="W4003" s="9">
        <v>59.043428948049694</v>
      </c>
      <c r="X4003" s="9">
        <v>71.670593717854672</v>
      </c>
      <c r="Y4003" s="9">
        <v>71.670593717854672</v>
      </c>
      <c r="Z4003" s="9">
        <v>81.082684339640124</v>
      </c>
      <c r="AA4003" s="9">
        <v>81.082684339640124</v>
      </c>
      <c r="AB4003" s="9">
        <v>89.394521523604197</v>
      </c>
      <c r="AC4003" s="9">
        <v>89.394521523604197</v>
      </c>
      <c r="AD4003" s="9">
        <v>100.59499627651029</v>
      </c>
      <c r="AE4003" s="9">
        <v>111.57005612744882</v>
      </c>
      <c r="AF4003" s="9">
        <v>112.69702639136246</v>
      </c>
      <c r="AG4003" s="9">
        <v>112.69702639136246</v>
      </c>
      <c r="AH4003" s="9">
        <v>136.54753079098907</v>
      </c>
      <c r="AI4003" s="9">
        <v>157.12119388919811</v>
      </c>
      <c r="AJ4003" s="9">
        <v>3.0428788910505911</v>
      </c>
    </row>
    <row r="4004" spans="1:36" x14ac:dyDescent="0.25">
      <c r="A4004" t="s">
        <v>5411</v>
      </c>
      <c r="B4004" t="s">
        <v>16</v>
      </c>
      <c r="C4004" t="s">
        <v>17</v>
      </c>
      <c r="D4004">
        <v>69895000</v>
      </c>
      <c r="E4004">
        <v>69899999</v>
      </c>
      <c r="F4004" t="s">
        <v>3645</v>
      </c>
      <c r="G4004" t="str">
        <f t="shared" si="124"/>
        <v>AMR</v>
      </c>
      <c r="H4004" t="s">
        <v>3573</v>
      </c>
      <c r="I4004" t="s">
        <v>20</v>
      </c>
      <c r="J4004" t="s">
        <v>77</v>
      </c>
      <c r="K4004" s="6">
        <v>0.03</v>
      </c>
      <c r="L4004" s="7">
        <f t="shared" si="125"/>
        <v>2E-3</v>
      </c>
      <c r="M4004" s="7">
        <v>3.0000000000000001E-3</v>
      </c>
      <c r="N4004">
        <v>17</v>
      </c>
      <c r="O4004" s="8">
        <v>49.365095147237867</v>
      </c>
      <c r="P4004" s="9">
        <v>49.365095147237867</v>
      </c>
      <c r="Q4004" s="9">
        <v>49.365095147237867</v>
      </c>
      <c r="R4004" s="9">
        <v>50.770888721957412</v>
      </c>
      <c r="S4004" s="9">
        <v>52.200434315108524</v>
      </c>
      <c r="T4004" s="9">
        <v>52.412128096069225</v>
      </c>
      <c r="U4004" s="9">
        <v>59.043428948049694</v>
      </c>
      <c r="V4004" s="9">
        <v>59.043428948049694</v>
      </c>
      <c r="W4004" s="9">
        <v>59.043428948049694</v>
      </c>
      <c r="X4004" s="9">
        <v>71.670593717854672</v>
      </c>
      <c r="Y4004" s="9">
        <v>71.670593717854672</v>
      </c>
      <c r="Z4004" s="9">
        <v>81.082684339640124</v>
      </c>
      <c r="AA4004" s="9">
        <v>81.082684339640124</v>
      </c>
      <c r="AB4004" s="9">
        <v>89.394521523604197</v>
      </c>
      <c r="AC4004" s="9">
        <v>89.394521523604197</v>
      </c>
      <c r="AD4004" s="9">
        <v>100.59499627651029</v>
      </c>
      <c r="AE4004" s="9">
        <v>111.57005612744882</v>
      </c>
      <c r="AF4004" s="9">
        <v>112.69702639136246</v>
      </c>
      <c r="AG4004" s="9">
        <v>112.69702639136246</v>
      </c>
      <c r="AH4004" s="9">
        <v>136.54753079098907</v>
      </c>
      <c r="AI4004" s="9">
        <v>157.12119388919811</v>
      </c>
      <c r="AJ4004" s="9">
        <v>3.0428788910505911</v>
      </c>
    </row>
    <row r="4005" spans="1:36" x14ac:dyDescent="0.25">
      <c r="A4005" t="s">
        <v>5411</v>
      </c>
      <c r="B4005" t="s">
        <v>16</v>
      </c>
      <c r="C4005" t="s">
        <v>17</v>
      </c>
      <c r="D4005">
        <v>69900000</v>
      </c>
      <c r="E4005">
        <v>69924999</v>
      </c>
      <c r="F4005" t="s">
        <v>3646</v>
      </c>
      <c r="G4005" t="str">
        <f t="shared" si="124"/>
        <v>ACC</v>
      </c>
      <c r="H4005" t="s">
        <v>3647</v>
      </c>
      <c r="I4005" t="s">
        <v>20</v>
      </c>
      <c r="J4005" t="s">
        <v>21</v>
      </c>
      <c r="K4005" s="6">
        <v>0.03</v>
      </c>
      <c r="L4005" s="7">
        <f t="shared" si="125"/>
        <v>2E-3</v>
      </c>
      <c r="M4005" s="7">
        <v>3.0000000000000001E-3</v>
      </c>
      <c r="N4005">
        <v>12</v>
      </c>
      <c r="O4005" s="8">
        <v>31.764536767072471</v>
      </c>
      <c r="P4005" s="9">
        <v>31.764536767072471</v>
      </c>
      <c r="Q4005" s="9">
        <v>31.764536767072471</v>
      </c>
      <c r="R4005" s="9">
        <v>32.275410941890478</v>
      </c>
      <c r="S4005" s="9">
        <v>32.611289747662475</v>
      </c>
      <c r="T4005" s="9">
        <v>33.053608915846262</v>
      </c>
      <c r="U4005" s="9">
        <v>46.788995495092166</v>
      </c>
      <c r="V4005" s="9">
        <v>46.788995495092166</v>
      </c>
      <c r="W4005" s="9">
        <v>46.788995495092166</v>
      </c>
      <c r="X4005" s="9">
        <v>61.625628228118671</v>
      </c>
      <c r="Y4005" s="9">
        <v>61.625628228118671</v>
      </c>
      <c r="Z4005" s="9">
        <v>76.73176111582147</v>
      </c>
      <c r="AA4005" s="9">
        <v>76.73176111582147</v>
      </c>
      <c r="AB4005" s="9">
        <v>92.24123817473226</v>
      </c>
      <c r="AC4005" s="9">
        <v>92.24123817473226</v>
      </c>
      <c r="AD4005" s="9">
        <v>107.33230307972931</v>
      </c>
      <c r="AE4005" s="9">
        <v>122.56344509712353</v>
      </c>
      <c r="AF4005" s="9">
        <v>137.94867193815469</v>
      </c>
      <c r="AG4005" s="9">
        <v>137.94867193815469</v>
      </c>
      <c r="AH4005" s="9">
        <v>153.5033920851865</v>
      </c>
      <c r="AI4005" s="9">
        <v>168.27771662473259</v>
      </c>
      <c r="AJ4005" s="9">
        <v>3.0428788910505911</v>
      </c>
    </row>
    <row r="4006" spans="1:36" x14ac:dyDescent="0.25">
      <c r="A4006" t="s">
        <v>5411</v>
      </c>
      <c r="B4006" t="s">
        <v>16</v>
      </c>
      <c r="C4006" t="s">
        <v>17</v>
      </c>
      <c r="D4006">
        <v>69925000</v>
      </c>
      <c r="E4006">
        <v>69925999</v>
      </c>
      <c r="F4006" t="s">
        <v>3648</v>
      </c>
      <c r="G4006" t="str">
        <f t="shared" si="124"/>
        <v>ACR</v>
      </c>
      <c r="H4006" t="s">
        <v>3647</v>
      </c>
      <c r="I4006" t="s">
        <v>20</v>
      </c>
      <c r="J4006" t="s">
        <v>77</v>
      </c>
      <c r="K4006" s="6">
        <v>0.03</v>
      </c>
      <c r="L4006" s="7">
        <f t="shared" si="125"/>
        <v>2E-3</v>
      </c>
      <c r="M4006" s="7">
        <v>3.0000000000000001E-3</v>
      </c>
      <c r="N4006">
        <v>17</v>
      </c>
      <c r="O4006" s="8">
        <v>67.340970807759987</v>
      </c>
      <c r="P4006" s="9">
        <v>67.340970807759987</v>
      </c>
      <c r="Q4006" s="9">
        <v>67.340970807759987</v>
      </c>
      <c r="R4006" s="9">
        <v>68.997682634100997</v>
      </c>
      <c r="S4006" s="9">
        <v>70.663837256667662</v>
      </c>
      <c r="T4006" s="9">
        <v>81.21851964057339</v>
      </c>
      <c r="U4006" s="9">
        <v>100.30252752612124</v>
      </c>
      <c r="V4006" s="9">
        <v>100.30252752612124</v>
      </c>
      <c r="W4006" s="9">
        <v>100.30252752612124</v>
      </c>
      <c r="X4006" s="9">
        <v>111.49644277873338</v>
      </c>
      <c r="Y4006" s="9">
        <v>111.49644277873338</v>
      </c>
      <c r="Z4006" s="9">
        <v>126.21707956070082</v>
      </c>
      <c r="AA4006" s="9">
        <v>126.21707956070082</v>
      </c>
      <c r="AB4006" s="9">
        <v>136.369253141771</v>
      </c>
      <c r="AC4006" s="9">
        <v>136.369253141771</v>
      </c>
      <c r="AD4006" s="9">
        <v>148.095375330948</v>
      </c>
      <c r="AE4006" s="9">
        <v>162.98937223904278</v>
      </c>
      <c r="AF4006" s="9">
        <v>177.34307807489924</v>
      </c>
      <c r="AG4006" s="9">
        <v>177.34307807489924</v>
      </c>
      <c r="AH4006" s="9">
        <v>190.42490150738919</v>
      </c>
      <c r="AI4006" s="9">
        <v>209.27433166496726</v>
      </c>
      <c r="AJ4006" s="9">
        <v>3.0428788910505911</v>
      </c>
    </row>
    <row r="4007" spans="1:36" x14ac:dyDescent="0.25">
      <c r="A4007" t="s">
        <v>5411</v>
      </c>
      <c r="B4007" t="s">
        <v>16</v>
      </c>
      <c r="C4007" t="s">
        <v>17</v>
      </c>
      <c r="D4007">
        <v>69926000</v>
      </c>
      <c r="E4007">
        <v>69926999</v>
      </c>
      <c r="F4007" t="s">
        <v>3649</v>
      </c>
      <c r="G4007" t="str">
        <f t="shared" si="124"/>
        <v>ACR</v>
      </c>
      <c r="H4007" t="s">
        <v>3647</v>
      </c>
      <c r="I4007" t="s">
        <v>20</v>
      </c>
      <c r="J4007" t="s">
        <v>77</v>
      </c>
      <c r="K4007" s="6">
        <v>0.03</v>
      </c>
      <c r="L4007" s="7">
        <f t="shared" si="125"/>
        <v>2E-3</v>
      </c>
      <c r="M4007" s="7">
        <v>3.0000000000000001E-3</v>
      </c>
      <c r="N4007">
        <v>17</v>
      </c>
      <c r="O4007" s="8">
        <v>67.340970807759987</v>
      </c>
      <c r="P4007" s="9">
        <v>67.340970807759987</v>
      </c>
      <c r="Q4007" s="9">
        <v>67.340970807759987</v>
      </c>
      <c r="R4007" s="9">
        <v>68.997682634100997</v>
      </c>
      <c r="S4007" s="9">
        <v>70.663837256667662</v>
      </c>
      <c r="T4007" s="9">
        <v>81.21851964057339</v>
      </c>
      <c r="U4007" s="9">
        <v>100.30252752612124</v>
      </c>
      <c r="V4007" s="9">
        <v>100.30252752612124</v>
      </c>
      <c r="W4007" s="9">
        <v>100.30252752612124</v>
      </c>
      <c r="X4007" s="9">
        <v>111.49644277873338</v>
      </c>
      <c r="Y4007" s="9">
        <v>111.49644277873338</v>
      </c>
      <c r="Z4007" s="9">
        <v>126.21707956070082</v>
      </c>
      <c r="AA4007" s="9">
        <v>126.21707956070082</v>
      </c>
      <c r="AB4007" s="9">
        <v>136.369253141771</v>
      </c>
      <c r="AC4007" s="9">
        <v>136.369253141771</v>
      </c>
      <c r="AD4007" s="9">
        <v>148.095375330948</v>
      </c>
      <c r="AE4007" s="9">
        <v>162.98937223904278</v>
      </c>
      <c r="AF4007" s="9">
        <v>177.34307807489924</v>
      </c>
      <c r="AG4007" s="9">
        <v>177.34307807489924</v>
      </c>
      <c r="AH4007" s="9">
        <v>190.42490150738919</v>
      </c>
      <c r="AI4007" s="9">
        <v>209.27433166496726</v>
      </c>
      <c r="AJ4007" s="9">
        <v>3.0428788910505911</v>
      </c>
    </row>
    <row r="4008" spans="1:36" x14ac:dyDescent="0.25">
      <c r="A4008" t="s">
        <v>5411</v>
      </c>
      <c r="B4008" t="s">
        <v>16</v>
      </c>
      <c r="C4008" t="s">
        <v>17</v>
      </c>
      <c r="D4008">
        <v>69927000</v>
      </c>
      <c r="E4008">
        <v>69927999</v>
      </c>
      <c r="F4008" t="s">
        <v>3650</v>
      </c>
      <c r="G4008" t="str">
        <f t="shared" si="124"/>
        <v>ACR</v>
      </c>
      <c r="H4008" t="s">
        <v>3647</v>
      </c>
      <c r="I4008" t="s">
        <v>20</v>
      </c>
      <c r="J4008" t="s">
        <v>77</v>
      </c>
      <c r="K4008" s="6">
        <v>0.03</v>
      </c>
      <c r="L4008" s="7">
        <f t="shared" si="125"/>
        <v>2E-3</v>
      </c>
      <c r="M4008" s="7">
        <v>3.0000000000000001E-3</v>
      </c>
      <c r="N4008">
        <v>17</v>
      </c>
      <c r="O4008" s="8">
        <v>67.340970807759987</v>
      </c>
      <c r="P4008" s="9">
        <v>67.340970807759987</v>
      </c>
      <c r="Q4008" s="9">
        <v>67.340970807759987</v>
      </c>
      <c r="R4008" s="9">
        <v>68.997682634100997</v>
      </c>
      <c r="S4008" s="9">
        <v>70.663837256667662</v>
      </c>
      <c r="T4008" s="9">
        <v>81.21851964057339</v>
      </c>
      <c r="U4008" s="9">
        <v>100.30252752612124</v>
      </c>
      <c r="V4008" s="9">
        <v>100.30252752612124</v>
      </c>
      <c r="W4008" s="9">
        <v>100.30252752612124</v>
      </c>
      <c r="X4008" s="9">
        <v>111.49644277873338</v>
      </c>
      <c r="Y4008" s="9">
        <v>111.49644277873338</v>
      </c>
      <c r="Z4008" s="9">
        <v>126.21707956070082</v>
      </c>
      <c r="AA4008" s="9">
        <v>126.21707956070082</v>
      </c>
      <c r="AB4008" s="9">
        <v>136.369253141771</v>
      </c>
      <c r="AC4008" s="9">
        <v>136.369253141771</v>
      </c>
      <c r="AD4008" s="9">
        <v>148.095375330948</v>
      </c>
      <c r="AE4008" s="9">
        <v>162.98937223904278</v>
      </c>
      <c r="AF4008" s="9">
        <v>177.34307807489924</v>
      </c>
      <c r="AG4008" s="9">
        <v>177.34307807489924</v>
      </c>
      <c r="AH4008" s="9">
        <v>190.42490150738919</v>
      </c>
      <c r="AI4008" s="9">
        <v>209.27433166496726</v>
      </c>
      <c r="AJ4008" s="9">
        <v>3.0428788910505911</v>
      </c>
    </row>
    <row r="4009" spans="1:36" x14ac:dyDescent="0.25">
      <c r="A4009" t="s">
        <v>5411</v>
      </c>
      <c r="B4009" t="s">
        <v>16</v>
      </c>
      <c r="C4009" t="s">
        <v>17</v>
      </c>
      <c r="D4009">
        <v>69928000</v>
      </c>
      <c r="E4009">
        <v>69929999</v>
      </c>
      <c r="F4009" t="s">
        <v>3651</v>
      </c>
      <c r="G4009" t="str">
        <f t="shared" si="124"/>
        <v>ACR</v>
      </c>
      <c r="H4009" t="s">
        <v>3647</v>
      </c>
      <c r="I4009" t="s">
        <v>20</v>
      </c>
      <c r="J4009" t="s">
        <v>77</v>
      </c>
      <c r="K4009" s="6">
        <v>0.03</v>
      </c>
      <c r="L4009" s="7">
        <f t="shared" si="125"/>
        <v>2E-3</v>
      </c>
      <c r="M4009" s="7">
        <v>3.0000000000000001E-3</v>
      </c>
      <c r="N4009">
        <v>17</v>
      </c>
      <c r="O4009" s="8">
        <v>67.340970807759987</v>
      </c>
      <c r="P4009" s="9">
        <v>67.340970807759987</v>
      </c>
      <c r="Q4009" s="9">
        <v>67.340970807759987</v>
      </c>
      <c r="R4009" s="9">
        <v>68.997682634100997</v>
      </c>
      <c r="S4009" s="9">
        <v>70.663837256667662</v>
      </c>
      <c r="T4009" s="9">
        <v>81.21851964057339</v>
      </c>
      <c r="U4009" s="9">
        <v>100.30252752612124</v>
      </c>
      <c r="V4009" s="9">
        <v>100.30252752612124</v>
      </c>
      <c r="W4009" s="9">
        <v>100.30252752612124</v>
      </c>
      <c r="X4009" s="9">
        <v>111.49644277873338</v>
      </c>
      <c r="Y4009" s="9">
        <v>111.49644277873338</v>
      </c>
      <c r="Z4009" s="9">
        <v>126.21707956070082</v>
      </c>
      <c r="AA4009" s="9">
        <v>126.21707956070082</v>
      </c>
      <c r="AB4009" s="9">
        <v>136.369253141771</v>
      </c>
      <c r="AC4009" s="9">
        <v>136.369253141771</v>
      </c>
      <c r="AD4009" s="9">
        <v>148.095375330948</v>
      </c>
      <c r="AE4009" s="9">
        <v>162.98937223904278</v>
      </c>
      <c r="AF4009" s="9">
        <v>177.34307807489924</v>
      </c>
      <c r="AG4009" s="9">
        <v>177.34307807489924</v>
      </c>
      <c r="AH4009" s="9">
        <v>190.42490150738919</v>
      </c>
      <c r="AI4009" s="9">
        <v>209.27433166496726</v>
      </c>
      <c r="AJ4009" s="9">
        <v>3.0428788910505911</v>
      </c>
    </row>
    <row r="4010" spans="1:36" x14ac:dyDescent="0.25">
      <c r="A4010" t="s">
        <v>5411</v>
      </c>
      <c r="B4010" t="s">
        <v>16</v>
      </c>
      <c r="C4010" t="s">
        <v>17</v>
      </c>
      <c r="D4010">
        <v>69930000</v>
      </c>
      <c r="E4010">
        <v>69930999</v>
      </c>
      <c r="F4010" t="s">
        <v>3652</v>
      </c>
      <c r="G4010" t="str">
        <f t="shared" si="124"/>
        <v>ACR</v>
      </c>
      <c r="H4010" t="s">
        <v>3647</v>
      </c>
      <c r="I4010" t="s">
        <v>20</v>
      </c>
      <c r="J4010" t="s">
        <v>77</v>
      </c>
      <c r="K4010" s="6">
        <v>0.03</v>
      </c>
      <c r="L4010" s="7">
        <f t="shared" si="125"/>
        <v>2E-3</v>
      </c>
      <c r="M4010" s="7">
        <v>3.0000000000000001E-3</v>
      </c>
      <c r="N4010">
        <v>17</v>
      </c>
      <c r="O4010" s="8">
        <v>67.340970807759987</v>
      </c>
      <c r="P4010" s="9">
        <v>67.340970807759987</v>
      </c>
      <c r="Q4010" s="9">
        <v>67.340970807759987</v>
      </c>
      <c r="R4010" s="9">
        <v>68.997682634100997</v>
      </c>
      <c r="S4010" s="9">
        <v>70.663837256667662</v>
      </c>
      <c r="T4010" s="9">
        <v>81.21851964057339</v>
      </c>
      <c r="U4010" s="9">
        <v>100.30252752612124</v>
      </c>
      <c r="V4010" s="9">
        <v>100.30252752612124</v>
      </c>
      <c r="W4010" s="9">
        <v>100.30252752612124</v>
      </c>
      <c r="X4010" s="9">
        <v>111.49644277873338</v>
      </c>
      <c r="Y4010" s="9">
        <v>111.49644277873338</v>
      </c>
      <c r="Z4010" s="9">
        <v>126.21707956070082</v>
      </c>
      <c r="AA4010" s="9">
        <v>126.21707956070082</v>
      </c>
      <c r="AB4010" s="9">
        <v>136.369253141771</v>
      </c>
      <c r="AC4010" s="9">
        <v>136.369253141771</v>
      </c>
      <c r="AD4010" s="9">
        <v>148.095375330948</v>
      </c>
      <c r="AE4010" s="9">
        <v>162.98937223904278</v>
      </c>
      <c r="AF4010" s="9">
        <v>177.34307807489924</v>
      </c>
      <c r="AG4010" s="9">
        <v>177.34307807489924</v>
      </c>
      <c r="AH4010" s="9">
        <v>190.42490150738919</v>
      </c>
      <c r="AI4010" s="9">
        <v>209.27433166496726</v>
      </c>
      <c r="AJ4010" s="9">
        <v>3.0428788910505911</v>
      </c>
    </row>
    <row r="4011" spans="1:36" x14ac:dyDescent="0.25">
      <c r="A4011" t="s">
        <v>5411</v>
      </c>
      <c r="B4011" t="s">
        <v>16</v>
      </c>
      <c r="C4011" t="s">
        <v>17</v>
      </c>
      <c r="D4011">
        <v>69931000</v>
      </c>
      <c r="E4011">
        <v>69931999</v>
      </c>
      <c r="F4011" t="s">
        <v>3653</v>
      </c>
      <c r="G4011" t="str">
        <f t="shared" si="124"/>
        <v>ACR</v>
      </c>
      <c r="H4011" t="s">
        <v>3647</v>
      </c>
      <c r="I4011" t="s">
        <v>20</v>
      </c>
      <c r="J4011" t="s">
        <v>77</v>
      </c>
      <c r="K4011" s="6">
        <v>0.03</v>
      </c>
      <c r="L4011" s="7">
        <f t="shared" si="125"/>
        <v>2E-3</v>
      </c>
      <c r="M4011" s="7">
        <v>3.0000000000000001E-3</v>
      </c>
      <c r="N4011">
        <v>17</v>
      </c>
      <c r="O4011" s="8">
        <v>67.340970807759987</v>
      </c>
      <c r="P4011" s="9">
        <v>67.340970807759987</v>
      </c>
      <c r="Q4011" s="9">
        <v>67.340970807759987</v>
      </c>
      <c r="R4011" s="9">
        <v>68.997682634100997</v>
      </c>
      <c r="S4011" s="9">
        <v>70.663837256667662</v>
      </c>
      <c r="T4011" s="9">
        <v>81.21851964057339</v>
      </c>
      <c r="U4011" s="9">
        <v>100.30252752612124</v>
      </c>
      <c r="V4011" s="9">
        <v>100.30252752612124</v>
      </c>
      <c r="W4011" s="9">
        <v>100.30252752612124</v>
      </c>
      <c r="X4011" s="9">
        <v>111.49644277873338</v>
      </c>
      <c r="Y4011" s="9">
        <v>111.49644277873338</v>
      </c>
      <c r="Z4011" s="9">
        <v>126.21707956070082</v>
      </c>
      <c r="AA4011" s="9">
        <v>126.21707956070082</v>
      </c>
      <c r="AB4011" s="9">
        <v>136.369253141771</v>
      </c>
      <c r="AC4011" s="9">
        <v>136.369253141771</v>
      </c>
      <c r="AD4011" s="9">
        <v>148.095375330948</v>
      </c>
      <c r="AE4011" s="9">
        <v>162.98937223904278</v>
      </c>
      <c r="AF4011" s="9">
        <v>177.34307807489924</v>
      </c>
      <c r="AG4011" s="9">
        <v>177.34307807489924</v>
      </c>
      <c r="AH4011" s="9">
        <v>190.42490150738919</v>
      </c>
      <c r="AI4011" s="9">
        <v>209.27433166496726</v>
      </c>
      <c r="AJ4011" s="9">
        <v>3.0428788910505911</v>
      </c>
    </row>
    <row r="4012" spans="1:36" x14ac:dyDescent="0.25">
      <c r="A4012" t="s">
        <v>5411</v>
      </c>
      <c r="B4012" t="s">
        <v>16</v>
      </c>
      <c r="C4012" t="s">
        <v>17</v>
      </c>
      <c r="D4012">
        <v>69932000</v>
      </c>
      <c r="E4012">
        <v>69933999</v>
      </c>
      <c r="F4012" t="s">
        <v>3654</v>
      </c>
      <c r="G4012" t="str">
        <f t="shared" si="124"/>
        <v>ACR</v>
      </c>
      <c r="H4012" t="s">
        <v>3647</v>
      </c>
      <c r="I4012" t="s">
        <v>20</v>
      </c>
      <c r="J4012" t="s">
        <v>77</v>
      </c>
      <c r="K4012" s="6">
        <v>0.03</v>
      </c>
      <c r="L4012" s="7">
        <f t="shared" si="125"/>
        <v>2E-3</v>
      </c>
      <c r="M4012" s="7">
        <v>3.0000000000000001E-3</v>
      </c>
      <c r="N4012">
        <v>17</v>
      </c>
      <c r="O4012" s="8">
        <v>67.340970807759987</v>
      </c>
      <c r="P4012" s="9">
        <v>67.340970807759987</v>
      </c>
      <c r="Q4012" s="9">
        <v>67.340970807759987</v>
      </c>
      <c r="R4012" s="9">
        <v>68.997682634100997</v>
      </c>
      <c r="S4012" s="9">
        <v>70.663837256667662</v>
      </c>
      <c r="T4012" s="9">
        <v>81.21851964057339</v>
      </c>
      <c r="U4012" s="9">
        <v>100.30252752612124</v>
      </c>
      <c r="V4012" s="9">
        <v>100.30252752612124</v>
      </c>
      <c r="W4012" s="9">
        <v>100.30252752612124</v>
      </c>
      <c r="X4012" s="9">
        <v>111.49644277873338</v>
      </c>
      <c r="Y4012" s="9">
        <v>111.49644277873338</v>
      </c>
      <c r="Z4012" s="9">
        <v>126.21707956070082</v>
      </c>
      <c r="AA4012" s="9">
        <v>126.21707956070082</v>
      </c>
      <c r="AB4012" s="9">
        <v>136.369253141771</v>
      </c>
      <c r="AC4012" s="9">
        <v>136.369253141771</v>
      </c>
      <c r="AD4012" s="9">
        <v>148.095375330948</v>
      </c>
      <c r="AE4012" s="9">
        <v>162.98937223904278</v>
      </c>
      <c r="AF4012" s="9">
        <v>177.34307807489924</v>
      </c>
      <c r="AG4012" s="9">
        <v>177.34307807489924</v>
      </c>
      <c r="AH4012" s="9">
        <v>190.42490150738919</v>
      </c>
      <c r="AI4012" s="9">
        <v>209.27433166496726</v>
      </c>
      <c r="AJ4012" s="9">
        <v>3.0428788910505911</v>
      </c>
    </row>
    <row r="4013" spans="1:36" x14ac:dyDescent="0.25">
      <c r="A4013" t="s">
        <v>5411</v>
      </c>
      <c r="B4013" t="s">
        <v>16</v>
      </c>
      <c r="C4013" t="s">
        <v>17</v>
      </c>
      <c r="D4013">
        <v>69934000</v>
      </c>
      <c r="E4013">
        <v>69934999</v>
      </c>
      <c r="F4013" t="s">
        <v>3655</v>
      </c>
      <c r="G4013" t="str">
        <f t="shared" si="124"/>
        <v>ACR</v>
      </c>
      <c r="H4013" t="s">
        <v>3647</v>
      </c>
      <c r="I4013" t="s">
        <v>20</v>
      </c>
      <c r="J4013" t="s">
        <v>77</v>
      </c>
      <c r="K4013" s="6">
        <v>0.03</v>
      </c>
      <c r="L4013" s="7">
        <f t="shared" si="125"/>
        <v>2E-3</v>
      </c>
      <c r="M4013" s="7">
        <v>3.0000000000000001E-3</v>
      </c>
      <c r="N4013">
        <v>17</v>
      </c>
      <c r="O4013" s="8">
        <v>67.340970807759987</v>
      </c>
      <c r="P4013" s="9">
        <v>67.340970807759987</v>
      </c>
      <c r="Q4013" s="9">
        <v>67.340970807759987</v>
      </c>
      <c r="R4013" s="9">
        <v>68.997682634100997</v>
      </c>
      <c r="S4013" s="9">
        <v>70.663837256667662</v>
      </c>
      <c r="T4013" s="9">
        <v>81.21851964057339</v>
      </c>
      <c r="U4013" s="9">
        <v>100.30252752612124</v>
      </c>
      <c r="V4013" s="9">
        <v>100.30252752612124</v>
      </c>
      <c r="W4013" s="9">
        <v>100.30252752612124</v>
      </c>
      <c r="X4013" s="9">
        <v>111.49644277873338</v>
      </c>
      <c r="Y4013" s="9">
        <v>111.49644277873338</v>
      </c>
      <c r="Z4013" s="9">
        <v>126.21707956070082</v>
      </c>
      <c r="AA4013" s="9">
        <v>126.21707956070082</v>
      </c>
      <c r="AB4013" s="9">
        <v>136.369253141771</v>
      </c>
      <c r="AC4013" s="9">
        <v>136.369253141771</v>
      </c>
      <c r="AD4013" s="9">
        <v>148.095375330948</v>
      </c>
      <c r="AE4013" s="9">
        <v>162.98937223904278</v>
      </c>
      <c r="AF4013" s="9">
        <v>177.34307807489924</v>
      </c>
      <c r="AG4013" s="9">
        <v>177.34307807489924</v>
      </c>
      <c r="AH4013" s="9">
        <v>190.42490150738919</v>
      </c>
      <c r="AI4013" s="9">
        <v>209.27433166496726</v>
      </c>
      <c r="AJ4013" s="9">
        <v>3.0428788910505911</v>
      </c>
    </row>
    <row r="4014" spans="1:36" x14ac:dyDescent="0.25">
      <c r="A4014" t="s">
        <v>5411</v>
      </c>
      <c r="B4014" t="s">
        <v>16</v>
      </c>
      <c r="C4014" t="s">
        <v>17</v>
      </c>
      <c r="D4014">
        <v>69935000</v>
      </c>
      <c r="E4014">
        <v>69939999</v>
      </c>
      <c r="F4014" t="s">
        <v>3656</v>
      </c>
      <c r="G4014" t="str">
        <f t="shared" si="124"/>
        <v>ACR</v>
      </c>
      <c r="H4014" t="s">
        <v>3647</v>
      </c>
      <c r="I4014" t="s">
        <v>20</v>
      </c>
      <c r="J4014" t="s">
        <v>77</v>
      </c>
      <c r="K4014" s="6">
        <v>0.03</v>
      </c>
      <c r="L4014" s="7">
        <f t="shared" si="125"/>
        <v>2E-3</v>
      </c>
      <c r="M4014" s="7">
        <v>3.0000000000000001E-3</v>
      </c>
      <c r="N4014">
        <v>17</v>
      </c>
      <c r="O4014" s="8">
        <v>67.340970807759987</v>
      </c>
      <c r="P4014" s="9">
        <v>67.340970807759987</v>
      </c>
      <c r="Q4014" s="9">
        <v>67.340970807759987</v>
      </c>
      <c r="R4014" s="9">
        <v>68.997682634100997</v>
      </c>
      <c r="S4014" s="9">
        <v>70.663837256667662</v>
      </c>
      <c r="T4014" s="9">
        <v>81.21851964057339</v>
      </c>
      <c r="U4014" s="9">
        <v>100.30252752612124</v>
      </c>
      <c r="V4014" s="9">
        <v>100.30252752612124</v>
      </c>
      <c r="W4014" s="9">
        <v>100.30252752612124</v>
      </c>
      <c r="X4014" s="9">
        <v>111.49644277873338</v>
      </c>
      <c r="Y4014" s="9">
        <v>111.49644277873338</v>
      </c>
      <c r="Z4014" s="9">
        <v>126.21707956070082</v>
      </c>
      <c r="AA4014" s="9">
        <v>126.21707956070082</v>
      </c>
      <c r="AB4014" s="9">
        <v>136.369253141771</v>
      </c>
      <c r="AC4014" s="9">
        <v>136.369253141771</v>
      </c>
      <c r="AD4014" s="9">
        <v>148.095375330948</v>
      </c>
      <c r="AE4014" s="9">
        <v>162.98937223904278</v>
      </c>
      <c r="AF4014" s="9">
        <v>177.34307807489924</v>
      </c>
      <c r="AG4014" s="9">
        <v>177.34307807489924</v>
      </c>
      <c r="AH4014" s="9">
        <v>190.42490150738919</v>
      </c>
      <c r="AI4014" s="9">
        <v>209.27433166496726</v>
      </c>
      <c r="AJ4014" s="9">
        <v>3.0428788910505911</v>
      </c>
    </row>
    <row r="4015" spans="1:36" x14ac:dyDescent="0.25">
      <c r="A4015" t="s">
        <v>5411</v>
      </c>
      <c r="B4015" t="s">
        <v>16</v>
      </c>
      <c r="C4015" t="s">
        <v>17</v>
      </c>
      <c r="D4015">
        <v>69940000</v>
      </c>
      <c r="E4015">
        <v>69944999</v>
      </c>
      <c r="F4015" t="s">
        <v>3657</v>
      </c>
      <c r="G4015" t="str">
        <f t="shared" si="124"/>
        <v>ACR</v>
      </c>
      <c r="H4015" t="s">
        <v>3647</v>
      </c>
      <c r="I4015" t="s">
        <v>20</v>
      </c>
      <c r="J4015" t="s">
        <v>77</v>
      </c>
      <c r="K4015" s="6">
        <v>0.03</v>
      </c>
      <c r="L4015" s="7">
        <f t="shared" si="125"/>
        <v>2E-3</v>
      </c>
      <c r="M4015" s="7">
        <v>3.0000000000000001E-3</v>
      </c>
      <c r="N4015">
        <v>17</v>
      </c>
      <c r="O4015" s="8">
        <v>67.340970807759987</v>
      </c>
      <c r="P4015" s="9">
        <v>67.340970807759987</v>
      </c>
      <c r="Q4015" s="9">
        <v>67.340970807759987</v>
      </c>
      <c r="R4015" s="9">
        <v>68.997682634100997</v>
      </c>
      <c r="S4015" s="9">
        <v>70.663837256667662</v>
      </c>
      <c r="T4015" s="9">
        <v>81.21851964057339</v>
      </c>
      <c r="U4015" s="9">
        <v>100.30252752612124</v>
      </c>
      <c r="V4015" s="9">
        <v>100.30252752612124</v>
      </c>
      <c r="W4015" s="9">
        <v>100.30252752612124</v>
      </c>
      <c r="X4015" s="9">
        <v>111.49644277873338</v>
      </c>
      <c r="Y4015" s="9">
        <v>111.49644277873338</v>
      </c>
      <c r="Z4015" s="9">
        <v>126.21707956070082</v>
      </c>
      <c r="AA4015" s="9">
        <v>126.21707956070082</v>
      </c>
      <c r="AB4015" s="9">
        <v>136.369253141771</v>
      </c>
      <c r="AC4015" s="9">
        <v>136.369253141771</v>
      </c>
      <c r="AD4015" s="9">
        <v>148.095375330948</v>
      </c>
      <c r="AE4015" s="9">
        <v>162.98937223904278</v>
      </c>
      <c r="AF4015" s="9">
        <v>177.34307807489924</v>
      </c>
      <c r="AG4015" s="9">
        <v>177.34307807489924</v>
      </c>
      <c r="AH4015" s="9">
        <v>190.42490150738919</v>
      </c>
      <c r="AI4015" s="9">
        <v>209.27433166496726</v>
      </c>
      <c r="AJ4015" s="9">
        <v>3.0428788910505911</v>
      </c>
    </row>
    <row r="4016" spans="1:36" x14ac:dyDescent="0.25">
      <c r="A4016" t="s">
        <v>5411</v>
      </c>
      <c r="B4016" t="s">
        <v>16</v>
      </c>
      <c r="C4016" t="s">
        <v>17</v>
      </c>
      <c r="D4016">
        <v>69945000</v>
      </c>
      <c r="E4016">
        <v>69949999</v>
      </c>
      <c r="F4016" t="s">
        <v>3658</v>
      </c>
      <c r="G4016" t="str">
        <f t="shared" si="124"/>
        <v>ACR</v>
      </c>
      <c r="H4016" t="s">
        <v>3647</v>
      </c>
      <c r="I4016" t="s">
        <v>20</v>
      </c>
      <c r="J4016" t="s">
        <v>77</v>
      </c>
      <c r="K4016" s="6">
        <v>0.03</v>
      </c>
      <c r="L4016" s="7">
        <f t="shared" si="125"/>
        <v>2E-3</v>
      </c>
      <c r="M4016" s="7">
        <v>3.0000000000000001E-3</v>
      </c>
      <c r="N4016">
        <v>17</v>
      </c>
      <c r="O4016" s="8">
        <v>67.340970807759987</v>
      </c>
      <c r="P4016" s="9">
        <v>67.340970807759987</v>
      </c>
      <c r="Q4016" s="9">
        <v>67.340970807759987</v>
      </c>
      <c r="R4016" s="9">
        <v>68.997682634100997</v>
      </c>
      <c r="S4016" s="9">
        <v>70.663837256667662</v>
      </c>
      <c r="T4016" s="9">
        <v>81.21851964057339</v>
      </c>
      <c r="U4016" s="9">
        <v>100.30252752612124</v>
      </c>
      <c r="V4016" s="9">
        <v>100.30252752612124</v>
      </c>
      <c r="W4016" s="9">
        <v>100.30252752612124</v>
      </c>
      <c r="X4016" s="9">
        <v>111.49644277873338</v>
      </c>
      <c r="Y4016" s="9">
        <v>111.49644277873338</v>
      </c>
      <c r="Z4016" s="9">
        <v>126.21707956070082</v>
      </c>
      <c r="AA4016" s="9">
        <v>126.21707956070082</v>
      </c>
      <c r="AB4016" s="9">
        <v>136.369253141771</v>
      </c>
      <c r="AC4016" s="9">
        <v>136.369253141771</v>
      </c>
      <c r="AD4016" s="9">
        <v>148.095375330948</v>
      </c>
      <c r="AE4016" s="9">
        <v>162.98937223904278</v>
      </c>
      <c r="AF4016" s="9">
        <v>177.34307807489924</v>
      </c>
      <c r="AG4016" s="9">
        <v>177.34307807489924</v>
      </c>
      <c r="AH4016" s="9">
        <v>190.42490150738919</v>
      </c>
      <c r="AI4016" s="9">
        <v>209.27433166496726</v>
      </c>
      <c r="AJ4016" s="9">
        <v>3.0428788910505911</v>
      </c>
    </row>
    <row r="4017" spans="1:36" x14ac:dyDescent="0.25">
      <c r="A4017" t="s">
        <v>5411</v>
      </c>
      <c r="B4017" t="s">
        <v>16</v>
      </c>
      <c r="C4017" t="s">
        <v>17</v>
      </c>
      <c r="D4017">
        <v>69950000</v>
      </c>
      <c r="E4017">
        <v>69954999</v>
      </c>
      <c r="F4017" t="s">
        <v>3659</v>
      </c>
      <c r="G4017" t="str">
        <f t="shared" si="124"/>
        <v>ACR</v>
      </c>
      <c r="H4017" t="s">
        <v>3647</v>
      </c>
      <c r="I4017" t="s">
        <v>20</v>
      </c>
      <c r="J4017" t="s">
        <v>77</v>
      </c>
      <c r="K4017" s="6">
        <v>0.03</v>
      </c>
      <c r="L4017" s="7">
        <f t="shared" si="125"/>
        <v>2E-3</v>
      </c>
      <c r="M4017" s="7">
        <v>3.0000000000000001E-3</v>
      </c>
      <c r="N4017">
        <v>17</v>
      </c>
      <c r="O4017" s="8">
        <v>67.340970807759987</v>
      </c>
      <c r="P4017" s="9">
        <v>67.340970807759987</v>
      </c>
      <c r="Q4017" s="9">
        <v>67.340970807759987</v>
      </c>
      <c r="R4017" s="9">
        <v>68.997682634100997</v>
      </c>
      <c r="S4017" s="9">
        <v>70.663837256667662</v>
      </c>
      <c r="T4017" s="9">
        <v>81.21851964057339</v>
      </c>
      <c r="U4017" s="9">
        <v>100.30252752612124</v>
      </c>
      <c r="V4017" s="9">
        <v>100.30252752612124</v>
      </c>
      <c r="W4017" s="9">
        <v>100.30252752612124</v>
      </c>
      <c r="X4017" s="9">
        <v>111.49644277873338</v>
      </c>
      <c r="Y4017" s="9">
        <v>111.49644277873338</v>
      </c>
      <c r="Z4017" s="9">
        <v>126.21707956070082</v>
      </c>
      <c r="AA4017" s="9">
        <v>126.21707956070082</v>
      </c>
      <c r="AB4017" s="9">
        <v>136.369253141771</v>
      </c>
      <c r="AC4017" s="9">
        <v>136.369253141771</v>
      </c>
      <c r="AD4017" s="9">
        <v>148.095375330948</v>
      </c>
      <c r="AE4017" s="9">
        <v>162.98937223904278</v>
      </c>
      <c r="AF4017" s="9">
        <v>177.34307807489924</v>
      </c>
      <c r="AG4017" s="9">
        <v>177.34307807489924</v>
      </c>
      <c r="AH4017" s="9">
        <v>190.42490150738919</v>
      </c>
      <c r="AI4017" s="9">
        <v>209.27433166496726</v>
      </c>
      <c r="AJ4017" s="9">
        <v>3.0428788910505911</v>
      </c>
    </row>
    <row r="4018" spans="1:36" x14ac:dyDescent="0.25">
      <c r="A4018" t="s">
        <v>5411</v>
      </c>
      <c r="B4018" t="s">
        <v>16</v>
      </c>
      <c r="C4018" t="s">
        <v>17</v>
      </c>
      <c r="D4018">
        <v>69955000</v>
      </c>
      <c r="E4018">
        <v>69959999</v>
      </c>
      <c r="F4018" t="s">
        <v>3660</v>
      </c>
      <c r="G4018" t="str">
        <f t="shared" si="124"/>
        <v>ACR</v>
      </c>
      <c r="H4018" t="s">
        <v>3647</v>
      </c>
      <c r="I4018" t="s">
        <v>20</v>
      </c>
      <c r="J4018" t="s">
        <v>77</v>
      </c>
      <c r="K4018" s="6">
        <v>0.03</v>
      </c>
      <c r="L4018" s="7">
        <f t="shared" si="125"/>
        <v>2E-3</v>
      </c>
      <c r="M4018" s="7">
        <v>3.0000000000000001E-3</v>
      </c>
      <c r="N4018">
        <v>17</v>
      </c>
      <c r="O4018" s="8">
        <v>67.340970807759987</v>
      </c>
      <c r="P4018" s="9">
        <v>67.340970807759987</v>
      </c>
      <c r="Q4018" s="9">
        <v>67.340970807759987</v>
      </c>
      <c r="R4018" s="9">
        <v>68.997682634100997</v>
      </c>
      <c r="S4018" s="9">
        <v>70.663837256667662</v>
      </c>
      <c r="T4018" s="9">
        <v>81.21851964057339</v>
      </c>
      <c r="U4018" s="9">
        <v>100.30252752612124</v>
      </c>
      <c r="V4018" s="9">
        <v>100.30252752612124</v>
      </c>
      <c r="W4018" s="9">
        <v>100.30252752612124</v>
      </c>
      <c r="X4018" s="9">
        <v>111.49644277873338</v>
      </c>
      <c r="Y4018" s="9">
        <v>111.49644277873338</v>
      </c>
      <c r="Z4018" s="9">
        <v>126.21707956070082</v>
      </c>
      <c r="AA4018" s="9">
        <v>126.21707956070082</v>
      </c>
      <c r="AB4018" s="9">
        <v>136.369253141771</v>
      </c>
      <c r="AC4018" s="9">
        <v>136.369253141771</v>
      </c>
      <c r="AD4018" s="9">
        <v>148.095375330948</v>
      </c>
      <c r="AE4018" s="9">
        <v>162.98937223904278</v>
      </c>
      <c r="AF4018" s="9">
        <v>177.34307807489924</v>
      </c>
      <c r="AG4018" s="9">
        <v>177.34307807489924</v>
      </c>
      <c r="AH4018" s="9">
        <v>190.42490150738919</v>
      </c>
      <c r="AI4018" s="9">
        <v>209.27433166496726</v>
      </c>
      <c r="AJ4018" s="9">
        <v>3.0428788910505911</v>
      </c>
    </row>
    <row r="4019" spans="1:36" x14ac:dyDescent="0.25">
      <c r="A4019" t="s">
        <v>5411</v>
      </c>
      <c r="B4019" t="s">
        <v>16</v>
      </c>
      <c r="C4019" t="s">
        <v>17</v>
      </c>
      <c r="D4019">
        <v>69960000</v>
      </c>
      <c r="E4019">
        <v>69969999</v>
      </c>
      <c r="F4019" t="s">
        <v>3661</v>
      </c>
      <c r="G4019" t="str">
        <f t="shared" si="124"/>
        <v>ACR</v>
      </c>
      <c r="H4019" t="s">
        <v>3647</v>
      </c>
      <c r="I4019" t="s">
        <v>20</v>
      </c>
      <c r="J4019" t="s">
        <v>77</v>
      </c>
      <c r="K4019" s="6">
        <v>0.03</v>
      </c>
      <c r="L4019" s="7">
        <f t="shared" si="125"/>
        <v>2E-3</v>
      </c>
      <c r="M4019" s="7">
        <v>3.0000000000000001E-3</v>
      </c>
      <c r="N4019">
        <v>17</v>
      </c>
      <c r="O4019" s="8">
        <v>67.340970807759987</v>
      </c>
      <c r="P4019" s="9">
        <v>67.340970807759987</v>
      </c>
      <c r="Q4019" s="9">
        <v>67.340970807759987</v>
      </c>
      <c r="R4019" s="9">
        <v>68.997682634100997</v>
      </c>
      <c r="S4019" s="9">
        <v>70.663837256667662</v>
      </c>
      <c r="T4019" s="9">
        <v>81.21851964057339</v>
      </c>
      <c r="U4019" s="9">
        <v>100.30252752612124</v>
      </c>
      <c r="V4019" s="9">
        <v>100.30252752612124</v>
      </c>
      <c r="W4019" s="9">
        <v>100.30252752612124</v>
      </c>
      <c r="X4019" s="9">
        <v>111.49644277873338</v>
      </c>
      <c r="Y4019" s="9">
        <v>111.49644277873338</v>
      </c>
      <c r="Z4019" s="9">
        <v>126.21707956070082</v>
      </c>
      <c r="AA4019" s="9">
        <v>126.21707956070082</v>
      </c>
      <c r="AB4019" s="9">
        <v>136.369253141771</v>
      </c>
      <c r="AC4019" s="9">
        <v>136.369253141771</v>
      </c>
      <c r="AD4019" s="9">
        <v>148.095375330948</v>
      </c>
      <c r="AE4019" s="9">
        <v>162.98937223904278</v>
      </c>
      <c r="AF4019" s="9">
        <v>177.34307807489924</v>
      </c>
      <c r="AG4019" s="9">
        <v>177.34307807489924</v>
      </c>
      <c r="AH4019" s="9">
        <v>190.42490150738919</v>
      </c>
      <c r="AI4019" s="9">
        <v>209.27433166496726</v>
      </c>
      <c r="AJ4019" s="9">
        <v>3.0428788910505911</v>
      </c>
    </row>
    <row r="4020" spans="1:36" x14ac:dyDescent="0.25">
      <c r="A4020" t="s">
        <v>5411</v>
      </c>
      <c r="B4020" t="s">
        <v>16</v>
      </c>
      <c r="C4020" t="s">
        <v>17</v>
      </c>
      <c r="D4020">
        <v>69970000</v>
      </c>
      <c r="E4020">
        <v>69974999</v>
      </c>
      <c r="F4020" t="s">
        <v>3662</v>
      </c>
      <c r="G4020" t="str">
        <f t="shared" si="124"/>
        <v>ACR</v>
      </c>
      <c r="H4020" t="s">
        <v>3647</v>
      </c>
      <c r="I4020" t="s">
        <v>20</v>
      </c>
      <c r="J4020" t="s">
        <v>77</v>
      </c>
      <c r="K4020" s="6">
        <v>0.03</v>
      </c>
      <c r="L4020" s="7">
        <f t="shared" si="125"/>
        <v>2E-3</v>
      </c>
      <c r="M4020" s="7">
        <v>3.0000000000000001E-3</v>
      </c>
      <c r="N4020">
        <v>17</v>
      </c>
      <c r="O4020" s="8">
        <v>67.340970807759987</v>
      </c>
      <c r="P4020" s="9">
        <v>67.340970807759987</v>
      </c>
      <c r="Q4020" s="9">
        <v>67.340970807759987</v>
      </c>
      <c r="R4020" s="9">
        <v>68.997682634100997</v>
      </c>
      <c r="S4020" s="9">
        <v>70.663837256667662</v>
      </c>
      <c r="T4020" s="9">
        <v>81.21851964057339</v>
      </c>
      <c r="U4020" s="9">
        <v>100.30252752612124</v>
      </c>
      <c r="V4020" s="9">
        <v>100.30252752612124</v>
      </c>
      <c r="W4020" s="9">
        <v>100.30252752612124</v>
      </c>
      <c r="X4020" s="9">
        <v>111.49644277873338</v>
      </c>
      <c r="Y4020" s="9">
        <v>111.49644277873338</v>
      </c>
      <c r="Z4020" s="9">
        <v>126.21707956070082</v>
      </c>
      <c r="AA4020" s="9">
        <v>126.21707956070082</v>
      </c>
      <c r="AB4020" s="9">
        <v>136.369253141771</v>
      </c>
      <c r="AC4020" s="9">
        <v>136.369253141771</v>
      </c>
      <c r="AD4020" s="9">
        <v>148.095375330948</v>
      </c>
      <c r="AE4020" s="9">
        <v>162.98937223904278</v>
      </c>
      <c r="AF4020" s="9">
        <v>177.34307807489924</v>
      </c>
      <c r="AG4020" s="9">
        <v>177.34307807489924</v>
      </c>
      <c r="AH4020" s="9">
        <v>190.42490150738919</v>
      </c>
      <c r="AI4020" s="9">
        <v>209.27433166496726</v>
      </c>
      <c r="AJ4020" s="9">
        <v>3.0428788910505911</v>
      </c>
    </row>
    <row r="4021" spans="1:36" x14ac:dyDescent="0.25">
      <c r="A4021" t="s">
        <v>5411</v>
      </c>
      <c r="B4021" t="s">
        <v>16</v>
      </c>
      <c r="C4021" t="s">
        <v>17</v>
      </c>
      <c r="D4021">
        <v>69975000</v>
      </c>
      <c r="E4021">
        <v>69979999</v>
      </c>
      <c r="F4021" t="s">
        <v>3663</v>
      </c>
      <c r="G4021" t="str">
        <f t="shared" si="124"/>
        <v>ACR</v>
      </c>
      <c r="H4021" t="s">
        <v>3647</v>
      </c>
      <c r="I4021" t="s">
        <v>20</v>
      </c>
      <c r="J4021" t="s">
        <v>77</v>
      </c>
      <c r="K4021" s="6">
        <v>0.03</v>
      </c>
      <c r="L4021" s="7">
        <f t="shared" si="125"/>
        <v>2E-3</v>
      </c>
      <c r="M4021" s="7">
        <v>3.0000000000000001E-3</v>
      </c>
      <c r="N4021">
        <v>17</v>
      </c>
      <c r="O4021" s="8">
        <v>67.340970807759987</v>
      </c>
      <c r="P4021" s="9">
        <v>67.340970807759987</v>
      </c>
      <c r="Q4021" s="9">
        <v>67.340970807759987</v>
      </c>
      <c r="R4021" s="9">
        <v>68.997682634100997</v>
      </c>
      <c r="S4021" s="9">
        <v>70.663837256667662</v>
      </c>
      <c r="T4021" s="9">
        <v>81.21851964057339</v>
      </c>
      <c r="U4021" s="9">
        <v>100.30252752612124</v>
      </c>
      <c r="V4021" s="9">
        <v>100.30252752612124</v>
      </c>
      <c r="W4021" s="9">
        <v>100.30252752612124</v>
      </c>
      <c r="X4021" s="9">
        <v>111.49644277873338</v>
      </c>
      <c r="Y4021" s="9">
        <v>111.49644277873338</v>
      </c>
      <c r="Z4021" s="9">
        <v>126.21707956070082</v>
      </c>
      <c r="AA4021" s="9">
        <v>126.21707956070082</v>
      </c>
      <c r="AB4021" s="9">
        <v>136.369253141771</v>
      </c>
      <c r="AC4021" s="9">
        <v>136.369253141771</v>
      </c>
      <c r="AD4021" s="9">
        <v>148.095375330948</v>
      </c>
      <c r="AE4021" s="9">
        <v>162.98937223904278</v>
      </c>
      <c r="AF4021" s="9">
        <v>177.34307807489924</v>
      </c>
      <c r="AG4021" s="9">
        <v>177.34307807489924</v>
      </c>
      <c r="AH4021" s="9">
        <v>190.42490150738919</v>
      </c>
      <c r="AI4021" s="9">
        <v>209.27433166496726</v>
      </c>
      <c r="AJ4021" s="9">
        <v>3.0428788910505911</v>
      </c>
    </row>
    <row r="4022" spans="1:36" x14ac:dyDescent="0.25">
      <c r="A4022" t="s">
        <v>5411</v>
      </c>
      <c r="B4022" t="s">
        <v>16</v>
      </c>
      <c r="C4022" t="s">
        <v>17</v>
      </c>
      <c r="D4022">
        <v>69980000</v>
      </c>
      <c r="E4022">
        <v>69981999</v>
      </c>
      <c r="F4022" t="s">
        <v>3664</v>
      </c>
      <c r="G4022" t="str">
        <f t="shared" si="124"/>
        <v>ACR</v>
      </c>
      <c r="H4022" t="s">
        <v>3647</v>
      </c>
      <c r="I4022" t="s">
        <v>20</v>
      </c>
      <c r="J4022" t="s">
        <v>77</v>
      </c>
      <c r="K4022" s="6">
        <v>0.03</v>
      </c>
      <c r="L4022" s="7">
        <f t="shared" si="125"/>
        <v>2E-3</v>
      </c>
      <c r="M4022" s="7">
        <v>3.0000000000000001E-3</v>
      </c>
      <c r="N4022">
        <v>17</v>
      </c>
      <c r="O4022" s="8">
        <v>67.340970807759987</v>
      </c>
      <c r="P4022" s="9">
        <v>67.340970807759987</v>
      </c>
      <c r="Q4022" s="9">
        <v>67.340970807759987</v>
      </c>
      <c r="R4022" s="9">
        <v>68.997682634100997</v>
      </c>
      <c r="S4022" s="9">
        <v>70.663837256667662</v>
      </c>
      <c r="T4022" s="9">
        <v>81.21851964057339</v>
      </c>
      <c r="U4022" s="9">
        <v>100.30252752612124</v>
      </c>
      <c r="V4022" s="9">
        <v>100.30252752612124</v>
      </c>
      <c r="W4022" s="9">
        <v>100.30252752612124</v>
      </c>
      <c r="X4022" s="9">
        <v>111.49644277873338</v>
      </c>
      <c r="Y4022" s="9">
        <v>111.49644277873338</v>
      </c>
      <c r="Z4022" s="9">
        <v>126.21707956070082</v>
      </c>
      <c r="AA4022" s="9">
        <v>126.21707956070082</v>
      </c>
      <c r="AB4022" s="9">
        <v>136.369253141771</v>
      </c>
      <c r="AC4022" s="9">
        <v>136.369253141771</v>
      </c>
      <c r="AD4022" s="9">
        <v>148.095375330948</v>
      </c>
      <c r="AE4022" s="9">
        <v>162.98937223904278</v>
      </c>
      <c r="AF4022" s="9">
        <v>177.34307807489924</v>
      </c>
      <c r="AG4022" s="9">
        <v>177.34307807489924</v>
      </c>
      <c r="AH4022" s="9">
        <v>190.42490150738919</v>
      </c>
      <c r="AI4022" s="9">
        <v>209.27433166496726</v>
      </c>
      <c r="AJ4022" s="9">
        <v>3.0428788910505911</v>
      </c>
    </row>
    <row r="4023" spans="1:36" x14ac:dyDescent="0.25">
      <c r="A4023" t="s">
        <v>5411</v>
      </c>
      <c r="B4023" t="s">
        <v>16</v>
      </c>
      <c r="C4023" t="s">
        <v>17</v>
      </c>
      <c r="D4023">
        <v>69982000</v>
      </c>
      <c r="E4023">
        <v>69982999</v>
      </c>
      <c r="F4023" t="s">
        <v>3665</v>
      </c>
      <c r="G4023" t="str">
        <f t="shared" si="124"/>
        <v>ACR</v>
      </c>
      <c r="H4023" t="s">
        <v>3647</v>
      </c>
      <c r="I4023" t="s">
        <v>20</v>
      </c>
      <c r="J4023" t="s">
        <v>77</v>
      </c>
      <c r="K4023" s="6">
        <v>0.03</v>
      </c>
      <c r="L4023" s="7">
        <f t="shared" si="125"/>
        <v>2E-3</v>
      </c>
      <c r="M4023" s="7">
        <v>3.0000000000000001E-3</v>
      </c>
      <c r="N4023">
        <v>17</v>
      </c>
      <c r="O4023" s="8">
        <v>67.340970807759987</v>
      </c>
      <c r="P4023" s="9">
        <v>67.340970807759987</v>
      </c>
      <c r="Q4023" s="9">
        <v>67.340970807759987</v>
      </c>
      <c r="R4023" s="9">
        <v>68.997682634100997</v>
      </c>
      <c r="S4023" s="9">
        <v>70.663837256667662</v>
      </c>
      <c r="T4023" s="9">
        <v>81.21851964057339</v>
      </c>
      <c r="U4023" s="9">
        <v>100.30252752612124</v>
      </c>
      <c r="V4023" s="9">
        <v>100.30252752612124</v>
      </c>
      <c r="W4023" s="9">
        <v>100.30252752612124</v>
      </c>
      <c r="X4023" s="9">
        <v>111.49644277873338</v>
      </c>
      <c r="Y4023" s="9">
        <v>111.49644277873338</v>
      </c>
      <c r="Z4023" s="9">
        <v>126.21707956070082</v>
      </c>
      <c r="AA4023" s="9">
        <v>126.21707956070082</v>
      </c>
      <c r="AB4023" s="9">
        <v>136.369253141771</v>
      </c>
      <c r="AC4023" s="9">
        <v>136.369253141771</v>
      </c>
      <c r="AD4023" s="9">
        <v>148.095375330948</v>
      </c>
      <c r="AE4023" s="9">
        <v>162.98937223904278</v>
      </c>
      <c r="AF4023" s="9">
        <v>177.34307807489924</v>
      </c>
      <c r="AG4023" s="9">
        <v>177.34307807489924</v>
      </c>
      <c r="AH4023" s="9">
        <v>190.42490150738919</v>
      </c>
      <c r="AI4023" s="9">
        <v>209.27433166496726</v>
      </c>
      <c r="AJ4023" s="9">
        <v>3.0428788910505911</v>
      </c>
    </row>
    <row r="4024" spans="1:36" x14ac:dyDescent="0.25">
      <c r="A4024" t="s">
        <v>5411</v>
      </c>
      <c r="B4024" t="s">
        <v>16</v>
      </c>
      <c r="C4024" t="s">
        <v>17</v>
      </c>
      <c r="D4024">
        <v>69983000</v>
      </c>
      <c r="E4024">
        <v>69984999</v>
      </c>
      <c r="F4024" t="s">
        <v>3666</v>
      </c>
      <c r="G4024" t="str">
        <f t="shared" si="124"/>
        <v>ACR</v>
      </c>
      <c r="H4024" t="s">
        <v>3647</v>
      </c>
      <c r="I4024" t="s">
        <v>20</v>
      </c>
      <c r="J4024" t="s">
        <v>77</v>
      </c>
      <c r="K4024" s="6">
        <v>0.03</v>
      </c>
      <c r="L4024" s="7">
        <f t="shared" si="125"/>
        <v>2E-3</v>
      </c>
      <c r="M4024" s="7">
        <v>3.0000000000000001E-3</v>
      </c>
      <c r="N4024">
        <v>17</v>
      </c>
      <c r="O4024" s="8">
        <v>67.340970807759987</v>
      </c>
      <c r="P4024" s="9">
        <v>67.340970807759987</v>
      </c>
      <c r="Q4024" s="9">
        <v>67.340970807759987</v>
      </c>
      <c r="R4024" s="9">
        <v>68.997682634100997</v>
      </c>
      <c r="S4024" s="9">
        <v>70.663837256667662</v>
      </c>
      <c r="T4024" s="9">
        <v>81.21851964057339</v>
      </c>
      <c r="U4024" s="9">
        <v>100.30252752612124</v>
      </c>
      <c r="V4024" s="9">
        <v>100.30252752612124</v>
      </c>
      <c r="W4024" s="9">
        <v>100.30252752612124</v>
      </c>
      <c r="X4024" s="9">
        <v>111.49644277873338</v>
      </c>
      <c r="Y4024" s="9">
        <v>111.49644277873338</v>
      </c>
      <c r="Z4024" s="9">
        <v>126.21707956070082</v>
      </c>
      <c r="AA4024" s="9">
        <v>126.21707956070082</v>
      </c>
      <c r="AB4024" s="9">
        <v>136.369253141771</v>
      </c>
      <c r="AC4024" s="9">
        <v>136.369253141771</v>
      </c>
      <c r="AD4024" s="9">
        <v>148.095375330948</v>
      </c>
      <c r="AE4024" s="9">
        <v>162.98937223904278</v>
      </c>
      <c r="AF4024" s="9">
        <v>177.34307807489924</v>
      </c>
      <c r="AG4024" s="9">
        <v>177.34307807489924</v>
      </c>
      <c r="AH4024" s="9">
        <v>190.42490150738919</v>
      </c>
      <c r="AI4024" s="9">
        <v>209.27433166496726</v>
      </c>
      <c r="AJ4024" s="9">
        <v>3.0428788910505911</v>
      </c>
    </row>
    <row r="4025" spans="1:36" x14ac:dyDescent="0.25">
      <c r="A4025" t="s">
        <v>5411</v>
      </c>
      <c r="B4025" t="s">
        <v>16</v>
      </c>
      <c r="C4025" t="s">
        <v>17</v>
      </c>
      <c r="D4025">
        <v>69985000</v>
      </c>
      <c r="E4025">
        <v>69989999</v>
      </c>
      <c r="F4025" t="s">
        <v>3667</v>
      </c>
      <c r="G4025" t="str">
        <f t="shared" si="124"/>
        <v>ACR</v>
      </c>
      <c r="H4025" t="s">
        <v>3647</v>
      </c>
      <c r="I4025" t="s">
        <v>20</v>
      </c>
      <c r="J4025" t="s">
        <v>77</v>
      </c>
      <c r="K4025" s="6">
        <v>0.03</v>
      </c>
      <c r="L4025" s="7">
        <f t="shared" si="125"/>
        <v>2E-3</v>
      </c>
      <c r="M4025" s="7">
        <v>3.0000000000000001E-3</v>
      </c>
      <c r="N4025">
        <v>17</v>
      </c>
      <c r="O4025" s="8">
        <v>67.340970807759987</v>
      </c>
      <c r="P4025" s="9">
        <v>67.340970807759987</v>
      </c>
      <c r="Q4025" s="9">
        <v>67.340970807759987</v>
      </c>
      <c r="R4025" s="9">
        <v>68.997682634100997</v>
      </c>
      <c r="S4025" s="9">
        <v>70.663837256667662</v>
      </c>
      <c r="T4025" s="9">
        <v>81.21851964057339</v>
      </c>
      <c r="U4025" s="9">
        <v>100.30252752612124</v>
      </c>
      <c r="V4025" s="9">
        <v>100.30252752612124</v>
      </c>
      <c r="W4025" s="9">
        <v>100.30252752612124</v>
      </c>
      <c r="X4025" s="9">
        <v>111.49644277873338</v>
      </c>
      <c r="Y4025" s="9">
        <v>111.49644277873338</v>
      </c>
      <c r="Z4025" s="9">
        <v>126.21707956070082</v>
      </c>
      <c r="AA4025" s="9">
        <v>126.21707956070082</v>
      </c>
      <c r="AB4025" s="9">
        <v>136.369253141771</v>
      </c>
      <c r="AC4025" s="9">
        <v>136.369253141771</v>
      </c>
      <c r="AD4025" s="9">
        <v>148.095375330948</v>
      </c>
      <c r="AE4025" s="9">
        <v>162.98937223904278</v>
      </c>
      <c r="AF4025" s="9">
        <v>177.34307807489924</v>
      </c>
      <c r="AG4025" s="9">
        <v>177.34307807489924</v>
      </c>
      <c r="AH4025" s="9">
        <v>190.42490150738919</v>
      </c>
      <c r="AI4025" s="9">
        <v>209.27433166496726</v>
      </c>
      <c r="AJ4025" s="9">
        <v>3.0428788910505911</v>
      </c>
    </row>
    <row r="4026" spans="1:36" x14ac:dyDescent="0.25">
      <c r="A4026" t="s">
        <v>5411</v>
      </c>
      <c r="B4026" t="s">
        <v>16</v>
      </c>
      <c r="C4026" t="s">
        <v>17</v>
      </c>
      <c r="D4026">
        <v>69990000</v>
      </c>
      <c r="E4026">
        <v>69999999</v>
      </c>
      <c r="F4026" t="s">
        <v>3668</v>
      </c>
      <c r="G4026" t="str">
        <f t="shared" si="124"/>
        <v>ACR</v>
      </c>
      <c r="H4026" t="s">
        <v>3647</v>
      </c>
      <c r="I4026" t="s">
        <v>20</v>
      </c>
      <c r="J4026" t="s">
        <v>77</v>
      </c>
      <c r="K4026" s="6">
        <v>0.03</v>
      </c>
      <c r="L4026" s="7">
        <f t="shared" si="125"/>
        <v>2E-3</v>
      </c>
      <c r="M4026" s="7">
        <v>3.0000000000000001E-3</v>
      </c>
      <c r="N4026">
        <v>17</v>
      </c>
      <c r="O4026" s="8">
        <v>67.340970807759987</v>
      </c>
      <c r="P4026" s="9">
        <v>67.340970807759987</v>
      </c>
      <c r="Q4026" s="9">
        <v>67.340970807759987</v>
      </c>
      <c r="R4026" s="9">
        <v>68.997682634100997</v>
      </c>
      <c r="S4026" s="9">
        <v>70.663837256667662</v>
      </c>
      <c r="T4026" s="9">
        <v>81.21851964057339</v>
      </c>
      <c r="U4026" s="9">
        <v>100.30252752612124</v>
      </c>
      <c r="V4026" s="9">
        <v>100.30252752612124</v>
      </c>
      <c r="W4026" s="9">
        <v>100.30252752612124</v>
      </c>
      <c r="X4026" s="9">
        <v>111.49644277873338</v>
      </c>
      <c r="Y4026" s="9">
        <v>111.49644277873338</v>
      </c>
      <c r="Z4026" s="9">
        <v>126.21707956070082</v>
      </c>
      <c r="AA4026" s="9">
        <v>126.21707956070082</v>
      </c>
      <c r="AB4026" s="9">
        <v>136.369253141771</v>
      </c>
      <c r="AC4026" s="9">
        <v>136.369253141771</v>
      </c>
      <c r="AD4026" s="9">
        <v>148.095375330948</v>
      </c>
      <c r="AE4026" s="9">
        <v>162.98937223904278</v>
      </c>
      <c r="AF4026" s="9">
        <v>177.34307807489924</v>
      </c>
      <c r="AG4026" s="9">
        <v>177.34307807489924</v>
      </c>
      <c r="AH4026" s="9">
        <v>190.42490150738919</v>
      </c>
      <c r="AI4026" s="9">
        <v>209.27433166496726</v>
      </c>
      <c r="AJ4026" s="9">
        <v>3.0428788910505911</v>
      </c>
    </row>
    <row r="4027" spans="1:36" x14ac:dyDescent="0.25">
      <c r="A4027" t="s">
        <v>5411</v>
      </c>
      <c r="B4027" t="s">
        <v>16</v>
      </c>
      <c r="C4027" t="s">
        <v>17</v>
      </c>
      <c r="D4027">
        <v>70000000</v>
      </c>
      <c r="E4027">
        <v>72799999</v>
      </c>
      <c r="F4027" t="s">
        <v>3669</v>
      </c>
      <c r="G4027" t="str">
        <f t="shared" si="124"/>
        <v>DFC</v>
      </c>
      <c r="H4027" t="s">
        <v>3670</v>
      </c>
      <c r="I4027" t="s">
        <v>20</v>
      </c>
      <c r="J4027" t="s">
        <v>21</v>
      </c>
      <c r="K4027" s="6">
        <v>0.03</v>
      </c>
      <c r="L4027" s="7">
        <f t="shared" si="125"/>
        <v>2E-3</v>
      </c>
      <c r="M4027" s="7">
        <v>3.0000000000000001E-3</v>
      </c>
      <c r="N4027">
        <v>7</v>
      </c>
      <c r="O4027" s="8">
        <v>11.007569492562263</v>
      </c>
      <c r="P4027" s="9">
        <v>11.007569492562263</v>
      </c>
      <c r="Q4027" s="9">
        <v>11.007569492562263</v>
      </c>
      <c r="R4027" s="9">
        <v>11.455385237645514</v>
      </c>
      <c r="S4027" s="9">
        <v>11.903730346291326</v>
      </c>
      <c r="T4027" s="9">
        <v>12.826463499859971</v>
      </c>
      <c r="U4027" s="9">
        <v>16.000975340473147</v>
      </c>
      <c r="V4027" s="9">
        <v>16.000975340473147</v>
      </c>
      <c r="W4027" s="9">
        <v>16.000975340473147</v>
      </c>
      <c r="X4027" s="9">
        <v>18.805055083989171</v>
      </c>
      <c r="Y4027" s="9">
        <v>18.805055083989171</v>
      </c>
      <c r="Z4027" s="9">
        <v>21.918303896507787</v>
      </c>
      <c r="AA4027" s="9">
        <v>21.918303896507787</v>
      </c>
      <c r="AB4027" s="9">
        <v>25.269770499208217</v>
      </c>
      <c r="AC4027" s="9">
        <v>25.269770499208217</v>
      </c>
      <c r="AD4027" s="9">
        <v>30.47412647790285</v>
      </c>
      <c r="AE4027" s="9">
        <v>33.36120560933287</v>
      </c>
      <c r="AF4027" s="9">
        <v>37.239291028485731</v>
      </c>
      <c r="AG4027" s="9">
        <v>37.239291028485731</v>
      </c>
      <c r="AH4027" s="9">
        <v>40.317477587506815</v>
      </c>
      <c r="AI4027" s="9">
        <v>42.934757232896196</v>
      </c>
      <c r="AJ4027" s="9">
        <v>3.0428788910505911</v>
      </c>
    </row>
    <row r="4028" spans="1:36" x14ac:dyDescent="0.25">
      <c r="A4028" t="s">
        <v>5411</v>
      </c>
      <c r="B4028" t="s">
        <v>16</v>
      </c>
      <c r="C4028" t="s">
        <v>17</v>
      </c>
      <c r="D4028">
        <v>72800000</v>
      </c>
      <c r="E4028">
        <v>72859999</v>
      </c>
      <c r="F4028" t="s">
        <v>3671</v>
      </c>
      <c r="G4028" t="str">
        <f t="shared" si="124"/>
        <v>GOI</v>
      </c>
      <c r="H4028" t="s">
        <v>3672</v>
      </c>
      <c r="I4028" t="s">
        <v>20</v>
      </c>
      <c r="J4028" t="s">
        <v>62</v>
      </c>
      <c r="K4028" s="6">
        <v>0.03</v>
      </c>
      <c r="L4028" s="7">
        <f t="shared" si="125"/>
        <v>2E-3</v>
      </c>
      <c r="M4028" s="7">
        <v>3.0000000000000001E-3</v>
      </c>
      <c r="N4028">
        <v>7</v>
      </c>
      <c r="O4028" s="8">
        <v>20.377140471637041</v>
      </c>
      <c r="P4028" s="9">
        <v>20.377140471637041</v>
      </c>
      <c r="Q4028" s="9">
        <v>20.377140471637041</v>
      </c>
      <c r="R4028" s="9">
        <v>21.402978767052765</v>
      </c>
      <c r="S4028" s="9">
        <v>22.589768980199143</v>
      </c>
      <c r="T4028" s="9">
        <v>24.040396091340774</v>
      </c>
      <c r="U4028" s="9">
        <v>25.448505028591189</v>
      </c>
      <c r="V4028" s="9">
        <v>25.448505028591189</v>
      </c>
      <c r="W4028" s="9">
        <v>25.448505028591189</v>
      </c>
      <c r="X4028" s="9">
        <v>28.109873114011638</v>
      </c>
      <c r="Y4028" s="9">
        <v>28.109873114011638</v>
      </c>
      <c r="Z4028" s="9">
        <v>30.975097350688763</v>
      </c>
      <c r="AA4028" s="9">
        <v>30.975097350688763</v>
      </c>
      <c r="AB4028" s="9">
        <v>34.370578528895656</v>
      </c>
      <c r="AC4028" s="9">
        <v>34.370578528895656</v>
      </c>
      <c r="AD4028" s="9">
        <v>39.013187474230911</v>
      </c>
      <c r="AE4028" s="9">
        <v>42.452173954636635</v>
      </c>
      <c r="AF4028" s="9">
        <v>47.478364248265585</v>
      </c>
      <c r="AG4028" s="9">
        <v>47.478364248265585</v>
      </c>
      <c r="AH4028" s="9">
        <v>50.815992158664379</v>
      </c>
      <c r="AI4028" s="9">
        <v>54.045500821302042</v>
      </c>
      <c r="AJ4028" s="9">
        <v>3.0428788910505911</v>
      </c>
    </row>
    <row r="4029" spans="1:36" x14ac:dyDescent="0.25">
      <c r="A4029" t="s">
        <v>5411</v>
      </c>
      <c r="B4029" t="s">
        <v>16</v>
      </c>
      <c r="C4029" t="s">
        <v>17</v>
      </c>
      <c r="D4029">
        <v>72860000</v>
      </c>
      <c r="E4029">
        <v>72869999</v>
      </c>
      <c r="F4029" t="s">
        <v>3673</v>
      </c>
      <c r="G4029" t="str">
        <f t="shared" si="124"/>
        <v>GOI</v>
      </c>
      <c r="H4029" t="s">
        <v>3672</v>
      </c>
      <c r="I4029" t="s">
        <v>20</v>
      </c>
      <c r="J4029" t="s">
        <v>62</v>
      </c>
      <c r="K4029" s="6">
        <v>0.03</v>
      </c>
      <c r="L4029" s="7">
        <f t="shared" si="125"/>
        <v>2E-3</v>
      </c>
      <c r="M4029" s="7">
        <v>3.0000000000000001E-3</v>
      </c>
      <c r="N4029">
        <v>10</v>
      </c>
      <c r="O4029" s="8">
        <v>20.377140471637041</v>
      </c>
      <c r="P4029" s="9">
        <v>20.377140471637041</v>
      </c>
      <c r="Q4029" s="9">
        <v>20.377140471637041</v>
      </c>
      <c r="R4029" s="9">
        <v>21.402978767052765</v>
      </c>
      <c r="S4029" s="9">
        <v>22.589768980199143</v>
      </c>
      <c r="T4029" s="9">
        <v>24.040396091340774</v>
      </c>
      <c r="U4029" s="9">
        <v>25.448505028591189</v>
      </c>
      <c r="V4029" s="9">
        <v>25.448505028591189</v>
      </c>
      <c r="W4029" s="9">
        <v>25.448505028591189</v>
      </c>
      <c r="X4029" s="9">
        <v>28.109873114011638</v>
      </c>
      <c r="Y4029" s="9">
        <v>28.109873114011638</v>
      </c>
      <c r="Z4029" s="9">
        <v>30.975097350688763</v>
      </c>
      <c r="AA4029" s="9">
        <v>30.975097350688763</v>
      </c>
      <c r="AB4029" s="9">
        <v>34.370578528895656</v>
      </c>
      <c r="AC4029" s="9">
        <v>34.370578528895656</v>
      </c>
      <c r="AD4029" s="9">
        <v>39.013187474230911</v>
      </c>
      <c r="AE4029" s="9">
        <v>42.452173954636635</v>
      </c>
      <c r="AF4029" s="9">
        <v>47.478364248265585</v>
      </c>
      <c r="AG4029" s="9">
        <v>47.478364248265585</v>
      </c>
      <c r="AH4029" s="9">
        <v>50.815992158664379</v>
      </c>
      <c r="AI4029" s="9">
        <v>54.045500821302042</v>
      </c>
      <c r="AJ4029" s="9">
        <v>3.0428788910505911</v>
      </c>
    </row>
    <row r="4030" spans="1:36" x14ac:dyDescent="0.25">
      <c r="A4030" t="s">
        <v>5411</v>
      </c>
      <c r="B4030" t="s">
        <v>16</v>
      </c>
      <c r="C4030" t="s">
        <v>17</v>
      </c>
      <c r="D4030">
        <v>72870000</v>
      </c>
      <c r="E4030">
        <v>72879999</v>
      </c>
      <c r="F4030" t="s">
        <v>3674</v>
      </c>
      <c r="G4030" t="str">
        <f t="shared" si="124"/>
        <v>GOI</v>
      </c>
      <c r="H4030" t="s">
        <v>3672</v>
      </c>
      <c r="I4030" t="s">
        <v>20</v>
      </c>
      <c r="J4030" t="s">
        <v>62</v>
      </c>
      <c r="K4030" s="6">
        <v>0.03</v>
      </c>
      <c r="L4030" s="7">
        <f t="shared" si="125"/>
        <v>2E-3</v>
      </c>
      <c r="M4030" s="7">
        <v>3.0000000000000001E-3</v>
      </c>
      <c r="N4030">
        <v>10</v>
      </c>
      <c r="O4030" s="8">
        <v>20.377140471637041</v>
      </c>
      <c r="P4030" s="9">
        <v>20.377140471637041</v>
      </c>
      <c r="Q4030" s="9">
        <v>20.377140471637041</v>
      </c>
      <c r="R4030" s="9">
        <v>21.402978767052765</v>
      </c>
      <c r="S4030" s="9">
        <v>22.589768980199143</v>
      </c>
      <c r="T4030" s="9">
        <v>24.040396091340774</v>
      </c>
      <c r="U4030" s="9">
        <v>25.448505028591189</v>
      </c>
      <c r="V4030" s="9">
        <v>25.448505028591189</v>
      </c>
      <c r="W4030" s="9">
        <v>25.448505028591189</v>
      </c>
      <c r="X4030" s="9">
        <v>28.109873114011638</v>
      </c>
      <c r="Y4030" s="9">
        <v>28.109873114011638</v>
      </c>
      <c r="Z4030" s="9">
        <v>30.975097350688763</v>
      </c>
      <c r="AA4030" s="9">
        <v>30.975097350688763</v>
      </c>
      <c r="AB4030" s="9">
        <v>34.370578528895656</v>
      </c>
      <c r="AC4030" s="9">
        <v>34.370578528895656</v>
      </c>
      <c r="AD4030" s="9">
        <v>39.013187474230911</v>
      </c>
      <c r="AE4030" s="9">
        <v>42.452173954636635</v>
      </c>
      <c r="AF4030" s="9">
        <v>47.478364248265585</v>
      </c>
      <c r="AG4030" s="9">
        <v>47.478364248265585</v>
      </c>
      <c r="AH4030" s="9">
        <v>50.815992158664379</v>
      </c>
      <c r="AI4030" s="9">
        <v>54.045500821302042</v>
      </c>
      <c r="AJ4030" s="9">
        <v>3.0428788910505911</v>
      </c>
    </row>
    <row r="4031" spans="1:36" x14ac:dyDescent="0.25">
      <c r="A4031" t="s">
        <v>5411</v>
      </c>
      <c r="B4031" t="s">
        <v>16</v>
      </c>
      <c r="C4031" t="s">
        <v>17</v>
      </c>
      <c r="D4031">
        <v>72880000</v>
      </c>
      <c r="E4031">
        <v>72899999</v>
      </c>
      <c r="F4031" t="s">
        <v>3675</v>
      </c>
      <c r="G4031" t="str">
        <f t="shared" si="124"/>
        <v>GOI</v>
      </c>
      <c r="H4031" t="s">
        <v>3672</v>
      </c>
      <c r="I4031" t="s">
        <v>20</v>
      </c>
      <c r="J4031" t="s">
        <v>62</v>
      </c>
      <c r="K4031" s="6">
        <v>0.03</v>
      </c>
      <c r="L4031" s="7">
        <f t="shared" si="125"/>
        <v>2E-3</v>
      </c>
      <c r="M4031" s="7">
        <v>3.0000000000000001E-3</v>
      </c>
      <c r="N4031">
        <v>10</v>
      </c>
      <c r="O4031" s="8">
        <v>20.377140471637041</v>
      </c>
      <c r="P4031" s="9">
        <v>20.377140471637041</v>
      </c>
      <c r="Q4031" s="9">
        <v>20.377140471637041</v>
      </c>
      <c r="R4031" s="9">
        <v>21.402978767052765</v>
      </c>
      <c r="S4031" s="9">
        <v>22.589768980199143</v>
      </c>
      <c r="T4031" s="9">
        <v>24.040396091340774</v>
      </c>
      <c r="U4031" s="9">
        <v>25.448505028591189</v>
      </c>
      <c r="V4031" s="9">
        <v>25.448505028591189</v>
      </c>
      <c r="W4031" s="9">
        <v>25.448505028591189</v>
      </c>
      <c r="X4031" s="9">
        <v>28.109873114011638</v>
      </c>
      <c r="Y4031" s="9">
        <v>28.109873114011638</v>
      </c>
      <c r="Z4031" s="9">
        <v>30.975097350688763</v>
      </c>
      <c r="AA4031" s="9">
        <v>30.975097350688763</v>
      </c>
      <c r="AB4031" s="9">
        <v>34.370578528895656</v>
      </c>
      <c r="AC4031" s="9">
        <v>34.370578528895656</v>
      </c>
      <c r="AD4031" s="9">
        <v>39.013187474230911</v>
      </c>
      <c r="AE4031" s="9">
        <v>42.452173954636635</v>
      </c>
      <c r="AF4031" s="9">
        <v>47.478364248265585</v>
      </c>
      <c r="AG4031" s="9">
        <v>47.478364248265585</v>
      </c>
      <c r="AH4031" s="9">
        <v>50.815992158664379</v>
      </c>
      <c r="AI4031" s="9">
        <v>54.045500821302042</v>
      </c>
      <c r="AJ4031" s="9">
        <v>3.0428788910505911</v>
      </c>
    </row>
    <row r="4032" spans="1:36" x14ac:dyDescent="0.25">
      <c r="A4032" t="s">
        <v>5411</v>
      </c>
      <c r="B4032" t="s">
        <v>16</v>
      </c>
      <c r="C4032" t="s">
        <v>17</v>
      </c>
      <c r="D4032">
        <v>72900000</v>
      </c>
      <c r="E4032">
        <v>72909999</v>
      </c>
      <c r="F4032" t="s">
        <v>3676</v>
      </c>
      <c r="G4032" t="str">
        <f t="shared" si="124"/>
        <v>GOI II</v>
      </c>
      <c r="H4032" t="s">
        <v>3672</v>
      </c>
      <c r="I4032" t="s">
        <v>20</v>
      </c>
      <c r="J4032" t="s">
        <v>64</v>
      </c>
      <c r="K4032" s="6">
        <v>0.03</v>
      </c>
      <c r="L4032" s="7">
        <f t="shared" si="125"/>
        <v>2E-3</v>
      </c>
      <c r="M4032" s="7">
        <v>3.0000000000000001E-3</v>
      </c>
      <c r="N4032">
        <v>9</v>
      </c>
      <c r="O4032" s="8">
        <v>24.12918157169327</v>
      </c>
      <c r="P4032" s="9">
        <v>24.12918157169327</v>
      </c>
      <c r="Q4032" s="9">
        <v>24.12918157169327</v>
      </c>
      <c r="R4032" s="9">
        <v>25.337926603196635</v>
      </c>
      <c r="S4032" s="9">
        <v>26.739125453822282</v>
      </c>
      <c r="T4032" s="9">
        <v>27.918529456871191</v>
      </c>
      <c r="U4032" s="9">
        <v>29.567239706252465</v>
      </c>
      <c r="V4032" s="9">
        <v>29.567239706252465</v>
      </c>
      <c r="W4032" s="9">
        <v>29.567239706252465</v>
      </c>
      <c r="X4032" s="9">
        <v>32.768324265753506</v>
      </c>
      <c r="Y4032" s="9">
        <v>32.768324265753506</v>
      </c>
      <c r="Z4032" s="9">
        <v>36.06659911693589</v>
      </c>
      <c r="AA4032" s="9">
        <v>36.06659911693589</v>
      </c>
      <c r="AB4032" s="9">
        <v>39.471783288967806</v>
      </c>
      <c r="AC4032" s="9">
        <v>39.471783288967806</v>
      </c>
      <c r="AD4032" s="9">
        <v>44.89371961968488</v>
      </c>
      <c r="AE4032" s="9">
        <v>47.788360826374728</v>
      </c>
      <c r="AF4032" s="9">
        <v>50.811128677055613</v>
      </c>
      <c r="AG4032" s="9">
        <v>50.811128677055613</v>
      </c>
      <c r="AH4032" s="9">
        <v>54.808386973888702</v>
      </c>
      <c r="AI4032" s="9">
        <v>57.901475997525047</v>
      </c>
      <c r="AJ4032" s="9">
        <v>3.0428788910505911</v>
      </c>
    </row>
    <row r="4033" spans="1:36" x14ac:dyDescent="0.25">
      <c r="A4033" t="s">
        <v>5411</v>
      </c>
      <c r="B4033" t="s">
        <v>16</v>
      </c>
      <c r="C4033" t="s">
        <v>17</v>
      </c>
      <c r="D4033">
        <v>72910000</v>
      </c>
      <c r="E4033">
        <v>72929999</v>
      </c>
      <c r="F4033" t="s">
        <v>3677</v>
      </c>
      <c r="G4033" t="str">
        <f t="shared" si="124"/>
        <v>GOI</v>
      </c>
      <c r="H4033" t="s">
        <v>3672</v>
      </c>
      <c r="I4033" t="s">
        <v>20</v>
      </c>
      <c r="J4033" t="s">
        <v>62</v>
      </c>
      <c r="K4033" s="6">
        <v>0.03</v>
      </c>
      <c r="L4033" s="7">
        <f t="shared" si="125"/>
        <v>2E-3</v>
      </c>
      <c r="M4033" s="7">
        <v>3.0000000000000001E-3</v>
      </c>
      <c r="N4033">
        <v>9</v>
      </c>
      <c r="O4033" s="8">
        <v>20.377140471637041</v>
      </c>
      <c r="P4033" s="9">
        <v>20.377140471637041</v>
      </c>
      <c r="Q4033" s="9">
        <v>20.377140471637041</v>
      </c>
      <c r="R4033" s="9">
        <v>21.402978767052765</v>
      </c>
      <c r="S4033" s="9">
        <v>22.589768980199143</v>
      </c>
      <c r="T4033" s="9">
        <v>24.040396091340774</v>
      </c>
      <c r="U4033" s="9">
        <v>25.448505028591189</v>
      </c>
      <c r="V4033" s="9">
        <v>25.448505028591189</v>
      </c>
      <c r="W4033" s="9">
        <v>25.448505028591189</v>
      </c>
      <c r="X4033" s="9">
        <v>28.109873114011638</v>
      </c>
      <c r="Y4033" s="9">
        <v>28.109873114011638</v>
      </c>
      <c r="Z4033" s="9">
        <v>30.975097350688763</v>
      </c>
      <c r="AA4033" s="9">
        <v>30.975097350688763</v>
      </c>
      <c r="AB4033" s="9">
        <v>34.370578528895656</v>
      </c>
      <c r="AC4033" s="9">
        <v>34.370578528895656</v>
      </c>
      <c r="AD4033" s="9">
        <v>39.013187474230911</v>
      </c>
      <c r="AE4033" s="9">
        <v>42.452173954636635</v>
      </c>
      <c r="AF4033" s="9">
        <v>47.478364248265585</v>
      </c>
      <c r="AG4033" s="9">
        <v>47.478364248265585</v>
      </c>
      <c r="AH4033" s="9">
        <v>50.815992158664379</v>
      </c>
      <c r="AI4033" s="9">
        <v>54.045500821302042</v>
      </c>
      <c r="AJ4033" s="9">
        <v>3.0428788910505911</v>
      </c>
    </row>
    <row r="4034" spans="1:36" x14ac:dyDescent="0.25">
      <c r="A4034" t="s">
        <v>5411</v>
      </c>
      <c r="B4034" t="s">
        <v>16</v>
      </c>
      <c r="C4034" t="s">
        <v>17</v>
      </c>
      <c r="D4034">
        <v>72930000</v>
      </c>
      <c r="E4034">
        <v>72939999</v>
      </c>
      <c r="F4034" t="s">
        <v>3678</v>
      </c>
      <c r="G4034" t="str">
        <f t="shared" si="124"/>
        <v>GOI II</v>
      </c>
      <c r="H4034" t="s">
        <v>3672</v>
      </c>
      <c r="I4034" t="s">
        <v>20</v>
      </c>
      <c r="J4034" t="s">
        <v>64</v>
      </c>
      <c r="K4034" s="6">
        <v>0.03</v>
      </c>
      <c r="L4034" s="7">
        <f t="shared" si="125"/>
        <v>2E-3</v>
      </c>
      <c r="M4034" s="7">
        <v>3.0000000000000001E-3</v>
      </c>
      <c r="N4034">
        <v>10</v>
      </c>
      <c r="O4034" s="8">
        <v>24.12918157169327</v>
      </c>
      <c r="P4034" s="9">
        <v>24.12918157169327</v>
      </c>
      <c r="Q4034" s="9">
        <v>24.12918157169327</v>
      </c>
      <c r="R4034" s="9">
        <v>25.337926603196635</v>
      </c>
      <c r="S4034" s="9">
        <v>26.739125453822282</v>
      </c>
      <c r="T4034" s="9">
        <v>27.918529456871191</v>
      </c>
      <c r="U4034" s="9">
        <v>29.567239706252465</v>
      </c>
      <c r="V4034" s="9">
        <v>29.567239706252465</v>
      </c>
      <c r="W4034" s="9">
        <v>29.567239706252465</v>
      </c>
      <c r="X4034" s="9">
        <v>32.768324265753506</v>
      </c>
      <c r="Y4034" s="9">
        <v>32.768324265753506</v>
      </c>
      <c r="Z4034" s="9">
        <v>36.06659911693589</v>
      </c>
      <c r="AA4034" s="9">
        <v>36.06659911693589</v>
      </c>
      <c r="AB4034" s="9">
        <v>39.471783288967806</v>
      </c>
      <c r="AC4034" s="9">
        <v>39.471783288967806</v>
      </c>
      <c r="AD4034" s="9">
        <v>44.89371961968488</v>
      </c>
      <c r="AE4034" s="9">
        <v>47.788360826374728</v>
      </c>
      <c r="AF4034" s="9">
        <v>50.811128677055613</v>
      </c>
      <c r="AG4034" s="9">
        <v>50.811128677055613</v>
      </c>
      <c r="AH4034" s="9">
        <v>54.808386973888702</v>
      </c>
      <c r="AI4034" s="9">
        <v>57.901475997525047</v>
      </c>
      <c r="AJ4034" s="9">
        <v>3.0428788910505911</v>
      </c>
    </row>
    <row r="4035" spans="1:36" x14ac:dyDescent="0.25">
      <c r="A4035" t="s">
        <v>5411</v>
      </c>
      <c r="B4035" t="s">
        <v>16</v>
      </c>
      <c r="C4035" t="s">
        <v>17</v>
      </c>
      <c r="D4035">
        <v>72940000</v>
      </c>
      <c r="E4035">
        <v>72959999</v>
      </c>
      <c r="F4035" t="s">
        <v>3679</v>
      </c>
      <c r="G4035" t="str">
        <f t="shared" si="124"/>
        <v>GOI II</v>
      </c>
      <c r="H4035" t="s">
        <v>3672</v>
      </c>
      <c r="I4035" t="s">
        <v>20</v>
      </c>
      <c r="J4035" t="s">
        <v>64</v>
      </c>
      <c r="K4035" s="6">
        <v>0.03</v>
      </c>
      <c r="L4035" s="7">
        <f t="shared" si="125"/>
        <v>2E-3</v>
      </c>
      <c r="M4035" s="7">
        <v>3.0000000000000001E-3</v>
      </c>
      <c r="N4035">
        <v>10</v>
      </c>
      <c r="O4035" s="8">
        <v>24.12918157169327</v>
      </c>
      <c r="P4035" s="9">
        <v>24.12918157169327</v>
      </c>
      <c r="Q4035" s="9">
        <v>24.12918157169327</v>
      </c>
      <c r="R4035" s="9">
        <v>25.337926603196635</v>
      </c>
      <c r="S4035" s="9">
        <v>26.739125453822282</v>
      </c>
      <c r="T4035" s="9">
        <v>27.918529456871191</v>
      </c>
      <c r="U4035" s="9">
        <v>29.567239706252465</v>
      </c>
      <c r="V4035" s="9">
        <v>29.567239706252465</v>
      </c>
      <c r="W4035" s="9">
        <v>29.567239706252465</v>
      </c>
      <c r="X4035" s="9">
        <v>32.768324265753506</v>
      </c>
      <c r="Y4035" s="9">
        <v>32.768324265753506</v>
      </c>
      <c r="Z4035" s="9">
        <v>36.06659911693589</v>
      </c>
      <c r="AA4035" s="9">
        <v>36.06659911693589</v>
      </c>
      <c r="AB4035" s="9">
        <v>39.471783288967806</v>
      </c>
      <c r="AC4035" s="9">
        <v>39.471783288967806</v>
      </c>
      <c r="AD4035" s="9">
        <v>44.89371961968488</v>
      </c>
      <c r="AE4035" s="9">
        <v>47.788360826374728</v>
      </c>
      <c r="AF4035" s="9">
        <v>50.811128677055613</v>
      </c>
      <c r="AG4035" s="9">
        <v>50.811128677055613</v>
      </c>
      <c r="AH4035" s="9">
        <v>54.808386973888702</v>
      </c>
      <c r="AI4035" s="9">
        <v>57.901475997525047</v>
      </c>
      <c r="AJ4035" s="9">
        <v>3.0428788910505911</v>
      </c>
    </row>
    <row r="4036" spans="1:36" x14ac:dyDescent="0.25">
      <c r="A4036" t="s">
        <v>5411</v>
      </c>
      <c r="B4036" t="s">
        <v>16</v>
      </c>
      <c r="C4036" t="s">
        <v>17</v>
      </c>
      <c r="D4036">
        <v>72960000</v>
      </c>
      <c r="E4036">
        <v>72974999</v>
      </c>
      <c r="F4036" t="s">
        <v>3680</v>
      </c>
      <c r="G4036" t="str">
        <f t="shared" ref="G4036:G4099" si="126">H4036&amp;IF(J4036="CAPITAL","C",IF(J4036="INTERIOR","I",IF(J4036="INTERIOR II","I II","R")))</f>
        <v>GOI</v>
      </c>
      <c r="H4036" t="s">
        <v>3672</v>
      </c>
      <c r="I4036" t="s">
        <v>20</v>
      </c>
      <c r="J4036" t="s">
        <v>62</v>
      </c>
      <c r="K4036" s="6">
        <v>0.03</v>
      </c>
      <c r="L4036" s="7">
        <f t="shared" ref="L4036:L4099" si="127">IF(I4036="(0) Não",0.2%,3%)</f>
        <v>2E-3</v>
      </c>
      <c r="M4036" s="7">
        <v>3.0000000000000001E-3</v>
      </c>
      <c r="N4036">
        <v>9</v>
      </c>
      <c r="O4036" s="8">
        <v>20.377140471637041</v>
      </c>
      <c r="P4036" s="9">
        <v>20.377140471637041</v>
      </c>
      <c r="Q4036" s="9">
        <v>20.377140471637041</v>
      </c>
      <c r="R4036" s="9">
        <v>21.402978767052765</v>
      </c>
      <c r="S4036" s="9">
        <v>22.589768980199143</v>
      </c>
      <c r="T4036" s="9">
        <v>24.040396091340774</v>
      </c>
      <c r="U4036" s="9">
        <v>25.448505028591189</v>
      </c>
      <c r="V4036" s="9">
        <v>25.448505028591189</v>
      </c>
      <c r="W4036" s="9">
        <v>25.448505028591189</v>
      </c>
      <c r="X4036" s="9">
        <v>28.109873114011638</v>
      </c>
      <c r="Y4036" s="9">
        <v>28.109873114011638</v>
      </c>
      <c r="Z4036" s="9">
        <v>30.975097350688763</v>
      </c>
      <c r="AA4036" s="9">
        <v>30.975097350688763</v>
      </c>
      <c r="AB4036" s="9">
        <v>34.370578528895656</v>
      </c>
      <c r="AC4036" s="9">
        <v>34.370578528895656</v>
      </c>
      <c r="AD4036" s="9">
        <v>39.013187474230911</v>
      </c>
      <c r="AE4036" s="9">
        <v>42.452173954636635</v>
      </c>
      <c r="AF4036" s="9">
        <v>47.478364248265585</v>
      </c>
      <c r="AG4036" s="9">
        <v>47.478364248265585</v>
      </c>
      <c r="AH4036" s="9">
        <v>50.815992158664379</v>
      </c>
      <c r="AI4036" s="9">
        <v>54.045500821302042</v>
      </c>
      <c r="AJ4036" s="9">
        <v>3.0428788910505911</v>
      </c>
    </row>
    <row r="4037" spans="1:36" x14ac:dyDescent="0.25">
      <c r="A4037" t="s">
        <v>5411</v>
      </c>
      <c r="B4037" t="s">
        <v>16</v>
      </c>
      <c r="C4037" t="s">
        <v>17</v>
      </c>
      <c r="D4037">
        <v>72975000</v>
      </c>
      <c r="E4037">
        <v>72979999</v>
      </c>
      <c r="F4037" t="s">
        <v>3681</v>
      </c>
      <c r="G4037" t="str">
        <f t="shared" si="126"/>
        <v>GOI</v>
      </c>
      <c r="H4037" t="s">
        <v>3672</v>
      </c>
      <c r="I4037" t="s">
        <v>20</v>
      </c>
      <c r="J4037" t="s">
        <v>62</v>
      </c>
      <c r="K4037" s="6">
        <v>0.03</v>
      </c>
      <c r="L4037" s="7">
        <f t="shared" si="127"/>
        <v>2E-3</v>
      </c>
      <c r="M4037" s="7">
        <v>3.0000000000000001E-3</v>
      </c>
      <c r="N4037">
        <v>9</v>
      </c>
      <c r="O4037" s="8">
        <v>20.377140471637041</v>
      </c>
      <c r="P4037" s="9">
        <v>20.377140471637041</v>
      </c>
      <c r="Q4037" s="9">
        <v>20.377140471637041</v>
      </c>
      <c r="R4037" s="9">
        <v>21.402978767052765</v>
      </c>
      <c r="S4037" s="9">
        <v>22.589768980199143</v>
      </c>
      <c r="T4037" s="9">
        <v>24.040396091340774</v>
      </c>
      <c r="U4037" s="9">
        <v>25.448505028591189</v>
      </c>
      <c r="V4037" s="9">
        <v>25.448505028591189</v>
      </c>
      <c r="W4037" s="9">
        <v>25.448505028591189</v>
      </c>
      <c r="X4037" s="9">
        <v>28.109873114011638</v>
      </c>
      <c r="Y4037" s="9">
        <v>28.109873114011638</v>
      </c>
      <c r="Z4037" s="9">
        <v>30.975097350688763</v>
      </c>
      <c r="AA4037" s="9">
        <v>30.975097350688763</v>
      </c>
      <c r="AB4037" s="9">
        <v>34.370578528895656</v>
      </c>
      <c r="AC4037" s="9">
        <v>34.370578528895656</v>
      </c>
      <c r="AD4037" s="9">
        <v>39.013187474230911</v>
      </c>
      <c r="AE4037" s="9">
        <v>42.452173954636635</v>
      </c>
      <c r="AF4037" s="9">
        <v>47.478364248265585</v>
      </c>
      <c r="AG4037" s="9">
        <v>47.478364248265585</v>
      </c>
      <c r="AH4037" s="9">
        <v>50.815992158664379</v>
      </c>
      <c r="AI4037" s="9">
        <v>54.045500821302042</v>
      </c>
      <c r="AJ4037" s="9">
        <v>3.0428788910505911</v>
      </c>
    </row>
    <row r="4038" spans="1:36" x14ac:dyDescent="0.25">
      <c r="A4038" t="s">
        <v>5411</v>
      </c>
      <c r="B4038" t="s">
        <v>16</v>
      </c>
      <c r="C4038" t="s">
        <v>17</v>
      </c>
      <c r="D4038">
        <v>72980000</v>
      </c>
      <c r="E4038">
        <v>72999999</v>
      </c>
      <c r="F4038" t="s">
        <v>3682</v>
      </c>
      <c r="G4038" t="str">
        <f t="shared" si="126"/>
        <v>GOI</v>
      </c>
      <c r="H4038" t="s">
        <v>3672</v>
      </c>
      <c r="I4038" t="s">
        <v>20</v>
      </c>
      <c r="J4038" t="s">
        <v>62</v>
      </c>
      <c r="K4038" s="6">
        <v>0.03</v>
      </c>
      <c r="L4038" s="7">
        <f t="shared" si="127"/>
        <v>2E-3</v>
      </c>
      <c r="M4038" s="7">
        <v>3.0000000000000001E-3</v>
      </c>
      <c r="N4038">
        <v>9</v>
      </c>
      <c r="O4038" s="8">
        <v>20.377140471637041</v>
      </c>
      <c r="P4038" s="9">
        <v>20.377140471637041</v>
      </c>
      <c r="Q4038" s="9">
        <v>20.377140471637041</v>
      </c>
      <c r="R4038" s="9">
        <v>21.402978767052765</v>
      </c>
      <c r="S4038" s="9">
        <v>22.589768980199143</v>
      </c>
      <c r="T4038" s="9">
        <v>24.040396091340774</v>
      </c>
      <c r="U4038" s="9">
        <v>25.448505028591189</v>
      </c>
      <c r="V4038" s="9">
        <v>25.448505028591189</v>
      </c>
      <c r="W4038" s="9">
        <v>25.448505028591189</v>
      </c>
      <c r="X4038" s="9">
        <v>28.109873114011638</v>
      </c>
      <c r="Y4038" s="9">
        <v>28.109873114011638</v>
      </c>
      <c r="Z4038" s="9">
        <v>30.975097350688763</v>
      </c>
      <c r="AA4038" s="9">
        <v>30.975097350688763</v>
      </c>
      <c r="AB4038" s="9">
        <v>34.370578528895656</v>
      </c>
      <c r="AC4038" s="9">
        <v>34.370578528895656</v>
      </c>
      <c r="AD4038" s="9">
        <v>39.013187474230911</v>
      </c>
      <c r="AE4038" s="9">
        <v>42.452173954636635</v>
      </c>
      <c r="AF4038" s="9">
        <v>47.478364248265585</v>
      </c>
      <c r="AG4038" s="9">
        <v>47.478364248265585</v>
      </c>
      <c r="AH4038" s="9">
        <v>50.815992158664379</v>
      </c>
      <c r="AI4038" s="9">
        <v>54.045500821302042</v>
      </c>
      <c r="AJ4038" s="9">
        <v>3.0428788910505911</v>
      </c>
    </row>
    <row r="4039" spans="1:36" x14ac:dyDescent="0.25">
      <c r="A4039" t="s">
        <v>5411</v>
      </c>
      <c r="B4039" t="s">
        <v>16</v>
      </c>
      <c r="C4039" t="s">
        <v>17</v>
      </c>
      <c r="D4039">
        <v>73000000</v>
      </c>
      <c r="E4039">
        <v>73699999</v>
      </c>
      <c r="F4039" t="s">
        <v>3669</v>
      </c>
      <c r="G4039" t="str">
        <f t="shared" si="126"/>
        <v>DFC</v>
      </c>
      <c r="H4039" t="s">
        <v>3670</v>
      </c>
      <c r="I4039" t="s">
        <v>20</v>
      </c>
      <c r="J4039" t="s">
        <v>21</v>
      </c>
      <c r="K4039" s="6">
        <v>0.03</v>
      </c>
      <c r="L4039" s="7">
        <f t="shared" si="127"/>
        <v>2E-3</v>
      </c>
      <c r="M4039" s="7">
        <v>3.0000000000000001E-3</v>
      </c>
      <c r="N4039">
        <v>7</v>
      </c>
      <c r="O4039" s="8">
        <v>11.007569492562263</v>
      </c>
      <c r="P4039" s="9">
        <v>11.007569492562263</v>
      </c>
      <c r="Q4039" s="9">
        <v>11.007569492562263</v>
      </c>
      <c r="R4039" s="9">
        <v>11.455385237645514</v>
      </c>
      <c r="S4039" s="9">
        <v>11.903730346291326</v>
      </c>
      <c r="T4039" s="9">
        <v>12.826463499859971</v>
      </c>
      <c r="U4039" s="9">
        <v>16.000975340473147</v>
      </c>
      <c r="V4039" s="9">
        <v>16.000975340473147</v>
      </c>
      <c r="W4039" s="9">
        <v>16.000975340473147</v>
      </c>
      <c r="X4039" s="9">
        <v>18.805055083989171</v>
      </c>
      <c r="Y4039" s="9">
        <v>18.805055083989171</v>
      </c>
      <c r="Z4039" s="9">
        <v>21.918303896507787</v>
      </c>
      <c r="AA4039" s="9">
        <v>21.918303896507787</v>
      </c>
      <c r="AB4039" s="9">
        <v>25.269770499208217</v>
      </c>
      <c r="AC4039" s="9">
        <v>25.269770499208217</v>
      </c>
      <c r="AD4039" s="9">
        <v>30.47412647790285</v>
      </c>
      <c r="AE4039" s="9">
        <v>33.36120560933287</v>
      </c>
      <c r="AF4039" s="9">
        <v>37.239291028485731</v>
      </c>
      <c r="AG4039" s="9">
        <v>37.239291028485731</v>
      </c>
      <c r="AH4039" s="9">
        <v>40.317477587506815</v>
      </c>
      <c r="AI4039" s="9">
        <v>42.934757232896196</v>
      </c>
      <c r="AJ4039" s="9">
        <v>3.0428788910505911</v>
      </c>
    </row>
    <row r="4040" spans="1:36" x14ac:dyDescent="0.25">
      <c r="A4040" t="s">
        <v>5411</v>
      </c>
      <c r="B4040" t="s">
        <v>16</v>
      </c>
      <c r="C4040" t="s">
        <v>17</v>
      </c>
      <c r="D4040">
        <v>73700000</v>
      </c>
      <c r="E4040">
        <v>73729999</v>
      </c>
      <c r="F4040" t="s">
        <v>3683</v>
      </c>
      <c r="G4040" t="str">
        <f t="shared" si="126"/>
        <v>GOI</v>
      </c>
      <c r="H4040" t="s">
        <v>3672</v>
      </c>
      <c r="I4040" t="s">
        <v>20</v>
      </c>
      <c r="J4040" t="s">
        <v>62</v>
      </c>
      <c r="K4040" s="6">
        <v>0.03</v>
      </c>
      <c r="L4040" s="7">
        <f t="shared" si="127"/>
        <v>2E-3</v>
      </c>
      <c r="M4040" s="7">
        <v>3.0000000000000001E-3</v>
      </c>
      <c r="N4040">
        <v>9</v>
      </c>
      <c r="O4040" s="8">
        <v>20.377140471637041</v>
      </c>
      <c r="P4040" s="9">
        <v>20.377140471637041</v>
      </c>
      <c r="Q4040" s="9">
        <v>20.377140471637041</v>
      </c>
      <c r="R4040" s="9">
        <v>21.402978767052765</v>
      </c>
      <c r="S4040" s="9">
        <v>22.589768980199143</v>
      </c>
      <c r="T4040" s="9">
        <v>24.040396091340774</v>
      </c>
      <c r="U4040" s="9">
        <v>25.448505028591189</v>
      </c>
      <c r="V4040" s="9">
        <v>25.448505028591189</v>
      </c>
      <c r="W4040" s="9">
        <v>25.448505028591189</v>
      </c>
      <c r="X4040" s="9">
        <v>28.109873114011638</v>
      </c>
      <c r="Y4040" s="9">
        <v>28.109873114011638</v>
      </c>
      <c r="Z4040" s="9">
        <v>30.975097350688763</v>
      </c>
      <c r="AA4040" s="9">
        <v>30.975097350688763</v>
      </c>
      <c r="AB4040" s="9">
        <v>34.370578528895656</v>
      </c>
      <c r="AC4040" s="9">
        <v>34.370578528895656</v>
      </c>
      <c r="AD4040" s="9">
        <v>39.013187474230911</v>
      </c>
      <c r="AE4040" s="9">
        <v>42.452173954636635</v>
      </c>
      <c r="AF4040" s="9">
        <v>47.478364248265585</v>
      </c>
      <c r="AG4040" s="9">
        <v>47.478364248265585</v>
      </c>
      <c r="AH4040" s="9">
        <v>50.815992158664379</v>
      </c>
      <c r="AI4040" s="9">
        <v>54.045500821302042</v>
      </c>
      <c r="AJ4040" s="9">
        <v>3.0428788910505911</v>
      </c>
    </row>
    <row r="4041" spans="1:36" x14ac:dyDescent="0.25">
      <c r="A4041" t="s">
        <v>5411</v>
      </c>
      <c r="B4041" t="s">
        <v>16</v>
      </c>
      <c r="C4041" t="s">
        <v>17</v>
      </c>
      <c r="D4041">
        <v>73730000</v>
      </c>
      <c r="E4041">
        <v>73739999</v>
      </c>
      <c r="F4041" t="s">
        <v>3684</v>
      </c>
      <c r="G4041" t="str">
        <f t="shared" si="126"/>
        <v>GOI II</v>
      </c>
      <c r="H4041" t="s">
        <v>3672</v>
      </c>
      <c r="I4041" t="s">
        <v>20</v>
      </c>
      <c r="J4041" t="s">
        <v>64</v>
      </c>
      <c r="K4041" s="6">
        <v>0.03</v>
      </c>
      <c r="L4041" s="7">
        <f t="shared" si="127"/>
        <v>2E-3</v>
      </c>
      <c r="M4041" s="7">
        <v>3.0000000000000001E-3</v>
      </c>
      <c r="N4041">
        <v>14</v>
      </c>
      <c r="O4041" s="8">
        <v>24.12918157169327</v>
      </c>
      <c r="P4041" s="9">
        <v>24.12918157169327</v>
      </c>
      <c r="Q4041" s="9">
        <v>24.12918157169327</v>
      </c>
      <c r="R4041" s="9">
        <v>25.337926603196635</v>
      </c>
      <c r="S4041" s="9">
        <v>26.739125453822282</v>
      </c>
      <c r="T4041" s="9">
        <v>27.918529456871191</v>
      </c>
      <c r="U4041" s="9">
        <v>29.567239706252465</v>
      </c>
      <c r="V4041" s="9">
        <v>29.567239706252465</v>
      </c>
      <c r="W4041" s="9">
        <v>29.567239706252465</v>
      </c>
      <c r="X4041" s="9">
        <v>32.768324265753506</v>
      </c>
      <c r="Y4041" s="9">
        <v>32.768324265753506</v>
      </c>
      <c r="Z4041" s="9">
        <v>36.06659911693589</v>
      </c>
      <c r="AA4041" s="9">
        <v>36.06659911693589</v>
      </c>
      <c r="AB4041" s="9">
        <v>39.471783288967806</v>
      </c>
      <c r="AC4041" s="9">
        <v>39.471783288967806</v>
      </c>
      <c r="AD4041" s="9">
        <v>44.89371961968488</v>
      </c>
      <c r="AE4041" s="9">
        <v>47.788360826374728</v>
      </c>
      <c r="AF4041" s="9">
        <v>50.811128677055613</v>
      </c>
      <c r="AG4041" s="9">
        <v>50.811128677055613</v>
      </c>
      <c r="AH4041" s="9">
        <v>54.808386973888702</v>
      </c>
      <c r="AI4041" s="9">
        <v>57.901475997525047</v>
      </c>
      <c r="AJ4041" s="9">
        <v>3.0428788910505911</v>
      </c>
    </row>
    <row r="4042" spans="1:36" x14ac:dyDescent="0.25">
      <c r="A4042" t="s">
        <v>5411</v>
      </c>
      <c r="B4042" t="s">
        <v>16</v>
      </c>
      <c r="C4042" t="s">
        <v>17</v>
      </c>
      <c r="D4042">
        <v>73740000</v>
      </c>
      <c r="E4042">
        <v>73749999</v>
      </c>
      <c r="F4042" t="s">
        <v>3685</v>
      </c>
      <c r="G4042" t="str">
        <f t="shared" si="126"/>
        <v>GOI II</v>
      </c>
      <c r="H4042" t="s">
        <v>3672</v>
      </c>
      <c r="I4042" t="s">
        <v>20</v>
      </c>
      <c r="J4042" t="s">
        <v>64</v>
      </c>
      <c r="K4042" s="6">
        <v>0.03</v>
      </c>
      <c r="L4042" s="7">
        <f t="shared" si="127"/>
        <v>2E-3</v>
      </c>
      <c r="M4042" s="7">
        <v>3.0000000000000001E-3</v>
      </c>
      <c r="N4042">
        <v>14</v>
      </c>
      <c r="O4042" s="8">
        <v>24.12918157169327</v>
      </c>
      <c r="P4042" s="9">
        <v>24.12918157169327</v>
      </c>
      <c r="Q4042" s="9">
        <v>24.12918157169327</v>
      </c>
      <c r="R4042" s="9">
        <v>25.337926603196635</v>
      </c>
      <c r="S4042" s="9">
        <v>26.739125453822282</v>
      </c>
      <c r="T4042" s="9">
        <v>27.918529456871191</v>
      </c>
      <c r="U4042" s="9">
        <v>29.567239706252465</v>
      </c>
      <c r="V4042" s="9">
        <v>29.567239706252465</v>
      </c>
      <c r="W4042" s="9">
        <v>29.567239706252465</v>
      </c>
      <c r="X4042" s="9">
        <v>32.768324265753506</v>
      </c>
      <c r="Y4042" s="9">
        <v>32.768324265753506</v>
      </c>
      <c r="Z4042" s="9">
        <v>36.06659911693589</v>
      </c>
      <c r="AA4042" s="9">
        <v>36.06659911693589</v>
      </c>
      <c r="AB4042" s="9">
        <v>39.471783288967806</v>
      </c>
      <c r="AC4042" s="9">
        <v>39.471783288967806</v>
      </c>
      <c r="AD4042" s="9">
        <v>44.89371961968488</v>
      </c>
      <c r="AE4042" s="9">
        <v>47.788360826374728</v>
      </c>
      <c r="AF4042" s="9">
        <v>50.811128677055613</v>
      </c>
      <c r="AG4042" s="9">
        <v>50.811128677055613</v>
      </c>
      <c r="AH4042" s="9">
        <v>54.808386973888702</v>
      </c>
      <c r="AI4042" s="9">
        <v>57.901475997525047</v>
      </c>
      <c r="AJ4042" s="9">
        <v>3.0428788910505911</v>
      </c>
    </row>
    <row r="4043" spans="1:36" x14ac:dyDescent="0.25">
      <c r="A4043" t="s">
        <v>5411</v>
      </c>
      <c r="B4043" t="s">
        <v>16</v>
      </c>
      <c r="C4043" t="s">
        <v>17</v>
      </c>
      <c r="D4043">
        <v>73750000</v>
      </c>
      <c r="E4043">
        <v>73751009</v>
      </c>
      <c r="F4043" t="s">
        <v>3686</v>
      </c>
      <c r="G4043" t="str">
        <f t="shared" si="126"/>
        <v>GOI II</v>
      </c>
      <c r="H4043" t="s">
        <v>3672</v>
      </c>
      <c r="I4043" t="s">
        <v>20</v>
      </c>
      <c r="J4043" t="s">
        <v>64</v>
      </c>
      <c r="K4043" s="6">
        <v>0.03</v>
      </c>
      <c r="L4043" s="7">
        <f t="shared" si="127"/>
        <v>2E-3</v>
      </c>
      <c r="M4043" s="7">
        <v>3.0000000000000001E-3</v>
      </c>
      <c r="N4043">
        <v>10</v>
      </c>
      <c r="O4043" s="8">
        <v>24.12918157169327</v>
      </c>
      <c r="P4043" s="9">
        <v>24.12918157169327</v>
      </c>
      <c r="Q4043" s="9">
        <v>24.12918157169327</v>
      </c>
      <c r="R4043" s="9">
        <v>25.337926603196635</v>
      </c>
      <c r="S4043" s="9">
        <v>26.739125453822282</v>
      </c>
      <c r="T4043" s="9">
        <v>27.918529456871191</v>
      </c>
      <c r="U4043" s="9">
        <v>29.567239706252465</v>
      </c>
      <c r="V4043" s="9">
        <v>29.567239706252465</v>
      </c>
      <c r="W4043" s="9">
        <v>29.567239706252465</v>
      </c>
      <c r="X4043" s="9">
        <v>32.768324265753506</v>
      </c>
      <c r="Y4043" s="9">
        <v>32.768324265753506</v>
      </c>
      <c r="Z4043" s="9">
        <v>36.06659911693589</v>
      </c>
      <c r="AA4043" s="9">
        <v>36.06659911693589</v>
      </c>
      <c r="AB4043" s="9">
        <v>39.471783288967806</v>
      </c>
      <c r="AC4043" s="9">
        <v>39.471783288967806</v>
      </c>
      <c r="AD4043" s="9">
        <v>44.89371961968488</v>
      </c>
      <c r="AE4043" s="9">
        <v>47.788360826374728</v>
      </c>
      <c r="AF4043" s="9">
        <v>50.811128677055613</v>
      </c>
      <c r="AG4043" s="9">
        <v>50.811128677055613</v>
      </c>
      <c r="AH4043" s="9">
        <v>54.808386973888702</v>
      </c>
      <c r="AI4043" s="9">
        <v>57.901475997525047</v>
      </c>
      <c r="AJ4043" s="9">
        <v>3.0428788910505911</v>
      </c>
    </row>
    <row r="4044" spans="1:36" x14ac:dyDescent="0.25">
      <c r="A4044" t="s">
        <v>5411</v>
      </c>
      <c r="B4044" t="s">
        <v>16</v>
      </c>
      <c r="C4044" t="s">
        <v>17</v>
      </c>
      <c r="D4044">
        <v>73751010</v>
      </c>
      <c r="E4044">
        <v>73759999</v>
      </c>
      <c r="F4044" t="s">
        <v>3686</v>
      </c>
      <c r="G4044" t="str">
        <f t="shared" si="126"/>
        <v>GOI II</v>
      </c>
      <c r="H4044" t="s">
        <v>3672</v>
      </c>
      <c r="I4044" t="s">
        <v>20</v>
      </c>
      <c r="J4044" t="s">
        <v>64</v>
      </c>
      <c r="K4044" s="6">
        <v>0.03</v>
      </c>
      <c r="L4044" s="7">
        <f t="shared" si="127"/>
        <v>2E-3</v>
      </c>
      <c r="M4044" s="7">
        <v>3.0000000000000001E-3</v>
      </c>
      <c r="N4044">
        <v>10</v>
      </c>
      <c r="O4044" s="8">
        <v>24.12918157169327</v>
      </c>
      <c r="P4044" s="9">
        <v>24.12918157169327</v>
      </c>
      <c r="Q4044" s="9">
        <v>24.12918157169327</v>
      </c>
      <c r="R4044" s="9">
        <v>25.337926603196635</v>
      </c>
      <c r="S4044" s="9">
        <v>26.739125453822282</v>
      </c>
      <c r="T4044" s="9">
        <v>27.918529456871191</v>
      </c>
      <c r="U4044" s="9">
        <v>29.567239706252465</v>
      </c>
      <c r="V4044" s="9">
        <v>29.567239706252465</v>
      </c>
      <c r="W4044" s="9">
        <v>29.567239706252465</v>
      </c>
      <c r="X4044" s="9">
        <v>32.768324265753506</v>
      </c>
      <c r="Y4044" s="9">
        <v>32.768324265753506</v>
      </c>
      <c r="Z4044" s="9">
        <v>36.06659911693589</v>
      </c>
      <c r="AA4044" s="9">
        <v>36.06659911693589</v>
      </c>
      <c r="AB4044" s="9">
        <v>39.471783288967806</v>
      </c>
      <c r="AC4044" s="9">
        <v>39.471783288967806</v>
      </c>
      <c r="AD4044" s="9">
        <v>44.89371961968488</v>
      </c>
      <c r="AE4044" s="9">
        <v>47.788360826374728</v>
      </c>
      <c r="AF4044" s="9">
        <v>50.811128677055613</v>
      </c>
      <c r="AG4044" s="9">
        <v>50.811128677055613</v>
      </c>
      <c r="AH4044" s="9">
        <v>54.808386973888702</v>
      </c>
      <c r="AI4044" s="9">
        <v>57.901475997525047</v>
      </c>
      <c r="AJ4044" s="9">
        <v>3.0428788910505911</v>
      </c>
    </row>
    <row r="4045" spans="1:36" x14ac:dyDescent="0.25">
      <c r="A4045" t="s">
        <v>5411</v>
      </c>
      <c r="B4045" t="s">
        <v>16</v>
      </c>
      <c r="C4045" t="s">
        <v>17</v>
      </c>
      <c r="D4045">
        <v>73760000</v>
      </c>
      <c r="E4045">
        <v>73769999</v>
      </c>
      <c r="F4045" t="s">
        <v>3687</v>
      </c>
      <c r="G4045" t="str">
        <f t="shared" si="126"/>
        <v>GOI</v>
      </c>
      <c r="H4045" t="s">
        <v>3672</v>
      </c>
      <c r="I4045" t="s">
        <v>20</v>
      </c>
      <c r="J4045" t="s">
        <v>62</v>
      </c>
      <c r="K4045" s="6">
        <v>0.03</v>
      </c>
      <c r="L4045" s="7">
        <f t="shared" si="127"/>
        <v>2E-3</v>
      </c>
      <c r="M4045" s="7">
        <v>3.0000000000000001E-3</v>
      </c>
      <c r="N4045">
        <v>9</v>
      </c>
      <c r="O4045" s="8">
        <v>20.377140471637041</v>
      </c>
      <c r="P4045" s="9">
        <v>20.377140471637041</v>
      </c>
      <c r="Q4045" s="9">
        <v>20.377140471637041</v>
      </c>
      <c r="R4045" s="9">
        <v>21.402978767052765</v>
      </c>
      <c r="S4045" s="9">
        <v>22.589768980199143</v>
      </c>
      <c r="T4045" s="9">
        <v>24.040396091340774</v>
      </c>
      <c r="U4045" s="9">
        <v>25.448505028591189</v>
      </c>
      <c r="V4045" s="9">
        <v>25.448505028591189</v>
      </c>
      <c r="W4045" s="9">
        <v>25.448505028591189</v>
      </c>
      <c r="X4045" s="9">
        <v>28.109873114011638</v>
      </c>
      <c r="Y4045" s="9">
        <v>28.109873114011638</v>
      </c>
      <c r="Z4045" s="9">
        <v>30.975097350688763</v>
      </c>
      <c r="AA4045" s="9">
        <v>30.975097350688763</v>
      </c>
      <c r="AB4045" s="9">
        <v>34.370578528895656</v>
      </c>
      <c r="AC4045" s="9">
        <v>34.370578528895656</v>
      </c>
      <c r="AD4045" s="9">
        <v>39.013187474230911</v>
      </c>
      <c r="AE4045" s="9">
        <v>42.452173954636635</v>
      </c>
      <c r="AF4045" s="9">
        <v>47.478364248265585</v>
      </c>
      <c r="AG4045" s="9">
        <v>47.478364248265585</v>
      </c>
      <c r="AH4045" s="9">
        <v>50.815992158664379</v>
      </c>
      <c r="AI4045" s="9">
        <v>54.045500821302042</v>
      </c>
      <c r="AJ4045" s="9">
        <v>3.0428788910505911</v>
      </c>
    </row>
    <row r="4046" spans="1:36" x14ac:dyDescent="0.25">
      <c r="A4046" t="s">
        <v>5411</v>
      </c>
      <c r="B4046" t="s">
        <v>16</v>
      </c>
      <c r="C4046" t="s">
        <v>17</v>
      </c>
      <c r="D4046">
        <v>73770000</v>
      </c>
      <c r="E4046">
        <v>73779999</v>
      </c>
      <c r="F4046" t="s">
        <v>3688</v>
      </c>
      <c r="G4046" t="str">
        <f t="shared" si="126"/>
        <v>GOI</v>
      </c>
      <c r="H4046" t="s">
        <v>3672</v>
      </c>
      <c r="I4046" t="s">
        <v>20</v>
      </c>
      <c r="J4046" t="s">
        <v>62</v>
      </c>
      <c r="K4046" s="6">
        <v>0.03</v>
      </c>
      <c r="L4046" s="7">
        <f t="shared" si="127"/>
        <v>2E-3</v>
      </c>
      <c r="M4046" s="7">
        <v>3.0000000000000001E-3</v>
      </c>
      <c r="N4046">
        <v>9</v>
      </c>
      <c r="O4046" s="8">
        <v>20.377140471637041</v>
      </c>
      <c r="P4046" s="9">
        <v>20.377140471637041</v>
      </c>
      <c r="Q4046" s="9">
        <v>20.377140471637041</v>
      </c>
      <c r="R4046" s="9">
        <v>21.402978767052765</v>
      </c>
      <c r="S4046" s="9">
        <v>22.589768980199143</v>
      </c>
      <c r="T4046" s="9">
        <v>24.040396091340774</v>
      </c>
      <c r="U4046" s="9">
        <v>25.448505028591189</v>
      </c>
      <c r="V4046" s="9">
        <v>25.448505028591189</v>
      </c>
      <c r="W4046" s="9">
        <v>25.448505028591189</v>
      </c>
      <c r="X4046" s="9">
        <v>28.109873114011638</v>
      </c>
      <c r="Y4046" s="9">
        <v>28.109873114011638</v>
      </c>
      <c r="Z4046" s="9">
        <v>30.975097350688763</v>
      </c>
      <c r="AA4046" s="9">
        <v>30.975097350688763</v>
      </c>
      <c r="AB4046" s="9">
        <v>34.370578528895656</v>
      </c>
      <c r="AC4046" s="9">
        <v>34.370578528895656</v>
      </c>
      <c r="AD4046" s="9">
        <v>39.013187474230911</v>
      </c>
      <c r="AE4046" s="9">
        <v>42.452173954636635</v>
      </c>
      <c r="AF4046" s="9">
        <v>47.478364248265585</v>
      </c>
      <c r="AG4046" s="9">
        <v>47.478364248265585</v>
      </c>
      <c r="AH4046" s="9">
        <v>50.815992158664379</v>
      </c>
      <c r="AI4046" s="9">
        <v>54.045500821302042</v>
      </c>
      <c r="AJ4046" s="9">
        <v>3.0428788910505911</v>
      </c>
    </row>
    <row r="4047" spans="1:36" x14ac:dyDescent="0.25">
      <c r="A4047" t="s">
        <v>5411</v>
      </c>
      <c r="B4047" t="s">
        <v>16</v>
      </c>
      <c r="C4047" t="s">
        <v>17</v>
      </c>
      <c r="D4047">
        <v>73780000</v>
      </c>
      <c r="E4047">
        <v>73789999</v>
      </c>
      <c r="F4047" t="s">
        <v>3689</v>
      </c>
      <c r="G4047" t="str">
        <f t="shared" si="126"/>
        <v>GOI</v>
      </c>
      <c r="H4047" t="s">
        <v>3672</v>
      </c>
      <c r="I4047" t="s">
        <v>20</v>
      </c>
      <c r="J4047" t="s">
        <v>62</v>
      </c>
      <c r="K4047" s="6">
        <v>0.03</v>
      </c>
      <c r="L4047" s="7">
        <f t="shared" si="127"/>
        <v>2E-3</v>
      </c>
      <c r="M4047" s="7">
        <v>3.0000000000000001E-3</v>
      </c>
      <c r="N4047">
        <v>9</v>
      </c>
      <c r="O4047" s="8">
        <v>20.377140471637041</v>
      </c>
      <c r="P4047" s="9">
        <v>20.377140471637041</v>
      </c>
      <c r="Q4047" s="9">
        <v>20.377140471637041</v>
      </c>
      <c r="R4047" s="9">
        <v>21.402978767052765</v>
      </c>
      <c r="S4047" s="9">
        <v>22.589768980199143</v>
      </c>
      <c r="T4047" s="9">
        <v>24.040396091340774</v>
      </c>
      <c r="U4047" s="9">
        <v>25.448505028591189</v>
      </c>
      <c r="V4047" s="9">
        <v>25.448505028591189</v>
      </c>
      <c r="W4047" s="9">
        <v>25.448505028591189</v>
      </c>
      <c r="X4047" s="9">
        <v>28.109873114011638</v>
      </c>
      <c r="Y4047" s="9">
        <v>28.109873114011638</v>
      </c>
      <c r="Z4047" s="9">
        <v>30.975097350688763</v>
      </c>
      <c r="AA4047" s="9">
        <v>30.975097350688763</v>
      </c>
      <c r="AB4047" s="9">
        <v>34.370578528895656</v>
      </c>
      <c r="AC4047" s="9">
        <v>34.370578528895656</v>
      </c>
      <c r="AD4047" s="9">
        <v>39.013187474230911</v>
      </c>
      <c r="AE4047" s="9">
        <v>42.452173954636635</v>
      </c>
      <c r="AF4047" s="9">
        <v>47.478364248265585</v>
      </c>
      <c r="AG4047" s="9">
        <v>47.478364248265585</v>
      </c>
      <c r="AH4047" s="9">
        <v>50.815992158664379</v>
      </c>
      <c r="AI4047" s="9">
        <v>54.045500821302042</v>
      </c>
      <c r="AJ4047" s="9">
        <v>3.0428788910505911</v>
      </c>
    </row>
    <row r="4048" spans="1:36" x14ac:dyDescent="0.25">
      <c r="A4048" t="s">
        <v>5411</v>
      </c>
      <c r="B4048" t="s">
        <v>16</v>
      </c>
      <c r="C4048" t="s">
        <v>17</v>
      </c>
      <c r="D4048">
        <v>73790000</v>
      </c>
      <c r="E4048">
        <v>73794999</v>
      </c>
      <c r="F4048" t="s">
        <v>3690</v>
      </c>
      <c r="G4048" t="str">
        <f t="shared" si="126"/>
        <v>GOI</v>
      </c>
      <c r="H4048" t="s">
        <v>3672</v>
      </c>
      <c r="I4048" t="s">
        <v>20</v>
      </c>
      <c r="J4048" t="s">
        <v>62</v>
      </c>
      <c r="K4048" s="6">
        <v>0.03</v>
      </c>
      <c r="L4048" s="7">
        <f t="shared" si="127"/>
        <v>2E-3</v>
      </c>
      <c r="M4048" s="7">
        <v>3.0000000000000001E-3</v>
      </c>
      <c r="N4048">
        <v>9</v>
      </c>
      <c r="O4048" s="8">
        <v>20.377140471637041</v>
      </c>
      <c r="P4048" s="9">
        <v>20.377140471637041</v>
      </c>
      <c r="Q4048" s="9">
        <v>20.377140471637041</v>
      </c>
      <c r="R4048" s="9">
        <v>21.402978767052765</v>
      </c>
      <c r="S4048" s="9">
        <v>22.589768980199143</v>
      </c>
      <c r="T4048" s="9">
        <v>24.040396091340774</v>
      </c>
      <c r="U4048" s="9">
        <v>25.448505028591189</v>
      </c>
      <c r="V4048" s="9">
        <v>25.448505028591189</v>
      </c>
      <c r="W4048" s="9">
        <v>25.448505028591189</v>
      </c>
      <c r="X4048" s="9">
        <v>28.109873114011638</v>
      </c>
      <c r="Y4048" s="9">
        <v>28.109873114011638</v>
      </c>
      <c r="Z4048" s="9">
        <v>30.975097350688763</v>
      </c>
      <c r="AA4048" s="9">
        <v>30.975097350688763</v>
      </c>
      <c r="AB4048" s="9">
        <v>34.370578528895656</v>
      </c>
      <c r="AC4048" s="9">
        <v>34.370578528895656</v>
      </c>
      <c r="AD4048" s="9">
        <v>39.013187474230911</v>
      </c>
      <c r="AE4048" s="9">
        <v>42.452173954636635</v>
      </c>
      <c r="AF4048" s="9">
        <v>47.478364248265585</v>
      </c>
      <c r="AG4048" s="9">
        <v>47.478364248265585</v>
      </c>
      <c r="AH4048" s="9">
        <v>50.815992158664379</v>
      </c>
      <c r="AI4048" s="9">
        <v>54.045500821302042</v>
      </c>
      <c r="AJ4048" s="9">
        <v>3.0428788910505911</v>
      </c>
    </row>
    <row r="4049" spans="1:36" x14ac:dyDescent="0.25">
      <c r="A4049" t="s">
        <v>5411</v>
      </c>
      <c r="B4049" t="s">
        <v>16</v>
      </c>
      <c r="C4049" t="s">
        <v>17</v>
      </c>
      <c r="D4049">
        <v>73795000</v>
      </c>
      <c r="E4049">
        <v>73799999</v>
      </c>
      <c r="F4049" t="s">
        <v>3691</v>
      </c>
      <c r="G4049" t="str">
        <f t="shared" si="126"/>
        <v>GOI</v>
      </c>
      <c r="H4049" t="s">
        <v>3672</v>
      </c>
      <c r="I4049" t="s">
        <v>20</v>
      </c>
      <c r="J4049" t="s">
        <v>62</v>
      </c>
      <c r="K4049" s="6">
        <v>0.03</v>
      </c>
      <c r="L4049" s="7">
        <f t="shared" si="127"/>
        <v>2E-3</v>
      </c>
      <c r="M4049" s="7">
        <v>3.0000000000000001E-3</v>
      </c>
      <c r="N4049">
        <v>9</v>
      </c>
      <c r="O4049" s="8">
        <v>20.377140471637041</v>
      </c>
      <c r="P4049" s="9">
        <v>20.377140471637041</v>
      </c>
      <c r="Q4049" s="9">
        <v>20.377140471637041</v>
      </c>
      <c r="R4049" s="9">
        <v>21.402978767052765</v>
      </c>
      <c r="S4049" s="9">
        <v>22.589768980199143</v>
      </c>
      <c r="T4049" s="9">
        <v>24.040396091340774</v>
      </c>
      <c r="U4049" s="9">
        <v>25.448505028591189</v>
      </c>
      <c r="V4049" s="9">
        <v>25.448505028591189</v>
      </c>
      <c r="W4049" s="9">
        <v>25.448505028591189</v>
      </c>
      <c r="X4049" s="9">
        <v>28.109873114011638</v>
      </c>
      <c r="Y4049" s="9">
        <v>28.109873114011638</v>
      </c>
      <c r="Z4049" s="9">
        <v>30.975097350688763</v>
      </c>
      <c r="AA4049" s="9">
        <v>30.975097350688763</v>
      </c>
      <c r="AB4049" s="9">
        <v>34.370578528895656</v>
      </c>
      <c r="AC4049" s="9">
        <v>34.370578528895656</v>
      </c>
      <c r="AD4049" s="9">
        <v>39.013187474230911</v>
      </c>
      <c r="AE4049" s="9">
        <v>42.452173954636635</v>
      </c>
      <c r="AF4049" s="9">
        <v>47.478364248265585</v>
      </c>
      <c r="AG4049" s="9">
        <v>47.478364248265585</v>
      </c>
      <c r="AH4049" s="9">
        <v>50.815992158664379</v>
      </c>
      <c r="AI4049" s="9">
        <v>54.045500821302042</v>
      </c>
      <c r="AJ4049" s="9">
        <v>3.0428788910505911</v>
      </c>
    </row>
    <row r="4050" spans="1:36" x14ac:dyDescent="0.25">
      <c r="A4050" t="s">
        <v>5411</v>
      </c>
      <c r="B4050" t="s">
        <v>16</v>
      </c>
      <c r="C4050" t="s">
        <v>17</v>
      </c>
      <c r="D4050">
        <v>73800000</v>
      </c>
      <c r="E4050">
        <v>73802004</v>
      </c>
      <c r="F4050" t="s">
        <v>3692</v>
      </c>
      <c r="G4050" t="str">
        <f t="shared" si="126"/>
        <v>GOI II</v>
      </c>
      <c r="H4050" t="s">
        <v>3672</v>
      </c>
      <c r="I4050" t="s">
        <v>20</v>
      </c>
      <c r="J4050" t="s">
        <v>64</v>
      </c>
      <c r="K4050" s="6">
        <v>0.03</v>
      </c>
      <c r="L4050" s="7">
        <f t="shared" si="127"/>
        <v>2E-3</v>
      </c>
      <c r="M4050" s="7">
        <v>3.0000000000000001E-3</v>
      </c>
      <c r="N4050">
        <v>10</v>
      </c>
      <c r="O4050" s="8">
        <v>24.12918157169327</v>
      </c>
      <c r="P4050" s="9">
        <v>24.12918157169327</v>
      </c>
      <c r="Q4050" s="9">
        <v>24.12918157169327</v>
      </c>
      <c r="R4050" s="9">
        <v>25.337926603196635</v>
      </c>
      <c r="S4050" s="9">
        <v>26.739125453822282</v>
      </c>
      <c r="T4050" s="9">
        <v>27.918529456871191</v>
      </c>
      <c r="U4050" s="9">
        <v>29.567239706252465</v>
      </c>
      <c r="V4050" s="9">
        <v>29.567239706252465</v>
      </c>
      <c r="W4050" s="9">
        <v>29.567239706252465</v>
      </c>
      <c r="X4050" s="9">
        <v>32.768324265753506</v>
      </c>
      <c r="Y4050" s="9">
        <v>32.768324265753506</v>
      </c>
      <c r="Z4050" s="9">
        <v>36.06659911693589</v>
      </c>
      <c r="AA4050" s="9">
        <v>36.06659911693589</v>
      </c>
      <c r="AB4050" s="9">
        <v>39.471783288967806</v>
      </c>
      <c r="AC4050" s="9">
        <v>39.471783288967806</v>
      </c>
      <c r="AD4050" s="9">
        <v>44.89371961968488</v>
      </c>
      <c r="AE4050" s="9">
        <v>47.788360826374728</v>
      </c>
      <c r="AF4050" s="9">
        <v>50.811128677055613</v>
      </c>
      <c r="AG4050" s="9">
        <v>50.811128677055613</v>
      </c>
      <c r="AH4050" s="9">
        <v>54.808386973888702</v>
      </c>
      <c r="AI4050" s="9">
        <v>57.901475997525047</v>
      </c>
      <c r="AJ4050" s="9">
        <v>3.0428788910505911</v>
      </c>
    </row>
    <row r="4051" spans="1:36" x14ac:dyDescent="0.25">
      <c r="A4051" t="s">
        <v>5411</v>
      </c>
      <c r="B4051" t="s">
        <v>16</v>
      </c>
      <c r="C4051" t="s">
        <v>17</v>
      </c>
      <c r="D4051">
        <v>73802005</v>
      </c>
      <c r="E4051">
        <v>73819999</v>
      </c>
      <c r="F4051" t="s">
        <v>3692</v>
      </c>
      <c r="G4051" t="str">
        <f t="shared" si="126"/>
        <v>GOI II</v>
      </c>
      <c r="H4051" t="s">
        <v>3672</v>
      </c>
      <c r="I4051" t="s">
        <v>20</v>
      </c>
      <c r="J4051" t="s">
        <v>64</v>
      </c>
      <c r="K4051" s="6">
        <v>0.03</v>
      </c>
      <c r="L4051" s="7">
        <f t="shared" si="127"/>
        <v>2E-3</v>
      </c>
      <c r="M4051" s="7">
        <v>3.0000000000000001E-3</v>
      </c>
      <c r="N4051">
        <v>10</v>
      </c>
      <c r="O4051" s="8">
        <v>24.12918157169327</v>
      </c>
      <c r="P4051" s="9">
        <v>24.12918157169327</v>
      </c>
      <c r="Q4051" s="9">
        <v>24.12918157169327</v>
      </c>
      <c r="R4051" s="9">
        <v>25.337926603196635</v>
      </c>
      <c r="S4051" s="9">
        <v>26.739125453822282</v>
      </c>
      <c r="T4051" s="9">
        <v>27.918529456871191</v>
      </c>
      <c r="U4051" s="9">
        <v>29.567239706252465</v>
      </c>
      <c r="V4051" s="9">
        <v>29.567239706252465</v>
      </c>
      <c r="W4051" s="9">
        <v>29.567239706252465</v>
      </c>
      <c r="X4051" s="9">
        <v>32.768324265753506</v>
      </c>
      <c r="Y4051" s="9">
        <v>32.768324265753506</v>
      </c>
      <c r="Z4051" s="9">
        <v>36.06659911693589</v>
      </c>
      <c r="AA4051" s="9">
        <v>36.06659911693589</v>
      </c>
      <c r="AB4051" s="9">
        <v>39.471783288967806</v>
      </c>
      <c r="AC4051" s="9">
        <v>39.471783288967806</v>
      </c>
      <c r="AD4051" s="9">
        <v>44.89371961968488</v>
      </c>
      <c r="AE4051" s="9">
        <v>47.788360826374728</v>
      </c>
      <c r="AF4051" s="9">
        <v>50.811128677055613</v>
      </c>
      <c r="AG4051" s="9">
        <v>50.811128677055613</v>
      </c>
      <c r="AH4051" s="9">
        <v>54.808386973888702</v>
      </c>
      <c r="AI4051" s="9">
        <v>57.901475997525047</v>
      </c>
      <c r="AJ4051" s="9">
        <v>3.0428788910505911</v>
      </c>
    </row>
    <row r="4052" spans="1:36" x14ac:dyDescent="0.25">
      <c r="A4052" t="s">
        <v>5411</v>
      </c>
      <c r="B4052" t="s">
        <v>16</v>
      </c>
      <c r="C4052" t="s">
        <v>17</v>
      </c>
      <c r="D4052">
        <v>73820000</v>
      </c>
      <c r="E4052">
        <v>73824999</v>
      </c>
      <c r="F4052" t="s">
        <v>3693</v>
      </c>
      <c r="G4052" t="str">
        <f t="shared" si="126"/>
        <v>GOI</v>
      </c>
      <c r="H4052" t="s">
        <v>3672</v>
      </c>
      <c r="I4052" t="s">
        <v>20</v>
      </c>
      <c r="J4052" t="s">
        <v>62</v>
      </c>
      <c r="K4052" s="6">
        <v>0.03</v>
      </c>
      <c r="L4052" s="7">
        <f t="shared" si="127"/>
        <v>2E-3</v>
      </c>
      <c r="M4052" s="7">
        <v>3.0000000000000001E-3</v>
      </c>
      <c r="N4052">
        <v>9</v>
      </c>
      <c r="O4052" s="8">
        <v>20.377140471637041</v>
      </c>
      <c r="P4052" s="9">
        <v>20.377140471637041</v>
      </c>
      <c r="Q4052" s="9">
        <v>20.377140471637041</v>
      </c>
      <c r="R4052" s="9">
        <v>21.402978767052765</v>
      </c>
      <c r="S4052" s="9">
        <v>22.589768980199143</v>
      </c>
      <c r="T4052" s="9">
        <v>24.040396091340774</v>
      </c>
      <c r="U4052" s="9">
        <v>25.448505028591189</v>
      </c>
      <c r="V4052" s="9">
        <v>25.448505028591189</v>
      </c>
      <c r="W4052" s="9">
        <v>25.448505028591189</v>
      </c>
      <c r="X4052" s="9">
        <v>28.109873114011638</v>
      </c>
      <c r="Y4052" s="9">
        <v>28.109873114011638</v>
      </c>
      <c r="Z4052" s="9">
        <v>30.975097350688763</v>
      </c>
      <c r="AA4052" s="9">
        <v>30.975097350688763</v>
      </c>
      <c r="AB4052" s="9">
        <v>34.370578528895656</v>
      </c>
      <c r="AC4052" s="9">
        <v>34.370578528895656</v>
      </c>
      <c r="AD4052" s="9">
        <v>39.013187474230911</v>
      </c>
      <c r="AE4052" s="9">
        <v>42.452173954636635</v>
      </c>
      <c r="AF4052" s="9">
        <v>47.478364248265585</v>
      </c>
      <c r="AG4052" s="9">
        <v>47.478364248265585</v>
      </c>
      <c r="AH4052" s="9">
        <v>50.815992158664379</v>
      </c>
      <c r="AI4052" s="9">
        <v>54.045500821302042</v>
      </c>
      <c r="AJ4052" s="9">
        <v>3.0428788910505911</v>
      </c>
    </row>
    <row r="4053" spans="1:36" x14ac:dyDescent="0.25">
      <c r="A4053" t="s">
        <v>5411</v>
      </c>
      <c r="B4053" t="s">
        <v>16</v>
      </c>
      <c r="C4053" t="s">
        <v>17</v>
      </c>
      <c r="D4053">
        <v>73825000</v>
      </c>
      <c r="E4053">
        <v>73829999</v>
      </c>
      <c r="F4053" t="s">
        <v>3694</v>
      </c>
      <c r="G4053" t="str">
        <f t="shared" si="126"/>
        <v>GOI</v>
      </c>
      <c r="H4053" t="s">
        <v>3672</v>
      </c>
      <c r="I4053" t="s">
        <v>20</v>
      </c>
      <c r="J4053" t="s">
        <v>62</v>
      </c>
      <c r="K4053" s="6">
        <v>0.03</v>
      </c>
      <c r="L4053" s="7">
        <f t="shared" si="127"/>
        <v>2E-3</v>
      </c>
      <c r="M4053" s="7">
        <v>3.0000000000000001E-3</v>
      </c>
      <c r="N4053">
        <v>9</v>
      </c>
      <c r="O4053" s="8">
        <v>20.377140471637041</v>
      </c>
      <c r="P4053" s="9">
        <v>20.377140471637041</v>
      </c>
      <c r="Q4053" s="9">
        <v>20.377140471637041</v>
      </c>
      <c r="R4053" s="9">
        <v>21.402978767052765</v>
      </c>
      <c r="S4053" s="9">
        <v>22.589768980199143</v>
      </c>
      <c r="T4053" s="9">
        <v>24.040396091340774</v>
      </c>
      <c r="U4053" s="9">
        <v>25.448505028591189</v>
      </c>
      <c r="V4053" s="9">
        <v>25.448505028591189</v>
      </c>
      <c r="W4053" s="9">
        <v>25.448505028591189</v>
      </c>
      <c r="X4053" s="9">
        <v>28.109873114011638</v>
      </c>
      <c r="Y4053" s="9">
        <v>28.109873114011638</v>
      </c>
      <c r="Z4053" s="9">
        <v>30.975097350688763</v>
      </c>
      <c r="AA4053" s="9">
        <v>30.975097350688763</v>
      </c>
      <c r="AB4053" s="9">
        <v>34.370578528895656</v>
      </c>
      <c r="AC4053" s="9">
        <v>34.370578528895656</v>
      </c>
      <c r="AD4053" s="9">
        <v>39.013187474230911</v>
      </c>
      <c r="AE4053" s="9">
        <v>42.452173954636635</v>
      </c>
      <c r="AF4053" s="9">
        <v>47.478364248265585</v>
      </c>
      <c r="AG4053" s="9">
        <v>47.478364248265585</v>
      </c>
      <c r="AH4053" s="9">
        <v>50.815992158664379</v>
      </c>
      <c r="AI4053" s="9">
        <v>54.045500821302042</v>
      </c>
      <c r="AJ4053" s="9">
        <v>3.0428788910505911</v>
      </c>
    </row>
    <row r="4054" spans="1:36" x14ac:dyDescent="0.25">
      <c r="A4054" t="s">
        <v>5411</v>
      </c>
      <c r="B4054" t="s">
        <v>16</v>
      </c>
      <c r="C4054" t="s">
        <v>17</v>
      </c>
      <c r="D4054">
        <v>73830000</v>
      </c>
      <c r="E4054">
        <v>73839999</v>
      </c>
      <c r="F4054" t="s">
        <v>3695</v>
      </c>
      <c r="G4054" t="str">
        <f t="shared" si="126"/>
        <v>GOI</v>
      </c>
      <c r="H4054" t="s">
        <v>3672</v>
      </c>
      <c r="I4054" t="s">
        <v>20</v>
      </c>
      <c r="J4054" t="s">
        <v>62</v>
      </c>
      <c r="K4054" s="6">
        <v>0.03</v>
      </c>
      <c r="L4054" s="7">
        <f t="shared" si="127"/>
        <v>2E-3</v>
      </c>
      <c r="M4054" s="7">
        <v>3.0000000000000001E-3</v>
      </c>
      <c r="N4054">
        <v>9</v>
      </c>
      <c r="O4054" s="8">
        <v>20.377140471637041</v>
      </c>
      <c r="P4054" s="9">
        <v>20.377140471637041</v>
      </c>
      <c r="Q4054" s="9">
        <v>20.377140471637041</v>
      </c>
      <c r="R4054" s="9">
        <v>21.402978767052765</v>
      </c>
      <c r="S4054" s="9">
        <v>22.589768980199143</v>
      </c>
      <c r="T4054" s="9">
        <v>24.040396091340774</v>
      </c>
      <c r="U4054" s="9">
        <v>25.448505028591189</v>
      </c>
      <c r="V4054" s="9">
        <v>25.448505028591189</v>
      </c>
      <c r="W4054" s="9">
        <v>25.448505028591189</v>
      </c>
      <c r="X4054" s="9">
        <v>28.109873114011638</v>
      </c>
      <c r="Y4054" s="9">
        <v>28.109873114011638</v>
      </c>
      <c r="Z4054" s="9">
        <v>30.975097350688763</v>
      </c>
      <c r="AA4054" s="9">
        <v>30.975097350688763</v>
      </c>
      <c r="AB4054" s="9">
        <v>34.370578528895656</v>
      </c>
      <c r="AC4054" s="9">
        <v>34.370578528895656</v>
      </c>
      <c r="AD4054" s="9">
        <v>39.013187474230911</v>
      </c>
      <c r="AE4054" s="9">
        <v>42.452173954636635</v>
      </c>
      <c r="AF4054" s="9">
        <v>47.478364248265585</v>
      </c>
      <c r="AG4054" s="9">
        <v>47.478364248265585</v>
      </c>
      <c r="AH4054" s="9">
        <v>50.815992158664379</v>
      </c>
      <c r="AI4054" s="9">
        <v>54.045500821302042</v>
      </c>
      <c r="AJ4054" s="9">
        <v>3.0428788910505911</v>
      </c>
    </row>
    <row r="4055" spans="1:36" x14ac:dyDescent="0.25">
      <c r="A4055" t="s">
        <v>5411</v>
      </c>
      <c r="B4055" t="s">
        <v>16</v>
      </c>
      <c r="C4055" t="s">
        <v>17</v>
      </c>
      <c r="D4055">
        <v>73840000</v>
      </c>
      <c r="E4055">
        <v>73849999</v>
      </c>
      <c r="F4055" t="s">
        <v>3696</v>
      </c>
      <c r="G4055" t="str">
        <f t="shared" si="126"/>
        <v>GOI</v>
      </c>
      <c r="H4055" t="s">
        <v>3672</v>
      </c>
      <c r="I4055" t="s">
        <v>20</v>
      </c>
      <c r="J4055" t="s">
        <v>62</v>
      </c>
      <c r="K4055" s="6">
        <v>0.03</v>
      </c>
      <c r="L4055" s="7">
        <f t="shared" si="127"/>
        <v>2E-3</v>
      </c>
      <c r="M4055" s="7">
        <v>3.0000000000000001E-3</v>
      </c>
      <c r="N4055">
        <v>9</v>
      </c>
      <c r="O4055" s="8">
        <v>20.377140471637041</v>
      </c>
      <c r="P4055" s="9">
        <v>20.377140471637041</v>
      </c>
      <c r="Q4055" s="9">
        <v>20.377140471637041</v>
      </c>
      <c r="R4055" s="9">
        <v>21.402978767052765</v>
      </c>
      <c r="S4055" s="9">
        <v>22.589768980199143</v>
      </c>
      <c r="T4055" s="9">
        <v>24.040396091340774</v>
      </c>
      <c r="U4055" s="9">
        <v>25.448505028591189</v>
      </c>
      <c r="V4055" s="9">
        <v>25.448505028591189</v>
      </c>
      <c r="W4055" s="9">
        <v>25.448505028591189</v>
      </c>
      <c r="X4055" s="9">
        <v>28.109873114011638</v>
      </c>
      <c r="Y4055" s="9">
        <v>28.109873114011638</v>
      </c>
      <c r="Z4055" s="9">
        <v>30.975097350688763</v>
      </c>
      <c r="AA4055" s="9">
        <v>30.975097350688763</v>
      </c>
      <c r="AB4055" s="9">
        <v>34.370578528895656</v>
      </c>
      <c r="AC4055" s="9">
        <v>34.370578528895656</v>
      </c>
      <c r="AD4055" s="9">
        <v>39.013187474230911</v>
      </c>
      <c r="AE4055" s="9">
        <v>42.452173954636635</v>
      </c>
      <c r="AF4055" s="9">
        <v>47.478364248265585</v>
      </c>
      <c r="AG4055" s="9">
        <v>47.478364248265585</v>
      </c>
      <c r="AH4055" s="9">
        <v>50.815992158664379</v>
      </c>
      <c r="AI4055" s="9">
        <v>54.045500821302042</v>
      </c>
      <c r="AJ4055" s="9">
        <v>3.0428788910505911</v>
      </c>
    </row>
    <row r="4056" spans="1:36" x14ac:dyDescent="0.25">
      <c r="A4056" t="s">
        <v>5411</v>
      </c>
      <c r="B4056" t="s">
        <v>16</v>
      </c>
      <c r="C4056" t="s">
        <v>17</v>
      </c>
      <c r="D4056">
        <v>73850000</v>
      </c>
      <c r="E4056">
        <v>73859999</v>
      </c>
      <c r="F4056" t="s">
        <v>3697</v>
      </c>
      <c r="G4056" t="str">
        <f t="shared" si="126"/>
        <v>GOI</v>
      </c>
      <c r="H4056" t="s">
        <v>3672</v>
      </c>
      <c r="I4056" t="s">
        <v>20</v>
      </c>
      <c r="J4056" t="s">
        <v>62</v>
      </c>
      <c r="K4056" s="6">
        <v>0.03</v>
      </c>
      <c r="L4056" s="7">
        <f t="shared" si="127"/>
        <v>2E-3</v>
      </c>
      <c r="M4056" s="7">
        <v>3.0000000000000001E-3</v>
      </c>
      <c r="N4056">
        <v>9</v>
      </c>
      <c r="O4056" s="8">
        <v>20.377140471637041</v>
      </c>
      <c r="P4056" s="9">
        <v>20.377140471637041</v>
      </c>
      <c r="Q4056" s="9">
        <v>20.377140471637041</v>
      </c>
      <c r="R4056" s="9">
        <v>21.402978767052765</v>
      </c>
      <c r="S4056" s="9">
        <v>22.589768980199143</v>
      </c>
      <c r="T4056" s="9">
        <v>24.040396091340774</v>
      </c>
      <c r="U4056" s="9">
        <v>25.448505028591189</v>
      </c>
      <c r="V4056" s="9">
        <v>25.448505028591189</v>
      </c>
      <c r="W4056" s="9">
        <v>25.448505028591189</v>
      </c>
      <c r="X4056" s="9">
        <v>28.109873114011638</v>
      </c>
      <c r="Y4056" s="9">
        <v>28.109873114011638</v>
      </c>
      <c r="Z4056" s="9">
        <v>30.975097350688763</v>
      </c>
      <c r="AA4056" s="9">
        <v>30.975097350688763</v>
      </c>
      <c r="AB4056" s="9">
        <v>34.370578528895656</v>
      </c>
      <c r="AC4056" s="9">
        <v>34.370578528895656</v>
      </c>
      <c r="AD4056" s="9">
        <v>39.013187474230911</v>
      </c>
      <c r="AE4056" s="9">
        <v>42.452173954636635</v>
      </c>
      <c r="AF4056" s="9">
        <v>47.478364248265585</v>
      </c>
      <c r="AG4056" s="9">
        <v>47.478364248265585</v>
      </c>
      <c r="AH4056" s="9">
        <v>50.815992158664379</v>
      </c>
      <c r="AI4056" s="9">
        <v>54.045500821302042</v>
      </c>
      <c r="AJ4056" s="9">
        <v>3.0428788910505911</v>
      </c>
    </row>
    <row r="4057" spans="1:36" x14ac:dyDescent="0.25">
      <c r="A4057" t="s">
        <v>5411</v>
      </c>
      <c r="B4057" t="s">
        <v>16</v>
      </c>
      <c r="C4057" t="s">
        <v>17</v>
      </c>
      <c r="D4057">
        <v>73860000</v>
      </c>
      <c r="E4057">
        <v>73864999</v>
      </c>
      <c r="F4057" t="s">
        <v>2110</v>
      </c>
      <c r="G4057" t="str">
        <f t="shared" si="126"/>
        <v>GOI</v>
      </c>
      <c r="H4057" t="s">
        <v>3672</v>
      </c>
      <c r="I4057" t="s">
        <v>20</v>
      </c>
      <c r="J4057" t="s">
        <v>62</v>
      </c>
      <c r="K4057" s="6">
        <v>0.03</v>
      </c>
      <c r="L4057" s="7">
        <f t="shared" si="127"/>
        <v>2E-3</v>
      </c>
      <c r="M4057" s="7">
        <v>3.0000000000000001E-3</v>
      </c>
      <c r="N4057">
        <v>9</v>
      </c>
      <c r="O4057" s="8">
        <v>20.377140471637041</v>
      </c>
      <c r="P4057" s="9">
        <v>20.377140471637041</v>
      </c>
      <c r="Q4057" s="9">
        <v>20.377140471637041</v>
      </c>
      <c r="R4057" s="9">
        <v>21.402978767052765</v>
      </c>
      <c r="S4057" s="9">
        <v>22.589768980199143</v>
      </c>
      <c r="T4057" s="9">
        <v>24.040396091340774</v>
      </c>
      <c r="U4057" s="9">
        <v>25.448505028591189</v>
      </c>
      <c r="V4057" s="9">
        <v>25.448505028591189</v>
      </c>
      <c r="W4057" s="9">
        <v>25.448505028591189</v>
      </c>
      <c r="X4057" s="9">
        <v>28.109873114011638</v>
      </c>
      <c r="Y4057" s="9">
        <v>28.109873114011638</v>
      </c>
      <c r="Z4057" s="9">
        <v>30.975097350688763</v>
      </c>
      <c r="AA4057" s="9">
        <v>30.975097350688763</v>
      </c>
      <c r="AB4057" s="9">
        <v>34.370578528895656</v>
      </c>
      <c r="AC4057" s="9">
        <v>34.370578528895656</v>
      </c>
      <c r="AD4057" s="9">
        <v>39.013187474230911</v>
      </c>
      <c r="AE4057" s="9">
        <v>42.452173954636635</v>
      </c>
      <c r="AF4057" s="9">
        <v>47.478364248265585</v>
      </c>
      <c r="AG4057" s="9">
        <v>47.478364248265585</v>
      </c>
      <c r="AH4057" s="9">
        <v>50.815992158664379</v>
      </c>
      <c r="AI4057" s="9">
        <v>54.045500821302042</v>
      </c>
      <c r="AJ4057" s="9">
        <v>3.0428788910505911</v>
      </c>
    </row>
    <row r="4058" spans="1:36" x14ac:dyDescent="0.25">
      <c r="A4058" t="s">
        <v>5411</v>
      </c>
      <c r="B4058" t="s">
        <v>16</v>
      </c>
      <c r="C4058" t="s">
        <v>17</v>
      </c>
      <c r="D4058">
        <v>73865000</v>
      </c>
      <c r="E4058">
        <v>73869999</v>
      </c>
      <c r="F4058" t="s">
        <v>3698</v>
      </c>
      <c r="G4058" t="str">
        <f t="shared" si="126"/>
        <v>GOI</v>
      </c>
      <c r="H4058" t="s">
        <v>3672</v>
      </c>
      <c r="I4058" t="s">
        <v>20</v>
      </c>
      <c r="J4058" t="s">
        <v>62</v>
      </c>
      <c r="K4058" s="6">
        <v>0.03</v>
      </c>
      <c r="L4058" s="7">
        <f t="shared" si="127"/>
        <v>2E-3</v>
      </c>
      <c r="M4058" s="7">
        <v>3.0000000000000001E-3</v>
      </c>
      <c r="N4058">
        <v>9</v>
      </c>
      <c r="O4058" s="8">
        <v>20.377140471637041</v>
      </c>
      <c r="P4058" s="9">
        <v>20.377140471637041</v>
      </c>
      <c r="Q4058" s="9">
        <v>20.377140471637041</v>
      </c>
      <c r="R4058" s="9">
        <v>21.402978767052765</v>
      </c>
      <c r="S4058" s="9">
        <v>22.589768980199143</v>
      </c>
      <c r="T4058" s="9">
        <v>24.040396091340774</v>
      </c>
      <c r="U4058" s="9">
        <v>25.448505028591189</v>
      </c>
      <c r="V4058" s="9">
        <v>25.448505028591189</v>
      </c>
      <c r="W4058" s="9">
        <v>25.448505028591189</v>
      </c>
      <c r="X4058" s="9">
        <v>28.109873114011638</v>
      </c>
      <c r="Y4058" s="9">
        <v>28.109873114011638</v>
      </c>
      <c r="Z4058" s="9">
        <v>30.975097350688763</v>
      </c>
      <c r="AA4058" s="9">
        <v>30.975097350688763</v>
      </c>
      <c r="AB4058" s="9">
        <v>34.370578528895656</v>
      </c>
      <c r="AC4058" s="9">
        <v>34.370578528895656</v>
      </c>
      <c r="AD4058" s="9">
        <v>39.013187474230911</v>
      </c>
      <c r="AE4058" s="9">
        <v>42.452173954636635</v>
      </c>
      <c r="AF4058" s="9">
        <v>47.478364248265585</v>
      </c>
      <c r="AG4058" s="9">
        <v>47.478364248265585</v>
      </c>
      <c r="AH4058" s="9">
        <v>50.815992158664379</v>
      </c>
      <c r="AI4058" s="9">
        <v>54.045500821302042</v>
      </c>
      <c r="AJ4058" s="9">
        <v>3.0428788910505911</v>
      </c>
    </row>
    <row r="4059" spans="1:36" x14ac:dyDescent="0.25">
      <c r="A4059" t="s">
        <v>5411</v>
      </c>
      <c r="B4059" t="s">
        <v>16</v>
      </c>
      <c r="C4059" t="s">
        <v>17</v>
      </c>
      <c r="D4059">
        <v>73870000</v>
      </c>
      <c r="E4059">
        <v>73889999</v>
      </c>
      <c r="F4059" t="s">
        <v>3699</v>
      </c>
      <c r="G4059" t="str">
        <f t="shared" si="126"/>
        <v>GOI</v>
      </c>
      <c r="H4059" t="s">
        <v>3672</v>
      </c>
      <c r="I4059" t="s">
        <v>20</v>
      </c>
      <c r="J4059" t="s">
        <v>62</v>
      </c>
      <c r="K4059" s="6">
        <v>0.03</v>
      </c>
      <c r="L4059" s="7">
        <f t="shared" si="127"/>
        <v>2E-3</v>
      </c>
      <c r="M4059" s="7">
        <v>3.0000000000000001E-3</v>
      </c>
      <c r="N4059">
        <v>9</v>
      </c>
      <c r="O4059" s="8">
        <v>20.377140471637041</v>
      </c>
      <c r="P4059" s="9">
        <v>20.377140471637041</v>
      </c>
      <c r="Q4059" s="9">
        <v>20.377140471637041</v>
      </c>
      <c r="R4059" s="9">
        <v>21.402978767052765</v>
      </c>
      <c r="S4059" s="9">
        <v>22.589768980199143</v>
      </c>
      <c r="T4059" s="9">
        <v>24.040396091340774</v>
      </c>
      <c r="U4059" s="9">
        <v>25.448505028591189</v>
      </c>
      <c r="V4059" s="9">
        <v>25.448505028591189</v>
      </c>
      <c r="W4059" s="9">
        <v>25.448505028591189</v>
      </c>
      <c r="X4059" s="9">
        <v>28.109873114011638</v>
      </c>
      <c r="Y4059" s="9">
        <v>28.109873114011638</v>
      </c>
      <c r="Z4059" s="9">
        <v>30.975097350688763</v>
      </c>
      <c r="AA4059" s="9">
        <v>30.975097350688763</v>
      </c>
      <c r="AB4059" s="9">
        <v>34.370578528895656</v>
      </c>
      <c r="AC4059" s="9">
        <v>34.370578528895656</v>
      </c>
      <c r="AD4059" s="9">
        <v>39.013187474230911</v>
      </c>
      <c r="AE4059" s="9">
        <v>42.452173954636635</v>
      </c>
      <c r="AF4059" s="9">
        <v>47.478364248265585</v>
      </c>
      <c r="AG4059" s="9">
        <v>47.478364248265585</v>
      </c>
      <c r="AH4059" s="9">
        <v>50.815992158664379</v>
      </c>
      <c r="AI4059" s="9">
        <v>54.045500821302042</v>
      </c>
      <c r="AJ4059" s="9">
        <v>3.0428788910505911</v>
      </c>
    </row>
    <row r="4060" spans="1:36" x14ac:dyDescent="0.25">
      <c r="A4060" t="s">
        <v>5411</v>
      </c>
      <c r="B4060" t="s">
        <v>16</v>
      </c>
      <c r="C4060" t="s">
        <v>17</v>
      </c>
      <c r="D4060">
        <v>73890000</v>
      </c>
      <c r="E4060">
        <v>73899999</v>
      </c>
      <c r="F4060" t="s">
        <v>3700</v>
      </c>
      <c r="G4060" t="str">
        <f t="shared" si="126"/>
        <v>GOI</v>
      </c>
      <c r="H4060" t="s">
        <v>3672</v>
      </c>
      <c r="I4060" t="s">
        <v>20</v>
      </c>
      <c r="J4060" t="s">
        <v>62</v>
      </c>
      <c r="K4060" s="6">
        <v>0.03</v>
      </c>
      <c r="L4060" s="7">
        <f t="shared" si="127"/>
        <v>2E-3</v>
      </c>
      <c r="M4060" s="7">
        <v>3.0000000000000001E-3</v>
      </c>
      <c r="N4060">
        <v>9</v>
      </c>
      <c r="O4060" s="8">
        <v>20.377140471637041</v>
      </c>
      <c r="P4060" s="9">
        <v>20.377140471637041</v>
      </c>
      <c r="Q4060" s="9">
        <v>20.377140471637041</v>
      </c>
      <c r="R4060" s="9">
        <v>21.402978767052765</v>
      </c>
      <c r="S4060" s="9">
        <v>22.589768980199143</v>
      </c>
      <c r="T4060" s="9">
        <v>24.040396091340774</v>
      </c>
      <c r="U4060" s="9">
        <v>25.448505028591189</v>
      </c>
      <c r="V4060" s="9">
        <v>25.448505028591189</v>
      </c>
      <c r="W4060" s="9">
        <v>25.448505028591189</v>
      </c>
      <c r="X4060" s="9">
        <v>28.109873114011638</v>
      </c>
      <c r="Y4060" s="9">
        <v>28.109873114011638</v>
      </c>
      <c r="Z4060" s="9">
        <v>30.975097350688763</v>
      </c>
      <c r="AA4060" s="9">
        <v>30.975097350688763</v>
      </c>
      <c r="AB4060" s="9">
        <v>34.370578528895656</v>
      </c>
      <c r="AC4060" s="9">
        <v>34.370578528895656</v>
      </c>
      <c r="AD4060" s="9">
        <v>39.013187474230911</v>
      </c>
      <c r="AE4060" s="9">
        <v>42.452173954636635</v>
      </c>
      <c r="AF4060" s="9">
        <v>47.478364248265585</v>
      </c>
      <c r="AG4060" s="9">
        <v>47.478364248265585</v>
      </c>
      <c r="AH4060" s="9">
        <v>50.815992158664379</v>
      </c>
      <c r="AI4060" s="9">
        <v>54.045500821302042</v>
      </c>
      <c r="AJ4060" s="9">
        <v>3.0428788910505911</v>
      </c>
    </row>
    <row r="4061" spans="1:36" x14ac:dyDescent="0.25">
      <c r="A4061" t="s">
        <v>5411</v>
      </c>
      <c r="B4061" t="s">
        <v>16</v>
      </c>
      <c r="C4061" t="s">
        <v>17</v>
      </c>
      <c r="D4061">
        <v>73900000</v>
      </c>
      <c r="E4061">
        <v>73909999</v>
      </c>
      <c r="F4061" t="s">
        <v>3701</v>
      </c>
      <c r="G4061" t="str">
        <f t="shared" si="126"/>
        <v>GOI</v>
      </c>
      <c r="H4061" t="s">
        <v>3672</v>
      </c>
      <c r="I4061" t="s">
        <v>20</v>
      </c>
      <c r="J4061" t="s">
        <v>62</v>
      </c>
      <c r="K4061" s="6">
        <v>0.03</v>
      </c>
      <c r="L4061" s="7">
        <f t="shared" si="127"/>
        <v>2E-3</v>
      </c>
      <c r="M4061" s="7">
        <v>3.0000000000000001E-3</v>
      </c>
      <c r="N4061">
        <v>9</v>
      </c>
      <c r="O4061" s="8">
        <v>20.377140471637041</v>
      </c>
      <c r="P4061" s="9">
        <v>20.377140471637041</v>
      </c>
      <c r="Q4061" s="9">
        <v>20.377140471637041</v>
      </c>
      <c r="R4061" s="9">
        <v>21.402978767052765</v>
      </c>
      <c r="S4061" s="9">
        <v>22.589768980199143</v>
      </c>
      <c r="T4061" s="9">
        <v>24.040396091340774</v>
      </c>
      <c r="U4061" s="9">
        <v>25.448505028591189</v>
      </c>
      <c r="V4061" s="9">
        <v>25.448505028591189</v>
      </c>
      <c r="W4061" s="9">
        <v>25.448505028591189</v>
      </c>
      <c r="X4061" s="9">
        <v>28.109873114011638</v>
      </c>
      <c r="Y4061" s="9">
        <v>28.109873114011638</v>
      </c>
      <c r="Z4061" s="9">
        <v>30.975097350688763</v>
      </c>
      <c r="AA4061" s="9">
        <v>30.975097350688763</v>
      </c>
      <c r="AB4061" s="9">
        <v>34.370578528895656</v>
      </c>
      <c r="AC4061" s="9">
        <v>34.370578528895656</v>
      </c>
      <c r="AD4061" s="9">
        <v>39.013187474230911</v>
      </c>
      <c r="AE4061" s="9">
        <v>42.452173954636635</v>
      </c>
      <c r="AF4061" s="9">
        <v>47.478364248265585</v>
      </c>
      <c r="AG4061" s="9">
        <v>47.478364248265585</v>
      </c>
      <c r="AH4061" s="9">
        <v>50.815992158664379</v>
      </c>
      <c r="AI4061" s="9">
        <v>54.045500821302042</v>
      </c>
      <c r="AJ4061" s="9">
        <v>3.0428788910505911</v>
      </c>
    </row>
    <row r="4062" spans="1:36" x14ac:dyDescent="0.25">
      <c r="A4062" t="s">
        <v>5411</v>
      </c>
      <c r="B4062" t="s">
        <v>16</v>
      </c>
      <c r="C4062" t="s">
        <v>17</v>
      </c>
      <c r="D4062">
        <v>73910000</v>
      </c>
      <c r="E4062">
        <v>73919999</v>
      </c>
      <c r="F4062" t="s">
        <v>3702</v>
      </c>
      <c r="G4062" t="str">
        <f t="shared" si="126"/>
        <v>GOI</v>
      </c>
      <c r="H4062" t="s">
        <v>3672</v>
      </c>
      <c r="I4062" t="s">
        <v>20</v>
      </c>
      <c r="J4062" t="s">
        <v>62</v>
      </c>
      <c r="K4062" s="6">
        <v>0.03</v>
      </c>
      <c r="L4062" s="7">
        <f t="shared" si="127"/>
        <v>2E-3</v>
      </c>
      <c r="M4062" s="7">
        <v>3.0000000000000001E-3</v>
      </c>
      <c r="N4062">
        <v>9</v>
      </c>
      <c r="O4062" s="8">
        <v>20.377140471637041</v>
      </c>
      <c r="P4062" s="9">
        <v>20.377140471637041</v>
      </c>
      <c r="Q4062" s="9">
        <v>20.377140471637041</v>
      </c>
      <c r="R4062" s="9">
        <v>21.402978767052765</v>
      </c>
      <c r="S4062" s="9">
        <v>22.589768980199143</v>
      </c>
      <c r="T4062" s="9">
        <v>24.040396091340774</v>
      </c>
      <c r="U4062" s="9">
        <v>25.448505028591189</v>
      </c>
      <c r="V4062" s="9">
        <v>25.448505028591189</v>
      </c>
      <c r="W4062" s="9">
        <v>25.448505028591189</v>
      </c>
      <c r="X4062" s="9">
        <v>28.109873114011638</v>
      </c>
      <c r="Y4062" s="9">
        <v>28.109873114011638</v>
      </c>
      <c r="Z4062" s="9">
        <v>30.975097350688763</v>
      </c>
      <c r="AA4062" s="9">
        <v>30.975097350688763</v>
      </c>
      <c r="AB4062" s="9">
        <v>34.370578528895656</v>
      </c>
      <c r="AC4062" s="9">
        <v>34.370578528895656</v>
      </c>
      <c r="AD4062" s="9">
        <v>39.013187474230911</v>
      </c>
      <c r="AE4062" s="9">
        <v>42.452173954636635</v>
      </c>
      <c r="AF4062" s="9">
        <v>47.478364248265585</v>
      </c>
      <c r="AG4062" s="9">
        <v>47.478364248265585</v>
      </c>
      <c r="AH4062" s="9">
        <v>50.815992158664379</v>
      </c>
      <c r="AI4062" s="9">
        <v>54.045500821302042</v>
      </c>
      <c r="AJ4062" s="9">
        <v>3.0428788910505911</v>
      </c>
    </row>
    <row r="4063" spans="1:36" x14ac:dyDescent="0.25">
      <c r="A4063" t="s">
        <v>5411</v>
      </c>
      <c r="B4063" t="s">
        <v>16</v>
      </c>
      <c r="C4063" t="s">
        <v>17</v>
      </c>
      <c r="D4063">
        <v>73920000</v>
      </c>
      <c r="E4063">
        <v>73929999</v>
      </c>
      <c r="F4063" t="s">
        <v>3703</v>
      </c>
      <c r="G4063" t="str">
        <f t="shared" si="126"/>
        <v>GOI</v>
      </c>
      <c r="H4063" t="s">
        <v>3672</v>
      </c>
      <c r="I4063" t="s">
        <v>20</v>
      </c>
      <c r="J4063" t="s">
        <v>62</v>
      </c>
      <c r="K4063" s="6">
        <v>0.03</v>
      </c>
      <c r="L4063" s="7">
        <f t="shared" si="127"/>
        <v>2E-3</v>
      </c>
      <c r="M4063" s="7">
        <v>3.0000000000000001E-3</v>
      </c>
      <c r="N4063">
        <v>9</v>
      </c>
      <c r="O4063" s="8">
        <v>20.377140471637041</v>
      </c>
      <c r="P4063" s="9">
        <v>20.377140471637041</v>
      </c>
      <c r="Q4063" s="9">
        <v>20.377140471637041</v>
      </c>
      <c r="R4063" s="9">
        <v>21.402978767052765</v>
      </c>
      <c r="S4063" s="9">
        <v>22.589768980199143</v>
      </c>
      <c r="T4063" s="9">
        <v>24.040396091340774</v>
      </c>
      <c r="U4063" s="9">
        <v>25.448505028591189</v>
      </c>
      <c r="V4063" s="9">
        <v>25.448505028591189</v>
      </c>
      <c r="W4063" s="9">
        <v>25.448505028591189</v>
      </c>
      <c r="X4063" s="9">
        <v>28.109873114011638</v>
      </c>
      <c r="Y4063" s="9">
        <v>28.109873114011638</v>
      </c>
      <c r="Z4063" s="9">
        <v>30.975097350688763</v>
      </c>
      <c r="AA4063" s="9">
        <v>30.975097350688763</v>
      </c>
      <c r="AB4063" s="9">
        <v>34.370578528895656</v>
      </c>
      <c r="AC4063" s="9">
        <v>34.370578528895656</v>
      </c>
      <c r="AD4063" s="9">
        <v>39.013187474230911</v>
      </c>
      <c r="AE4063" s="9">
        <v>42.452173954636635</v>
      </c>
      <c r="AF4063" s="9">
        <v>47.478364248265585</v>
      </c>
      <c r="AG4063" s="9">
        <v>47.478364248265585</v>
      </c>
      <c r="AH4063" s="9">
        <v>50.815992158664379</v>
      </c>
      <c r="AI4063" s="9">
        <v>54.045500821302042</v>
      </c>
      <c r="AJ4063" s="9">
        <v>3.0428788910505911</v>
      </c>
    </row>
    <row r="4064" spans="1:36" x14ac:dyDescent="0.25">
      <c r="A4064" t="s">
        <v>5411</v>
      </c>
      <c r="B4064" t="s">
        <v>16</v>
      </c>
      <c r="C4064" t="s">
        <v>17</v>
      </c>
      <c r="D4064">
        <v>73930000</v>
      </c>
      <c r="E4064">
        <v>73949999</v>
      </c>
      <c r="F4064" t="s">
        <v>3704</v>
      </c>
      <c r="G4064" t="str">
        <f t="shared" si="126"/>
        <v>GOI</v>
      </c>
      <c r="H4064" t="s">
        <v>3672</v>
      </c>
      <c r="I4064" t="s">
        <v>20</v>
      </c>
      <c r="J4064" t="s">
        <v>62</v>
      </c>
      <c r="K4064" s="6">
        <v>0.03</v>
      </c>
      <c r="L4064" s="7">
        <f t="shared" si="127"/>
        <v>2E-3</v>
      </c>
      <c r="M4064" s="7">
        <v>3.0000000000000001E-3</v>
      </c>
      <c r="N4064">
        <v>9</v>
      </c>
      <c r="O4064" s="8">
        <v>20.377140471637041</v>
      </c>
      <c r="P4064" s="9">
        <v>20.377140471637041</v>
      </c>
      <c r="Q4064" s="9">
        <v>20.377140471637041</v>
      </c>
      <c r="R4064" s="9">
        <v>21.402978767052765</v>
      </c>
      <c r="S4064" s="9">
        <v>22.589768980199143</v>
      </c>
      <c r="T4064" s="9">
        <v>24.040396091340774</v>
      </c>
      <c r="U4064" s="9">
        <v>25.448505028591189</v>
      </c>
      <c r="V4064" s="9">
        <v>25.448505028591189</v>
      </c>
      <c r="W4064" s="9">
        <v>25.448505028591189</v>
      </c>
      <c r="X4064" s="9">
        <v>28.109873114011638</v>
      </c>
      <c r="Y4064" s="9">
        <v>28.109873114011638</v>
      </c>
      <c r="Z4064" s="9">
        <v>30.975097350688763</v>
      </c>
      <c r="AA4064" s="9">
        <v>30.975097350688763</v>
      </c>
      <c r="AB4064" s="9">
        <v>34.370578528895656</v>
      </c>
      <c r="AC4064" s="9">
        <v>34.370578528895656</v>
      </c>
      <c r="AD4064" s="9">
        <v>39.013187474230911</v>
      </c>
      <c r="AE4064" s="9">
        <v>42.452173954636635</v>
      </c>
      <c r="AF4064" s="9">
        <v>47.478364248265585</v>
      </c>
      <c r="AG4064" s="9">
        <v>47.478364248265585</v>
      </c>
      <c r="AH4064" s="9">
        <v>50.815992158664379</v>
      </c>
      <c r="AI4064" s="9">
        <v>54.045500821302042</v>
      </c>
      <c r="AJ4064" s="9">
        <v>3.0428788910505911</v>
      </c>
    </row>
    <row r="4065" spans="1:36" x14ac:dyDescent="0.25">
      <c r="A4065" t="s">
        <v>5411</v>
      </c>
      <c r="B4065" t="s">
        <v>16</v>
      </c>
      <c r="C4065" t="s">
        <v>17</v>
      </c>
      <c r="D4065">
        <v>73950000</v>
      </c>
      <c r="E4065">
        <v>73969999</v>
      </c>
      <c r="F4065" t="s">
        <v>3705</v>
      </c>
      <c r="G4065" t="str">
        <f t="shared" si="126"/>
        <v>GOI</v>
      </c>
      <c r="H4065" t="s">
        <v>3672</v>
      </c>
      <c r="I4065" t="s">
        <v>20</v>
      </c>
      <c r="J4065" t="s">
        <v>62</v>
      </c>
      <c r="K4065" s="6">
        <v>0.03</v>
      </c>
      <c r="L4065" s="7">
        <f t="shared" si="127"/>
        <v>2E-3</v>
      </c>
      <c r="M4065" s="7">
        <v>3.0000000000000001E-3</v>
      </c>
      <c r="N4065">
        <v>9</v>
      </c>
      <c r="O4065" s="8">
        <v>20.377140471637041</v>
      </c>
      <c r="P4065" s="9">
        <v>20.377140471637041</v>
      </c>
      <c r="Q4065" s="9">
        <v>20.377140471637041</v>
      </c>
      <c r="R4065" s="9">
        <v>21.402978767052765</v>
      </c>
      <c r="S4065" s="9">
        <v>22.589768980199143</v>
      </c>
      <c r="T4065" s="9">
        <v>24.040396091340774</v>
      </c>
      <c r="U4065" s="9">
        <v>25.448505028591189</v>
      </c>
      <c r="V4065" s="9">
        <v>25.448505028591189</v>
      </c>
      <c r="W4065" s="9">
        <v>25.448505028591189</v>
      </c>
      <c r="X4065" s="9">
        <v>28.109873114011638</v>
      </c>
      <c r="Y4065" s="9">
        <v>28.109873114011638</v>
      </c>
      <c r="Z4065" s="9">
        <v>30.975097350688763</v>
      </c>
      <c r="AA4065" s="9">
        <v>30.975097350688763</v>
      </c>
      <c r="AB4065" s="9">
        <v>34.370578528895656</v>
      </c>
      <c r="AC4065" s="9">
        <v>34.370578528895656</v>
      </c>
      <c r="AD4065" s="9">
        <v>39.013187474230911</v>
      </c>
      <c r="AE4065" s="9">
        <v>42.452173954636635</v>
      </c>
      <c r="AF4065" s="9">
        <v>47.478364248265585</v>
      </c>
      <c r="AG4065" s="9">
        <v>47.478364248265585</v>
      </c>
      <c r="AH4065" s="9">
        <v>50.815992158664379</v>
      </c>
      <c r="AI4065" s="9">
        <v>54.045500821302042</v>
      </c>
      <c r="AJ4065" s="9">
        <v>3.0428788910505911</v>
      </c>
    </row>
    <row r="4066" spans="1:36" x14ac:dyDescent="0.25">
      <c r="A4066" t="s">
        <v>5411</v>
      </c>
      <c r="B4066" t="s">
        <v>16</v>
      </c>
      <c r="C4066" t="s">
        <v>17</v>
      </c>
      <c r="D4066">
        <v>73970000</v>
      </c>
      <c r="E4066">
        <v>73974999</v>
      </c>
      <c r="F4066" t="s">
        <v>3706</v>
      </c>
      <c r="G4066" t="str">
        <f t="shared" si="126"/>
        <v>GOI</v>
      </c>
      <c r="H4066" t="s">
        <v>3672</v>
      </c>
      <c r="I4066" t="s">
        <v>20</v>
      </c>
      <c r="J4066" t="s">
        <v>62</v>
      </c>
      <c r="K4066" s="6">
        <v>0.03</v>
      </c>
      <c r="L4066" s="7">
        <f t="shared" si="127"/>
        <v>2E-3</v>
      </c>
      <c r="M4066" s="7">
        <v>3.0000000000000001E-3</v>
      </c>
      <c r="N4066">
        <v>9</v>
      </c>
      <c r="O4066" s="8">
        <v>20.377140471637041</v>
      </c>
      <c r="P4066" s="9">
        <v>20.377140471637041</v>
      </c>
      <c r="Q4066" s="9">
        <v>20.377140471637041</v>
      </c>
      <c r="R4066" s="9">
        <v>21.402978767052765</v>
      </c>
      <c r="S4066" s="9">
        <v>22.589768980199143</v>
      </c>
      <c r="T4066" s="9">
        <v>24.040396091340774</v>
      </c>
      <c r="U4066" s="9">
        <v>25.448505028591189</v>
      </c>
      <c r="V4066" s="9">
        <v>25.448505028591189</v>
      </c>
      <c r="W4066" s="9">
        <v>25.448505028591189</v>
      </c>
      <c r="X4066" s="9">
        <v>28.109873114011638</v>
      </c>
      <c r="Y4066" s="9">
        <v>28.109873114011638</v>
      </c>
      <c r="Z4066" s="9">
        <v>30.975097350688763</v>
      </c>
      <c r="AA4066" s="9">
        <v>30.975097350688763</v>
      </c>
      <c r="AB4066" s="9">
        <v>34.370578528895656</v>
      </c>
      <c r="AC4066" s="9">
        <v>34.370578528895656</v>
      </c>
      <c r="AD4066" s="9">
        <v>39.013187474230911</v>
      </c>
      <c r="AE4066" s="9">
        <v>42.452173954636635</v>
      </c>
      <c r="AF4066" s="9">
        <v>47.478364248265585</v>
      </c>
      <c r="AG4066" s="9">
        <v>47.478364248265585</v>
      </c>
      <c r="AH4066" s="9">
        <v>50.815992158664379</v>
      </c>
      <c r="AI4066" s="9">
        <v>54.045500821302042</v>
      </c>
      <c r="AJ4066" s="9">
        <v>3.0428788910505911</v>
      </c>
    </row>
    <row r="4067" spans="1:36" x14ac:dyDescent="0.25">
      <c r="A4067" t="s">
        <v>5411</v>
      </c>
      <c r="B4067" t="s">
        <v>16</v>
      </c>
      <c r="C4067" t="s">
        <v>17</v>
      </c>
      <c r="D4067">
        <v>73975000</v>
      </c>
      <c r="E4067">
        <v>73979999</v>
      </c>
      <c r="F4067" t="s">
        <v>3707</v>
      </c>
      <c r="G4067" t="str">
        <f t="shared" si="126"/>
        <v>GOI</v>
      </c>
      <c r="H4067" t="s">
        <v>3672</v>
      </c>
      <c r="I4067" t="s">
        <v>20</v>
      </c>
      <c r="J4067" t="s">
        <v>62</v>
      </c>
      <c r="K4067" s="6">
        <v>0.03</v>
      </c>
      <c r="L4067" s="7">
        <f t="shared" si="127"/>
        <v>2E-3</v>
      </c>
      <c r="M4067" s="7">
        <v>3.0000000000000001E-3</v>
      </c>
      <c r="N4067">
        <v>9</v>
      </c>
      <c r="O4067" s="8">
        <v>20.377140471637041</v>
      </c>
      <c r="P4067" s="9">
        <v>20.377140471637041</v>
      </c>
      <c r="Q4067" s="9">
        <v>20.377140471637041</v>
      </c>
      <c r="R4067" s="9">
        <v>21.402978767052765</v>
      </c>
      <c r="S4067" s="9">
        <v>22.589768980199143</v>
      </c>
      <c r="T4067" s="9">
        <v>24.040396091340774</v>
      </c>
      <c r="U4067" s="9">
        <v>25.448505028591189</v>
      </c>
      <c r="V4067" s="9">
        <v>25.448505028591189</v>
      </c>
      <c r="W4067" s="9">
        <v>25.448505028591189</v>
      </c>
      <c r="X4067" s="9">
        <v>28.109873114011638</v>
      </c>
      <c r="Y4067" s="9">
        <v>28.109873114011638</v>
      </c>
      <c r="Z4067" s="9">
        <v>30.975097350688763</v>
      </c>
      <c r="AA4067" s="9">
        <v>30.975097350688763</v>
      </c>
      <c r="AB4067" s="9">
        <v>34.370578528895656</v>
      </c>
      <c r="AC4067" s="9">
        <v>34.370578528895656</v>
      </c>
      <c r="AD4067" s="9">
        <v>39.013187474230911</v>
      </c>
      <c r="AE4067" s="9">
        <v>42.452173954636635</v>
      </c>
      <c r="AF4067" s="9">
        <v>47.478364248265585</v>
      </c>
      <c r="AG4067" s="9">
        <v>47.478364248265585</v>
      </c>
      <c r="AH4067" s="9">
        <v>50.815992158664379</v>
      </c>
      <c r="AI4067" s="9">
        <v>54.045500821302042</v>
      </c>
      <c r="AJ4067" s="9">
        <v>3.0428788910505911</v>
      </c>
    </row>
    <row r="4068" spans="1:36" x14ac:dyDescent="0.25">
      <c r="A4068" t="s">
        <v>5411</v>
      </c>
      <c r="B4068" t="s">
        <v>16</v>
      </c>
      <c r="C4068" t="s">
        <v>17</v>
      </c>
      <c r="D4068">
        <v>73980000</v>
      </c>
      <c r="E4068">
        <v>73989999</v>
      </c>
      <c r="F4068" t="s">
        <v>3708</v>
      </c>
      <c r="G4068" t="str">
        <f t="shared" si="126"/>
        <v>GOI</v>
      </c>
      <c r="H4068" t="s">
        <v>3672</v>
      </c>
      <c r="I4068" t="s">
        <v>20</v>
      </c>
      <c r="J4068" t="s">
        <v>62</v>
      </c>
      <c r="K4068" s="6">
        <v>0.03</v>
      </c>
      <c r="L4068" s="7">
        <f t="shared" si="127"/>
        <v>2E-3</v>
      </c>
      <c r="M4068" s="7">
        <v>3.0000000000000001E-3</v>
      </c>
      <c r="N4068">
        <v>9</v>
      </c>
      <c r="O4068" s="8">
        <v>20.377140471637041</v>
      </c>
      <c r="P4068" s="9">
        <v>20.377140471637041</v>
      </c>
      <c r="Q4068" s="9">
        <v>20.377140471637041</v>
      </c>
      <c r="R4068" s="9">
        <v>21.402978767052765</v>
      </c>
      <c r="S4068" s="9">
        <v>22.589768980199143</v>
      </c>
      <c r="T4068" s="9">
        <v>24.040396091340774</v>
      </c>
      <c r="U4068" s="9">
        <v>25.448505028591189</v>
      </c>
      <c r="V4068" s="9">
        <v>25.448505028591189</v>
      </c>
      <c r="W4068" s="9">
        <v>25.448505028591189</v>
      </c>
      <c r="X4068" s="9">
        <v>28.109873114011638</v>
      </c>
      <c r="Y4068" s="9">
        <v>28.109873114011638</v>
      </c>
      <c r="Z4068" s="9">
        <v>30.975097350688763</v>
      </c>
      <c r="AA4068" s="9">
        <v>30.975097350688763</v>
      </c>
      <c r="AB4068" s="9">
        <v>34.370578528895656</v>
      </c>
      <c r="AC4068" s="9">
        <v>34.370578528895656</v>
      </c>
      <c r="AD4068" s="9">
        <v>39.013187474230911</v>
      </c>
      <c r="AE4068" s="9">
        <v>42.452173954636635</v>
      </c>
      <c r="AF4068" s="9">
        <v>47.478364248265585</v>
      </c>
      <c r="AG4068" s="9">
        <v>47.478364248265585</v>
      </c>
      <c r="AH4068" s="9">
        <v>50.815992158664379</v>
      </c>
      <c r="AI4068" s="9">
        <v>54.045500821302042</v>
      </c>
      <c r="AJ4068" s="9">
        <v>3.0428788910505911</v>
      </c>
    </row>
    <row r="4069" spans="1:36" x14ac:dyDescent="0.25">
      <c r="A4069" t="s">
        <v>5411</v>
      </c>
      <c r="B4069" t="s">
        <v>16</v>
      </c>
      <c r="C4069" t="s">
        <v>17</v>
      </c>
      <c r="D4069">
        <v>73990000</v>
      </c>
      <c r="E4069">
        <v>73999999</v>
      </c>
      <c r="F4069" t="s">
        <v>3709</v>
      </c>
      <c r="G4069" t="str">
        <f t="shared" si="126"/>
        <v>GOI</v>
      </c>
      <c r="H4069" t="s">
        <v>3672</v>
      </c>
      <c r="I4069" t="s">
        <v>20</v>
      </c>
      <c r="J4069" t="s">
        <v>62</v>
      </c>
      <c r="K4069" s="6">
        <v>0.03</v>
      </c>
      <c r="L4069" s="7">
        <f t="shared" si="127"/>
        <v>2E-3</v>
      </c>
      <c r="M4069" s="7">
        <v>3.0000000000000001E-3</v>
      </c>
      <c r="N4069">
        <v>9</v>
      </c>
      <c r="O4069" s="8">
        <v>20.377140471637041</v>
      </c>
      <c r="P4069" s="9">
        <v>20.377140471637041</v>
      </c>
      <c r="Q4069" s="9">
        <v>20.377140471637041</v>
      </c>
      <c r="R4069" s="9">
        <v>21.402978767052765</v>
      </c>
      <c r="S4069" s="9">
        <v>22.589768980199143</v>
      </c>
      <c r="T4069" s="9">
        <v>24.040396091340774</v>
      </c>
      <c r="U4069" s="9">
        <v>25.448505028591189</v>
      </c>
      <c r="V4069" s="9">
        <v>25.448505028591189</v>
      </c>
      <c r="W4069" s="9">
        <v>25.448505028591189</v>
      </c>
      <c r="X4069" s="9">
        <v>28.109873114011638</v>
      </c>
      <c r="Y4069" s="9">
        <v>28.109873114011638</v>
      </c>
      <c r="Z4069" s="9">
        <v>30.975097350688763</v>
      </c>
      <c r="AA4069" s="9">
        <v>30.975097350688763</v>
      </c>
      <c r="AB4069" s="9">
        <v>34.370578528895656</v>
      </c>
      <c r="AC4069" s="9">
        <v>34.370578528895656</v>
      </c>
      <c r="AD4069" s="9">
        <v>39.013187474230911</v>
      </c>
      <c r="AE4069" s="9">
        <v>42.452173954636635</v>
      </c>
      <c r="AF4069" s="9">
        <v>47.478364248265585</v>
      </c>
      <c r="AG4069" s="9">
        <v>47.478364248265585</v>
      </c>
      <c r="AH4069" s="9">
        <v>50.815992158664379</v>
      </c>
      <c r="AI4069" s="9">
        <v>54.045500821302042</v>
      </c>
      <c r="AJ4069" s="9">
        <v>3.0428788910505911</v>
      </c>
    </row>
    <row r="4070" spans="1:36" x14ac:dyDescent="0.25">
      <c r="A4070" t="s">
        <v>5411</v>
      </c>
      <c r="B4070" t="s">
        <v>16</v>
      </c>
      <c r="C4070" t="s">
        <v>17</v>
      </c>
      <c r="D4070">
        <v>74000000</v>
      </c>
      <c r="E4070">
        <v>74120009</v>
      </c>
      <c r="F4070" t="s">
        <v>3710</v>
      </c>
      <c r="G4070" t="str">
        <f t="shared" si="126"/>
        <v>GOC</v>
      </c>
      <c r="H4070" t="s">
        <v>3672</v>
      </c>
      <c r="I4070" t="s">
        <v>20</v>
      </c>
      <c r="J4070" t="s">
        <v>21</v>
      </c>
      <c r="K4070" s="6">
        <v>0.03</v>
      </c>
      <c r="L4070" s="7">
        <f t="shared" si="127"/>
        <v>2E-3</v>
      </c>
      <c r="M4070" s="7">
        <v>3.0000000000000001E-3</v>
      </c>
      <c r="N4070">
        <v>7</v>
      </c>
      <c r="O4070" s="8">
        <v>11.478641943446604</v>
      </c>
      <c r="P4070" s="9">
        <v>11.478641943446604</v>
      </c>
      <c r="Q4070" s="9">
        <v>11.478641943446604</v>
      </c>
      <c r="R4070" s="9">
        <v>14.326303429267389</v>
      </c>
      <c r="S4070" s="9">
        <v>14.754174455231563</v>
      </c>
      <c r="T4070" s="9">
        <v>15.275232034870987</v>
      </c>
      <c r="U4070" s="9">
        <v>16.753605255561901</v>
      </c>
      <c r="V4070" s="9">
        <v>16.753605255561901</v>
      </c>
      <c r="W4070" s="9">
        <v>16.753605255561901</v>
      </c>
      <c r="X4070" s="9">
        <v>19.409265192287389</v>
      </c>
      <c r="Y4070" s="9">
        <v>19.409265192287389</v>
      </c>
      <c r="Z4070" s="9">
        <v>22.605133112618322</v>
      </c>
      <c r="AA4070" s="9">
        <v>22.605133112618322</v>
      </c>
      <c r="AB4070" s="9">
        <v>26.059511928425973</v>
      </c>
      <c r="AC4070" s="9">
        <v>26.059511928425973</v>
      </c>
      <c r="AD4070" s="9">
        <v>31.356228944686265</v>
      </c>
      <c r="AE4070" s="9">
        <v>34.330716655212825</v>
      </c>
      <c r="AF4070" s="9">
        <v>38.308463003244775</v>
      </c>
      <c r="AG4070" s="9">
        <v>38.308463003244775</v>
      </c>
      <c r="AH4070" s="9">
        <v>41.490338047022625</v>
      </c>
      <c r="AI4070" s="9">
        <v>44.172042810136631</v>
      </c>
      <c r="AJ4070" s="9">
        <v>3.0428788910505911</v>
      </c>
    </row>
    <row r="4071" spans="1:36" x14ac:dyDescent="0.25">
      <c r="A4071" t="s">
        <v>5411</v>
      </c>
      <c r="B4071" t="s">
        <v>16</v>
      </c>
      <c r="C4071" t="s">
        <v>17</v>
      </c>
      <c r="D4071">
        <v>74120010</v>
      </c>
      <c r="E4071">
        <v>74215004</v>
      </c>
      <c r="F4071" t="s">
        <v>3710</v>
      </c>
      <c r="G4071" t="str">
        <f t="shared" si="126"/>
        <v>GOC</v>
      </c>
      <c r="H4071" t="s">
        <v>3672</v>
      </c>
      <c r="I4071" t="s">
        <v>20</v>
      </c>
      <c r="J4071" t="s">
        <v>21</v>
      </c>
      <c r="K4071" s="6">
        <v>0.03</v>
      </c>
      <c r="L4071" s="7">
        <f t="shared" si="127"/>
        <v>2E-3</v>
      </c>
      <c r="M4071" s="7">
        <v>3.0000000000000001E-3</v>
      </c>
      <c r="N4071">
        <v>7</v>
      </c>
      <c r="O4071" s="8">
        <v>11.478641943446604</v>
      </c>
      <c r="P4071" s="9">
        <v>11.478641943446604</v>
      </c>
      <c r="Q4071" s="9">
        <v>11.478641943446604</v>
      </c>
      <c r="R4071" s="9">
        <v>14.326303429267389</v>
      </c>
      <c r="S4071" s="9">
        <v>14.754174455231563</v>
      </c>
      <c r="T4071" s="9">
        <v>15.275232034870987</v>
      </c>
      <c r="U4071" s="9">
        <v>16.753605255561901</v>
      </c>
      <c r="V4071" s="9">
        <v>16.753605255561901</v>
      </c>
      <c r="W4071" s="9">
        <v>16.753605255561901</v>
      </c>
      <c r="X4071" s="9">
        <v>19.409265192287389</v>
      </c>
      <c r="Y4071" s="9">
        <v>19.409265192287389</v>
      </c>
      <c r="Z4071" s="9">
        <v>22.605133112618322</v>
      </c>
      <c r="AA4071" s="9">
        <v>22.605133112618322</v>
      </c>
      <c r="AB4071" s="9">
        <v>26.059511928425973</v>
      </c>
      <c r="AC4071" s="9">
        <v>26.059511928425973</v>
      </c>
      <c r="AD4071" s="9">
        <v>31.356228944686265</v>
      </c>
      <c r="AE4071" s="9">
        <v>34.330716655212825</v>
      </c>
      <c r="AF4071" s="9">
        <v>38.308463003244775</v>
      </c>
      <c r="AG4071" s="9">
        <v>38.308463003244775</v>
      </c>
      <c r="AH4071" s="9">
        <v>41.490338047022625</v>
      </c>
      <c r="AI4071" s="9">
        <v>44.172042810136631</v>
      </c>
      <c r="AJ4071" s="9">
        <v>3.0428788910505911</v>
      </c>
    </row>
    <row r="4072" spans="1:36" x14ac:dyDescent="0.25">
      <c r="A4072" t="s">
        <v>5411</v>
      </c>
      <c r="B4072" t="s">
        <v>16</v>
      </c>
      <c r="C4072" t="s">
        <v>17</v>
      </c>
      <c r="D4072">
        <v>74215005</v>
      </c>
      <c r="E4072">
        <v>74305009</v>
      </c>
      <c r="F4072" t="s">
        <v>3710</v>
      </c>
      <c r="G4072" t="str">
        <f t="shared" si="126"/>
        <v>GOC</v>
      </c>
      <c r="H4072" t="s">
        <v>3672</v>
      </c>
      <c r="I4072" t="s">
        <v>20</v>
      </c>
      <c r="J4072" t="s">
        <v>21</v>
      </c>
      <c r="K4072" s="6">
        <v>0.03</v>
      </c>
      <c r="L4072" s="7">
        <f t="shared" si="127"/>
        <v>2E-3</v>
      </c>
      <c r="M4072" s="7">
        <v>3.0000000000000001E-3</v>
      </c>
      <c r="N4072">
        <v>7</v>
      </c>
      <c r="O4072" s="8">
        <v>11.478641943446604</v>
      </c>
      <c r="P4072" s="9">
        <v>11.478641943446604</v>
      </c>
      <c r="Q4072" s="9">
        <v>11.478641943446604</v>
      </c>
      <c r="R4072" s="9">
        <v>14.326303429267389</v>
      </c>
      <c r="S4072" s="9">
        <v>14.754174455231563</v>
      </c>
      <c r="T4072" s="9">
        <v>15.275232034870987</v>
      </c>
      <c r="U4072" s="9">
        <v>16.753605255561901</v>
      </c>
      <c r="V4072" s="9">
        <v>16.753605255561901</v>
      </c>
      <c r="W4072" s="9">
        <v>16.753605255561901</v>
      </c>
      <c r="X4072" s="9">
        <v>19.409265192287389</v>
      </c>
      <c r="Y4072" s="9">
        <v>19.409265192287389</v>
      </c>
      <c r="Z4072" s="9">
        <v>22.605133112618322</v>
      </c>
      <c r="AA4072" s="9">
        <v>22.605133112618322</v>
      </c>
      <c r="AB4072" s="9">
        <v>26.059511928425973</v>
      </c>
      <c r="AC4072" s="9">
        <v>26.059511928425973</v>
      </c>
      <c r="AD4072" s="9">
        <v>31.356228944686265</v>
      </c>
      <c r="AE4072" s="9">
        <v>34.330716655212825</v>
      </c>
      <c r="AF4072" s="9">
        <v>38.308463003244775</v>
      </c>
      <c r="AG4072" s="9">
        <v>38.308463003244775</v>
      </c>
      <c r="AH4072" s="9">
        <v>41.490338047022625</v>
      </c>
      <c r="AI4072" s="9">
        <v>44.172042810136631</v>
      </c>
      <c r="AJ4072" s="9">
        <v>3.0428788910505911</v>
      </c>
    </row>
    <row r="4073" spans="1:36" x14ac:dyDescent="0.25">
      <c r="A4073" t="s">
        <v>5411</v>
      </c>
      <c r="B4073" t="s">
        <v>16</v>
      </c>
      <c r="C4073" t="s">
        <v>17</v>
      </c>
      <c r="D4073">
        <v>74305010</v>
      </c>
      <c r="E4073">
        <v>74425009</v>
      </c>
      <c r="F4073" t="s">
        <v>3710</v>
      </c>
      <c r="G4073" t="str">
        <f t="shared" si="126"/>
        <v>GOC</v>
      </c>
      <c r="H4073" t="s">
        <v>3672</v>
      </c>
      <c r="I4073" t="s">
        <v>20</v>
      </c>
      <c r="J4073" t="s">
        <v>21</v>
      </c>
      <c r="K4073" s="6">
        <v>0.03</v>
      </c>
      <c r="L4073" s="7">
        <f t="shared" si="127"/>
        <v>2E-3</v>
      </c>
      <c r="M4073" s="7">
        <v>3.0000000000000001E-3</v>
      </c>
      <c r="N4073">
        <v>7</v>
      </c>
      <c r="O4073" s="8">
        <v>11.478641943446604</v>
      </c>
      <c r="P4073" s="9">
        <v>11.478641943446604</v>
      </c>
      <c r="Q4073" s="9">
        <v>11.478641943446604</v>
      </c>
      <c r="R4073" s="9">
        <v>14.326303429267389</v>
      </c>
      <c r="S4073" s="9">
        <v>14.754174455231563</v>
      </c>
      <c r="T4073" s="9">
        <v>15.275232034870987</v>
      </c>
      <c r="U4073" s="9">
        <v>16.753605255561901</v>
      </c>
      <c r="V4073" s="9">
        <v>16.753605255561901</v>
      </c>
      <c r="W4073" s="9">
        <v>16.753605255561901</v>
      </c>
      <c r="X4073" s="9">
        <v>19.409265192287389</v>
      </c>
      <c r="Y4073" s="9">
        <v>19.409265192287389</v>
      </c>
      <c r="Z4073" s="9">
        <v>22.605133112618322</v>
      </c>
      <c r="AA4073" s="9">
        <v>22.605133112618322</v>
      </c>
      <c r="AB4073" s="9">
        <v>26.059511928425973</v>
      </c>
      <c r="AC4073" s="9">
        <v>26.059511928425973</v>
      </c>
      <c r="AD4073" s="9">
        <v>31.356228944686265</v>
      </c>
      <c r="AE4073" s="9">
        <v>34.330716655212825</v>
      </c>
      <c r="AF4073" s="9">
        <v>38.308463003244775</v>
      </c>
      <c r="AG4073" s="9">
        <v>38.308463003244775</v>
      </c>
      <c r="AH4073" s="9">
        <v>41.490338047022625</v>
      </c>
      <c r="AI4073" s="9">
        <v>44.172042810136631</v>
      </c>
      <c r="AJ4073" s="9">
        <v>3.0428788910505911</v>
      </c>
    </row>
    <row r="4074" spans="1:36" x14ac:dyDescent="0.25">
      <c r="A4074" t="s">
        <v>5411</v>
      </c>
      <c r="B4074" t="s">
        <v>16</v>
      </c>
      <c r="C4074" t="s">
        <v>17</v>
      </c>
      <c r="D4074">
        <v>74425010</v>
      </c>
      <c r="E4074">
        <v>74503099</v>
      </c>
      <c r="F4074" t="s">
        <v>3710</v>
      </c>
      <c r="G4074" t="str">
        <f t="shared" si="126"/>
        <v>GOC</v>
      </c>
      <c r="H4074" t="s">
        <v>3672</v>
      </c>
      <c r="I4074" t="s">
        <v>20</v>
      </c>
      <c r="J4074" t="s">
        <v>21</v>
      </c>
      <c r="K4074" s="6">
        <v>0.03</v>
      </c>
      <c r="L4074" s="7">
        <f t="shared" si="127"/>
        <v>2E-3</v>
      </c>
      <c r="M4074" s="7">
        <v>3.0000000000000001E-3</v>
      </c>
      <c r="N4074">
        <v>7</v>
      </c>
      <c r="O4074" s="8">
        <v>11.478641943446604</v>
      </c>
      <c r="P4074" s="9">
        <v>11.478641943446604</v>
      </c>
      <c r="Q4074" s="9">
        <v>11.478641943446604</v>
      </c>
      <c r="R4074" s="9">
        <v>14.326303429267389</v>
      </c>
      <c r="S4074" s="9">
        <v>14.754174455231563</v>
      </c>
      <c r="T4074" s="9">
        <v>15.275232034870987</v>
      </c>
      <c r="U4074" s="9">
        <v>16.753605255561901</v>
      </c>
      <c r="V4074" s="9">
        <v>16.753605255561901</v>
      </c>
      <c r="W4074" s="9">
        <v>16.753605255561901</v>
      </c>
      <c r="X4074" s="9">
        <v>19.409265192287389</v>
      </c>
      <c r="Y4074" s="9">
        <v>19.409265192287389</v>
      </c>
      <c r="Z4074" s="9">
        <v>22.605133112618322</v>
      </c>
      <c r="AA4074" s="9">
        <v>22.605133112618322</v>
      </c>
      <c r="AB4074" s="9">
        <v>26.059511928425973</v>
      </c>
      <c r="AC4074" s="9">
        <v>26.059511928425973</v>
      </c>
      <c r="AD4074" s="9">
        <v>31.356228944686265</v>
      </c>
      <c r="AE4074" s="9">
        <v>34.330716655212825</v>
      </c>
      <c r="AF4074" s="9">
        <v>38.308463003244775</v>
      </c>
      <c r="AG4074" s="9">
        <v>38.308463003244775</v>
      </c>
      <c r="AH4074" s="9">
        <v>41.490338047022625</v>
      </c>
      <c r="AI4074" s="9">
        <v>44.172042810136631</v>
      </c>
      <c r="AJ4074" s="9">
        <v>3.0428788910505911</v>
      </c>
    </row>
    <row r="4075" spans="1:36" x14ac:dyDescent="0.25">
      <c r="A4075" t="s">
        <v>5411</v>
      </c>
      <c r="B4075" t="s">
        <v>16</v>
      </c>
      <c r="C4075" t="s">
        <v>17</v>
      </c>
      <c r="D4075">
        <v>74503100</v>
      </c>
      <c r="E4075">
        <v>74645004</v>
      </c>
      <c r="F4075" t="s">
        <v>3710</v>
      </c>
      <c r="G4075" t="str">
        <f t="shared" si="126"/>
        <v>GOC</v>
      </c>
      <c r="H4075" t="s">
        <v>3672</v>
      </c>
      <c r="I4075" t="s">
        <v>20</v>
      </c>
      <c r="J4075" t="s">
        <v>21</v>
      </c>
      <c r="K4075" s="6">
        <v>0.03</v>
      </c>
      <c r="L4075" s="7">
        <f t="shared" si="127"/>
        <v>2E-3</v>
      </c>
      <c r="M4075" s="7">
        <v>3.0000000000000001E-3</v>
      </c>
      <c r="N4075">
        <v>7</v>
      </c>
      <c r="O4075" s="8">
        <v>11.478641943446604</v>
      </c>
      <c r="P4075" s="9">
        <v>11.478641943446604</v>
      </c>
      <c r="Q4075" s="9">
        <v>11.478641943446604</v>
      </c>
      <c r="R4075" s="9">
        <v>14.326303429267389</v>
      </c>
      <c r="S4075" s="9">
        <v>14.754174455231563</v>
      </c>
      <c r="T4075" s="9">
        <v>15.275232034870987</v>
      </c>
      <c r="U4075" s="9">
        <v>16.753605255561901</v>
      </c>
      <c r="V4075" s="9">
        <v>16.753605255561901</v>
      </c>
      <c r="W4075" s="9">
        <v>16.753605255561901</v>
      </c>
      <c r="X4075" s="9">
        <v>19.409265192287389</v>
      </c>
      <c r="Y4075" s="9">
        <v>19.409265192287389</v>
      </c>
      <c r="Z4075" s="9">
        <v>22.605133112618322</v>
      </c>
      <c r="AA4075" s="9">
        <v>22.605133112618322</v>
      </c>
      <c r="AB4075" s="9">
        <v>26.059511928425973</v>
      </c>
      <c r="AC4075" s="9">
        <v>26.059511928425973</v>
      </c>
      <c r="AD4075" s="9">
        <v>31.356228944686265</v>
      </c>
      <c r="AE4075" s="9">
        <v>34.330716655212825</v>
      </c>
      <c r="AF4075" s="9">
        <v>38.308463003244775</v>
      </c>
      <c r="AG4075" s="9">
        <v>38.308463003244775</v>
      </c>
      <c r="AH4075" s="9">
        <v>41.490338047022625</v>
      </c>
      <c r="AI4075" s="9">
        <v>44.172042810136631</v>
      </c>
      <c r="AJ4075" s="9">
        <v>3.0428788910505911</v>
      </c>
    </row>
    <row r="4076" spans="1:36" x14ac:dyDescent="0.25">
      <c r="A4076" t="s">
        <v>5411</v>
      </c>
      <c r="B4076" t="s">
        <v>16</v>
      </c>
      <c r="C4076" t="s">
        <v>17</v>
      </c>
      <c r="D4076">
        <v>74645005</v>
      </c>
      <c r="E4076">
        <v>74710009</v>
      </c>
      <c r="F4076" t="s">
        <v>3710</v>
      </c>
      <c r="G4076" t="str">
        <f t="shared" si="126"/>
        <v>GOC</v>
      </c>
      <c r="H4076" t="s">
        <v>3672</v>
      </c>
      <c r="I4076" t="s">
        <v>20</v>
      </c>
      <c r="J4076" t="s">
        <v>21</v>
      </c>
      <c r="K4076" s="6">
        <v>0.03</v>
      </c>
      <c r="L4076" s="7">
        <f t="shared" si="127"/>
        <v>2E-3</v>
      </c>
      <c r="M4076" s="7">
        <v>3.0000000000000001E-3</v>
      </c>
      <c r="N4076">
        <v>7</v>
      </c>
      <c r="O4076" s="8">
        <v>11.478641943446604</v>
      </c>
      <c r="P4076" s="9">
        <v>11.478641943446604</v>
      </c>
      <c r="Q4076" s="9">
        <v>11.478641943446604</v>
      </c>
      <c r="R4076" s="9">
        <v>14.326303429267389</v>
      </c>
      <c r="S4076" s="9">
        <v>14.754174455231563</v>
      </c>
      <c r="T4076" s="9">
        <v>15.275232034870987</v>
      </c>
      <c r="U4076" s="9">
        <v>16.753605255561901</v>
      </c>
      <c r="V4076" s="9">
        <v>16.753605255561901</v>
      </c>
      <c r="W4076" s="9">
        <v>16.753605255561901</v>
      </c>
      <c r="X4076" s="9">
        <v>19.409265192287389</v>
      </c>
      <c r="Y4076" s="9">
        <v>19.409265192287389</v>
      </c>
      <c r="Z4076" s="9">
        <v>22.605133112618322</v>
      </c>
      <c r="AA4076" s="9">
        <v>22.605133112618322</v>
      </c>
      <c r="AB4076" s="9">
        <v>26.059511928425973</v>
      </c>
      <c r="AC4076" s="9">
        <v>26.059511928425973</v>
      </c>
      <c r="AD4076" s="9">
        <v>31.356228944686265</v>
      </c>
      <c r="AE4076" s="9">
        <v>34.330716655212825</v>
      </c>
      <c r="AF4076" s="9">
        <v>38.308463003244775</v>
      </c>
      <c r="AG4076" s="9">
        <v>38.308463003244775</v>
      </c>
      <c r="AH4076" s="9">
        <v>41.490338047022625</v>
      </c>
      <c r="AI4076" s="9">
        <v>44.172042810136631</v>
      </c>
      <c r="AJ4076" s="9">
        <v>3.0428788910505911</v>
      </c>
    </row>
    <row r="4077" spans="1:36" x14ac:dyDescent="0.25">
      <c r="A4077" t="s">
        <v>5411</v>
      </c>
      <c r="B4077" t="s">
        <v>16</v>
      </c>
      <c r="C4077" t="s">
        <v>17</v>
      </c>
      <c r="D4077">
        <v>74710010</v>
      </c>
      <c r="E4077">
        <v>74815009</v>
      </c>
      <c r="F4077" t="s">
        <v>3710</v>
      </c>
      <c r="G4077" t="str">
        <f t="shared" si="126"/>
        <v>GOC</v>
      </c>
      <c r="H4077" t="s">
        <v>3672</v>
      </c>
      <c r="I4077" t="s">
        <v>20</v>
      </c>
      <c r="J4077" t="s">
        <v>21</v>
      </c>
      <c r="K4077" s="6">
        <v>0.03</v>
      </c>
      <c r="L4077" s="7">
        <f t="shared" si="127"/>
        <v>2E-3</v>
      </c>
      <c r="M4077" s="7">
        <v>3.0000000000000001E-3</v>
      </c>
      <c r="N4077">
        <v>7</v>
      </c>
      <c r="O4077" s="8">
        <v>11.478641943446604</v>
      </c>
      <c r="P4077" s="9">
        <v>11.478641943446604</v>
      </c>
      <c r="Q4077" s="9">
        <v>11.478641943446604</v>
      </c>
      <c r="R4077" s="9">
        <v>14.326303429267389</v>
      </c>
      <c r="S4077" s="9">
        <v>14.754174455231563</v>
      </c>
      <c r="T4077" s="9">
        <v>15.275232034870987</v>
      </c>
      <c r="U4077" s="9">
        <v>16.753605255561901</v>
      </c>
      <c r="V4077" s="9">
        <v>16.753605255561901</v>
      </c>
      <c r="W4077" s="9">
        <v>16.753605255561901</v>
      </c>
      <c r="X4077" s="9">
        <v>19.409265192287389</v>
      </c>
      <c r="Y4077" s="9">
        <v>19.409265192287389</v>
      </c>
      <c r="Z4077" s="9">
        <v>22.605133112618322</v>
      </c>
      <c r="AA4077" s="9">
        <v>22.605133112618322</v>
      </c>
      <c r="AB4077" s="9">
        <v>26.059511928425973</v>
      </c>
      <c r="AC4077" s="9">
        <v>26.059511928425973</v>
      </c>
      <c r="AD4077" s="9">
        <v>31.356228944686265</v>
      </c>
      <c r="AE4077" s="9">
        <v>34.330716655212825</v>
      </c>
      <c r="AF4077" s="9">
        <v>38.308463003244775</v>
      </c>
      <c r="AG4077" s="9">
        <v>38.308463003244775</v>
      </c>
      <c r="AH4077" s="9">
        <v>41.490338047022625</v>
      </c>
      <c r="AI4077" s="9">
        <v>44.172042810136631</v>
      </c>
      <c r="AJ4077" s="9">
        <v>3.0428788910505911</v>
      </c>
    </row>
    <row r="4078" spans="1:36" x14ac:dyDescent="0.25">
      <c r="A4078" t="s">
        <v>5411</v>
      </c>
      <c r="B4078" t="s">
        <v>16</v>
      </c>
      <c r="C4078" t="s">
        <v>17</v>
      </c>
      <c r="D4078">
        <v>74815010</v>
      </c>
      <c r="E4078">
        <v>74899999</v>
      </c>
      <c r="F4078" t="s">
        <v>3710</v>
      </c>
      <c r="G4078" t="str">
        <f t="shared" si="126"/>
        <v>GOC</v>
      </c>
      <c r="H4078" t="s">
        <v>3672</v>
      </c>
      <c r="I4078" t="s">
        <v>20</v>
      </c>
      <c r="J4078" t="s">
        <v>21</v>
      </c>
      <c r="K4078" s="6">
        <v>0.03</v>
      </c>
      <c r="L4078" s="7">
        <f t="shared" si="127"/>
        <v>2E-3</v>
      </c>
      <c r="M4078" s="7">
        <v>3.0000000000000001E-3</v>
      </c>
      <c r="N4078">
        <v>7</v>
      </c>
      <c r="O4078" s="8">
        <v>11.478641943446604</v>
      </c>
      <c r="P4078" s="9">
        <v>11.478641943446604</v>
      </c>
      <c r="Q4078" s="9">
        <v>11.478641943446604</v>
      </c>
      <c r="R4078" s="9">
        <v>14.326303429267389</v>
      </c>
      <c r="S4078" s="9">
        <v>14.754174455231563</v>
      </c>
      <c r="T4078" s="9">
        <v>15.275232034870987</v>
      </c>
      <c r="U4078" s="9">
        <v>16.753605255561901</v>
      </c>
      <c r="V4078" s="9">
        <v>16.753605255561901</v>
      </c>
      <c r="W4078" s="9">
        <v>16.753605255561901</v>
      </c>
      <c r="X4078" s="9">
        <v>19.409265192287389</v>
      </c>
      <c r="Y4078" s="9">
        <v>19.409265192287389</v>
      </c>
      <c r="Z4078" s="9">
        <v>22.605133112618322</v>
      </c>
      <c r="AA4078" s="9">
        <v>22.605133112618322</v>
      </c>
      <c r="AB4078" s="9">
        <v>26.059511928425973</v>
      </c>
      <c r="AC4078" s="9">
        <v>26.059511928425973</v>
      </c>
      <c r="AD4078" s="9">
        <v>31.356228944686265</v>
      </c>
      <c r="AE4078" s="9">
        <v>34.330716655212825</v>
      </c>
      <c r="AF4078" s="9">
        <v>38.308463003244775</v>
      </c>
      <c r="AG4078" s="9">
        <v>38.308463003244775</v>
      </c>
      <c r="AH4078" s="9">
        <v>41.490338047022625</v>
      </c>
      <c r="AI4078" s="9">
        <v>44.172042810136631</v>
      </c>
      <c r="AJ4078" s="9">
        <v>3.0428788910505911</v>
      </c>
    </row>
    <row r="4079" spans="1:36" x14ac:dyDescent="0.25">
      <c r="A4079" t="s">
        <v>5411</v>
      </c>
      <c r="B4079" t="s">
        <v>16</v>
      </c>
      <c r="C4079" t="s">
        <v>17</v>
      </c>
      <c r="D4079">
        <v>74900000</v>
      </c>
      <c r="E4079">
        <v>74999999</v>
      </c>
      <c r="F4079" t="s">
        <v>3711</v>
      </c>
      <c r="G4079" t="str">
        <f t="shared" si="126"/>
        <v>GOI</v>
      </c>
      <c r="H4079" t="s">
        <v>3672</v>
      </c>
      <c r="I4079" t="s">
        <v>20</v>
      </c>
      <c r="J4079" t="s">
        <v>62</v>
      </c>
      <c r="K4079" s="6">
        <v>0.03</v>
      </c>
      <c r="L4079" s="7">
        <f t="shared" si="127"/>
        <v>2E-3</v>
      </c>
      <c r="M4079" s="7">
        <v>3.0000000000000001E-3</v>
      </c>
      <c r="N4079">
        <v>8</v>
      </c>
      <c r="O4079" s="8">
        <v>20.377140471637041</v>
      </c>
      <c r="P4079" s="9">
        <v>20.377140471637041</v>
      </c>
      <c r="Q4079" s="9">
        <v>20.377140471637041</v>
      </c>
      <c r="R4079" s="9">
        <v>21.402978767052765</v>
      </c>
      <c r="S4079" s="9">
        <v>22.589768980199143</v>
      </c>
      <c r="T4079" s="9">
        <v>24.040396091340774</v>
      </c>
      <c r="U4079" s="9">
        <v>25.448505028591189</v>
      </c>
      <c r="V4079" s="9">
        <v>25.448505028591189</v>
      </c>
      <c r="W4079" s="9">
        <v>25.448505028591189</v>
      </c>
      <c r="X4079" s="9">
        <v>28.109873114011638</v>
      </c>
      <c r="Y4079" s="9">
        <v>28.109873114011638</v>
      </c>
      <c r="Z4079" s="9">
        <v>30.975097350688763</v>
      </c>
      <c r="AA4079" s="9">
        <v>30.975097350688763</v>
      </c>
      <c r="AB4079" s="9">
        <v>34.370578528895656</v>
      </c>
      <c r="AC4079" s="9">
        <v>34.370578528895656</v>
      </c>
      <c r="AD4079" s="9">
        <v>39.013187474230911</v>
      </c>
      <c r="AE4079" s="9">
        <v>42.452173954636635</v>
      </c>
      <c r="AF4079" s="9">
        <v>47.478364248265585</v>
      </c>
      <c r="AG4079" s="9">
        <v>47.478364248265585</v>
      </c>
      <c r="AH4079" s="9">
        <v>50.815992158664379</v>
      </c>
      <c r="AI4079" s="9">
        <v>54.045500821302042</v>
      </c>
      <c r="AJ4079" s="9">
        <v>3.0428788910505911</v>
      </c>
    </row>
    <row r="4080" spans="1:36" x14ac:dyDescent="0.25">
      <c r="A4080" t="s">
        <v>5411</v>
      </c>
      <c r="B4080" t="s">
        <v>16</v>
      </c>
      <c r="C4080" t="s">
        <v>17</v>
      </c>
      <c r="D4080">
        <v>75000000</v>
      </c>
      <c r="E4080">
        <v>75019999</v>
      </c>
      <c r="F4080" t="s">
        <v>3712</v>
      </c>
      <c r="G4080" t="str">
        <f t="shared" si="126"/>
        <v>GOI</v>
      </c>
      <c r="H4080" t="s">
        <v>3672</v>
      </c>
      <c r="I4080" t="s">
        <v>20</v>
      </c>
      <c r="J4080" t="s">
        <v>62</v>
      </c>
      <c r="K4080" s="6">
        <v>0.03</v>
      </c>
      <c r="L4080" s="7">
        <f t="shared" si="127"/>
        <v>2E-3</v>
      </c>
      <c r="M4080" s="7">
        <v>3.0000000000000001E-3</v>
      </c>
      <c r="N4080">
        <v>8</v>
      </c>
      <c r="O4080" s="8">
        <v>20.377140471637041</v>
      </c>
      <c r="P4080" s="9">
        <v>20.377140471637041</v>
      </c>
      <c r="Q4080" s="9">
        <v>20.377140471637041</v>
      </c>
      <c r="R4080" s="9">
        <v>21.402978767052765</v>
      </c>
      <c r="S4080" s="9">
        <v>22.589768980199143</v>
      </c>
      <c r="T4080" s="9">
        <v>24.040396091340774</v>
      </c>
      <c r="U4080" s="9">
        <v>25.448505028591189</v>
      </c>
      <c r="V4080" s="9">
        <v>25.448505028591189</v>
      </c>
      <c r="W4080" s="9">
        <v>25.448505028591189</v>
      </c>
      <c r="X4080" s="9">
        <v>28.109873114011638</v>
      </c>
      <c r="Y4080" s="9">
        <v>28.109873114011638</v>
      </c>
      <c r="Z4080" s="9">
        <v>30.975097350688763</v>
      </c>
      <c r="AA4080" s="9">
        <v>30.975097350688763</v>
      </c>
      <c r="AB4080" s="9">
        <v>34.370578528895656</v>
      </c>
      <c r="AC4080" s="9">
        <v>34.370578528895656</v>
      </c>
      <c r="AD4080" s="9">
        <v>39.013187474230911</v>
      </c>
      <c r="AE4080" s="9">
        <v>42.452173954636635</v>
      </c>
      <c r="AF4080" s="9">
        <v>47.478364248265585</v>
      </c>
      <c r="AG4080" s="9">
        <v>47.478364248265585</v>
      </c>
      <c r="AH4080" s="9">
        <v>50.815992158664379</v>
      </c>
      <c r="AI4080" s="9">
        <v>54.045500821302042</v>
      </c>
      <c r="AJ4080" s="9">
        <v>3.0428788910505911</v>
      </c>
    </row>
    <row r="4081" spans="1:36" x14ac:dyDescent="0.25">
      <c r="A4081" t="s">
        <v>5411</v>
      </c>
      <c r="B4081" t="s">
        <v>16</v>
      </c>
      <c r="C4081" t="s">
        <v>17</v>
      </c>
      <c r="D4081">
        <v>75020000</v>
      </c>
      <c r="E4081">
        <v>75114009</v>
      </c>
      <c r="F4081" t="s">
        <v>3712</v>
      </c>
      <c r="G4081" t="str">
        <f t="shared" si="126"/>
        <v>GOI</v>
      </c>
      <c r="H4081" t="s">
        <v>3672</v>
      </c>
      <c r="I4081" t="s">
        <v>20</v>
      </c>
      <c r="J4081" t="s">
        <v>62</v>
      </c>
      <c r="K4081" s="6">
        <v>0.03</v>
      </c>
      <c r="L4081" s="7">
        <f t="shared" si="127"/>
        <v>2E-3</v>
      </c>
      <c r="M4081" s="7">
        <v>3.0000000000000001E-3</v>
      </c>
      <c r="N4081">
        <v>11</v>
      </c>
      <c r="O4081" s="8">
        <v>20.377140471637041</v>
      </c>
      <c r="P4081" s="9">
        <v>20.377140471637041</v>
      </c>
      <c r="Q4081" s="9">
        <v>20.377140471637041</v>
      </c>
      <c r="R4081" s="9">
        <v>21.402978767052765</v>
      </c>
      <c r="S4081" s="9">
        <v>22.589768980199143</v>
      </c>
      <c r="T4081" s="9">
        <v>24.040396091340774</v>
      </c>
      <c r="U4081" s="9">
        <v>25.448505028591189</v>
      </c>
      <c r="V4081" s="9">
        <v>25.448505028591189</v>
      </c>
      <c r="W4081" s="9">
        <v>25.448505028591189</v>
      </c>
      <c r="X4081" s="9">
        <v>28.109873114011638</v>
      </c>
      <c r="Y4081" s="9">
        <v>28.109873114011638</v>
      </c>
      <c r="Z4081" s="9">
        <v>30.975097350688763</v>
      </c>
      <c r="AA4081" s="9">
        <v>30.975097350688763</v>
      </c>
      <c r="AB4081" s="9">
        <v>34.370578528895656</v>
      </c>
      <c r="AC4081" s="9">
        <v>34.370578528895656</v>
      </c>
      <c r="AD4081" s="9">
        <v>39.013187474230911</v>
      </c>
      <c r="AE4081" s="9">
        <v>42.452173954636635</v>
      </c>
      <c r="AF4081" s="9">
        <v>47.478364248265585</v>
      </c>
      <c r="AG4081" s="9">
        <v>47.478364248265585</v>
      </c>
      <c r="AH4081" s="9">
        <v>50.815992158664379</v>
      </c>
      <c r="AI4081" s="9">
        <v>54.045500821302042</v>
      </c>
      <c r="AJ4081" s="9">
        <v>3.0428788910505911</v>
      </c>
    </row>
    <row r="4082" spans="1:36" x14ac:dyDescent="0.25">
      <c r="A4082" t="s">
        <v>5411</v>
      </c>
      <c r="B4082" t="s">
        <v>16</v>
      </c>
      <c r="C4082" t="s">
        <v>17</v>
      </c>
      <c r="D4082">
        <v>75114010</v>
      </c>
      <c r="E4082">
        <v>75159999</v>
      </c>
      <c r="F4082" t="s">
        <v>3712</v>
      </c>
      <c r="G4082" t="str">
        <f t="shared" si="126"/>
        <v>GOI</v>
      </c>
      <c r="H4082" t="s">
        <v>3672</v>
      </c>
      <c r="I4082" t="s">
        <v>20</v>
      </c>
      <c r="J4082" t="s">
        <v>62</v>
      </c>
      <c r="K4082" s="6">
        <v>0.03</v>
      </c>
      <c r="L4082" s="7">
        <f t="shared" si="127"/>
        <v>2E-3</v>
      </c>
      <c r="M4082" s="7">
        <v>3.0000000000000001E-3</v>
      </c>
      <c r="N4082">
        <v>11</v>
      </c>
      <c r="O4082" s="8">
        <v>20.377140471637041</v>
      </c>
      <c r="P4082" s="9">
        <v>20.377140471637041</v>
      </c>
      <c r="Q4082" s="9">
        <v>20.377140471637041</v>
      </c>
      <c r="R4082" s="9">
        <v>21.402978767052765</v>
      </c>
      <c r="S4082" s="9">
        <v>22.589768980199143</v>
      </c>
      <c r="T4082" s="9">
        <v>24.040396091340774</v>
      </c>
      <c r="U4082" s="9">
        <v>25.448505028591189</v>
      </c>
      <c r="V4082" s="9">
        <v>25.448505028591189</v>
      </c>
      <c r="W4082" s="9">
        <v>25.448505028591189</v>
      </c>
      <c r="X4082" s="9">
        <v>28.109873114011638</v>
      </c>
      <c r="Y4082" s="9">
        <v>28.109873114011638</v>
      </c>
      <c r="Z4082" s="9">
        <v>30.975097350688763</v>
      </c>
      <c r="AA4082" s="9">
        <v>30.975097350688763</v>
      </c>
      <c r="AB4082" s="9">
        <v>34.370578528895656</v>
      </c>
      <c r="AC4082" s="9">
        <v>34.370578528895656</v>
      </c>
      <c r="AD4082" s="9">
        <v>39.013187474230911</v>
      </c>
      <c r="AE4082" s="9">
        <v>42.452173954636635</v>
      </c>
      <c r="AF4082" s="9">
        <v>47.478364248265585</v>
      </c>
      <c r="AG4082" s="9">
        <v>47.478364248265585</v>
      </c>
      <c r="AH4082" s="9">
        <v>50.815992158664379</v>
      </c>
      <c r="AI4082" s="9">
        <v>54.045500821302042</v>
      </c>
      <c r="AJ4082" s="9">
        <v>3.0428788910505911</v>
      </c>
    </row>
    <row r="4083" spans="1:36" x14ac:dyDescent="0.25">
      <c r="A4083" t="s">
        <v>5411</v>
      </c>
      <c r="B4083" t="s">
        <v>16</v>
      </c>
      <c r="C4083" t="s">
        <v>17</v>
      </c>
      <c r="D4083">
        <v>75160000</v>
      </c>
      <c r="E4083">
        <v>75164999</v>
      </c>
      <c r="F4083" t="s">
        <v>3713</v>
      </c>
      <c r="G4083" t="str">
        <f t="shared" si="126"/>
        <v>GOI</v>
      </c>
      <c r="H4083" t="s">
        <v>3672</v>
      </c>
      <c r="I4083" t="s">
        <v>20</v>
      </c>
      <c r="J4083" t="s">
        <v>62</v>
      </c>
      <c r="K4083" s="6">
        <v>0.03</v>
      </c>
      <c r="L4083" s="7">
        <f t="shared" si="127"/>
        <v>2E-3</v>
      </c>
      <c r="M4083" s="7">
        <v>3.0000000000000001E-3</v>
      </c>
      <c r="N4083">
        <v>9</v>
      </c>
      <c r="O4083" s="8">
        <v>20.377140471637041</v>
      </c>
      <c r="P4083" s="9">
        <v>20.377140471637041</v>
      </c>
      <c r="Q4083" s="9">
        <v>20.377140471637041</v>
      </c>
      <c r="R4083" s="9">
        <v>21.402978767052765</v>
      </c>
      <c r="S4083" s="9">
        <v>22.589768980199143</v>
      </c>
      <c r="T4083" s="9">
        <v>24.040396091340774</v>
      </c>
      <c r="U4083" s="9">
        <v>25.448505028591189</v>
      </c>
      <c r="V4083" s="9">
        <v>25.448505028591189</v>
      </c>
      <c r="W4083" s="9">
        <v>25.448505028591189</v>
      </c>
      <c r="X4083" s="9">
        <v>28.109873114011638</v>
      </c>
      <c r="Y4083" s="9">
        <v>28.109873114011638</v>
      </c>
      <c r="Z4083" s="9">
        <v>30.975097350688763</v>
      </c>
      <c r="AA4083" s="9">
        <v>30.975097350688763</v>
      </c>
      <c r="AB4083" s="9">
        <v>34.370578528895656</v>
      </c>
      <c r="AC4083" s="9">
        <v>34.370578528895656</v>
      </c>
      <c r="AD4083" s="9">
        <v>39.013187474230911</v>
      </c>
      <c r="AE4083" s="9">
        <v>42.452173954636635</v>
      </c>
      <c r="AF4083" s="9">
        <v>47.478364248265585</v>
      </c>
      <c r="AG4083" s="9">
        <v>47.478364248265585</v>
      </c>
      <c r="AH4083" s="9">
        <v>50.815992158664379</v>
      </c>
      <c r="AI4083" s="9">
        <v>54.045500821302042</v>
      </c>
      <c r="AJ4083" s="9">
        <v>3.0428788910505911</v>
      </c>
    </row>
    <row r="4084" spans="1:36" x14ac:dyDescent="0.25">
      <c r="A4084" t="s">
        <v>5411</v>
      </c>
      <c r="B4084" t="s">
        <v>16</v>
      </c>
      <c r="C4084" t="s">
        <v>17</v>
      </c>
      <c r="D4084">
        <v>75165000</v>
      </c>
      <c r="E4084">
        <v>75169999</v>
      </c>
      <c r="F4084" t="s">
        <v>3714</v>
      </c>
      <c r="G4084" t="str">
        <f t="shared" si="126"/>
        <v>GOI</v>
      </c>
      <c r="H4084" t="s">
        <v>3672</v>
      </c>
      <c r="I4084" t="s">
        <v>20</v>
      </c>
      <c r="J4084" t="s">
        <v>62</v>
      </c>
      <c r="K4084" s="6">
        <v>0.03</v>
      </c>
      <c r="L4084" s="7">
        <f t="shared" si="127"/>
        <v>2E-3</v>
      </c>
      <c r="M4084" s="7">
        <v>3.0000000000000001E-3</v>
      </c>
      <c r="N4084">
        <v>9</v>
      </c>
      <c r="O4084" s="8">
        <v>20.377140471637041</v>
      </c>
      <c r="P4084" s="9">
        <v>20.377140471637041</v>
      </c>
      <c r="Q4084" s="9">
        <v>20.377140471637041</v>
      </c>
      <c r="R4084" s="9">
        <v>21.402978767052765</v>
      </c>
      <c r="S4084" s="9">
        <v>22.589768980199143</v>
      </c>
      <c r="T4084" s="9">
        <v>24.040396091340774</v>
      </c>
      <c r="U4084" s="9">
        <v>25.448505028591189</v>
      </c>
      <c r="V4084" s="9">
        <v>25.448505028591189</v>
      </c>
      <c r="W4084" s="9">
        <v>25.448505028591189</v>
      </c>
      <c r="X4084" s="9">
        <v>28.109873114011638</v>
      </c>
      <c r="Y4084" s="9">
        <v>28.109873114011638</v>
      </c>
      <c r="Z4084" s="9">
        <v>30.975097350688763</v>
      </c>
      <c r="AA4084" s="9">
        <v>30.975097350688763</v>
      </c>
      <c r="AB4084" s="9">
        <v>34.370578528895656</v>
      </c>
      <c r="AC4084" s="9">
        <v>34.370578528895656</v>
      </c>
      <c r="AD4084" s="9">
        <v>39.013187474230911</v>
      </c>
      <c r="AE4084" s="9">
        <v>42.452173954636635</v>
      </c>
      <c r="AF4084" s="9">
        <v>47.478364248265585</v>
      </c>
      <c r="AG4084" s="9">
        <v>47.478364248265585</v>
      </c>
      <c r="AH4084" s="9">
        <v>50.815992158664379</v>
      </c>
      <c r="AI4084" s="9">
        <v>54.045500821302042</v>
      </c>
      <c r="AJ4084" s="9">
        <v>3.0428788910505911</v>
      </c>
    </row>
    <row r="4085" spans="1:36" x14ac:dyDescent="0.25">
      <c r="A4085" t="s">
        <v>5411</v>
      </c>
      <c r="B4085" t="s">
        <v>16</v>
      </c>
      <c r="C4085" t="s">
        <v>17</v>
      </c>
      <c r="D4085">
        <v>75170000</v>
      </c>
      <c r="E4085">
        <v>75174999</v>
      </c>
      <c r="F4085" t="s">
        <v>3715</v>
      </c>
      <c r="G4085" t="str">
        <f t="shared" si="126"/>
        <v>GOI II</v>
      </c>
      <c r="H4085" t="s">
        <v>3672</v>
      </c>
      <c r="I4085" t="s">
        <v>20</v>
      </c>
      <c r="J4085" t="s">
        <v>64</v>
      </c>
      <c r="K4085" s="6">
        <v>0.03</v>
      </c>
      <c r="L4085" s="7">
        <f t="shared" si="127"/>
        <v>2E-3</v>
      </c>
      <c r="M4085" s="7">
        <v>3.0000000000000001E-3</v>
      </c>
      <c r="N4085">
        <v>12</v>
      </c>
      <c r="O4085" s="8">
        <v>24.12918157169327</v>
      </c>
      <c r="P4085" s="9">
        <v>24.12918157169327</v>
      </c>
      <c r="Q4085" s="9">
        <v>24.12918157169327</v>
      </c>
      <c r="R4085" s="9">
        <v>25.337926603196635</v>
      </c>
      <c r="S4085" s="9">
        <v>26.739125453822282</v>
      </c>
      <c r="T4085" s="9">
        <v>27.918529456871191</v>
      </c>
      <c r="U4085" s="9">
        <v>29.567239706252465</v>
      </c>
      <c r="V4085" s="9">
        <v>29.567239706252465</v>
      </c>
      <c r="W4085" s="9">
        <v>29.567239706252465</v>
      </c>
      <c r="X4085" s="9">
        <v>32.768324265753506</v>
      </c>
      <c r="Y4085" s="9">
        <v>32.768324265753506</v>
      </c>
      <c r="Z4085" s="9">
        <v>36.06659911693589</v>
      </c>
      <c r="AA4085" s="9">
        <v>36.06659911693589</v>
      </c>
      <c r="AB4085" s="9">
        <v>39.471783288967806</v>
      </c>
      <c r="AC4085" s="9">
        <v>39.471783288967806</v>
      </c>
      <c r="AD4085" s="9">
        <v>44.89371961968488</v>
      </c>
      <c r="AE4085" s="9">
        <v>47.788360826374728</v>
      </c>
      <c r="AF4085" s="9">
        <v>50.811128677055613</v>
      </c>
      <c r="AG4085" s="9">
        <v>50.811128677055613</v>
      </c>
      <c r="AH4085" s="9">
        <v>54.808386973888702</v>
      </c>
      <c r="AI4085" s="9">
        <v>57.901475997525047</v>
      </c>
      <c r="AJ4085" s="9">
        <v>3.0428788910505911</v>
      </c>
    </row>
    <row r="4086" spans="1:36" x14ac:dyDescent="0.25">
      <c r="A4086" t="s">
        <v>5411</v>
      </c>
      <c r="B4086" t="s">
        <v>16</v>
      </c>
      <c r="C4086" t="s">
        <v>17</v>
      </c>
      <c r="D4086">
        <v>75175000</v>
      </c>
      <c r="E4086">
        <v>75179999</v>
      </c>
      <c r="F4086" t="s">
        <v>3716</v>
      </c>
      <c r="G4086" t="str">
        <f t="shared" si="126"/>
        <v>GOI</v>
      </c>
      <c r="H4086" t="s">
        <v>3672</v>
      </c>
      <c r="I4086" t="s">
        <v>20</v>
      </c>
      <c r="J4086" t="s">
        <v>62</v>
      </c>
      <c r="K4086" s="6">
        <v>0.03</v>
      </c>
      <c r="L4086" s="7">
        <f t="shared" si="127"/>
        <v>2E-3</v>
      </c>
      <c r="M4086" s="7">
        <v>3.0000000000000001E-3</v>
      </c>
      <c r="N4086">
        <v>9</v>
      </c>
      <c r="O4086" s="8">
        <v>20.377140471637041</v>
      </c>
      <c r="P4086" s="9">
        <v>20.377140471637041</v>
      </c>
      <c r="Q4086" s="9">
        <v>20.377140471637041</v>
      </c>
      <c r="R4086" s="9">
        <v>21.402978767052765</v>
      </c>
      <c r="S4086" s="9">
        <v>22.589768980199143</v>
      </c>
      <c r="T4086" s="9">
        <v>24.040396091340774</v>
      </c>
      <c r="U4086" s="9">
        <v>25.448505028591189</v>
      </c>
      <c r="V4086" s="9">
        <v>25.448505028591189</v>
      </c>
      <c r="W4086" s="9">
        <v>25.448505028591189</v>
      </c>
      <c r="X4086" s="9">
        <v>28.109873114011638</v>
      </c>
      <c r="Y4086" s="9">
        <v>28.109873114011638</v>
      </c>
      <c r="Z4086" s="9">
        <v>30.975097350688763</v>
      </c>
      <c r="AA4086" s="9">
        <v>30.975097350688763</v>
      </c>
      <c r="AB4086" s="9">
        <v>34.370578528895656</v>
      </c>
      <c r="AC4086" s="9">
        <v>34.370578528895656</v>
      </c>
      <c r="AD4086" s="9">
        <v>39.013187474230911</v>
      </c>
      <c r="AE4086" s="9">
        <v>42.452173954636635</v>
      </c>
      <c r="AF4086" s="9">
        <v>47.478364248265585</v>
      </c>
      <c r="AG4086" s="9">
        <v>47.478364248265585</v>
      </c>
      <c r="AH4086" s="9">
        <v>50.815992158664379</v>
      </c>
      <c r="AI4086" s="9">
        <v>54.045500821302042</v>
      </c>
      <c r="AJ4086" s="9">
        <v>3.0428788910505911</v>
      </c>
    </row>
    <row r="4087" spans="1:36" x14ac:dyDescent="0.25">
      <c r="A4087" t="s">
        <v>5411</v>
      </c>
      <c r="B4087" t="s">
        <v>16</v>
      </c>
      <c r="C4087" t="s">
        <v>17</v>
      </c>
      <c r="D4087">
        <v>75180000</v>
      </c>
      <c r="E4087">
        <v>75183999</v>
      </c>
      <c r="F4087" t="s">
        <v>3717</v>
      </c>
      <c r="G4087" t="str">
        <f t="shared" si="126"/>
        <v>GOI</v>
      </c>
      <c r="H4087" t="s">
        <v>3672</v>
      </c>
      <c r="I4087" t="s">
        <v>20</v>
      </c>
      <c r="J4087" t="s">
        <v>62</v>
      </c>
      <c r="K4087" s="6">
        <v>0.03</v>
      </c>
      <c r="L4087" s="7">
        <f t="shared" si="127"/>
        <v>2E-3</v>
      </c>
      <c r="M4087" s="7">
        <v>3.0000000000000001E-3</v>
      </c>
      <c r="N4087">
        <v>9</v>
      </c>
      <c r="O4087" s="8">
        <v>20.377140471637041</v>
      </c>
      <c r="P4087" s="9">
        <v>20.377140471637041</v>
      </c>
      <c r="Q4087" s="9">
        <v>20.377140471637041</v>
      </c>
      <c r="R4087" s="9">
        <v>21.402978767052765</v>
      </c>
      <c r="S4087" s="9">
        <v>22.589768980199143</v>
      </c>
      <c r="T4087" s="9">
        <v>24.040396091340774</v>
      </c>
      <c r="U4087" s="9">
        <v>25.448505028591189</v>
      </c>
      <c r="V4087" s="9">
        <v>25.448505028591189</v>
      </c>
      <c r="W4087" s="9">
        <v>25.448505028591189</v>
      </c>
      <c r="X4087" s="9">
        <v>28.109873114011638</v>
      </c>
      <c r="Y4087" s="9">
        <v>28.109873114011638</v>
      </c>
      <c r="Z4087" s="9">
        <v>30.975097350688763</v>
      </c>
      <c r="AA4087" s="9">
        <v>30.975097350688763</v>
      </c>
      <c r="AB4087" s="9">
        <v>34.370578528895656</v>
      </c>
      <c r="AC4087" s="9">
        <v>34.370578528895656</v>
      </c>
      <c r="AD4087" s="9">
        <v>39.013187474230911</v>
      </c>
      <c r="AE4087" s="9">
        <v>42.452173954636635</v>
      </c>
      <c r="AF4087" s="9">
        <v>47.478364248265585</v>
      </c>
      <c r="AG4087" s="9">
        <v>47.478364248265585</v>
      </c>
      <c r="AH4087" s="9">
        <v>50.815992158664379</v>
      </c>
      <c r="AI4087" s="9">
        <v>54.045500821302042</v>
      </c>
      <c r="AJ4087" s="9">
        <v>3.0428788910505911</v>
      </c>
    </row>
    <row r="4088" spans="1:36" x14ac:dyDescent="0.25">
      <c r="A4088" t="s">
        <v>5411</v>
      </c>
      <c r="B4088" t="s">
        <v>16</v>
      </c>
      <c r="C4088" t="s">
        <v>17</v>
      </c>
      <c r="D4088">
        <v>75184000</v>
      </c>
      <c r="E4088">
        <v>75184999</v>
      </c>
      <c r="F4088" t="s">
        <v>3718</v>
      </c>
      <c r="G4088" t="str">
        <f t="shared" si="126"/>
        <v>GOI</v>
      </c>
      <c r="H4088" t="s">
        <v>3672</v>
      </c>
      <c r="I4088" t="s">
        <v>20</v>
      </c>
      <c r="J4088" t="s">
        <v>62</v>
      </c>
      <c r="K4088" s="6">
        <v>0.03</v>
      </c>
      <c r="L4088" s="7">
        <f t="shared" si="127"/>
        <v>2E-3</v>
      </c>
      <c r="M4088" s="7">
        <v>3.0000000000000001E-3</v>
      </c>
      <c r="N4088">
        <v>9</v>
      </c>
      <c r="O4088" s="8">
        <v>20.377140471637041</v>
      </c>
      <c r="P4088" s="9">
        <v>20.377140471637041</v>
      </c>
      <c r="Q4088" s="9">
        <v>20.377140471637041</v>
      </c>
      <c r="R4088" s="9">
        <v>21.402978767052765</v>
      </c>
      <c r="S4088" s="9">
        <v>22.589768980199143</v>
      </c>
      <c r="T4088" s="9">
        <v>24.040396091340774</v>
      </c>
      <c r="U4088" s="9">
        <v>25.448505028591189</v>
      </c>
      <c r="V4088" s="9">
        <v>25.448505028591189</v>
      </c>
      <c r="W4088" s="9">
        <v>25.448505028591189</v>
      </c>
      <c r="X4088" s="9">
        <v>28.109873114011638</v>
      </c>
      <c r="Y4088" s="9">
        <v>28.109873114011638</v>
      </c>
      <c r="Z4088" s="9">
        <v>30.975097350688763</v>
      </c>
      <c r="AA4088" s="9">
        <v>30.975097350688763</v>
      </c>
      <c r="AB4088" s="9">
        <v>34.370578528895656</v>
      </c>
      <c r="AC4088" s="9">
        <v>34.370578528895656</v>
      </c>
      <c r="AD4088" s="9">
        <v>39.013187474230911</v>
      </c>
      <c r="AE4088" s="9">
        <v>42.452173954636635</v>
      </c>
      <c r="AF4088" s="9">
        <v>47.478364248265585</v>
      </c>
      <c r="AG4088" s="9">
        <v>47.478364248265585</v>
      </c>
      <c r="AH4088" s="9">
        <v>50.815992158664379</v>
      </c>
      <c r="AI4088" s="9">
        <v>54.045500821302042</v>
      </c>
      <c r="AJ4088" s="9">
        <v>3.0428788910505911</v>
      </c>
    </row>
    <row r="4089" spans="1:36" x14ac:dyDescent="0.25">
      <c r="A4089" t="s">
        <v>5411</v>
      </c>
      <c r="B4089" t="s">
        <v>16</v>
      </c>
      <c r="C4089" t="s">
        <v>17</v>
      </c>
      <c r="D4089">
        <v>75185000</v>
      </c>
      <c r="E4089">
        <v>75189999</v>
      </c>
      <c r="F4089" t="s">
        <v>3719</v>
      </c>
      <c r="G4089" t="str">
        <f t="shared" si="126"/>
        <v>GOI</v>
      </c>
      <c r="H4089" t="s">
        <v>3672</v>
      </c>
      <c r="I4089" t="s">
        <v>20</v>
      </c>
      <c r="J4089" t="s">
        <v>62</v>
      </c>
      <c r="K4089" s="6">
        <v>0.03</v>
      </c>
      <c r="L4089" s="7">
        <f t="shared" si="127"/>
        <v>2E-3</v>
      </c>
      <c r="M4089" s="7">
        <v>3.0000000000000001E-3</v>
      </c>
      <c r="N4089">
        <v>9</v>
      </c>
      <c r="O4089" s="8">
        <v>20.377140471637041</v>
      </c>
      <c r="P4089" s="9">
        <v>20.377140471637041</v>
      </c>
      <c r="Q4089" s="9">
        <v>20.377140471637041</v>
      </c>
      <c r="R4089" s="9">
        <v>21.402978767052765</v>
      </c>
      <c r="S4089" s="9">
        <v>22.589768980199143</v>
      </c>
      <c r="T4089" s="9">
        <v>24.040396091340774</v>
      </c>
      <c r="U4089" s="9">
        <v>25.448505028591189</v>
      </c>
      <c r="V4089" s="9">
        <v>25.448505028591189</v>
      </c>
      <c r="W4089" s="9">
        <v>25.448505028591189</v>
      </c>
      <c r="X4089" s="9">
        <v>28.109873114011638</v>
      </c>
      <c r="Y4089" s="9">
        <v>28.109873114011638</v>
      </c>
      <c r="Z4089" s="9">
        <v>30.975097350688763</v>
      </c>
      <c r="AA4089" s="9">
        <v>30.975097350688763</v>
      </c>
      <c r="AB4089" s="9">
        <v>34.370578528895656</v>
      </c>
      <c r="AC4089" s="9">
        <v>34.370578528895656</v>
      </c>
      <c r="AD4089" s="9">
        <v>39.013187474230911</v>
      </c>
      <c r="AE4089" s="9">
        <v>42.452173954636635</v>
      </c>
      <c r="AF4089" s="9">
        <v>47.478364248265585</v>
      </c>
      <c r="AG4089" s="9">
        <v>47.478364248265585</v>
      </c>
      <c r="AH4089" s="9">
        <v>50.815992158664379</v>
      </c>
      <c r="AI4089" s="9">
        <v>54.045500821302042</v>
      </c>
      <c r="AJ4089" s="9">
        <v>3.0428788910505911</v>
      </c>
    </row>
    <row r="4090" spans="1:36" x14ac:dyDescent="0.25">
      <c r="A4090" t="s">
        <v>5411</v>
      </c>
      <c r="B4090" t="s">
        <v>16</v>
      </c>
      <c r="C4090" t="s">
        <v>17</v>
      </c>
      <c r="D4090">
        <v>75190000</v>
      </c>
      <c r="E4090">
        <v>75194999</v>
      </c>
      <c r="F4090" t="s">
        <v>3720</v>
      </c>
      <c r="G4090" t="str">
        <f t="shared" si="126"/>
        <v>GOI</v>
      </c>
      <c r="H4090" t="s">
        <v>3672</v>
      </c>
      <c r="I4090" t="s">
        <v>20</v>
      </c>
      <c r="J4090" t="s">
        <v>62</v>
      </c>
      <c r="K4090" s="6">
        <v>0.03</v>
      </c>
      <c r="L4090" s="7">
        <f t="shared" si="127"/>
        <v>2E-3</v>
      </c>
      <c r="M4090" s="7">
        <v>3.0000000000000001E-3</v>
      </c>
      <c r="N4090">
        <v>9</v>
      </c>
      <c r="O4090" s="8">
        <v>20.377140471637041</v>
      </c>
      <c r="P4090" s="9">
        <v>20.377140471637041</v>
      </c>
      <c r="Q4090" s="9">
        <v>20.377140471637041</v>
      </c>
      <c r="R4090" s="9">
        <v>21.402978767052765</v>
      </c>
      <c r="S4090" s="9">
        <v>22.589768980199143</v>
      </c>
      <c r="T4090" s="9">
        <v>24.040396091340774</v>
      </c>
      <c r="U4090" s="9">
        <v>25.448505028591189</v>
      </c>
      <c r="V4090" s="9">
        <v>25.448505028591189</v>
      </c>
      <c r="W4090" s="9">
        <v>25.448505028591189</v>
      </c>
      <c r="X4090" s="9">
        <v>28.109873114011638</v>
      </c>
      <c r="Y4090" s="9">
        <v>28.109873114011638</v>
      </c>
      <c r="Z4090" s="9">
        <v>30.975097350688763</v>
      </c>
      <c r="AA4090" s="9">
        <v>30.975097350688763</v>
      </c>
      <c r="AB4090" s="9">
        <v>34.370578528895656</v>
      </c>
      <c r="AC4090" s="9">
        <v>34.370578528895656</v>
      </c>
      <c r="AD4090" s="9">
        <v>39.013187474230911</v>
      </c>
      <c r="AE4090" s="9">
        <v>42.452173954636635</v>
      </c>
      <c r="AF4090" s="9">
        <v>47.478364248265585</v>
      </c>
      <c r="AG4090" s="9">
        <v>47.478364248265585</v>
      </c>
      <c r="AH4090" s="9">
        <v>50.815992158664379</v>
      </c>
      <c r="AI4090" s="9">
        <v>54.045500821302042</v>
      </c>
      <c r="AJ4090" s="9">
        <v>3.0428788910505911</v>
      </c>
    </row>
    <row r="4091" spans="1:36" x14ac:dyDescent="0.25">
      <c r="A4091" t="s">
        <v>5411</v>
      </c>
      <c r="B4091" t="s">
        <v>16</v>
      </c>
      <c r="C4091" t="s">
        <v>17</v>
      </c>
      <c r="D4091">
        <v>75195000</v>
      </c>
      <c r="E4091">
        <v>75199999</v>
      </c>
      <c r="F4091" t="s">
        <v>3721</v>
      </c>
      <c r="G4091" t="str">
        <f t="shared" si="126"/>
        <v>GOI</v>
      </c>
      <c r="H4091" t="s">
        <v>3672</v>
      </c>
      <c r="I4091" t="s">
        <v>20</v>
      </c>
      <c r="J4091" t="s">
        <v>62</v>
      </c>
      <c r="K4091" s="6">
        <v>0.03</v>
      </c>
      <c r="L4091" s="7">
        <f t="shared" si="127"/>
        <v>2E-3</v>
      </c>
      <c r="M4091" s="7">
        <v>3.0000000000000001E-3</v>
      </c>
      <c r="N4091">
        <v>9</v>
      </c>
      <c r="O4091" s="8">
        <v>20.377140471637041</v>
      </c>
      <c r="P4091" s="9">
        <v>20.377140471637041</v>
      </c>
      <c r="Q4091" s="9">
        <v>20.377140471637041</v>
      </c>
      <c r="R4091" s="9">
        <v>21.402978767052765</v>
      </c>
      <c r="S4091" s="9">
        <v>22.589768980199143</v>
      </c>
      <c r="T4091" s="9">
        <v>24.040396091340774</v>
      </c>
      <c r="U4091" s="9">
        <v>25.448505028591189</v>
      </c>
      <c r="V4091" s="9">
        <v>25.448505028591189</v>
      </c>
      <c r="W4091" s="9">
        <v>25.448505028591189</v>
      </c>
      <c r="X4091" s="9">
        <v>28.109873114011638</v>
      </c>
      <c r="Y4091" s="9">
        <v>28.109873114011638</v>
      </c>
      <c r="Z4091" s="9">
        <v>30.975097350688763</v>
      </c>
      <c r="AA4091" s="9">
        <v>30.975097350688763</v>
      </c>
      <c r="AB4091" s="9">
        <v>34.370578528895656</v>
      </c>
      <c r="AC4091" s="9">
        <v>34.370578528895656</v>
      </c>
      <c r="AD4091" s="9">
        <v>39.013187474230911</v>
      </c>
      <c r="AE4091" s="9">
        <v>42.452173954636635</v>
      </c>
      <c r="AF4091" s="9">
        <v>47.478364248265585</v>
      </c>
      <c r="AG4091" s="9">
        <v>47.478364248265585</v>
      </c>
      <c r="AH4091" s="9">
        <v>50.815992158664379</v>
      </c>
      <c r="AI4091" s="9">
        <v>54.045500821302042</v>
      </c>
      <c r="AJ4091" s="9">
        <v>3.0428788910505911</v>
      </c>
    </row>
    <row r="4092" spans="1:36" x14ac:dyDescent="0.25">
      <c r="A4092" t="s">
        <v>5411</v>
      </c>
      <c r="B4092" t="s">
        <v>16</v>
      </c>
      <c r="C4092" t="s">
        <v>17</v>
      </c>
      <c r="D4092">
        <v>75200000</v>
      </c>
      <c r="E4092">
        <v>75209999</v>
      </c>
      <c r="F4092" t="s">
        <v>3722</v>
      </c>
      <c r="G4092" t="str">
        <f t="shared" si="126"/>
        <v>GOI</v>
      </c>
      <c r="H4092" t="s">
        <v>3672</v>
      </c>
      <c r="I4092" t="s">
        <v>20</v>
      </c>
      <c r="J4092" t="s">
        <v>62</v>
      </c>
      <c r="K4092" s="6">
        <v>0.03</v>
      </c>
      <c r="L4092" s="7">
        <f t="shared" si="127"/>
        <v>2E-3</v>
      </c>
      <c r="M4092" s="7">
        <v>3.0000000000000001E-3</v>
      </c>
      <c r="N4092">
        <v>9</v>
      </c>
      <c r="O4092" s="8">
        <v>20.377140471637041</v>
      </c>
      <c r="P4092" s="9">
        <v>20.377140471637041</v>
      </c>
      <c r="Q4092" s="9">
        <v>20.377140471637041</v>
      </c>
      <c r="R4092" s="9">
        <v>21.402978767052765</v>
      </c>
      <c r="S4092" s="9">
        <v>22.589768980199143</v>
      </c>
      <c r="T4092" s="9">
        <v>24.040396091340774</v>
      </c>
      <c r="U4092" s="9">
        <v>25.448505028591189</v>
      </c>
      <c r="V4092" s="9">
        <v>25.448505028591189</v>
      </c>
      <c r="W4092" s="9">
        <v>25.448505028591189</v>
      </c>
      <c r="X4092" s="9">
        <v>28.109873114011638</v>
      </c>
      <c r="Y4092" s="9">
        <v>28.109873114011638</v>
      </c>
      <c r="Z4092" s="9">
        <v>30.975097350688763</v>
      </c>
      <c r="AA4092" s="9">
        <v>30.975097350688763</v>
      </c>
      <c r="AB4092" s="9">
        <v>34.370578528895656</v>
      </c>
      <c r="AC4092" s="9">
        <v>34.370578528895656</v>
      </c>
      <c r="AD4092" s="9">
        <v>39.013187474230911</v>
      </c>
      <c r="AE4092" s="9">
        <v>42.452173954636635</v>
      </c>
      <c r="AF4092" s="9">
        <v>47.478364248265585</v>
      </c>
      <c r="AG4092" s="9">
        <v>47.478364248265585</v>
      </c>
      <c r="AH4092" s="9">
        <v>50.815992158664379</v>
      </c>
      <c r="AI4092" s="9">
        <v>54.045500821302042</v>
      </c>
      <c r="AJ4092" s="9">
        <v>3.0428788910505911</v>
      </c>
    </row>
    <row r="4093" spans="1:36" x14ac:dyDescent="0.25">
      <c r="A4093" t="s">
        <v>5411</v>
      </c>
      <c r="B4093" t="s">
        <v>16</v>
      </c>
      <c r="C4093" t="s">
        <v>17</v>
      </c>
      <c r="D4093">
        <v>75210000</v>
      </c>
      <c r="E4093">
        <v>75219999</v>
      </c>
      <c r="F4093" t="s">
        <v>3723</v>
      </c>
      <c r="G4093" t="str">
        <f t="shared" si="126"/>
        <v>GOI</v>
      </c>
      <c r="H4093" t="s">
        <v>3672</v>
      </c>
      <c r="I4093" t="s">
        <v>20</v>
      </c>
      <c r="J4093" t="s">
        <v>62</v>
      </c>
      <c r="K4093" s="6">
        <v>0.03</v>
      </c>
      <c r="L4093" s="7">
        <f t="shared" si="127"/>
        <v>2E-3</v>
      </c>
      <c r="M4093" s="7">
        <v>3.0000000000000001E-3</v>
      </c>
      <c r="N4093">
        <v>9</v>
      </c>
      <c r="O4093" s="8">
        <v>20.377140471637041</v>
      </c>
      <c r="P4093" s="9">
        <v>20.377140471637041</v>
      </c>
      <c r="Q4093" s="9">
        <v>20.377140471637041</v>
      </c>
      <c r="R4093" s="9">
        <v>21.402978767052765</v>
      </c>
      <c r="S4093" s="9">
        <v>22.589768980199143</v>
      </c>
      <c r="T4093" s="9">
        <v>24.040396091340774</v>
      </c>
      <c r="U4093" s="9">
        <v>25.448505028591189</v>
      </c>
      <c r="V4093" s="9">
        <v>25.448505028591189</v>
      </c>
      <c r="W4093" s="9">
        <v>25.448505028591189</v>
      </c>
      <c r="X4093" s="9">
        <v>28.109873114011638</v>
      </c>
      <c r="Y4093" s="9">
        <v>28.109873114011638</v>
      </c>
      <c r="Z4093" s="9">
        <v>30.975097350688763</v>
      </c>
      <c r="AA4093" s="9">
        <v>30.975097350688763</v>
      </c>
      <c r="AB4093" s="9">
        <v>34.370578528895656</v>
      </c>
      <c r="AC4093" s="9">
        <v>34.370578528895656</v>
      </c>
      <c r="AD4093" s="9">
        <v>39.013187474230911</v>
      </c>
      <c r="AE4093" s="9">
        <v>42.452173954636635</v>
      </c>
      <c r="AF4093" s="9">
        <v>47.478364248265585</v>
      </c>
      <c r="AG4093" s="9">
        <v>47.478364248265585</v>
      </c>
      <c r="AH4093" s="9">
        <v>50.815992158664379</v>
      </c>
      <c r="AI4093" s="9">
        <v>54.045500821302042</v>
      </c>
      <c r="AJ4093" s="9">
        <v>3.0428788910505911</v>
      </c>
    </row>
    <row r="4094" spans="1:36" x14ac:dyDescent="0.25">
      <c r="A4094" t="s">
        <v>5411</v>
      </c>
      <c r="B4094" t="s">
        <v>16</v>
      </c>
      <c r="C4094" t="s">
        <v>17</v>
      </c>
      <c r="D4094">
        <v>75220000</v>
      </c>
      <c r="E4094">
        <v>75229999</v>
      </c>
      <c r="F4094" t="s">
        <v>3724</v>
      </c>
      <c r="G4094" t="str">
        <f t="shared" si="126"/>
        <v>GOI</v>
      </c>
      <c r="H4094" t="s">
        <v>3672</v>
      </c>
      <c r="I4094" t="s">
        <v>20</v>
      </c>
      <c r="J4094" t="s">
        <v>62</v>
      </c>
      <c r="K4094" s="6">
        <v>0.03</v>
      </c>
      <c r="L4094" s="7">
        <f t="shared" si="127"/>
        <v>2E-3</v>
      </c>
      <c r="M4094" s="7">
        <v>3.0000000000000001E-3</v>
      </c>
      <c r="N4094">
        <v>9</v>
      </c>
      <c r="O4094" s="8">
        <v>20.377140471637041</v>
      </c>
      <c r="P4094" s="9">
        <v>20.377140471637041</v>
      </c>
      <c r="Q4094" s="9">
        <v>20.377140471637041</v>
      </c>
      <c r="R4094" s="9">
        <v>21.402978767052765</v>
      </c>
      <c r="S4094" s="9">
        <v>22.589768980199143</v>
      </c>
      <c r="T4094" s="9">
        <v>24.040396091340774</v>
      </c>
      <c r="U4094" s="9">
        <v>25.448505028591189</v>
      </c>
      <c r="V4094" s="9">
        <v>25.448505028591189</v>
      </c>
      <c r="W4094" s="9">
        <v>25.448505028591189</v>
      </c>
      <c r="X4094" s="9">
        <v>28.109873114011638</v>
      </c>
      <c r="Y4094" s="9">
        <v>28.109873114011638</v>
      </c>
      <c r="Z4094" s="9">
        <v>30.975097350688763</v>
      </c>
      <c r="AA4094" s="9">
        <v>30.975097350688763</v>
      </c>
      <c r="AB4094" s="9">
        <v>34.370578528895656</v>
      </c>
      <c r="AC4094" s="9">
        <v>34.370578528895656</v>
      </c>
      <c r="AD4094" s="9">
        <v>39.013187474230911</v>
      </c>
      <c r="AE4094" s="9">
        <v>42.452173954636635</v>
      </c>
      <c r="AF4094" s="9">
        <v>47.478364248265585</v>
      </c>
      <c r="AG4094" s="9">
        <v>47.478364248265585</v>
      </c>
      <c r="AH4094" s="9">
        <v>50.815992158664379</v>
      </c>
      <c r="AI4094" s="9">
        <v>54.045500821302042</v>
      </c>
      <c r="AJ4094" s="9">
        <v>3.0428788910505911</v>
      </c>
    </row>
    <row r="4095" spans="1:36" x14ac:dyDescent="0.25">
      <c r="A4095" t="s">
        <v>5411</v>
      </c>
      <c r="B4095" t="s">
        <v>16</v>
      </c>
      <c r="C4095" t="s">
        <v>17</v>
      </c>
      <c r="D4095">
        <v>75230000</v>
      </c>
      <c r="E4095">
        <v>75239999</v>
      </c>
      <c r="F4095" t="s">
        <v>3725</v>
      </c>
      <c r="G4095" t="str">
        <f t="shared" si="126"/>
        <v>GOI</v>
      </c>
      <c r="H4095" t="s">
        <v>3672</v>
      </c>
      <c r="I4095" t="s">
        <v>20</v>
      </c>
      <c r="J4095" t="s">
        <v>62</v>
      </c>
      <c r="K4095" s="6">
        <v>0.03</v>
      </c>
      <c r="L4095" s="7">
        <f t="shared" si="127"/>
        <v>2E-3</v>
      </c>
      <c r="M4095" s="7">
        <v>3.0000000000000001E-3</v>
      </c>
      <c r="N4095">
        <v>9</v>
      </c>
      <c r="O4095" s="8">
        <v>20.377140471637041</v>
      </c>
      <c r="P4095" s="9">
        <v>20.377140471637041</v>
      </c>
      <c r="Q4095" s="9">
        <v>20.377140471637041</v>
      </c>
      <c r="R4095" s="9">
        <v>21.402978767052765</v>
      </c>
      <c r="S4095" s="9">
        <v>22.589768980199143</v>
      </c>
      <c r="T4095" s="9">
        <v>24.040396091340774</v>
      </c>
      <c r="U4095" s="9">
        <v>25.448505028591189</v>
      </c>
      <c r="V4095" s="9">
        <v>25.448505028591189</v>
      </c>
      <c r="W4095" s="9">
        <v>25.448505028591189</v>
      </c>
      <c r="X4095" s="9">
        <v>28.109873114011638</v>
      </c>
      <c r="Y4095" s="9">
        <v>28.109873114011638</v>
      </c>
      <c r="Z4095" s="9">
        <v>30.975097350688763</v>
      </c>
      <c r="AA4095" s="9">
        <v>30.975097350688763</v>
      </c>
      <c r="AB4095" s="9">
        <v>34.370578528895656</v>
      </c>
      <c r="AC4095" s="9">
        <v>34.370578528895656</v>
      </c>
      <c r="AD4095" s="9">
        <v>39.013187474230911</v>
      </c>
      <c r="AE4095" s="9">
        <v>42.452173954636635</v>
      </c>
      <c r="AF4095" s="9">
        <v>47.478364248265585</v>
      </c>
      <c r="AG4095" s="9">
        <v>47.478364248265585</v>
      </c>
      <c r="AH4095" s="9">
        <v>50.815992158664379</v>
      </c>
      <c r="AI4095" s="9">
        <v>54.045500821302042</v>
      </c>
      <c r="AJ4095" s="9">
        <v>3.0428788910505911</v>
      </c>
    </row>
    <row r="4096" spans="1:36" x14ac:dyDescent="0.25">
      <c r="A4096" t="s">
        <v>5411</v>
      </c>
      <c r="B4096" t="s">
        <v>16</v>
      </c>
      <c r="C4096" t="s">
        <v>17</v>
      </c>
      <c r="D4096">
        <v>75240000</v>
      </c>
      <c r="E4096">
        <v>75244999</v>
      </c>
      <c r="F4096" t="s">
        <v>3726</v>
      </c>
      <c r="G4096" t="str">
        <f t="shared" si="126"/>
        <v>GOI</v>
      </c>
      <c r="H4096" t="s">
        <v>3672</v>
      </c>
      <c r="I4096" t="s">
        <v>20</v>
      </c>
      <c r="J4096" t="s">
        <v>62</v>
      </c>
      <c r="K4096" s="6">
        <v>0.03</v>
      </c>
      <c r="L4096" s="7">
        <f t="shared" si="127"/>
        <v>2E-3</v>
      </c>
      <c r="M4096" s="7">
        <v>3.0000000000000001E-3</v>
      </c>
      <c r="N4096">
        <v>9</v>
      </c>
      <c r="O4096" s="8">
        <v>20.377140471637041</v>
      </c>
      <c r="P4096" s="9">
        <v>20.377140471637041</v>
      </c>
      <c r="Q4096" s="9">
        <v>20.377140471637041</v>
      </c>
      <c r="R4096" s="9">
        <v>21.402978767052765</v>
      </c>
      <c r="S4096" s="9">
        <v>22.589768980199143</v>
      </c>
      <c r="T4096" s="9">
        <v>24.040396091340774</v>
      </c>
      <c r="U4096" s="9">
        <v>25.448505028591189</v>
      </c>
      <c r="V4096" s="9">
        <v>25.448505028591189</v>
      </c>
      <c r="W4096" s="9">
        <v>25.448505028591189</v>
      </c>
      <c r="X4096" s="9">
        <v>28.109873114011638</v>
      </c>
      <c r="Y4096" s="9">
        <v>28.109873114011638</v>
      </c>
      <c r="Z4096" s="9">
        <v>30.975097350688763</v>
      </c>
      <c r="AA4096" s="9">
        <v>30.975097350688763</v>
      </c>
      <c r="AB4096" s="9">
        <v>34.370578528895656</v>
      </c>
      <c r="AC4096" s="9">
        <v>34.370578528895656</v>
      </c>
      <c r="AD4096" s="9">
        <v>39.013187474230911</v>
      </c>
      <c r="AE4096" s="9">
        <v>42.452173954636635</v>
      </c>
      <c r="AF4096" s="9">
        <v>47.478364248265585</v>
      </c>
      <c r="AG4096" s="9">
        <v>47.478364248265585</v>
      </c>
      <c r="AH4096" s="9">
        <v>50.815992158664379</v>
      </c>
      <c r="AI4096" s="9">
        <v>54.045500821302042</v>
      </c>
      <c r="AJ4096" s="9">
        <v>3.0428788910505911</v>
      </c>
    </row>
    <row r="4097" spans="1:36" x14ac:dyDescent="0.25">
      <c r="A4097" t="s">
        <v>5411</v>
      </c>
      <c r="B4097" t="s">
        <v>16</v>
      </c>
      <c r="C4097" t="s">
        <v>17</v>
      </c>
      <c r="D4097">
        <v>75245000</v>
      </c>
      <c r="E4097">
        <v>75249999</v>
      </c>
      <c r="F4097" t="s">
        <v>3727</v>
      </c>
      <c r="G4097" t="str">
        <f t="shared" si="126"/>
        <v>GOI</v>
      </c>
      <c r="H4097" t="s">
        <v>3672</v>
      </c>
      <c r="I4097" t="s">
        <v>20</v>
      </c>
      <c r="J4097" t="s">
        <v>62</v>
      </c>
      <c r="K4097" s="6">
        <v>0.03</v>
      </c>
      <c r="L4097" s="7">
        <f t="shared" si="127"/>
        <v>2E-3</v>
      </c>
      <c r="M4097" s="7">
        <v>3.0000000000000001E-3</v>
      </c>
      <c r="N4097">
        <v>9</v>
      </c>
      <c r="O4097" s="8">
        <v>20.377140471637041</v>
      </c>
      <c r="P4097" s="9">
        <v>20.377140471637041</v>
      </c>
      <c r="Q4097" s="9">
        <v>20.377140471637041</v>
      </c>
      <c r="R4097" s="9">
        <v>21.402978767052765</v>
      </c>
      <c r="S4097" s="9">
        <v>22.589768980199143</v>
      </c>
      <c r="T4097" s="9">
        <v>24.040396091340774</v>
      </c>
      <c r="U4097" s="9">
        <v>25.448505028591189</v>
      </c>
      <c r="V4097" s="9">
        <v>25.448505028591189</v>
      </c>
      <c r="W4097" s="9">
        <v>25.448505028591189</v>
      </c>
      <c r="X4097" s="9">
        <v>28.109873114011638</v>
      </c>
      <c r="Y4097" s="9">
        <v>28.109873114011638</v>
      </c>
      <c r="Z4097" s="9">
        <v>30.975097350688763</v>
      </c>
      <c r="AA4097" s="9">
        <v>30.975097350688763</v>
      </c>
      <c r="AB4097" s="9">
        <v>34.370578528895656</v>
      </c>
      <c r="AC4097" s="9">
        <v>34.370578528895656</v>
      </c>
      <c r="AD4097" s="9">
        <v>39.013187474230911</v>
      </c>
      <c r="AE4097" s="9">
        <v>42.452173954636635</v>
      </c>
      <c r="AF4097" s="9">
        <v>47.478364248265585</v>
      </c>
      <c r="AG4097" s="9">
        <v>47.478364248265585</v>
      </c>
      <c r="AH4097" s="9">
        <v>50.815992158664379</v>
      </c>
      <c r="AI4097" s="9">
        <v>54.045500821302042</v>
      </c>
      <c r="AJ4097" s="9">
        <v>3.0428788910505911</v>
      </c>
    </row>
    <row r="4098" spans="1:36" x14ac:dyDescent="0.25">
      <c r="A4098" t="s">
        <v>5411</v>
      </c>
      <c r="B4098" t="s">
        <v>16</v>
      </c>
      <c r="C4098" t="s">
        <v>17</v>
      </c>
      <c r="D4098">
        <v>75250000</v>
      </c>
      <c r="E4098">
        <v>75264999</v>
      </c>
      <c r="F4098" t="s">
        <v>3728</v>
      </c>
      <c r="G4098" t="str">
        <f t="shared" si="126"/>
        <v>GOI II</v>
      </c>
      <c r="H4098" t="s">
        <v>3672</v>
      </c>
      <c r="I4098" t="s">
        <v>20</v>
      </c>
      <c r="J4098" t="s">
        <v>64</v>
      </c>
      <c r="K4098" s="6">
        <v>0.03</v>
      </c>
      <c r="L4098" s="7">
        <f t="shared" si="127"/>
        <v>2E-3</v>
      </c>
      <c r="M4098" s="7">
        <v>3.0000000000000001E-3</v>
      </c>
      <c r="N4098">
        <v>12</v>
      </c>
      <c r="O4098" s="8">
        <v>24.12918157169327</v>
      </c>
      <c r="P4098" s="9">
        <v>24.12918157169327</v>
      </c>
      <c r="Q4098" s="9">
        <v>24.12918157169327</v>
      </c>
      <c r="R4098" s="9">
        <v>25.337926603196635</v>
      </c>
      <c r="S4098" s="9">
        <v>26.739125453822282</v>
      </c>
      <c r="T4098" s="9">
        <v>27.918529456871191</v>
      </c>
      <c r="U4098" s="9">
        <v>29.567239706252465</v>
      </c>
      <c r="V4098" s="9">
        <v>29.567239706252465</v>
      </c>
      <c r="W4098" s="9">
        <v>29.567239706252465</v>
      </c>
      <c r="X4098" s="9">
        <v>32.768324265753506</v>
      </c>
      <c r="Y4098" s="9">
        <v>32.768324265753506</v>
      </c>
      <c r="Z4098" s="9">
        <v>36.06659911693589</v>
      </c>
      <c r="AA4098" s="9">
        <v>36.06659911693589</v>
      </c>
      <c r="AB4098" s="9">
        <v>39.471783288967806</v>
      </c>
      <c r="AC4098" s="9">
        <v>39.471783288967806</v>
      </c>
      <c r="AD4098" s="9">
        <v>44.89371961968488</v>
      </c>
      <c r="AE4098" s="9">
        <v>47.788360826374728</v>
      </c>
      <c r="AF4098" s="9">
        <v>50.811128677055613</v>
      </c>
      <c r="AG4098" s="9">
        <v>50.811128677055613</v>
      </c>
      <c r="AH4098" s="9">
        <v>54.808386973888702</v>
      </c>
      <c r="AI4098" s="9">
        <v>57.901475997525047</v>
      </c>
      <c r="AJ4098" s="9">
        <v>3.0428788910505911</v>
      </c>
    </row>
    <row r="4099" spans="1:36" x14ac:dyDescent="0.25">
      <c r="A4099" t="s">
        <v>5411</v>
      </c>
      <c r="B4099" t="s">
        <v>16</v>
      </c>
      <c r="C4099" t="s">
        <v>17</v>
      </c>
      <c r="D4099">
        <v>75265000</v>
      </c>
      <c r="E4099">
        <v>75279999</v>
      </c>
      <c r="F4099" t="s">
        <v>3729</v>
      </c>
      <c r="G4099" t="str">
        <f t="shared" si="126"/>
        <v>GOI</v>
      </c>
      <c r="H4099" t="s">
        <v>3672</v>
      </c>
      <c r="I4099" t="s">
        <v>20</v>
      </c>
      <c r="J4099" t="s">
        <v>62</v>
      </c>
      <c r="K4099" s="6">
        <v>0.03</v>
      </c>
      <c r="L4099" s="7">
        <f t="shared" si="127"/>
        <v>2E-3</v>
      </c>
      <c r="M4099" s="7">
        <v>3.0000000000000001E-3</v>
      </c>
      <c r="N4099">
        <v>9</v>
      </c>
      <c r="O4099" s="8">
        <v>20.377140471637041</v>
      </c>
      <c r="P4099" s="9">
        <v>20.377140471637041</v>
      </c>
      <c r="Q4099" s="9">
        <v>20.377140471637041</v>
      </c>
      <c r="R4099" s="9">
        <v>21.402978767052765</v>
      </c>
      <c r="S4099" s="9">
        <v>22.589768980199143</v>
      </c>
      <c r="T4099" s="9">
        <v>24.040396091340774</v>
      </c>
      <c r="U4099" s="9">
        <v>25.448505028591189</v>
      </c>
      <c r="V4099" s="9">
        <v>25.448505028591189</v>
      </c>
      <c r="W4099" s="9">
        <v>25.448505028591189</v>
      </c>
      <c r="X4099" s="9">
        <v>28.109873114011638</v>
      </c>
      <c r="Y4099" s="9">
        <v>28.109873114011638</v>
      </c>
      <c r="Z4099" s="9">
        <v>30.975097350688763</v>
      </c>
      <c r="AA4099" s="9">
        <v>30.975097350688763</v>
      </c>
      <c r="AB4099" s="9">
        <v>34.370578528895656</v>
      </c>
      <c r="AC4099" s="9">
        <v>34.370578528895656</v>
      </c>
      <c r="AD4099" s="9">
        <v>39.013187474230911</v>
      </c>
      <c r="AE4099" s="9">
        <v>42.452173954636635</v>
      </c>
      <c r="AF4099" s="9">
        <v>47.478364248265585</v>
      </c>
      <c r="AG4099" s="9">
        <v>47.478364248265585</v>
      </c>
      <c r="AH4099" s="9">
        <v>50.815992158664379</v>
      </c>
      <c r="AI4099" s="9">
        <v>54.045500821302042</v>
      </c>
      <c r="AJ4099" s="9">
        <v>3.0428788910505911</v>
      </c>
    </row>
    <row r="4100" spans="1:36" x14ac:dyDescent="0.25">
      <c r="A4100" t="s">
        <v>5411</v>
      </c>
      <c r="B4100" t="s">
        <v>16</v>
      </c>
      <c r="C4100" t="s">
        <v>17</v>
      </c>
      <c r="D4100">
        <v>75280000</v>
      </c>
      <c r="E4100">
        <v>75329999</v>
      </c>
      <c r="F4100" t="s">
        <v>3730</v>
      </c>
      <c r="G4100" t="str">
        <f t="shared" ref="G4100:G4163" si="128">H4100&amp;IF(J4100="CAPITAL","C",IF(J4100="INTERIOR","I",IF(J4100="INTERIOR II","I II","R")))</f>
        <v>GOI</v>
      </c>
      <c r="H4100" t="s">
        <v>3672</v>
      </c>
      <c r="I4100" t="s">
        <v>20</v>
      </c>
      <c r="J4100" t="s">
        <v>62</v>
      </c>
      <c r="K4100" s="6">
        <v>0.03</v>
      </c>
      <c r="L4100" s="7">
        <f t="shared" ref="L4100:L4163" si="129">IF(I4100="(0) Não",0.2%,3%)</f>
        <v>2E-3</v>
      </c>
      <c r="M4100" s="7">
        <v>3.0000000000000001E-3</v>
      </c>
      <c r="N4100">
        <v>9</v>
      </c>
      <c r="O4100" s="8">
        <v>20.377140471637041</v>
      </c>
      <c r="P4100" s="9">
        <v>20.377140471637041</v>
      </c>
      <c r="Q4100" s="9">
        <v>20.377140471637041</v>
      </c>
      <c r="R4100" s="9">
        <v>21.402978767052765</v>
      </c>
      <c r="S4100" s="9">
        <v>22.589768980199143</v>
      </c>
      <c r="T4100" s="9">
        <v>24.040396091340774</v>
      </c>
      <c r="U4100" s="9">
        <v>25.448505028591189</v>
      </c>
      <c r="V4100" s="9">
        <v>25.448505028591189</v>
      </c>
      <c r="W4100" s="9">
        <v>25.448505028591189</v>
      </c>
      <c r="X4100" s="9">
        <v>28.109873114011638</v>
      </c>
      <c r="Y4100" s="9">
        <v>28.109873114011638</v>
      </c>
      <c r="Z4100" s="9">
        <v>30.975097350688763</v>
      </c>
      <c r="AA4100" s="9">
        <v>30.975097350688763</v>
      </c>
      <c r="AB4100" s="9">
        <v>34.370578528895656</v>
      </c>
      <c r="AC4100" s="9">
        <v>34.370578528895656</v>
      </c>
      <c r="AD4100" s="9">
        <v>39.013187474230911</v>
      </c>
      <c r="AE4100" s="9">
        <v>42.452173954636635</v>
      </c>
      <c r="AF4100" s="9">
        <v>47.478364248265585</v>
      </c>
      <c r="AG4100" s="9">
        <v>47.478364248265585</v>
      </c>
      <c r="AH4100" s="9">
        <v>50.815992158664379</v>
      </c>
      <c r="AI4100" s="9">
        <v>54.045500821302042</v>
      </c>
      <c r="AJ4100" s="9">
        <v>3.0428788910505911</v>
      </c>
    </row>
    <row r="4101" spans="1:36" x14ac:dyDescent="0.25">
      <c r="A4101" t="s">
        <v>5411</v>
      </c>
      <c r="B4101" t="s">
        <v>16</v>
      </c>
      <c r="C4101" t="s">
        <v>17</v>
      </c>
      <c r="D4101">
        <v>75330000</v>
      </c>
      <c r="E4101">
        <v>75339999</v>
      </c>
      <c r="F4101" t="s">
        <v>3730</v>
      </c>
      <c r="G4101" t="str">
        <f t="shared" si="128"/>
        <v>GOI</v>
      </c>
      <c r="H4101" t="s">
        <v>3672</v>
      </c>
      <c r="I4101" t="s">
        <v>20</v>
      </c>
      <c r="J4101" t="s">
        <v>62</v>
      </c>
      <c r="K4101" s="6">
        <v>0.03</v>
      </c>
      <c r="L4101" s="7">
        <f t="shared" si="129"/>
        <v>2E-3</v>
      </c>
      <c r="M4101" s="7">
        <v>3.0000000000000001E-3</v>
      </c>
      <c r="N4101">
        <v>9</v>
      </c>
      <c r="O4101" s="8">
        <v>20.377140471637041</v>
      </c>
      <c r="P4101" s="9">
        <v>20.377140471637041</v>
      </c>
      <c r="Q4101" s="9">
        <v>20.377140471637041</v>
      </c>
      <c r="R4101" s="9">
        <v>21.402978767052765</v>
      </c>
      <c r="S4101" s="9">
        <v>22.589768980199143</v>
      </c>
      <c r="T4101" s="9">
        <v>24.040396091340774</v>
      </c>
      <c r="U4101" s="9">
        <v>25.448505028591189</v>
      </c>
      <c r="V4101" s="9">
        <v>25.448505028591189</v>
      </c>
      <c r="W4101" s="9">
        <v>25.448505028591189</v>
      </c>
      <c r="X4101" s="9">
        <v>28.109873114011638</v>
      </c>
      <c r="Y4101" s="9">
        <v>28.109873114011638</v>
      </c>
      <c r="Z4101" s="9">
        <v>30.975097350688763</v>
      </c>
      <c r="AA4101" s="9">
        <v>30.975097350688763</v>
      </c>
      <c r="AB4101" s="9">
        <v>34.370578528895656</v>
      </c>
      <c r="AC4101" s="9">
        <v>34.370578528895656</v>
      </c>
      <c r="AD4101" s="9">
        <v>39.013187474230911</v>
      </c>
      <c r="AE4101" s="9">
        <v>42.452173954636635</v>
      </c>
      <c r="AF4101" s="9">
        <v>47.478364248265585</v>
      </c>
      <c r="AG4101" s="9">
        <v>47.478364248265585</v>
      </c>
      <c r="AH4101" s="9">
        <v>50.815992158664379</v>
      </c>
      <c r="AI4101" s="9">
        <v>54.045500821302042</v>
      </c>
      <c r="AJ4101" s="9">
        <v>3.0428788910505911</v>
      </c>
    </row>
    <row r="4102" spans="1:36" x14ac:dyDescent="0.25">
      <c r="A4102" t="s">
        <v>5411</v>
      </c>
      <c r="B4102" t="s">
        <v>16</v>
      </c>
      <c r="C4102" t="s">
        <v>17</v>
      </c>
      <c r="D4102">
        <v>75340000</v>
      </c>
      <c r="E4102">
        <v>75344999</v>
      </c>
      <c r="F4102" t="s">
        <v>2844</v>
      </c>
      <c r="G4102" t="str">
        <f t="shared" si="128"/>
        <v>GOI II</v>
      </c>
      <c r="H4102" t="s">
        <v>3672</v>
      </c>
      <c r="I4102" t="s">
        <v>20</v>
      </c>
      <c r="J4102" t="s">
        <v>64</v>
      </c>
      <c r="K4102" s="6">
        <v>0.03</v>
      </c>
      <c r="L4102" s="7">
        <f t="shared" si="129"/>
        <v>2E-3</v>
      </c>
      <c r="M4102" s="7">
        <v>3.0000000000000001E-3</v>
      </c>
      <c r="N4102">
        <v>12</v>
      </c>
      <c r="O4102" s="8">
        <v>24.12918157169327</v>
      </c>
      <c r="P4102" s="9">
        <v>24.12918157169327</v>
      </c>
      <c r="Q4102" s="9">
        <v>24.12918157169327</v>
      </c>
      <c r="R4102" s="9">
        <v>25.337926603196635</v>
      </c>
      <c r="S4102" s="9">
        <v>26.739125453822282</v>
      </c>
      <c r="T4102" s="9">
        <v>27.918529456871191</v>
      </c>
      <c r="U4102" s="9">
        <v>29.567239706252465</v>
      </c>
      <c r="V4102" s="9">
        <v>29.567239706252465</v>
      </c>
      <c r="W4102" s="9">
        <v>29.567239706252465</v>
      </c>
      <c r="X4102" s="9">
        <v>32.768324265753506</v>
      </c>
      <c r="Y4102" s="9">
        <v>32.768324265753506</v>
      </c>
      <c r="Z4102" s="9">
        <v>36.06659911693589</v>
      </c>
      <c r="AA4102" s="9">
        <v>36.06659911693589</v>
      </c>
      <c r="AB4102" s="9">
        <v>39.471783288967806</v>
      </c>
      <c r="AC4102" s="9">
        <v>39.471783288967806</v>
      </c>
      <c r="AD4102" s="9">
        <v>44.89371961968488</v>
      </c>
      <c r="AE4102" s="9">
        <v>47.788360826374728</v>
      </c>
      <c r="AF4102" s="9">
        <v>50.811128677055613</v>
      </c>
      <c r="AG4102" s="9">
        <v>50.811128677055613</v>
      </c>
      <c r="AH4102" s="9">
        <v>54.808386973888702</v>
      </c>
      <c r="AI4102" s="9">
        <v>57.901475997525047</v>
      </c>
      <c r="AJ4102" s="9">
        <v>3.0428788910505911</v>
      </c>
    </row>
    <row r="4103" spans="1:36" x14ac:dyDescent="0.25">
      <c r="A4103" t="s">
        <v>5411</v>
      </c>
      <c r="B4103" t="s">
        <v>16</v>
      </c>
      <c r="C4103" t="s">
        <v>17</v>
      </c>
      <c r="D4103">
        <v>75345000</v>
      </c>
      <c r="E4103">
        <v>75349999</v>
      </c>
      <c r="F4103" t="s">
        <v>3731</v>
      </c>
      <c r="G4103" t="str">
        <f t="shared" si="128"/>
        <v>GOI II</v>
      </c>
      <c r="H4103" t="s">
        <v>3672</v>
      </c>
      <c r="I4103" t="s">
        <v>20</v>
      </c>
      <c r="J4103" t="s">
        <v>64</v>
      </c>
      <c r="K4103" s="6">
        <v>0.03</v>
      </c>
      <c r="L4103" s="7">
        <f t="shared" si="129"/>
        <v>2E-3</v>
      </c>
      <c r="M4103" s="7">
        <v>3.0000000000000001E-3</v>
      </c>
      <c r="N4103">
        <v>12</v>
      </c>
      <c r="O4103" s="8">
        <v>24.12918157169327</v>
      </c>
      <c r="P4103" s="9">
        <v>24.12918157169327</v>
      </c>
      <c r="Q4103" s="9">
        <v>24.12918157169327</v>
      </c>
      <c r="R4103" s="9">
        <v>25.337926603196635</v>
      </c>
      <c r="S4103" s="9">
        <v>26.739125453822282</v>
      </c>
      <c r="T4103" s="9">
        <v>27.918529456871191</v>
      </c>
      <c r="U4103" s="9">
        <v>29.567239706252465</v>
      </c>
      <c r="V4103" s="9">
        <v>29.567239706252465</v>
      </c>
      <c r="W4103" s="9">
        <v>29.567239706252465</v>
      </c>
      <c r="X4103" s="9">
        <v>32.768324265753506</v>
      </c>
      <c r="Y4103" s="9">
        <v>32.768324265753506</v>
      </c>
      <c r="Z4103" s="9">
        <v>36.06659911693589</v>
      </c>
      <c r="AA4103" s="9">
        <v>36.06659911693589</v>
      </c>
      <c r="AB4103" s="9">
        <v>39.471783288967806</v>
      </c>
      <c r="AC4103" s="9">
        <v>39.471783288967806</v>
      </c>
      <c r="AD4103" s="9">
        <v>44.89371961968488</v>
      </c>
      <c r="AE4103" s="9">
        <v>47.788360826374728</v>
      </c>
      <c r="AF4103" s="9">
        <v>50.811128677055613</v>
      </c>
      <c r="AG4103" s="9">
        <v>50.811128677055613</v>
      </c>
      <c r="AH4103" s="9">
        <v>54.808386973888702</v>
      </c>
      <c r="AI4103" s="9">
        <v>57.901475997525047</v>
      </c>
      <c r="AJ4103" s="9">
        <v>3.0428788910505911</v>
      </c>
    </row>
    <row r="4104" spans="1:36" x14ac:dyDescent="0.25">
      <c r="A4104" t="s">
        <v>5411</v>
      </c>
      <c r="B4104" t="s">
        <v>16</v>
      </c>
      <c r="C4104" t="s">
        <v>17</v>
      </c>
      <c r="D4104">
        <v>75350000</v>
      </c>
      <c r="E4104">
        <v>75354999</v>
      </c>
      <c r="F4104" t="s">
        <v>3732</v>
      </c>
      <c r="G4104" t="str">
        <f t="shared" si="128"/>
        <v>GOI</v>
      </c>
      <c r="H4104" t="s">
        <v>3672</v>
      </c>
      <c r="I4104" t="s">
        <v>20</v>
      </c>
      <c r="J4104" t="s">
        <v>62</v>
      </c>
      <c r="K4104" s="6">
        <v>0.03</v>
      </c>
      <c r="L4104" s="7">
        <f t="shared" si="129"/>
        <v>2E-3</v>
      </c>
      <c r="M4104" s="7">
        <v>3.0000000000000001E-3</v>
      </c>
      <c r="N4104">
        <v>9</v>
      </c>
      <c r="O4104" s="8">
        <v>20.377140471637041</v>
      </c>
      <c r="P4104" s="9">
        <v>20.377140471637041</v>
      </c>
      <c r="Q4104" s="9">
        <v>20.377140471637041</v>
      </c>
      <c r="R4104" s="9">
        <v>21.402978767052765</v>
      </c>
      <c r="S4104" s="9">
        <v>22.589768980199143</v>
      </c>
      <c r="T4104" s="9">
        <v>24.040396091340774</v>
      </c>
      <c r="U4104" s="9">
        <v>25.448505028591189</v>
      </c>
      <c r="V4104" s="9">
        <v>25.448505028591189</v>
      </c>
      <c r="W4104" s="9">
        <v>25.448505028591189</v>
      </c>
      <c r="X4104" s="9">
        <v>28.109873114011638</v>
      </c>
      <c r="Y4104" s="9">
        <v>28.109873114011638</v>
      </c>
      <c r="Z4104" s="9">
        <v>30.975097350688763</v>
      </c>
      <c r="AA4104" s="9">
        <v>30.975097350688763</v>
      </c>
      <c r="AB4104" s="9">
        <v>34.370578528895656</v>
      </c>
      <c r="AC4104" s="9">
        <v>34.370578528895656</v>
      </c>
      <c r="AD4104" s="9">
        <v>39.013187474230911</v>
      </c>
      <c r="AE4104" s="9">
        <v>42.452173954636635</v>
      </c>
      <c r="AF4104" s="9">
        <v>47.478364248265585</v>
      </c>
      <c r="AG4104" s="9">
        <v>47.478364248265585</v>
      </c>
      <c r="AH4104" s="9">
        <v>50.815992158664379</v>
      </c>
      <c r="AI4104" s="9">
        <v>54.045500821302042</v>
      </c>
      <c r="AJ4104" s="9">
        <v>3.0428788910505911</v>
      </c>
    </row>
    <row r="4105" spans="1:36" x14ac:dyDescent="0.25">
      <c r="A4105" t="s">
        <v>5411</v>
      </c>
      <c r="B4105" t="s">
        <v>16</v>
      </c>
      <c r="C4105" t="s">
        <v>17</v>
      </c>
      <c r="D4105">
        <v>75355000</v>
      </c>
      <c r="E4105">
        <v>75359999</v>
      </c>
      <c r="F4105" t="s">
        <v>3733</v>
      </c>
      <c r="G4105" t="str">
        <f t="shared" si="128"/>
        <v>GOI</v>
      </c>
      <c r="H4105" t="s">
        <v>3672</v>
      </c>
      <c r="I4105" t="s">
        <v>20</v>
      </c>
      <c r="J4105" t="s">
        <v>62</v>
      </c>
      <c r="K4105" s="6">
        <v>0.03</v>
      </c>
      <c r="L4105" s="7">
        <f t="shared" si="129"/>
        <v>2E-3</v>
      </c>
      <c r="M4105" s="7">
        <v>3.0000000000000001E-3</v>
      </c>
      <c r="N4105">
        <v>9</v>
      </c>
      <c r="O4105" s="8">
        <v>20.377140471637041</v>
      </c>
      <c r="P4105" s="9">
        <v>20.377140471637041</v>
      </c>
      <c r="Q4105" s="9">
        <v>20.377140471637041</v>
      </c>
      <c r="R4105" s="9">
        <v>21.402978767052765</v>
      </c>
      <c r="S4105" s="9">
        <v>22.589768980199143</v>
      </c>
      <c r="T4105" s="9">
        <v>24.040396091340774</v>
      </c>
      <c r="U4105" s="9">
        <v>25.448505028591189</v>
      </c>
      <c r="V4105" s="9">
        <v>25.448505028591189</v>
      </c>
      <c r="W4105" s="9">
        <v>25.448505028591189</v>
      </c>
      <c r="X4105" s="9">
        <v>28.109873114011638</v>
      </c>
      <c r="Y4105" s="9">
        <v>28.109873114011638</v>
      </c>
      <c r="Z4105" s="9">
        <v>30.975097350688763</v>
      </c>
      <c r="AA4105" s="9">
        <v>30.975097350688763</v>
      </c>
      <c r="AB4105" s="9">
        <v>34.370578528895656</v>
      </c>
      <c r="AC4105" s="9">
        <v>34.370578528895656</v>
      </c>
      <c r="AD4105" s="9">
        <v>39.013187474230911</v>
      </c>
      <c r="AE4105" s="9">
        <v>42.452173954636635</v>
      </c>
      <c r="AF4105" s="9">
        <v>47.478364248265585</v>
      </c>
      <c r="AG4105" s="9">
        <v>47.478364248265585</v>
      </c>
      <c r="AH4105" s="9">
        <v>50.815992158664379</v>
      </c>
      <c r="AI4105" s="9">
        <v>54.045500821302042</v>
      </c>
      <c r="AJ4105" s="9">
        <v>3.0428788910505911</v>
      </c>
    </row>
    <row r="4106" spans="1:36" x14ac:dyDescent="0.25">
      <c r="A4106" t="s">
        <v>5411</v>
      </c>
      <c r="B4106" t="s">
        <v>16</v>
      </c>
      <c r="C4106" t="s">
        <v>17</v>
      </c>
      <c r="D4106">
        <v>75360000</v>
      </c>
      <c r="E4106">
        <v>75369999</v>
      </c>
      <c r="F4106" t="s">
        <v>3734</v>
      </c>
      <c r="G4106" t="str">
        <f t="shared" si="128"/>
        <v>GOI</v>
      </c>
      <c r="H4106" t="s">
        <v>3672</v>
      </c>
      <c r="I4106" t="s">
        <v>20</v>
      </c>
      <c r="J4106" t="s">
        <v>62</v>
      </c>
      <c r="K4106" s="6">
        <v>0.03</v>
      </c>
      <c r="L4106" s="7">
        <f t="shared" si="129"/>
        <v>2E-3</v>
      </c>
      <c r="M4106" s="7">
        <v>3.0000000000000001E-3</v>
      </c>
      <c r="N4106">
        <v>9</v>
      </c>
      <c r="O4106" s="8">
        <v>20.377140471637041</v>
      </c>
      <c r="P4106" s="9">
        <v>20.377140471637041</v>
      </c>
      <c r="Q4106" s="9">
        <v>20.377140471637041</v>
      </c>
      <c r="R4106" s="9">
        <v>21.402978767052765</v>
      </c>
      <c r="S4106" s="9">
        <v>22.589768980199143</v>
      </c>
      <c r="T4106" s="9">
        <v>24.040396091340774</v>
      </c>
      <c r="U4106" s="9">
        <v>25.448505028591189</v>
      </c>
      <c r="V4106" s="9">
        <v>25.448505028591189</v>
      </c>
      <c r="W4106" s="9">
        <v>25.448505028591189</v>
      </c>
      <c r="X4106" s="9">
        <v>28.109873114011638</v>
      </c>
      <c r="Y4106" s="9">
        <v>28.109873114011638</v>
      </c>
      <c r="Z4106" s="9">
        <v>30.975097350688763</v>
      </c>
      <c r="AA4106" s="9">
        <v>30.975097350688763</v>
      </c>
      <c r="AB4106" s="9">
        <v>34.370578528895656</v>
      </c>
      <c r="AC4106" s="9">
        <v>34.370578528895656</v>
      </c>
      <c r="AD4106" s="9">
        <v>39.013187474230911</v>
      </c>
      <c r="AE4106" s="9">
        <v>42.452173954636635</v>
      </c>
      <c r="AF4106" s="9">
        <v>47.478364248265585</v>
      </c>
      <c r="AG4106" s="9">
        <v>47.478364248265585</v>
      </c>
      <c r="AH4106" s="9">
        <v>50.815992158664379</v>
      </c>
      <c r="AI4106" s="9">
        <v>54.045500821302042</v>
      </c>
      <c r="AJ4106" s="9">
        <v>3.0428788910505911</v>
      </c>
    </row>
    <row r="4107" spans="1:36" x14ac:dyDescent="0.25">
      <c r="A4107" t="s">
        <v>5411</v>
      </c>
      <c r="B4107" t="s">
        <v>16</v>
      </c>
      <c r="C4107" t="s">
        <v>17</v>
      </c>
      <c r="D4107">
        <v>75370000</v>
      </c>
      <c r="E4107">
        <v>75374999</v>
      </c>
      <c r="F4107" t="s">
        <v>3735</v>
      </c>
      <c r="G4107" t="str">
        <f t="shared" si="128"/>
        <v>GOI</v>
      </c>
      <c r="H4107" t="s">
        <v>3672</v>
      </c>
      <c r="I4107" t="s">
        <v>20</v>
      </c>
      <c r="J4107" t="s">
        <v>62</v>
      </c>
      <c r="K4107" s="6">
        <v>0.03</v>
      </c>
      <c r="L4107" s="7">
        <f t="shared" si="129"/>
        <v>2E-3</v>
      </c>
      <c r="M4107" s="7">
        <v>3.0000000000000001E-3</v>
      </c>
      <c r="N4107">
        <v>9</v>
      </c>
      <c r="O4107" s="8">
        <v>20.377140471637041</v>
      </c>
      <c r="P4107" s="9">
        <v>20.377140471637041</v>
      </c>
      <c r="Q4107" s="9">
        <v>20.377140471637041</v>
      </c>
      <c r="R4107" s="9">
        <v>21.402978767052765</v>
      </c>
      <c r="S4107" s="9">
        <v>22.589768980199143</v>
      </c>
      <c r="T4107" s="9">
        <v>24.040396091340774</v>
      </c>
      <c r="U4107" s="9">
        <v>25.448505028591189</v>
      </c>
      <c r="V4107" s="9">
        <v>25.448505028591189</v>
      </c>
      <c r="W4107" s="9">
        <v>25.448505028591189</v>
      </c>
      <c r="X4107" s="9">
        <v>28.109873114011638</v>
      </c>
      <c r="Y4107" s="9">
        <v>28.109873114011638</v>
      </c>
      <c r="Z4107" s="9">
        <v>30.975097350688763</v>
      </c>
      <c r="AA4107" s="9">
        <v>30.975097350688763</v>
      </c>
      <c r="AB4107" s="9">
        <v>34.370578528895656</v>
      </c>
      <c r="AC4107" s="9">
        <v>34.370578528895656</v>
      </c>
      <c r="AD4107" s="9">
        <v>39.013187474230911</v>
      </c>
      <c r="AE4107" s="9">
        <v>42.452173954636635</v>
      </c>
      <c r="AF4107" s="9">
        <v>47.478364248265585</v>
      </c>
      <c r="AG4107" s="9">
        <v>47.478364248265585</v>
      </c>
      <c r="AH4107" s="9">
        <v>50.815992158664379</v>
      </c>
      <c r="AI4107" s="9">
        <v>54.045500821302042</v>
      </c>
      <c r="AJ4107" s="9">
        <v>3.0428788910505911</v>
      </c>
    </row>
    <row r="4108" spans="1:36" x14ac:dyDescent="0.25">
      <c r="A4108" t="s">
        <v>5411</v>
      </c>
      <c r="B4108" t="s">
        <v>16</v>
      </c>
      <c r="C4108" t="s">
        <v>17</v>
      </c>
      <c r="D4108">
        <v>75375000</v>
      </c>
      <c r="E4108">
        <v>75379999</v>
      </c>
      <c r="F4108" t="s">
        <v>3736</v>
      </c>
      <c r="G4108" t="str">
        <f t="shared" si="128"/>
        <v>GOI</v>
      </c>
      <c r="H4108" t="s">
        <v>3672</v>
      </c>
      <c r="I4108" t="s">
        <v>20</v>
      </c>
      <c r="J4108" t="s">
        <v>62</v>
      </c>
      <c r="K4108" s="6">
        <v>0.03</v>
      </c>
      <c r="L4108" s="7">
        <f t="shared" si="129"/>
        <v>2E-3</v>
      </c>
      <c r="M4108" s="7">
        <v>3.0000000000000001E-3</v>
      </c>
      <c r="N4108">
        <v>9</v>
      </c>
      <c r="O4108" s="8">
        <v>20.377140471637041</v>
      </c>
      <c r="P4108" s="9">
        <v>20.377140471637041</v>
      </c>
      <c r="Q4108" s="9">
        <v>20.377140471637041</v>
      </c>
      <c r="R4108" s="9">
        <v>21.402978767052765</v>
      </c>
      <c r="S4108" s="9">
        <v>22.589768980199143</v>
      </c>
      <c r="T4108" s="9">
        <v>24.040396091340774</v>
      </c>
      <c r="U4108" s="9">
        <v>25.448505028591189</v>
      </c>
      <c r="V4108" s="9">
        <v>25.448505028591189</v>
      </c>
      <c r="W4108" s="9">
        <v>25.448505028591189</v>
      </c>
      <c r="X4108" s="9">
        <v>28.109873114011638</v>
      </c>
      <c r="Y4108" s="9">
        <v>28.109873114011638</v>
      </c>
      <c r="Z4108" s="9">
        <v>30.975097350688763</v>
      </c>
      <c r="AA4108" s="9">
        <v>30.975097350688763</v>
      </c>
      <c r="AB4108" s="9">
        <v>34.370578528895656</v>
      </c>
      <c r="AC4108" s="9">
        <v>34.370578528895656</v>
      </c>
      <c r="AD4108" s="9">
        <v>39.013187474230911</v>
      </c>
      <c r="AE4108" s="9">
        <v>42.452173954636635</v>
      </c>
      <c r="AF4108" s="9">
        <v>47.478364248265585</v>
      </c>
      <c r="AG4108" s="9">
        <v>47.478364248265585</v>
      </c>
      <c r="AH4108" s="9">
        <v>50.815992158664379</v>
      </c>
      <c r="AI4108" s="9">
        <v>54.045500821302042</v>
      </c>
      <c r="AJ4108" s="9">
        <v>3.0428788910505911</v>
      </c>
    </row>
    <row r="4109" spans="1:36" x14ac:dyDescent="0.25">
      <c r="A4109" t="s">
        <v>5411</v>
      </c>
      <c r="B4109" t="s">
        <v>16</v>
      </c>
      <c r="C4109" t="s">
        <v>17</v>
      </c>
      <c r="D4109">
        <v>75380000</v>
      </c>
      <c r="E4109">
        <v>75394999</v>
      </c>
      <c r="F4109" t="s">
        <v>2329</v>
      </c>
      <c r="G4109" t="str">
        <f t="shared" si="128"/>
        <v>GOI II</v>
      </c>
      <c r="H4109" t="s">
        <v>3672</v>
      </c>
      <c r="I4109" t="s">
        <v>20</v>
      </c>
      <c r="J4109" t="s">
        <v>64</v>
      </c>
      <c r="K4109" s="6">
        <v>0.03</v>
      </c>
      <c r="L4109" s="7">
        <f t="shared" si="129"/>
        <v>2E-3</v>
      </c>
      <c r="M4109" s="7">
        <v>3.0000000000000001E-3</v>
      </c>
      <c r="N4109">
        <v>12</v>
      </c>
      <c r="O4109" s="8">
        <v>24.12918157169327</v>
      </c>
      <c r="P4109" s="9">
        <v>24.12918157169327</v>
      </c>
      <c r="Q4109" s="9">
        <v>24.12918157169327</v>
      </c>
      <c r="R4109" s="9">
        <v>25.337926603196635</v>
      </c>
      <c r="S4109" s="9">
        <v>26.739125453822282</v>
      </c>
      <c r="T4109" s="9">
        <v>27.918529456871191</v>
      </c>
      <c r="U4109" s="9">
        <v>29.567239706252465</v>
      </c>
      <c r="V4109" s="9">
        <v>29.567239706252465</v>
      </c>
      <c r="W4109" s="9">
        <v>29.567239706252465</v>
      </c>
      <c r="X4109" s="9">
        <v>32.768324265753506</v>
      </c>
      <c r="Y4109" s="9">
        <v>32.768324265753506</v>
      </c>
      <c r="Z4109" s="9">
        <v>36.06659911693589</v>
      </c>
      <c r="AA4109" s="9">
        <v>36.06659911693589</v>
      </c>
      <c r="AB4109" s="9">
        <v>39.471783288967806</v>
      </c>
      <c r="AC4109" s="9">
        <v>39.471783288967806</v>
      </c>
      <c r="AD4109" s="9">
        <v>44.89371961968488</v>
      </c>
      <c r="AE4109" s="9">
        <v>47.788360826374728</v>
      </c>
      <c r="AF4109" s="9">
        <v>50.811128677055613</v>
      </c>
      <c r="AG4109" s="9">
        <v>50.811128677055613</v>
      </c>
      <c r="AH4109" s="9">
        <v>54.808386973888702</v>
      </c>
      <c r="AI4109" s="9">
        <v>57.901475997525047</v>
      </c>
      <c r="AJ4109" s="9">
        <v>3.0428788910505911</v>
      </c>
    </row>
    <row r="4110" spans="1:36" x14ac:dyDescent="0.25">
      <c r="A4110" t="s">
        <v>5411</v>
      </c>
      <c r="B4110" t="s">
        <v>16</v>
      </c>
      <c r="C4110" t="s">
        <v>17</v>
      </c>
      <c r="D4110">
        <v>75395000</v>
      </c>
      <c r="E4110">
        <v>75395999</v>
      </c>
      <c r="F4110" t="s">
        <v>3737</v>
      </c>
      <c r="G4110" t="str">
        <f t="shared" si="128"/>
        <v>GOI</v>
      </c>
      <c r="H4110" t="s">
        <v>3672</v>
      </c>
      <c r="I4110" t="s">
        <v>20</v>
      </c>
      <c r="J4110" t="s">
        <v>62</v>
      </c>
      <c r="K4110" s="6">
        <v>0.03</v>
      </c>
      <c r="L4110" s="7">
        <f t="shared" si="129"/>
        <v>2E-3</v>
      </c>
      <c r="M4110" s="7">
        <v>3.0000000000000001E-3</v>
      </c>
      <c r="N4110">
        <v>9</v>
      </c>
      <c r="O4110" s="8">
        <v>20.377140471637041</v>
      </c>
      <c r="P4110" s="9">
        <v>20.377140471637041</v>
      </c>
      <c r="Q4110" s="9">
        <v>20.377140471637041</v>
      </c>
      <c r="R4110" s="9">
        <v>21.402978767052765</v>
      </c>
      <c r="S4110" s="9">
        <v>22.589768980199143</v>
      </c>
      <c r="T4110" s="9">
        <v>24.040396091340774</v>
      </c>
      <c r="U4110" s="9">
        <v>25.448505028591189</v>
      </c>
      <c r="V4110" s="9">
        <v>25.448505028591189</v>
      </c>
      <c r="W4110" s="9">
        <v>25.448505028591189</v>
      </c>
      <c r="X4110" s="9">
        <v>28.109873114011638</v>
      </c>
      <c r="Y4110" s="9">
        <v>28.109873114011638</v>
      </c>
      <c r="Z4110" s="9">
        <v>30.975097350688763</v>
      </c>
      <c r="AA4110" s="9">
        <v>30.975097350688763</v>
      </c>
      <c r="AB4110" s="9">
        <v>34.370578528895656</v>
      </c>
      <c r="AC4110" s="9">
        <v>34.370578528895656</v>
      </c>
      <c r="AD4110" s="9">
        <v>39.013187474230911</v>
      </c>
      <c r="AE4110" s="9">
        <v>42.452173954636635</v>
      </c>
      <c r="AF4110" s="9">
        <v>47.478364248265585</v>
      </c>
      <c r="AG4110" s="9">
        <v>47.478364248265585</v>
      </c>
      <c r="AH4110" s="9">
        <v>50.815992158664379</v>
      </c>
      <c r="AI4110" s="9">
        <v>54.045500821302042</v>
      </c>
      <c r="AJ4110" s="9">
        <v>3.0428788910505911</v>
      </c>
    </row>
    <row r="4111" spans="1:36" x14ac:dyDescent="0.25">
      <c r="A4111" t="s">
        <v>5411</v>
      </c>
      <c r="B4111" t="s">
        <v>16</v>
      </c>
      <c r="C4111" t="s">
        <v>17</v>
      </c>
      <c r="D4111">
        <v>75396000</v>
      </c>
      <c r="E4111">
        <v>75397999</v>
      </c>
      <c r="F4111" t="s">
        <v>3738</v>
      </c>
      <c r="G4111" t="str">
        <f t="shared" si="128"/>
        <v>GOI</v>
      </c>
      <c r="H4111" t="s">
        <v>3672</v>
      </c>
      <c r="I4111" t="s">
        <v>20</v>
      </c>
      <c r="J4111" t="s">
        <v>62</v>
      </c>
      <c r="K4111" s="6">
        <v>0.03</v>
      </c>
      <c r="L4111" s="7">
        <f t="shared" si="129"/>
        <v>2E-3</v>
      </c>
      <c r="M4111" s="7">
        <v>3.0000000000000001E-3</v>
      </c>
      <c r="N4111">
        <v>9</v>
      </c>
      <c r="O4111" s="8">
        <v>20.377140471637041</v>
      </c>
      <c r="P4111" s="9">
        <v>20.377140471637041</v>
      </c>
      <c r="Q4111" s="9">
        <v>20.377140471637041</v>
      </c>
      <c r="R4111" s="9">
        <v>21.402978767052765</v>
      </c>
      <c r="S4111" s="9">
        <v>22.589768980199143</v>
      </c>
      <c r="T4111" s="9">
        <v>24.040396091340774</v>
      </c>
      <c r="U4111" s="9">
        <v>25.448505028591189</v>
      </c>
      <c r="V4111" s="9">
        <v>25.448505028591189</v>
      </c>
      <c r="W4111" s="9">
        <v>25.448505028591189</v>
      </c>
      <c r="X4111" s="9">
        <v>28.109873114011638</v>
      </c>
      <c r="Y4111" s="9">
        <v>28.109873114011638</v>
      </c>
      <c r="Z4111" s="9">
        <v>30.975097350688763</v>
      </c>
      <c r="AA4111" s="9">
        <v>30.975097350688763</v>
      </c>
      <c r="AB4111" s="9">
        <v>34.370578528895656</v>
      </c>
      <c r="AC4111" s="9">
        <v>34.370578528895656</v>
      </c>
      <c r="AD4111" s="9">
        <v>39.013187474230911</v>
      </c>
      <c r="AE4111" s="9">
        <v>42.452173954636635</v>
      </c>
      <c r="AF4111" s="9">
        <v>47.478364248265585</v>
      </c>
      <c r="AG4111" s="9">
        <v>47.478364248265585</v>
      </c>
      <c r="AH4111" s="9">
        <v>50.815992158664379</v>
      </c>
      <c r="AI4111" s="9">
        <v>54.045500821302042</v>
      </c>
      <c r="AJ4111" s="9">
        <v>3.0428788910505911</v>
      </c>
    </row>
    <row r="4112" spans="1:36" x14ac:dyDescent="0.25">
      <c r="A4112" t="s">
        <v>5411</v>
      </c>
      <c r="B4112" t="s">
        <v>16</v>
      </c>
      <c r="C4112" t="s">
        <v>17</v>
      </c>
      <c r="D4112">
        <v>75398000</v>
      </c>
      <c r="E4112">
        <v>75399999</v>
      </c>
      <c r="F4112" t="s">
        <v>3739</v>
      </c>
      <c r="G4112" t="str">
        <f t="shared" si="128"/>
        <v>GOI</v>
      </c>
      <c r="H4112" t="s">
        <v>3672</v>
      </c>
      <c r="I4112" t="s">
        <v>20</v>
      </c>
      <c r="J4112" t="s">
        <v>62</v>
      </c>
      <c r="K4112" s="6">
        <v>0.03</v>
      </c>
      <c r="L4112" s="7">
        <f t="shared" si="129"/>
        <v>2E-3</v>
      </c>
      <c r="M4112" s="7">
        <v>3.0000000000000001E-3</v>
      </c>
      <c r="N4112">
        <v>9</v>
      </c>
      <c r="O4112" s="8">
        <v>20.377140471637041</v>
      </c>
      <c r="P4112" s="9">
        <v>20.377140471637041</v>
      </c>
      <c r="Q4112" s="9">
        <v>20.377140471637041</v>
      </c>
      <c r="R4112" s="9">
        <v>21.402978767052765</v>
      </c>
      <c r="S4112" s="9">
        <v>22.589768980199143</v>
      </c>
      <c r="T4112" s="9">
        <v>24.040396091340774</v>
      </c>
      <c r="U4112" s="9">
        <v>25.448505028591189</v>
      </c>
      <c r="V4112" s="9">
        <v>25.448505028591189</v>
      </c>
      <c r="W4112" s="9">
        <v>25.448505028591189</v>
      </c>
      <c r="X4112" s="9">
        <v>28.109873114011638</v>
      </c>
      <c r="Y4112" s="9">
        <v>28.109873114011638</v>
      </c>
      <c r="Z4112" s="9">
        <v>30.975097350688763</v>
      </c>
      <c r="AA4112" s="9">
        <v>30.975097350688763</v>
      </c>
      <c r="AB4112" s="9">
        <v>34.370578528895656</v>
      </c>
      <c r="AC4112" s="9">
        <v>34.370578528895656</v>
      </c>
      <c r="AD4112" s="9">
        <v>39.013187474230911</v>
      </c>
      <c r="AE4112" s="9">
        <v>42.452173954636635</v>
      </c>
      <c r="AF4112" s="9">
        <v>47.478364248265585</v>
      </c>
      <c r="AG4112" s="9">
        <v>47.478364248265585</v>
      </c>
      <c r="AH4112" s="9">
        <v>50.815992158664379</v>
      </c>
      <c r="AI4112" s="9">
        <v>54.045500821302042</v>
      </c>
      <c r="AJ4112" s="9">
        <v>3.0428788910505911</v>
      </c>
    </row>
    <row r="4113" spans="1:36" x14ac:dyDescent="0.25">
      <c r="A4113" t="s">
        <v>5411</v>
      </c>
      <c r="B4113" t="s">
        <v>16</v>
      </c>
      <c r="C4113" t="s">
        <v>17</v>
      </c>
      <c r="D4113">
        <v>75400000</v>
      </c>
      <c r="E4113">
        <v>75409999</v>
      </c>
      <c r="F4113" t="s">
        <v>3740</v>
      </c>
      <c r="G4113" t="str">
        <f t="shared" si="128"/>
        <v>GOI II</v>
      </c>
      <c r="H4113" t="s">
        <v>3672</v>
      </c>
      <c r="I4113" t="s">
        <v>20</v>
      </c>
      <c r="J4113" t="s">
        <v>64</v>
      </c>
      <c r="K4113" s="6">
        <v>0.03</v>
      </c>
      <c r="L4113" s="7">
        <f t="shared" si="129"/>
        <v>2E-3</v>
      </c>
      <c r="M4113" s="7">
        <v>3.0000000000000001E-3</v>
      </c>
      <c r="N4113">
        <v>14</v>
      </c>
      <c r="O4113" s="8">
        <v>24.12918157169327</v>
      </c>
      <c r="P4113" s="9">
        <v>24.12918157169327</v>
      </c>
      <c r="Q4113" s="9">
        <v>24.12918157169327</v>
      </c>
      <c r="R4113" s="9">
        <v>25.337926603196635</v>
      </c>
      <c r="S4113" s="9">
        <v>26.739125453822282</v>
      </c>
      <c r="T4113" s="9">
        <v>27.918529456871191</v>
      </c>
      <c r="U4113" s="9">
        <v>29.567239706252465</v>
      </c>
      <c r="V4113" s="9">
        <v>29.567239706252465</v>
      </c>
      <c r="W4113" s="9">
        <v>29.567239706252465</v>
      </c>
      <c r="X4113" s="9">
        <v>32.768324265753506</v>
      </c>
      <c r="Y4113" s="9">
        <v>32.768324265753506</v>
      </c>
      <c r="Z4113" s="9">
        <v>36.06659911693589</v>
      </c>
      <c r="AA4113" s="9">
        <v>36.06659911693589</v>
      </c>
      <c r="AB4113" s="9">
        <v>39.471783288967806</v>
      </c>
      <c r="AC4113" s="9">
        <v>39.471783288967806</v>
      </c>
      <c r="AD4113" s="9">
        <v>44.89371961968488</v>
      </c>
      <c r="AE4113" s="9">
        <v>47.788360826374728</v>
      </c>
      <c r="AF4113" s="9">
        <v>50.811128677055613</v>
      </c>
      <c r="AG4113" s="9">
        <v>50.811128677055613</v>
      </c>
      <c r="AH4113" s="9">
        <v>54.808386973888702</v>
      </c>
      <c r="AI4113" s="9">
        <v>57.901475997525047</v>
      </c>
      <c r="AJ4113" s="9">
        <v>3.0428788910505911</v>
      </c>
    </row>
    <row r="4114" spans="1:36" x14ac:dyDescent="0.25">
      <c r="A4114" t="s">
        <v>5411</v>
      </c>
      <c r="B4114" t="s">
        <v>16</v>
      </c>
      <c r="C4114" t="s">
        <v>17</v>
      </c>
      <c r="D4114">
        <v>75410000</v>
      </c>
      <c r="E4114">
        <v>75419999</v>
      </c>
      <c r="F4114" t="s">
        <v>3741</v>
      </c>
      <c r="G4114" t="str">
        <f t="shared" si="128"/>
        <v>GOI II</v>
      </c>
      <c r="H4114" t="s">
        <v>3672</v>
      </c>
      <c r="I4114" t="s">
        <v>20</v>
      </c>
      <c r="J4114" t="s">
        <v>64</v>
      </c>
      <c r="K4114" s="6">
        <v>0.03</v>
      </c>
      <c r="L4114" s="7">
        <f t="shared" si="129"/>
        <v>2E-3</v>
      </c>
      <c r="M4114" s="7">
        <v>3.0000000000000001E-3</v>
      </c>
      <c r="N4114">
        <v>14</v>
      </c>
      <c r="O4114" s="8">
        <v>24.12918157169327</v>
      </c>
      <c r="P4114" s="9">
        <v>24.12918157169327</v>
      </c>
      <c r="Q4114" s="9">
        <v>24.12918157169327</v>
      </c>
      <c r="R4114" s="9">
        <v>25.337926603196635</v>
      </c>
      <c r="S4114" s="9">
        <v>26.739125453822282</v>
      </c>
      <c r="T4114" s="9">
        <v>27.918529456871191</v>
      </c>
      <c r="U4114" s="9">
        <v>29.567239706252465</v>
      </c>
      <c r="V4114" s="9">
        <v>29.567239706252465</v>
      </c>
      <c r="W4114" s="9">
        <v>29.567239706252465</v>
      </c>
      <c r="X4114" s="9">
        <v>32.768324265753506</v>
      </c>
      <c r="Y4114" s="9">
        <v>32.768324265753506</v>
      </c>
      <c r="Z4114" s="9">
        <v>36.06659911693589</v>
      </c>
      <c r="AA4114" s="9">
        <v>36.06659911693589</v>
      </c>
      <c r="AB4114" s="9">
        <v>39.471783288967806</v>
      </c>
      <c r="AC4114" s="9">
        <v>39.471783288967806</v>
      </c>
      <c r="AD4114" s="9">
        <v>44.89371961968488</v>
      </c>
      <c r="AE4114" s="9">
        <v>47.788360826374728</v>
      </c>
      <c r="AF4114" s="9">
        <v>50.811128677055613</v>
      </c>
      <c r="AG4114" s="9">
        <v>50.811128677055613</v>
      </c>
      <c r="AH4114" s="9">
        <v>54.808386973888702</v>
      </c>
      <c r="AI4114" s="9">
        <v>57.901475997525047</v>
      </c>
      <c r="AJ4114" s="9">
        <v>3.0428788910505911</v>
      </c>
    </row>
    <row r="4115" spans="1:36" x14ac:dyDescent="0.25">
      <c r="A4115" t="s">
        <v>5411</v>
      </c>
      <c r="B4115" t="s">
        <v>16</v>
      </c>
      <c r="C4115" t="s">
        <v>17</v>
      </c>
      <c r="D4115">
        <v>75420000</v>
      </c>
      <c r="E4115">
        <v>75429999</v>
      </c>
      <c r="F4115" t="s">
        <v>3742</v>
      </c>
      <c r="G4115" t="str">
        <f t="shared" si="128"/>
        <v>GOI II</v>
      </c>
      <c r="H4115" t="s">
        <v>3672</v>
      </c>
      <c r="I4115" t="s">
        <v>20</v>
      </c>
      <c r="J4115" t="s">
        <v>64</v>
      </c>
      <c r="K4115" s="6">
        <v>0.03</v>
      </c>
      <c r="L4115" s="7">
        <f t="shared" si="129"/>
        <v>2E-3</v>
      </c>
      <c r="M4115" s="7">
        <v>3.0000000000000001E-3</v>
      </c>
      <c r="N4115">
        <v>14</v>
      </c>
      <c r="O4115" s="8">
        <v>24.12918157169327</v>
      </c>
      <c r="P4115" s="9">
        <v>24.12918157169327</v>
      </c>
      <c r="Q4115" s="9">
        <v>24.12918157169327</v>
      </c>
      <c r="R4115" s="9">
        <v>25.337926603196635</v>
      </c>
      <c r="S4115" s="9">
        <v>26.739125453822282</v>
      </c>
      <c r="T4115" s="9">
        <v>27.918529456871191</v>
      </c>
      <c r="U4115" s="9">
        <v>29.567239706252465</v>
      </c>
      <c r="V4115" s="9">
        <v>29.567239706252465</v>
      </c>
      <c r="W4115" s="9">
        <v>29.567239706252465</v>
      </c>
      <c r="X4115" s="9">
        <v>32.768324265753506</v>
      </c>
      <c r="Y4115" s="9">
        <v>32.768324265753506</v>
      </c>
      <c r="Z4115" s="9">
        <v>36.06659911693589</v>
      </c>
      <c r="AA4115" s="9">
        <v>36.06659911693589</v>
      </c>
      <c r="AB4115" s="9">
        <v>39.471783288967806</v>
      </c>
      <c r="AC4115" s="9">
        <v>39.471783288967806</v>
      </c>
      <c r="AD4115" s="9">
        <v>44.89371961968488</v>
      </c>
      <c r="AE4115" s="9">
        <v>47.788360826374728</v>
      </c>
      <c r="AF4115" s="9">
        <v>50.811128677055613</v>
      </c>
      <c r="AG4115" s="9">
        <v>50.811128677055613</v>
      </c>
      <c r="AH4115" s="9">
        <v>54.808386973888702</v>
      </c>
      <c r="AI4115" s="9">
        <v>57.901475997525047</v>
      </c>
      <c r="AJ4115" s="9">
        <v>3.0428788910505911</v>
      </c>
    </row>
    <row r="4116" spans="1:36" x14ac:dyDescent="0.25">
      <c r="A4116" t="s">
        <v>5411</v>
      </c>
      <c r="B4116" t="s">
        <v>16</v>
      </c>
      <c r="C4116" t="s">
        <v>17</v>
      </c>
      <c r="D4116">
        <v>75430000</v>
      </c>
      <c r="E4116">
        <v>75439999</v>
      </c>
      <c r="F4116" t="s">
        <v>3743</v>
      </c>
      <c r="G4116" t="str">
        <f t="shared" si="128"/>
        <v>GOI II</v>
      </c>
      <c r="H4116" t="s">
        <v>3672</v>
      </c>
      <c r="I4116" t="s">
        <v>20</v>
      </c>
      <c r="J4116" t="s">
        <v>64</v>
      </c>
      <c r="K4116" s="6">
        <v>0.03</v>
      </c>
      <c r="L4116" s="7">
        <f t="shared" si="129"/>
        <v>2E-3</v>
      </c>
      <c r="M4116" s="7">
        <v>3.0000000000000001E-3</v>
      </c>
      <c r="N4116">
        <v>14</v>
      </c>
      <c r="O4116" s="8">
        <v>24.12918157169327</v>
      </c>
      <c r="P4116" s="9">
        <v>24.12918157169327</v>
      </c>
      <c r="Q4116" s="9">
        <v>24.12918157169327</v>
      </c>
      <c r="R4116" s="9">
        <v>25.337926603196635</v>
      </c>
      <c r="S4116" s="9">
        <v>26.739125453822282</v>
      </c>
      <c r="T4116" s="9">
        <v>27.918529456871191</v>
      </c>
      <c r="U4116" s="9">
        <v>29.567239706252465</v>
      </c>
      <c r="V4116" s="9">
        <v>29.567239706252465</v>
      </c>
      <c r="W4116" s="9">
        <v>29.567239706252465</v>
      </c>
      <c r="X4116" s="9">
        <v>32.768324265753506</v>
      </c>
      <c r="Y4116" s="9">
        <v>32.768324265753506</v>
      </c>
      <c r="Z4116" s="9">
        <v>36.06659911693589</v>
      </c>
      <c r="AA4116" s="9">
        <v>36.06659911693589</v>
      </c>
      <c r="AB4116" s="9">
        <v>39.471783288967806</v>
      </c>
      <c r="AC4116" s="9">
        <v>39.471783288967806</v>
      </c>
      <c r="AD4116" s="9">
        <v>44.89371961968488</v>
      </c>
      <c r="AE4116" s="9">
        <v>47.788360826374728</v>
      </c>
      <c r="AF4116" s="9">
        <v>50.811128677055613</v>
      </c>
      <c r="AG4116" s="9">
        <v>50.811128677055613</v>
      </c>
      <c r="AH4116" s="9">
        <v>54.808386973888702</v>
      </c>
      <c r="AI4116" s="9">
        <v>57.901475997525047</v>
      </c>
      <c r="AJ4116" s="9">
        <v>3.0428788910505911</v>
      </c>
    </row>
    <row r="4117" spans="1:36" x14ac:dyDescent="0.25">
      <c r="A4117" t="s">
        <v>5411</v>
      </c>
      <c r="B4117" t="s">
        <v>16</v>
      </c>
      <c r="C4117" t="s">
        <v>17</v>
      </c>
      <c r="D4117">
        <v>75440000</v>
      </c>
      <c r="E4117">
        <v>75449999</v>
      </c>
      <c r="F4117" t="s">
        <v>3744</v>
      </c>
      <c r="G4117" t="str">
        <f t="shared" si="128"/>
        <v>GOI</v>
      </c>
      <c r="H4117" t="s">
        <v>3672</v>
      </c>
      <c r="I4117" t="s">
        <v>20</v>
      </c>
      <c r="J4117" t="s">
        <v>62</v>
      </c>
      <c r="K4117" s="6">
        <v>0.03</v>
      </c>
      <c r="L4117" s="7">
        <f t="shared" si="129"/>
        <v>2E-3</v>
      </c>
      <c r="M4117" s="7">
        <v>3.0000000000000001E-3</v>
      </c>
      <c r="N4117">
        <v>9</v>
      </c>
      <c r="O4117" s="8">
        <v>20.377140471637041</v>
      </c>
      <c r="P4117" s="9">
        <v>20.377140471637041</v>
      </c>
      <c r="Q4117" s="9">
        <v>20.377140471637041</v>
      </c>
      <c r="R4117" s="9">
        <v>21.402978767052765</v>
      </c>
      <c r="S4117" s="9">
        <v>22.589768980199143</v>
      </c>
      <c r="T4117" s="9">
        <v>24.040396091340774</v>
      </c>
      <c r="U4117" s="9">
        <v>25.448505028591189</v>
      </c>
      <c r="V4117" s="9">
        <v>25.448505028591189</v>
      </c>
      <c r="W4117" s="9">
        <v>25.448505028591189</v>
      </c>
      <c r="X4117" s="9">
        <v>28.109873114011638</v>
      </c>
      <c r="Y4117" s="9">
        <v>28.109873114011638</v>
      </c>
      <c r="Z4117" s="9">
        <v>30.975097350688763</v>
      </c>
      <c r="AA4117" s="9">
        <v>30.975097350688763</v>
      </c>
      <c r="AB4117" s="9">
        <v>34.370578528895656</v>
      </c>
      <c r="AC4117" s="9">
        <v>34.370578528895656</v>
      </c>
      <c r="AD4117" s="9">
        <v>39.013187474230911</v>
      </c>
      <c r="AE4117" s="9">
        <v>42.452173954636635</v>
      </c>
      <c r="AF4117" s="9">
        <v>47.478364248265585</v>
      </c>
      <c r="AG4117" s="9">
        <v>47.478364248265585</v>
      </c>
      <c r="AH4117" s="9">
        <v>50.815992158664379</v>
      </c>
      <c r="AI4117" s="9">
        <v>54.045500821302042</v>
      </c>
      <c r="AJ4117" s="9">
        <v>3.0428788910505911</v>
      </c>
    </row>
    <row r="4118" spans="1:36" x14ac:dyDescent="0.25">
      <c r="A4118" t="s">
        <v>5411</v>
      </c>
      <c r="B4118" t="s">
        <v>16</v>
      </c>
      <c r="C4118" t="s">
        <v>17</v>
      </c>
      <c r="D4118">
        <v>75450000</v>
      </c>
      <c r="E4118">
        <v>75454999</v>
      </c>
      <c r="F4118" t="s">
        <v>3745</v>
      </c>
      <c r="G4118" t="str">
        <f t="shared" si="128"/>
        <v>GOI II</v>
      </c>
      <c r="H4118" t="s">
        <v>3672</v>
      </c>
      <c r="I4118" t="s">
        <v>20</v>
      </c>
      <c r="J4118" t="s">
        <v>64</v>
      </c>
      <c r="K4118" s="6">
        <v>0.03</v>
      </c>
      <c r="L4118" s="7">
        <f t="shared" si="129"/>
        <v>2E-3</v>
      </c>
      <c r="M4118" s="7">
        <v>3.0000000000000001E-3</v>
      </c>
      <c r="N4118">
        <v>14</v>
      </c>
      <c r="O4118" s="8">
        <v>24.12918157169327</v>
      </c>
      <c r="P4118" s="9">
        <v>24.12918157169327</v>
      </c>
      <c r="Q4118" s="9">
        <v>24.12918157169327</v>
      </c>
      <c r="R4118" s="9">
        <v>25.337926603196635</v>
      </c>
      <c r="S4118" s="9">
        <v>26.739125453822282</v>
      </c>
      <c r="T4118" s="9">
        <v>27.918529456871191</v>
      </c>
      <c r="U4118" s="9">
        <v>29.567239706252465</v>
      </c>
      <c r="V4118" s="9">
        <v>29.567239706252465</v>
      </c>
      <c r="W4118" s="9">
        <v>29.567239706252465</v>
      </c>
      <c r="X4118" s="9">
        <v>32.768324265753506</v>
      </c>
      <c r="Y4118" s="9">
        <v>32.768324265753506</v>
      </c>
      <c r="Z4118" s="9">
        <v>36.06659911693589</v>
      </c>
      <c r="AA4118" s="9">
        <v>36.06659911693589</v>
      </c>
      <c r="AB4118" s="9">
        <v>39.471783288967806</v>
      </c>
      <c r="AC4118" s="9">
        <v>39.471783288967806</v>
      </c>
      <c r="AD4118" s="9">
        <v>44.89371961968488</v>
      </c>
      <c r="AE4118" s="9">
        <v>47.788360826374728</v>
      </c>
      <c r="AF4118" s="9">
        <v>50.811128677055613</v>
      </c>
      <c r="AG4118" s="9">
        <v>50.811128677055613</v>
      </c>
      <c r="AH4118" s="9">
        <v>54.808386973888702</v>
      </c>
      <c r="AI4118" s="9">
        <v>57.901475997525047</v>
      </c>
      <c r="AJ4118" s="9">
        <v>3.0428788910505911</v>
      </c>
    </row>
    <row r="4119" spans="1:36" x14ac:dyDescent="0.25">
      <c r="A4119" t="s">
        <v>5411</v>
      </c>
      <c r="B4119" t="s">
        <v>16</v>
      </c>
      <c r="C4119" t="s">
        <v>17</v>
      </c>
      <c r="D4119">
        <v>75455000</v>
      </c>
      <c r="E4119">
        <v>75459999</v>
      </c>
      <c r="F4119" t="s">
        <v>3746</v>
      </c>
      <c r="G4119" t="str">
        <f t="shared" si="128"/>
        <v>GOI II</v>
      </c>
      <c r="H4119" t="s">
        <v>3672</v>
      </c>
      <c r="I4119" t="s">
        <v>20</v>
      </c>
      <c r="J4119" t="s">
        <v>64</v>
      </c>
      <c r="K4119" s="6">
        <v>0.03</v>
      </c>
      <c r="L4119" s="7">
        <f t="shared" si="129"/>
        <v>2E-3</v>
      </c>
      <c r="M4119" s="7">
        <v>3.0000000000000001E-3</v>
      </c>
      <c r="N4119">
        <v>14</v>
      </c>
      <c r="O4119" s="8">
        <v>24.12918157169327</v>
      </c>
      <c r="P4119" s="9">
        <v>24.12918157169327</v>
      </c>
      <c r="Q4119" s="9">
        <v>24.12918157169327</v>
      </c>
      <c r="R4119" s="9">
        <v>25.337926603196635</v>
      </c>
      <c r="S4119" s="9">
        <v>26.739125453822282</v>
      </c>
      <c r="T4119" s="9">
        <v>27.918529456871191</v>
      </c>
      <c r="U4119" s="9">
        <v>29.567239706252465</v>
      </c>
      <c r="V4119" s="9">
        <v>29.567239706252465</v>
      </c>
      <c r="W4119" s="9">
        <v>29.567239706252465</v>
      </c>
      <c r="X4119" s="9">
        <v>32.768324265753506</v>
      </c>
      <c r="Y4119" s="9">
        <v>32.768324265753506</v>
      </c>
      <c r="Z4119" s="9">
        <v>36.06659911693589</v>
      </c>
      <c r="AA4119" s="9">
        <v>36.06659911693589</v>
      </c>
      <c r="AB4119" s="9">
        <v>39.471783288967806</v>
      </c>
      <c r="AC4119" s="9">
        <v>39.471783288967806</v>
      </c>
      <c r="AD4119" s="9">
        <v>44.89371961968488</v>
      </c>
      <c r="AE4119" s="9">
        <v>47.788360826374728</v>
      </c>
      <c r="AF4119" s="9">
        <v>50.811128677055613</v>
      </c>
      <c r="AG4119" s="9">
        <v>50.811128677055613</v>
      </c>
      <c r="AH4119" s="9">
        <v>54.808386973888702</v>
      </c>
      <c r="AI4119" s="9">
        <v>57.901475997525047</v>
      </c>
      <c r="AJ4119" s="9">
        <v>3.0428788910505911</v>
      </c>
    </row>
    <row r="4120" spans="1:36" x14ac:dyDescent="0.25">
      <c r="A4120" t="s">
        <v>5411</v>
      </c>
      <c r="B4120" t="s">
        <v>16</v>
      </c>
      <c r="C4120" t="s">
        <v>17</v>
      </c>
      <c r="D4120">
        <v>75460000</v>
      </c>
      <c r="E4120">
        <v>75469999</v>
      </c>
      <c r="F4120" t="s">
        <v>3747</v>
      </c>
      <c r="G4120" t="str">
        <f t="shared" si="128"/>
        <v>GOI</v>
      </c>
      <c r="H4120" t="s">
        <v>3672</v>
      </c>
      <c r="I4120" t="s">
        <v>20</v>
      </c>
      <c r="J4120" t="s">
        <v>62</v>
      </c>
      <c r="K4120" s="6">
        <v>0.03</v>
      </c>
      <c r="L4120" s="7">
        <f t="shared" si="129"/>
        <v>2E-3</v>
      </c>
      <c r="M4120" s="7">
        <v>3.0000000000000001E-3</v>
      </c>
      <c r="N4120">
        <v>9</v>
      </c>
      <c r="O4120" s="8">
        <v>20.377140471637041</v>
      </c>
      <c r="P4120" s="9">
        <v>20.377140471637041</v>
      </c>
      <c r="Q4120" s="9">
        <v>20.377140471637041</v>
      </c>
      <c r="R4120" s="9">
        <v>21.402978767052765</v>
      </c>
      <c r="S4120" s="9">
        <v>22.589768980199143</v>
      </c>
      <c r="T4120" s="9">
        <v>24.040396091340774</v>
      </c>
      <c r="U4120" s="9">
        <v>25.448505028591189</v>
      </c>
      <c r="V4120" s="9">
        <v>25.448505028591189</v>
      </c>
      <c r="W4120" s="9">
        <v>25.448505028591189</v>
      </c>
      <c r="X4120" s="9">
        <v>28.109873114011638</v>
      </c>
      <c r="Y4120" s="9">
        <v>28.109873114011638</v>
      </c>
      <c r="Z4120" s="9">
        <v>30.975097350688763</v>
      </c>
      <c r="AA4120" s="9">
        <v>30.975097350688763</v>
      </c>
      <c r="AB4120" s="9">
        <v>34.370578528895656</v>
      </c>
      <c r="AC4120" s="9">
        <v>34.370578528895656</v>
      </c>
      <c r="AD4120" s="9">
        <v>39.013187474230911</v>
      </c>
      <c r="AE4120" s="9">
        <v>42.452173954636635</v>
      </c>
      <c r="AF4120" s="9">
        <v>47.478364248265585</v>
      </c>
      <c r="AG4120" s="9">
        <v>47.478364248265585</v>
      </c>
      <c r="AH4120" s="9">
        <v>50.815992158664379</v>
      </c>
      <c r="AI4120" s="9">
        <v>54.045500821302042</v>
      </c>
      <c r="AJ4120" s="9">
        <v>3.0428788910505911</v>
      </c>
    </row>
    <row r="4121" spans="1:36" x14ac:dyDescent="0.25">
      <c r="A4121" t="s">
        <v>5411</v>
      </c>
      <c r="B4121" t="s">
        <v>16</v>
      </c>
      <c r="C4121" t="s">
        <v>17</v>
      </c>
      <c r="D4121">
        <v>75470000</v>
      </c>
      <c r="E4121">
        <v>75479999</v>
      </c>
      <c r="F4121" t="s">
        <v>3748</v>
      </c>
      <c r="G4121" t="str">
        <f t="shared" si="128"/>
        <v>GOI</v>
      </c>
      <c r="H4121" t="s">
        <v>3672</v>
      </c>
      <c r="I4121" t="s">
        <v>20</v>
      </c>
      <c r="J4121" t="s">
        <v>62</v>
      </c>
      <c r="K4121" s="6">
        <v>0.03</v>
      </c>
      <c r="L4121" s="7">
        <f t="shared" si="129"/>
        <v>2E-3</v>
      </c>
      <c r="M4121" s="7">
        <v>3.0000000000000001E-3</v>
      </c>
      <c r="N4121">
        <v>9</v>
      </c>
      <c r="O4121" s="8">
        <v>20.377140471637041</v>
      </c>
      <c r="P4121" s="9">
        <v>20.377140471637041</v>
      </c>
      <c r="Q4121" s="9">
        <v>20.377140471637041</v>
      </c>
      <c r="R4121" s="9">
        <v>21.402978767052765</v>
      </c>
      <c r="S4121" s="9">
        <v>22.589768980199143</v>
      </c>
      <c r="T4121" s="9">
        <v>24.040396091340774</v>
      </c>
      <c r="U4121" s="9">
        <v>25.448505028591189</v>
      </c>
      <c r="V4121" s="9">
        <v>25.448505028591189</v>
      </c>
      <c r="W4121" s="9">
        <v>25.448505028591189</v>
      </c>
      <c r="X4121" s="9">
        <v>28.109873114011638</v>
      </c>
      <c r="Y4121" s="9">
        <v>28.109873114011638</v>
      </c>
      <c r="Z4121" s="9">
        <v>30.975097350688763</v>
      </c>
      <c r="AA4121" s="9">
        <v>30.975097350688763</v>
      </c>
      <c r="AB4121" s="9">
        <v>34.370578528895656</v>
      </c>
      <c r="AC4121" s="9">
        <v>34.370578528895656</v>
      </c>
      <c r="AD4121" s="9">
        <v>39.013187474230911</v>
      </c>
      <c r="AE4121" s="9">
        <v>42.452173954636635</v>
      </c>
      <c r="AF4121" s="9">
        <v>47.478364248265585</v>
      </c>
      <c r="AG4121" s="9">
        <v>47.478364248265585</v>
      </c>
      <c r="AH4121" s="9">
        <v>50.815992158664379</v>
      </c>
      <c r="AI4121" s="9">
        <v>54.045500821302042</v>
      </c>
      <c r="AJ4121" s="9">
        <v>3.0428788910505911</v>
      </c>
    </row>
    <row r="4122" spans="1:36" x14ac:dyDescent="0.25">
      <c r="A4122" t="s">
        <v>5411</v>
      </c>
      <c r="B4122" t="s">
        <v>16</v>
      </c>
      <c r="C4122" t="s">
        <v>17</v>
      </c>
      <c r="D4122">
        <v>75480000</v>
      </c>
      <c r="E4122">
        <v>75489999</v>
      </c>
      <c r="F4122" t="s">
        <v>3749</v>
      </c>
      <c r="G4122" t="str">
        <f t="shared" si="128"/>
        <v>GOI II</v>
      </c>
      <c r="H4122" t="s">
        <v>3672</v>
      </c>
      <c r="I4122" t="s">
        <v>20</v>
      </c>
      <c r="J4122" t="s">
        <v>64</v>
      </c>
      <c r="K4122" s="6">
        <v>0.03</v>
      </c>
      <c r="L4122" s="7">
        <f t="shared" si="129"/>
        <v>2E-3</v>
      </c>
      <c r="M4122" s="7">
        <v>3.0000000000000001E-3</v>
      </c>
      <c r="N4122">
        <v>14</v>
      </c>
      <c r="O4122" s="8">
        <v>24.12918157169327</v>
      </c>
      <c r="P4122" s="9">
        <v>24.12918157169327</v>
      </c>
      <c r="Q4122" s="9">
        <v>24.12918157169327</v>
      </c>
      <c r="R4122" s="9">
        <v>25.337926603196635</v>
      </c>
      <c r="S4122" s="9">
        <v>26.739125453822282</v>
      </c>
      <c r="T4122" s="9">
        <v>27.918529456871191</v>
      </c>
      <c r="U4122" s="9">
        <v>29.567239706252465</v>
      </c>
      <c r="V4122" s="9">
        <v>29.567239706252465</v>
      </c>
      <c r="W4122" s="9">
        <v>29.567239706252465</v>
      </c>
      <c r="X4122" s="9">
        <v>32.768324265753506</v>
      </c>
      <c r="Y4122" s="9">
        <v>32.768324265753506</v>
      </c>
      <c r="Z4122" s="9">
        <v>36.06659911693589</v>
      </c>
      <c r="AA4122" s="9">
        <v>36.06659911693589</v>
      </c>
      <c r="AB4122" s="9">
        <v>39.471783288967806</v>
      </c>
      <c r="AC4122" s="9">
        <v>39.471783288967806</v>
      </c>
      <c r="AD4122" s="9">
        <v>44.89371961968488</v>
      </c>
      <c r="AE4122" s="9">
        <v>47.788360826374728</v>
      </c>
      <c r="AF4122" s="9">
        <v>50.811128677055613</v>
      </c>
      <c r="AG4122" s="9">
        <v>50.811128677055613</v>
      </c>
      <c r="AH4122" s="9">
        <v>54.808386973888702</v>
      </c>
      <c r="AI4122" s="9">
        <v>57.901475997525047</v>
      </c>
      <c r="AJ4122" s="9">
        <v>3.0428788910505911</v>
      </c>
    </row>
    <row r="4123" spans="1:36" x14ac:dyDescent="0.25">
      <c r="A4123" t="s">
        <v>5411</v>
      </c>
      <c r="B4123" t="s">
        <v>16</v>
      </c>
      <c r="C4123" t="s">
        <v>17</v>
      </c>
      <c r="D4123">
        <v>75490000</v>
      </c>
      <c r="E4123">
        <v>75494999</v>
      </c>
      <c r="F4123" t="s">
        <v>3750</v>
      </c>
      <c r="G4123" t="str">
        <f t="shared" si="128"/>
        <v>GOI II</v>
      </c>
      <c r="H4123" t="s">
        <v>3672</v>
      </c>
      <c r="I4123" t="s">
        <v>20</v>
      </c>
      <c r="J4123" t="s">
        <v>64</v>
      </c>
      <c r="K4123" s="6">
        <v>0.03</v>
      </c>
      <c r="L4123" s="7">
        <f t="shared" si="129"/>
        <v>2E-3</v>
      </c>
      <c r="M4123" s="7">
        <v>3.0000000000000001E-3</v>
      </c>
      <c r="N4123">
        <v>14</v>
      </c>
      <c r="O4123" s="8">
        <v>24.12918157169327</v>
      </c>
      <c r="P4123" s="9">
        <v>24.12918157169327</v>
      </c>
      <c r="Q4123" s="9">
        <v>24.12918157169327</v>
      </c>
      <c r="R4123" s="9">
        <v>25.337926603196635</v>
      </c>
      <c r="S4123" s="9">
        <v>26.739125453822282</v>
      </c>
      <c r="T4123" s="9">
        <v>27.918529456871191</v>
      </c>
      <c r="U4123" s="9">
        <v>29.567239706252465</v>
      </c>
      <c r="V4123" s="9">
        <v>29.567239706252465</v>
      </c>
      <c r="W4123" s="9">
        <v>29.567239706252465</v>
      </c>
      <c r="X4123" s="9">
        <v>32.768324265753506</v>
      </c>
      <c r="Y4123" s="9">
        <v>32.768324265753506</v>
      </c>
      <c r="Z4123" s="9">
        <v>36.06659911693589</v>
      </c>
      <c r="AA4123" s="9">
        <v>36.06659911693589</v>
      </c>
      <c r="AB4123" s="9">
        <v>39.471783288967806</v>
      </c>
      <c r="AC4123" s="9">
        <v>39.471783288967806</v>
      </c>
      <c r="AD4123" s="9">
        <v>44.89371961968488</v>
      </c>
      <c r="AE4123" s="9">
        <v>47.788360826374728</v>
      </c>
      <c r="AF4123" s="9">
        <v>50.811128677055613</v>
      </c>
      <c r="AG4123" s="9">
        <v>50.811128677055613</v>
      </c>
      <c r="AH4123" s="9">
        <v>54.808386973888702</v>
      </c>
      <c r="AI4123" s="9">
        <v>57.901475997525047</v>
      </c>
      <c r="AJ4123" s="9">
        <v>3.0428788910505911</v>
      </c>
    </row>
    <row r="4124" spans="1:36" x14ac:dyDescent="0.25">
      <c r="A4124" t="s">
        <v>5411</v>
      </c>
      <c r="B4124" t="s">
        <v>16</v>
      </c>
      <c r="C4124" t="s">
        <v>17</v>
      </c>
      <c r="D4124">
        <v>75495000</v>
      </c>
      <c r="E4124">
        <v>75499999</v>
      </c>
      <c r="F4124" t="s">
        <v>3751</v>
      </c>
      <c r="G4124" t="str">
        <f t="shared" si="128"/>
        <v>GOI II</v>
      </c>
      <c r="H4124" t="s">
        <v>3672</v>
      </c>
      <c r="I4124" t="s">
        <v>20</v>
      </c>
      <c r="J4124" t="s">
        <v>64</v>
      </c>
      <c r="K4124" s="6">
        <v>0.03</v>
      </c>
      <c r="L4124" s="7">
        <f t="shared" si="129"/>
        <v>2E-3</v>
      </c>
      <c r="M4124" s="7">
        <v>3.0000000000000001E-3</v>
      </c>
      <c r="N4124">
        <v>14</v>
      </c>
      <c r="O4124" s="8">
        <v>24.12918157169327</v>
      </c>
      <c r="P4124" s="9">
        <v>24.12918157169327</v>
      </c>
      <c r="Q4124" s="9">
        <v>24.12918157169327</v>
      </c>
      <c r="R4124" s="9">
        <v>25.337926603196635</v>
      </c>
      <c r="S4124" s="9">
        <v>26.739125453822282</v>
      </c>
      <c r="T4124" s="9">
        <v>27.918529456871191</v>
      </c>
      <c r="U4124" s="9">
        <v>29.567239706252465</v>
      </c>
      <c r="V4124" s="9">
        <v>29.567239706252465</v>
      </c>
      <c r="W4124" s="9">
        <v>29.567239706252465</v>
      </c>
      <c r="X4124" s="9">
        <v>32.768324265753506</v>
      </c>
      <c r="Y4124" s="9">
        <v>32.768324265753506</v>
      </c>
      <c r="Z4124" s="9">
        <v>36.06659911693589</v>
      </c>
      <c r="AA4124" s="9">
        <v>36.06659911693589</v>
      </c>
      <c r="AB4124" s="9">
        <v>39.471783288967806</v>
      </c>
      <c r="AC4124" s="9">
        <v>39.471783288967806</v>
      </c>
      <c r="AD4124" s="9">
        <v>44.89371961968488</v>
      </c>
      <c r="AE4124" s="9">
        <v>47.788360826374728</v>
      </c>
      <c r="AF4124" s="9">
        <v>50.811128677055613</v>
      </c>
      <c r="AG4124" s="9">
        <v>50.811128677055613</v>
      </c>
      <c r="AH4124" s="9">
        <v>54.808386973888702</v>
      </c>
      <c r="AI4124" s="9">
        <v>57.901475997525047</v>
      </c>
      <c r="AJ4124" s="9">
        <v>3.0428788910505911</v>
      </c>
    </row>
    <row r="4125" spans="1:36" x14ac:dyDescent="0.25">
      <c r="A4125" t="s">
        <v>5411</v>
      </c>
      <c r="B4125" t="s">
        <v>16</v>
      </c>
      <c r="C4125" t="s">
        <v>17</v>
      </c>
      <c r="D4125">
        <v>75500000</v>
      </c>
      <c r="E4125">
        <v>75549999</v>
      </c>
      <c r="F4125" t="s">
        <v>3752</v>
      </c>
      <c r="G4125" t="str">
        <f t="shared" si="128"/>
        <v>GOI</v>
      </c>
      <c r="H4125" t="s">
        <v>3672</v>
      </c>
      <c r="I4125" t="s">
        <v>20</v>
      </c>
      <c r="J4125" t="s">
        <v>62</v>
      </c>
      <c r="K4125" s="6">
        <v>0.03</v>
      </c>
      <c r="L4125" s="7">
        <f t="shared" si="129"/>
        <v>2E-3</v>
      </c>
      <c r="M4125" s="7">
        <v>3.0000000000000001E-3</v>
      </c>
      <c r="N4125">
        <v>9</v>
      </c>
      <c r="O4125" s="8">
        <v>20.377140471637041</v>
      </c>
      <c r="P4125" s="9">
        <v>20.377140471637041</v>
      </c>
      <c r="Q4125" s="9">
        <v>20.377140471637041</v>
      </c>
      <c r="R4125" s="9">
        <v>21.402978767052765</v>
      </c>
      <c r="S4125" s="9">
        <v>22.589768980199143</v>
      </c>
      <c r="T4125" s="9">
        <v>24.040396091340774</v>
      </c>
      <c r="U4125" s="9">
        <v>25.448505028591189</v>
      </c>
      <c r="V4125" s="9">
        <v>25.448505028591189</v>
      </c>
      <c r="W4125" s="9">
        <v>25.448505028591189</v>
      </c>
      <c r="X4125" s="9">
        <v>28.109873114011638</v>
      </c>
      <c r="Y4125" s="9">
        <v>28.109873114011638</v>
      </c>
      <c r="Z4125" s="9">
        <v>30.975097350688763</v>
      </c>
      <c r="AA4125" s="9">
        <v>30.975097350688763</v>
      </c>
      <c r="AB4125" s="9">
        <v>34.370578528895656</v>
      </c>
      <c r="AC4125" s="9">
        <v>34.370578528895656</v>
      </c>
      <c r="AD4125" s="9">
        <v>39.013187474230911</v>
      </c>
      <c r="AE4125" s="9">
        <v>42.452173954636635</v>
      </c>
      <c r="AF4125" s="9">
        <v>47.478364248265585</v>
      </c>
      <c r="AG4125" s="9">
        <v>47.478364248265585</v>
      </c>
      <c r="AH4125" s="9">
        <v>50.815992158664379</v>
      </c>
      <c r="AI4125" s="9">
        <v>54.045500821302042</v>
      </c>
      <c r="AJ4125" s="9">
        <v>3.0428788910505911</v>
      </c>
    </row>
    <row r="4126" spans="1:36" x14ac:dyDescent="0.25">
      <c r="A4126" t="s">
        <v>5411</v>
      </c>
      <c r="B4126" t="s">
        <v>16</v>
      </c>
      <c r="C4126" t="s">
        <v>17</v>
      </c>
      <c r="D4126">
        <v>75550000</v>
      </c>
      <c r="E4126">
        <v>75554999</v>
      </c>
      <c r="F4126" t="s">
        <v>3753</v>
      </c>
      <c r="G4126" t="str">
        <f t="shared" si="128"/>
        <v>GOI</v>
      </c>
      <c r="H4126" t="s">
        <v>3672</v>
      </c>
      <c r="I4126" t="s">
        <v>20</v>
      </c>
      <c r="J4126" t="s">
        <v>62</v>
      </c>
      <c r="K4126" s="6">
        <v>0.03</v>
      </c>
      <c r="L4126" s="7">
        <f t="shared" si="129"/>
        <v>2E-3</v>
      </c>
      <c r="M4126" s="7">
        <v>3.0000000000000001E-3</v>
      </c>
      <c r="N4126">
        <v>9</v>
      </c>
      <c r="O4126" s="8">
        <v>20.377140471637041</v>
      </c>
      <c r="P4126" s="9">
        <v>20.377140471637041</v>
      </c>
      <c r="Q4126" s="9">
        <v>20.377140471637041</v>
      </c>
      <c r="R4126" s="9">
        <v>21.402978767052765</v>
      </c>
      <c r="S4126" s="9">
        <v>22.589768980199143</v>
      </c>
      <c r="T4126" s="9">
        <v>24.040396091340774</v>
      </c>
      <c r="U4126" s="9">
        <v>25.448505028591189</v>
      </c>
      <c r="V4126" s="9">
        <v>25.448505028591189</v>
      </c>
      <c r="W4126" s="9">
        <v>25.448505028591189</v>
      </c>
      <c r="X4126" s="9">
        <v>28.109873114011638</v>
      </c>
      <c r="Y4126" s="9">
        <v>28.109873114011638</v>
      </c>
      <c r="Z4126" s="9">
        <v>30.975097350688763</v>
      </c>
      <c r="AA4126" s="9">
        <v>30.975097350688763</v>
      </c>
      <c r="AB4126" s="9">
        <v>34.370578528895656</v>
      </c>
      <c r="AC4126" s="9">
        <v>34.370578528895656</v>
      </c>
      <c r="AD4126" s="9">
        <v>39.013187474230911</v>
      </c>
      <c r="AE4126" s="9">
        <v>42.452173954636635</v>
      </c>
      <c r="AF4126" s="9">
        <v>47.478364248265585</v>
      </c>
      <c r="AG4126" s="9">
        <v>47.478364248265585</v>
      </c>
      <c r="AH4126" s="9">
        <v>50.815992158664379</v>
      </c>
      <c r="AI4126" s="9">
        <v>54.045500821302042</v>
      </c>
      <c r="AJ4126" s="9">
        <v>3.0428788910505911</v>
      </c>
    </row>
    <row r="4127" spans="1:36" x14ac:dyDescent="0.25">
      <c r="A4127" t="s">
        <v>5411</v>
      </c>
      <c r="B4127" t="s">
        <v>16</v>
      </c>
      <c r="C4127" t="s">
        <v>17</v>
      </c>
      <c r="D4127">
        <v>75555000</v>
      </c>
      <c r="E4127">
        <v>75559999</v>
      </c>
      <c r="F4127" t="s">
        <v>3754</v>
      </c>
      <c r="G4127" t="str">
        <f t="shared" si="128"/>
        <v>GOI</v>
      </c>
      <c r="H4127" t="s">
        <v>3672</v>
      </c>
      <c r="I4127" t="s">
        <v>20</v>
      </c>
      <c r="J4127" t="s">
        <v>62</v>
      </c>
      <c r="K4127" s="6">
        <v>0.03</v>
      </c>
      <c r="L4127" s="7">
        <f t="shared" si="129"/>
        <v>2E-3</v>
      </c>
      <c r="M4127" s="7">
        <v>3.0000000000000001E-3</v>
      </c>
      <c r="N4127">
        <v>9</v>
      </c>
      <c r="O4127" s="8">
        <v>20.377140471637041</v>
      </c>
      <c r="P4127" s="9">
        <v>20.377140471637041</v>
      </c>
      <c r="Q4127" s="9">
        <v>20.377140471637041</v>
      </c>
      <c r="R4127" s="9">
        <v>21.402978767052765</v>
      </c>
      <c r="S4127" s="9">
        <v>22.589768980199143</v>
      </c>
      <c r="T4127" s="9">
        <v>24.040396091340774</v>
      </c>
      <c r="U4127" s="9">
        <v>25.448505028591189</v>
      </c>
      <c r="V4127" s="9">
        <v>25.448505028591189</v>
      </c>
      <c r="W4127" s="9">
        <v>25.448505028591189</v>
      </c>
      <c r="X4127" s="9">
        <v>28.109873114011638</v>
      </c>
      <c r="Y4127" s="9">
        <v>28.109873114011638</v>
      </c>
      <c r="Z4127" s="9">
        <v>30.975097350688763</v>
      </c>
      <c r="AA4127" s="9">
        <v>30.975097350688763</v>
      </c>
      <c r="AB4127" s="9">
        <v>34.370578528895656</v>
      </c>
      <c r="AC4127" s="9">
        <v>34.370578528895656</v>
      </c>
      <c r="AD4127" s="9">
        <v>39.013187474230911</v>
      </c>
      <c r="AE4127" s="9">
        <v>42.452173954636635</v>
      </c>
      <c r="AF4127" s="9">
        <v>47.478364248265585</v>
      </c>
      <c r="AG4127" s="9">
        <v>47.478364248265585</v>
      </c>
      <c r="AH4127" s="9">
        <v>50.815992158664379</v>
      </c>
      <c r="AI4127" s="9">
        <v>54.045500821302042</v>
      </c>
      <c r="AJ4127" s="9">
        <v>3.0428788910505911</v>
      </c>
    </row>
    <row r="4128" spans="1:36" x14ac:dyDescent="0.25">
      <c r="A4128" t="s">
        <v>5411</v>
      </c>
      <c r="B4128" t="s">
        <v>16</v>
      </c>
      <c r="C4128" t="s">
        <v>17</v>
      </c>
      <c r="D4128">
        <v>75560000</v>
      </c>
      <c r="E4128">
        <v>75569999</v>
      </c>
      <c r="F4128" t="s">
        <v>1435</v>
      </c>
      <c r="G4128" t="str">
        <f t="shared" si="128"/>
        <v>GOI</v>
      </c>
      <c r="H4128" t="s">
        <v>3672</v>
      </c>
      <c r="I4128" t="s">
        <v>20</v>
      </c>
      <c r="J4128" t="s">
        <v>62</v>
      </c>
      <c r="K4128" s="6">
        <v>0.03</v>
      </c>
      <c r="L4128" s="7">
        <f t="shared" si="129"/>
        <v>2E-3</v>
      </c>
      <c r="M4128" s="7">
        <v>3.0000000000000001E-3</v>
      </c>
      <c r="N4128">
        <v>9</v>
      </c>
      <c r="O4128" s="8">
        <v>20.377140471637041</v>
      </c>
      <c r="P4128" s="9">
        <v>20.377140471637041</v>
      </c>
      <c r="Q4128" s="9">
        <v>20.377140471637041</v>
      </c>
      <c r="R4128" s="9">
        <v>21.402978767052765</v>
      </c>
      <c r="S4128" s="9">
        <v>22.589768980199143</v>
      </c>
      <c r="T4128" s="9">
        <v>24.040396091340774</v>
      </c>
      <c r="U4128" s="9">
        <v>25.448505028591189</v>
      </c>
      <c r="V4128" s="9">
        <v>25.448505028591189</v>
      </c>
      <c r="W4128" s="9">
        <v>25.448505028591189</v>
      </c>
      <c r="X4128" s="9">
        <v>28.109873114011638</v>
      </c>
      <c r="Y4128" s="9">
        <v>28.109873114011638</v>
      </c>
      <c r="Z4128" s="9">
        <v>30.975097350688763</v>
      </c>
      <c r="AA4128" s="9">
        <v>30.975097350688763</v>
      </c>
      <c r="AB4128" s="9">
        <v>34.370578528895656</v>
      </c>
      <c r="AC4128" s="9">
        <v>34.370578528895656</v>
      </c>
      <c r="AD4128" s="9">
        <v>39.013187474230911</v>
      </c>
      <c r="AE4128" s="9">
        <v>42.452173954636635</v>
      </c>
      <c r="AF4128" s="9">
        <v>47.478364248265585</v>
      </c>
      <c r="AG4128" s="9">
        <v>47.478364248265585</v>
      </c>
      <c r="AH4128" s="9">
        <v>50.815992158664379</v>
      </c>
      <c r="AI4128" s="9">
        <v>54.045500821302042</v>
      </c>
      <c r="AJ4128" s="9">
        <v>3.0428788910505911</v>
      </c>
    </row>
    <row r="4129" spans="1:36" x14ac:dyDescent="0.25">
      <c r="A4129" t="s">
        <v>5411</v>
      </c>
      <c r="B4129" t="s">
        <v>16</v>
      </c>
      <c r="C4129" t="s">
        <v>17</v>
      </c>
      <c r="D4129">
        <v>75570000</v>
      </c>
      <c r="E4129">
        <v>75579999</v>
      </c>
      <c r="F4129" t="s">
        <v>3755</v>
      </c>
      <c r="G4129" t="str">
        <f t="shared" si="128"/>
        <v>GOI</v>
      </c>
      <c r="H4129" t="s">
        <v>3672</v>
      </c>
      <c r="I4129" t="s">
        <v>20</v>
      </c>
      <c r="J4129" t="s">
        <v>62</v>
      </c>
      <c r="K4129" s="6">
        <v>0.03</v>
      </c>
      <c r="L4129" s="7">
        <f t="shared" si="129"/>
        <v>2E-3</v>
      </c>
      <c r="M4129" s="7">
        <v>3.0000000000000001E-3</v>
      </c>
      <c r="N4129">
        <v>9</v>
      </c>
      <c r="O4129" s="8">
        <v>20.377140471637041</v>
      </c>
      <c r="P4129" s="9">
        <v>20.377140471637041</v>
      </c>
      <c r="Q4129" s="9">
        <v>20.377140471637041</v>
      </c>
      <c r="R4129" s="9">
        <v>21.402978767052765</v>
      </c>
      <c r="S4129" s="9">
        <v>22.589768980199143</v>
      </c>
      <c r="T4129" s="9">
        <v>24.040396091340774</v>
      </c>
      <c r="U4129" s="9">
        <v>25.448505028591189</v>
      </c>
      <c r="V4129" s="9">
        <v>25.448505028591189</v>
      </c>
      <c r="W4129" s="9">
        <v>25.448505028591189</v>
      </c>
      <c r="X4129" s="9">
        <v>28.109873114011638</v>
      </c>
      <c r="Y4129" s="9">
        <v>28.109873114011638</v>
      </c>
      <c r="Z4129" s="9">
        <v>30.975097350688763</v>
      </c>
      <c r="AA4129" s="9">
        <v>30.975097350688763</v>
      </c>
      <c r="AB4129" s="9">
        <v>34.370578528895656</v>
      </c>
      <c r="AC4129" s="9">
        <v>34.370578528895656</v>
      </c>
      <c r="AD4129" s="9">
        <v>39.013187474230911</v>
      </c>
      <c r="AE4129" s="9">
        <v>42.452173954636635</v>
      </c>
      <c r="AF4129" s="9">
        <v>47.478364248265585</v>
      </c>
      <c r="AG4129" s="9">
        <v>47.478364248265585</v>
      </c>
      <c r="AH4129" s="9">
        <v>50.815992158664379</v>
      </c>
      <c r="AI4129" s="9">
        <v>54.045500821302042</v>
      </c>
      <c r="AJ4129" s="9">
        <v>3.0428788910505911</v>
      </c>
    </row>
    <row r="4130" spans="1:36" x14ac:dyDescent="0.25">
      <c r="A4130" t="s">
        <v>5411</v>
      </c>
      <c r="B4130" t="s">
        <v>16</v>
      </c>
      <c r="C4130" t="s">
        <v>17</v>
      </c>
      <c r="D4130">
        <v>75580000</v>
      </c>
      <c r="E4130">
        <v>75599999</v>
      </c>
      <c r="F4130" t="s">
        <v>3756</v>
      </c>
      <c r="G4130" t="str">
        <f t="shared" si="128"/>
        <v>GOI</v>
      </c>
      <c r="H4130" t="s">
        <v>3672</v>
      </c>
      <c r="I4130" t="s">
        <v>20</v>
      </c>
      <c r="J4130" t="s">
        <v>62</v>
      </c>
      <c r="K4130" s="6">
        <v>0.03</v>
      </c>
      <c r="L4130" s="7">
        <f t="shared" si="129"/>
        <v>2E-3</v>
      </c>
      <c r="M4130" s="7">
        <v>3.0000000000000001E-3</v>
      </c>
      <c r="N4130">
        <v>9</v>
      </c>
      <c r="O4130" s="8">
        <v>20.377140471637041</v>
      </c>
      <c r="P4130" s="9">
        <v>20.377140471637041</v>
      </c>
      <c r="Q4130" s="9">
        <v>20.377140471637041</v>
      </c>
      <c r="R4130" s="9">
        <v>21.402978767052765</v>
      </c>
      <c r="S4130" s="9">
        <v>22.589768980199143</v>
      </c>
      <c r="T4130" s="9">
        <v>24.040396091340774</v>
      </c>
      <c r="U4130" s="9">
        <v>25.448505028591189</v>
      </c>
      <c r="V4130" s="9">
        <v>25.448505028591189</v>
      </c>
      <c r="W4130" s="9">
        <v>25.448505028591189</v>
      </c>
      <c r="X4130" s="9">
        <v>28.109873114011638</v>
      </c>
      <c r="Y4130" s="9">
        <v>28.109873114011638</v>
      </c>
      <c r="Z4130" s="9">
        <v>30.975097350688763</v>
      </c>
      <c r="AA4130" s="9">
        <v>30.975097350688763</v>
      </c>
      <c r="AB4130" s="9">
        <v>34.370578528895656</v>
      </c>
      <c r="AC4130" s="9">
        <v>34.370578528895656</v>
      </c>
      <c r="AD4130" s="9">
        <v>39.013187474230911</v>
      </c>
      <c r="AE4130" s="9">
        <v>42.452173954636635</v>
      </c>
      <c r="AF4130" s="9">
        <v>47.478364248265585</v>
      </c>
      <c r="AG4130" s="9">
        <v>47.478364248265585</v>
      </c>
      <c r="AH4130" s="9">
        <v>50.815992158664379</v>
      </c>
      <c r="AI4130" s="9">
        <v>54.045500821302042</v>
      </c>
      <c r="AJ4130" s="9">
        <v>3.0428788910505911</v>
      </c>
    </row>
    <row r="4131" spans="1:36" x14ac:dyDescent="0.25">
      <c r="A4131" t="s">
        <v>5411</v>
      </c>
      <c r="B4131" t="s">
        <v>16</v>
      </c>
      <c r="C4131" t="s">
        <v>17</v>
      </c>
      <c r="D4131">
        <v>75600000</v>
      </c>
      <c r="E4131">
        <v>75602999</v>
      </c>
      <c r="F4131" t="s">
        <v>3757</v>
      </c>
      <c r="G4131" t="str">
        <f t="shared" si="128"/>
        <v>GOI</v>
      </c>
      <c r="H4131" t="s">
        <v>3672</v>
      </c>
      <c r="I4131" t="s">
        <v>20</v>
      </c>
      <c r="J4131" t="s">
        <v>62</v>
      </c>
      <c r="K4131" s="6">
        <v>0.03</v>
      </c>
      <c r="L4131" s="7">
        <f t="shared" si="129"/>
        <v>2E-3</v>
      </c>
      <c r="M4131" s="7">
        <v>3.0000000000000001E-3</v>
      </c>
      <c r="N4131">
        <v>9</v>
      </c>
      <c r="O4131" s="8">
        <v>20.377140471637041</v>
      </c>
      <c r="P4131" s="9">
        <v>20.377140471637041</v>
      </c>
      <c r="Q4131" s="9">
        <v>20.377140471637041</v>
      </c>
      <c r="R4131" s="9">
        <v>21.402978767052765</v>
      </c>
      <c r="S4131" s="9">
        <v>22.589768980199143</v>
      </c>
      <c r="T4131" s="9">
        <v>24.040396091340774</v>
      </c>
      <c r="U4131" s="9">
        <v>25.448505028591189</v>
      </c>
      <c r="V4131" s="9">
        <v>25.448505028591189</v>
      </c>
      <c r="W4131" s="9">
        <v>25.448505028591189</v>
      </c>
      <c r="X4131" s="9">
        <v>28.109873114011638</v>
      </c>
      <c r="Y4131" s="9">
        <v>28.109873114011638</v>
      </c>
      <c r="Z4131" s="9">
        <v>30.975097350688763</v>
      </c>
      <c r="AA4131" s="9">
        <v>30.975097350688763</v>
      </c>
      <c r="AB4131" s="9">
        <v>34.370578528895656</v>
      </c>
      <c r="AC4131" s="9">
        <v>34.370578528895656</v>
      </c>
      <c r="AD4131" s="9">
        <v>39.013187474230911</v>
      </c>
      <c r="AE4131" s="9">
        <v>42.452173954636635</v>
      </c>
      <c r="AF4131" s="9">
        <v>47.478364248265585</v>
      </c>
      <c r="AG4131" s="9">
        <v>47.478364248265585</v>
      </c>
      <c r="AH4131" s="9">
        <v>50.815992158664379</v>
      </c>
      <c r="AI4131" s="9">
        <v>54.045500821302042</v>
      </c>
      <c r="AJ4131" s="9">
        <v>3.0428788910505911</v>
      </c>
    </row>
    <row r="4132" spans="1:36" x14ac:dyDescent="0.25">
      <c r="A4132" t="s">
        <v>5411</v>
      </c>
      <c r="B4132" t="s">
        <v>16</v>
      </c>
      <c r="C4132" t="s">
        <v>17</v>
      </c>
      <c r="D4132">
        <v>75603000</v>
      </c>
      <c r="E4132">
        <v>75609999</v>
      </c>
      <c r="F4132" t="s">
        <v>3758</v>
      </c>
      <c r="G4132" t="str">
        <f t="shared" si="128"/>
        <v>GOI</v>
      </c>
      <c r="H4132" t="s">
        <v>3672</v>
      </c>
      <c r="I4132" t="s">
        <v>20</v>
      </c>
      <c r="J4132" t="s">
        <v>62</v>
      </c>
      <c r="K4132" s="6">
        <v>0.03</v>
      </c>
      <c r="L4132" s="7">
        <f t="shared" si="129"/>
        <v>2E-3</v>
      </c>
      <c r="M4132" s="7">
        <v>3.0000000000000001E-3</v>
      </c>
      <c r="N4132">
        <v>9</v>
      </c>
      <c r="O4132" s="8">
        <v>20.377140471637041</v>
      </c>
      <c r="P4132" s="9">
        <v>20.377140471637041</v>
      </c>
      <c r="Q4132" s="9">
        <v>20.377140471637041</v>
      </c>
      <c r="R4132" s="9">
        <v>21.402978767052765</v>
      </c>
      <c r="S4132" s="9">
        <v>22.589768980199143</v>
      </c>
      <c r="T4132" s="9">
        <v>24.040396091340774</v>
      </c>
      <c r="U4132" s="9">
        <v>25.448505028591189</v>
      </c>
      <c r="V4132" s="9">
        <v>25.448505028591189</v>
      </c>
      <c r="W4132" s="9">
        <v>25.448505028591189</v>
      </c>
      <c r="X4132" s="9">
        <v>28.109873114011638</v>
      </c>
      <c r="Y4132" s="9">
        <v>28.109873114011638</v>
      </c>
      <c r="Z4132" s="9">
        <v>30.975097350688763</v>
      </c>
      <c r="AA4132" s="9">
        <v>30.975097350688763</v>
      </c>
      <c r="AB4132" s="9">
        <v>34.370578528895656</v>
      </c>
      <c r="AC4132" s="9">
        <v>34.370578528895656</v>
      </c>
      <c r="AD4132" s="9">
        <v>39.013187474230911</v>
      </c>
      <c r="AE4132" s="9">
        <v>42.452173954636635</v>
      </c>
      <c r="AF4132" s="9">
        <v>47.478364248265585</v>
      </c>
      <c r="AG4132" s="9">
        <v>47.478364248265585</v>
      </c>
      <c r="AH4132" s="9">
        <v>50.815992158664379</v>
      </c>
      <c r="AI4132" s="9">
        <v>54.045500821302042</v>
      </c>
      <c r="AJ4132" s="9">
        <v>3.0428788910505911</v>
      </c>
    </row>
    <row r="4133" spans="1:36" x14ac:dyDescent="0.25">
      <c r="A4133" t="s">
        <v>5411</v>
      </c>
      <c r="B4133" t="s">
        <v>16</v>
      </c>
      <c r="C4133" t="s">
        <v>17</v>
      </c>
      <c r="D4133">
        <v>75610000</v>
      </c>
      <c r="E4133">
        <v>75614999</v>
      </c>
      <c r="F4133" t="s">
        <v>3759</v>
      </c>
      <c r="G4133" t="str">
        <f t="shared" si="128"/>
        <v>GOI</v>
      </c>
      <c r="H4133" t="s">
        <v>3672</v>
      </c>
      <c r="I4133" t="s">
        <v>20</v>
      </c>
      <c r="J4133" t="s">
        <v>62</v>
      </c>
      <c r="K4133" s="6">
        <v>0.03</v>
      </c>
      <c r="L4133" s="7">
        <f t="shared" si="129"/>
        <v>2E-3</v>
      </c>
      <c r="M4133" s="7">
        <v>3.0000000000000001E-3</v>
      </c>
      <c r="N4133">
        <v>9</v>
      </c>
      <c r="O4133" s="8">
        <v>20.377140471637041</v>
      </c>
      <c r="P4133" s="9">
        <v>20.377140471637041</v>
      </c>
      <c r="Q4133" s="9">
        <v>20.377140471637041</v>
      </c>
      <c r="R4133" s="9">
        <v>21.402978767052765</v>
      </c>
      <c r="S4133" s="9">
        <v>22.589768980199143</v>
      </c>
      <c r="T4133" s="9">
        <v>24.040396091340774</v>
      </c>
      <c r="U4133" s="9">
        <v>25.448505028591189</v>
      </c>
      <c r="V4133" s="9">
        <v>25.448505028591189</v>
      </c>
      <c r="W4133" s="9">
        <v>25.448505028591189</v>
      </c>
      <c r="X4133" s="9">
        <v>28.109873114011638</v>
      </c>
      <c r="Y4133" s="9">
        <v>28.109873114011638</v>
      </c>
      <c r="Z4133" s="9">
        <v>30.975097350688763</v>
      </c>
      <c r="AA4133" s="9">
        <v>30.975097350688763</v>
      </c>
      <c r="AB4133" s="9">
        <v>34.370578528895656</v>
      </c>
      <c r="AC4133" s="9">
        <v>34.370578528895656</v>
      </c>
      <c r="AD4133" s="9">
        <v>39.013187474230911</v>
      </c>
      <c r="AE4133" s="9">
        <v>42.452173954636635</v>
      </c>
      <c r="AF4133" s="9">
        <v>47.478364248265585</v>
      </c>
      <c r="AG4133" s="9">
        <v>47.478364248265585</v>
      </c>
      <c r="AH4133" s="9">
        <v>50.815992158664379</v>
      </c>
      <c r="AI4133" s="9">
        <v>54.045500821302042</v>
      </c>
      <c r="AJ4133" s="9">
        <v>3.0428788910505911</v>
      </c>
    </row>
    <row r="4134" spans="1:36" x14ac:dyDescent="0.25">
      <c r="A4134" t="s">
        <v>5411</v>
      </c>
      <c r="B4134" t="s">
        <v>16</v>
      </c>
      <c r="C4134" t="s">
        <v>17</v>
      </c>
      <c r="D4134">
        <v>75615000</v>
      </c>
      <c r="E4134">
        <v>75619999</v>
      </c>
      <c r="F4134" t="s">
        <v>3760</v>
      </c>
      <c r="G4134" t="str">
        <f t="shared" si="128"/>
        <v>GOI</v>
      </c>
      <c r="H4134" t="s">
        <v>3672</v>
      </c>
      <c r="I4134" t="s">
        <v>20</v>
      </c>
      <c r="J4134" t="s">
        <v>62</v>
      </c>
      <c r="K4134" s="6">
        <v>0.03</v>
      </c>
      <c r="L4134" s="7">
        <f t="shared" si="129"/>
        <v>2E-3</v>
      </c>
      <c r="M4134" s="7">
        <v>3.0000000000000001E-3</v>
      </c>
      <c r="N4134">
        <v>9</v>
      </c>
      <c r="O4134" s="8">
        <v>20.377140471637041</v>
      </c>
      <c r="P4134" s="9">
        <v>20.377140471637041</v>
      </c>
      <c r="Q4134" s="9">
        <v>20.377140471637041</v>
      </c>
      <c r="R4134" s="9">
        <v>21.402978767052765</v>
      </c>
      <c r="S4134" s="9">
        <v>22.589768980199143</v>
      </c>
      <c r="T4134" s="9">
        <v>24.040396091340774</v>
      </c>
      <c r="U4134" s="9">
        <v>25.448505028591189</v>
      </c>
      <c r="V4134" s="9">
        <v>25.448505028591189</v>
      </c>
      <c r="W4134" s="9">
        <v>25.448505028591189</v>
      </c>
      <c r="X4134" s="9">
        <v>28.109873114011638</v>
      </c>
      <c r="Y4134" s="9">
        <v>28.109873114011638</v>
      </c>
      <c r="Z4134" s="9">
        <v>30.975097350688763</v>
      </c>
      <c r="AA4134" s="9">
        <v>30.975097350688763</v>
      </c>
      <c r="AB4134" s="9">
        <v>34.370578528895656</v>
      </c>
      <c r="AC4134" s="9">
        <v>34.370578528895656</v>
      </c>
      <c r="AD4134" s="9">
        <v>39.013187474230911</v>
      </c>
      <c r="AE4134" s="9">
        <v>42.452173954636635</v>
      </c>
      <c r="AF4134" s="9">
        <v>47.478364248265585</v>
      </c>
      <c r="AG4134" s="9">
        <v>47.478364248265585</v>
      </c>
      <c r="AH4134" s="9">
        <v>50.815992158664379</v>
      </c>
      <c r="AI4134" s="9">
        <v>54.045500821302042</v>
      </c>
      <c r="AJ4134" s="9">
        <v>3.0428788910505911</v>
      </c>
    </row>
    <row r="4135" spans="1:36" x14ac:dyDescent="0.25">
      <c r="A4135" t="s">
        <v>5411</v>
      </c>
      <c r="B4135" t="s">
        <v>16</v>
      </c>
      <c r="C4135" t="s">
        <v>17</v>
      </c>
      <c r="D4135">
        <v>75620000</v>
      </c>
      <c r="E4135">
        <v>75629999</v>
      </c>
      <c r="F4135" t="s">
        <v>3761</v>
      </c>
      <c r="G4135" t="str">
        <f t="shared" si="128"/>
        <v>GOI</v>
      </c>
      <c r="H4135" t="s">
        <v>3672</v>
      </c>
      <c r="I4135" t="s">
        <v>20</v>
      </c>
      <c r="J4135" t="s">
        <v>62</v>
      </c>
      <c r="K4135" s="6">
        <v>0.03</v>
      </c>
      <c r="L4135" s="7">
        <f t="shared" si="129"/>
        <v>2E-3</v>
      </c>
      <c r="M4135" s="7">
        <v>3.0000000000000001E-3</v>
      </c>
      <c r="N4135">
        <v>9</v>
      </c>
      <c r="O4135" s="8">
        <v>20.377140471637041</v>
      </c>
      <c r="P4135" s="9">
        <v>20.377140471637041</v>
      </c>
      <c r="Q4135" s="9">
        <v>20.377140471637041</v>
      </c>
      <c r="R4135" s="9">
        <v>21.402978767052765</v>
      </c>
      <c r="S4135" s="9">
        <v>22.589768980199143</v>
      </c>
      <c r="T4135" s="9">
        <v>24.040396091340774</v>
      </c>
      <c r="U4135" s="9">
        <v>25.448505028591189</v>
      </c>
      <c r="V4135" s="9">
        <v>25.448505028591189</v>
      </c>
      <c r="W4135" s="9">
        <v>25.448505028591189</v>
      </c>
      <c r="X4135" s="9">
        <v>28.109873114011638</v>
      </c>
      <c r="Y4135" s="9">
        <v>28.109873114011638</v>
      </c>
      <c r="Z4135" s="9">
        <v>30.975097350688763</v>
      </c>
      <c r="AA4135" s="9">
        <v>30.975097350688763</v>
      </c>
      <c r="AB4135" s="9">
        <v>34.370578528895656</v>
      </c>
      <c r="AC4135" s="9">
        <v>34.370578528895656</v>
      </c>
      <c r="AD4135" s="9">
        <v>39.013187474230911</v>
      </c>
      <c r="AE4135" s="9">
        <v>42.452173954636635</v>
      </c>
      <c r="AF4135" s="9">
        <v>47.478364248265585</v>
      </c>
      <c r="AG4135" s="9">
        <v>47.478364248265585</v>
      </c>
      <c r="AH4135" s="9">
        <v>50.815992158664379</v>
      </c>
      <c r="AI4135" s="9">
        <v>54.045500821302042</v>
      </c>
      <c r="AJ4135" s="9">
        <v>3.0428788910505911</v>
      </c>
    </row>
    <row r="4136" spans="1:36" x14ac:dyDescent="0.25">
      <c r="A4136" t="s">
        <v>5411</v>
      </c>
      <c r="B4136" t="s">
        <v>16</v>
      </c>
      <c r="C4136" t="s">
        <v>17</v>
      </c>
      <c r="D4136">
        <v>75630000</v>
      </c>
      <c r="E4136">
        <v>75634999</v>
      </c>
      <c r="F4136" t="s">
        <v>3762</v>
      </c>
      <c r="G4136" t="str">
        <f t="shared" si="128"/>
        <v>GOI</v>
      </c>
      <c r="H4136" t="s">
        <v>3672</v>
      </c>
      <c r="I4136" t="s">
        <v>20</v>
      </c>
      <c r="J4136" t="s">
        <v>62</v>
      </c>
      <c r="K4136" s="6">
        <v>0.03</v>
      </c>
      <c r="L4136" s="7">
        <f t="shared" si="129"/>
        <v>2E-3</v>
      </c>
      <c r="M4136" s="7">
        <v>3.0000000000000001E-3</v>
      </c>
      <c r="N4136">
        <v>9</v>
      </c>
      <c r="O4136" s="8">
        <v>20.377140471637041</v>
      </c>
      <c r="P4136" s="9">
        <v>20.377140471637041</v>
      </c>
      <c r="Q4136" s="9">
        <v>20.377140471637041</v>
      </c>
      <c r="R4136" s="9">
        <v>21.402978767052765</v>
      </c>
      <c r="S4136" s="9">
        <v>22.589768980199143</v>
      </c>
      <c r="T4136" s="9">
        <v>24.040396091340774</v>
      </c>
      <c r="U4136" s="9">
        <v>25.448505028591189</v>
      </c>
      <c r="V4136" s="9">
        <v>25.448505028591189</v>
      </c>
      <c r="W4136" s="9">
        <v>25.448505028591189</v>
      </c>
      <c r="X4136" s="9">
        <v>28.109873114011638</v>
      </c>
      <c r="Y4136" s="9">
        <v>28.109873114011638</v>
      </c>
      <c r="Z4136" s="9">
        <v>30.975097350688763</v>
      </c>
      <c r="AA4136" s="9">
        <v>30.975097350688763</v>
      </c>
      <c r="AB4136" s="9">
        <v>34.370578528895656</v>
      </c>
      <c r="AC4136" s="9">
        <v>34.370578528895656</v>
      </c>
      <c r="AD4136" s="9">
        <v>39.013187474230911</v>
      </c>
      <c r="AE4136" s="9">
        <v>42.452173954636635</v>
      </c>
      <c r="AF4136" s="9">
        <v>47.478364248265585</v>
      </c>
      <c r="AG4136" s="9">
        <v>47.478364248265585</v>
      </c>
      <c r="AH4136" s="9">
        <v>50.815992158664379</v>
      </c>
      <c r="AI4136" s="9">
        <v>54.045500821302042</v>
      </c>
      <c r="AJ4136" s="9">
        <v>3.0428788910505911</v>
      </c>
    </row>
    <row r="4137" spans="1:36" x14ac:dyDescent="0.25">
      <c r="A4137" t="s">
        <v>5411</v>
      </c>
      <c r="B4137" t="s">
        <v>16</v>
      </c>
      <c r="C4137" t="s">
        <v>17</v>
      </c>
      <c r="D4137">
        <v>75635000</v>
      </c>
      <c r="E4137">
        <v>75639999</v>
      </c>
      <c r="F4137" t="s">
        <v>3763</v>
      </c>
      <c r="G4137" t="str">
        <f t="shared" si="128"/>
        <v>GOI</v>
      </c>
      <c r="H4137" t="s">
        <v>3672</v>
      </c>
      <c r="I4137" t="s">
        <v>20</v>
      </c>
      <c r="J4137" t="s">
        <v>62</v>
      </c>
      <c r="K4137" s="6">
        <v>0.03</v>
      </c>
      <c r="L4137" s="7">
        <f t="shared" si="129"/>
        <v>2E-3</v>
      </c>
      <c r="M4137" s="7">
        <v>3.0000000000000001E-3</v>
      </c>
      <c r="N4137">
        <v>9</v>
      </c>
      <c r="O4137" s="8">
        <v>20.377140471637041</v>
      </c>
      <c r="P4137" s="9">
        <v>20.377140471637041</v>
      </c>
      <c r="Q4137" s="9">
        <v>20.377140471637041</v>
      </c>
      <c r="R4137" s="9">
        <v>21.402978767052765</v>
      </c>
      <c r="S4137" s="9">
        <v>22.589768980199143</v>
      </c>
      <c r="T4137" s="9">
        <v>24.040396091340774</v>
      </c>
      <c r="U4137" s="9">
        <v>25.448505028591189</v>
      </c>
      <c r="V4137" s="9">
        <v>25.448505028591189</v>
      </c>
      <c r="W4137" s="9">
        <v>25.448505028591189</v>
      </c>
      <c r="X4137" s="9">
        <v>28.109873114011638</v>
      </c>
      <c r="Y4137" s="9">
        <v>28.109873114011638</v>
      </c>
      <c r="Z4137" s="9">
        <v>30.975097350688763</v>
      </c>
      <c r="AA4137" s="9">
        <v>30.975097350688763</v>
      </c>
      <c r="AB4137" s="9">
        <v>34.370578528895656</v>
      </c>
      <c r="AC4137" s="9">
        <v>34.370578528895656</v>
      </c>
      <c r="AD4137" s="9">
        <v>39.013187474230911</v>
      </c>
      <c r="AE4137" s="9">
        <v>42.452173954636635</v>
      </c>
      <c r="AF4137" s="9">
        <v>47.478364248265585</v>
      </c>
      <c r="AG4137" s="9">
        <v>47.478364248265585</v>
      </c>
      <c r="AH4137" s="9">
        <v>50.815992158664379</v>
      </c>
      <c r="AI4137" s="9">
        <v>54.045500821302042</v>
      </c>
      <c r="AJ4137" s="9">
        <v>3.0428788910505911</v>
      </c>
    </row>
    <row r="4138" spans="1:36" x14ac:dyDescent="0.25">
      <c r="A4138" t="s">
        <v>5411</v>
      </c>
      <c r="B4138" t="s">
        <v>16</v>
      </c>
      <c r="C4138" t="s">
        <v>17</v>
      </c>
      <c r="D4138">
        <v>75640000</v>
      </c>
      <c r="E4138">
        <v>75644999</v>
      </c>
      <c r="F4138" t="s">
        <v>3764</v>
      </c>
      <c r="G4138" t="str">
        <f t="shared" si="128"/>
        <v>GOI</v>
      </c>
      <c r="H4138" t="s">
        <v>3672</v>
      </c>
      <c r="I4138" t="s">
        <v>20</v>
      </c>
      <c r="J4138" t="s">
        <v>62</v>
      </c>
      <c r="K4138" s="6">
        <v>0.03</v>
      </c>
      <c r="L4138" s="7">
        <f t="shared" si="129"/>
        <v>2E-3</v>
      </c>
      <c r="M4138" s="7">
        <v>3.0000000000000001E-3</v>
      </c>
      <c r="N4138">
        <v>9</v>
      </c>
      <c r="O4138" s="8">
        <v>20.377140471637041</v>
      </c>
      <c r="P4138" s="9">
        <v>20.377140471637041</v>
      </c>
      <c r="Q4138" s="9">
        <v>20.377140471637041</v>
      </c>
      <c r="R4138" s="9">
        <v>21.402978767052765</v>
      </c>
      <c r="S4138" s="9">
        <v>22.589768980199143</v>
      </c>
      <c r="T4138" s="9">
        <v>24.040396091340774</v>
      </c>
      <c r="U4138" s="9">
        <v>25.448505028591189</v>
      </c>
      <c r="V4138" s="9">
        <v>25.448505028591189</v>
      </c>
      <c r="W4138" s="9">
        <v>25.448505028591189</v>
      </c>
      <c r="X4138" s="9">
        <v>28.109873114011638</v>
      </c>
      <c r="Y4138" s="9">
        <v>28.109873114011638</v>
      </c>
      <c r="Z4138" s="9">
        <v>30.975097350688763</v>
      </c>
      <c r="AA4138" s="9">
        <v>30.975097350688763</v>
      </c>
      <c r="AB4138" s="9">
        <v>34.370578528895656</v>
      </c>
      <c r="AC4138" s="9">
        <v>34.370578528895656</v>
      </c>
      <c r="AD4138" s="9">
        <v>39.013187474230911</v>
      </c>
      <c r="AE4138" s="9">
        <v>42.452173954636635</v>
      </c>
      <c r="AF4138" s="9">
        <v>47.478364248265585</v>
      </c>
      <c r="AG4138" s="9">
        <v>47.478364248265585</v>
      </c>
      <c r="AH4138" s="9">
        <v>50.815992158664379</v>
      </c>
      <c r="AI4138" s="9">
        <v>54.045500821302042</v>
      </c>
      <c r="AJ4138" s="9">
        <v>3.0428788910505911</v>
      </c>
    </row>
    <row r="4139" spans="1:36" x14ac:dyDescent="0.25">
      <c r="A4139" t="s">
        <v>5411</v>
      </c>
      <c r="B4139" t="s">
        <v>16</v>
      </c>
      <c r="C4139" t="s">
        <v>17</v>
      </c>
      <c r="D4139">
        <v>75645000</v>
      </c>
      <c r="E4139">
        <v>75649999</v>
      </c>
      <c r="F4139" t="s">
        <v>3765</v>
      </c>
      <c r="G4139" t="str">
        <f t="shared" si="128"/>
        <v>GOI</v>
      </c>
      <c r="H4139" t="s">
        <v>3672</v>
      </c>
      <c r="I4139" t="s">
        <v>20</v>
      </c>
      <c r="J4139" t="s">
        <v>62</v>
      </c>
      <c r="K4139" s="6">
        <v>0.03</v>
      </c>
      <c r="L4139" s="7">
        <f t="shared" si="129"/>
        <v>2E-3</v>
      </c>
      <c r="M4139" s="7">
        <v>3.0000000000000001E-3</v>
      </c>
      <c r="N4139">
        <v>9</v>
      </c>
      <c r="O4139" s="8">
        <v>20.377140471637041</v>
      </c>
      <c r="P4139" s="9">
        <v>20.377140471637041</v>
      </c>
      <c r="Q4139" s="9">
        <v>20.377140471637041</v>
      </c>
      <c r="R4139" s="9">
        <v>21.402978767052765</v>
      </c>
      <c r="S4139" s="9">
        <v>22.589768980199143</v>
      </c>
      <c r="T4139" s="9">
        <v>24.040396091340774</v>
      </c>
      <c r="U4139" s="9">
        <v>25.448505028591189</v>
      </c>
      <c r="V4139" s="9">
        <v>25.448505028591189</v>
      </c>
      <c r="W4139" s="9">
        <v>25.448505028591189</v>
      </c>
      <c r="X4139" s="9">
        <v>28.109873114011638</v>
      </c>
      <c r="Y4139" s="9">
        <v>28.109873114011638</v>
      </c>
      <c r="Z4139" s="9">
        <v>30.975097350688763</v>
      </c>
      <c r="AA4139" s="9">
        <v>30.975097350688763</v>
      </c>
      <c r="AB4139" s="9">
        <v>34.370578528895656</v>
      </c>
      <c r="AC4139" s="9">
        <v>34.370578528895656</v>
      </c>
      <c r="AD4139" s="9">
        <v>39.013187474230911</v>
      </c>
      <c r="AE4139" s="9">
        <v>42.452173954636635</v>
      </c>
      <c r="AF4139" s="9">
        <v>47.478364248265585</v>
      </c>
      <c r="AG4139" s="9">
        <v>47.478364248265585</v>
      </c>
      <c r="AH4139" s="9">
        <v>50.815992158664379</v>
      </c>
      <c r="AI4139" s="9">
        <v>54.045500821302042</v>
      </c>
      <c r="AJ4139" s="9">
        <v>3.0428788910505911</v>
      </c>
    </row>
    <row r="4140" spans="1:36" x14ac:dyDescent="0.25">
      <c r="A4140" t="s">
        <v>5411</v>
      </c>
      <c r="B4140" t="s">
        <v>16</v>
      </c>
      <c r="C4140" t="s">
        <v>17</v>
      </c>
      <c r="D4140">
        <v>75650000</v>
      </c>
      <c r="E4140">
        <v>75659999</v>
      </c>
      <c r="F4140" t="s">
        <v>2868</v>
      </c>
      <c r="G4140" t="str">
        <f t="shared" si="128"/>
        <v>GOI</v>
      </c>
      <c r="H4140" t="s">
        <v>3672</v>
      </c>
      <c r="I4140" t="s">
        <v>20</v>
      </c>
      <c r="J4140" t="s">
        <v>62</v>
      </c>
      <c r="K4140" s="6">
        <v>0.03</v>
      </c>
      <c r="L4140" s="7">
        <f t="shared" si="129"/>
        <v>2E-3</v>
      </c>
      <c r="M4140" s="7">
        <v>3.0000000000000001E-3</v>
      </c>
      <c r="N4140">
        <v>9</v>
      </c>
      <c r="O4140" s="8">
        <v>20.377140471637041</v>
      </c>
      <c r="P4140" s="9">
        <v>20.377140471637041</v>
      </c>
      <c r="Q4140" s="9">
        <v>20.377140471637041</v>
      </c>
      <c r="R4140" s="9">
        <v>21.402978767052765</v>
      </c>
      <c r="S4140" s="9">
        <v>22.589768980199143</v>
      </c>
      <c r="T4140" s="9">
        <v>24.040396091340774</v>
      </c>
      <c r="U4140" s="9">
        <v>25.448505028591189</v>
      </c>
      <c r="V4140" s="9">
        <v>25.448505028591189</v>
      </c>
      <c r="W4140" s="9">
        <v>25.448505028591189</v>
      </c>
      <c r="X4140" s="9">
        <v>28.109873114011638</v>
      </c>
      <c r="Y4140" s="9">
        <v>28.109873114011638</v>
      </c>
      <c r="Z4140" s="9">
        <v>30.975097350688763</v>
      </c>
      <c r="AA4140" s="9">
        <v>30.975097350688763</v>
      </c>
      <c r="AB4140" s="9">
        <v>34.370578528895656</v>
      </c>
      <c r="AC4140" s="9">
        <v>34.370578528895656</v>
      </c>
      <c r="AD4140" s="9">
        <v>39.013187474230911</v>
      </c>
      <c r="AE4140" s="9">
        <v>42.452173954636635</v>
      </c>
      <c r="AF4140" s="9">
        <v>47.478364248265585</v>
      </c>
      <c r="AG4140" s="9">
        <v>47.478364248265585</v>
      </c>
      <c r="AH4140" s="9">
        <v>50.815992158664379</v>
      </c>
      <c r="AI4140" s="9">
        <v>54.045500821302042</v>
      </c>
      <c r="AJ4140" s="9">
        <v>3.0428788910505911</v>
      </c>
    </row>
    <row r="4141" spans="1:36" x14ac:dyDescent="0.25">
      <c r="A4141" t="s">
        <v>5411</v>
      </c>
      <c r="B4141" t="s">
        <v>16</v>
      </c>
      <c r="C4141" t="s">
        <v>17</v>
      </c>
      <c r="D4141">
        <v>75660000</v>
      </c>
      <c r="E4141">
        <v>75664999</v>
      </c>
      <c r="F4141" t="s">
        <v>3766</v>
      </c>
      <c r="G4141" t="str">
        <f t="shared" si="128"/>
        <v>GOI</v>
      </c>
      <c r="H4141" t="s">
        <v>3672</v>
      </c>
      <c r="I4141" t="s">
        <v>20</v>
      </c>
      <c r="J4141" t="s">
        <v>62</v>
      </c>
      <c r="K4141" s="6">
        <v>0.03</v>
      </c>
      <c r="L4141" s="7">
        <f t="shared" si="129"/>
        <v>2E-3</v>
      </c>
      <c r="M4141" s="7">
        <v>3.0000000000000001E-3</v>
      </c>
      <c r="N4141">
        <v>9</v>
      </c>
      <c r="O4141" s="8">
        <v>20.377140471637041</v>
      </c>
      <c r="P4141" s="9">
        <v>20.377140471637041</v>
      </c>
      <c r="Q4141" s="9">
        <v>20.377140471637041</v>
      </c>
      <c r="R4141" s="9">
        <v>21.402978767052765</v>
      </c>
      <c r="S4141" s="9">
        <v>22.589768980199143</v>
      </c>
      <c r="T4141" s="9">
        <v>24.040396091340774</v>
      </c>
      <c r="U4141" s="9">
        <v>25.448505028591189</v>
      </c>
      <c r="V4141" s="9">
        <v>25.448505028591189</v>
      </c>
      <c r="W4141" s="9">
        <v>25.448505028591189</v>
      </c>
      <c r="X4141" s="9">
        <v>28.109873114011638</v>
      </c>
      <c r="Y4141" s="9">
        <v>28.109873114011638</v>
      </c>
      <c r="Z4141" s="9">
        <v>30.975097350688763</v>
      </c>
      <c r="AA4141" s="9">
        <v>30.975097350688763</v>
      </c>
      <c r="AB4141" s="9">
        <v>34.370578528895656</v>
      </c>
      <c r="AC4141" s="9">
        <v>34.370578528895656</v>
      </c>
      <c r="AD4141" s="9">
        <v>39.013187474230911</v>
      </c>
      <c r="AE4141" s="9">
        <v>42.452173954636635</v>
      </c>
      <c r="AF4141" s="9">
        <v>47.478364248265585</v>
      </c>
      <c r="AG4141" s="9">
        <v>47.478364248265585</v>
      </c>
      <c r="AH4141" s="9">
        <v>50.815992158664379</v>
      </c>
      <c r="AI4141" s="9">
        <v>54.045500821302042</v>
      </c>
      <c r="AJ4141" s="9">
        <v>3.0428788910505911</v>
      </c>
    </row>
    <row r="4142" spans="1:36" x14ac:dyDescent="0.25">
      <c r="A4142" t="s">
        <v>5411</v>
      </c>
      <c r="B4142" t="s">
        <v>16</v>
      </c>
      <c r="C4142" t="s">
        <v>17</v>
      </c>
      <c r="D4142">
        <v>75665000</v>
      </c>
      <c r="E4142">
        <v>75666999</v>
      </c>
      <c r="F4142" t="s">
        <v>3767</v>
      </c>
      <c r="G4142" t="str">
        <f t="shared" si="128"/>
        <v>GOI</v>
      </c>
      <c r="H4142" t="s">
        <v>3672</v>
      </c>
      <c r="I4142" t="s">
        <v>20</v>
      </c>
      <c r="J4142" t="s">
        <v>62</v>
      </c>
      <c r="K4142" s="6">
        <v>0.03</v>
      </c>
      <c r="L4142" s="7">
        <f t="shared" si="129"/>
        <v>2E-3</v>
      </c>
      <c r="M4142" s="7">
        <v>3.0000000000000001E-3</v>
      </c>
      <c r="N4142">
        <v>9</v>
      </c>
      <c r="O4142" s="8">
        <v>20.377140471637041</v>
      </c>
      <c r="P4142" s="9">
        <v>20.377140471637041</v>
      </c>
      <c r="Q4142" s="9">
        <v>20.377140471637041</v>
      </c>
      <c r="R4142" s="9">
        <v>21.402978767052765</v>
      </c>
      <c r="S4142" s="9">
        <v>22.589768980199143</v>
      </c>
      <c r="T4142" s="9">
        <v>24.040396091340774</v>
      </c>
      <c r="U4142" s="9">
        <v>25.448505028591189</v>
      </c>
      <c r="V4142" s="9">
        <v>25.448505028591189</v>
      </c>
      <c r="W4142" s="9">
        <v>25.448505028591189</v>
      </c>
      <c r="X4142" s="9">
        <v>28.109873114011638</v>
      </c>
      <c r="Y4142" s="9">
        <v>28.109873114011638</v>
      </c>
      <c r="Z4142" s="9">
        <v>30.975097350688763</v>
      </c>
      <c r="AA4142" s="9">
        <v>30.975097350688763</v>
      </c>
      <c r="AB4142" s="9">
        <v>34.370578528895656</v>
      </c>
      <c r="AC4142" s="9">
        <v>34.370578528895656</v>
      </c>
      <c r="AD4142" s="9">
        <v>39.013187474230911</v>
      </c>
      <c r="AE4142" s="9">
        <v>42.452173954636635</v>
      </c>
      <c r="AF4142" s="9">
        <v>47.478364248265585</v>
      </c>
      <c r="AG4142" s="9">
        <v>47.478364248265585</v>
      </c>
      <c r="AH4142" s="9">
        <v>50.815992158664379</v>
      </c>
      <c r="AI4142" s="9">
        <v>54.045500821302042</v>
      </c>
      <c r="AJ4142" s="9">
        <v>3.0428788910505911</v>
      </c>
    </row>
    <row r="4143" spans="1:36" x14ac:dyDescent="0.25">
      <c r="A4143" t="s">
        <v>5411</v>
      </c>
      <c r="B4143" t="s">
        <v>16</v>
      </c>
      <c r="C4143" t="s">
        <v>17</v>
      </c>
      <c r="D4143">
        <v>75667000</v>
      </c>
      <c r="E4143">
        <v>75669999</v>
      </c>
      <c r="F4143" t="s">
        <v>3768</v>
      </c>
      <c r="G4143" t="str">
        <f t="shared" si="128"/>
        <v>GOI</v>
      </c>
      <c r="H4143" t="s">
        <v>3672</v>
      </c>
      <c r="I4143" t="s">
        <v>20</v>
      </c>
      <c r="J4143" t="s">
        <v>62</v>
      </c>
      <c r="K4143" s="6">
        <v>0.03</v>
      </c>
      <c r="L4143" s="7">
        <f t="shared" si="129"/>
        <v>2E-3</v>
      </c>
      <c r="M4143" s="7">
        <v>3.0000000000000001E-3</v>
      </c>
      <c r="N4143">
        <v>9</v>
      </c>
      <c r="O4143" s="8">
        <v>20.377140471637041</v>
      </c>
      <c r="P4143" s="9">
        <v>20.377140471637041</v>
      </c>
      <c r="Q4143" s="9">
        <v>20.377140471637041</v>
      </c>
      <c r="R4143" s="9">
        <v>21.402978767052765</v>
      </c>
      <c r="S4143" s="9">
        <v>22.589768980199143</v>
      </c>
      <c r="T4143" s="9">
        <v>24.040396091340774</v>
      </c>
      <c r="U4143" s="9">
        <v>25.448505028591189</v>
      </c>
      <c r="V4143" s="9">
        <v>25.448505028591189</v>
      </c>
      <c r="W4143" s="9">
        <v>25.448505028591189</v>
      </c>
      <c r="X4143" s="9">
        <v>28.109873114011638</v>
      </c>
      <c r="Y4143" s="9">
        <v>28.109873114011638</v>
      </c>
      <c r="Z4143" s="9">
        <v>30.975097350688763</v>
      </c>
      <c r="AA4143" s="9">
        <v>30.975097350688763</v>
      </c>
      <c r="AB4143" s="9">
        <v>34.370578528895656</v>
      </c>
      <c r="AC4143" s="9">
        <v>34.370578528895656</v>
      </c>
      <c r="AD4143" s="9">
        <v>39.013187474230911</v>
      </c>
      <c r="AE4143" s="9">
        <v>42.452173954636635</v>
      </c>
      <c r="AF4143" s="9">
        <v>47.478364248265585</v>
      </c>
      <c r="AG4143" s="9">
        <v>47.478364248265585</v>
      </c>
      <c r="AH4143" s="9">
        <v>50.815992158664379</v>
      </c>
      <c r="AI4143" s="9">
        <v>54.045500821302042</v>
      </c>
      <c r="AJ4143" s="9">
        <v>3.0428788910505911</v>
      </c>
    </row>
    <row r="4144" spans="1:36" x14ac:dyDescent="0.25">
      <c r="A4144" t="s">
        <v>5411</v>
      </c>
      <c r="B4144" t="s">
        <v>16</v>
      </c>
      <c r="C4144" t="s">
        <v>17</v>
      </c>
      <c r="D4144">
        <v>75670000</v>
      </c>
      <c r="E4144">
        <v>75674999</v>
      </c>
      <c r="F4144" t="s">
        <v>3769</v>
      </c>
      <c r="G4144" t="str">
        <f t="shared" si="128"/>
        <v>GOI</v>
      </c>
      <c r="H4144" t="s">
        <v>3672</v>
      </c>
      <c r="I4144" t="s">
        <v>20</v>
      </c>
      <c r="J4144" t="s">
        <v>62</v>
      </c>
      <c r="K4144" s="6">
        <v>0.03</v>
      </c>
      <c r="L4144" s="7">
        <f t="shared" si="129"/>
        <v>2E-3</v>
      </c>
      <c r="M4144" s="7">
        <v>3.0000000000000001E-3</v>
      </c>
      <c r="N4144">
        <v>9</v>
      </c>
      <c r="O4144" s="8">
        <v>20.377140471637041</v>
      </c>
      <c r="P4144" s="9">
        <v>20.377140471637041</v>
      </c>
      <c r="Q4144" s="9">
        <v>20.377140471637041</v>
      </c>
      <c r="R4144" s="9">
        <v>21.402978767052765</v>
      </c>
      <c r="S4144" s="9">
        <v>22.589768980199143</v>
      </c>
      <c r="T4144" s="9">
        <v>24.040396091340774</v>
      </c>
      <c r="U4144" s="9">
        <v>25.448505028591189</v>
      </c>
      <c r="V4144" s="9">
        <v>25.448505028591189</v>
      </c>
      <c r="W4144" s="9">
        <v>25.448505028591189</v>
      </c>
      <c r="X4144" s="9">
        <v>28.109873114011638</v>
      </c>
      <c r="Y4144" s="9">
        <v>28.109873114011638</v>
      </c>
      <c r="Z4144" s="9">
        <v>30.975097350688763</v>
      </c>
      <c r="AA4144" s="9">
        <v>30.975097350688763</v>
      </c>
      <c r="AB4144" s="9">
        <v>34.370578528895656</v>
      </c>
      <c r="AC4144" s="9">
        <v>34.370578528895656</v>
      </c>
      <c r="AD4144" s="9">
        <v>39.013187474230911</v>
      </c>
      <c r="AE4144" s="9">
        <v>42.452173954636635</v>
      </c>
      <c r="AF4144" s="9">
        <v>47.478364248265585</v>
      </c>
      <c r="AG4144" s="9">
        <v>47.478364248265585</v>
      </c>
      <c r="AH4144" s="9">
        <v>50.815992158664379</v>
      </c>
      <c r="AI4144" s="9">
        <v>54.045500821302042</v>
      </c>
      <c r="AJ4144" s="9">
        <v>3.0428788910505911</v>
      </c>
    </row>
    <row r="4145" spans="1:36" x14ac:dyDescent="0.25">
      <c r="A4145" t="s">
        <v>5411</v>
      </c>
      <c r="B4145" t="s">
        <v>16</v>
      </c>
      <c r="C4145" t="s">
        <v>17</v>
      </c>
      <c r="D4145">
        <v>75675000</v>
      </c>
      <c r="E4145">
        <v>75679999</v>
      </c>
      <c r="F4145" t="s">
        <v>3770</v>
      </c>
      <c r="G4145" t="str">
        <f t="shared" si="128"/>
        <v>GOI</v>
      </c>
      <c r="H4145" t="s">
        <v>3672</v>
      </c>
      <c r="I4145" t="s">
        <v>20</v>
      </c>
      <c r="J4145" t="s">
        <v>62</v>
      </c>
      <c r="K4145" s="6">
        <v>0.03</v>
      </c>
      <c r="L4145" s="7">
        <f t="shared" si="129"/>
        <v>2E-3</v>
      </c>
      <c r="M4145" s="7">
        <v>3.0000000000000001E-3</v>
      </c>
      <c r="N4145">
        <v>9</v>
      </c>
      <c r="O4145" s="8">
        <v>20.377140471637041</v>
      </c>
      <c r="P4145" s="9">
        <v>20.377140471637041</v>
      </c>
      <c r="Q4145" s="9">
        <v>20.377140471637041</v>
      </c>
      <c r="R4145" s="9">
        <v>21.402978767052765</v>
      </c>
      <c r="S4145" s="9">
        <v>22.589768980199143</v>
      </c>
      <c r="T4145" s="9">
        <v>24.040396091340774</v>
      </c>
      <c r="U4145" s="9">
        <v>25.448505028591189</v>
      </c>
      <c r="V4145" s="9">
        <v>25.448505028591189</v>
      </c>
      <c r="W4145" s="9">
        <v>25.448505028591189</v>
      </c>
      <c r="X4145" s="9">
        <v>28.109873114011638</v>
      </c>
      <c r="Y4145" s="9">
        <v>28.109873114011638</v>
      </c>
      <c r="Z4145" s="9">
        <v>30.975097350688763</v>
      </c>
      <c r="AA4145" s="9">
        <v>30.975097350688763</v>
      </c>
      <c r="AB4145" s="9">
        <v>34.370578528895656</v>
      </c>
      <c r="AC4145" s="9">
        <v>34.370578528895656</v>
      </c>
      <c r="AD4145" s="9">
        <v>39.013187474230911</v>
      </c>
      <c r="AE4145" s="9">
        <v>42.452173954636635</v>
      </c>
      <c r="AF4145" s="9">
        <v>47.478364248265585</v>
      </c>
      <c r="AG4145" s="9">
        <v>47.478364248265585</v>
      </c>
      <c r="AH4145" s="9">
        <v>50.815992158664379</v>
      </c>
      <c r="AI4145" s="9">
        <v>54.045500821302042</v>
      </c>
      <c r="AJ4145" s="9">
        <v>3.0428788910505911</v>
      </c>
    </row>
    <row r="4146" spans="1:36" x14ac:dyDescent="0.25">
      <c r="A4146" t="s">
        <v>5411</v>
      </c>
      <c r="B4146" t="s">
        <v>16</v>
      </c>
      <c r="C4146" t="s">
        <v>17</v>
      </c>
      <c r="D4146">
        <v>75680000</v>
      </c>
      <c r="E4146">
        <v>75699999</v>
      </c>
      <c r="F4146" t="s">
        <v>3771</v>
      </c>
      <c r="G4146" t="str">
        <f t="shared" si="128"/>
        <v>GOI</v>
      </c>
      <c r="H4146" t="s">
        <v>3672</v>
      </c>
      <c r="I4146" t="s">
        <v>20</v>
      </c>
      <c r="J4146" t="s">
        <v>62</v>
      </c>
      <c r="K4146" s="6">
        <v>0.03</v>
      </c>
      <c r="L4146" s="7">
        <f t="shared" si="129"/>
        <v>2E-3</v>
      </c>
      <c r="M4146" s="7">
        <v>3.0000000000000001E-3</v>
      </c>
      <c r="N4146">
        <v>9</v>
      </c>
      <c r="O4146" s="8">
        <v>20.377140471637041</v>
      </c>
      <c r="P4146" s="9">
        <v>20.377140471637041</v>
      </c>
      <c r="Q4146" s="9">
        <v>20.377140471637041</v>
      </c>
      <c r="R4146" s="9">
        <v>21.402978767052765</v>
      </c>
      <c r="S4146" s="9">
        <v>22.589768980199143</v>
      </c>
      <c r="T4146" s="9">
        <v>24.040396091340774</v>
      </c>
      <c r="U4146" s="9">
        <v>25.448505028591189</v>
      </c>
      <c r="V4146" s="9">
        <v>25.448505028591189</v>
      </c>
      <c r="W4146" s="9">
        <v>25.448505028591189</v>
      </c>
      <c r="X4146" s="9">
        <v>28.109873114011638</v>
      </c>
      <c r="Y4146" s="9">
        <v>28.109873114011638</v>
      </c>
      <c r="Z4146" s="9">
        <v>30.975097350688763</v>
      </c>
      <c r="AA4146" s="9">
        <v>30.975097350688763</v>
      </c>
      <c r="AB4146" s="9">
        <v>34.370578528895656</v>
      </c>
      <c r="AC4146" s="9">
        <v>34.370578528895656</v>
      </c>
      <c r="AD4146" s="9">
        <v>39.013187474230911</v>
      </c>
      <c r="AE4146" s="9">
        <v>42.452173954636635</v>
      </c>
      <c r="AF4146" s="9">
        <v>47.478364248265585</v>
      </c>
      <c r="AG4146" s="9">
        <v>47.478364248265585</v>
      </c>
      <c r="AH4146" s="9">
        <v>50.815992158664379</v>
      </c>
      <c r="AI4146" s="9">
        <v>54.045500821302042</v>
      </c>
      <c r="AJ4146" s="9">
        <v>3.0428788910505911</v>
      </c>
    </row>
    <row r="4147" spans="1:36" x14ac:dyDescent="0.25">
      <c r="A4147" t="s">
        <v>5411</v>
      </c>
      <c r="B4147" t="s">
        <v>16</v>
      </c>
      <c r="C4147" t="s">
        <v>17</v>
      </c>
      <c r="D4147">
        <v>75700000</v>
      </c>
      <c r="E4147">
        <v>75714999</v>
      </c>
      <c r="F4147" t="s">
        <v>3772</v>
      </c>
      <c r="G4147" t="str">
        <f t="shared" si="128"/>
        <v>GOI</v>
      </c>
      <c r="H4147" t="s">
        <v>3672</v>
      </c>
      <c r="I4147" t="s">
        <v>20</v>
      </c>
      <c r="J4147" t="s">
        <v>62</v>
      </c>
      <c r="K4147" s="6">
        <v>0.03</v>
      </c>
      <c r="L4147" s="7">
        <f t="shared" si="129"/>
        <v>2E-3</v>
      </c>
      <c r="M4147" s="7">
        <v>3.0000000000000001E-3</v>
      </c>
      <c r="N4147">
        <v>9</v>
      </c>
      <c r="O4147" s="8">
        <v>20.377140471637041</v>
      </c>
      <c r="P4147" s="9">
        <v>20.377140471637041</v>
      </c>
      <c r="Q4147" s="9">
        <v>20.377140471637041</v>
      </c>
      <c r="R4147" s="9">
        <v>21.402978767052765</v>
      </c>
      <c r="S4147" s="9">
        <v>22.589768980199143</v>
      </c>
      <c r="T4147" s="9">
        <v>24.040396091340774</v>
      </c>
      <c r="U4147" s="9">
        <v>25.448505028591189</v>
      </c>
      <c r="V4147" s="9">
        <v>25.448505028591189</v>
      </c>
      <c r="W4147" s="9">
        <v>25.448505028591189</v>
      </c>
      <c r="X4147" s="9">
        <v>28.109873114011638</v>
      </c>
      <c r="Y4147" s="9">
        <v>28.109873114011638</v>
      </c>
      <c r="Z4147" s="9">
        <v>30.975097350688763</v>
      </c>
      <c r="AA4147" s="9">
        <v>30.975097350688763</v>
      </c>
      <c r="AB4147" s="9">
        <v>34.370578528895656</v>
      </c>
      <c r="AC4147" s="9">
        <v>34.370578528895656</v>
      </c>
      <c r="AD4147" s="9">
        <v>39.013187474230911</v>
      </c>
      <c r="AE4147" s="9">
        <v>42.452173954636635</v>
      </c>
      <c r="AF4147" s="9">
        <v>47.478364248265585</v>
      </c>
      <c r="AG4147" s="9">
        <v>47.478364248265585</v>
      </c>
      <c r="AH4147" s="9">
        <v>50.815992158664379</v>
      </c>
      <c r="AI4147" s="9">
        <v>54.045500821302042</v>
      </c>
      <c r="AJ4147" s="9">
        <v>3.0428788910505911</v>
      </c>
    </row>
    <row r="4148" spans="1:36" x14ac:dyDescent="0.25">
      <c r="A4148" t="s">
        <v>5411</v>
      </c>
      <c r="B4148" t="s">
        <v>16</v>
      </c>
      <c r="C4148" t="s">
        <v>17</v>
      </c>
      <c r="D4148">
        <v>75715000</v>
      </c>
      <c r="E4148">
        <v>75719999</v>
      </c>
      <c r="F4148" t="s">
        <v>3773</v>
      </c>
      <c r="G4148" t="str">
        <f t="shared" si="128"/>
        <v>GOI</v>
      </c>
      <c r="H4148" t="s">
        <v>3672</v>
      </c>
      <c r="I4148" t="s">
        <v>20</v>
      </c>
      <c r="J4148" t="s">
        <v>62</v>
      </c>
      <c r="K4148" s="6">
        <v>0.03</v>
      </c>
      <c r="L4148" s="7">
        <f t="shared" si="129"/>
        <v>2E-3</v>
      </c>
      <c r="M4148" s="7">
        <v>3.0000000000000001E-3</v>
      </c>
      <c r="N4148">
        <v>9</v>
      </c>
      <c r="O4148" s="8">
        <v>20.377140471637041</v>
      </c>
      <c r="P4148" s="9">
        <v>20.377140471637041</v>
      </c>
      <c r="Q4148" s="9">
        <v>20.377140471637041</v>
      </c>
      <c r="R4148" s="9">
        <v>21.402978767052765</v>
      </c>
      <c r="S4148" s="9">
        <v>22.589768980199143</v>
      </c>
      <c r="T4148" s="9">
        <v>24.040396091340774</v>
      </c>
      <c r="U4148" s="9">
        <v>25.448505028591189</v>
      </c>
      <c r="V4148" s="9">
        <v>25.448505028591189</v>
      </c>
      <c r="W4148" s="9">
        <v>25.448505028591189</v>
      </c>
      <c r="X4148" s="9">
        <v>28.109873114011638</v>
      </c>
      <c r="Y4148" s="9">
        <v>28.109873114011638</v>
      </c>
      <c r="Z4148" s="9">
        <v>30.975097350688763</v>
      </c>
      <c r="AA4148" s="9">
        <v>30.975097350688763</v>
      </c>
      <c r="AB4148" s="9">
        <v>34.370578528895656</v>
      </c>
      <c r="AC4148" s="9">
        <v>34.370578528895656</v>
      </c>
      <c r="AD4148" s="9">
        <v>39.013187474230911</v>
      </c>
      <c r="AE4148" s="9">
        <v>42.452173954636635</v>
      </c>
      <c r="AF4148" s="9">
        <v>47.478364248265585</v>
      </c>
      <c r="AG4148" s="9">
        <v>47.478364248265585</v>
      </c>
      <c r="AH4148" s="9">
        <v>50.815992158664379</v>
      </c>
      <c r="AI4148" s="9">
        <v>54.045500821302042</v>
      </c>
      <c r="AJ4148" s="9">
        <v>3.0428788910505911</v>
      </c>
    </row>
    <row r="4149" spans="1:36" x14ac:dyDescent="0.25">
      <c r="A4149" t="s">
        <v>5411</v>
      </c>
      <c r="B4149" t="s">
        <v>16</v>
      </c>
      <c r="C4149" t="s">
        <v>17</v>
      </c>
      <c r="D4149">
        <v>75720000</v>
      </c>
      <c r="E4149">
        <v>75729999</v>
      </c>
      <c r="F4149" t="s">
        <v>3774</v>
      </c>
      <c r="G4149" t="str">
        <f t="shared" si="128"/>
        <v>GOI</v>
      </c>
      <c r="H4149" t="s">
        <v>3672</v>
      </c>
      <c r="I4149" t="s">
        <v>20</v>
      </c>
      <c r="J4149" t="s">
        <v>62</v>
      </c>
      <c r="K4149" s="6">
        <v>0.03</v>
      </c>
      <c r="L4149" s="7">
        <f t="shared" si="129"/>
        <v>2E-3</v>
      </c>
      <c r="M4149" s="7">
        <v>3.0000000000000001E-3</v>
      </c>
      <c r="N4149">
        <v>9</v>
      </c>
      <c r="O4149" s="8">
        <v>20.377140471637041</v>
      </c>
      <c r="P4149" s="9">
        <v>20.377140471637041</v>
      </c>
      <c r="Q4149" s="9">
        <v>20.377140471637041</v>
      </c>
      <c r="R4149" s="9">
        <v>21.402978767052765</v>
      </c>
      <c r="S4149" s="9">
        <v>22.589768980199143</v>
      </c>
      <c r="T4149" s="9">
        <v>24.040396091340774</v>
      </c>
      <c r="U4149" s="9">
        <v>25.448505028591189</v>
      </c>
      <c r="V4149" s="9">
        <v>25.448505028591189</v>
      </c>
      <c r="W4149" s="9">
        <v>25.448505028591189</v>
      </c>
      <c r="X4149" s="9">
        <v>28.109873114011638</v>
      </c>
      <c r="Y4149" s="9">
        <v>28.109873114011638</v>
      </c>
      <c r="Z4149" s="9">
        <v>30.975097350688763</v>
      </c>
      <c r="AA4149" s="9">
        <v>30.975097350688763</v>
      </c>
      <c r="AB4149" s="9">
        <v>34.370578528895656</v>
      </c>
      <c r="AC4149" s="9">
        <v>34.370578528895656</v>
      </c>
      <c r="AD4149" s="9">
        <v>39.013187474230911</v>
      </c>
      <c r="AE4149" s="9">
        <v>42.452173954636635</v>
      </c>
      <c r="AF4149" s="9">
        <v>47.478364248265585</v>
      </c>
      <c r="AG4149" s="9">
        <v>47.478364248265585</v>
      </c>
      <c r="AH4149" s="9">
        <v>50.815992158664379</v>
      </c>
      <c r="AI4149" s="9">
        <v>54.045500821302042</v>
      </c>
      <c r="AJ4149" s="9">
        <v>3.0428788910505911</v>
      </c>
    </row>
    <row r="4150" spans="1:36" x14ac:dyDescent="0.25">
      <c r="A4150" t="s">
        <v>5411</v>
      </c>
      <c r="B4150" t="s">
        <v>16</v>
      </c>
      <c r="C4150" t="s">
        <v>17</v>
      </c>
      <c r="D4150">
        <v>75730000</v>
      </c>
      <c r="E4150">
        <v>75739999</v>
      </c>
      <c r="F4150" t="s">
        <v>3394</v>
      </c>
      <c r="G4150" t="str">
        <f t="shared" si="128"/>
        <v>GOI</v>
      </c>
      <c r="H4150" t="s">
        <v>3672</v>
      </c>
      <c r="I4150" t="s">
        <v>20</v>
      </c>
      <c r="J4150" t="s">
        <v>62</v>
      </c>
      <c r="K4150" s="6">
        <v>0.03</v>
      </c>
      <c r="L4150" s="7">
        <f t="shared" si="129"/>
        <v>2E-3</v>
      </c>
      <c r="M4150" s="7">
        <v>3.0000000000000001E-3</v>
      </c>
      <c r="N4150">
        <v>9</v>
      </c>
      <c r="O4150" s="8">
        <v>20.377140471637041</v>
      </c>
      <c r="P4150" s="9">
        <v>20.377140471637041</v>
      </c>
      <c r="Q4150" s="9">
        <v>20.377140471637041</v>
      </c>
      <c r="R4150" s="9">
        <v>21.402978767052765</v>
      </c>
      <c r="S4150" s="9">
        <v>22.589768980199143</v>
      </c>
      <c r="T4150" s="9">
        <v>24.040396091340774</v>
      </c>
      <c r="U4150" s="9">
        <v>25.448505028591189</v>
      </c>
      <c r="V4150" s="9">
        <v>25.448505028591189</v>
      </c>
      <c r="W4150" s="9">
        <v>25.448505028591189</v>
      </c>
      <c r="X4150" s="9">
        <v>28.109873114011638</v>
      </c>
      <c r="Y4150" s="9">
        <v>28.109873114011638</v>
      </c>
      <c r="Z4150" s="9">
        <v>30.975097350688763</v>
      </c>
      <c r="AA4150" s="9">
        <v>30.975097350688763</v>
      </c>
      <c r="AB4150" s="9">
        <v>34.370578528895656</v>
      </c>
      <c r="AC4150" s="9">
        <v>34.370578528895656</v>
      </c>
      <c r="AD4150" s="9">
        <v>39.013187474230911</v>
      </c>
      <c r="AE4150" s="9">
        <v>42.452173954636635</v>
      </c>
      <c r="AF4150" s="9">
        <v>47.478364248265585</v>
      </c>
      <c r="AG4150" s="9">
        <v>47.478364248265585</v>
      </c>
      <c r="AH4150" s="9">
        <v>50.815992158664379</v>
      </c>
      <c r="AI4150" s="9">
        <v>54.045500821302042</v>
      </c>
      <c r="AJ4150" s="9">
        <v>3.0428788910505911</v>
      </c>
    </row>
    <row r="4151" spans="1:36" x14ac:dyDescent="0.25">
      <c r="A4151" t="s">
        <v>5411</v>
      </c>
      <c r="B4151" t="s">
        <v>16</v>
      </c>
      <c r="C4151" t="s">
        <v>17</v>
      </c>
      <c r="D4151">
        <v>75740000</v>
      </c>
      <c r="E4151">
        <v>75749999</v>
      </c>
      <c r="F4151" t="s">
        <v>3775</v>
      </c>
      <c r="G4151" t="str">
        <f t="shared" si="128"/>
        <v>GOI</v>
      </c>
      <c r="H4151" t="s">
        <v>3672</v>
      </c>
      <c r="I4151" t="s">
        <v>20</v>
      </c>
      <c r="J4151" t="s">
        <v>62</v>
      </c>
      <c r="K4151" s="6">
        <v>0.03</v>
      </c>
      <c r="L4151" s="7">
        <f t="shared" si="129"/>
        <v>2E-3</v>
      </c>
      <c r="M4151" s="7">
        <v>3.0000000000000001E-3</v>
      </c>
      <c r="N4151">
        <v>9</v>
      </c>
      <c r="O4151" s="8">
        <v>20.377140471637041</v>
      </c>
      <c r="P4151" s="9">
        <v>20.377140471637041</v>
      </c>
      <c r="Q4151" s="9">
        <v>20.377140471637041</v>
      </c>
      <c r="R4151" s="9">
        <v>21.402978767052765</v>
      </c>
      <c r="S4151" s="9">
        <v>22.589768980199143</v>
      </c>
      <c r="T4151" s="9">
        <v>24.040396091340774</v>
      </c>
      <c r="U4151" s="9">
        <v>25.448505028591189</v>
      </c>
      <c r="V4151" s="9">
        <v>25.448505028591189</v>
      </c>
      <c r="W4151" s="9">
        <v>25.448505028591189</v>
      </c>
      <c r="X4151" s="9">
        <v>28.109873114011638</v>
      </c>
      <c r="Y4151" s="9">
        <v>28.109873114011638</v>
      </c>
      <c r="Z4151" s="9">
        <v>30.975097350688763</v>
      </c>
      <c r="AA4151" s="9">
        <v>30.975097350688763</v>
      </c>
      <c r="AB4151" s="9">
        <v>34.370578528895656</v>
      </c>
      <c r="AC4151" s="9">
        <v>34.370578528895656</v>
      </c>
      <c r="AD4151" s="9">
        <v>39.013187474230911</v>
      </c>
      <c r="AE4151" s="9">
        <v>42.452173954636635</v>
      </c>
      <c r="AF4151" s="9">
        <v>47.478364248265585</v>
      </c>
      <c r="AG4151" s="9">
        <v>47.478364248265585</v>
      </c>
      <c r="AH4151" s="9">
        <v>50.815992158664379</v>
      </c>
      <c r="AI4151" s="9">
        <v>54.045500821302042</v>
      </c>
      <c r="AJ4151" s="9">
        <v>3.0428788910505911</v>
      </c>
    </row>
    <row r="4152" spans="1:36" x14ac:dyDescent="0.25">
      <c r="A4152" t="s">
        <v>5411</v>
      </c>
      <c r="B4152" t="s">
        <v>16</v>
      </c>
      <c r="C4152" t="s">
        <v>17</v>
      </c>
      <c r="D4152">
        <v>75750000</v>
      </c>
      <c r="E4152">
        <v>75759999</v>
      </c>
      <c r="F4152" t="s">
        <v>3776</v>
      </c>
      <c r="G4152" t="str">
        <f t="shared" si="128"/>
        <v>GOI</v>
      </c>
      <c r="H4152" t="s">
        <v>3672</v>
      </c>
      <c r="I4152" t="s">
        <v>20</v>
      </c>
      <c r="J4152" t="s">
        <v>62</v>
      </c>
      <c r="K4152" s="6">
        <v>0.03</v>
      </c>
      <c r="L4152" s="7">
        <f t="shared" si="129"/>
        <v>2E-3</v>
      </c>
      <c r="M4152" s="7">
        <v>3.0000000000000001E-3</v>
      </c>
      <c r="N4152">
        <v>9</v>
      </c>
      <c r="O4152" s="8">
        <v>20.377140471637041</v>
      </c>
      <c r="P4152" s="9">
        <v>20.377140471637041</v>
      </c>
      <c r="Q4152" s="9">
        <v>20.377140471637041</v>
      </c>
      <c r="R4152" s="9">
        <v>21.402978767052765</v>
      </c>
      <c r="S4152" s="9">
        <v>22.589768980199143</v>
      </c>
      <c r="T4152" s="9">
        <v>24.040396091340774</v>
      </c>
      <c r="U4152" s="9">
        <v>25.448505028591189</v>
      </c>
      <c r="V4152" s="9">
        <v>25.448505028591189</v>
      </c>
      <c r="W4152" s="9">
        <v>25.448505028591189</v>
      </c>
      <c r="X4152" s="9">
        <v>28.109873114011638</v>
      </c>
      <c r="Y4152" s="9">
        <v>28.109873114011638</v>
      </c>
      <c r="Z4152" s="9">
        <v>30.975097350688763</v>
      </c>
      <c r="AA4152" s="9">
        <v>30.975097350688763</v>
      </c>
      <c r="AB4152" s="9">
        <v>34.370578528895656</v>
      </c>
      <c r="AC4152" s="9">
        <v>34.370578528895656</v>
      </c>
      <c r="AD4152" s="9">
        <v>39.013187474230911</v>
      </c>
      <c r="AE4152" s="9">
        <v>42.452173954636635</v>
      </c>
      <c r="AF4152" s="9">
        <v>47.478364248265585</v>
      </c>
      <c r="AG4152" s="9">
        <v>47.478364248265585</v>
      </c>
      <c r="AH4152" s="9">
        <v>50.815992158664379</v>
      </c>
      <c r="AI4152" s="9">
        <v>54.045500821302042</v>
      </c>
      <c r="AJ4152" s="9">
        <v>3.0428788910505911</v>
      </c>
    </row>
    <row r="4153" spans="1:36" x14ac:dyDescent="0.25">
      <c r="A4153" t="s">
        <v>5411</v>
      </c>
      <c r="B4153" t="s">
        <v>16</v>
      </c>
      <c r="C4153" t="s">
        <v>17</v>
      </c>
      <c r="D4153">
        <v>75760000</v>
      </c>
      <c r="E4153">
        <v>75769999</v>
      </c>
      <c r="F4153" t="s">
        <v>3777</v>
      </c>
      <c r="G4153" t="str">
        <f t="shared" si="128"/>
        <v>GOI</v>
      </c>
      <c r="H4153" t="s">
        <v>3672</v>
      </c>
      <c r="I4153" t="s">
        <v>20</v>
      </c>
      <c r="J4153" t="s">
        <v>62</v>
      </c>
      <c r="K4153" s="6">
        <v>0.03</v>
      </c>
      <c r="L4153" s="7">
        <f t="shared" si="129"/>
        <v>2E-3</v>
      </c>
      <c r="M4153" s="7">
        <v>3.0000000000000001E-3</v>
      </c>
      <c r="N4153">
        <v>9</v>
      </c>
      <c r="O4153" s="8">
        <v>20.377140471637041</v>
      </c>
      <c r="P4153" s="9">
        <v>20.377140471637041</v>
      </c>
      <c r="Q4153" s="9">
        <v>20.377140471637041</v>
      </c>
      <c r="R4153" s="9">
        <v>21.402978767052765</v>
      </c>
      <c r="S4153" s="9">
        <v>22.589768980199143</v>
      </c>
      <c r="T4153" s="9">
        <v>24.040396091340774</v>
      </c>
      <c r="U4153" s="9">
        <v>25.448505028591189</v>
      </c>
      <c r="V4153" s="9">
        <v>25.448505028591189</v>
      </c>
      <c r="W4153" s="9">
        <v>25.448505028591189</v>
      </c>
      <c r="X4153" s="9">
        <v>28.109873114011638</v>
      </c>
      <c r="Y4153" s="9">
        <v>28.109873114011638</v>
      </c>
      <c r="Z4153" s="9">
        <v>30.975097350688763</v>
      </c>
      <c r="AA4153" s="9">
        <v>30.975097350688763</v>
      </c>
      <c r="AB4153" s="9">
        <v>34.370578528895656</v>
      </c>
      <c r="AC4153" s="9">
        <v>34.370578528895656</v>
      </c>
      <c r="AD4153" s="9">
        <v>39.013187474230911</v>
      </c>
      <c r="AE4153" s="9">
        <v>42.452173954636635</v>
      </c>
      <c r="AF4153" s="9">
        <v>47.478364248265585</v>
      </c>
      <c r="AG4153" s="9">
        <v>47.478364248265585</v>
      </c>
      <c r="AH4153" s="9">
        <v>50.815992158664379</v>
      </c>
      <c r="AI4153" s="9">
        <v>54.045500821302042</v>
      </c>
      <c r="AJ4153" s="9">
        <v>3.0428788910505911</v>
      </c>
    </row>
    <row r="4154" spans="1:36" x14ac:dyDescent="0.25">
      <c r="A4154" t="s">
        <v>5411</v>
      </c>
      <c r="B4154" t="s">
        <v>16</v>
      </c>
      <c r="C4154" t="s">
        <v>17</v>
      </c>
      <c r="D4154">
        <v>75770000</v>
      </c>
      <c r="E4154">
        <v>75779999</v>
      </c>
      <c r="F4154" t="s">
        <v>3778</v>
      </c>
      <c r="G4154" t="str">
        <f t="shared" si="128"/>
        <v>GOI</v>
      </c>
      <c r="H4154" t="s">
        <v>3672</v>
      </c>
      <c r="I4154" t="s">
        <v>20</v>
      </c>
      <c r="J4154" t="s">
        <v>62</v>
      </c>
      <c r="K4154" s="6">
        <v>0.03</v>
      </c>
      <c r="L4154" s="7">
        <f t="shared" si="129"/>
        <v>2E-3</v>
      </c>
      <c r="M4154" s="7">
        <v>3.0000000000000001E-3</v>
      </c>
      <c r="N4154">
        <v>9</v>
      </c>
      <c r="O4154" s="8">
        <v>20.377140471637041</v>
      </c>
      <c r="P4154" s="9">
        <v>20.377140471637041</v>
      </c>
      <c r="Q4154" s="9">
        <v>20.377140471637041</v>
      </c>
      <c r="R4154" s="9">
        <v>21.402978767052765</v>
      </c>
      <c r="S4154" s="9">
        <v>22.589768980199143</v>
      </c>
      <c r="T4154" s="9">
        <v>24.040396091340774</v>
      </c>
      <c r="U4154" s="9">
        <v>25.448505028591189</v>
      </c>
      <c r="V4154" s="9">
        <v>25.448505028591189</v>
      </c>
      <c r="W4154" s="9">
        <v>25.448505028591189</v>
      </c>
      <c r="X4154" s="9">
        <v>28.109873114011638</v>
      </c>
      <c r="Y4154" s="9">
        <v>28.109873114011638</v>
      </c>
      <c r="Z4154" s="9">
        <v>30.975097350688763</v>
      </c>
      <c r="AA4154" s="9">
        <v>30.975097350688763</v>
      </c>
      <c r="AB4154" s="9">
        <v>34.370578528895656</v>
      </c>
      <c r="AC4154" s="9">
        <v>34.370578528895656</v>
      </c>
      <c r="AD4154" s="9">
        <v>39.013187474230911</v>
      </c>
      <c r="AE4154" s="9">
        <v>42.452173954636635</v>
      </c>
      <c r="AF4154" s="9">
        <v>47.478364248265585</v>
      </c>
      <c r="AG4154" s="9">
        <v>47.478364248265585</v>
      </c>
      <c r="AH4154" s="9">
        <v>50.815992158664379</v>
      </c>
      <c r="AI4154" s="9">
        <v>54.045500821302042</v>
      </c>
      <c r="AJ4154" s="9">
        <v>3.0428788910505911</v>
      </c>
    </row>
    <row r="4155" spans="1:36" x14ac:dyDescent="0.25">
      <c r="A4155" t="s">
        <v>5411</v>
      </c>
      <c r="B4155" t="s">
        <v>16</v>
      </c>
      <c r="C4155" t="s">
        <v>17</v>
      </c>
      <c r="D4155">
        <v>75780000</v>
      </c>
      <c r="E4155">
        <v>75789999</v>
      </c>
      <c r="F4155" t="s">
        <v>3779</v>
      </c>
      <c r="G4155" t="str">
        <f t="shared" si="128"/>
        <v>GOI</v>
      </c>
      <c r="H4155" t="s">
        <v>3672</v>
      </c>
      <c r="I4155" t="s">
        <v>20</v>
      </c>
      <c r="J4155" t="s">
        <v>62</v>
      </c>
      <c r="K4155" s="6">
        <v>0.03</v>
      </c>
      <c r="L4155" s="7">
        <f t="shared" si="129"/>
        <v>2E-3</v>
      </c>
      <c r="M4155" s="7">
        <v>3.0000000000000001E-3</v>
      </c>
      <c r="N4155">
        <v>9</v>
      </c>
      <c r="O4155" s="8">
        <v>20.377140471637041</v>
      </c>
      <c r="P4155" s="9">
        <v>20.377140471637041</v>
      </c>
      <c r="Q4155" s="9">
        <v>20.377140471637041</v>
      </c>
      <c r="R4155" s="9">
        <v>21.402978767052765</v>
      </c>
      <c r="S4155" s="9">
        <v>22.589768980199143</v>
      </c>
      <c r="T4155" s="9">
        <v>24.040396091340774</v>
      </c>
      <c r="U4155" s="9">
        <v>25.448505028591189</v>
      </c>
      <c r="V4155" s="9">
        <v>25.448505028591189</v>
      </c>
      <c r="W4155" s="9">
        <v>25.448505028591189</v>
      </c>
      <c r="X4155" s="9">
        <v>28.109873114011638</v>
      </c>
      <c r="Y4155" s="9">
        <v>28.109873114011638</v>
      </c>
      <c r="Z4155" s="9">
        <v>30.975097350688763</v>
      </c>
      <c r="AA4155" s="9">
        <v>30.975097350688763</v>
      </c>
      <c r="AB4155" s="9">
        <v>34.370578528895656</v>
      </c>
      <c r="AC4155" s="9">
        <v>34.370578528895656</v>
      </c>
      <c r="AD4155" s="9">
        <v>39.013187474230911</v>
      </c>
      <c r="AE4155" s="9">
        <v>42.452173954636635</v>
      </c>
      <c r="AF4155" s="9">
        <v>47.478364248265585</v>
      </c>
      <c r="AG4155" s="9">
        <v>47.478364248265585</v>
      </c>
      <c r="AH4155" s="9">
        <v>50.815992158664379</v>
      </c>
      <c r="AI4155" s="9">
        <v>54.045500821302042</v>
      </c>
      <c r="AJ4155" s="9">
        <v>3.0428788910505911</v>
      </c>
    </row>
    <row r="4156" spans="1:36" x14ac:dyDescent="0.25">
      <c r="A4156" t="s">
        <v>5411</v>
      </c>
      <c r="B4156" t="s">
        <v>16</v>
      </c>
      <c r="C4156" t="s">
        <v>17</v>
      </c>
      <c r="D4156">
        <v>75790000</v>
      </c>
      <c r="E4156">
        <v>75794999</v>
      </c>
      <c r="F4156" t="s">
        <v>3780</v>
      </c>
      <c r="G4156" t="str">
        <f t="shared" si="128"/>
        <v>GOI</v>
      </c>
      <c r="H4156" t="s">
        <v>3672</v>
      </c>
      <c r="I4156" t="s">
        <v>20</v>
      </c>
      <c r="J4156" t="s">
        <v>62</v>
      </c>
      <c r="K4156" s="6">
        <v>0.03</v>
      </c>
      <c r="L4156" s="7">
        <f t="shared" si="129"/>
        <v>2E-3</v>
      </c>
      <c r="M4156" s="7">
        <v>3.0000000000000001E-3</v>
      </c>
      <c r="N4156">
        <v>9</v>
      </c>
      <c r="O4156" s="8">
        <v>20.377140471637041</v>
      </c>
      <c r="P4156" s="9">
        <v>20.377140471637041</v>
      </c>
      <c r="Q4156" s="9">
        <v>20.377140471637041</v>
      </c>
      <c r="R4156" s="9">
        <v>21.402978767052765</v>
      </c>
      <c r="S4156" s="9">
        <v>22.589768980199143</v>
      </c>
      <c r="T4156" s="9">
        <v>24.040396091340774</v>
      </c>
      <c r="U4156" s="9">
        <v>25.448505028591189</v>
      </c>
      <c r="V4156" s="9">
        <v>25.448505028591189</v>
      </c>
      <c r="W4156" s="9">
        <v>25.448505028591189</v>
      </c>
      <c r="X4156" s="9">
        <v>28.109873114011638</v>
      </c>
      <c r="Y4156" s="9">
        <v>28.109873114011638</v>
      </c>
      <c r="Z4156" s="9">
        <v>30.975097350688763</v>
      </c>
      <c r="AA4156" s="9">
        <v>30.975097350688763</v>
      </c>
      <c r="AB4156" s="9">
        <v>34.370578528895656</v>
      </c>
      <c r="AC4156" s="9">
        <v>34.370578528895656</v>
      </c>
      <c r="AD4156" s="9">
        <v>39.013187474230911</v>
      </c>
      <c r="AE4156" s="9">
        <v>42.452173954636635</v>
      </c>
      <c r="AF4156" s="9">
        <v>47.478364248265585</v>
      </c>
      <c r="AG4156" s="9">
        <v>47.478364248265585</v>
      </c>
      <c r="AH4156" s="9">
        <v>50.815992158664379</v>
      </c>
      <c r="AI4156" s="9">
        <v>54.045500821302042</v>
      </c>
      <c r="AJ4156" s="9">
        <v>3.0428788910505911</v>
      </c>
    </row>
    <row r="4157" spans="1:36" x14ac:dyDescent="0.25">
      <c r="A4157" t="s">
        <v>5411</v>
      </c>
      <c r="B4157" t="s">
        <v>16</v>
      </c>
      <c r="C4157" t="s">
        <v>17</v>
      </c>
      <c r="D4157">
        <v>75795000</v>
      </c>
      <c r="E4157">
        <v>75799999</v>
      </c>
      <c r="F4157" t="s">
        <v>3781</v>
      </c>
      <c r="G4157" t="str">
        <f t="shared" si="128"/>
        <v>GOI</v>
      </c>
      <c r="H4157" t="s">
        <v>3672</v>
      </c>
      <c r="I4157" t="s">
        <v>20</v>
      </c>
      <c r="J4157" t="s">
        <v>62</v>
      </c>
      <c r="K4157" s="6">
        <v>0.03</v>
      </c>
      <c r="L4157" s="7">
        <f t="shared" si="129"/>
        <v>2E-3</v>
      </c>
      <c r="M4157" s="7">
        <v>3.0000000000000001E-3</v>
      </c>
      <c r="N4157">
        <v>9</v>
      </c>
      <c r="O4157" s="8">
        <v>20.377140471637041</v>
      </c>
      <c r="P4157" s="9">
        <v>20.377140471637041</v>
      </c>
      <c r="Q4157" s="9">
        <v>20.377140471637041</v>
      </c>
      <c r="R4157" s="9">
        <v>21.402978767052765</v>
      </c>
      <c r="S4157" s="9">
        <v>22.589768980199143</v>
      </c>
      <c r="T4157" s="9">
        <v>24.040396091340774</v>
      </c>
      <c r="U4157" s="9">
        <v>25.448505028591189</v>
      </c>
      <c r="V4157" s="9">
        <v>25.448505028591189</v>
      </c>
      <c r="W4157" s="9">
        <v>25.448505028591189</v>
      </c>
      <c r="X4157" s="9">
        <v>28.109873114011638</v>
      </c>
      <c r="Y4157" s="9">
        <v>28.109873114011638</v>
      </c>
      <c r="Z4157" s="9">
        <v>30.975097350688763</v>
      </c>
      <c r="AA4157" s="9">
        <v>30.975097350688763</v>
      </c>
      <c r="AB4157" s="9">
        <v>34.370578528895656</v>
      </c>
      <c r="AC4157" s="9">
        <v>34.370578528895656</v>
      </c>
      <c r="AD4157" s="9">
        <v>39.013187474230911</v>
      </c>
      <c r="AE4157" s="9">
        <v>42.452173954636635</v>
      </c>
      <c r="AF4157" s="9">
        <v>47.478364248265585</v>
      </c>
      <c r="AG4157" s="9">
        <v>47.478364248265585</v>
      </c>
      <c r="AH4157" s="9">
        <v>50.815992158664379</v>
      </c>
      <c r="AI4157" s="9">
        <v>54.045500821302042</v>
      </c>
      <c r="AJ4157" s="9">
        <v>3.0428788910505911</v>
      </c>
    </row>
    <row r="4158" spans="1:36" x14ac:dyDescent="0.25">
      <c r="A4158" t="s">
        <v>5411</v>
      </c>
      <c r="B4158" t="s">
        <v>16</v>
      </c>
      <c r="C4158" t="s">
        <v>17</v>
      </c>
      <c r="D4158">
        <v>75800000</v>
      </c>
      <c r="E4158">
        <v>75809999</v>
      </c>
      <c r="F4158" t="s">
        <v>3782</v>
      </c>
      <c r="G4158" t="str">
        <f t="shared" si="128"/>
        <v>GOI</v>
      </c>
      <c r="H4158" t="s">
        <v>3672</v>
      </c>
      <c r="I4158" t="s">
        <v>20</v>
      </c>
      <c r="J4158" t="s">
        <v>62</v>
      </c>
      <c r="K4158" s="6">
        <v>0.03</v>
      </c>
      <c r="L4158" s="7">
        <f t="shared" si="129"/>
        <v>2E-3</v>
      </c>
      <c r="M4158" s="7">
        <v>3.0000000000000001E-3</v>
      </c>
      <c r="N4158">
        <v>9</v>
      </c>
      <c r="O4158" s="8">
        <v>20.377140471637041</v>
      </c>
      <c r="P4158" s="9">
        <v>20.377140471637041</v>
      </c>
      <c r="Q4158" s="9">
        <v>20.377140471637041</v>
      </c>
      <c r="R4158" s="9">
        <v>21.402978767052765</v>
      </c>
      <c r="S4158" s="9">
        <v>22.589768980199143</v>
      </c>
      <c r="T4158" s="9">
        <v>24.040396091340774</v>
      </c>
      <c r="U4158" s="9">
        <v>25.448505028591189</v>
      </c>
      <c r="V4158" s="9">
        <v>25.448505028591189</v>
      </c>
      <c r="W4158" s="9">
        <v>25.448505028591189</v>
      </c>
      <c r="X4158" s="9">
        <v>28.109873114011638</v>
      </c>
      <c r="Y4158" s="9">
        <v>28.109873114011638</v>
      </c>
      <c r="Z4158" s="9">
        <v>30.975097350688763</v>
      </c>
      <c r="AA4158" s="9">
        <v>30.975097350688763</v>
      </c>
      <c r="AB4158" s="9">
        <v>34.370578528895656</v>
      </c>
      <c r="AC4158" s="9">
        <v>34.370578528895656</v>
      </c>
      <c r="AD4158" s="9">
        <v>39.013187474230911</v>
      </c>
      <c r="AE4158" s="9">
        <v>42.452173954636635</v>
      </c>
      <c r="AF4158" s="9">
        <v>47.478364248265585</v>
      </c>
      <c r="AG4158" s="9">
        <v>47.478364248265585</v>
      </c>
      <c r="AH4158" s="9">
        <v>50.815992158664379</v>
      </c>
      <c r="AI4158" s="9">
        <v>54.045500821302042</v>
      </c>
      <c r="AJ4158" s="9">
        <v>3.0428788910505911</v>
      </c>
    </row>
    <row r="4159" spans="1:36" x14ac:dyDescent="0.25">
      <c r="A4159" t="s">
        <v>5411</v>
      </c>
      <c r="B4159" t="s">
        <v>16</v>
      </c>
      <c r="C4159" t="s">
        <v>17</v>
      </c>
      <c r="D4159">
        <v>75810000</v>
      </c>
      <c r="E4159">
        <v>75812999</v>
      </c>
      <c r="F4159" t="s">
        <v>3783</v>
      </c>
      <c r="G4159" t="str">
        <f t="shared" si="128"/>
        <v>GOI</v>
      </c>
      <c r="H4159" t="s">
        <v>3672</v>
      </c>
      <c r="I4159" t="s">
        <v>20</v>
      </c>
      <c r="J4159" t="s">
        <v>62</v>
      </c>
      <c r="K4159" s="6">
        <v>0.03</v>
      </c>
      <c r="L4159" s="7">
        <f t="shared" si="129"/>
        <v>2E-3</v>
      </c>
      <c r="M4159" s="7">
        <v>3.0000000000000001E-3</v>
      </c>
      <c r="N4159">
        <v>9</v>
      </c>
      <c r="O4159" s="8">
        <v>20.377140471637041</v>
      </c>
      <c r="P4159" s="9">
        <v>20.377140471637041</v>
      </c>
      <c r="Q4159" s="9">
        <v>20.377140471637041</v>
      </c>
      <c r="R4159" s="9">
        <v>21.402978767052765</v>
      </c>
      <c r="S4159" s="9">
        <v>22.589768980199143</v>
      </c>
      <c r="T4159" s="9">
        <v>24.040396091340774</v>
      </c>
      <c r="U4159" s="9">
        <v>25.448505028591189</v>
      </c>
      <c r="V4159" s="9">
        <v>25.448505028591189</v>
      </c>
      <c r="W4159" s="9">
        <v>25.448505028591189</v>
      </c>
      <c r="X4159" s="9">
        <v>28.109873114011638</v>
      </c>
      <c r="Y4159" s="9">
        <v>28.109873114011638</v>
      </c>
      <c r="Z4159" s="9">
        <v>30.975097350688763</v>
      </c>
      <c r="AA4159" s="9">
        <v>30.975097350688763</v>
      </c>
      <c r="AB4159" s="9">
        <v>34.370578528895656</v>
      </c>
      <c r="AC4159" s="9">
        <v>34.370578528895656</v>
      </c>
      <c r="AD4159" s="9">
        <v>39.013187474230911</v>
      </c>
      <c r="AE4159" s="9">
        <v>42.452173954636635</v>
      </c>
      <c r="AF4159" s="9">
        <v>47.478364248265585</v>
      </c>
      <c r="AG4159" s="9">
        <v>47.478364248265585</v>
      </c>
      <c r="AH4159" s="9">
        <v>50.815992158664379</v>
      </c>
      <c r="AI4159" s="9">
        <v>54.045500821302042</v>
      </c>
      <c r="AJ4159" s="9">
        <v>3.0428788910505911</v>
      </c>
    </row>
    <row r="4160" spans="1:36" x14ac:dyDescent="0.25">
      <c r="A4160" t="s">
        <v>5411</v>
      </c>
      <c r="B4160" t="s">
        <v>16</v>
      </c>
      <c r="C4160" t="s">
        <v>17</v>
      </c>
      <c r="D4160">
        <v>75813000</v>
      </c>
      <c r="E4160">
        <v>75814999</v>
      </c>
      <c r="F4160" t="s">
        <v>3784</v>
      </c>
      <c r="G4160" t="str">
        <f t="shared" si="128"/>
        <v>GOI</v>
      </c>
      <c r="H4160" t="s">
        <v>3672</v>
      </c>
      <c r="I4160" t="s">
        <v>20</v>
      </c>
      <c r="J4160" t="s">
        <v>62</v>
      </c>
      <c r="K4160" s="6">
        <v>0.03</v>
      </c>
      <c r="L4160" s="7">
        <f t="shared" si="129"/>
        <v>2E-3</v>
      </c>
      <c r="M4160" s="7">
        <v>3.0000000000000001E-3</v>
      </c>
      <c r="N4160">
        <v>9</v>
      </c>
      <c r="O4160" s="8">
        <v>20.377140471637041</v>
      </c>
      <c r="P4160" s="9">
        <v>20.377140471637041</v>
      </c>
      <c r="Q4160" s="9">
        <v>20.377140471637041</v>
      </c>
      <c r="R4160" s="9">
        <v>21.402978767052765</v>
      </c>
      <c r="S4160" s="9">
        <v>22.589768980199143</v>
      </c>
      <c r="T4160" s="9">
        <v>24.040396091340774</v>
      </c>
      <c r="U4160" s="9">
        <v>25.448505028591189</v>
      </c>
      <c r="V4160" s="9">
        <v>25.448505028591189</v>
      </c>
      <c r="W4160" s="9">
        <v>25.448505028591189</v>
      </c>
      <c r="X4160" s="9">
        <v>28.109873114011638</v>
      </c>
      <c r="Y4160" s="9">
        <v>28.109873114011638</v>
      </c>
      <c r="Z4160" s="9">
        <v>30.975097350688763</v>
      </c>
      <c r="AA4160" s="9">
        <v>30.975097350688763</v>
      </c>
      <c r="AB4160" s="9">
        <v>34.370578528895656</v>
      </c>
      <c r="AC4160" s="9">
        <v>34.370578528895656</v>
      </c>
      <c r="AD4160" s="9">
        <v>39.013187474230911</v>
      </c>
      <c r="AE4160" s="9">
        <v>42.452173954636635</v>
      </c>
      <c r="AF4160" s="9">
        <v>47.478364248265585</v>
      </c>
      <c r="AG4160" s="9">
        <v>47.478364248265585</v>
      </c>
      <c r="AH4160" s="9">
        <v>50.815992158664379</v>
      </c>
      <c r="AI4160" s="9">
        <v>54.045500821302042</v>
      </c>
      <c r="AJ4160" s="9">
        <v>3.0428788910505911</v>
      </c>
    </row>
    <row r="4161" spans="1:36" x14ac:dyDescent="0.25">
      <c r="A4161" t="s">
        <v>5411</v>
      </c>
      <c r="B4161" t="s">
        <v>16</v>
      </c>
      <c r="C4161" t="s">
        <v>17</v>
      </c>
      <c r="D4161">
        <v>75815000</v>
      </c>
      <c r="E4161">
        <v>75818999</v>
      </c>
      <c r="F4161" t="s">
        <v>2736</v>
      </c>
      <c r="G4161" t="str">
        <f t="shared" si="128"/>
        <v>GOI</v>
      </c>
      <c r="H4161" t="s">
        <v>3672</v>
      </c>
      <c r="I4161" t="s">
        <v>20</v>
      </c>
      <c r="J4161" t="s">
        <v>62</v>
      </c>
      <c r="K4161" s="6">
        <v>0.03</v>
      </c>
      <c r="L4161" s="7">
        <f t="shared" si="129"/>
        <v>2E-3</v>
      </c>
      <c r="M4161" s="7">
        <v>3.0000000000000001E-3</v>
      </c>
      <c r="N4161">
        <v>9</v>
      </c>
      <c r="O4161" s="8">
        <v>20.377140471637041</v>
      </c>
      <c r="P4161" s="9">
        <v>20.377140471637041</v>
      </c>
      <c r="Q4161" s="9">
        <v>20.377140471637041</v>
      </c>
      <c r="R4161" s="9">
        <v>21.402978767052765</v>
      </c>
      <c r="S4161" s="9">
        <v>22.589768980199143</v>
      </c>
      <c r="T4161" s="9">
        <v>24.040396091340774</v>
      </c>
      <c r="U4161" s="9">
        <v>25.448505028591189</v>
      </c>
      <c r="V4161" s="9">
        <v>25.448505028591189</v>
      </c>
      <c r="W4161" s="9">
        <v>25.448505028591189</v>
      </c>
      <c r="X4161" s="9">
        <v>28.109873114011638</v>
      </c>
      <c r="Y4161" s="9">
        <v>28.109873114011638</v>
      </c>
      <c r="Z4161" s="9">
        <v>30.975097350688763</v>
      </c>
      <c r="AA4161" s="9">
        <v>30.975097350688763</v>
      </c>
      <c r="AB4161" s="9">
        <v>34.370578528895656</v>
      </c>
      <c r="AC4161" s="9">
        <v>34.370578528895656</v>
      </c>
      <c r="AD4161" s="9">
        <v>39.013187474230911</v>
      </c>
      <c r="AE4161" s="9">
        <v>42.452173954636635</v>
      </c>
      <c r="AF4161" s="9">
        <v>47.478364248265585</v>
      </c>
      <c r="AG4161" s="9">
        <v>47.478364248265585</v>
      </c>
      <c r="AH4161" s="9">
        <v>50.815992158664379</v>
      </c>
      <c r="AI4161" s="9">
        <v>54.045500821302042</v>
      </c>
      <c r="AJ4161" s="9">
        <v>3.0428788910505911</v>
      </c>
    </row>
    <row r="4162" spans="1:36" x14ac:dyDescent="0.25">
      <c r="A4162" t="s">
        <v>5411</v>
      </c>
      <c r="B4162" t="s">
        <v>16</v>
      </c>
      <c r="C4162" t="s">
        <v>17</v>
      </c>
      <c r="D4162">
        <v>75819000</v>
      </c>
      <c r="E4162">
        <v>75819999</v>
      </c>
      <c r="F4162" t="s">
        <v>862</v>
      </c>
      <c r="G4162" t="str">
        <f t="shared" si="128"/>
        <v>GOI</v>
      </c>
      <c r="H4162" t="s">
        <v>3672</v>
      </c>
      <c r="I4162" t="s">
        <v>20</v>
      </c>
      <c r="J4162" t="s">
        <v>62</v>
      </c>
      <c r="K4162" s="6">
        <v>0.03</v>
      </c>
      <c r="L4162" s="7">
        <f t="shared" si="129"/>
        <v>2E-3</v>
      </c>
      <c r="M4162" s="7">
        <v>3.0000000000000001E-3</v>
      </c>
      <c r="N4162">
        <v>9</v>
      </c>
      <c r="O4162" s="8">
        <v>20.377140471637041</v>
      </c>
      <c r="P4162" s="9">
        <v>20.377140471637041</v>
      </c>
      <c r="Q4162" s="9">
        <v>20.377140471637041</v>
      </c>
      <c r="R4162" s="9">
        <v>21.402978767052765</v>
      </c>
      <c r="S4162" s="9">
        <v>22.589768980199143</v>
      </c>
      <c r="T4162" s="9">
        <v>24.040396091340774</v>
      </c>
      <c r="U4162" s="9">
        <v>25.448505028591189</v>
      </c>
      <c r="V4162" s="9">
        <v>25.448505028591189</v>
      </c>
      <c r="W4162" s="9">
        <v>25.448505028591189</v>
      </c>
      <c r="X4162" s="9">
        <v>28.109873114011638</v>
      </c>
      <c r="Y4162" s="9">
        <v>28.109873114011638</v>
      </c>
      <c r="Z4162" s="9">
        <v>30.975097350688763</v>
      </c>
      <c r="AA4162" s="9">
        <v>30.975097350688763</v>
      </c>
      <c r="AB4162" s="9">
        <v>34.370578528895656</v>
      </c>
      <c r="AC4162" s="9">
        <v>34.370578528895656</v>
      </c>
      <c r="AD4162" s="9">
        <v>39.013187474230911</v>
      </c>
      <c r="AE4162" s="9">
        <v>42.452173954636635</v>
      </c>
      <c r="AF4162" s="9">
        <v>47.478364248265585</v>
      </c>
      <c r="AG4162" s="9">
        <v>47.478364248265585</v>
      </c>
      <c r="AH4162" s="9">
        <v>50.815992158664379</v>
      </c>
      <c r="AI4162" s="9">
        <v>54.045500821302042</v>
      </c>
      <c r="AJ4162" s="9">
        <v>3.0428788910505911</v>
      </c>
    </row>
    <row r="4163" spans="1:36" x14ac:dyDescent="0.25">
      <c r="A4163" t="s">
        <v>5411</v>
      </c>
      <c r="B4163" t="s">
        <v>16</v>
      </c>
      <c r="C4163" t="s">
        <v>17</v>
      </c>
      <c r="D4163">
        <v>75820000</v>
      </c>
      <c r="E4163">
        <v>75822999</v>
      </c>
      <c r="F4163" t="s">
        <v>3785</v>
      </c>
      <c r="G4163" t="str">
        <f t="shared" si="128"/>
        <v>GOI</v>
      </c>
      <c r="H4163" t="s">
        <v>3672</v>
      </c>
      <c r="I4163" t="s">
        <v>20</v>
      </c>
      <c r="J4163" t="s">
        <v>62</v>
      </c>
      <c r="K4163" s="6">
        <v>0.03</v>
      </c>
      <c r="L4163" s="7">
        <f t="shared" si="129"/>
        <v>2E-3</v>
      </c>
      <c r="M4163" s="7">
        <v>3.0000000000000001E-3</v>
      </c>
      <c r="N4163">
        <v>9</v>
      </c>
      <c r="O4163" s="8">
        <v>20.377140471637041</v>
      </c>
      <c r="P4163" s="9">
        <v>20.377140471637041</v>
      </c>
      <c r="Q4163" s="9">
        <v>20.377140471637041</v>
      </c>
      <c r="R4163" s="9">
        <v>21.402978767052765</v>
      </c>
      <c r="S4163" s="9">
        <v>22.589768980199143</v>
      </c>
      <c r="T4163" s="9">
        <v>24.040396091340774</v>
      </c>
      <c r="U4163" s="9">
        <v>25.448505028591189</v>
      </c>
      <c r="V4163" s="9">
        <v>25.448505028591189</v>
      </c>
      <c r="W4163" s="9">
        <v>25.448505028591189</v>
      </c>
      <c r="X4163" s="9">
        <v>28.109873114011638</v>
      </c>
      <c r="Y4163" s="9">
        <v>28.109873114011638</v>
      </c>
      <c r="Z4163" s="9">
        <v>30.975097350688763</v>
      </c>
      <c r="AA4163" s="9">
        <v>30.975097350688763</v>
      </c>
      <c r="AB4163" s="9">
        <v>34.370578528895656</v>
      </c>
      <c r="AC4163" s="9">
        <v>34.370578528895656</v>
      </c>
      <c r="AD4163" s="9">
        <v>39.013187474230911</v>
      </c>
      <c r="AE4163" s="9">
        <v>42.452173954636635</v>
      </c>
      <c r="AF4163" s="9">
        <v>47.478364248265585</v>
      </c>
      <c r="AG4163" s="9">
        <v>47.478364248265585</v>
      </c>
      <c r="AH4163" s="9">
        <v>50.815992158664379</v>
      </c>
      <c r="AI4163" s="9">
        <v>54.045500821302042</v>
      </c>
      <c r="AJ4163" s="9">
        <v>3.0428788910505911</v>
      </c>
    </row>
    <row r="4164" spans="1:36" x14ac:dyDescent="0.25">
      <c r="A4164" t="s">
        <v>5411</v>
      </c>
      <c r="B4164" t="s">
        <v>16</v>
      </c>
      <c r="C4164" t="s">
        <v>17</v>
      </c>
      <c r="D4164">
        <v>75823000</v>
      </c>
      <c r="E4164">
        <v>75824999</v>
      </c>
      <c r="F4164" t="s">
        <v>3786</v>
      </c>
      <c r="G4164" t="str">
        <f t="shared" ref="G4164:G4227" si="130">H4164&amp;IF(J4164="CAPITAL","C",IF(J4164="INTERIOR","I",IF(J4164="INTERIOR II","I II","R")))</f>
        <v>GOI II</v>
      </c>
      <c r="H4164" t="s">
        <v>3672</v>
      </c>
      <c r="I4164" t="s">
        <v>20</v>
      </c>
      <c r="J4164" t="s">
        <v>64</v>
      </c>
      <c r="K4164" s="6">
        <v>0.03</v>
      </c>
      <c r="L4164" s="7">
        <f t="shared" ref="L4164:L4227" si="131">IF(I4164="(0) Não",0.2%,3%)</f>
        <v>2E-3</v>
      </c>
      <c r="M4164" s="7">
        <v>3.0000000000000001E-3</v>
      </c>
      <c r="N4164">
        <v>9</v>
      </c>
      <c r="O4164" s="8">
        <v>24.12918157169327</v>
      </c>
      <c r="P4164" s="9">
        <v>24.12918157169327</v>
      </c>
      <c r="Q4164" s="9">
        <v>24.12918157169327</v>
      </c>
      <c r="R4164" s="9">
        <v>25.337926603196635</v>
      </c>
      <c r="S4164" s="9">
        <v>26.739125453822282</v>
      </c>
      <c r="T4164" s="9">
        <v>27.918529456871191</v>
      </c>
      <c r="U4164" s="9">
        <v>29.567239706252465</v>
      </c>
      <c r="V4164" s="9">
        <v>29.567239706252465</v>
      </c>
      <c r="W4164" s="9">
        <v>29.567239706252465</v>
      </c>
      <c r="X4164" s="9">
        <v>32.768324265753506</v>
      </c>
      <c r="Y4164" s="9">
        <v>32.768324265753506</v>
      </c>
      <c r="Z4164" s="9">
        <v>36.06659911693589</v>
      </c>
      <c r="AA4164" s="9">
        <v>36.06659911693589</v>
      </c>
      <c r="AB4164" s="9">
        <v>39.471783288967806</v>
      </c>
      <c r="AC4164" s="9">
        <v>39.471783288967806</v>
      </c>
      <c r="AD4164" s="9">
        <v>44.89371961968488</v>
      </c>
      <c r="AE4164" s="9">
        <v>47.788360826374728</v>
      </c>
      <c r="AF4164" s="9">
        <v>50.811128677055613</v>
      </c>
      <c r="AG4164" s="9">
        <v>50.811128677055613</v>
      </c>
      <c r="AH4164" s="9">
        <v>54.808386973888702</v>
      </c>
      <c r="AI4164" s="9">
        <v>57.901475997525047</v>
      </c>
      <c r="AJ4164" s="9">
        <v>3.0428788910505911</v>
      </c>
    </row>
    <row r="4165" spans="1:36" x14ac:dyDescent="0.25">
      <c r="A4165" t="s">
        <v>5411</v>
      </c>
      <c r="B4165" t="s">
        <v>16</v>
      </c>
      <c r="C4165" t="s">
        <v>17</v>
      </c>
      <c r="D4165">
        <v>75825000</v>
      </c>
      <c r="E4165">
        <v>75826999</v>
      </c>
      <c r="F4165" t="s">
        <v>3787</v>
      </c>
      <c r="G4165" t="str">
        <f t="shared" si="130"/>
        <v>GOI</v>
      </c>
      <c r="H4165" t="s">
        <v>3672</v>
      </c>
      <c r="I4165" t="s">
        <v>20</v>
      </c>
      <c r="J4165" t="s">
        <v>62</v>
      </c>
      <c r="K4165" s="6">
        <v>0.03</v>
      </c>
      <c r="L4165" s="7">
        <f t="shared" si="131"/>
        <v>2E-3</v>
      </c>
      <c r="M4165" s="7">
        <v>3.0000000000000001E-3</v>
      </c>
      <c r="N4165">
        <v>9</v>
      </c>
      <c r="O4165" s="8">
        <v>20.377140471637041</v>
      </c>
      <c r="P4165" s="9">
        <v>20.377140471637041</v>
      </c>
      <c r="Q4165" s="9">
        <v>20.377140471637041</v>
      </c>
      <c r="R4165" s="9">
        <v>21.402978767052765</v>
      </c>
      <c r="S4165" s="9">
        <v>22.589768980199143</v>
      </c>
      <c r="T4165" s="9">
        <v>24.040396091340774</v>
      </c>
      <c r="U4165" s="9">
        <v>25.448505028591189</v>
      </c>
      <c r="V4165" s="9">
        <v>25.448505028591189</v>
      </c>
      <c r="W4165" s="9">
        <v>25.448505028591189</v>
      </c>
      <c r="X4165" s="9">
        <v>28.109873114011638</v>
      </c>
      <c r="Y4165" s="9">
        <v>28.109873114011638</v>
      </c>
      <c r="Z4165" s="9">
        <v>30.975097350688763</v>
      </c>
      <c r="AA4165" s="9">
        <v>30.975097350688763</v>
      </c>
      <c r="AB4165" s="9">
        <v>34.370578528895656</v>
      </c>
      <c r="AC4165" s="9">
        <v>34.370578528895656</v>
      </c>
      <c r="AD4165" s="9">
        <v>39.013187474230911</v>
      </c>
      <c r="AE4165" s="9">
        <v>42.452173954636635</v>
      </c>
      <c r="AF4165" s="9">
        <v>47.478364248265585</v>
      </c>
      <c r="AG4165" s="9">
        <v>47.478364248265585</v>
      </c>
      <c r="AH4165" s="9">
        <v>50.815992158664379</v>
      </c>
      <c r="AI4165" s="9">
        <v>54.045500821302042</v>
      </c>
      <c r="AJ4165" s="9">
        <v>3.0428788910505911</v>
      </c>
    </row>
    <row r="4166" spans="1:36" x14ac:dyDescent="0.25">
      <c r="A4166" t="s">
        <v>5411</v>
      </c>
      <c r="B4166" t="s">
        <v>16</v>
      </c>
      <c r="C4166" t="s">
        <v>17</v>
      </c>
      <c r="D4166">
        <v>75827000</v>
      </c>
      <c r="E4166">
        <v>75827999</v>
      </c>
      <c r="F4166" t="s">
        <v>3788</v>
      </c>
      <c r="G4166" t="str">
        <f t="shared" si="130"/>
        <v>GOI</v>
      </c>
      <c r="H4166" t="s">
        <v>3672</v>
      </c>
      <c r="I4166" t="s">
        <v>20</v>
      </c>
      <c r="J4166" t="s">
        <v>62</v>
      </c>
      <c r="K4166" s="6">
        <v>0.03</v>
      </c>
      <c r="L4166" s="7">
        <f t="shared" si="131"/>
        <v>2E-3</v>
      </c>
      <c r="M4166" s="7">
        <v>3.0000000000000001E-3</v>
      </c>
      <c r="N4166">
        <v>9</v>
      </c>
      <c r="O4166" s="8">
        <v>20.377140471637041</v>
      </c>
      <c r="P4166" s="9">
        <v>20.377140471637041</v>
      </c>
      <c r="Q4166" s="9">
        <v>20.377140471637041</v>
      </c>
      <c r="R4166" s="9">
        <v>21.402978767052765</v>
      </c>
      <c r="S4166" s="9">
        <v>22.589768980199143</v>
      </c>
      <c r="T4166" s="9">
        <v>24.040396091340774</v>
      </c>
      <c r="U4166" s="9">
        <v>25.448505028591189</v>
      </c>
      <c r="V4166" s="9">
        <v>25.448505028591189</v>
      </c>
      <c r="W4166" s="9">
        <v>25.448505028591189</v>
      </c>
      <c r="X4166" s="9">
        <v>28.109873114011638</v>
      </c>
      <c r="Y4166" s="9">
        <v>28.109873114011638</v>
      </c>
      <c r="Z4166" s="9">
        <v>30.975097350688763</v>
      </c>
      <c r="AA4166" s="9">
        <v>30.975097350688763</v>
      </c>
      <c r="AB4166" s="9">
        <v>34.370578528895656</v>
      </c>
      <c r="AC4166" s="9">
        <v>34.370578528895656</v>
      </c>
      <c r="AD4166" s="9">
        <v>39.013187474230911</v>
      </c>
      <c r="AE4166" s="9">
        <v>42.452173954636635</v>
      </c>
      <c r="AF4166" s="9">
        <v>47.478364248265585</v>
      </c>
      <c r="AG4166" s="9">
        <v>47.478364248265585</v>
      </c>
      <c r="AH4166" s="9">
        <v>50.815992158664379</v>
      </c>
      <c r="AI4166" s="9">
        <v>54.045500821302042</v>
      </c>
      <c r="AJ4166" s="9">
        <v>3.0428788910505911</v>
      </c>
    </row>
    <row r="4167" spans="1:36" x14ac:dyDescent="0.25">
      <c r="A4167" t="s">
        <v>5411</v>
      </c>
      <c r="B4167" t="s">
        <v>16</v>
      </c>
      <c r="C4167" t="s">
        <v>17</v>
      </c>
      <c r="D4167">
        <v>75828000</v>
      </c>
      <c r="E4167">
        <v>75829999</v>
      </c>
      <c r="F4167" t="s">
        <v>3789</v>
      </c>
      <c r="G4167" t="str">
        <f t="shared" si="130"/>
        <v>GOI II</v>
      </c>
      <c r="H4167" t="s">
        <v>3672</v>
      </c>
      <c r="I4167" t="s">
        <v>20</v>
      </c>
      <c r="J4167" t="s">
        <v>64</v>
      </c>
      <c r="K4167" s="6">
        <v>0.03</v>
      </c>
      <c r="L4167" s="7">
        <f t="shared" si="131"/>
        <v>2E-3</v>
      </c>
      <c r="M4167" s="7">
        <v>3.0000000000000001E-3</v>
      </c>
      <c r="N4167">
        <v>9</v>
      </c>
      <c r="O4167" s="8">
        <v>24.12918157169327</v>
      </c>
      <c r="P4167" s="9">
        <v>24.12918157169327</v>
      </c>
      <c r="Q4167" s="9">
        <v>24.12918157169327</v>
      </c>
      <c r="R4167" s="9">
        <v>25.337926603196635</v>
      </c>
      <c r="S4167" s="9">
        <v>26.739125453822282</v>
      </c>
      <c r="T4167" s="9">
        <v>27.918529456871191</v>
      </c>
      <c r="U4167" s="9">
        <v>29.567239706252465</v>
      </c>
      <c r="V4167" s="9">
        <v>29.567239706252465</v>
      </c>
      <c r="W4167" s="9">
        <v>29.567239706252465</v>
      </c>
      <c r="X4167" s="9">
        <v>32.768324265753506</v>
      </c>
      <c r="Y4167" s="9">
        <v>32.768324265753506</v>
      </c>
      <c r="Z4167" s="9">
        <v>36.06659911693589</v>
      </c>
      <c r="AA4167" s="9">
        <v>36.06659911693589</v>
      </c>
      <c r="AB4167" s="9">
        <v>39.471783288967806</v>
      </c>
      <c r="AC4167" s="9">
        <v>39.471783288967806</v>
      </c>
      <c r="AD4167" s="9">
        <v>44.89371961968488</v>
      </c>
      <c r="AE4167" s="9">
        <v>47.788360826374728</v>
      </c>
      <c r="AF4167" s="9">
        <v>50.811128677055613</v>
      </c>
      <c r="AG4167" s="9">
        <v>50.811128677055613</v>
      </c>
      <c r="AH4167" s="9">
        <v>54.808386973888702</v>
      </c>
      <c r="AI4167" s="9">
        <v>57.901475997525047</v>
      </c>
      <c r="AJ4167" s="9">
        <v>3.0428788910505911</v>
      </c>
    </row>
    <row r="4168" spans="1:36" x14ac:dyDescent="0.25">
      <c r="A4168" t="s">
        <v>5411</v>
      </c>
      <c r="B4168" t="s">
        <v>16</v>
      </c>
      <c r="C4168" t="s">
        <v>17</v>
      </c>
      <c r="D4168">
        <v>75830000</v>
      </c>
      <c r="E4168">
        <v>75839999</v>
      </c>
      <c r="F4168" t="s">
        <v>3790</v>
      </c>
      <c r="G4168" t="str">
        <f t="shared" si="130"/>
        <v>GOI</v>
      </c>
      <c r="H4168" t="s">
        <v>3672</v>
      </c>
      <c r="I4168" t="s">
        <v>20</v>
      </c>
      <c r="J4168" t="s">
        <v>62</v>
      </c>
      <c r="K4168" s="6">
        <v>0.03</v>
      </c>
      <c r="L4168" s="7">
        <f t="shared" si="131"/>
        <v>2E-3</v>
      </c>
      <c r="M4168" s="7">
        <v>3.0000000000000001E-3</v>
      </c>
      <c r="N4168">
        <v>9</v>
      </c>
      <c r="O4168" s="8">
        <v>20.377140471637041</v>
      </c>
      <c r="P4168" s="9">
        <v>20.377140471637041</v>
      </c>
      <c r="Q4168" s="9">
        <v>20.377140471637041</v>
      </c>
      <c r="R4168" s="9">
        <v>21.402978767052765</v>
      </c>
      <c r="S4168" s="9">
        <v>22.589768980199143</v>
      </c>
      <c r="T4168" s="9">
        <v>24.040396091340774</v>
      </c>
      <c r="U4168" s="9">
        <v>25.448505028591189</v>
      </c>
      <c r="V4168" s="9">
        <v>25.448505028591189</v>
      </c>
      <c r="W4168" s="9">
        <v>25.448505028591189</v>
      </c>
      <c r="X4168" s="9">
        <v>28.109873114011638</v>
      </c>
      <c r="Y4168" s="9">
        <v>28.109873114011638</v>
      </c>
      <c r="Z4168" s="9">
        <v>30.975097350688763</v>
      </c>
      <c r="AA4168" s="9">
        <v>30.975097350688763</v>
      </c>
      <c r="AB4168" s="9">
        <v>34.370578528895656</v>
      </c>
      <c r="AC4168" s="9">
        <v>34.370578528895656</v>
      </c>
      <c r="AD4168" s="9">
        <v>39.013187474230911</v>
      </c>
      <c r="AE4168" s="9">
        <v>42.452173954636635</v>
      </c>
      <c r="AF4168" s="9">
        <v>47.478364248265585</v>
      </c>
      <c r="AG4168" s="9">
        <v>47.478364248265585</v>
      </c>
      <c r="AH4168" s="9">
        <v>50.815992158664379</v>
      </c>
      <c r="AI4168" s="9">
        <v>54.045500821302042</v>
      </c>
      <c r="AJ4168" s="9">
        <v>3.0428788910505911</v>
      </c>
    </row>
    <row r="4169" spans="1:36" x14ac:dyDescent="0.25">
      <c r="A4169" t="s">
        <v>5411</v>
      </c>
      <c r="B4169" t="s">
        <v>16</v>
      </c>
      <c r="C4169" t="s">
        <v>17</v>
      </c>
      <c r="D4169">
        <v>75840000</v>
      </c>
      <c r="E4169">
        <v>75842999</v>
      </c>
      <c r="F4169" t="s">
        <v>3791</v>
      </c>
      <c r="G4169" t="str">
        <f t="shared" si="130"/>
        <v>GOI</v>
      </c>
      <c r="H4169" t="s">
        <v>3672</v>
      </c>
      <c r="I4169" t="s">
        <v>20</v>
      </c>
      <c r="J4169" t="s">
        <v>62</v>
      </c>
      <c r="K4169" s="6">
        <v>0.03</v>
      </c>
      <c r="L4169" s="7">
        <f t="shared" si="131"/>
        <v>2E-3</v>
      </c>
      <c r="M4169" s="7">
        <v>3.0000000000000001E-3</v>
      </c>
      <c r="N4169">
        <v>9</v>
      </c>
      <c r="O4169" s="8">
        <v>20.377140471637041</v>
      </c>
      <c r="P4169" s="9">
        <v>20.377140471637041</v>
      </c>
      <c r="Q4169" s="9">
        <v>20.377140471637041</v>
      </c>
      <c r="R4169" s="9">
        <v>21.402978767052765</v>
      </c>
      <c r="S4169" s="9">
        <v>22.589768980199143</v>
      </c>
      <c r="T4169" s="9">
        <v>24.040396091340774</v>
      </c>
      <c r="U4169" s="9">
        <v>25.448505028591189</v>
      </c>
      <c r="V4169" s="9">
        <v>25.448505028591189</v>
      </c>
      <c r="W4169" s="9">
        <v>25.448505028591189</v>
      </c>
      <c r="X4169" s="9">
        <v>28.109873114011638</v>
      </c>
      <c r="Y4169" s="9">
        <v>28.109873114011638</v>
      </c>
      <c r="Z4169" s="9">
        <v>30.975097350688763</v>
      </c>
      <c r="AA4169" s="9">
        <v>30.975097350688763</v>
      </c>
      <c r="AB4169" s="9">
        <v>34.370578528895656</v>
      </c>
      <c r="AC4169" s="9">
        <v>34.370578528895656</v>
      </c>
      <c r="AD4169" s="9">
        <v>39.013187474230911</v>
      </c>
      <c r="AE4169" s="9">
        <v>42.452173954636635</v>
      </c>
      <c r="AF4169" s="9">
        <v>47.478364248265585</v>
      </c>
      <c r="AG4169" s="9">
        <v>47.478364248265585</v>
      </c>
      <c r="AH4169" s="9">
        <v>50.815992158664379</v>
      </c>
      <c r="AI4169" s="9">
        <v>54.045500821302042</v>
      </c>
      <c r="AJ4169" s="9">
        <v>3.0428788910505911</v>
      </c>
    </row>
    <row r="4170" spans="1:36" x14ac:dyDescent="0.25">
      <c r="A4170" t="s">
        <v>5411</v>
      </c>
      <c r="B4170" t="s">
        <v>16</v>
      </c>
      <c r="C4170" t="s">
        <v>17</v>
      </c>
      <c r="D4170">
        <v>75843000</v>
      </c>
      <c r="E4170">
        <v>75844999</v>
      </c>
      <c r="F4170" t="s">
        <v>3792</v>
      </c>
      <c r="G4170" t="str">
        <f t="shared" si="130"/>
        <v>GOI II</v>
      </c>
      <c r="H4170" t="s">
        <v>3672</v>
      </c>
      <c r="I4170" t="s">
        <v>20</v>
      </c>
      <c r="J4170" t="s">
        <v>64</v>
      </c>
      <c r="K4170" s="6">
        <v>0.03</v>
      </c>
      <c r="L4170" s="7">
        <f t="shared" si="131"/>
        <v>2E-3</v>
      </c>
      <c r="M4170" s="7">
        <v>3.0000000000000001E-3</v>
      </c>
      <c r="N4170">
        <v>9</v>
      </c>
      <c r="O4170" s="8">
        <v>24.12918157169327</v>
      </c>
      <c r="P4170" s="9">
        <v>24.12918157169327</v>
      </c>
      <c r="Q4170" s="9">
        <v>24.12918157169327</v>
      </c>
      <c r="R4170" s="9">
        <v>25.337926603196635</v>
      </c>
      <c r="S4170" s="9">
        <v>26.739125453822282</v>
      </c>
      <c r="T4170" s="9">
        <v>27.918529456871191</v>
      </c>
      <c r="U4170" s="9">
        <v>29.567239706252465</v>
      </c>
      <c r="V4170" s="9">
        <v>29.567239706252465</v>
      </c>
      <c r="W4170" s="9">
        <v>29.567239706252465</v>
      </c>
      <c r="X4170" s="9">
        <v>32.768324265753506</v>
      </c>
      <c r="Y4170" s="9">
        <v>32.768324265753506</v>
      </c>
      <c r="Z4170" s="9">
        <v>36.06659911693589</v>
      </c>
      <c r="AA4170" s="9">
        <v>36.06659911693589</v>
      </c>
      <c r="AB4170" s="9">
        <v>39.471783288967806</v>
      </c>
      <c r="AC4170" s="9">
        <v>39.471783288967806</v>
      </c>
      <c r="AD4170" s="9">
        <v>44.89371961968488</v>
      </c>
      <c r="AE4170" s="9">
        <v>47.788360826374728</v>
      </c>
      <c r="AF4170" s="9">
        <v>50.811128677055613</v>
      </c>
      <c r="AG4170" s="9">
        <v>50.811128677055613</v>
      </c>
      <c r="AH4170" s="9">
        <v>54.808386973888702</v>
      </c>
      <c r="AI4170" s="9">
        <v>57.901475997525047</v>
      </c>
      <c r="AJ4170" s="9">
        <v>3.0428788910505911</v>
      </c>
    </row>
    <row r="4171" spans="1:36" x14ac:dyDescent="0.25">
      <c r="A4171" t="s">
        <v>5411</v>
      </c>
      <c r="B4171" t="s">
        <v>16</v>
      </c>
      <c r="C4171" t="s">
        <v>17</v>
      </c>
      <c r="D4171">
        <v>75845000</v>
      </c>
      <c r="E4171">
        <v>75849999</v>
      </c>
      <c r="F4171" t="s">
        <v>3793</v>
      </c>
      <c r="G4171" t="str">
        <f t="shared" si="130"/>
        <v>GOI II</v>
      </c>
      <c r="H4171" t="s">
        <v>3672</v>
      </c>
      <c r="I4171" t="s">
        <v>20</v>
      </c>
      <c r="J4171" t="s">
        <v>64</v>
      </c>
      <c r="K4171" s="6">
        <v>0.03</v>
      </c>
      <c r="L4171" s="7">
        <f t="shared" si="131"/>
        <v>2E-3</v>
      </c>
      <c r="M4171" s="7">
        <v>3.0000000000000001E-3</v>
      </c>
      <c r="N4171">
        <v>14</v>
      </c>
      <c r="O4171" s="8">
        <v>24.12918157169327</v>
      </c>
      <c r="P4171" s="9">
        <v>24.12918157169327</v>
      </c>
      <c r="Q4171" s="9">
        <v>24.12918157169327</v>
      </c>
      <c r="R4171" s="9">
        <v>25.337926603196635</v>
      </c>
      <c r="S4171" s="9">
        <v>26.739125453822282</v>
      </c>
      <c r="T4171" s="9">
        <v>27.918529456871191</v>
      </c>
      <c r="U4171" s="9">
        <v>29.567239706252465</v>
      </c>
      <c r="V4171" s="9">
        <v>29.567239706252465</v>
      </c>
      <c r="W4171" s="9">
        <v>29.567239706252465</v>
      </c>
      <c r="X4171" s="9">
        <v>32.768324265753506</v>
      </c>
      <c r="Y4171" s="9">
        <v>32.768324265753506</v>
      </c>
      <c r="Z4171" s="9">
        <v>36.06659911693589</v>
      </c>
      <c r="AA4171" s="9">
        <v>36.06659911693589</v>
      </c>
      <c r="AB4171" s="9">
        <v>39.471783288967806</v>
      </c>
      <c r="AC4171" s="9">
        <v>39.471783288967806</v>
      </c>
      <c r="AD4171" s="9">
        <v>44.89371961968488</v>
      </c>
      <c r="AE4171" s="9">
        <v>47.788360826374728</v>
      </c>
      <c r="AF4171" s="9">
        <v>50.811128677055613</v>
      </c>
      <c r="AG4171" s="9">
        <v>50.811128677055613</v>
      </c>
      <c r="AH4171" s="9">
        <v>54.808386973888702</v>
      </c>
      <c r="AI4171" s="9">
        <v>57.901475997525047</v>
      </c>
      <c r="AJ4171" s="9">
        <v>3.0428788910505911</v>
      </c>
    </row>
    <row r="4172" spans="1:36" x14ac:dyDescent="0.25">
      <c r="A4172" t="s">
        <v>5411</v>
      </c>
      <c r="B4172" t="s">
        <v>16</v>
      </c>
      <c r="C4172" t="s">
        <v>17</v>
      </c>
      <c r="D4172">
        <v>75850000</v>
      </c>
      <c r="E4172">
        <v>75854999</v>
      </c>
      <c r="F4172" t="s">
        <v>3794</v>
      </c>
      <c r="G4172" t="str">
        <f t="shared" si="130"/>
        <v>GOI II</v>
      </c>
      <c r="H4172" t="s">
        <v>3672</v>
      </c>
      <c r="I4172" t="s">
        <v>20</v>
      </c>
      <c r="J4172" t="s">
        <v>64</v>
      </c>
      <c r="K4172" s="6">
        <v>0.03</v>
      </c>
      <c r="L4172" s="7">
        <f t="shared" si="131"/>
        <v>2E-3</v>
      </c>
      <c r="M4172" s="7">
        <v>3.0000000000000001E-3</v>
      </c>
      <c r="N4172">
        <v>14</v>
      </c>
      <c r="O4172" s="8">
        <v>24.12918157169327</v>
      </c>
      <c r="P4172" s="9">
        <v>24.12918157169327</v>
      </c>
      <c r="Q4172" s="9">
        <v>24.12918157169327</v>
      </c>
      <c r="R4172" s="9">
        <v>25.337926603196635</v>
      </c>
      <c r="S4172" s="9">
        <v>26.739125453822282</v>
      </c>
      <c r="T4172" s="9">
        <v>27.918529456871191</v>
      </c>
      <c r="U4172" s="9">
        <v>29.567239706252465</v>
      </c>
      <c r="V4172" s="9">
        <v>29.567239706252465</v>
      </c>
      <c r="W4172" s="9">
        <v>29.567239706252465</v>
      </c>
      <c r="X4172" s="9">
        <v>32.768324265753506</v>
      </c>
      <c r="Y4172" s="9">
        <v>32.768324265753506</v>
      </c>
      <c r="Z4172" s="9">
        <v>36.06659911693589</v>
      </c>
      <c r="AA4172" s="9">
        <v>36.06659911693589</v>
      </c>
      <c r="AB4172" s="9">
        <v>39.471783288967806</v>
      </c>
      <c r="AC4172" s="9">
        <v>39.471783288967806</v>
      </c>
      <c r="AD4172" s="9">
        <v>44.89371961968488</v>
      </c>
      <c r="AE4172" s="9">
        <v>47.788360826374728</v>
      </c>
      <c r="AF4172" s="9">
        <v>50.811128677055613</v>
      </c>
      <c r="AG4172" s="9">
        <v>50.811128677055613</v>
      </c>
      <c r="AH4172" s="9">
        <v>54.808386973888702</v>
      </c>
      <c r="AI4172" s="9">
        <v>57.901475997525047</v>
      </c>
      <c r="AJ4172" s="9">
        <v>3.0428788910505911</v>
      </c>
    </row>
    <row r="4173" spans="1:36" x14ac:dyDescent="0.25">
      <c r="A4173" t="s">
        <v>5411</v>
      </c>
      <c r="B4173" t="s">
        <v>16</v>
      </c>
      <c r="C4173" t="s">
        <v>17</v>
      </c>
      <c r="D4173">
        <v>75855000</v>
      </c>
      <c r="E4173">
        <v>75859999</v>
      </c>
      <c r="F4173" t="s">
        <v>3795</v>
      </c>
      <c r="G4173" t="str">
        <f t="shared" si="130"/>
        <v>GOI II</v>
      </c>
      <c r="H4173" t="s">
        <v>3672</v>
      </c>
      <c r="I4173" t="s">
        <v>20</v>
      </c>
      <c r="J4173" t="s">
        <v>64</v>
      </c>
      <c r="K4173" s="6">
        <v>0.03</v>
      </c>
      <c r="L4173" s="7">
        <f t="shared" si="131"/>
        <v>2E-3</v>
      </c>
      <c r="M4173" s="7">
        <v>3.0000000000000001E-3</v>
      </c>
      <c r="N4173">
        <v>14</v>
      </c>
      <c r="O4173" s="8">
        <v>24.12918157169327</v>
      </c>
      <c r="P4173" s="9">
        <v>24.12918157169327</v>
      </c>
      <c r="Q4173" s="9">
        <v>24.12918157169327</v>
      </c>
      <c r="R4173" s="9">
        <v>25.337926603196635</v>
      </c>
      <c r="S4173" s="9">
        <v>26.739125453822282</v>
      </c>
      <c r="T4173" s="9">
        <v>27.918529456871191</v>
      </c>
      <c r="U4173" s="9">
        <v>29.567239706252465</v>
      </c>
      <c r="V4173" s="9">
        <v>29.567239706252465</v>
      </c>
      <c r="W4173" s="9">
        <v>29.567239706252465</v>
      </c>
      <c r="X4173" s="9">
        <v>32.768324265753506</v>
      </c>
      <c r="Y4173" s="9">
        <v>32.768324265753506</v>
      </c>
      <c r="Z4173" s="9">
        <v>36.06659911693589</v>
      </c>
      <c r="AA4173" s="9">
        <v>36.06659911693589</v>
      </c>
      <c r="AB4173" s="9">
        <v>39.471783288967806</v>
      </c>
      <c r="AC4173" s="9">
        <v>39.471783288967806</v>
      </c>
      <c r="AD4173" s="9">
        <v>44.89371961968488</v>
      </c>
      <c r="AE4173" s="9">
        <v>47.788360826374728</v>
      </c>
      <c r="AF4173" s="9">
        <v>50.811128677055613</v>
      </c>
      <c r="AG4173" s="9">
        <v>50.811128677055613</v>
      </c>
      <c r="AH4173" s="9">
        <v>54.808386973888702</v>
      </c>
      <c r="AI4173" s="9">
        <v>57.901475997525047</v>
      </c>
      <c r="AJ4173" s="9">
        <v>3.0428788910505911</v>
      </c>
    </row>
    <row r="4174" spans="1:36" x14ac:dyDescent="0.25">
      <c r="A4174" t="s">
        <v>5411</v>
      </c>
      <c r="B4174" t="s">
        <v>16</v>
      </c>
      <c r="C4174" t="s">
        <v>17</v>
      </c>
      <c r="D4174">
        <v>75860000</v>
      </c>
      <c r="E4174">
        <v>75864999</v>
      </c>
      <c r="F4174" t="s">
        <v>3796</v>
      </c>
      <c r="G4174" t="str">
        <f t="shared" si="130"/>
        <v>GOI</v>
      </c>
      <c r="H4174" t="s">
        <v>3672</v>
      </c>
      <c r="I4174" t="s">
        <v>20</v>
      </c>
      <c r="J4174" t="s">
        <v>62</v>
      </c>
      <c r="K4174" s="6">
        <v>0.03</v>
      </c>
      <c r="L4174" s="7">
        <f t="shared" si="131"/>
        <v>2E-3</v>
      </c>
      <c r="M4174" s="7">
        <v>3.0000000000000001E-3</v>
      </c>
      <c r="N4174">
        <v>9</v>
      </c>
      <c r="O4174" s="8">
        <v>20.377140471637041</v>
      </c>
      <c r="P4174" s="9">
        <v>20.377140471637041</v>
      </c>
      <c r="Q4174" s="9">
        <v>20.377140471637041</v>
      </c>
      <c r="R4174" s="9">
        <v>21.402978767052765</v>
      </c>
      <c r="S4174" s="9">
        <v>22.589768980199143</v>
      </c>
      <c r="T4174" s="9">
        <v>24.040396091340774</v>
      </c>
      <c r="U4174" s="9">
        <v>25.448505028591189</v>
      </c>
      <c r="V4174" s="9">
        <v>25.448505028591189</v>
      </c>
      <c r="W4174" s="9">
        <v>25.448505028591189</v>
      </c>
      <c r="X4174" s="9">
        <v>28.109873114011638</v>
      </c>
      <c r="Y4174" s="9">
        <v>28.109873114011638</v>
      </c>
      <c r="Z4174" s="9">
        <v>30.975097350688763</v>
      </c>
      <c r="AA4174" s="9">
        <v>30.975097350688763</v>
      </c>
      <c r="AB4174" s="9">
        <v>34.370578528895656</v>
      </c>
      <c r="AC4174" s="9">
        <v>34.370578528895656</v>
      </c>
      <c r="AD4174" s="9">
        <v>39.013187474230911</v>
      </c>
      <c r="AE4174" s="9">
        <v>42.452173954636635</v>
      </c>
      <c r="AF4174" s="9">
        <v>47.478364248265585</v>
      </c>
      <c r="AG4174" s="9">
        <v>47.478364248265585</v>
      </c>
      <c r="AH4174" s="9">
        <v>50.815992158664379</v>
      </c>
      <c r="AI4174" s="9">
        <v>54.045500821302042</v>
      </c>
      <c r="AJ4174" s="9">
        <v>3.0428788910505911</v>
      </c>
    </row>
    <row r="4175" spans="1:36" x14ac:dyDescent="0.25">
      <c r="A4175" t="s">
        <v>5411</v>
      </c>
      <c r="B4175" t="s">
        <v>16</v>
      </c>
      <c r="C4175" t="s">
        <v>17</v>
      </c>
      <c r="D4175">
        <v>75865000</v>
      </c>
      <c r="E4175">
        <v>75869999</v>
      </c>
      <c r="F4175" t="s">
        <v>3797</v>
      </c>
      <c r="G4175" t="str">
        <f t="shared" si="130"/>
        <v>GOI</v>
      </c>
      <c r="H4175" t="s">
        <v>3672</v>
      </c>
      <c r="I4175" t="s">
        <v>20</v>
      </c>
      <c r="J4175" t="s">
        <v>62</v>
      </c>
      <c r="K4175" s="6">
        <v>0.03</v>
      </c>
      <c r="L4175" s="7">
        <f t="shared" si="131"/>
        <v>2E-3</v>
      </c>
      <c r="M4175" s="7">
        <v>3.0000000000000001E-3</v>
      </c>
      <c r="N4175">
        <v>9</v>
      </c>
      <c r="O4175" s="8">
        <v>20.377140471637041</v>
      </c>
      <c r="P4175" s="9">
        <v>20.377140471637041</v>
      </c>
      <c r="Q4175" s="9">
        <v>20.377140471637041</v>
      </c>
      <c r="R4175" s="9">
        <v>21.402978767052765</v>
      </c>
      <c r="S4175" s="9">
        <v>22.589768980199143</v>
      </c>
      <c r="T4175" s="9">
        <v>24.040396091340774</v>
      </c>
      <c r="U4175" s="9">
        <v>25.448505028591189</v>
      </c>
      <c r="V4175" s="9">
        <v>25.448505028591189</v>
      </c>
      <c r="W4175" s="9">
        <v>25.448505028591189</v>
      </c>
      <c r="X4175" s="9">
        <v>28.109873114011638</v>
      </c>
      <c r="Y4175" s="9">
        <v>28.109873114011638</v>
      </c>
      <c r="Z4175" s="9">
        <v>30.975097350688763</v>
      </c>
      <c r="AA4175" s="9">
        <v>30.975097350688763</v>
      </c>
      <c r="AB4175" s="9">
        <v>34.370578528895656</v>
      </c>
      <c r="AC4175" s="9">
        <v>34.370578528895656</v>
      </c>
      <c r="AD4175" s="9">
        <v>39.013187474230911</v>
      </c>
      <c r="AE4175" s="9">
        <v>42.452173954636635</v>
      </c>
      <c r="AF4175" s="9">
        <v>47.478364248265585</v>
      </c>
      <c r="AG4175" s="9">
        <v>47.478364248265585</v>
      </c>
      <c r="AH4175" s="9">
        <v>50.815992158664379</v>
      </c>
      <c r="AI4175" s="9">
        <v>54.045500821302042</v>
      </c>
      <c r="AJ4175" s="9">
        <v>3.0428788910505911</v>
      </c>
    </row>
    <row r="4176" spans="1:36" x14ac:dyDescent="0.25">
      <c r="A4176" t="s">
        <v>5411</v>
      </c>
      <c r="B4176" t="s">
        <v>16</v>
      </c>
      <c r="C4176" t="s">
        <v>17</v>
      </c>
      <c r="D4176">
        <v>75870000</v>
      </c>
      <c r="E4176">
        <v>75879999</v>
      </c>
      <c r="F4176" t="s">
        <v>3798</v>
      </c>
      <c r="G4176" t="str">
        <f t="shared" si="130"/>
        <v>GOI</v>
      </c>
      <c r="H4176" t="s">
        <v>3672</v>
      </c>
      <c r="I4176" t="s">
        <v>20</v>
      </c>
      <c r="J4176" t="s">
        <v>62</v>
      </c>
      <c r="K4176" s="6">
        <v>0.03</v>
      </c>
      <c r="L4176" s="7">
        <f t="shared" si="131"/>
        <v>2E-3</v>
      </c>
      <c r="M4176" s="7">
        <v>3.0000000000000001E-3</v>
      </c>
      <c r="N4176">
        <v>9</v>
      </c>
      <c r="O4176" s="8">
        <v>20.377140471637041</v>
      </c>
      <c r="P4176" s="9">
        <v>20.377140471637041</v>
      </c>
      <c r="Q4176" s="9">
        <v>20.377140471637041</v>
      </c>
      <c r="R4176" s="9">
        <v>21.402978767052765</v>
      </c>
      <c r="S4176" s="9">
        <v>22.589768980199143</v>
      </c>
      <c r="T4176" s="9">
        <v>24.040396091340774</v>
      </c>
      <c r="U4176" s="9">
        <v>25.448505028591189</v>
      </c>
      <c r="V4176" s="9">
        <v>25.448505028591189</v>
      </c>
      <c r="W4176" s="9">
        <v>25.448505028591189</v>
      </c>
      <c r="X4176" s="9">
        <v>28.109873114011638</v>
      </c>
      <c r="Y4176" s="9">
        <v>28.109873114011638</v>
      </c>
      <c r="Z4176" s="9">
        <v>30.975097350688763</v>
      </c>
      <c r="AA4176" s="9">
        <v>30.975097350688763</v>
      </c>
      <c r="AB4176" s="9">
        <v>34.370578528895656</v>
      </c>
      <c r="AC4176" s="9">
        <v>34.370578528895656</v>
      </c>
      <c r="AD4176" s="9">
        <v>39.013187474230911</v>
      </c>
      <c r="AE4176" s="9">
        <v>42.452173954636635</v>
      </c>
      <c r="AF4176" s="9">
        <v>47.478364248265585</v>
      </c>
      <c r="AG4176" s="9">
        <v>47.478364248265585</v>
      </c>
      <c r="AH4176" s="9">
        <v>50.815992158664379</v>
      </c>
      <c r="AI4176" s="9">
        <v>54.045500821302042</v>
      </c>
      <c r="AJ4176" s="9">
        <v>3.0428788910505911</v>
      </c>
    </row>
    <row r="4177" spans="1:36" x14ac:dyDescent="0.25">
      <c r="A4177" t="s">
        <v>5411</v>
      </c>
      <c r="B4177" t="s">
        <v>16</v>
      </c>
      <c r="C4177" t="s">
        <v>17</v>
      </c>
      <c r="D4177">
        <v>75880000</v>
      </c>
      <c r="E4177">
        <v>75889999</v>
      </c>
      <c r="F4177" t="s">
        <v>3799</v>
      </c>
      <c r="G4177" t="str">
        <f t="shared" si="130"/>
        <v>GOI</v>
      </c>
      <c r="H4177" t="s">
        <v>3672</v>
      </c>
      <c r="I4177" t="s">
        <v>20</v>
      </c>
      <c r="J4177" t="s">
        <v>62</v>
      </c>
      <c r="K4177" s="6">
        <v>0.03</v>
      </c>
      <c r="L4177" s="7">
        <f t="shared" si="131"/>
        <v>2E-3</v>
      </c>
      <c r="M4177" s="7">
        <v>3.0000000000000001E-3</v>
      </c>
      <c r="N4177">
        <v>9</v>
      </c>
      <c r="O4177" s="8">
        <v>20.377140471637041</v>
      </c>
      <c r="P4177" s="9">
        <v>20.377140471637041</v>
      </c>
      <c r="Q4177" s="9">
        <v>20.377140471637041</v>
      </c>
      <c r="R4177" s="9">
        <v>21.402978767052765</v>
      </c>
      <c r="S4177" s="9">
        <v>22.589768980199143</v>
      </c>
      <c r="T4177" s="9">
        <v>24.040396091340774</v>
      </c>
      <c r="U4177" s="9">
        <v>25.448505028591189</v>
      </c>
      <c r="V4177" s="9">
        <v>25.448505028591189</v>
      </c>
      <c r="W4177" s="9">
        <v>25.448505028591189</v>
      </c>
      <c r="X4177" s="9">
        <v>28.109873114011638</v>
      </c>
      <c r="Y4177" s="9">
        <v>28.109873114011638</v>
      </c>
      <c r="Z4177" s="9">
        <v>30.975097350688763</v>
      </c>
      <c r="AA4177" s="9">
        <v>30.975097350688763</v>
      </c>
      <c r="AB4177" s="9">
        <v>34.370578528895656</v>
      </c>
      <c r="AC4177" s="9">
        <v>34.370578528895656</v>
      </c>
      <c r="AD4177" s="9">
        <v>39.013187474230911</v>
      </c>
      <c r="AE4177" s="9">
        <v>42.452173954636635</v>
      </c>
      <c r="AF4177" s="9">
        <v>47.478364248265585</v>
      </c>
      <c r="AG4177" s="9">
        <v>47.478364248265585</v>
      </c>
      <c r="AH4177" s="9">
        <v>50.815992158664379</v>
      </c>
      <c r="AI4177" s="9">
        <v>54.045500821302042</v>
      </c>
      <c r="AJ4177" s="9">
        <v>3.0428788910505911</v>
      </c>
    </row>
    <row r="4178" spans="1:36" x14ac:dyDescent="0.25">
      <c r="A4178" t="s">
        <v>5411</v>
      </c>
      <c r="B4178" t="s">
        <v>16</v>
      </c>
      <c r="C4178" t="s">
        <v>17</v>
      </c>
      <c r="D4178">
        <v>75890000</v>
      </c>
      <c r="E4178">
        <v>75899999</v>
      </c>
      <c r="F4178" t="s">
        <v>226</v>
      </c>
      <c r="G4178" t="str">
        <f t="shared" si="130"/>
        <v>GOI</v>
      </c>
      <c r="H4178" t="s">
        <v>3672</v>
      </c>
      <c r="I4178" t="s">
        <v>20</v>
      </c>
      <c r="J4178" t="s">
        <v>62</v>
      </c>
      <c r="K4178" s="6">
        <v>0.03</v>
      </c>
      <c r="L4178" s="7">
        <f t="shared" si="131"/>
        <v>2E-3</v>
      </c>
      <c r="M4178" s="7">
        <v>3.0000000000000001E-3</v>
      </c>
      <c r="N4178">
        <v>9</v>
      </c>
      <c r="O4178" s="8">
        <v>20.377140471637041</v>
      </c>
      <c r="P4178" s="9">
        <v>20.377140471637041</v>
      </c>
      <c r="Q4178" s="9">
        <v>20.377140471637041</v>
      </c>
      <c r="R4178" s="9">
        <v>21.402978767052765</v>
      </c>
      <c r="S4178" s="9">
        <v>22.589768980199143</v>
      </c>
      <c r="T4178" s="9">
        <v>24.040396091340774</v>
      </c>
      <c r="U4178" s="9">
        <v>25.448505028591189</v>
      </c>
      <c r="V4178" s="9">
        <v>25.448505028591189</v>
      </c>
      <c r="W4178" s="9">
        <v>25.448505028591189</v>
      </c>
      <c r="X4178" s="9">
        <v>28.109873114011638</v>
      </c>
      <c r="Y4178" s="9">
        <v>28.109873114011638</v>
      </c>
      <c r="Z4178" s="9">
        <v>30.975097350688763</v>
      </c>
      <c r="AA4178" s="9">
        <v>30.975097350688763</v>
      </c>
      <c r="AB4178" s="9">
        <v>34.370578528895656</v>
      </c>
      <c r="AC4178" s="9">
        <v>34.370578528895656</v>
      </c>
      <c r="AD4178" s="9">
        <v>39.013187474230911</v>
      </c>
      <c r="AE4178" s="9">
        <v>42.452173954636635</v>
      </c>
      <c r="AF4178" s="9">
        <v>47.478364248265585</v>
      </c>
      <c r="AG4178" s="9">
        <v>47.478364248265585</v>
      </c>
      <c r="AH4178" s="9">
        <v>50.815992158664379</v>
      </c>
      <c r="AI4178" s="9">
        <v>54.045500821302042</v>
      </c>
      <c r="AJ4178" s="9">
        <v>3.0428788910505911</v>
      </c>
    </row>
    <row r="4179" spans="1:36" x14ac:dyDescent="0.25">
      <c r="A4179" t="s">
        <v>5411</v>
      </c>
      <c r="B4179" t="s">
        <v>16</v>
      </c>
      <c r="C4179" t="s">
        <v>17</v>
      </c>
      <c r="D4179">
        <v>75900000</v>
      </c>
      <c r="E4179">
        <v>75913999</v>
      </c>
      <c r="F4179" t="s">
        <v>3800</v>
      </c>
      <c r="G4179" t="str">
        <f t="shared" si="130"/>
        <v>GOI</v>
      </c>
      <c r="H4179" t="s">
        <v>3672</v>
      </c>
      <c r="I4179" t="s">
        <v>20</v>
      </c>
      <c r="J4179" t="s">
        <v>62</v>
      </c>
      <c r="K4179" s="6">
        <v>0.03</v>
      </c>
      <c r="L4179" s="7">
        <f t="shared" si="131"/>
        <v>2E-3</v>
      </c>
      <c r="M4179" s="7">
        <v>3.0000000000000001E-3</v>
      </c>
      <c r="N4179">
        <v>9</v>
      </c>
      <c r="O4179" s="8">
        <v>20.377140471637041</v>
      </c>
      <c r="P4179" s="9">
        <v>20.377140471637041</v>
      </c>
      <c r="Q4179" s="9">
        <v>20.377140471637041</v>
      </c>
      <c r="R4179" s="9">
        <v>21.402978767052765</v>
      </c>
      <c r="S4179" s="9">
        <v>22.589768980199143</v>
      </c>
      <c r="T4179" s="9">
        <v>24.040396091340774</v>
      </c>
      <c r="U4179" s="9">
        <v>25.448505028591189</v>
      </c>
      <c r="V4179" s="9">
        <v>25.448505028591189</v>
      </c>
      <c r="W4179" s="9">
        <v>25.448505028591189</v>
      </c>
      <c r="X4179" s="9">
        <v>28.109873114011638</v>
      </c>
      <c r="Y4179" s="9">
        <v>28.109873114011638</v>
      </c>
      <c r="Z4179" s="9">
        <v>30.975097350688763</v>
      </c>
      <c r="AA4179" s="9">
        <v>30.975097350688763</v>
      </c>
      <c r="AB4179" s="9">
        <v>34.370578528895656</v>
      </c>
      <c r="AC4179" s="9">
        <v>34.370578528895656</v>
      </c>
      <c r="AD4179" s="9">
        <v>39.013187474230911</v>
      </c>
      <c r="AE4179" s="9">
        <v>42.452173954636635</v>
      </c>
      <c r="AF4179" s="9">
        <v>47.478364248265585</v>
      </c>
      <c r="AG4179" s="9">
        <v>47.478364248265585</v>
      </c>
      <c r="AH4179" s="9">
        <v>50.815992158664379</v>
      </c>
      <c r="AI4179" s="9">
        <v>54.045500821302042</v>
      </c>
      <c r="AJ4179" s="9">
        <v>3.0428788910505911</v>
      </c>
    </row>
    <row r="4180" spans="1:36" x14ac:dyDescent="0.25">
      <c r="A4180" t="s">
        <v>5411</v>
      </c>
      <c r="B4180" t="s">
        <v>16</v>
      </c>
      <c r="C4180" t="s">
        <v>17</v>
      </c>
      <c r="D4180">
        <v>75914000</v>
      </c>
      <c r="E4180">
        <v>75919999</v>
      </c>
      <c r="F4180" t="s">
        <v>3801</v>
      </c>
      <c r="G4180" t="str">
        <f t="shared" si="130"/>
        <v>GOI II</v>
      </c>
      <c r="H4180" t="s">
        <v>3672</v>
      </c>
      <c r="I4180" t="s">
        <v>20</v>
      </c>
      <c r="J4180" t="s">
        <v>64</v>
      </c>
      <c r="K4180" s="6">
        <v>0.03</v>
      </c>
      <c r="L4180" s="7">
        <f t="shared" si="131"/>
        <v>2E-3</v>
      </c>
      <c r="M4180" s="7">
        <v>3.0000000000000001E-3</v>
      </c>
      <c r="N4180">
        <v>12</v>
      </c>
      <c r="O4180" s="8">
        <v>24.12918157169327</v>
      </c>
      <c r="P4180" s="9">
        <v>24.12918157169327</v>
      </c>
      <c r="Q4180" s="9">
        <v>24.12918157169327</v>
      </c>
      <c r="R4180" s="9">
        <v>25.337926603196635</v>
      </c>
      <c r="S4180" s="9">
        <v>26.739125453822282</v>
      </c>
      <c r="T4180" s="9">
        <v>27.918529456871191</v>
      </c>
      <c r="U4180" s="9">
        <v>29.567239706252465</v>
      </c>
      <c r="V4180" s="9">
        <v>29.567239706252465</v>
      </c>
      <c r="W4180" s="9">
        <v>29.567239706252465</v>
      </c>
      <c r="X4180" s="9">
        <v>32.768324265753506</v>
      </c>
      <c r="Y4180" s="9">
        <v>32.768324265753506</v>
      </c>
      <c r="Z4180" s="9">
        <v>36.06659911693589</v>
      </c>
      <c r="AA4180" s="9">
        <v>36.06659911693589</v>
      </c>
      <c r="AB4180" s="9">
        <v>39.471783288967806</v>
      </c>
      <c r="AC4180" s="9">
        <v>39.471783288967806</v>
      </c>
      <c r="AD4180" s="9">
        <v>44.89371961968488</v>
      </c>
      <c r="AE4180" s="9">
        <v>47.788360826374728</v>
      </c>
      <c r="AF4180" s="9">
        <v>50.811128677055613</v>
      </c>
      <c r="AG4180" s="9">
        <v>50.811128677055613</v>
      </c>
      <c r="AH4180" s="9">
        <v>54.808386973888702</v>
      </c>
      <c r="AI4180" s="9">
        <v>57.901475997525047</v>
      </c>
      <c r="AJ4180" s="9">
        <v>3.0428788910505911</v>
      </c>
    </row>
    <row r="4181" spans="1:36" x14ac:dyDescent="0.25">
      <c r="A4181" t="s">
        <v>5411</v>
      </c>
      <c r="B4181" t="s">
        <v>16</v>
      </c>
      <c r="C4181" t="s">
        <v>17</v>
      </c>
      <c r="D4181">
        <v>75920000</v>
      </c>
      <c r="E4181">
        <v>75924999</v>
      </c>
      <c r="F4181" t="s">
        <v>3802</v>
      </c>
      <c r="G4181" t="str">
        <f t="shared" si="130"/>
        <v>GOI</v>
      </c>
      <c r="H4181" t="s">
        <v>3672</v>
      </c>
      <c r="I4181" t="s">
        <v>20</v>
      </c>
      <c r="J4181" t="s">
        <v>62</v>
      </c>
      <c r="K4181" s="6">
        <v>0.03</v>
      </c>
      <c r="L4181" s="7">
        <f t="shared" si="131"/>
        <v>2E-3</v>
      </c>
      <c r="M4181" s="7">
        <v>3.0000000000000001E-3</v>
      </c>
      <c r="N4181">
        <v>9</v>
      </c>
      <c r="O4181" s="8">
        <v>20.377140471637041</v>
      </c>
      <c r="P4181" s="9">
        <v>20.377140471637041</v>
      </c>
      <c r="Q4181" s="9">
        <v>20.377140471637041</v>
      </c>
      <c r="R4181" s="9">
        <v>21.402978767052765</v>
      </c>
      <c r="S4181" s="9">
        <v>22.589768980199143</v>
      </c>
      <c r="T4181" s="9">
        <v>24.040396091340774</v>
      </c>
      <c r="U4181" s="9">
        <v>25.448505028591189</v>
      </c>
      <c r="V4181" s="9">
        <v>25.448505028591189</v>
      </c>
      <c r="W4181" s="9">
        <v>25.448505028591189</v>
      </c>
      <c r="X4181" s="9">
        <v>28.109873114011638</v>
      </c>
      <c r="Y4181" s="9">
        <v>28.109873114011638</v>
      </c>
      <c r="Z4181" s="9">
        <v>30.975097350688763</v>
      </c>
      <c r="AA4181" s="9">
        <v>30.975097350688763</v>
      </c>
      <c r="AB4181" s="9">
        <v>34.370578528895656</v>
      </c>
      <c r="AC4181" s="9">
        <v>34.370578528895656</v>
      </c>
      <c r="AD4181" s="9">
        <v>39.013187474230911</v>
      </c>
      <c r="AE4181" s="9">
        <v>42.452173954636635</v>
      </c>
      <c r="AF4181" s="9">
        <v>47.478364248265585</v>
      </c>
      <c r="AG4181" s="9">
        <v>47.478364248265585</v>
      </c>
      <c r="AH4181" s="9">
        <v>50.815992158664379</v>
      </c>
      <c r="AI4181" s="9">
        <v>54.045500821302042</v>
      </c>
      <c r="AJ4181" s="9">
        <v>3.0428788910505911</v>
      </c>
    </row>
    <row r="4182" spans="1:36" x14ac:dyDescent="0.25">
      <c r="A4182" t="s">
        <v>5411</v>
      </c>
      <c r="B4182" t="s">
        <v>16</v>
      </c>
      <c r="C4182" t="s">
        <v>17</v>
      </c>
      <c r="D4182">
        <v>75925000</v>
      </c>
      <c r="E4182">
        <v>75929999</v>
      </c>
      <c r="F4182" t="s">
        <v>3803</v>
      </c>
      <c r="G4182" t="str">
        <f t="shared" si="130"/>
        <v>GOI</v>
      </c>
      <c r="H4182" t="s">
        <v>3672</v>
      </c>
      <c r="I4182" t="s">
        <v>20</v>
      </c>
      <c r="J4182" t="s">
        <v>62</v>
      </c>
      <c r="K4182" s="6">
        <v>0.03</v>
      </c>
      <c r="L4182" s="7">
        <f t="shared" si="131"/>
        <v>2E-3</v>
      </c>
      <c r="M4182" s="7">
        <v>3.0000000000000001E-3</v>
      </c>
      <c r="N4182">
        <v>9</v>
      </c>
      <c r="O4182" s="8">
        <v>20.377140471637041</v>
      </c>
      <c r="P4182" s="9">
        <v>20.377140471637041</v>
      </c>
      <c r="Q4182" s="9">
        <v>20.377140471637041</v>
      </c>
      <c r="R4182" s="9">
        <v>21.402978767052765</v>
      </c>
      <c r="S4182" s="9">
        <v>22.589768980199143</v>
      </c>
      <c r="T4182" s="9">
        <v>24.040396091340774</v>
      </c>
      <c r="U4182" s="9">
        <v>25.448505028591189</v>
      </c>
      <c r="V4182" s="9">
        <v>25.448505028591189</v>
      </c>
      <c r="W4182" s="9">
        <v>25.448505028591189</v>
      </c>
      <c r="X4182" s="9">
        <v>28.109873114011638</v>
      </c>
      <c r="Y4182" s="9">
        <v>28.109873114011638</v>
      </c>
      <c r="Z4182" s="9">
        <v>30.975097350688763</v>
      </c>
      <c r="AA4182" s="9">
        <v>30.975097350688763</v>
      </c>
      <c r="AB4182" s="9">
        <v>34.370578528895656</v>
      </c>
      <c r="AC4182" s="9">
        <v>34.370578528895656</v>
      </c>
      <c r="AD4182" s="9">
        <v>39.013187474230911</v>
      </c>
      <c r="AE4182" s="9">
        <v>42.452173954636635</v>
      </c>
      <c r="AF4182" s="9">
        <v>47.478364248265585</v>
      </c>
      <c r="AG4182" s="9">
        <v>47.478364248265585</v>
      </c>
      <c r="AH4182" s="9">
        <v>50.815992158664379</v>
      </c>
      <c r="AI4182" s="9">
        <v>54.045500821302042</v>
      </c>
      <c r="AJ4182" s="9">
        <v>3.0428788910505911</v>
      </c>
    </row>
    <row r="4183" spans="1:36" x14ac:dyDescent="0.25">
      <c r="A4183" t="s">
        <v>5411</v>
      </c>
      <c r="B4183" t="s">
        <v>16</v>
      </c>
      <c r="C4183" t="s">
        <v>17</v>
      </c>
      <c r="D4183">
        <v>75930000</v>
      </c>
      <c r="E4183">
        <v>75934999</v>
      </c>
      <c r="F4183" t="s">
        <v>3804</v>
      </c>
      <c r="G4183" t="str">
        <f t="shared" si="130"/>
        <v>GOI</v>
      </c>
      <c r="H4183" t="s">
        <v>3672</v>
      </c>
      <c r="I4183" t="s">
        <v>20</v>
      </c>
      <c r="J4183" t="s">
        <v>62</v>
      </c>
      <c r="K4183" s="6">
        <v>0.03</v>
      </c>
      <c r="L4183" s="7">
        <f t="shared" si="131"/>
        <v>2E-3</v>
      </c>
      <c r="M4183" s="7">
        <v>3.0000000000000001E-3</v>
      </c>
      <c r="N4183">
        <v>9</v>
      </c>
      <c r="O4183" s="8">
        <v>20.377140471637041</v>
      </c>
      <c r="P4183" s="9">
        <v>20.377140471637041</v>
      </c>
      <c r="Q4183" s="9">
        <v>20.377140471637041</v>
      </c>
      <c r="R4183" s="9">
        <v>21.402978767052765</v>
      </c>
      <c r="S4183" s="9">
        <v>22.589768980199143</v>
      </c>
      <c r="T4183" s="9">
        <v>24.040396091340774</v>
      </c>
      <c r="U4183" s="9">
        <v>25.448505028591189</v>
      </c>
      <c r="V4183" s="9">
        <v>25.448505028591189</v>
      </c>
      <c r="W4183" s="9">
        <v>25.448505028591189</v>
      </c>
      <c r="X4183" s="9">
        <v>28.109873114011638</v>
      </c>
      <c r="Y4183" s="9">
        <v>28.109873114011638</v>
      </c>
      <c r="Z4183" s="9">
        <v>30.975097350688763</v>
      </c>
      <c r="AA4183" s="9">
        <v>30.975097350688763</v>
      </c>
      <c r="AB4183" s="9">
        <v>34.370578528895656</v>
      </c>
      <c r="AC4183" s="9">
        <v>34.370578528895656</v>
      </c>
      <c r="AD4183" s="9">
        <v>39.013187474230911</v>
      </c>
      <c r="AE4183" s="9">
        <v>42.452173954636635</v>
      </c>
      <c r="AF4183" s="9">
        <v>47.478364248265585</v>
      </c>
      <c r="AG4183" s="9">
        <v>47.478364248265585</v>
      </c>
      <c r="AH4183" s="9">
        <v>50.815992158664379</v>
      </c>
      <c r="AI4183" s="9">
        <v>54.045500821302042</v>
      </c>
      <c r="AJ4183" s="9">
        <v>3.0428788910505911</v>
      </c>
    </row>
    <row r="4184" spans="1:36" x14ac:dyDescent="0.25">
      <c r="A4184" t="s">
        <v>5411</v>
      </c>
      <c r="B4184" t="s">
        <v>16</v>
      </c>
      <c r="C4184" t="s">
        <v>17</v>
      </c>
      <c r="D4184">
        <v>75935000</v>
      </c>
      <c r="E4184">
        <v>75939999</v>
      </c>
      <c r="F4184" t="s">
        <v>3805</v>
      </c>
      <c r="G4184" t="str">
        <f t="shared" si="130"/>
        <v>GOI</v>
      </c>
      <c r="H4184" t="s">
        <v>3672</v>
      </c>
      <c r="I4184" t="s">
        <v>20</v>
      </c>
      <c r="J4184" t="s">
        <v>62</v>
      </c>
      <c r="K4184" s="6">
        <v>0.03</v>
      </c>
      <c r="L4184" s="7">
        <f t="shared" si="131"/>
        <v>2E-3</v>
      </c>
      <c r="M4184" s="7">
        <v>3.0000000000000001E-3</v>
      </c>
      <c r="N4184">
        <v>9</v>
      </c>
      <c r="O4184" s="8">
        <v>20.377140471637041</v>
      </c>
      <c r="P4184" s="9">
        <v>20.377140471637041</v>
      </c>
      <c r="Q4184" s="9">
        <v>20.377140471637041</v>
      </c>
      <c r="R4184" s="9">
        <v>21.402978767052765</v>
      </c>
      <c r="S4184" s="9">
        <v>22.589768980199143</v>
      </c>
      <c r="T4184" s="9">
        <v>24.040396091340774</v>
      </c>
      <c r="U4184" s="9">
        <v>25.448505028591189</v>
      </c>
      <c r="V4184" s="9">
        <v>25.448505028591189</v>
      </c>
      <c r="W4184" s="9">
        <v>25.448505028591189</v>
      </c>
      <c r="X4184" s="9">
        <v>28.109873114011638</v>
      </c>
      <c r="Y4184" s="9">
        <v>28.109873114011638</v>
      </c>
      <c r="Z4184" s="9">
        <v>30.975097350688763</v>
      </c>
      <c r="AA4184" s="9">
        <v>30.975097350688763</v>
      </c>
      <c r="AB4184" s="9">
        <v>34.370578528895656</v>
      </c>
      <c r="AC4184" s="9">
        <v>34.370578528895656</v>
      </c>
      <c r="AD4184" s="9">
        <v>39.013187474230911</v>
      </c>
      <c r="AE4184" s="9">
        <v>42.452173954636635</v>
      </c>
      <c r="AF4184" s="9">
        <v>47.478364248265585</v>
      </c>
      <c r="AG4184" s="9">
        <v>47.478364248265585</v>
      </c>
      <c r="AH4184" s="9">
        <v>50.815992158664379</v>
      </c>
      <c r="AI4184" s="9">
        <v>54.045500821302042</v>
      </c>
      <c r="AJ4184" s="9">
        <v>3.0428788910505911</v>
      </c>
    </row>
    <row r="4185" spans="1:36" x14ac:dyDescent="0.25">
      <c r="A4185" t="s">
        <v>5411</v>
      </c>
      <c r="B4185" t="s">
        <v>16</v>
      </c>
      <c r="C4185" t="s">
        <v>17</v>
      </c>
      <c r="D4185">
        <v>75940000</v>
      </c>
      <c r="E4185">
        <v>75944999</v>
      </c>
      <c r="F4185" t="s">
        <v>3806</v>
      </c>
      <c r="G4185" t="str">
        <f t="shared" si="130"/>
        <v>GOI</v>
      </c>
      <c r="H4185" t="s">
        <v>3672</v>
      </c>
      <c r="I4185" t="s">
        <v>20</v>
      </c>
      <c r="J4185" t="s">
        <v>62</v>
      </c>
      <c r="K4185" s="6">
        <v>0.03</v>
      </c>
      <c r="L4185" s="7">
        <f t="shared" si="131"/>
        <v>2E-3</v>
      </c>
      <c r="M4185" s="7">
        <v>3.0000000000000001E-3</v>
      </c>
      <c r="N4185">
        <v>9</v>
      </c>
      <c r="O4185" s="8">
        <v>20.377140471637041</v>
      </c>
      <c r="P4185" s="9">
        <v>20.377140471637041</v>
      </c>
      <c r="Q4185" s="9">
        <v>20.377140471637041</v>
      </c>
      <c r="R4185" s="9">
        <v>21.402978767052765</v>
      </c>
      <c r="S4185" s="9">
        <v>22.589768980199143</v>
      </c>
      <c r="T4185" s="9">
        <v>24.040396091340774</v>
      </c>
      <c r="U4185" s="9">
        <v>25.448505028591189</v>
      </c>
      <c r="V4185" s="9">
        <v>25.448505028591189</v>
      </c>
      <c r="W4185" s="9">
        <v>25.448505028591189</v>
      </c>
      <c r="X4185" s="9">
        <v>28.109873114011638</v>
      </c>
      <c r="Y4185" s="9">
        <v>28.109873114011638</v>
      </c>
      <c r="Z4185" s="9">
        <v>30.975097350688763</v>
      </c>
      <c r="AA4185" s="9">
        <v>30.975097350688763</v>
      </c>
      <c r="AB4185" s="9">
        <v>34.370578528895656</v>
      </c>
      <c r="AC4185" s="9">
        <v>34.370578528895656</v>
      </c>
      <c r="AD4185" s="9">
        <v>39.013187474230911</v>
      </c>
      <c r="AE4185" s="9">
        <v>42.452173954636635</v>
      </c>
      <c r="AF4185" s="9">
        <v>47.478364248265585</v>
      </c>
      <c r="AG4185" s="9">
        <v>47.478364248265585</v>
      </c>
      <c r="AH4185" s="9">
        <v>50.815992158664379</v>
      </c>
      <c r="AI4185" s="9">
        <v>54.045500821302042</v>
      </c>
      <c r="AJ4185" s="9">
        <v>3.0428788910505911</v>
      </c>
    </row>
    <row r="4186" spans="1:36" x14ac:dyDescent="0.25">
      <c r="A4186" t="s">
        <v>5411</v>
      </c>
      <c r="B4186" t="s">
        <v>16</v>
      </c>
      <c r="C4186" t="s">
        <v>17</v>
      </c>
      <c r="D4186">
        <v>75945000</v>
      </c>
      <c r="E4186">
        <v>75949999</v>
      </c>
      <c r="F4186" t="s">
        <v>3807</v>
      </c>
      <c r="G4186" t="str">
        <f t="shared" si="130"/>
        <v>GOI</v>
      </c>
      <c r="H4186" t="s">
        <v>3672</v>
      </c>
      <c r="I4186" t="s">
        <v>20</v>
      </c>
      <c r="J4186" t="s">
        <v>62</v>
      </c>
      <c r="K4186" s="6">
        <v>0.03</v>
      </c>
      <c r="L4186" s="7">
        <f t="shared" si="131"/>
        <v>2E-3</v>
      </c>
      <c r="M4186" s="7">
        <v>3.0000000000000001E-3</v>
      </c>
      <c r="N4186">
        <v>9</v>
      </c>
      <c r="O4186" s="8">
        <v>20.377140471637041</v>
      </c>
      <c r="P4186" s="9">
        <v>20.377140471637041</v>
      </c>
      <c r="Q4186" s="9">
        <v>20.377140471637041</v>
      </c>
      <c r="R4186" s="9">
        <v>21.402978767052765</v>
      </c>
      <c r="S4186" s="9">
        <v>22.589768980199143</v>
      </c>
      <c r="T4186" s="9">
        <v>24.040396091340774</v>
      </c>
      <c r="U4186" s="9">
        <v>25.448505028591189</v>
      </c>
      <c r="V4186" s="9">
        <v>25.448505028591189</v>
      </c>
      <c r="W4186" s="9">
        <v>25.448505028591189</v>
      </c>
      <c r="X4186" s="9">
        <v>28.109873114011638</v>
      </c>
      <c r="Y4186" s="9">
        <v>28.109873114011638</v>
      </c>
      <c r="Z4186" s="9">
        <v>30.975097350688763</v>
      </c>
      <c r="AA4186" s="9">
        <v>30.975097350688763</v>
      </c>
      <c r="AB4186" s="9">
        <v>34.370578528895656</v>
      </c>
      <c r="AC4186" s="9">
        <v>34.370578528895656</v>
      </c>
      <c r="AD4186" s="9">
        <v>39.013187474230911</v>
      </c>
      <c r="AE4186" s="9">
        <v>42.452173954636635</v>
      </c>
      <c r="AF4186" s="9">
        <v>47.478364248265585</v>
      </c>
      <c r="AG4186" s="9">
        <v>47.478364248265585</v>
      </c>
      <c r="AH4186" s="9">
        <v>50.815992158664379</v>
      </c>
      <c r="AI4186" s="9">
        <v>54.045500821302042</v>
      </c>
      <c r="AJ4186" s="9">
        <v>3.0428788910505911</v>
      </c>
    </row>
    <row r="4187" spans="1:36" x14ac:dyDescent="0.25">
      <c r="A4187" t="s">
        <v>5411</v>
      </c>
      <c r="B4187" t="s">
        <v>16</v>
      </c>
      <c r="C4187" t="s">
        <v>17</v>
      </c>
      <c r="D4187">
        <v>75950000</v>
      </c>
      <c r="E4187">
        <v>75954999</v>
      </c>
      <c r="F4187" t="s">
        <v>3808</v>
      </c>
      <c r="G4187" t="str">
        <f t="shared" si="130"/>
        <v>GOI</v>
      </c>
      <c r="H4187" t="s">
        <v>3672</v>
      </c>
      <c r="I4187" t="s">
        <v>20</v>
      </c>
      <c r="J4187" t="s">
        <v>62</v>
      </c>
      <c r="K4187" s="6">
        <v>0.03</v>
      </c>
      <c r="L4187" s="7">
        <f t="shared" si="131"/>
        <v>2E-3</v>
      </c>
      <c r="M4187" s="7">
        <v>3.0000000000000001E-3</v>
      </c>
      <c r="N4187">
        <v>9</v>
      </c>
      <c r="O4187" s="8">
        <v>20.377140471637041</v>
      </c>
      <c r="P4187" s="9">
        <v>20.377140471637041</v>
      </c>
      <c r="Q4187" s="9">
        <v>20.377140471637041</v>
      </c>
      <c r="R4187" s="9">
        <v>21.402978767052765</v>
      </c>
      <c r="S4187" s="9">
        <v>22.589768980199143</v>
      </c>
      <c r="T4187" s="9">
        <v>24.040396091340774</v>
      </c>
      <c r="U4187" s="9">
        <v>25.448505028591189</v>
      </c>
      <c r="V4187" s="9">
        <v>25.448505028591189</v>
      </c>
      <c r="W4187" s="9">
        <v>25.448505028591189</v>
      </c>
      <c r="X4187" s="9">
        <v>28.109873114011638</v>
      </c>
      <c r="Y4187" s="9">
        <v>28.109873114011638</v>
      </c>
      <c r="Z4187" s="9">
        <v>30.975097350688763</v>
      </c>
      <c r="AA4187" s="9">
        <v>30.975097350688763</v>
      </c>
      <c r="AB4187" s="9">
        <v>34.370578528895656</v>
      </c>
      <c r="AC4187" s="9">
        <v>34.370578528895656</v>
      </c>
      <c r="AD4187" s="9">
        <v>39.013187474230911</v>
      </c>
      <c r="AE4187" s="9">
        <v>42.452173954636635</v>
      </c>
      <c r="AF4187" s="9">
        <v>47.478364248265585</v>
      </c>
      <c r="AG4187" s="9">
        <v>47.478364248265585</v>
      </c>
      <c r="AH4187" s="9">
        <v>50.815992158664379</v>
      </c>
      <c r="AI4187" s="9">
        <v>54.045500821302042</v>
      </c>
      <c r="AJ4187" s="9">
        <v>3.0428788910505911</v>
      </c>
    </row>
    <row r="4188" spans="1:36" x14ac:dyDescent="0.25">
      <c r="A4188" t="s">
        <v>5411</v>
      </c>
      <c r="B4188" t="s">
        <v>16</v>
      </c>
      <c r="C4188" t="s">
        <v>17</v>
      </c>
      <c r="D4188">
        <v>75955000</v>
      </c>
      <c r="E4188">
        <v>75959999</v>
      </c>
      <c r="F4188" t="s">
        <v>3809</v>
      </c>
      <c r="G4188" t="str">
        <f t="shared" si="130"/>
        <v>GOI</v>
      </c>
      <c r="H4188" t="s">
        <v>3672</v>
      </c>
      <c r="I4188" t="s">
        <v>20</v>
      </c>
      <c r="J4188" t="s">
        <v>62</v>
      </c>
      <c r="K4188" s="6">
        <v>0.03</v>
      </c>
      <c r="L4188" s="7">
        <f t="shared" si="131"/>
        <v>2E-3</v>
      </c>
      <c r="M4188" s="7">
        <v>3.0000000000000001E-3</v>
      </c>
      <c r="N4188">
        <v>9</v>
      </c>
      <c r="O4188" s="8">
        <v>20.377140471637041</v>
      </c>
      <c r="P4188" s="9">
        <v>20.377140471637041</v>
      </c>
      <c r="Q4188" s="9">
        <v>20.377140471637041</v>
      </c>
      <c r="R4188" s="9">
        <v>21.402978767052765</v>
      </c>
      <c r="S4188" s="9">
        <v>22.589768980199143</v>
      </c>
      <c r="T4188" s="9">
        <v>24.040396091340774</v>
      </c>
      <c r="U4188" s="9">
        <v>25.448505028591189</v>
      </c>
      <c r="V4188" s="9">
        <v>25.448505028591189</v>
      </c>
      <c r="W4188" s="9">
        <v>25.448505028591189</v>
      </c>
      <c r="X4188" s="9">
        <v>28.109873114011638</v>
      </c>
      <c r="Y4188" s="9">
        <v>28.109873114011638</v>
      </c>
      <c r="Z4188" s="9">
        <v>30.975097350688763</v>
      </c>
      <c r="AA4188" s="9">
        <v>30.975097350688763</v>
      </c>
      <c r="AB4188" s="9">
        <v>34.370578528895656</v>
      </c>
      <c r="AC4188" s="9">
        <v>34.370578528895656</v>
      </c>
      <c r="AD4188" s="9">
        <v>39.013187474230911</v>
      </c>
      <c r="AE4188" s="9">
        <v>42.452173954636635</v>
      </c>
      <c r="AF4188" s="9">
        <v>47.478364248265585</v>
      </c>
      <c r="AG4188" s="9">
        <v>47.478364248265585</v>
      </c>
      <c r="AH4188" s="9">
        <v>50.815992158664379</v>
      </c>
      <c r="AI4188" s="9">
        <v>54.045500821302042</v>
      </c>
      <c r="AJ4188" s="9">
        <v>3.0428788910505911</v>
      </c>
    </row>
    <row r="4189" spans="1:36" x14ac:dyDescent="0.25">
      <c r="A4189" t="s">
        <v>5411</v>
      </c>
      <c r="B4189" t="s">
        <v>16</v>
      </c>
      <c r="C4189" t="s">
        <v>17</v>
      </c>
      <c r="D4189">
        <v>75960000</v>
      </c>
      <c r="E4189">
        <v>75969999</v>
      </c>
      <c r="F4189" t="s">
        <v>3810</v>
      </c>
      <c r="G4189" t="str">
        <f t="shared" si="130"/>
        <v>GOI</v>
      </c>
      <c r="H4189" t="s">
        <v>3672</v>
      </c>
      <c r="I4189" t="s">
        <v>20</v>
      </c>
      <c r="J4189" t="s">
        <v>62</v>
      </c>
      <c r="K4189" s="6">
        <v>0.03</v>
      </c>
      <c r="L4189" s="7">
        <f t="shared" si="131"/>
        <v>2E-3</v>
      </c>
      <c r="M4189" s="7">
        <v>3.0000000000000001E-3</v>
      </c>
      <c r="N4189">
        <v>9</v>
      </c>
      <c r="O4189" s="8">
        <v>20.377140471637041</v>
      </c>
      <c r="P4189" s="9">
        <v>20.377140471637041</v>
      </c>
      <c r="Q4189" s="9">
        <v>20.377140471637041</v>
      </c>
      <c r="R4189" s="9">
        <v>21.402978767052765</v>
      </c>
      <c r="S4189" s="9">
        <v>22.589768980199143</v>
      </c>
      <c r="T4189" s="9">
        <v>24.040396091340774</v>
      </c>
      <c r="U4189" s="9">
        <v>25.448505028591189</v>
      </c>
      <c r="V4189" s="9">
        <v>25.448505028591189</v>
      </c>
      <c r="W4189" s="9">
        <v>25.448505028591189</v>
      </c>
      <c r="X4189" s="9">
        <v>28.109873114011638</v>
      </c>
      <c r="Y4189" s="9">
        <v>28.109873114011638</v>
      </c>
      <c r="Z4189" s="9">
        <v>30.975097350688763</v>
      </c>
      <c r="AA4189" s="9">
        <v>30.975097350688763</v>
      </c>
      <c r="AB4189" s="9">
        <v>34.370578528895656</v>
      </c>
      <c r="AC4189" s="9">
        <v>34.370578528895656</v>
      </c>
      <c r="AD4189" s="9">
        <v>39.013187474230911</v>
      </c>
      <c r="AE4189" s="9">
        <v>42.452173954636635</v>
      </c>
      <c r="AF4189" s="9">
        <v>47.478364248265585</v>
      </c>
      <c r="AG4189" s="9">
        <v>47.478364248265585</v>
      </c>
      <c r="AH4189" s="9">
        <v>50.815992158664379</v>
      </c>
      <c r="AI4189" s="9">
        <v>54.045500821302042</v>
      </c>
      <c r="AJ4189" s="9">
        <v>3.0428788910505911</v>
      </c>
    </row>
    <row r="4190" spans="1:36" x14ac:dyDescent="0.25">
      <c r="A4190" t="s">
        <v>5411</v>
      </c>
      <c r="B4190" t="s">
        <v>16</v>
      </c>
      <c r="C4190" t="s">
        <v>17</v>
      </c>
      <c r="D4190">
        <v>75970000</v>
      </c>
      <c r="E4190">
        <v>75979999</v>
      </c>
      <c r="F4190" t="s">
        <v>3811</v>
      </c>
      <c r="G4190" t="str">
        <f t="shared" si="130"/>
        <v>GOI</v>
      </c>
      <c r="H4190" t="s">
        <v>3672</v>
      </c>
      <c r="I4190" t="s">
        <v>20</v>
      </c>
      <c r="J4190" t="s">
        <v>62</v>
      </c>
      <c r="K4190" s="6">
        <v>0.03</v>
      </c>
      <c r="L4190" s="7">
        <f t="shared" si="131"/>
        <v>2E-3</v>
      </c>
      <c r="M4190" s="7">
        <v>3.0000000000000001E-3</v>
      </c>
      <c r="N4190">
        <v>9</v>
      </c>
      <c r="O4190" s="8">
        <v>20.377140471637041</v>
      </c>
      <c r="P4190" s="9">
        <v>20.377140471637041</v>
      </c>
      <c r="Q4190" s="9">
        <v>20.377140471637041</v>
      </c>
      <c r="R4190" s="9">
        <v>21.402978767052765</v>
      </c>
      <c r="S4190" s="9">
        <v>22.589768980199143</v>
      </c>
      <c r="T4190" s="9">
        <v>24.040396091340774</v>
      </c>
      <c r="U4190" s="9">
        <v>25.448505028591189</v>
      </c>
      <c r="V4190" s="9">
        <v>25.448505028591189</v>
      </c>
      <c r="W4190" s="9">
        <v>25.448505028591189</v>
      </c>
      <c r="X4190" s="9">
        <v>28.109873114011638</v>
      </c>
      <c r="Y4190" s="9">
        <v>28.109873114011638</v>
      </c>
      <c r="Z4190" s="9">
        <v>30.975097350688763</v>
      </c>
      <c r="AA4190" s="9">
        <v>30.975097350688763</v>
      </c>
      <c r="AB4190" s="9">
        <v>34.370578528895656</v>
      </c>
      <c r="AC4190" s="9">
        <v>34.370578528895656</v>
      </c>
      <c r="AD4190" s="9">
        <v>39.013187474230911</v>
      </c>
      <c r="AE4190" s="9">
        <v>42.452173954636635</v>
      </c>
      <c r="AF4190" s="9">
        <v>47.478364248265585</v>
      </c>
      <c r="AG4190" s="9">
        <v>47.478364248265585</v>
      </c>
      <c r="AH4190" s="9">
        <v>50.815992158664379</v>
      </c>
      <c r="AI4190" s="9">
        <v>54.045500821302042</v>
      </c>
      <c r="AJ4190" s="9">
        <v>3.0428788910505911</v>
      </c>
    </row>
    <row r="4191" spans="1:36" x14ac:dyDescent="0.25">
      <c r="A4191" t="s">
        <v>5411</v>
      </c>
      <c r="B4191" t="s">
        <v>16</v>
      </c>
      <c r="C4191" t="s">
        <v>17</v>
      </c>
      <c r="D4191">
        <v>75980000</v>
      </c>
      <c r="E4191">
        <v>75984999</v>
      </c>
      <c r="F4191" t="s">
        <v>3812</v>
      </c>
      <c r="G4191" t="str">
        <f t="shared" si="130"/>
        <v>GOI</v>
      </c>
      <c r="H4191" t="s">
        <v>3672</v>
      </c>
      <c r="I4191" t="s">
        <v>20</v>
      </c>
      <c r="J4191" t="s">
        <v>62</v>
      </c>
      <c r="K4191" s="6">
        <v>0.03</v>
      </c>
      <c r="L4191" s="7">
        <f t="shared" si="131"/>
        <v>2E-3</v>
      </c>
      <c r="M4191" s="7">
        <v>3.0000000000000001E-3</v>
      </c>
      <c r="N4191">
        <v>9</v>
      </c>
      <c r="O4191" s="8">
        <v>20.377140471637041</v>
      </c>
      <c r="P4191" s="9">
        <v>20.377140471637041</v>
      </c>
      <c r="Q4191" s="9">
        <v>20.377140471637041</v>
      </c>
      <c r="R4191" s="9">
        <v>21.402978767052765</v>
      </c>
      <c r="S4191" s="9">
        <v>22.589768980199143</v>
      </c>
      <c r="T4191" s="9">
        <v>24.040396091340774</v>
      </c>
      <c r="U4191" s="9">
        <v>25.448505028591189</v>
      </c>
      <c r="V4191" s="9">
        <v>25.448505028591189</v>
      </c>
      <c r="W4191" s="9">
        <v>25.448505028591189</v>
      </c>
      <c r="X4191" s="9">
        <v>28.109873114011638</v>
      </c>
      <c r="Y4191" s="9">
        <v>28.109873114011638</v>
      </c>
      <c r="Z4191" s="9">
        <v>30.975097350688763</v>
      </c>
      <c r="AA4191" s="9">
        <v>30.975097350688763</v>
      </c>
      <c r="AB4191" s="9">
        <v>34.370578528895656</v>
      </c>
      <c r="AC4191" s="9">
        <v>34.370578528895656</v>
      </c>
      <c r="AD4191" s="9">
        <v>39.013187474230911</v>
      </c>
      <c r="AE4191" s="9">
        <v>42.452173954636635</v>
      </c>
      <c r="AF4191" s="9">
        <v>47.478364248265585</v>
      </c>
      <c r="AG4191" s="9">
        <v>47.478364248265585</v>
      </c>
      <c r="AH4191" s="9">
        <v>50.815992158664379</v>
      </c>
      <c r="AI4191" s="9">
        <v>54.045500821302042</v>
      </c>
      <c r="AJ4191" s="9">
        <v>3.0428788910505911</v>
      </c>
    </row>
    <row r="4192" spans="1:36" x14ac:dyDescent="0.25">
      <c r="A4192" t="s">
        <v>5411</v>
      </c>
      <c r="B4192" t="s">
        <v>16</v>
      </c>
      <c r="C4192" t="s">
        <v>17</v>
      </c>
      <c r="D4192">
        <v>75985000</v>
      </c>
      <c r="E4192">
        <v>75989999</v>
      </c>
      <c r="F4192" t="s">
        <v>3813</v>
      </c>
      <c r="G4192" t="str">
        <f t="shared" si="130"/>
        <v>GOI</v>
      </c>
      <c r="H4192" t="s">
        <v>3672</v>
      </c>
      <c r="I4192" t="s">
        <v>20</v>
      </c>
      <c r="J4192" t="s">
        <v>62</v>
      </c>
      <c r="K4192" s="6">
        <v>0.03</v>
      </c>
      <c r="L4192" s="7">
        <f t="shared" si="131"/>
        <v>2E-3</v>
      </c>
      <c r="M4192" s="7">
        <v>3.0000000000000001E-3</v>
      </c>
      <c r="N4192">
        <v>9</v>
      </c>
      <c r="O4192" s="8">
        <v>20.377140471637041</v>
      </c>
      <c r="P4192" s="9">
        <v>20.377140471637041</v>
      </c>
      <c r="Q4192" s="9">
        <v>20.377140471637041</v>
      </c>
      <c r="R4192" s="9">
        <v>21.402978767052765</v>
      </c>
      <c r="S4192" s="9">
        <v>22.589768980199143</v>
      </c>
      <c r="T4192" s="9">
        <v>24.040396091340774</v>
      </c>
      <c r="U4192" s="9">
        <v>25.448505028591189</v>
      </c>
      <c r="V4192" s="9">
        <v>25.448505028591189</v>
      </c>
      <c r="W4192" s="9">
        <v>25.448505028591189</v>
      </c>
      <c r="X4192" s="9">
        <v>28.109873114011638</v>
      </c>
      <c r="Y4192" s="9">
        <v>28.109873114011638</v>
      </c>
      <c r="Z4192" s="9">
        <v>30.975097350688763</v>
      </c>
      <c r="AA4192" s="9">
        <v>30.975097350688763</v>
      </c>
      <c r="AB4192" s="9">
        <v>34.370578528895656</v>
      </c>
      <c r="AC4192" s="9">
        <v>34.370578528895656</v>
      </c>
      <c r="AD4192" s="9">
        <v>39.013187474230911</v>
      </c>
      <c r="AE4192" s="9">
        <v>42.452173954636635</v>
      </c>
      <c r="AF4192" s="9">
        <v>47.478364248265585</v>
      </c>
      <c r="AG4192" s="9">
        <v>47.478364248265585</v>
      </c>
      <c r="AH4192" s="9">
        <v>50.815992158664379</v>
      </c>
      <c r="AI4192" s="9">
        <v>54.045500821302042</v>
      </c>
      <c r="AJ4192" s="9">
        <v>3.0428788910505911</v>
      </c>
    </row>
    <row r="4193" spans="1:36" x14ac:dyDescent="0.25">
      <c r="A4193" t="s">
        <v>5411</v>
      </c>
      <c r="B4193" t="s">
        <v>16</v>
      </c>
      <c r="C4193" t="s">
        <v>17</v>
      </c>
      <c r="D4193">
        <v>75990000</v>
      </c>
      <c r="E4193">
        <v>76099999</v>
      </c>
      <c r="F4193" t="s">
        <v>3814</v>
      </c>
      <c r="G4193" t="str">
        <f t="shared" si="130"/>
        <v>GOI</v>
      </c>
      <c r="H4193" t="s">
        <v>3672</v>
      </c>
      <c r="I4193" t="s">
        <v>20</v>
      </c>
      <c r="J4193" t="s">
        <v>62</v>
      </c>
      <c r="K4193" s="6">
        <v>0.03</v>
      </c>
      <c r="L4193" s="7">
        <f t="shared" si="131"/>
        <v>2E-3</v>
      </c>
      <c r="M4193" s="7">
        <v>3.0000000000000001E-3</v>
      </c>
      <c r="N4193">
        <v>9</v>
      </c>
      <c r="O4193" s="8">
        <v>20.377140471637041</v>
      </c>
      <c r="P4193" s="9">
        <v>20.377140471637041</v>
      </c>
      <c r="Q4193" s="9">
        <v>20.377140471637041</v>
      </c>
      <c r="R4193" s="9">
        <v>21.402978767052765</v>
      </c>
      <c r="S4193" s="9">
        <v>22.589768980199143</v>
      </c>
      <c r="T4193" s="9">
        <v>24.040396091340774</v>
      </c>
      <c r="U4193" s="9">
        <v>25.448505028591189</v>
      </c>
      <c r="V4193" s="9">
        <v>25.448505028591189</v>
      </c>
      <c r="W4193" s="9">
        <v>25.448505028591189</v>
      </c>
      <c r="X4193" s="9">
        <v>28.109873114011638</v>
      </c>
      <c r="Y4193" s="9">
        <v>28.109873114011638</v>
      </c>
      <c r="Z4193" s="9">
        <v>30.975097350688763</v>
      </c>
      <c r="AA4193" s="9">
        <v>30.975097350688763</v>
      </c>
      <c r="AB4193" s="9">
        <v>34.370578528895656</v>
      </c>
      <c r="AC4193" s="9">
        <v>34.370578528895656</v>
      </c>
      <c r="AD4193" s="9">
        <v>39.013187474230911</v>
      </c>
      <c r="AE4193" s="9">
        <v>42.452173954636635</v>
      </c>
      <c r="AF4193" s="9">
        <v>47.478364248265585</v>
      </c>
      <c r="AG4193" s="9">
        <v>47.478364248265585</v>
      </c>
      <c r="AH4193" s="9">
        <v>50.815992158664379</v>
      </c>
      <c r="AI4193" s="9">
        <v>54.045500821302042</v>
      </c>
      <c r="AJ4193" s="9">
        <v>3.0428788910505911</v>
      </c>
    </row>
    <row r="4194" spans="1:36" x14ac:dyDescent="0.25">
      <c r="A4194" t="s">
        <v>5411</v>
      </c>
      <c r="B4194" t="s">
        <v>16</v>
      </c>
      <c r="C4194" t="s">
        <v>17</v>
      </c>
      <c r="D4194">
        <v>76100000</v>
      </c>
      <c r="E4194">
        <v>76104999</v>
      </c>
      <c r="F4194" t="s">
        <v>3815</v>
      </c>
      <c r="G4194" t="str">
        <f t="shared" si="130"/>
        <v>GOI II</v>
      </c>
      <c r="H4194" t="s">
        <v>3672</v>
      </c>
      <c r="I4194" t="s">
        <v>20</v>
      </c>
      <c r="J4194" t="s">
        <v>64</v>
      </c>
      <c r="K4194" s="6">
        <v>0.03</v>
      </c>
      <c r="L4194" s="7">
        <f t="shared" si="131"/>
        <v>2E-3</v>
      </c>
      <c r="M4194" s="7">
        <v>3.0000000000000001E-3</v>
      </c>
      <c r="N4194">
        <v>14</v>
      </c>
      <c r="O4194" s="8">
        <v>24.12918157169327</v>
      </c>
      <c r="P4194" s="9">
        <v>24.12918157169327</v>
      </c>
      <c r="Q4194" s="9">
        <v>24.12918157169327</v>
      </c>
      <c r="R4194" s="9">
        <v>25.337926603196635</v>
      </c>
      <c r="S4194" s="9">
        <v>26.739125453822282</v>
      </c>
      <c r="T4194" s="9">
        <v>27.918529456871191</v>
      </c>
      <c r="U4194" s="9">
        <v>29.567239706252465</v>
      </c>
      <c r="V4194" s="9">
        <v>29.567239706252465</v>
      </c>
      <c r="W4194" s="9">
        <v>29.567239706252465</v>
      </c>
      <c r="X4194" s="9">
        <v>32.768324265753506</v>
      </c>
      <c r="Y4194" s="9">
        <v>32.768324265753506</v>
      </c>
      <c r="Z4194" s="9">
        <v>36.06659911693589</v>
      </c>
      <c r="AA4194" s="9">
        <v>36.06659911693589</v>
      </c>
      <c r="AB4194" s="9">
        <v>39.471783288967806</v>
      </c>
      <c r="AC4194" s="9">
        <v>39.471783288967806</v>
      </c>
      <c r="AD4194" s="9">
        <v>44.89371961968488</v>
      </c>
      <c r="AE4194" s="9">
        <v>47.788360826374728</v>
      </c>
      <c r="AF4194" s="9">
        <v>50.811128677055613</v>
      </c>
      <c r="AG4194" s="9">
        <v>50.811128677055613</v>
      </c>
      <c r="AH4194" s="9">
        <v>54.808386973888702</v>
      </c>
      <c r="AI4194" s="9">
        <v>57.901475997525047</v>
      </c>
      <c r="AJ4194" s="9">
        <v>3.0428788910505911</v>
      </c>
    </row>
    <row r="4195" spans="1:36" x14ac:dyDescent="0.25">
      <c r="A4195" t="s">
        <v>5411</v>
      </c>
      <c r="B4195" t="s">
        <v>16</v>
      </c>
      <c r="C4195" t="s">
        <v>17</v>
      </c>
      <c r="D4195">
        <v>76105000</v>
      </c>
      <c r="E4195">
        <v>76109999</v>
      </c>
      <c r="F4195" t="s">
        <v>3816</v>
      </c>
      <c r="G4195" t="str">
        <f t="shared" si="130"/>
        <v>GOI II</v>
      </c>
      <c r="H4195" t="s">
        <v>3672</v>
      </c>
      <c r="I4195" t="s">
        <v>20</v>
      </c>
      <c r="J4195" t="s">
        <v>64</v>
      </c>
      <c r="K4195" s="6">
        <v>0.03</v>
      </c>
      <c r="L4195" s="7">
        <f t="shared" si="131"/>
        <v>2E-3</v>
      </c>
      <c r="M4195" s="7">
        <v>3.0000000000000001E-3</v>
      </c>
      <c r="N4195">
        <v>14</v>
      </c>
      <c r="O4195" s="8">
        <v>24.12918157169327</v>
      </c>
      <c r="P4195" s="9">
        <v>24.12918157169327</v>
      </c>
      <c r="Q4195" s="9">
        <v>24.12918157169327</v>
      </c>
      <c r="R4195" s="9">
        <v>25.337926603196635</v>
      </c>
      <c r="S4195" s="9">
        <v>26.739125453822282</v>
      </c>
      <c r="T4195" s="9">
        <v>27.918529456871191</v>
      </c>
      <c r="U4195" s="9">
        <v>29.567239706252465</v>
      </c>
      <c r="V4195" s="9">
        <v>29.567239706252465</v>
      </c>
      <c r="W4195" s="9">
        <v>29.567239706252465</v>
      </c>
      <c r="X4195" s="9">
        <v>32.768324265753506</v>
      </c>
      <c r="Y4195" s="9">
        <v>32.768324265753506</v>
      </c>
      <c r="Z4195" s="9">
        <v>36.06659911693589</v>
      </c>
      <c r="AA4195" s="9">
        <v>36.06659911693589</v>
      </c>
      <c r="AB4195" s="9">
        <v>39.471783288967806</v>
      </c>
      <c r="AC4195" s="9">
        <v>39.471783288967806</v>
      </c>
      <c r="AD4195" s="9">
        <v>44.89371961968488</v>
      </c>
      <c r="AE4195" s="9">
        <v>47.788360826374728</v>
      </c>
      <c r="AF4195" s="9">
        <v>50.811128677055613</v>
      </c>
      <c r="AG4195" s="9">
        <v>50.811128677055613</v>
      </c>
      <c r="AH4195" s="9">
        <v>54.808386973888702</v>
      </c>
      <c r="AI4195" s="9">
        <v>57.901475997525047</v>
      </c>
      <c r="AJ4195" s="9">
        <v>3.0428788910505911</v>
      </c>
    </row>
    <row r="4196" spans="1:36" x14ac:dyDescent="0.25">
      <c r="A4196" t="s">
        <v>5411</v>
      </c>
      <c r="B4196" t="s">
        <v>16</v>
      </c>
      <c r="C4196" t="s">
        <v>17</v>
      </c>
      <c r="D4196">
        <v>76110000</v>
      </c>
      <c r="E4196">
        <v>76119999</v>
      </c>
      <c r="F4196" t="s">
        <v>3817</v>
      </c>
      <c r="G4196" t="str">
        <f t="shared" si="130"/>
        <v>GOI II</v>
      </c>
      <c r="H4196" t="s">
        <v>3672</v>
      </c>
      <c r="I4196" t="s">
        <v>20</v>
      </c>
      <c r="J4196" t="s">
        <v>64</v>
      </c>
      <c r="K4196" s="6">
        <v>0.03</v>
      </c>
      <c r="L4196" s="7">
        <f t="shared" si="131"/>
        <v>2E-3</v>
      </c>
      <c r="M4196" s="7">
        <v>3.0000000000000001E-3</v>
      </c>
      <c r="N4196">
        <v>14</v>
      </c>
      <c r="O4196" s="8">
        <v>24.12918157169327</v>
      </c>
      <c r="P4196" s="9">
        <v>24.12918157169327</v>
      </c>
      <c r="Q4196" s="9">
        <v>24.12918157169327</v>
      </c>
      <c r="R4196" s="9">
        <v>25.337926603196635</v>
      </c>
      <c r="S4196" s="9">
        <v>26.739125453822282</v>
      </c>
      <c r="T4196" s="9">
        <v>27.918529456871191</v>
      </c>
      <c r="U4196" s="9">
        <v>29.567239706252465</v>
      </c>
      <c r="V4196" s="9">
        <v>29.567239706252465</v>
      </c>
      <c r="W4196" s="9">
        <v>29.567239706252465</v>
      </c>
      <c r="X4196" s="9">
        <v>32.768324265753506</v>
      </c>
      <c r="Y4196" s="9">
        <v>32.768324265753506</v>
      </c>
      <c r="Z4196" s="9">
        <v>36.06659911693589</v>
      </c>
      <c r="AA4196" s="9">
        <v>36.06659911693589</v>
      </c>
      <c r="AB4196" s="9">
        <v>39.471783288967806</v>
      </c>
      <c r="AC4196" s="9">
        <v>39.471783288967806</v>
      </c>
      <c r="AD4196" s="9">
        <v>44.89371961968488</v>
      </c>
      <c r="AE4196" s="9">
        <v>47.788360826374728</v>
      </c>
      <c r="AF4196" s="9">
        <v>50.811128677055613</v>
      </c>
      <c r="AG4196" s="9">
        <v>50.811128677055613</v>
      </c>
      <c r="AH4196" s="9">
        <v>54.808386973888702</v>
      </c>
      <c r="AI4196" s="9">
        <v>57.901475997525047</v>
      </c>
      <c r="AJ4196" s="9">
        <v>3.0428788910505911</v>
      </c>
    </row>
    <row r="4197" spans="1:36" x14ac:dyDescent="0.25">
      <c r="A4197" t="s">
        <v>5411</v>
      </c>
      <c r="B4197" t="s">
        <v>16</v>
      </c>
      <c r="C4197" t="s">
        <v>17</v>
      </c>
      <c r="D4197">
        <v>76120000</v>
      </c>
      <c r="E4197">
        <v>76124999</v>
      </c>
      <c r="F4197" t="s">
        <v>3818</v>
      </c>
      <c r="G4197" t="str">
        <f t="shared" si="130"/>
        <v>GOI II</v>
      </c>
      <c r="H4197" t="s">
        <v>3672</v>
      </c>
      <c r="I4197" t="s">
        <v>20</v>
      </c>
      <c r="J4197" t="s">
        <v>64</v>
      </c>
      <c r="K4197" s="6">
        <v>0.03</v>
      </c>
      <c r="L4197" s="7">
        <f t="shared" si="131"/>
        <v>2E-3</v>
      </c>
      <c r="M4197" s="7">
        <v>3.0000000000000001E-3</v>
      </c>
      <c r="N4197">
        <v>14</v>
      </c>
      <c r="O4197" s="8">
        <v>24.12918157169327</v>
      </c>
      <c r="P4197" s="9">
        <v>24.12918157169327</v>
      </c>
      <c r="Q4197" s="9">
        <v>24.12918157169327</v>
      </c>
      <c r="R4197" s="9">
        <v>25.337926603196635</v>
      </c>
      <c r="S4197" s="9">
        <v>26.739125453822282</v>
      </c>
      <c r="T4197" s="9">
        <v>27.918529456871191</v>
      </c>
      <c r="U4197" s="9">
        <v>29.567239706252465</v>
      </c>
      <c r="V4197" s="9">
        <v>29.567239706252465</v>
      </c>
      <c r="W4197" s="9">
        <v>29.567239706252465</v>
      </c>
      <c r="X4197" s="9">
        <v>32.768324265753506</v>
      </c>
      <c r="Y4197" s="9">
        <v>32.768324265753506</v>
      </c>
      <c r="Z4197" s="9">
        <v>36.06659911693589</v>
      </c>
      <c r="AA4197" s="9">
        <v>36.06659911693589</v>
      </c>
      <c r="AB4197" s="9">
        <v>39.471783288967806</v>
      </c>
      <c r="AC4197" s="9">
        <v>39.471783288967806</v>
      </c>
      <c r="AD4197" s="9">
        <v>44.89371961968488</v>
      </c>
      <c r="AE4197" s="9">
        <v>47.788360826374728</v>
      </c>
      <c r="AF4197" s="9">
        <v>50.811128677055613</v>
      </c>
      <c r="AG4197" s="9">
        <v>50.811128677055613</v>
      </c>
      <c r="AH4197" s="9">
        <v>54.808386973888702</v>
      </c>
      <c r="AI4197" s="9">
        <v>57.901475997525047</v>
      </c>
      <c r="AJ4197" s="9">
        <v>3.0428788910505911</v>
      </c>
    </row>
    <row r="4198" spans="1:36" x14ac:dyDescent="0.25">
      <c r="A4198" t="s">
        <v>5411</v>
      </c>
      <c r="B4198" t="s">
        <v>16</v>
      </c>
      <c r="C4198" t="s">
        <v>17</v>
      </c>
      <c r="D4198">
        <v>76125000</v>
      </c>
      <c r="E4198">
        <v>76129999</v>
      </c>
      <c r="F4198" t="s">
        <v>3819</v>
      </c>
      <c r="G4198" t="str">
        <f t="shared" si="130"/>
        <v>GOI II</v>
      </c>
      <c r="H4198" t="s">
        <v>3672</v>
      </c>
      <c r="I4198" t="s">
        <v>20</v>
      </c>
      <c r="J4198" t="s">
        <v>64</v>
      </c>
      <c r="K4198" s="6">
        <v>0.03</v>
      </c>
      <c r="L4198" s="7">
        <f t="shared" si="131"/>
        <v>2E-3</v>
      </c>
      <c r="M4198" s="7">
        <v>3.0000000000000001E-3</v>
      </c>
      <c r="N4198">
        <v>14</v>
      </c>
      <c r="O4198" s="8">
        <v>24.12918157169327</v>
      </c>
      <c r="P4198" s="9">
        <v>24.12918157169327</v>
      </c>
      <c r="Q4198" s="9">
        <v>24.12918157169327</v>
      </c>
      <c r="R4198" s="9">
        <v>25.337926603196635</v>
      </c>
      <c r="S4198" s="9">
        <v>26.739125453822282</v>
      </c>
      <c r="T4198" s="9">
        <v>27.918529456871191</v>
      </c>
      <c r="U4198" s="9">
        <v>29.567239706252465</v>
      </c>
      <c r="V4198" s="9">
        <v>29.567239706252465</v>
      </c>
      <c r="W4198" s="9">
        <v>29.567239706252465</v>
      </c>
      <c r="X4198" s="9">
        <v>32.768324265753506</v>
      </c>
      <c r="Y4198" s="9">
        <v>32.768324265753506</v>
      </c>
      <c r="Z4198" s="9">
        <v>36.06659911693589</v>
      </c>
      <c r="AA4198" s="9">
        <v>36.06659911693589</v>
      </c>
      <c r="AB4198" s="9">
        <v>39.471783288967806</v>
      </c>
      <c r="AC4198" s="9">
        <v>39.471783288967806</v>
      </c>
      <c r="AD4198" s="9">
        <v>44.89371961968488</v>
      </c>
      <c r="AE4198" s="9">
        <v>47.788360826374728</v>
      </c>
      <c r="AF4198" s="9">
        <v>50.811128677055613</v>
      </c>
      <c r="AG4198" s="9">
        <v>50.811128677055613</v>
      </c>
      <c r="AH4198" s="9">
        <v>54.808386973888702</v>
      </c>
      <c r="AI4198" s="9">
        <v>57.901475997525047</v>
      </c>
      <c r="AJ4198" s="9">
        <v>3.0428788910505911</v>
      </c>
    </row>
    <row r="4199" spans="1:36" x14ac:dyDescent="0.25">
      <c r="A4199" t="s">
        <v>5411</v>
      </c>
      <c r="B4199" t="s">
        <v>16</v>
      </c>
      <c r="C4199" t="s">
        <v>17</v>
      </c>
      <c r="D4199">
        <v>76130000</v>
      </c>
      <c r="E4199">
        <v>76134999</v>
      </c>
      <c r="F4199" t="s">
        <v>3820</v>
      </c>
      <c r="G4199" t="str">
        <f t="shared" si="130"/>
        <v>GOI II</v>
      </c>
      <c r="H4199" t="s">
        <v>3672</v>
      </c>
      <c r="I4199" t="s">
        <v>20</v>
      </c>
      <c r="J4199" t="s">
        <v>64</v>
      </c>
      <c r="K4199" s="6">
        <v>0.03</v>
      </c>
      <c r="L4199" s="7">
        <f t="shared" si="131"/>
        <v>2E-3</v>
      </c>
      <c r="M4199" s="7">
        <v>3.0000000000000001E-3</v>
      </c>
      <c r="N4199">
        <v>14</v>
      </c>
      <c r="O4199" s="8">
        <v>24.12918157169327</v>
      </c>
      <c r="P4199" s="9">
        <v>24.12918157169327</v>
      </c>
      <c r="Q4199" s="9">
        <v>24.12918157169327</v>
      </c>
      <c r="R4199" s="9">
        <v>25.337926603196635</v>
      </c>
      <c r="S4199" s="9">
        <v>26.739125453822282</v>
      </c>
      <c r="T4199" s="9">
        <v>27.918529456871191</v>
      </c>
      <c r="U4199" s="9">
        <v>29.567239706252465</v>
      </c>
      <c r="V4199" s="9">
        <v>29.567239706252465</v>
      </c>
      <c r="W4199" s="9">
        <v>29.567239706252465</v>
      </c>
      <c r="X4199" s="9">
        <v>32.768324265753506</v>
      </c>
      <c r="Y4199" s="9">
        <v>32.768324265753506</v>
      </c>
      <c r="Z4199" s="9">
        <v>36.06659911693589</v>
      </c>
      <c r="AA4199" s="9">
        <v>36.06659911693589</v>
      </c>
      <c r="AB4199" s="9">
        <v>39.471783288967806</v>
      </c>
      <c r="AC4199" s="9">
        <v>39.471783288967806</v>
      </c>
      <c r="AD4199" s="9">
        <v>44.89371961968488</v>
      </c>
      <c r="AE4199" s="9">
        <v>47.788360826374728</v>
      </c>
      <c r="AF4199" s="9">
        <v>50.811128677055613</v>
      </c>
      <c r="AG4199" s="9">
        <v>50.811128677055613</v>
      </c>
      <c r="AH4199" s="9">
        <v>54.808386973888702</v>
      </c>
      <c r="AI4199" s="9">
        <v>57.901475997525047</v>
      </c>
      <c r="AJ4199" s="9">
        <v>3.0428788910505911</v>
      </c>
    </row>
    <row r="4200" spans="1:36" x14ac:dyDescent="0.25">
      <c r="A4200" t="s">
        <v>5411</v>
      </c>
      <c r="B4200" t="s">
        <v>16</v>
      </c>
      <c r="C4200" t="s">
        <v>17</v>
      </c>
      <c r="D4200">
        <v>76135000</v>
      </c>
      <c r="E4200">
        <v>76139999</v>
      </c>
      <c r="F4200" t="s">
        <v>3821</v>
      </c>
      <c r="G4200" t="str">
        <f t="shared" si="130"/>
        <v>GOI II</v>
      </c>
      <c r="H4200" t="s">
        <v>3672</v>
      </c>
      <c r="I4200" t="s">
        <v>20</v>
      </c>
      <c r="J4200" t="s">
        <v>64</v>
      </c>
      <c r="K4200" s="6">
        <v>0.03</v>
      </c>
      <c r="L4200" s="7">
        <f t="shared" si="131"/>
        <v>2E-3</v>
      </c>
      <c r="M4200" s="7">
        <v>3.0000000000000001E-3</v>
      </c>
      <c r="N4200">
        <v>14</v>
      </c>
      <c r="O4200" s="8">
        <v>24.12918157169327</v>
      </c>
      <c r="P4200" s="9">
        <v>24.12918157169327</v>
      </c>
      <c r="Q4200" s="9">
        <v>24.12918157169327</v>
      </c>
      <c r="R4200" s="9">
        <v>25.337926603196635</v>
      </c>
      <c r="S4200" s="9">
        <v>26.739125453822282</v>
      </c>
      <c r="T4200" s="9">
        <v>27.918529456871191</v>
      </c>
      <c r="U4200" s="9">
        <v>29.567239706252465</v>
      </c>
      <c r="V4200" s="9">
        <v>29.567239706252465</v>
      </c>
      <c r="W4200" s="9">
        <v>29.567239706252465</v>
      </c>
      <c r="X4200" s="9">
        <v>32.768324265753506</v>
      </c>
      <c r="Y4200" s="9">
        <v>32.768324265753506</v>
      </c>
      <c r="Z4200" s="9">
        <v>36.06659911693589</v>
      </c>
      <c r="AA4200" s="9">
        <v>36.06659911693589</v>
      </c>
      <c r="AB4200" s="9">
        <v>39.471783288967806</v>
      </c>
      <c r="AC4200" s="9">
        <v>39.471783288967806</v>
      </c>
      <c r="AD4200" s="9">
        <v>44.89371961968488</v>
      </c>
      <c r="AE4200" s="9">
        <v>47.788360826374728</v>
      </c>
      <c r="AF4200" s="9">
        <v>50.811128677055613</v>
      </c>
      <c r="AG4200" s="9">
        <v>50.811128677055613</v>
      </c>
      <c r="AH4200" s="9">
        <v>54.808386973888702</v>
      </c>
      <c r="AI4200" s="9">
        <v>57.901475997525047</v>
      </c>
      <c r="AJ4200" s="9">
        <v>3.0428788910505911</v>
      </c>
    </row>
    <row r="4201" spans="1:36" x14ac:dyDescent="0.25">
      <c r="A4201" t="s">
        <v>5411</v>
      </c>
      <c r="B4201" t="s">
        <v>16</v>
      </c>
      <c r="C4201" t="s">
        <v>17</v>
      </c>
      <c r="D4201">
        <v>76140000</v>
      </c>
      <c r="E4201">
        <v>76144999</v>
      </c>
      <c r="F4201" t="s">
        <v>3822</v>
      </c>
      <c r="G4201" t="str">
        <f t="shared" si="130"/>
        <v>GOI II</v>
      </c>
      <c r="H4201" t="s">
        <v>3672</v>
      </c>
      <c r="I4201" t="s">
        <v>20</v>
      </c>
      <c r="J4201" t="s">
        <v>64</v>
      </c>
      <c r="K4201" s="6">
        <v>0.03</v>
      </c>
      <c r="L4201" s="7">
        <f t="shared" si="131"/>
        <v>2E-3</v>
      </c>
      <c r="M4201" s="7">
        <v>3.0000000000000001E-3</v>
      </c>
      <c r="N4201">
        <v>14</v>
      </c>
      <c r="O4201" s="8">
        <v>24.12918157169327</v>
      </c>
      <c r="P4201" s="9">
        <v>24.12918157169327</v>
      </c>
      <c r="Q4201" s="9">
        <v>24.12918157169327</v>
      </c>
      <c r="R4201" s="9">
        <v>25.337926603196635</v>
      </c>
      <c r="S4201" s="9">
        <v>26.739125453822282</v>
      </c>
      <c r="T4201" s="9">
        <v>27.918529456871191</v>
      </c>
      <c r="U4201" s="9">
        <v>29.567239706252465</v>
      </c>
      <c r="V4201" s="9">
        <v>29.567239706252465</v>
      </c>
      <c r="W4201" s="9">
        <v>29.567239706252465</v>
      </c>
      <c r="X4201" s="9">
        <v>32.768324265753506</v>
      </c>
      <c r="Y4201" s="9">
        <v>32.768324265753506</v>
      </c>
      <c r="Z4201" s="9">
        <v>36.06659911693589</v>
      </c>
      <c r="AA4201" s="9">
        <v>36.06659911693589</v>
      </c>
      <c r="AB4201" s="9">
        <v>39.471783288967806</v>
      </c>
      <c r="AC4201" s="9">
        <v>39.471783288967806</v>
      </c>
      <c r="AD4201" s="9">
        <v>44.89371961968488</v>
      </c>
      <c r="AE4201" s="9">
        <v>47.788360826374728</v>
      </c>
      <c r="AF4201" s="9">
        <v>50.811128677055613</v>
      </c>
      <c r="AG4201" s="9">
        <v>50.811128677055613</v>
      </c>
      <c r="AH4201" s="9">
        <v>54.808386973888702</v>
      </c>
      <c r="AI4201" s="9">
        <v>57.901475997525047</v>
      </c>
      <c r="AJ4201" s="9">
        <v>3.0428788910505911</v>
      </c>
    </row>
    <row r="4202" spans="1:36" x14ac:dyDescent="0.25">
      <c r="A4202" t="s">
        <v>5411</v>
      </c>
      <c r="B4202" t="s">
        <v>16</v>
      </c>
      <c r="C4202" t="s">
        <v>17</v>
      </c>
      <c r="D4202">
        <v>76145000</v>
      </c>
      <c r="E4202">
        <v>76149999</v>
      </c>
      <c r="F4202" t="s">
        <v>3823</v>
      </c>
      <c r="G4202" t="str">
        <f t="shared" si="130"/>
        <v>GOI II</v>
      </c>
      <c r="H4202" t="s">
        <v>3672</v>
      </c>
      <c r="I4202" t="s">
        <v>20</v>
      </c>
      <c r="J4202" t="s">
        <v>64</v>
      </c>
      <c r="K4202" s="6">
        <v>0.03</v>
      </c>
      <c r="L4202" s="7">
        <f t="shared" si="131"/>
        <v>2E-3</v>
      </c>
      <c r="M4202" s="7">
        <v>3.0000000000000001E-3</v>
      </c>
      <c r="N4202">
        <v>14</v>
      </c>
      <c r="O4202" s="8">
        <v>24.12918157169327</v>
      </c>
      <c r="P4202" s="9">
        <v>24.12918157169327</v>
      </c>
      <c r="Q4202" s="9">
        <v>24.12918157169327</v>
      </c>
      <c r="R4202" s="9">
        <v>25.337926603196635</v>
      </c>
      <c r="S4202" s="9">
        <v>26.739125453822282</v>
      </c>
      <c r="T4202" s="9">
        <v>27.918529456871191</v>
      </c>
      <c r="U4202" s="9">
        <v>29.567239706252465</v>
      </c>
      <c r="V4202" s="9">
        <v>29.567239706252465</v>
      </c>
      <c r="W4202" s="9">
        <v>29.567239706252465</v>
      </c>
      <c r="X4202" s="9">
        <v>32.768324265753506</v>
      </c>
      <c r="Y4202" s="9">
        <v>32.768324265753506</v>
      </c>
      <c r="Z4202" s="9">
        <v>36.06659911693589</v>
      </c>
      <c r="AA4202" s="9">
        <v>36.06659911693589</v>
      </c>
      <c r="AB4202" s="9">
        <v>39.471783288967806</v>
      </c>
      <c r="AC4202" s="9">
        <v>39.471783288967806</v>
      </c>
      <c r="AD4202" s="9">
        <v>44.89371961968488</v>
      </c>
      <c r="AE4202" s="9">
        <v>47.788360826374728</v>
      </c>
      <c r="AF4202" s="9">
        <v>50.811128677055613</v>
      </c>
      <c r="AG4202" s="9">
        <v>50.811128677055613</v>
      </c>
      <c r="AH4202" s="9">
        <v>54.808386973888702</v>
      </c>
      <c r="AI4202" s="9">
        <v>57.901475997525047</v>
      </c>
      <c r="AJ4202" s="9">
        <v>3.0428788910505911</v>
      </c>
    </row>
    <row r="4203" spans="1:36" x14ac:dyDescent="0.25">
      <c r="A4203" t="s">
        <v>5411</v>
      </c>
      <c r="B4203" t="s">
        <v>16</v>
      </c>
      <c r="C4203" t="s">
        <v>17</v>
      </c>
      <c r="D4203">
        <v>76150000</v>
      </c>
      <c r="E4203">
        <v>76151999</v>
      </c>
      <c r="F4203" t="s">
        <v>3824</v>
      </c>
      <c r="G4203" t="str">
        <f t="shared" si="130"/>
        <v>GOI II</v>
      </c>
      <c r="H4203" t="s">
        <v>3672</v>
      </c>
      <c r="I4203" t="s">
        <v>20</v>
      </c>
      <c r="J4203" t="s">
        <v>64</v>
      </c>
      <c r="K4203" s="6">
        <v>0.03</v>
      </c>
      <c r="L4203" s="7">
        <f t="shared" si="131"/>
        <v>2E-3</v>
      </c>
      <c r="M4203" s="7">
        <v>3.0000000000000001E-3</v>
      </c>
      <c r="N4203">
        <v>14</v>
      </c>
      <c r="O4203" s="8">
        <v>24.12918157169327</v>
      </c>
      <c r="P4203" s="9">
        <v>24.12918157169327</v>
      </c>
      <c r="Q4203" s="9">
        <v>24.12918157169327</v>
      </c>
      <c r="R4203" s="9">
        <v>25.337926603196635</v>
      </c>
      <c r="S4203" s="9">
        <v>26.739125453822282</v>
      </c>
      <c r="T4203" s="9">
        <v>27.918529456871191</v>
      </c>
      <c r="U4203" s="9">
        <v>29.567239706252465</v>
      </c>
      <c r="V4203" s="9">
        <v>29.567239706252465</v>
      </c>
      <c r="W4203" s="9">
        <v>29.567239706252465</v>
      </c>
      <c r="X4203" s="9">
        <v>32.768324265753506</v>
      </c>
      <c r="Y4203" s="9">
        <v>32.768324265753506</v>
      </c>
      <c r="Z4203" s="9">
        <v>36.06659911693589</v>
      </c>
      <c r="AA4203" s="9">
        <v>36.06659911693589</v>
      </c>
      <c r="AB4203" s="9">
        <v>39.471783288967806</v>
      </c>
      <c r="AC4203" s="9">
        <v>39.471783288967806</v>
      </c>
      <c r="AD4203" s="9">
        <v>44.89371961968488</v>
      </c>
      <c r="AE4203" s="9">
        <v>47.788360826374728</v>
      </c>
      <c r="AF4203" s="9">
        <v>50.811128677055613</v>
      </c>
      <c r="AG4203" s="9">
        <v>50.811128677055613</v>
      </c>
      <c r="AH4203" s="9">
        <v>54.808386973888702</v>
      </c>
      <c r="AI4203" s="9">
        <v>57.901475997525047</v>
      </c>
      <c r="AJ4203" s="9">
        <v>3.0428788910505911</v>
      </c>
    </row>
    <row r="4204" spans="1:36" x14ac:dyDescent="0.25">
      <c r="A4204" t="s">
        <v>5411</v>
      </c>
      <c r="B4204" t="s">
        <v>16</v>
      </c>
      <c r="C4204" t="s">
        <v>17</v>
      </c>
      <c r="D4204">
        <v>76152000</v>
      </c>
      <c r="E4204">
        <v>76154999</v>
      </c>
      <c r="F4204" t="s">
        <v>3825</v>
      </c>
      <c r="G4204" t="str">
        <f t="shared" si="130"/>
        <v>GOI II</v>
      </c>
      <c r="H4204" t="s">
        <v>3672</v>
      </c>
      <c r="I4204" t="s">
        <v>20</v>
      </c>
      <c r="J4204" t="s">
        <v>64</v>
      </c>
      <c r="K4204" s="6">
        <v>0.03</v>
      </c>
      <c r="L4204" s="7">
        <f t="shared" si="131"/>
        <v>2E-3</v>
      </c>
      <c r="M4204" s="7">
        <v>3.0000000000000001E-3</v>
      </c>
      <c r="N4204">
        <v>14</v>
      </c>
      <c r="O4204" s="8">
        <v>24.12918157169327</v>
      </c>
      <c r="P4204" s="9">
        <v>24.12918157169327</v>
      </c>
      <c r="Q4204" s="9">
        <v>24.12918157169327</v>
      </c>
      <c r="R4204" s="9">
        <v>25.337926603196635</v>
      </c>
      <c r="S4204" s="9">
        <v>26.739125453822282</v>
      </c>
      <c r="T4204" s="9">
        <v>27.918529456871191</v>
      </c>
      <c r="U4204" s="9">
        <v>29.567239706252465</v>
      </c>
      <c r="V4204" s="9">
        <v>29.567239706252465</v>
      </c>
      <c r="W4204" s="9">
        <v>29.567239706252465</v>
      </c>
      <c r="X4204" s="9">
        <v>32.768324265753506</v>
      </c>
      <c r="Y4204" s="9">
        <v>32.768324265753506</v>
      </c>
      <c r="Z4204" s="9">
        <v>36.06659911693589</v>
      </c>
      <c r="AA4204" s="9">
        <v>36.06659911693589</v>
      </c>
      <c r="AB4204" s="9">
        <v>39.471783288967806</v>
      </c>
      <c r="AC4204" s="9">
        <v>39.471783288967806</v>
      </c>
      <c r="AD4204" s="9">
        <v>44.89371961968488</v>
      </c>
      <c r="AE4204" s="9">
        <v>47.788360826374728</v>
      </c>
      <c r="AF4204" s="9">
        <v>50.811128677055613</v>
      </c>
      <c r="AG4204" s="9">
        <v>50.811128677055613</v>
      </c>
      <c r="AH4204" s="9">
        <v>54.808386973888702</v>
      </c>
      <c r="AI4204" s="9">
        <v>57.901475997525047</v>
      </c>
      <c r="AJ4204" s="9">
        <v>3.0428788910505911</v>
      </c>
    </row>
    <row r="4205" spans="1:36" x14ac:dyDescent="0.25">
      <c r="A4205" t="s">
        <v>5411</v>
      </c>
      <c r="B4205" t="s">
        <v>16</v>
      </c>
      <c r="C4205" t="s">
        <v>17</v>
      </c>
      <c r="D4205">
        <v>76155000</v>
      </c>
      <c r="E4205">
        <v>76159999</v>
      </c>
      <c r="F4205" t="s">
        <v>3826</v>
      </c>
      <c r="G4205" t="str">
        <f t="shared" si="130"/>
        <v>GOI II</v>
      </c>
      <c r="H4205" t="s">
        <v>3672</v>
      </c>
      <c r="I4205" t="s">
        <v>20</v>
      </c>
      <c r="J4205" t="s">
        <v>64</v>
      </c>
      <c r="K4205" s="6">
        <v>0.03</v>
      </c>
      <c r="L4205" s="7">
        <f t="shared" si="131"/>
        <v>2E-3</v>
      </c>
      <c r="M4205" s="7">
        <v>3.0000000000000001E-3</v>
      </c>
      <c r="N4205">
        <v>14</v>
      </c>
      <c r="O4205" s="8">
        <v>24.12918157169327</v>
      </c>
      <c r="P4205" s="9">
        <v>24.12918157169327</v>
      </c>
      <c r="Q4205" s="9">
        <v>24.12918157169327</v>
      </c>
      <c r="R4205" s="9">
        <v>25.337926603196635</v>
      </c>
      <c r="S4205" s="9">
        <v>26.739125453822282</v>
      </c>
      <c r="T4205" s="9">
        <v>27.918529456871191</v>
      </c>
      <c r="U4205" s="9">
        <v>29.567239706252465</v>
      </c>
      <c r="V4205" s="9">
        <v>29.567239706252465</v>
      </c>
      <c r="W4205" s="9">
        <v>29.567239706252465</v>
      </c>
      <c r="X4205" s="9">
        <v>32.768324265753506</v>
      </c>
      <c r="Y4205" s="9">
        <v>32.768324265753506</v>
      </c>
      <c r="Z4205" s="9">
        <v>36.06659911693589</v>
      </c>
      <c r="AA4205" s="9">
        <v>36.06659911693589</v>
      </c>
      <c r="AB4205" s="9">
        <v>39.471783288967806</v>
      </c>
      <c r="AC4205" s="9">
        <v>39.471783288967806</v>
      </c>
      <c r="AD4205" s="9">
        <v>44.89371961968488</v>
      </c>
      <c r="AE4205" s="9">
        <v>47.788360826374728</v>
      </c>
      <c r="AF4205" s="9">
        <v>50.811128677055613</v>
      </c>
      <c r="AG4205" s="9">
        <v>50.811128677055613</v>
      </c>
      <c r="AH4205" s="9">
        <v>54.808386973888702</v>
      </c>
      <c r="AI4205" s="9">
        <v>57.901475997525047</v>
      </c>
      <c r="AJ4205" s="9">
        <v>3.0428788910505911</v>
      </c>
    </row>
    <row r="4206" spans="1:36" x14ac:dyDescent="0.25">
      <c r="A4206" t="s">
        <v>5411</v>
      </c>
      <c r="B4206" t="s">
        <v>16</v>
      </c>
      <c r="C4206" t="s">
        <v>17</v>
      </c>
      <c r="D4206">
        <v>76160000</v>
      </c>
      <c r="E4206">
        <v>76164999</v>
      </c>
      <c r="F4206" t="s">
        <v>3827</v>
      </c>
      <c r="G4206" t="str">
        <f t="shared" si="130"/>
        <v>GOI II</v>
      </c>
      <c r="H4206" t="s">
        <v>3672</v>
      </c>
      <c r="I4206" t="s">
        <v>20</v>
      </c>
      <c r="J4206" t="s">
        <v>64</v>
      </c>
      <c r="K4206" s="6">
        <v>0.03</v>
      </c>
      <c r="L4206" s="7">
        <f t="shared" si="131"/>
        <v>2E-3</v>
      </c>
      <c r="M4206" s="7">
        <v>3.0000000000000001E-3</v>
      </c>
      <c r="N4206">
        <v>14</v>
      </c>
      <c r="O4206" s="8">
        <v>24.12918157169327</v>
      </c>
      <c r="P4206" s="9">
        <v>24.12918157169327</v>
      </c>
      <c r="Q4206" s="9">
        <v>24.12918157169327</v>
      </c>
      <c r="R4206" s="9">
        <v>25.337926603196635</v>
      </c>
      <c r="S4206" s="9">
        <v>26.739125453822282</v>
      </c>
      <c r="T4206" s="9">
        <v>27.918529456871191</v>
      </c>
      <c r="U4206" s="9">
        <v>29.567239706252465</v>
      </c>
      <c r="V4206" s="9">
        <v>29.567239706252465</v>
      </c>
      <c r="W4206" s="9">
        <v>29.567239706252465</v>
      </c>
      <c r="X4206" s="9">
        <v>32.768324265753506</v>
      </c>
      <c r="Y4206" s="9">
        <v>32.768324265753506</v>
      </c>
      <c r="Z4206" s="9">
        <v>36.06659911693589</v>
      </c>
      <c r="AA4206" s="9">
        <v>36.06659911693589</v>
      </c>
      <c r="AB4206" s="9">
        <v>39.471783288967806</v>
      </c>
      <c r="AC4206" s="9">
        <v>39.471783288967806</v>
      </c>
      <c r="AD4206" s="9">
        <v>44.89371961968488</v>
      </c>
      <c r="AE4206" s="9">
        <v>47.788360826374728</v>
      </c>
      <c r="AF4206" s="9">
        <v>50.811128677055613</v>
      </c>
      <c r="AG4206" s="9">
        <v>50.811128677055613</v>
      </c>
      <c r="AH4206" s="9">
        <v>54.808386973888702</v>
      </c>
      <c r="AI4206" s="9">
        <v>57.901475997525047</v>
      </c>
      <c r="AJ4206" s="9">
        <v>3.0428788910505911</v>
      </c>
    </row>
    <row r="4207" spans="1:36" x14ac:dyDescent="0.25">
      <c r="A4207" t="s">
        <v>5411</v>
      </c>
      <c r="B4207" t="s">
        <v>16</v>
      </c>
      <c r="C4207" t="s">
        <v>17</v>
      </c>
      <c r="D4207">
        <v>76165000</v>
      </c>
      <c r="E4207">
        <v>76169999</v>
      </c>
      <c r="F4207" t="s">
        <v>3828</v>
      </c>
      <c r="G4207" t="str">
        <f t="shared" si="130"/>
        <v>GOI II</v>
      </c>
      <c r="H4207" t="s">
        <v>3672</v>
      </c>
      <c r="I4207" t="s">
        <v>20</v>
      </c>
      <c r="J4207" t="s">
        <v>64</v>
      </c>
      <c r="K4207" s="6">
        <v>0.03</v>
      </c>
      <c r="L4207" s="7">
        <f t="shared" si="131"/>
        <v>2E-3</v>
      </c>
      <c r="M4207" s="7">
        <v>3.0000000000000001E-3</v>
      </c>
      <c r="N4207">
        <v>14</v>
      </c>
      <c r="O4207" s="8">
        <v>24.12918157169327</v>
      </c>
      <c r="P4207" s="9">
        <v>24.12918157169327</v>
      </c>
      <c r="Q4207" s="9">
        <v>24.12918157169327</v>
      </c>
      <c r="R4207" s="9">
        <v>25.337926603196635</v>
      </c>
      <c r="S4207" s="9">
        <v>26.739125453822282</v>
      </c>
      <c r="T4207" s="9">
        <v>27.918529456871191</v>
      </c>
      <c r="U4207" s="9">
        <v>29.567239706252465</v>
      </c>
      <c r="V4207" s="9">
        <v>29.567239706252465</v>
      </c>
      <c r="W4207" s="9">
        <v>29.567239706252465</v>
      </c>
      <c r="X4207" s="9">
        <v>32.768324265753506</v>
      </c>
      <c r="Y4207" s="9">
        <v>32.768324265753506</v>
      </c>
      <c r="Z4207" s="9">
        <v>36.06659911693589</v>
      </c>
      <c r="AA4207" s="9">
        <v>36.06659911693589</v>
      </c>
      <c r="AB4207" s="9">
        <v>39.471783288967806</v>
      </c>
      <c r="AC4207" s="9">
        <v>39.471783288967806</v>
      </c>
      <c r="AD4207" s="9">
        <v>44.89371961968488</v>
      </c>
      <c r="AE4207" s="9">
        <v>47.788360826374728</v>
      </c>
      <c r="AF4207" s="9">
        <v>50.811128677055613</v>
      </c>
      <c r="AG4207" s="9">
        <v>50.811128677055613</v>
      </c>
      <c r="AH4207" s="9">
        <v>54.808386973888702</v>
      </c>
      <c r="AI4207" s="9">
        <v>57.901475997525047</v>
      </c>
      <c r="AJ4207" s="9">
        <v>3.0428788910505911</v>
      </c>
    </row>
    <row r="4208" spans="1:36" x14ac:dyDescent="0.25">
      <c r="A4208" t="s">
        <v>5411</v>
      </c>
      <c r="B4208" t="s">
        <v>16</v>
      </c>
      <c r="C4208" t="s">
        <v>17</v>
      </c>
      <c r="D4208">
        <v>76170000</v>
      </c>
      <c r="E4208">
        <v>76179999</v>
      </c>
      <c r="F4208" t="s">
        <v>3829</v>
      </c>
      <c r="G4208" t="str">
        <f t="shared" si="130"/>
        <v>GOI II</v>
      </c>
      <c r="H4208" t="s">
        <v>3672</v>
      </c>
      <c r="I4208" t="s">
        <v>20</v>
      </c>
      <c r="J4208" t="s">
        <v>64</v>
      </c>
      <c r="K4208" s="6">
        <v>0.03</v>
      </c>
      <c r="L4208" s="7">
        <f t="shared" si="131"/>
        <v>2E-3</v>
      </c>
      <c r="M4208" s="7">
        <v>3.0000000000000001E-3</v>
      </c>
      <c r="N4208">
        <v>14</v>
      </c>
      <c r="O4208" s="8">
        <v>24.12918157169327</v>
      </c>
      <c r="P4208" s="9">
        <v>24.12918157169327</v>
      </c>
      <c r="Q4208" s="9">
        <v>24.12918157169327</v>
      </c>
      <c r="R4208" s="9">
        <v>25.337926603196635</v>
      </c>
      <c r="S4208" s="9">
        <v>26.739125453822282</v>
      </c>
      <c r="T4208" s="9">
        <v>27.918529456871191</v>
      </c>
      <c r="U4208" s="9">
        <v>29.567239706252465</v>
      </c>
      <c r="V4208" s="9">
        <v>29.567239706252465</v>
      </c>
      <c r="W4208" s="9">
        <v>29.567239706252465</v>
      </c>
      <c r="X4208" s="9">
        <v>32.768324265753506</v>
      </c>
      <c r="Y4208" s="9">
        <v>32.768324265753506</v>
      </c>
      <c r="Z4208" s="9">
        <v>36.06659911693589</v>
      </c>
      <c r="AA4208" s="9">
        <v>36.06659911693589</v>
      </c>
      <c r="AB4208" s="9">
        <v>39.471783288967806</v>
      </c>
      <c r="AC4208" s="9">
        <v>39.471783288967806</v>
      </c>
      <c r="AD4208" s="9">
        <v>44.89371961968488</v>
      </c>
      <c r="AE4208" s="9">
        <v>47.788360826374728</v>
      </c>
      <c r="AF4208" s="9">
        <v>50.811128677055613</v>
      </c>
      <c r="AG4208" s="9">
        <v>50.811128677055613</v>
      </c>
      <c r="AH4208" s="9">
        <v>54.808386973888702</v>
      </c>
      <c r="AI4208" s="9">
        <v>57.901475997525047</v>
      </c>
      <c r="AJ4208" s="9">
        <v>3.0428788910505911</v>
      </c>
    </row>
    <row r="4209" spans="1:36" x14ac:dyDescent="0.25">
      <c r="A4209" t="s">
        <v>5411</v>
      </c>
      <c r="B4209" t="s">
        <v>16</v>
      </c>
      <c r="C4209" t="s">
        <v>17</v>
      </c>
      <c r="D4209">
        <v>76180000</v>
      </c>
      <c r="E4209">
        <v>76189999</v>
      </c>
      <c r="F4209" t="s">
        <v>3830</v>
      </c>
      <c r="G4209" t="str">
        <f t="shared" si="130"/>
        <v>GOI</v>
      </c>
      <c r="H4209" t="s">
        <v>3672</v>
      </c>
      <c r="I4209" t="s">
        <v>20</v>
      </c>
      <c r="J4209" t="s">
        <v>62</v>
      </c>
      <c r="K4209" s="6">
        <v>0.03</v>
      </c>
      <c r="L4209" s="7">
        <f t="shared" si="131"/>
        <v>2E-3</v>
      </c>
      <c r="M4209" s="7">
        <v>3.0000000000000001E-3</v>
      </c>
      <c r="N4209">
        <v>9</v>
      </c>
      <c r="O4209" s="8">
        <v>20.377140471637041</v>
      </c>
      <c r="P4209" s="9">
        <v>20.377140471637041</v>
      </c>
      <c r="Q4209" s="9">
        <v>20.377140471637041</v>
      </c>
      <c r="R4209" s="9">
        <v>21.402978767052765</v>
      </c>
      <c r="S4209" s="9">
        <v>22.589768980199143</v>
      </c>
      <c r="T4209" s="9">
        <v>24.040396091340774</v>
      </c>
      <c r="U4209" s="9">
        <v>25.448505028591189</v>
      </c>
      <c r="V4209" s="9">
        <v>25.448505028591189</v>
      </c>
      <c r="W4209" s="9">
        <v>25.448505028591189</v>
      </c>
      <c r="X4209" s="9">
        <v>28.109873114011638</v>
      </c>
      <c r="Y4209" s="9">
        <v>28.109873114011638</v>
      </c>
      <c r="Z4209" s="9">
        <v>30.975097350688763</v>
      </c>
      <c r="AA4209" s="9">
        <v>30.975097350688763</v>
      </c>
      <c r="AB4209" s="9">
        <v>34.370578528895656</v>
      </c>
      <c r="AC4209" s="9">
        <v>34.370578528895656</v>
      </c>
      <c r="AD4209" s="9">
        <v>39.013187474230911</v>
      </c>
      <c r="AE4209" s="9">
        <v>42.452173954636635</v>
      </c>
      <c r="AF4209" s="9">
        <v>47.478364248265585</v>
      </c>
      <c r="AG4209" s="9">
        <v>47.478364248265585</v>
      </c>
      <c r="AH4209" s="9">
        <v>50.815992158664379</v>
      </c>
      <c r="AI4209" s="9">
        <v>54.045500821302042</v>
      </c>
      <c r="AJ4209" s="9">
        <v>3.0428788910505911</v>
      </c>
    </row>
    <row r="4210" spans="1:36" x14ac:dyDescent="0.25">
      <c r="A4210" t="s">
        <v>5411</v>
      </c>
      <c r="B4210" t="s">
        <v>16</v>
      </c>
      <c r="C4210" t="s">
        <v>17</v>
      </c>
      <c r="D4210">
        <v>76190000</v>
      </c>
      <c r="E4210">
        <v>76194999</v>
      </c>
      <c r="F4210" t="s">
        <v>3831</v>
      </c>
      <c r="G4210" t="str">
        <f t="shared" si="130"/>
        <v>GOI</v>
      </c>
      <c r="H4210" t="s">
        <v>3672</v>
      </c>
      <c r="I4210" t="s">
        <v>20</v>
      </c>
      <c r="J4210" t="s">
        <v>62</v>
      </c>
      <c r="K4210" s="6">
        <v>0.03</v>
      </c>
      <c r="L4210" s="7">
        <f t="shared" si="131"/>
        <v>2E-3</v>
      </c>
      <c r="M4210" s="7">
        <v>3.0000000000000001E-3</v>
      </c>
      <c r="N4210">
        <v>9</v>
      </c>
      <c r="O4210" s="8">
        <v>20.377140471637041</v>
      </c>
      <c r="P4210" s="9">
        <v>20.377140471637041</v>
      </c>
      <c r="Q4210" s="9">
        <v>20.377140471637041</v>
      </c>
      <c r="R4210" s="9">
        <v>21.402978767052765</v>
      </c>
      <c r="S4210" s="9">
        <v>22.589768980199143</v>
      </c>
      <c r="T4210" s="9">
        <v>24.040396091340774</v>
      </c>
      <c r="U4210" s="9">
        <v>25.448505028591189</v>
      </c>
      <c r="V4210" s="9">
        <v>25.448505028591189</v>
      </c>
      <c r="W4210" s="9">
        <v>25.448505028591189</v>
      </c>
      <c r="X4210" s="9">
        <v>28.109873114011638</v>
      </c>
      <c r="Y4210" s="9">
        <v>28.109873114011638</v>
      </c>
      <c r="Z4210" s="9">
        <v>30.975097350688763</v>
      </c>
      <c r="AA4210" s="9">
        <v>30.975097350688763</v>
      </c>
      <c r="AB4210" s="9">
        <v>34.370578528895656</v>
      </c>
      <c r="AC4210" s="9">
        <v>34.370578528895656</v>
      </c>
      <c r="AD4210" s="9">
        <v>39.013187474230911</v>
      </c>
      <c r="AE4210" s="9">
        <v>42.452173954636635</v>
      </c>
      <c r="AF4210" s="9">
        <v>47.478364248265585</v>
      </c>
      <c r="AG4210" s="9">
        <v>47.478364248265585</v>
      </c>
      <c r="AH4210" s="9">
        <v>50.815992158664379</v>
      </c>
      <c r="AI4210" s="9">
        <v>54.045500821302042</v>
      </c>
      <c r="AJ4210" s="9">
        <v>3.0428788910505911</v>
      </c>
    </row>
    <row r="4211" spans="1:36" x14ac:dyDescent="0.25">
      <c r="A4211" t="s">
        <v>5411</v>
      </c>
      <c r="B4211" t="s">
        <v>16</v>
      </c>
      <c r="C4211" t="s">
        <v>17</v>
      </c>
      <c r="D4211">
        <v>76195000</v>
      </c>
      <c r="E4211">
        <v>76199999</v>
      </c>
      <c r="F4211" t="s">
        <v>3832</v>
      </c>
      <c r="G4211" t="str">
        <f t="shared" si="130"/>
        <v>GOI</v>
      </c>
      <c r="H4211" t="s">
        <v>3672</v>
      </c>
      <c r="I4211" t="s">
        <v>20</v>
      </c>
      <c r="J4211" t="s">
        <v>62</v>
      </c>
      <c r="K4211" s="6">
        <v>0.03</v>
      </c>
      <c r="L4211" s="7">
        <f t="shared" si="131"/>
        <v>2E-3</v>
      </c>
      <c r="M4211" s="7">
        <v>3.0000000000000001E-3</v>
      </c>
      <c r="N4211">
        <v>9</v>
      </c>
      <c r="O4211" s="8">
        <v>20.377140471637041</v>
      </c>
      <c r="P4211" s="9">
        <v>20.377140471637041</v>
      </c>
      <c r="Q4211" s="9">
        <v>20.377140471637041</v>
      </c>
      <c r="R4211" s="9">
        <v>21.402978767052765</v>
      </c>
      <c r="S4211" s="9">
        <v>22.589768980199143</v>
      </c>
      <c r="T4211" s="9">
        <v>24.040396091340774</v>
      </c>
      <c r="U4211" s="9">
        <v>25.448505028591189</v>
      </c>
      <c r="V4211" s="9">
        <v>25.448505028591189</v>
      </c>
      <c r="W4211" s="9">
        <v>25.448505028591189</v>
      </c>
      <c r="X4211" s="9">
        <v>28.109873114011638</v>
      </c>
      <c r="Y4211" s="9">
        <v>28.109873114011638</v>
      </c>
      <c r="Z4211" s="9">
        <v>30.975097350688763</v>
      </c>
      <c r="AA4211" s="9">
        <v>30.975097350688763</v>
      </c>
      <c r="AB4211" s="9">
        <v>34.370578528895656</v>
      </c>
      <c r="AC4211" s="9">
        <v>34.370578528895656</v>
      </c>
      <c r="AD4211" s="9">
        <v>39.013187474230911</v>
      </c>
      <c r="AE4211" s="9">
        <v>42.452173954636635</v>
      </c>
      <c r="AF4211" s="9">
        <v>47.478364248265585</v>
      </c>
      <c r="AG4211" s="9">
        <v>47.478364248265585</v>
      </c>
      <c r="AH4211" s="9">
        <v>50.815992158664379</v>
      </c>
      <c r="AI4211" s="9">
        <v>54.045500821302042</v>
      </c>
      <c r="AJ4211" s="9">
        <v>3.0428788910505911</v>
      </c>
    </row>
    <row r="4212" spans="1:36" x14ac:dyDescent="0.25">
      <c r="A4212" t="s">
        <v>5411</v>
      </c>
      <c r="B4212" t="s">
        <v>16</v>
      </c>
      <c r="C4212" t="s">
        <v>17</v>
      </c>
      <c r="D4212">
        <v>76200000</v>
      </c>
      <c r="E4212">
        <v>76204999</v>
      </c>
      <c r="F4212" t="s">
        <v>3833</v>
      </c>
      <c r="G4212" t="str">
        <f t="shared" si="130"/>
        <v>GOI II</v>
      </c>
      <c r="H4212" t="s">
        <v>3672</v>
      </c>
      <c r="I4212" t="s">
        <v>20</v>
      </c>
      <c r="J4212" t="s">
        <v>64</v>
      </c>
      <c r="K4212" s="6">
        <v>0.03</v>
      </c>
      <c r="L4212" s="7">
        <f t="shared" si="131"/>
        <v>2E-3</v>
      </c>
      <c r="M4212" s="7">
        <v>3.0000000000000001E-3</v>
      </c>
      <c r="N4212">
        <v>14</v>
      </c>
      <c r="O4212" s="8">
        <v>24.12918157169327</v>
      </c>
      <c r="P4212" s="9">
        <v>24.12918157169327</v>
      </c>
      <c r="Q4212" s="9">
        <v>24.12918157169327</v>
      </c>
      <c r="R4212" s="9">
        <v>25.337926603196635</v>
      </c>
      <c r="S4212" s="9">
        <v>26.739125453822282</v>
      </c>
      <c r="T4212" s="9">
        <v>27.918529456871191</v>
      </c>
      <c r="U4212" s="9">
        <v>29.567239706252465</v>
      </c>
      <c r="V4212" s="9">
        <v>29.567239706252465</v>
      </c>
      <c r="W4212" s="9">
        <v>29.567239706252465</v>
      </c>
      <c r="X4212" s="9">
        <v>32.768324265753506</v>
      </c>
      <c r="Y4212" s="9">
        <v>32.768324265753506</v>
      </c>
      <c r="Z4212" s="9">
        <v>36.06659911693589</v>
      </c>
      <c r="AA4212" s="9">
        <v>36.06659911693589</v>
      </c>
      <c r="AB4212" s="9">
        <v>39.471783288967806</v>
      </c>
      <c r="AC4212" s="9">
        <v>39.471783288967806</v>
      </c>
      <c r="AD4212" s="9">
        <v>44.89371961968488</v>
      </c>
      <c r="AE4212" s="9">
        <v>47.788360826374728</v>
      </c>
      <c r="AF4212" s="9">
        <v>50.811128677055613</v>
      </c>
      <c r="AG4212" s="9">
        <v>50.811128677055613</v>
      </c>
      <c r="AH4212" s="9">
        <v>54.808386973888702</v>
      </c>
      <c r="AI4212" s="9">
        <v>57.901475997525047</v>
      </c>
      <c r="AJ4212" s="9">
        <v>3.0428788910505911</v>
      </c>
    </row>
    <row r="4213" spans="1:36" x14ac:dyDescent="0.25">
      <c r="A4213" t="s">
        <v>5411</v>
      </c>
      <c r="B4213" t="s">
        <v>16</v>
      </c>
      <c r="C4213" t="s">
        <v>17</v>
      </c>
      <c r="D4213">
        <v>76205000</v>
      </c>
      <c r="E4213">
        <v>76209999</v>
      </c>
      <c r="F4213" t="s">
        <v>3834</v>
      </c>
      <c r="G4213" t="str">
        <f t="shared" si="130"/>
        <v>GOI II</v>
      </c>
      <c r="H4213" t="s">
        <v>3672</v>
      </c>
      <c r="I4213" t="s">
        <v>20</v>
      </c>
      <c r="J4213" t="s">
        <v>64</v>
      </c>
      <c r="K4213" s="6">
        <v>0.03</v>
      </c>
      <c r="L4213" s="7">
        <f t="shared" si="131"/>
        <v>2E-3</v>
      </c>
      <c r="M4213" s="7">
        <v>3.0000000000000001E-3</v>
      </c>
      <c r="N4213">
        <v>14</v>
      </c>
      <c r="O4213" s="8">
        <v>24.12918157169327</v>
      </c>
      <c r="P4213" s="9">
        <v>24.12918157169327</v>
      </c>
      <c r="Q4213" s="9">
        <v>24.12918157169327</v>
      </c>
      <c r="R4213" s="9">
        <v>25.337926603196635</v>
      </c>
      <c r="S4213" s="9">
        <v>26.739125453822282</v>
      </c>
      <c r="T4213" s="9">
        <v>27.918529456871191</v>
      </c>
      <c r="U4213" s="9">
        <v>29.567239706252465</v>
      </c>
      <c r="V4213" s="9">
        <v>29.567239706252465</v>
      </c>
      <c r="W4213" s="9">
        <v>29.567239706252465</v>
      </c>
      <c r="X4213" s="9">
        <v>32.768324265753506</v>
      </c>
      <c r="Y4213" s="9">
        <v>32.768324265753506</v>
      </c>
      <c r="Z4213" s="9">
        <v>36.06659911693589</v>
      </c>
      <c r="AA4213" s="9">
        <v>36.06659911693589</v>
      </c>
      <c r="AB4213" s="9">
        <v>39.471783288967806</v>
      </c>
      <c r="AC4213" s="9">
        <v>39.471783288967806</v>
      </c>
      <c r="AD4213" s="9">
        <v>44.89371961968488</v>
      </c>
      <c r="AE4213" s="9">
        <v>47.788360826374728</v>
      </c>
      <c r="AF4213" s="9">
        <v>50.811128677055613</v>
      </c>
      <c r="AG4213" s="9">
        <v>50.811128677055613</v>
      </c>
      <c r="AH4213" s="9">
        <v>54.808386973888702</v>
      </c>
      <c r="AI4213" s="9">
        <v>57.901475997525047</v>
      </c>
      <c r="AJ4213" s="9">
        <v>3.0428788910505911</v>
      </c>
    </row>
    <row r="4214" spans="1:36" x14ac:dyDescent="0.25">
      <c r="A4214" t="s">
        <v>5411</v>
      </c>
      <c r="B4214" t="s">
        <v>16</v>
      </c>
      <c r="C4214" t="s">
        <v>17</v>
      </c>
      <c r="D4214">
        <v>76210000</v>
      </c>
      <c r="E4214">
        <v>76219999</v>
      </c>
      <c r="F4214" t="s">
        <v>3835</v>
      </c>
      <c r="G4214" t="str">
        <f t="shared" si="130"/>
        <v>GOI II</v>
      </c>
      <c r="H4214" t="s">
        <v>3672</v>
      </c>
      <c r="I4214" t="s">
        <v>20</v>
      </c>
      <c r="J4214" t="s">
        <v>64</v>
      </c>
      <c r="K4214" s="6">
        <v>0.03</v>
      </c>
      <c r="L4214" s="7">
        <f t="shared" si="131"/>
        <v>2E-3</v>
      </c>
      <c r="M4214" s="7">
        <v>3.0000000000000001E-3</v>
      </c>
      <c r="N4214">
        <v>14</v>
      </c>
      <c r="O4214" s="8">
        <v>24.12918157169327</v>
      </c>
      <c r="P4214" s="9">
        <v>24.12918157169327</v>
      </c>
      <c r="Q4214" s="9">
        <v>24.12918157169327</v>
      </c>
      <c r="R4214" s="9">
        <v>25.337926603196635</v>
      </c>
      <c r="S4214" s="9">
        <v>26.739125453822282</v>
      </c>
      <c r="T4214" s="9">
        <v>27.918529456871191</v>
      </c>
      <c r="U4214" s="9">
        <v>29.567239706252465</v>
      </c>
      <c r="V4214" s="9">
        <v>29.567239706252465</v>
      </c>
      <c r="W4214" s="9">
        <v>29.567239706252465</v>
      </c>
      <c r="X4214" s="9">
        <v>32.768324265753506</v>
      </c>
      <c r="Y4214" s="9">
        <v>32.768324265753506</v>
      </c>
      <c r="Z4214" s="9">
        <v>36.06659911693589</v>
      </c>
      <c r="AA4214" s="9">
        <v>36.06659911693589</v>
      </c>
      <c r="AB4214" s="9">
        <v>39.471783288967806</v>
      </c>
      <c r="AC4214" s="9">
        <v>39.471783288967806</v>
      </c>
      <c r="AD4214" s="9">
        <v>44.89371961968488</v>
      </c>
      <c r="AE4214" s="9">
        <v>47.788360826374728</v>
      </c>
      <c r="AF4214" s="9">
        <v>50.811128677055613</v>
      </c>
      <c r="AG4214" s="9">
        <v>50.811128677055613</v>
      </c>
      <c r="AH4214" s="9">
        <v>54.808386973888702</v>
      </c>
      <c r="AI4214" s="9">
        <v>57.901475997525047</v>
      </c>
      <c r="AJ4214" s="9">
        <v>3.0428788910505911</v>
      </c>
    </row>
    <row r="4215" spans="1:36" x14ac:dyDescent="0.25">
      <c r="A4215" t="s">
        <v>5411</v>
      </c>
      <c r="B4215" t="s">
        <v>16</v>
      </c>
      <c r="C4215" t="s">
        <v>17</v>
      </c>
      <c r="D4215">
        <v>76220000</v>
      </c>
      <c r="E4215">
        <v>76229999</v>
      </c>
      <c r="F4215" t="s">
        <v>3836</v>
      </c>
      <c r="G4215" t="str">
        <f t="shared" si="130"/>
        <v>GOI II</v>
      </c>
      <c r="H4215" t="s">
        <v>3672</v>
      </c>
      <c r="I4215" t="s">
        <v>20</v>
      </c>
      <c r="J4215" t="s">
        <v>64</v>
      </c>
      <c r="K4215" s="6">
        <v>0.03</v>
      </c>
      <c r="L4215" s="7">
        <f t="shared" si="131"/>
        <v>2E-3</v>
      </c>
      <c r="M4215" s="7">
        <v>3.0000000000000001E-3</v>
      </c>
      <c r="N4215">
        <v>14</v>
      </c>
      <c r="O4215" s="8">
        <v>24.12918157169327</v>
      </c>
      <c r="P4215" s="9">
        <v>24.12918157169327</v>
      </c>
      <c r="Q4215" s="9">
        <v>24.12918157169327</v>
      </c>
      <c r="R4215" s="9">
        <v>25.337926603196635</v>
      </c>
      <c r="S4215" s="9">
        <v>26.739125453822282</v>
      </c>
      <c r="T4215" s="9">
        <v>27.918529456871191</v>
      </c>
      <c r="U4215" s="9">
        <v>29.567239706252465</v>
      </c>
      <c r="V4215" s="9">
        <v>29.567239706252465</v>
      </c>
      <c r="W4215" s="9">
        <v>29.567239706252465</v>
      </c>
      <c r="X4215" s="9">
        <v>32.768324265753506</v>
      </c>
      <c r="Y4215" s="9">
        <v>32.768324265753506</v>
      </c>
      <c r="Z4215" s="9">
        <v>36.06659911693589</v>
      </c>
      <c r="AA4215" s="9">
        <v>36.06659911693589</v>
      </c>
      <c r="AB4215" s="9">
        <v>39.471783288967806</v>
      </c>
      <c r="AC4215" s="9">
        <v>39.471783288967806</v>
      </c>
      <c r="AD4215" s="9">
        <v>44.89371961968488</v>
      </c>
      <c r="AE4215" s="9">
        <v>47.788360826374728</v>
      </c>
      <c r="AF4215" s="9">
        <v>50.811128677055613</v>
      </c>
      <c r="AG4215" s="9">
        <v>50.811128677055613</v>
      </c>
      <c r="AH4215" s="9">
        <v>54.808386973888702</v>
      </c>
      <c r="AI4215" s="9">
        <v>57.901475997525047</v>
      </c>
      <c r="AJ4215" s="9">
        <v>3.0428788910505911</v>
      </c>
    </row>
    <row r="4216" spans="1:36" x14ac:dyDescent="0.25">
      <c r="A4216" t="s">
        <v>5411</v>
      </c>
      <c r="B4216" t="s">
        <v>16</v>
      </c>
      <c r="C4216" t="s">
        <v>17</v>
      </c>
      <c r="D4216">
        <v>76230000</v>
      </c>
      <c r="E4216">
        <v>76234999</v>
      </c>
      <c r="F4216" t="s">
        <v>2413</v>
      </c>
      <c r="G4216" t="str">
        <f t="shared" si="130"/>
        <v>GOI II</v>
      </c>
      <c r="H4216" t="s">
        <v>3672</v>
      </c>
      <c r="I4216" t="s">
        <v>20</v>
      </c>
      <c r="J4216" t="s">
        <v>64</v>
      </c>
      <c r="K4216" s="6">
        <v>0.03</v>
      </c>
      <c r="L4216" s="7">
        <f t="shared" si="131"/>
        <v>2E-3</v>
      </c>
      <c r="M4216" s="7">
        <v>3.0000000000000001E-3</v>
      </c>
      <c r="N4216">
        <v>14</v>
      </c>
      <c r="O4216" s="8">
        <v>24.12918157169327</v>
      </c>
      <c r="P4216" s="9">
        <v>24.12918157169327</v>
      </c>
      <c r="Q4216" s="9">
        <v>24.12918157169327</v>
      </c>
      <c r="R4216" s="9">
        <v>25.337926603196635</v>
      </c>
      <c r="S4216" s="9">
        <v>26.739125453822282</v>
      </c>
      <c r="T4216" s="9">
        <v>27.918529456871191</v>
      </c>
      <c r="U4216" s="9">
        <v>29.567239706252465</v>
      </c>
      <c r="V4216" s="9">
        <v>29.567239706252465</v>
      </c>
      <c r="W4216" s="9">
        <v>29.567239706252465</v>
      </c>
      <c r="X4216" s="9">
        <v>32.768324265753506</v>
      </c>
      <c r="Y4216" s="9">
        <v>32.768324265753506</v>
      </c>
      <c r="Z4216" s="9">
        <v>36.06659911693589</v>
      </c>
      <c r="AA4216" s="9">
        <v>36.06659911693589</v>
      </c>
      <c r="AB4216" s="9">
        <v>39.471783288967806</v>
      </c>
      <c r="AC4216" s="9">
        <v>39.471783288967806</v>
      </c>
      <c r="AD4216" s="9">
        <v>44.89371961968488</v>
      </c>
      <c r="AE4216" s="9">
        <v>47.788360826374728</v>
      </c>
      <c r="AF4216" s="9">
        <v>50.811128677055613</v>
      </c>
      <c r="AG4216" s="9">
        <v>50.811128677055613</v>
      </c>
      <c r="AH4216" s="9">
        <v>54.808386973888702</v>
      </c>
      <c r="AI4216" s="9">
        <v>57.901475997525047</v>
      </c>
      <c r="AJ4216" s="9">
        <v>3.0428788910505911</v>
      </c>
    </row>
    <row r="4217" spans="1:36" x14ac:dyDescent="0.25">
      <c r="A4217" t="s">
        <v>5411</v>
      </c>
      <c r="B4217" t="s">
        <v>16</v>
      </c>
      <c r="C4217" t="s">
        <v>17</v>
      </c>
      <c r="D4217">
        <v>76235000</v>
      </c>
      <c r="E4217">
        <v>76239999</v>
      </c>
      <c r="F4217" t="s">
        <v>3837</v>
      </c>
      <c r="G4217" t="str">
        <f t="shared" si="130"/>
        <v>GOI II</v>
      </c>
      <c r="H4217" t="s">
        <v>3672</v>
      </c>
      <c r="I4217" t="s">
        <v>20</v>
      </c>
      <c r="J4217" t="s">
        <v>64</v>
      </c>
      <c r="K4217" s="6">
        <v>0.03</v>
      </c>
      <c r="L4217" s="7">
        <f t="shared" si="131"/>
        <v>2E-3</v>
      </c>
      <c r="M4217" s="7">
        <v>3.0000000000000001E-3</v>
      </c>
      <c r="N4217">
        <v>14</v>
      </c>
      <c r="O4217" s="8">
        <v>24.12918157169327</v>
      </c>
      <c r="P4217" s="9">
        <v>24.12918157169327</v>
      </c>
      <c r="Q4217" s="9">
        <v>24.12918157169327</v>
      </c>
      <c r="R4217" s="9">
        <v>25.337926603196635</v>
      </c>
      <c r="S4217" s="9">
        <v>26.739125453822282</v>
      </c>
      <c r="T4217" s="9">
        <v>27.918529456871191</v>
      </c>
      <c r="U4217" s="9">
        <v>29.567239706252465</v>
      </c>
      <c r="V4217" s="9">
        <v>29.567239706252465</v>
      </c>
      <c r="W4217" s="9">
        <v>29.567239706252465</v>
      </c>
      <c r="X4217" s="9">
        <v>32.768324265753506</v>
      </c>
      <c r="Y4217" s="9">
        <v>32.768324265753506</v>
      </c>
      <c r="Z4217" s="9">
        <v>36.06659911693589</v>
      </c>
      <c r="AA4217" s="9">
        <v>36.06659911693589</v>
      </c>
      <c r="AB4217" s="9">
        <v>39.471783288967806</v>
      </c>
      <c r="AC4217" s="9">
        <v>39.471783288967806</v>
      </c>
      <c r="AD4217" s="9">
        <v>44.89371961968488</v>
      </c>
      <c r="AE4217" s="9">
        <v>47.788360826374728</v>
      </c>
      <c r="AF4217" s="9">
        <v>50.811128677055613</v>
      </c>
      <c r="AG4217" s="9">
        <v>50.811128677055613</v>
      </c>
      <c r="AH4217" s="9">
        <v>54.808386973888702</v>
      </c>
      <c r="AI4217" s="9">
        <v>57.901475997525047</v>
      </c>
      <c r="AJ4217" s="9">
        <v>3.0428788910505911</v>
      </c>
    </row>
    <row r="4218" spans="1:36" x14ac:dyDescent="0.25">
      <c r="A4218" t="s">
        <v>5411</v>
      </c>
      <c r="B4218" t="s">
        <v>16</v>
      </c>
      <c r="C4218" t="s">
        <v>17</v>
      </c>
      <c r="D4218">
        <v>76240000</v>
      </c>
      <c r="E4218">
        <v>76244999</v>
      </c>
      <c r="F4218" t="s">
        <v>3838</v>
      </c>
      <c r="G4218" t="str">
        <f t="shared" si="130"/>
        <v>GOI II</v>
      </c>
      <c r="H4218" t="s">
        <v>3672</v>
      </c>
      <c r="I4218" t="s">
        <v>20</v>
      </c>
      <c r="J4218" t="s">
        <v>64</v>
      </c>
      <c r="K4218" s="6">
        <v>0.03</v>
      </c>
      <c r="L4218" s="7">
        <f t="shared" si="131"/>
        <v>2E-3</v>
      </c>
      <c r="M4218" s="7">
        <v>3.0000000000000001E-3</v>
      </c>
      <c r="N4218">
        <v>14</v>
      </c>
      <c r="O4218" s="8">
        <v>24.12918157169327</v>
      </c>
      <c r="P4218" s="9">
        <v>24.12918157169327</v>
      </c>
      <c r="Q4218" s="9">
        <v>24.12918157169327</v>
      </c>
      <c r="R4218" s="9">
        <v>25.337926603196635</v>
      </c>
      <c r="S4218" s="9">
        <v>26.739125453822282</v>
      </c>
      <c r="T4218" s="9">
        <v>27.918529456871191</v>
      </c>
      <c r="U4218" s="9">
        <v>29.567239706252465</v>
      </c>
      <c r="V4218" s="9">
        <v>29.567239706252465</v>
      </c>
      <c r="W4218" s="9">
        <v>29.567239706252465</v>
      </c>
      <c r="X4218" s="9">
        <v>32.768324265753506</v>
      </c>
      <c r="Y4218" s="9">
        <v>32.768324265753506</v>
      </c>
      <c r="Z4218" s="9">
        <v>36.06659911693589</v>
      </c>
      <c r="AA4218" s="9">
        <v>36.06659911693589</v>
      </c>
      <c r="AB4218" s="9">
        <v>39.471783288967806</v>
      </c>
      <c r="AC4218" s="9">
        <v>39.471783288967806</v>
      </c>
      <c r="AD4218" s="9">
        <v>44.89371961968488</v>
      </c>
      <c r="AE4218" s="9">
        <v>47.788360826374728</v>
      </c>
      <c r="AF4218" s="9">
        <v>50.811128677055613</v>
      </c>
      <c r="AG4218" s="9">
        <v>50.811128677055613</v>
      </c>
      <c r="AH4218" s="9">
        <v>54.808386973888702</v>
      </c>
      <c r="AI4218" s="9">
        <v>57.901475997525047</v>
      </c>
      <c r="AJ4218" s="9">
        <v>3.0428788910505911</v>
      </c>
    </row>
    <row r="4219" spans="1:36" x14ac:dyDescent="0.25">
      <c r="A4219" t="s">
        <v>5411</v>
      </c>
      <c r="B4219" t="s">
        <v>16</v>
      </c>
      <c r="C4219" t="s">
        <v>17</v>
      </c>
      <c r="D4219">
        <v>76245000</v>
      </c>
      <c r="E4219">
        <v>76249999</v>
      </c>
      <c r="F4219" t="s">
        <v>3839</v>
      </c>
      <c r="G4219" t="str">
        <f t="shared" si="130"/>
        <v>GOI II</v>
      </c>
      <c r="H4219" t="s">
        <v>3672</v>
      </c>
      <c r="I4219" t="s">
        <v>20</v>
      </c>
      <c r="J4219" t="s">
        <v>64</v>
      </c>
      <c r="K4219" s="6">
        <v>0.03</v>
      </c>
      <c r="L4219" s="7">
        <f t="shared" si="131"/>
        <v>2E-3</v>
      </c>
      <c r="M4219" s="7">
        <v>3.0000000000000001E-3</v>
      </c>
      <c r="N4219">
        <v>14</v>
      </c>
      <c r="O4219" s="8">
        <v>24.12918157169327</v>
      </c>
      <c r="P4219" s="9">
        <v>24.12918157169327</v>
      </c>
      <c r="Q4219" s="9">
        <v>24.12918157169327</v>
      </c>
      <c r="R4219" s="9">
        <v>25.337926603196635</v>
      </c>
      <c r="S4219" s="9">
        <v>26.739125453822282</v>
      </c>
      <c r="T4219" s="9">
        <v>27.918529456871191</v>
      </c>
      <c r="U4219" s="9">
        <v>29.567239706252465</v>
      </c>
      <c r="V4219" s="9">
        <v>29.567239706252465</v>
      </c>
      <c r="W4219" s="9">
        <v>29.567239706252465</v>
      </c>
      <c r="X4219" s="9">
        <v>32.768324265753506</v>
      </c>
      <c r="Y4219" s="9">
        <v>32.768324265753506</v>
      </c>
      <c r="Z4219" s="9">
        <v>36.06659911693589</v>
      </c>
      <c r="AA4219" s="9">
        <v>36.06659911693589</v>
      </c>
      <c r="AB4219" s="9">
        <v>39.471783288967806</v>
      </c>
      <c r="AC4219" s="9">
        <v>39.471783288967806</v>
      </c>
      <c r="AD4219" s="9">
        <v>44.89371961968488</v>
      </c>
      <c r="AE4219" s="9">
        <v>47.788360826374728</v>
      </c>
      <c r="AF4219" s="9">
        <v>50.811128677055613</v>
      </c>
      <c r="AG4219" s="9">
        <v>50.811128677055613</v>
      </c>
      <c r="AH4219" s="9">
        <v>54.808386973888702</v>
      </c>
      <c r="AI4219" s="9">
        <v>57.901475997525047</v>
      </c>
      <c r="AJ4219" s="9">
        <v>3.0428788910505911</v>
      </c>
    </row>
    <row r="4220" spans="1:36" x14ac:dyDescent="0.25">
      <c r="A4220" t="s">
        <v>5411</v>
      </c>
      <c r="B4220" t="s">
        <v>16</v>
      </c>
      <c r="C4220" t="s">
        <v>17</v>
      </c>
      <c r="D4220">
        <v>76250000</v>
      </c>
      <c r="E4220">
        <v>76254999</v>
      </c>
      <c r="F4220" t="s">
        <v>3840</v>
      </c>
      <c r="G4220" t="str">
        <f t="shared" si="130"/>
        <v>GOI II</v>
      </c>
      <c r="H4220" t="s">
        <v>3672</v>
      </c>
      <c r="I4220" t="s">
        <v>20</v>
      </c>
      <c r="J4220" t="s">
        <v>64</v>
      </c>
      <c r="K4220" s="6">
        <v>0.03</v>
      </c>
      <c r="L4220" s="7">
        <f t="shared" si="131"/>
        <v>2E-3</v>
      </c>
      <c r="M4220" s="7">
        <v>3.0000000000000001E-3</v>
      </c>
      <c r="N4220">
        <v>14</v>
      </c>
      <c r="O4220" s="8">
        <v>24.12918157169327</v>
      </c>
      <c r="P4220" s="9">
        <v>24.12918157169327</v>
      </c>
      <c r="Q4220" s="9">
        <v>24.12918157169327</v>
      </c>
      <c r="R4220" s="9">
        <v>25.337926603196635</v>
      </c>
      <c r="S4220" s="9">
        <v>26.739125453822282</v>
      </c>
      <c r="T4220" s="9">
        <v>27.918529456871191</v>
      </c>
      <c r="U4220" s="9">
        <v>29.567239706252465</v>
      </c>
      <c r="V4220" s="9">
        <v>29.567239706252465</v>
      </c>
      <c r="W4220" s="9">
        <v>29.567239706252465</v>
      </c>
      <c r="X4220" s="9">
        <v>32.768324265753506</v>
      </c>
      <c r="Y4220" s="9">
        <v>32.768324265753506</v>
      </c>
      <c r="Z4220" s="9">
        <v>36.06659911693589</v>
      </c>
      <c r="AA4220" s="9">
        <v>36.06659911693589</v>
      </c>
      <c r="AB4220" s="9">
        <v>39.471783288967806</v>
      </c>
      <c r="AC4220" s="9">
        <v>39.471783288967806</v>
      </c>
      <c r="AD4220" s="9">
        <v>44.89371961968488</v>
      </c>
      <c r="AE4220" s="9">
        <v>47.788360826374728</v>
      </c>
      <c r="AF4220" s="9">
        <v>50.811128677055613</v>
      </c>
      <c r="AG4220" s="9">
        <v>50.811128677055613</v>
      </c>
      <c r="AH4220" s="9">
        <v>54.808386973888702</v>
      </c>
      <c r="AI4220" s="9">
        <v>57.901475997525047</v>
      </c>
      <c r="AJ4220" s="9">
        <v>3.0428788910505911</v>
      </c>
    </row>
    <row r="4221" spans="1:36" x14ac:dyDescent="0.25">
      <c r="A4221" t="s">
        <v>5411</v>
      </c>
      <c r="B4221" t="s">
        <v>16</v>
      </c>
      <c r="C4221" t="s">
        <v>17</v>
      </c>
      <c r="D4221">
        <v>76255000</v>
      </c>
      <c r="E4221">
        <v>76259999</v>
      </c>
      <c r="F4221" t="s">
        <v>3841</v>
      </c>
      <c r="G4221" t="str">
        <f t="shared" si="130"/>
        <v>GOI II</v>
      </c>
      <c r="H4221" t="s">
        <v>3672</v>
      </c>
      <c r="I4221" t="s">
        <v>20</v>
      </c>
      <c r="J4221" t="s">
        <v>64</v>
      </c>
      <c r="K4221" s="6">
        <v>0.03</v>
      </c>
      <c r="L4221" s="7">
        <f t="shared" si="131"/>
        <v>2E-3</v>
      </c>
      <c r="M4221" s="7">
        <v>3.0000000000000001E-3</v>
      </c>
      <c r="N4221">
        <v>14</v>
      </c>
      <c r="O4221" s="8">
        <v>24.12918157169327</v>
      </c>
      <c r="P4221" s="9">
        <v>24.12918157169327</v>
      </c>
      <c r="Q4221" s="9">
        <v>24.12918157169327</v>
      </c>
      <c r="R4221" s="9">
        <v>25.337926603196635</v>
      </c>
      <c r="S4221" s="9">
        <v>26.739125453822282</v>
      </c>
      <c r="T4221" s="9">
        <v>27.918529456871191</v>
      </c>
      <c r="U4221" s="9">
        <v>29.567239706252465</v>
      </c>
      <c r="V4221" s="9">
        <v>29.567239706252465</v>
      </c>
      <c r="W4221" s="9">
        <v>29.567239706252465</v>
      </c>
      <c r="X4221" s="9">
        <v>32.768324265753506</v>
      </c>
      <c r="Y4221" s="9">
        <v>32.768324265753506</v>
      </c>
      <c r="Z4221" s="9">
        <v>36.06659911693589</v>
      </c>
      <c r="AA4221" s="9">
        <v>36.06659911693589</v>
      </c>
      <c r="AB4221" s="9">
        <v>39.471783288967806</v>
      </c>
      <c r="AC4221" s="9">
        <v>39.471783288967806</v>
      </c>
      <c r="AD4221" s="9">
        <v>44.89371961968488</v>
      </c>
      <c r="AE4221" s="9">
        <v>47.788360826374728</v>
      </c>
      <c r="AF4221" s="9">
        <v>50.811128677055613</v>
      </c>
      <c r="AG4221" s="9">
        <v>50.811128677055613</v>
      </c>
      <c r="AH4221" s="9">
        <v>54.808386973888702</v>
      </c>
      <c r="AI4221" s="9">
        <v>57.901475997525047</v>
      </c>
      <c r="AJ4221" s="9">
        <v>3.0428788910505911</v>
      </c>
    </row>
    <row r="4222" spans="1:36" x14ac:dyDescent="0.25">
      <c r="A4222" t="s">
        <v>5411</v>
      </c>
      <c r="B4222" t="s">
        <v>16</v>
      </c>
      <c r="C4222" t="s">
        <v>17</v>
      </c>
      <c r="D4222">
        <v>76260000</v>
      </c>
      <c r="E4222">
        <v>76264999</v>
      </c>
      <c r="F4222" t="s">
        <v>3842</v>
      </c>
      <c r="G4222" t="str">
        <f t="shared" si="130"/>
        <v>GOI II</v>
      </c>
      <c r="H4222" t="s">
        <v>3672</v>
      </c>
      <c r="I4222" t="s">
        <v>20</v>
      </c>
      <c r="J4222" t="s">
        <v>64</v>
      </c>
      <c r="K4222" s="6">
        <v>0.03</v>
      </c>
      <c r="L4222" s="7">
        <f t="shared" si="131"/>
        <v>2E-3</v>
      </c>
      <c r="M4222" s="7">
        <v>3.0000000000000001E-3</v>
      </c>
      <c r="N4222">
        <v>14</v>
      </c>
      <c r="O4222" s="8">
        <v>24.12918157169327</v>
      </c>
      <c r="P4222" s="9">
        <v>24.12918157169327</v>
      </c>
      <c r="Q4222" s="9">
        <v>24.12918157169327</v>
      </c>
      <c r="R4222" s="9">
        <v>25.337926603196635</v>
      </c>
      <c r="S4222" s="9">
        <v>26.739125453822282</v>
      </c>
      <c r="T4222" s="9">
        <v>27.918529456871191</v>
      </c>
      <c r="U4222" s="9">
        <v>29.567239706252465</v>
      </c>
      <c r="V4222" s="9">
        <v>29.567239706252465</v>
      </c>
      <c r="W4222" s="9">
        <v>29.567239706252465</v>
      </c>
      <c r="X4222" s="9">
        <v>32.768324265753506</v>
      </c>
      <c r="Y4222" s="9">
        <v>32.768324265753506</v>
      </c>
      <c r="Z4222" s="9">
        <v>36.06659911693589</v>
      </c>
      <c r="AA4222" s="9">
        <v>36.06659911693589</v>
      </c>
      <c r="AB4222" s="9">
        <v>39.471783288967806</v>
      </c>
      <c r="AC4222" s="9">
        <v>39.471783288967806</v>
      </c>
      <c r="AD4222" s="9">
        <v>44.89371961968488</v>
      </c>
      <c r="AE4222" s="9">
        <v>47.788360826374728</v>
      </c>
      <c r="AF4222" s="9">
        <v>50.811128677055613</v>
      </c>
      <c r="AG4222" s="9">
        <v>50.811128677055613</v>
      </c>
      <c r="AH4222" s="9">
        <v>54.808386973888702</v>
      </c>
      <c r="AI4222" s="9">
        <v>57.901475997525047</v>
      </c>
      <c r="AJ4222" s="9">
        <v>3.0428788910505911</v>
      </c>
    </row>
    <row r="4223" spans="1:36" x14ac:dyDescent="0.25">
      <c r="A4223" t="s">
        <v>5411</v>
      </c>
      <c r="B4223" t="s">
        <v>16</v>
      </c>
      <c r="C4223" t="s">
        <v>17</v>
      </c>
      <c r="D4223">
        <v>76265000</v>
      </c>
      <c r="E4223">
        <v>76269999</v>
      </c>
      <c r="F4223" t="s">
        <v>3843</v>
      </c>
      <c r="G4223" t="str">
        <f t="shared" si="130"/>
        <v>GOI II</v>
      </c>
      <c r="H4223" t="s">
        <v>3672</v>
      </c>
      <c r="I4223" t="s">
        <v>20</v>
      </c>
      <c r="J4223" t="s">
        <v>64</v>
      </c>
      <c r="K4223" s="6">
        <v>0.03</v>
      </c>
      <c r="L4223" s="7">
        <f t="shared" si="131"/>
        <v>2E-3</v>
      </c>
      <c r="M4223" s="7">
        <v>3.0000000000000001E-3</v>
      </c>
      <c r="N4223">
        <v>14</v>
      </c>
      <c r="O4223" s="8">
        <v>24.12918157169327</v>
      </c>
      <c r="P4223" s="9">
        <v>24.12918157169327</v>
      </c>
      <c r="Q4223" s="9">
        <v>24.12918157169327</v>
      </c>
      <c r="R4223" s="9">
        <v>25.337926603196635</v>
      </c>
      <c r="S4223" s="9">
        <v>26.739125453822282</v>
      </c>
      <c r="T4223" s="9">
        <v>27.918529456871191</v>
      </c>
      <c r="U4223" s="9">
        <v>29.567239706252465</v>
      </c>
      <c r="V4223" s="9">
        <v>29.567239706252465</v>
      </c>
      <c r="W4223" s="9">
        <v>29.567239706252465</v>
      </c>
      <c r="X4223" s="9">
        <v>32.768324265753506</v>
      </c>
      <c r="Y4223" s="9">
        <v>32.768324265753506</v>
      </c>
      <c r="Z4223" s="9">
        <v>36.06659911693589</v>
      </c>
      <c r="AA4223" s="9">
        <v>36.06659911693589</v>
      </c>
      <c r="AB4223" s="9">
        <v>39.471783288967806</v>
      </c>
      <c r="AC4223" s="9">
        <v>39.471783288967806</v>
      </c>
      <c r="AD4223" s="9">
        <v>44.89371961968488</v>
      </c>
      <c r="AE4223" s="9">
        <v>47.788360826374728</v>
      </c>
      <c r="AF4223" s="9">
        <v>50.811128677055613</v>
      </c>
      <c r="AG4223" s="9">
        <v>50.811128677055613</v>
      </c>
      <c r="AH4223" s="9">
        <v>54.808386973888702</v>
      </c>
      <c r="AI4223" s="9">
        <v>57.901475997525047</v>
      </c>
      <c r="AJ4223" s="9">
        <v>3.0428788910505911</v>
      </c>
    </row>
    <row r="4224" spans="1:36" x14ac:dyDescent="0.25">
      <c r="A4224" t="s">
        <v>5411</v>
      </c>
      <c r="B4224" t="s">
        <v>16</v>
      </c>
      <c r="C4224" t="s">
        <v>17</v>
      </c>
      <c r="D4224">
        <v>76270000</v>
      </c>
      <c r="E4224">
        <v>76279999</v>
      </c>
      <c r="F4224" t="s">
        <v>1792</v>
      </c>
      <c r="G4224" t="str">
        <f t="shared" si="130"/>
        <v>GOI II</v>
      </c>
      <c r="H4224" t="s">
        <v>3672</v>
      </c>
      <c r="I4224" t="s">
        <v>20</v>
      </c>
      <c r="J4224" t="s">
        <v>64</v>
      </c>
      <c r="K4224" s="6">
        <v>0.03</v>
      </c>
      <c r="L4224" s="7">
        <f t="shared" si="131"/>
        <v>2E-3</v>
      </c>
      <c r="M4224" s="7">
        <v>3.0000000000000001E-3</v>
      </c>
      <c r="N4224">
        <v>14</v>
      </c>
      <c r="O4224" s="8">
        <v>24.12918157169327</v>
      </c>
      <c r="P4224" s="9">
        <v>24.12918157169327</v>
      </c>
      <c r="Q4224" s="9">
        <v>24.12918157169327</v>
      </c>
      <c r="R4224" s="9">
        <v>25.337926603196635</v>
      </c>
      <c r="S4224" s="9">
        <v>26.739125453822282</v>
      </c>
      <c r="T4224" s="9">
        <v>27.918529456871191</v>
      </c>
      <c r="U4224" s="9">
        <v>29.567239706252465</v>
      </c>
      <c r="V4224" s="9">
        <v>29.567239706252465</v>
      </c>
      <c r="W4224" s="9">
        <v>29.567239706252465</v>
      </c>
      <c r="X4224" s="9">
        <v>32.768324265753506</v>
      </c>
      <c r="Y4224" s="9">
        <v>32.768324265753506</v>
      </c>
      <c r="Z4224" s="9">
        <v>36.06659911693589</v>
      </c>
      <c r="AA4224" s="9">
        <v>36.06659911693589</v>
      </c>
      <c r="AB4224" s="9">
        <v>39.471783288967806</v>
      </c>
      <c r="AC4224" s="9">
        <v>39.471783288967806</v>
      </c>
      <c r="AD4224" s="9">
        <v>44.89371961968488</v>
      </c>
      <c r="AE4224" s="9">
        <v>47.788360826374728</v>
      </c>
      <c r="AF4224" s="9">
        <v>50.811128677055613</v>
      </c>
      <c r="AG4224" s="9">
        <v>50.811128677055613</v>
      </c>
      <c r="AH4224" s="9">
        <v>54.808386973888702</v>
      </c>
      <c r="AI4224" s="9">
        <v>57.901475997525047</v>
      </c>
      <c r="AJ4224" s="9">
        <v>3.0428788910505911</v>
      </c>
    </row>
    <row r="4225" spans="1:36" x14ac:dyDescent="0.25">
      <c r="A4225" t="s">
        <v>5411</v>
      </c>
      <c r="B4225" t="s">
        <v>16</v>
      </c>
      <c r="C4225" t="s">
        <v>17</v>
      </c>
      <c r="D4225">
        <v>76280000</v>
      </c>
      <c r="E4225">
        <v>76284999</v>
      </c>
      <c r="F4225" t="s">
        <v>3844</v>
      </c>
      <c r="G4225" t="str">
        <f t="shared" si="130"/>
        <v>GOI II</v>
      </c>
      <c r="H4225" t="s">
        <v>3672</v>
      </c>
      <c r="I4225" t="s">
        <v>20</v>
      </c>
      <c r="J4225" t="s">
        <v>64</v>
      </c>
      <c r="K4225" s="6">
        <v>0.03</v>
      </c>
      <c r="L4225" s="7">
        <f t="shared" si="131"/>
        <v>2E-3</v>
      </c>
      <c r="M4225" s="7">
        <v>3.0000000000000001E-3</v>
      </c>
      <c r="N4225">
        <v>14</v>
      </c>
      <c r="O4225" s="8">
        <v>24.12918157169327</v>
      </c>
      <c r="P4225" s="9">
        <v>24.12918157169327</v>
      </c>
      <c r="Q4225" s="9">
        <v>24.12918157169327</v>
      </c>
      <c r="R4225" s="9">
        <v>25.337926603196635</v>
      </c>
      <c r="S4225" s="9">
        <v>26.739125453822282</v>
      </c>
      <c r="T4225" s="9">
        <v>27.918529456871191</v>
      </c>
      <c r="U4225" s="9">
        <v>29.567239706252465</v>
      </c>
      <c r="V4225" s="9">
        <v>29.567239706252465</v>
      </c>
      <c r="W4225" s="9">
        <v>29.567239706252465</v>
      </c>
      <c r="X4225" s="9">
        <v>32.768324265753506</v>
      </c>
      <c r="Y4225" s="9">
        <v>32.768324265753506</v>
      </c>
      <c r="Z4225" s="9">
        <v>36.06659911693589</v>
      </c>
      <c r="AA4225" s="9">
        <v>36.06659911693589</v>
      </c>
      <c r="AB4225" s="9">
        <v>39.471783288967806</v>
      </c>
      <c r="AC4225" s="9">
        <v>39.471783288967806</v>
      </c>
      <c r="AD4225" s="9">
        <v>44.89371961968488</v>
      </c>
      <c r="AE4225" s="9">
        <v>47.788360826374728</v>
      </c>
      <c r="AF4225" s="9">
        <v>50.811128677055613</v>
      </c>
      <c r="AG4225" s="9">
        <v>50.811128677055613</v>
      </c>
      <c r="AH4225" s="9">
        <v>54.808386973888702</v>
      </c>
      <c r="AI4225" s="9">
        <v>57.901475997525047</v>
      </c>
      <c r="AJ4225" s="9">
        <v>3.0428788910505911</v>
      </c>
    </row>
    <row r="4226" spans="1:36" x14ac:dyDescent="0.25">
      <c r="A4226" t="s">
        <v>5411</v>
      </c>
      <c r="B4226" t="s">
        <v>16</v>
      </c>
      <c r="C4226" t="s">
        <v>17</v>
      </c>
      <c r="D4226">
        <v>76285000</v>
      </c>
      <c r="E4226">
        <v>76289999</v>
      </c>
      <c r="F4226" t="s">
        <v>3845</v>
      </c>
      <c r="G4226" t="str">
        <f t="shared" si="130"/>
        <v>GOI II</v>
      </c>
      <c r="H4226" t="s">
        <v>3672</v>
      </c>
      <c r="I4226" t="s">
        <v>20</v>
      </c>
      <c r="J4226" t="s">
        <v>64</v>
      </c>
      <c r="K4226" s="6">
        <v>0.03</v>
      </c>
      <c r="L4226" s="7">
        <f t="shared" si="131"/>
        <v>2E-3</v>
      </c>
      <c r="M4226" s="7">
        <v>3.0000000000000001E-3</v>
      </c>
      <c r="N4226">
        <v>14</v>
      </c>
      <c r="O4226" s="8">
        <v>24.12918157169327</v>
      </c>
      <c r="P4226" s="9">
        <v>24.12918157169327</v>
      </c>
      <c r="Q4226" s="9">
        <v>24.12918157169327</v>
      </c>
      <c r="R4226" s="9">
        <v>25.337926603196635</v>
      </c>
      <c r="S4226" s="9">
        <v>26.739125453822282</v>
      </c>
      <c r="T4226" s="9">
        <v>27.918529456871191</v>
      </c>
      <c r="U4226" s="9">
        <v>29.567239706252465</v>
      </c>
      <c r="V4226" s="9">
        <v>29.567239706252465</v>
      </c>
      <c r="W4226" s="9">
        <v>29.567239706252465</v>
      </c>
      <c r="X4226" s="9">
        <v>32.768324265753506</v>
      </c>
      <c r="Y4226" s="9">
        <v>32.768324265753506</v>
      </c>
      <c r="Z4226" s="9">
        <v>36.06659911693589</v>
      </c>
      <c r="AA4226" s="9">
        <v>36.06659911693589</v>
      </c>
      <c r="AB4226" s="9">
        <v>39.471783288967806</v>
      </c>
      <c r="AC4226" s="9">
        <v>39.471783288967806</v>
      </c>
      <c r="AD4226" s="9">
        <v>44.89371961968488</v>
      </c>
      <c r="AE4226" s="9">
        <v>47.788360826374728</v>
      </c>
      <c r="AF4226" s="9">
        <v>50.811128677055613</v>
      </c>
      <c r="AG4226" s="9">
        <v>50.811128677055613</v>
      </c>
      <c r="AH4226" s="9">
        <v>54.808386973888702</v>
      </c>
      <c r="AI4226" s="9">
        <v>57.901475997525047</v>
      </c>
      <c r="AJ4226" s="9">
        <v>3.0428788910505911</v>
      </c>
    </row>
    <row r="4227" spans="1:36" x14ac:dyDescent="0.25">
      <c r="A4227" t="s">
        <v>5411</v>
      </c>
      <c r="B4227" t="s">
        <v>16</v>
      </c>
      <c r="C4227" t="s">
        <v>17</v>
      </c>
      <c r="D4227">
        <v>76290000</v>
      </c>
      <c r="E4227">
        <v>76299999</v>
      </c>
      <c r="F4227" t="s">
        <v>3846</v>
      </c>
      <c r="G4227" t="str">
        <f t="shared" si="130"/>
        <v>GOI II</v>
      </c>
      <c r="H4227" t="s">
        <v>3672</v>
      </c>
      <c r="I4227" t="s">
        <v>20</v>
      </c>
      <c r="J4227" t="s">
        <v>64</v>
      </c>
      <c r="K4227" s="6">
        <v>0.03</v>
      </c>
      <c r="L4227" s="7">
        <f t="shared" si="131"/>
        <v>2E-3</v>
      </c>
      <c r="M4227" s="7">
        <v>3.0000000000000001E-3</v>
      </c>
      <c r="N4227">
        <v>14</v>
      </c>
      <c r="O4227" s="8">
        <v>24.12918157169327</v>
      </c>
      <c r="P4227" s="9">
        <v>24.12918157169327</v>
      </c>
      <c r="Q4227" s="9">
        <v>24.12918157169327</v>
      </c>
      <c r="R4227" s="9">
        <v>25.337926603196635</v>
      </c>
      <c r="S4227" s="9">
        <v>26.739125453822282</v>
      </c>
      <c r="T4227" s="9">
        <v>27.918529456871191</v>
      </c>
      <c r="U4227" s="9">
        <v>29.567239706252465</v>
      </c>
      <c r="V4227" s="9">
        <v>29.567239706252465</v>
      </c>
      <c r="W4227" s="9">
        <v>29.567239706252465</v>
      </c>
      <c r="X4227" s="9">
        <v>32.768324265753506</v>
      </c>
      <c r="Y4227" s="9">
        <v>32.768324265753506</v>
      </c>
      <c r="Z4227" s="9">
        <v>36.06659911693589</v>
      </c>
      <c r="AA4227" s="9">
        <v>36.06659911693589</v>
      </c>
      <c r="AB4227" s="9">
        <v>39.471783288967806</v>
      </c>
      <c r="AC4227" s="9">
        <v>39.471783288967806</v>
      </c>
      <c r="AD4227" s="9">
        <v>44.89371961968488</v>
      </c>
      <c r="AE4227" s="9">
        <v>47.788360826374728</v>
      </c>
      <c r="AF4227" s="9">
        <v>50.811128677055613</v>
      </c>
      <c r="AG4227" s="9">
        <v>50.811128677055613</v>
      </c>
      <c r="AH4227" s="9">
        <v>54.808386973888702</v>
      </c>
      <c r="AI4227" s="9">
        <v>57.901475997525047</v>
      </c>
      <c r="AJ4227" s="9">
        <v>3.0428788910505911</v>
      </c>
    </row>
    <row r="4228" spans="1:36" x14ac:dyDescent="0.25">
      <c r="A4228" t="s">
        <v>5411</v>
      </c>
      <c r="B4228" t="s">
        <v>16</v>
      </c>
      <c r="C4228" t="s">
        <v>17</v>
      </c>
      <c r="D4228">
        <v>76300000</v>
      </c>
      <c r="E4228">
        <v>76303999</v>
      </c>
      <c r="F4228" t="s">
        <v>3847</v>
      </c>
      <c r="G4228" t="str">
        <f t="shared" ref="G4228:G4291" si="132">H4228&amp;IF(J4228="CAPITAL","C",IF(J4228="INTERIOR","I",IF(J4228="INTERIOR II","I II","R")))</f>
        <v>GOI</v>
      </c>
      <c r="H4228" t="s">
        <v>3672</v>
      </c>
      <c r="I4228" t="s">
        <v>20</v>
      </c>
      <c r="J4228" t="s">
        <v>62</v>
      </c>
      <c r="K4228" s="6">
        <v>0.03</v>
      </c>
      <c r="L4228" s="7">
        <f t="shared" ref="L4228:L4291" si="133">IF(I4228="(0) Não",0.2%,3%)</f>
        <v>2E-3</v>
      </c>
      <c r="M4228" s="7">
        <v>3.0000000000000001E-3</v>
      </c>
      <c r="N4228">
        <v>9</v>
      </c>
      <c r="O4228" s="8">
        <v>20.377140471637041</v>
      </c>
      <c r="P4228" s="9">
        <v>20.377140471637041</v>
      </c>
      <c r="Q4228" s="9">
        <v>20.377140471637041</v>
      </c>
      <c r="R4228" s="9">
        <v>21.402978767052765</v>
      </c>
      <c r="S4228" s="9">
        <v>22.589768980199143</v>
      </c>
      <c r="T4228" s="9">
        <v>24.040396091340774</v>
      </c>
      <c r="U4228" s="9">
        <v>25.448505028591189</v>
      </c>
      <c r="V4228" s="9">
        <v>25.448505028591189</v>
      </c>
      <c r="W4228" s="9">
        <v>25.448505028591189</v>
      </c>
      <c r="X4228" s="9">
        <v>28.109873114011638</v>
      </c>
      <c r="Y4228" s="9">
        <v>28.109873114011638</v>
      </c>
      <c r="Z4228" s="9">
        <v>30.975097350688763</v>
      </c>
      <c r="AA4228" s="9">
        <v>30.975097350688763</v>
      </c>
      <c r="AB4228" s="9">
        <v>34.370578528895656</v>
      </c>
      <c r="AC4228" s="9">
        <v>34.370578528895656</v>
      </c>
      <c r="AD4228" s="9">
        <v>39.013187474230911</v>
      </c>
      <c r="AE4228" s="9">
        <v>42.452173954636635</v>
      </c>
      <c r="AF4228" s="9">
        <v>47.478364248265585</v>
      </c>
      <c r="AG4228" s="9">
        <v>47.478364248265585</v>
      </c>
      <c r="AH4228" s="9">
        <v>50.815992158664379</v>
      </c>
      <c r="AI4228" s="9">
        <v>54.045500821302042</v>
      </c>
      <c r="AJ4228" s="9">
        <v>3.0428788910505911</v>
      </c>
    </row>
    <row r="4229" spans="1:36" x14ac:dyDescent="0.25">
      <c r="A4229" t="s">
        <v>5411</v>
      </c>
      <c r="B4229" t="s">
        <v>16</v>
      </c>
      <c r="C4229" t="s">
        <v>17</v>
      </c>
      <c r="D4229">
        <v>76304000</v>
      </c>
      <c r="E4229">
        <v>76304999</v>
      </c>
      <c r="F4229" t="s">
        <v>3848</v>
      </c>
      <c r="G4229" t="str">
        <f t="shared" si="132"/>
        <v>GOI</v>
      </c>
      <c r="H4229" t="s">
        <v>3672</v>
      </c>
      <c r="I4229" t="s">
        <v>20</v>
      </c>
      <c r="J4229" t="s">
        <v>62</v>
      </c>
      <c r="K4229" s="6">
        <v>0.03</v>
      </c>
      <c r="L4229" s="7">
        <f t="shared" si="133"/>
        <v>2E-3</v>
      </c>
      <c r="M4229" s="7">
        <v>3.0000000000000001E-3</v>
      </c>
      <c r="N4229">
        <v>9</v>
      </c>
      <c r="O4229" s="8">
        <v>20.377140471637041</v>
      </c>
      <c r="P4229" s="9">
        <v>20.377140471637041</v>
      </c>
      <c r="Q4229" s="9">
        <v>20.377140471637041</v>
      </c>
      <c r="R4229" s="9">
        <v>21.402978767052765</v>
      </c>
      <c r="S4229" s="9">
        <v>22.589768980199143</v>
      </c>
      <c r="T4229" s="9">
        <v>24.040396091340774</v>
      </c>
      <c r="U4229" s="9">
        <v>25.448505028591189</v>
      </c>
      <c r="V4229" s="9">
        <v>25.448505028591189</v>
      </c>
      <c r="W4229" s="9">
        <v>25.448505028591189</v>
      </c>
      <c r="X4229" s="9">
        <v>28.109873114011638</v>
      </c>
      <c r="Y4229" s="9">
        <v>28.109873114011638</v>
      </c>
      <c r="Z4229" s="9">
        <v>30.975097350688763</v>
      </c>
      <c r="AA4229" s="9">
        <v>30.975097350688763</v>
      </c>
      <c r="AB4229" s="9">
        <v>34.370578528895656</v>
      </c>
      <c r="AC4229" s="9">
        <v>34.370578528895656</v>
      </c>
      <c r="AD4229" s="9">
        <v>39.013187474230911</v>
      </c>
      <c r="AE4229" s="9">
        <v>42.452173954636635</v>
      </c>
      <c r="AF4229" s="9">
        <v>47.478364248265585</v>
      </c>
      <c r="AG4229" s="9">
        <v>47.478364248265585</v>
      </c>
      <c r="AH4229" s="9">
        <v>50.815992158664379</v>
      </c>
      <c r="AI4229" s="9">
        <v>54.045500821302042</v>
      </c>
      <c r="AJ4229" s="9">
        <v>3.0428788910505911</v>
      </c>
    </row>
    <row r="4230" spans="1:36" x14ac:dyDescent="0.25">
      <c r="A4230" t="s">
        <v>5411</v>
      </c>
      <c r="B4230" t="s">
        <v>16</v>
      </c>
      <c r="C4230" t="s">
        <v>17</v>
      </c>
      <c r="D4230">
        <v>76305000</v>
      </c>
      <c r="E4230">
        <v>76309999</v>
      </c>
      <c r="F4230" t="s">
        <v>3849</v>
      </c>
      <c r="G4230" t="str">
        <f t="shared" si="132"/>
        <v>GOI</v>
      </c>
      <c r="H4230" t="s">
        <v>3672</v>
      </c>
      <c r="I4230" t="s">
        <v>20</v>
      </c>
      <c r="J4230" t="s">
        <v>62</v>
      </c>
      <c r="K4230" s="6">
        <v>0.03</v>
      </c>
      <c r="L4230" s="7">
        <f t="shared" si="133"/>
        <v>2E-3</v>
      </c>
      <c r="M4230" s="7">
        <v>3.0000000000000001E-3</v>
      </c>
      <c r="N4230">
        <v>9</v>
      </c>
      <c r="O4230" s="8">
        <v>20.377140471637041</v>
      </c>
      <c r="P4230" s="9">
        <v>20.377140471637041</v>
      </c>
      <c r="Q4230" s="9">
        <v>20.377140471637041</v>
      </c>
      <c r="R4230" s="9">
        <v>21.402978767052765</v>
      </c>
      <c r="S4230" s="9">
        <v>22.589768980199143</v>
      </c>
      <c r="T4230" s="9">
        <v>24.040396091340774</v>
      </c>
      <c r="U4230" s="9">
        <v>25.448505028591189</v>
      </c>
      <c r="V4230" s="9">
        <v>25.448505028591189</v>
      </c>
      <c r="W4230" s="9">
        <v>25.448505028591189</v>
      </c>
      <c r="X4230" s="9">
        <v>28.109873114011638</v>
      </c>
      <c r="Y4230" s="9">
        <v>28.109873114011638</v>
      </c>
      <c r="Z4230" s="9">
        <v>30.975097350688763</v>
      </c>
      <c r="AA4230" s="9">
        <v>30.975097350688763</v>
      </c>
      <c r="AB4230" s="9">
        <v>34.370578528895656</v>
      </c>
      <c r="AC4230" s="9">
        <v>34.370578528895656</v>
      </c>
      <c r="AD4230" s="9">
        <v>39.013187474230911</v>
      </c>
      <c r="AE4230" s="9">
        <v>42.452173954636635</v>
      </c>
      <c r="AF4230" s="9">
        <v>47.478364248265585</v>
      </c>
      <c r="AG4230" s="9">
        <v>47.478364248265585</v>
      </c>
      <c r="AH4230" s="9">
        <v>50.815992158664379</v>
      </c>
      <c r="AI4230" s="9">
        <v>54.045500821302042</v>
      </c>
      <c r="AJ4230" s="9">
        <v>3.0428788910505911</v>
      </c>
    </row>
    <row r="4231" spans="1:36" x14ac:dyDescent="0.25">
      <c r="A4231" t="s">
        <v>5411</v>
      </c>
      <c r="B4231" t="s">
        <v>16</v>
      </c>
      <c r="C4231" t="s">
        <v>17</v>
      </c>
      <c r="D4231">
        <v>76310000</v>
      </c>
      <c r="E4231">
        <v>76314999</v>
      </c>
      <c r="F4231" t="s">
        <v>3850</v>
      </c>
      <c r="G4231" t="str">
        <f t="shared" si="132"/>
        <v>GOI</v>
      </c>
      <c r="H4231" t="s">
        <v>3672</v>
      </c>
      <c r="I4231" t="s">
        <v>20</v>
      </c>
      <c r="J4231" t="s">
        <v>62</v>
      </c>
      <c r="K4231" s="6">
        <v>0.03</v>
      </c>
      <c r="L4231" s="7">
        <f t="shared" si="133"/>
        <v>2E-3</v>
      </c>
      <c r="M4231" s="7">
        <v>3.0000000000000001E-3</v>
      </c>
      <c r="N4231">
        <v>9</v>
      </c>
      <c r="O4231" s="8">
        <v>20.377140471637041</v>
      </c>
      <c r="P4231" s="9">
        <v>20.377140471637041</v>
      </c>
      <c r="Q4231" s="9">
        <v>20.377140471637041</v>
      </c>
      <c r="R4231" s="9">
        <v>21.402978767052765</v>
      </c>
      <c r="S4231" s="9">
        <v>22.589768980199143</v>
      </c>
      <c r="T4231" s="9">
        <v>24.040396091340774</v>
      </c>
      <c r="U4231" s="9">
        <v>25.448505028591189</v>
      </c>
      <c r="V4231" s="9">
        <v>25.448505028591189</v>
      </c>
      <c r="W4231" s="9">
        <v>25.448505028591189</v>
      </c>
      <c r="X4231" s="9">
        <v>28.109873114011638</v>
      </c>
      <c r="Y4231" s="9">
        <v>28.109873114011638</v>
      </c>
      <c r="Z4231" s="9">
        <v>30.975097350688763</v>
      </c>
      <c r="AA4231" s="9">
        <v>30.975097350688763</v>
      </c>
      <c r="AB4231" s="9">
        <v>34.370578528895656</v>
      </c>
      <c r="AC4231" s="9">
        <v>34.370578528895656</v>
      </c>
      <c r="AD4231" s="9">
        <v>39.013187474230911</v>
      </c>
      <c r="AE4231" s="9">
        <v>42.452173954636635</v>
      </c>
      <c r="AF4231" s="9">
        <v>47.478364248265585</v>
      </c>
      <c r="AG4231" s="9">
        <v>47.478364248265585</v>
      </c>
      <c r="AH4231" s="9">
        <v>50.815992158664379</v>
      </c>
      <c r="AI4231" s="9">
        <v>54.045500821302042</v>
      </c>
      <c r="AJ4231" s="9">
        <v>3.0428788910505911</v>
      </c>
    </row>
    <row r="4232" spans="1:36" x14ac:dyDescent="0.25">
      <c r="A4232" t="s">
        <v>5411</v>
      </c>
      <c r="B4232" t="s">
        <v>16</v>
      </c>
      <c r="C4232" t="s">
        <v>17</v>
      </c>
      <c r="D4232">
        <v>76315000</v>
      </c>
      <c r="E4232">
        <v>76319999</v>
      </c>
      <c r="F4232" t="s">
        <v>3851</v>
      </c>
      <c r="G4232" t="str">
        <f t="shared" si="132"/>
        <v>GOI</v>
      </c>
      <c r="H4232" t="s">
        <v>3672</v>
      </c>
      <c r="I4232" t="s">
        <v>20</v>
      </c>
      <c r="J4232" t="s">
        <v>62</v>
      </c>
      <c r="K4232" s="6">
        <v>0.03</v>
      </c>
      <c r="L4232" s="7">
        <f t="shared" si="133"/>
        <v>2E-3</v>
      </c>
      <c r="M4232" s="7">
        <v>3.0000000000000001E-3</v>
      </c>
      <c r="N4232">
        <v>9</v>
      </c>
      <c r="O4232" s="8">
        <v>20.377140471637041</v>
      </c>
      <c r="P4232" s="9">
        <v>20.377140471637041</v>
      </c>
      <c r="Q4232" s="9">
        <v>20.377140471637041</v>
      </c>
      <c r="R4232" s="9">
        <v>21.402978767052765</v>
      </c>
      <c r="S4232" s="9">
        <v>22.589768980199143</v>
      </c>
      <c r="T4232" s="9">
        <v>24.040396091340774</v>
      </c>
      <c r="U4232" s="9">
        <v>25.448505028591189</v>
      </c>
      <c r="V4232" s="9">
        <v>25.448505028591189</v>
      </c>
      <c r="W4232" s="9">
        <v>25.448505028591189</v>
      </c>
      <c r="X4232" s="9">
        <v>28.109873114011638</v>
      </c>
      <c r="Y4232" s="9">
        <v>28.109873114011638</v>
      </c>
      <c r="Z4232" s="9">
        <v>30.975097350688763</v>
      </c>
      <c r="AA4232" s="9">
        <v>30.975097350688763</v>
      </c>
      <c r="AB4232" s="9">
        <v>34.370578528895656</v>
      </c>
      <c r="AC4232" s="9">
        <v>34.370578528895656</v>
      </c>
      <c r="AD4232" s="9">
        <v>39.013187474230911</v>
      </c>
      <c r="AE4232" s="9">
        <v>42.452173954636635</v>
      </c>
      <c r="AF4232" s="9">
        <v>47.478364248265585</v>
      </c>
      <c r="AG4232" s="9">
        <v>47.478364248265585</v>
      </c>
      <c r="AH4232" s="9">
        <v>50.815992158664379</v>
      </c>
      <c r="AI4232" s="9">
        <v>54.045500821302042</v>
      </c>
      <c r="AJ4232" s="9">
        <v>3.0428788910505911</v>
      </c>
    </row>
    <row r="4233" spans="1:36" x14ac:dyDescent="0.25">
      <c r="A4233" t="s">
        <v>5411</v>
      </c>
      <c r="B4233" t="s">
        <v>16</v>
      </c>
      <c r="C4233" t="s">
        <v>17</v>
      </c>
      <c r="D4233">
        <v>76320000</v>
      </c>
      <c r="E4233">
        <v>76329999</v>
      </c>
      <c r="F4233" t="s">
        <v>40</v>
      </c>
      <c r="G4233" t="str">
        <f t="shared" si="132"/>
        <v>GOI</v>
      </c>
      <c r="H4233" t="s">
        <v>3672</v>
      </c>
      <c r="I4233" t="s">
        <v>20</v>
      </c>
      <c r="J4233" t="s">
        <v>62</v>
      </c>
      <c r="K4233" s="6">
        <v>0.03</v>
      </c>
      <c r="L4233" s="7">
        <f t="shared" si="133"/>
        <v>2E-3</v>
      </c>
      <c r="M4233" s="7">
        <v>3.0000000000000001E-3</v>
      </c>
      <c r="N4233">
        <v>9</v>
      </c>
      <c r="O4233" s="8">
        <v>20.377140471637041</v>
      </c>
      <c r="P4233" s="9">
        <v>20.377140471637041</v>
      </c>
      <c r="Q4233" s="9">
        <v>20.377140471637041</v>
      </c>
      <c r="R4233" s="9">
        <v>21.402978767052765</v>
      </c>
      <c r="S4233" s="9">
        <v>22.589768980199143</v>
      </c>
      <c r="T4233" s="9">
        <v>24.040396091340774</v>
      </c>
      <c r="U4233" s="9">
        <v>25.448505028591189</v>
      </c>
      <c r="V4233" s="9">
        <v>25.448505028591189</v>
      </c>
      <c r="W4233" s="9">
        <v>25.448505028591189</v>
      </c>
      <c r="X4233" s="9">
        <v>28.109873114011638</v>
      </c>
      <c r="Y4233" s="9">
        <v>28.109873114011638</v>
      </c>
      <c r="Z4233" s="9">
        <v>30.975097350688763</v>
      </c>
      <c r="AA4233" s="9">
        <v>30.975097350688763</v>
      </c>
      <c r="AB4233" s="9">
        <v>34.370578528895656</v>
      </c>
      <c r="AC4233" s="9">
        <v>34.370578528895656</v>
      </c>
      <c r="AD4233" s="9">
        <v>39.013187474230911</v>
      </c>
      <c r="AE4233" s="9">
        <v>42.452173954636635</v>
      </c>
      <c r="AF4233" s="9">
        <v>47.478364248265585</v>
      </c>
      <c r="AG4233" s="9">
        <v>47.478364248265585</v>
      </c>
      <c r="AH4233" s="9">
        <v>50.815992158664379</v>
      </c>
      <c r="AI4233" s="9">
        <v>54.045500821302042</v>
      </c>
      <c r="AJ4233" s="9">
        <v>3.0428788910505911</v>
      </c>
    </row>
    <row r="4234" spans="1:36" x14ac:dyDescent="0.25">
      <c r="A4234" t="s">
        <v>5411</v>
      </c>
      <c r="B4234" t="s">
        <v>16</v>
      </c>
      <c r="C4234" t="s">
        <v>17</v>
      </c>
      <c r="D4234">
        <v>76330000</v>
      </c>
      <c r="E4234">
        <v>76334999</v>
      </c>
      <c r="F4234" t="s">
        <v>3852</v>
      </c>
      <c r="G4234" t="str">
        <f t="shared" si="132"/>
        <v>GOI</v>
      </c>
      <c r="H4234" t="s">
        <v>3672</v>
      </c>
      <c r="I4234" t="s">
        <v>20</v>
      </c>
      <c r="J4234" t="s">
        <v>62</v>
      </c>
      <c r="K4234" s="6">
        <v>0.03</v>
      </c>
      <c r="L4234" s="7">
        <f t="shared" si="133"/>
        <v>2E-3</v>
      </c>
      <c r="M4234" s="7">
        <v>3.0000000000000001E-3</v>
      </c>
      <c r="N4234">
        <v>9</v>
      </c>
      <c r="O4234" s="8">
        <v>20.377140471637041</v>
      </c>
      <c r="P4234" s="9">
        <v>20.377140471637041</v>
      </c>
      <c r="Q4234" s="9">
        <v>20.377140471637041</v>
      </c>
      <c r="R4234" s="9">
        <v>21.402978767052765</v>
      </c>
      <c r="S4234" s="9">
        <v>22.589768980199143</v>
      </c>
      <c r="T4234" s="9">
        <v>24.040396091340774</v>
      </c>
      <c r="U4234" s="9">
        <v>25.448505028591189</v>
      </c>
      <c r="V4234" s="9">
        <v>25.448505028591189</v>
      </c>
      <c r="W4234" s="9">
        <v>25.448505028591189</v>
      </c>
      <c r="X4234" s="9">
        <v>28.109873114011638</v>
      </c>
      <c r="Y4234" s="9">
        <v>28.109873114011638</v>
      </c>
      <c r="Z4234" s="9">
        <v>30.975097350688763</v>
      </c>
      <c r="AA4234" s="9">
        <v>30.975097350688763</v>
      </c>
      <c r="AB4234" s="9">
        <v>34.370578528895656</v>
      </c>
      <c r="AC4234" s="9">
        <v>34.370578528895656</v>
      </c>
      <c r="AD4234" s="9">
        <v>39.013187474230911</v>
      </c>
      <c r="AE4234" s="9">
        <v>42.452173954636635</v>
      </c>
      <c r="AF4234" s="9">
        <v>47.478364248265585</v>
      </c>
      <c r="AG4234" s="9">
        <v>47.478364248265585</v>
      </c>
      <c r="AH4234" s="9">
        <v>50.815992158664379</v>
      </c>
      <c r="AI4234" s="9">
        <v>54.045500821302042</v>
      </c>
      <c r="AJ4234" s="9">
        <v>3.0428788910505911</v>
      </c>
    </row>
    <row r="4235" spans="1:36" x14ac:dyDescent="0.25">
      <c r="A4235" t="s">
        <v>5411</v>
      </c>
      <c r="B4235" t="s">
        <v>16</v>
      </c>
      <c r="C4235" t="s">
        <v>17</v>
      </c>
      <c r="D4235">
        <v>76335000</v>
      </c>
      <c r="E4235">
        <v>76339999</v>
      </c>
      <c r="F4235" t="s">
        <v>3853</v>
      </c>
      <c r="G4235" t="str">
        <f t="shared" si="132"/>
        <v>GOI</v>
      </c>
      <c r="H4235" t="s">
        <v>3672</v>
      </c>
      <c r="I4235" t="s">
        <v>20</v>
      </c>
      <c r="J4235" t="s">
        <v>62</v>
      </c>
      <c r="K4235" s="6">
        <v>0.03</v>
      </c>
      <c r="L4235" s="7">
        <f t="shared" si="133"/>
        <v>2E-3</v>
      </c>
      <c r="M4235" s="7">
        <v>3.0000000000000001E-3</v>
      </c>
      <c r="N4235">
        <v>9</v>
      </c>
      <c r="O4235" s="8">
        <v>20.377140471637041</v>
      </c>
      <c r="P4235" s="9">
        <v>20.377140471637041</v>
      </c>
      <c r="Q4235" s="9">
        <v>20.377140471637041</v>
      </c>
      <c r="R4235" s="9">
        <v>21.402978767052765</v>
      </c>
      <c r="S4235" s="9">
        <v>22.589768980199143</v>
      </c>
      <c r="T4235" s="9">
        <v>24.040396091340774</v>
      </c>
      <c r="U4235" s="9">
        <v>25.448505028591189</v>
      </c>
      <c r="V4235" s="9">
        <v>25.448505028591189</v>
      </c>
      <c r="W4235" s="9">
        <v>25.448505028591189</v>
      </c>
      <c r="X4235" s="9">
        <v>28.109873114011638</v>
      </c>
      <c r="Y4235" s="9">
        <v>28.109873114011638</v>
      </c>
      <c r="Z4235" s="9">
        <v>30.975097350688763</v>
      </c>
      <c r="AA4235" s="9">
        <v>30.975097350688763</v>
      </c>
      <c r="AB4235" s="9">
        <v>34.370578528895656</v>
      </c>
      <c r="AC4235" s="9">
        <v>34.370578528895656</v>
      </c>
      <c r="AD4235" s="9">
        <v>39.013187474230911</v>
      </c>
      <c r="AE4235" s="9">
        <v>42.452173954636635</v>
      </c>
      <c r="AF4235" s="9">
        <v>47.478364248265585</v>
      </c>
      <c r="AG4235" s="9">
        <v>47.478364248265585</v>
      </c>
      <c r="AH4235" s="9">
        <v>50.815992158664379</v>
      </c>
      <c r="AI4235" s="9">
        <v>54.045500821302042</v>
      </c>
      <c r="AJ4235" s="9">
        <v>3.0428788910505911</v>
      </c>
    </row>
    <row r="4236" spans="1:36" x14ac:dyDescent="0.25">
      <c r="A4236" t="s">
        <v>5411</v>
      </c>
      <c r="B4236" t="s">
        <v>16</v>
      </c>
      <c r="C4236" t="s">
        <v>17</v>
      </c>
      <c r="D4236">
        <v>76340000</v>
      </c>
      <c r="E4236">
        <v>76342999</v>
      </c>
      <c r="F4236" t="s">
        <v>3854</v>
      </c>
      <c r="G4236" t="str">
        <f t="shared" si="132"/>
        <v>GOI</v>
      </c>
      <c r="H4236" t="s">
        <v>3672</v>
      </c>
      <c r="I4236" t="s">
        <v>20</v>
      </c>
      <c r="J4236" t="s">
        <v>62</v>
      </c>
      <c r="K4236" s="6">
        <v>0.03</v>
      </c>
      <c r="L4236" s="7">
        <f t="shared" si="133"/>
        <v>2E-3</v>
      </c>
      <c r="M4236" s="7">
        <v>3.0000000000000001E-3</v>
      </c>
      <c r="N4236">
        <v>9</v>
      </c>
      <c r="O4236" s="8">
        <v>20.377140471637041</v>
      </c>
      <c r="P4236" s="9">
        <v>20.377140471637041</v>
      </c>
      <c r="Q4236" s="9">
        <v>20.377140471637041</v>
      </c>
      <c r="R4236" s="9">
        <v>21.402978767052765</v>
      </c>
      <c r="S4236" s="9">
        <v>22.589768980199143</v>
      </c>
      <c r="T4236" s="9">
        <v>24.040396091340774</v>
      </c>
      <c r="U4236" s="9">
        <v>25.448505028591189</v>
      </c>
      <c r="V4236" s="9">
        <v>25.448505028591189</v>
      </c>
      <c r="W4236" s="9">
        <v>25.448505028591189</v>
      </c>
      <c r="X4236" s="9">
        <v>28.109873114011638</v>
      </c>
      <c r="Y4236" s="9">
        <v>28.109873114011638</v>
      </c>
      <c r="Z4236" s="9">
        <v>30.975097350688763</v>
      </c>
      <c r="AA4236" s="9">
        <v>30.975097350688763</v>
      </c>
      <c r="AB4236" s="9">
        <v>34.370578528895656</v>
      </c>
      <c r="AC4236" s="9">
        <v>34.370578528895656</v>
      </c>
      <c r="AD4236" s="9">
        <v>39.013187474230911</v>
      </c>
      <c r="AE4236" s="9">
        <v>42.452173954636635</v>
      </c>
      <c r="AF4236" s="9">
        <v>47.478364248265585</v>
      </c>
      <c r="AG4236" s="9">
        <v>47.478364248265585</v>
      </c>
      <c r="AH4236" s="9">
        <v>50.815992158664379</v>
      </c>
      <c r="AI4236" s="9">
        <v>54.045500821302042</v>
      </c>
      <c r="AJ4236" s="9">
        <v>3.0428788910505911</v>
      </c>
    </row>
    <row r="4237" spans="1:36" x14ac:dyDescent="0.25">
      <c r="A4237" t="s">
        <v>5411</v>
      </c>
      <c r="B4237" t="s">
        <v>16</v>
      </c>
      <c r="C4237" t="s">
        <v>17</v>
      </c>
      <c r="D4237">
        <v>76343000</v>
      </c>
      <c r="E4237">
        <v>76344999</v>
      </c>
      <c r="F4237" t="s">
        <v>3855</v>
      </c>
      <c r="G4237" t="str">
        <f t="shared" si="132"/>
        <v>GOI</v>
      </c>
      <c r="H4237" t="s">
        <v>3672</v>
      </c>
      <c r="I4237" t="s">
        <v>20</v>
      </c>
      <c r="J4237" t="s">
        <v>62</v>
      </c>
      <c r="K4237" s="6">
        <v>0.03</v>
      </c>
      <c r="L4237" s="7">
        <f t="shared" si="133"/>
        <v>2E-3</v>
      </c>
      <c r="M4237" s="7">
        <v>3.0000000000000001E-3</v>
      </c>
      <c r="N4237">
        <v>9</v>
      </c>
      <c r="O4237" s="8">
        <v>20.377140471637041</v>
      </c>
      <c r="P4237" s="9">
        <v>20.377140471637041</v>
      </c>
      <c r="Q4237" s="9">
        <v>20.377140471637041</v>
      </c>
      <c r="R4237" s="9">
        <v>21.402978767052765</v>
      </c>
      <c r="S4237" s="9">
        <v>22.589768980199143</v>
      </c>
      <c r="T4237" s="9">
        <v>24.040396091340774</v>
      </c>
      <c r="U4237" s="9">
        <v>25.448505028591189</v>
      </c>
      <c r="V4237" s="9">
        <v>25.448505028591189</v>
      </c>
      <c r="W4237" s="9">
        <v>25.448505028591189</v>
      </c>
      <c r="X4237" s="9">
        <v>28.109873114011638</v>
      </c>
      <c r="Y4237" s="9">
        <v>28.109873114011638</v>
      </c>
      <c r="Z4237" s="9">
        <v>30.975097350688763</v>
      </c>
      <c r="AA4237" s="9">
        <v>30.975097350688763</v>
      </c>
      <c r="AB4237" s="9">
        <v>34.370578528895656</v>
      </c>
      <c r="AC4237" s="9">
        <v>34.370578528895656</v>
      </c>
      <c r="AD4237" s="9">
        <v>39.013187474230911</v>
      </c>
      <c r="AE4237" s="9">
        <v>42.452173954636635</v>
      </c>
      <c r="AF4237" s="9">
        <v>47.478364248265585</v>
      </c>
      <c r="AG4237" s="9">
        <v>47.478364248265585</v>
      </c>
      <c r="AH4237" s="9">
        <v>50.815992158664379</v>
      </c>
      <c r="AI4237" s="9">
        <v>54.045500821302042</v>
      </c>
      <c r="AJ4237" s="9">
        <v>3.0428788910505911</v>
      </c>
    </row>
    <row r="4238" spans="1:36" x14ac:dyDescent="0.25">
      <c r="A4238" t="s">
        <v>5411</v>
      </c>
      <c r="B4238" t="s">
        <v>16</v>
      </c>
      <c r="C4238" t="s">
        <v>17</v>
      </c>
      <c r="D4238">
        <v>76345000</v>
      </c>
      <c r="E4238">
        <v>76349999</v>
      </c>
      <c r="F4238" t="s">
        <v>3856</v>
      </c>
      <c r="G4238" t="str">
        <f t="shared" si="132"/>
        <v>GOI</v>
      </c>
      <c r="H4238" t="s">
        <v>3672</v>
      </c>
      <c r="I4238" t="s">
        <v>20</v>
      </c>
      <c r="J4238" t="s">
        <v>62</v>
      </c>
      <c r="K4238" s="6">
        <v>0.03</v>
      </c>
      <c r="L4238" s="7">
        <f t="shared" si="133"/>
        <v>2E-3</v>
      </c>
      <c r="M4238" s="7">
        <v>3.0000000000000001E-3</v>
      </c>
      <c r="N4238">
        <v>17</v>
      </c>
      <c r="O4238" s="8">
        <v>20.377140471637041</v>
      </c>
      <c r="P4238" s="9">
        <v>20.377140471637041</v>
      </c>
      <c r="Q4238" s="9">
        <v>20.377140471637041</v>
      </c>
      <c r="R4238" s="9">
        <v>21.402978767052765</v>
      </c>
      <c r="S4238" s="9">
        <v>22.589768980199143</v>
      </c>
      <c r="T4238" s="9">
        <v>24.040396091340774</v>
      </c>
      <c r="U4238" s="9">
        <v>25.448505028591189</v>
      </c>
      <c r="V4238" s="9">
        <v>25.448505028591189</v>
      </c>
      <c r="W4238" s="9">
        <v>25.448505028591189</v>
      </c>
      <c r="X4238" s="9">
        <v>28.109873114011638</v>
      </c>
      <c r="Y4238" s="9">
        <v>28.109873114011638</v>
      </c>
      <c r="Z4238" s="9">
        <v>30.975097350688763</v>
      </c>
      <c r="AA4238" s="9">
        <v>30.975097350688763</v>
      </c>
      <c r="AB4238" s="9">
        <v>34.370578528895656</v>
      </c>
      <c r="AC4238" s="9">
        <v>34.370578528895656</v>
      </c>
      <c r="AD4238" s="9">
        <v>39.013187474230911</v>
      </c>
      <c r="AE4238" s="9">
        <v>42.452173954636635</v>
      </c>
      <c r="AF4238" s="9">
        <v>47.478364248265585</v>
      </c>
      <c r="AG4238" s="9">
        <v>47.478364248265585</v>
      </c>
      <c r="AH4238" s="9">
        <v>50.815992158664379</v>
      </c>
      <c r="AI4238" s="9">
        <v>54.045500821302042</v>
      </c>
      <c r="AJ4238" s="9">
        <v>3.0428788910505911</v>
      </c>
    </row>
    <row r="4239" spans="1:36" x14ac:dyDescent="0.25">
      <c r="A4239" t="s">
        <v>5411</v>
      </c>
      <c r="B4239" t="s">
        <v>16</v>
      </c>
      <c r="C4239" t="s">
        <v>17</v>
      </c>
      <c r="D4239">
        <v>76350000</v>
      </c>
      <c r="E4239">
        <v>76354999</v>
      </c>
      <c r="F4239" t="s">
        <v>3857</v>
      </c>
      <c r="G4239" t="str">
        <f t="shared" si="132"/>
        <v>GOI</v>
      </c>
      <c r="H4239" t="s">
        <v>3672</v>
      </c>
      <c r="I4239" t="s">
        <v>20</v>
      </c>
      <c r="J4239" t="s">
        <v>62</v>
      </c>
      <c r="K4239" s="6">
        <v>0.03</v>
      </c>
      <c r="L4239" s="7">
        <f t="shared" si="133"/>
        <v>2E-3</v>
      </c>
      <c r="M4239" s="7">
        <v>3.0000000000000001E-3</v>
      </c>
      <c r="N4239">
        <v>9</v>
      </c>
      <c r="O4239" s="8">
        <v>20.377140471637041</v>
      </c>
      <c r="P4239" s="9">
        <v>20.377140471637041</v>
      </c>
      <c r="Q4239" s="9">
        <v>20.377140471637041</v>
      </c>
      <c r="R4239" s="9">
        <v>21.402978767052765</v>
      </c>
      <c r="S4239" s="9">
        <v>22.589768980199143</v>
      </c>
      <c r="T4239" s="9">
        <v>24.040396091340774</v>
      </c>
      <c r="U4239" s="9">
        <v>25.448505028591189</v>
      </c>
      <c r="V4239" s="9">
        <v>25.448505028591189</v>
      </c>
      <c r="W4239" s="9">
        <v>25.448505028591189</v>
      </c>
      <c r="X4239" s="9">
        <v>28.109873114011638</v>
      </c>
      <c r="Y4239" s="9">
        <v>28.109873114011638</v>
      </c>
      <c r="Z4239" s="9">
        <v>30.975097350688763</v>
      </c>
      <c r="AA4239" s="9">
        <v>30.975097350688763</v>
      </c>
      <c r="AB4239" s="9">
        <v>34.370578528895656</v>
      </c>
      <c r="AC4239" s="9">
        <v>34.370578528895656</v>
      </c>
      <c r="AD4239" s="9">
        <v>39.013187474230911</v>
      </c>
      <c r="AE4239" s="9">
        <v>42.452173954636635</v>
      </c>
      <c r="AF4239" s="9">
        <v>47.478364248265585</v>
      </c>
      <c r="AG4239" s="9">
        <v>47.478364248265585</v>
      </c>
      <c r="AH4239" s="9">
        <v>50.815992158664379</v>
      </c>
      <c r="AI4239" s="9">
        <v>54.045500821302042</v>
      </c>
      <c r="AJ4239" s="9">
        <v>3.0428788910505911</v>
      </c>
    </row>
    <row r="4240" spans="1:36" x14ac:dyDescent="0.25">
      <c r="A4240" t="s">
        <v>5411</v>
      </c>
      <c r="B4240" t="s">
        <v>16</v>
      </c>
      <c r="C4240" t="s">
        <v>17</v>
      </c>
      <c r="D4240">
        <v>76355000</v>
      </c>
      <c r="E4240">
        <v>76359999</v>
      </c>
      <c r="F4240" t="s">
        <v>3858</v>
      </c>
      <c r="G4240" t="str">
        <f t="shared" si="132"/>
        <v>GOI II</v>
      </c>
      <c r="H4240" t="s">
        <v>3672</v>
      </c>
      <c r="I4240" t="s">
        <v>20</v>
      </c>
      <c r="J4240" t="s">
        <v>64</v>
      </c>
      <c r="K4240" s="6">
        <v>0.03</v>
      </c>
      <c r="L4240" s="7">
        <f t="shared" si="133"/>
        <v>2E-3</v>
      </c>
      <c r="M4240" s="7">
        <v>3.0000000000000001E-3</v>
      </c>
      <c r="N4240">
        <v>14</v>
      </c>
      <c r="O4240" s="8">
        <v>24.12918157169327</v>
      </c>
      <c r="P4240" s="9">
        <v>24.12918157169327</v>
      </c>
      <c r="Q4240" s="9">
        <v>24.12918157169327</v>
      </c>
      <c r="R4240" s="9">
        <v>25.337926603196635</v>
      </c>
      <c r="S4240" s="9">
        <v>26.739125453822282</v>
      </c>
      <c r="T4240" s="9">
        <v>27.918529456871191</v>
      </c>
      <c r="U4240" s="9">
        <v>29.567239706252465</v>
      </c>
      <c r="V4240" s="9">
        <v>29.567239706252465</v>
      </c>
      <c r="W4240" s="9">
        <v>29.567239706252465</v>
      </c>
      <c r="X4240" s="9">
        <v>32.768324265753506</v>
      </c>
      <c r="Y4240" s="9">
        <v>32.768324265753506</v>
      </c>
      <c r="Z4240" s="9">
        <v>36.06659911693589</v>
      </c>
      <c r="AA4240" s="9">
        <v>36.06659911693589</v>
      </c>
      <c r="AB4240" s="9">
        <v>39.471783288967806</v>
      </c>
      <c r="AC4240" s="9">
        <v>39.471783288967806</v>
      </c>
      <c r="AD4240" s="9">
        <v>44.89371961968488</v>
      </c>
      <c r="AE4240" s="9">
        <v>47.788360826374728</v>
      </c>
      <c r="AF4240" s="9">
        <v>50.811128677055613</v>
      </c>
      <c r="AG4240" s="9">
        <v>50.811128677055613</v>
      </c>
      <c r="AH4240" s="9">
        <v>54.808386973888702</v>
      </c>
      <c r="AI4240" s="9">
        <v>57.901475997525047</v>
      </c>
      <c r="AJ4240" s="9">
        <v>3.0428788910505911</v>
      </c>
    </row>
    <row r="4241" spans="1:36" x14ac:dyDescent="0.25">
      <c r="A4241" t="s">
        <v>5411</v>
      </c>
      <c r="B4241" t="s">
        <v>16</v>
      </c>
      <c r="C4241" t="s">
        <v>17</v>
      </c>
      <c r="D4241">
        <v>76360000</v>
      </c>
      <c r="E4241">
        <v>76364999</v>
      </c>
      <c r="F4241" t="s">
        <v>3859</v>
      </c>
      <c r="G4241" t="str">
        <f t="shared" si="132"/>
        <v>GOI</v>
      </c>
      <c r="H4241" t="s">
        <v>3672</v>
      </c>
      <c r="I4241" t="s">
        <v>20</v>
      </c>
      <c r="J4241" t="s">
        <v>62</v>
      </c>
      <c r="K4241" s="6">
        <v>0.03</v>
      </c>
      <c r="L4241" s="7">
        <f t="shared" si="133"/>
        <v>2E-3</v>
      </c>
      <c r="M4241" s="7">
        <v>3.0000000000000001E-3</v>
      </c>
      <c r="N4241">
        <v>9</v>
      </c>
      <c r="O4241" s="8">
        <v>20.377140471637041</v>
      </c>
      <c r="P4241" s="9">
        <v>20.377140471637041</v>
      </c>
      <c r="Q4241" s="9">
        <v>20.377140471637041</v>
      </c>
      <c r="R4241" s="9">
        <v>21.402978767052765</v>
      </c>
      <c r="S4241" s="9">
        <v>22.589768980199143</v>
      </c>
      <c r="T4241" s="9">
        <v>24.040396091340774</v>
      </c>
      <c r="U4241" s="9">
        <v>25.448505028591189</v>
      </c>
      <c r="V4241" s="9">
        <v>25.448505028591189</v>
      </c>
      <c r="W4241" s="9">
        <v>25.448505028591189</v>
      </c>
      <c r="X4241" s="9">
        <v>28.109873114011638</v>
      </c>
      <c r="Y4241" s="9">
        <v>28.109873114011638</v>
      </c>
      <c r="Z4241" s="9">
        <v>30.975097350688763</v>
      </c>
      <c r="AA4241" s="9">
        <v>30.975097350688763</v>
      </c>
      <c r="AB4241" s="9">
        <v>34.370578528895656</v>
      </c>
      <c r="AC4241" s="9">
        <v>34.370578528895656</v>
      </c>
      <c r="AD4241" s="9">
        <v>39.013187474230911</v>
      </c>
      <c r="AE4241" s="9">
        <v>42.452173954636635</v>
      </c>
      <c r="AF4241" s="9">
        <v>47.478364248265585</v>
      </c>
      <c r="AG4241" s="9">
        <v>47.478364248265585</v>
      </c>
      <c r="AH4241" s="9">
        <v>50.815992158664379</v>
      </c>
      <c r="AI4241" s="9">
        <v>54.045500821302042</v>
      </c>
      <c r="AJ4241" s="9">
        <v>3.0428788910505911</v>
      </c>
    </row>
    <row r="4242" spans="1:36" x14ac:dyDescent="0.25">
      <c r="A4242" t="s">
        <v>5411</v>
      </c>
      <c r="B4242" t="s">
        <v>16</v>
      </c>
      <c r="C4242" t="s">
        <v>17</v>
      </c>
      <c r="D4242">
        <v>76365000</v>
      </c>
      <c r="E4242">
        <v>76371999</v>
      </c>
      <c r="F4242" t="s">
        <v>3860</v>
      </c>
      <c r="G4242" t="str">
        <f t="shared" si="132"/>
        <v>GOI</v>
      </c>
      <c r="H4242" t="s">
        <v>3672</v>
      </c>
      <c r="I4242" t="s">
        <v>20</v>
      </c>
      <c r="J4242" t="s">
        <v>62</v>
      </c>
      <c r="K4242" s="6">
        <v>0.03</v>
      </c>
      <c r="L4242" s="7">
        <f t="shared" si="133"/>
        <v>2E-3</v>
      </c>
      <c r="M4242" s="7">
        <v>3.0000000000000001E-3</v>
      </c>
      <c r="N4242">
        <v>17</v>
      </c>
      <c r="O4242" s="8">
        <v>20.377140471637041</v>
      </c>
      <c r="P4242" s="9">
        <v>20.377140471637041</v>
      </c>
      <c r="Q4242" s="9">
        <v>20.377140471637041</v>
      </c>
      <c r="R4242" s="9">
        <v>21.402978767052765</v>
      </c>
      <c r="S4242" s="9">
        <v>22.589768980199143</v>
      </c>
      <c r="T4242" s="9">
        <v>24.040396091340774</v>
      </c>
      <c r="U4242" s="9">
        <v>25.448505028591189</v>
      </c>
      <c r="V4242" s="9">
        <v>25.448505028591189</v>
      </c>
      <c r="W4242" s="9">
        <v>25.448505028591189</v>
      </c>
      <c r="X4242" s="9">
        <v>28.109873114011638</v>
      </c>
      <c r="Y4242" s="9">
        <v>28.109873114011638</v>
      </c>
      <c r="Z4242" s="9">
        <v>30.975097350688763</v>
      </c>
      <c r="AA4242" s="9">
        <v>30.975097350688763</v>
      </c>
      <c r="AB4242" s="9">
        <v>34.370578528895656</v>
      </c>
      <c r="AC4242" s="9">
        <v>34.370578528895656</v>
      </c>
      <c r="AD4242" s="9">
        <v>39.013187474230911</v>
      </c>
      <c r="AE4242" s="9">
        <v>42.452173954636635</v>
      </c>
      <c r="AF4242" s="9">
        <v>47.478364248265585</v>
      </c>
      <c r="AG4242" s="9">
        <v>47.478364248265585</v>
      </c>
      <c r="AH4242" s="9">
        <v>50.815992158664379</v>
      </c>
      <c r="AI4242" s="9">
        <v>54.045500821302042</v>
      </c>
      <c r="AJ4242" s="9">
        <v>3.0428788910505911</v>
      </c>
    </row>
    <row r="4243" spans="1:36" x14ac:dyDescent="0.25">
      <c r="A4243" t="s">
        <v>5411</v>
      </c>
      <c r="B4243" t="s">
        <v>16</v>
      </c>
      <c r="C4243" t="s">
        <v>17</v>
      </c>
      <c r="D4243">
        <v>76372000</v>
      </c>
      <c r="E4243">
        <v>76373999</v>
      </c>
      <c r="F4243" t="s">
        <v>3861</v>
      </c>
      <c r="G4243" t="str">
        <f t="shared" si="132"/>
        <v>GOI II</v>
      </c>
      <c r="H4243" t="s">
        <v>3672</v>
      </c>
      <c r="I4243" t="s">
        <v>20</v>
      </c>
      <c r="J4243" t="s">
        <v>64</v>
      </c>
      <c r="K4243" s="6">
        <v>0.03</v>
      </c>
      <c r="L4243" s="7">
        <f t="shared" si="133"/>
        <v>2E-3</v>
      </c>
      <c r="M4243" s="7">
        <v>3.0000000000000001E-3</v>
      </c>
      <c r="N4243">
        <v>10</v>
      </c>
      <c r="O4243" s="8">
        <v>24.12918157169327</v>
      </c>
      <c r="P4243" s="9">
        <v>24.12918157169327</v>
      </c>
      <c r="Q4243" s="9">
        <v>24.12918157169327</v>
      </c>
      <c r="R4243" s="9">
        <v>25.337926603196635</v>
      </c>
      <c r="S4243" s="9">
        <v>26.739125453822282</v>
      </c>
      <c r="T4243" s="9">
        <v>27.918529456871191</v>
      </c>
      <c r="U4243" s="9">
        <v>29.567239706252465</v>
      </c>
      <c r="V4243" s="9">
        <v>29.567239706252465</v>
      </c>
      <c r="W4243" s="9">
        <v>29.567239706252465</v>
      </c>
      <c r="X4243" s="9">
        <v>32.768324265753506</v>
      </c>
      <c r="Y4243" s="9">
        <v>32.768324265753506</v>
      </c>
      <c r="Z4243" s="9">
        <v>36.06659911693589</v>
      </c>
      <c r="AA4243" s="9">
        <v>36.06659911693589</v>
      </c>
      <c r="AB4243" s="9">
        <v>39.471783288967806</v>
      </c>
      <c r="AC4243" s="9">
        <v>39.471783288967806</v>
      </c>
      <c r="AD4243" s="9">
        <v>44.89371961968488</v>
      </c>
      <c r="AE4243" s="9">
        <v>47.788360826374728</v>
      </c>
      <c r="AF4243" s="9">
        <v>50.811128677055613</v>
      </c>
      <c r="AG4243" s="9">
        <v>50.811128677055613</v>
      </c>
      <c r="AH4243" s="9">
        <v>54.808386973888702</v>
      </c>
      <c r="AI4243" s="9">
        <v>57.901475997525047</v>
      </c>
      <c r="AJ4243" s="9">
        <v>3.0428788910505911</v>
      </c>
    </row>
    <row r="4244" spans="1:36" x14ac:dyDescent="0.25">
      <c r="A4244" t="s">
        <v>5411</v>
      </c>
      <c r="B4244" t="s">
        <v>16</v>
      </c>
      <c r="C4244" t="s">
        <v>17</v>
      </c>
      <c r="D4244">
        <v>76374000</v>
      </c>
      <c r="E4244">
        <v>76374999</v>
      </c>
      <c r="F4244" t="s">
        <v>3862</v>
      </c>
      <c r="G4244" t="str">
        <f t="shared" si="132"/>
        <v>GOI II</v>
      </c>
      <c r="H4244" t="s">
        <v>3672</v>
      </c>
      <c r="I4244" t="s">
        <v>20</v>
      </c>
      <c r="J4244" t="s">
        <v>64</v>
      </c>
      <c r="K4244" s="6">
        <v>0.03</v>
      </c>
      <c r="L4244" s="7">
        <f t="shared" si="133"/>
        <v>2E-3</v>
      </c>
      <c r="M4244" s="7">
        <v>3.0000000000000001E-3</v>
      </c>
      <c r="N4244">
        <v>10</v>
      </c>
      <c r="O4244" s="8">
        <v>24.12918157169327</v>
      </c>
      <c r="P4244" s="9">
        <v>24.12918157169327</v>
      </c>
      <c r="Q4244" s="9">
        <v>24.12918157169327</v>
      </c>
      <c r="R4244" s="9">
        <v>25.337926603196635</v>
      </c>
      <c r="S4244" s="9">
        <v>26.739125453822282</v>
      </c>
      <c r="T4244" s="9">
        <v>27.918529456871191</v>
      </c>
      <c r="U4244" s="9">
        <v>29.567239706252465</v>
      </c>
      <c r="V4244" s="9">
        <v>29.567239706252465</v>
      </c>
      <c r="W4244" s="9">
        <v>29.567239706252465</v>
      </c>
      <c r="X4244" s="9">
        <v>32.768324265753506</v>
      </c>
      <c r="Y4244" s="9">
        <v>32.768324265753506</v>
      </c>
      <c r="Z4244" s="9">
        <v>36.06659911693589</v>
      </c>
      <c r="AA4244" s="9">
        <v>36.06659911693589</v>
      </c>
      <c r="AB4244" s="9">
        <v>39.471783288967806</v>
      </c>
      <c r="AC4244" s="9">
        <v>39.471783288967806</v>
      </c>
      <c r="AD4244" s="9">
        <v>44.89371961968488</v>
      </c>
      <c r="AE4244" s="9">
        <v>47.788360826374728</v>
      </c>
      <c r="AF4244" s="9">
        <v>50.811128677055613</v>
      </c>
      <c r="AG4244" s="9">
        <v>50.811128677055613</v>
      </c>
      <c r="AH4244" s="9">
        <v>54.808386973888702</v>
      </c>
      <c r="AI4244" s="9">
        <v>57.901475997525047</v>
      </c>
      <c r="AJ4244" s="9">
        <v>3.0428788910505911</v>
      </c>
    </row>
    <row r="4245" spans="1:36" x14ac:dyDescent="0.25">
      <c r="A4245" t="s">
        <v>5411</v>
      </c>
      <c r="B4245" t="s">
        <v>16</v>
      </c>
      <c r="C4245" t="s">
        <v>17</v>
      </c>
      <c r="D4245">
        <v>76375000</v>
      </c>
      <c r="E4245">
        <v>76379999</v>
      </c>
      <c r="F4245" t="s">
        <v>3863</v>
      </c>
      <c r="G4245" t="str">
        <f t="shared" si="132"/>
        <v>GOI II</v>
      </c>
      <c r="H4245" t="s">
        <v>3672</v>
      </c>
      <c r="I4245" t="s">
        <v>20</v>
      </c>
      <c r="J4245" t="s">
        <v>64</v>
      </c>
      <c r="K4245" s="6">
        <v>0.03</v>
      </c>
      <c r="L4245" s="7">
        <f t="shared" si="133"/>
        <v>2E-3</v>
      </c>
      <c r="M4245" s="7">
        <v>3.0000000000000001E-3</v>
      </c>
      <c r="N4245">
        <v>10</v>
      </c>
      <c r="O4245" s="8">
        <v>24.12918157169327</v>
      </c>
      <c r="P4245" s="9">
        <v>24.12918157169327</v>
      </c>
      <c r="Q4245" s="9">
        <v>24.12918157169327</v>
      </c>
      <c r="R4245" s="9">
        <v>25.337926603196635</v>
      </c>
      <c r="S4245" s="9">
        <v>26.739125453822282</v>
      </c>
      <c r="T4245" s="9">
        <v>27.918529456871191</v>
      </c>
      <c r="U4245" s="9">
        <v>29.567239706252465</v>
      </c>
      <c r="V4245" s="9">
        <v>29.567239706252465</v>
      </c>
      <c r="W4245" s="9">
        <v>29.567239706252465</v>
      </c>
      <c r="X4245" s="9">
        <v>32.768324265753506</v>
      </c>
      <c r="Y4245" s="9">
        <v>32.768324265753506</v>
      </c>
      <c r="Z4245" s="9">
        <v>36.06659911693589</v>
      </c>
      <c r="AA4245" s="9">
        <v>36.06659911693589</v>
      </c>
      <c r="AB4245" s="9">
        <v>39.471783288967806</v>
      </c>
      <c r="AC4245" s="9">
        <v>39.471783288967806</v>
      </c>
      <c r="AD4245" s="9">
        <v>44.89371961968488</v>
      </c>
      <c r="AE4245" s="9">
        <v>47.788360826374728</v>
      </c>
      <c r="AF4245" s="9">
        <v>50.811128677055613</v>
      </c>
      <c r="AG4245" s="9">
        <v>50.811128677055613</v>
      </c>
      <c r="AH4245" s="9">
        <v>54.808386973888702</v>
      </c>
      <c r="AI4245" s="9">
        <v>57.901475997525047</v>
      </c>
      <c r="AJ4245" s="9">
        <v>3.0428788910505911</v>
      </c>
    </row>
    <row r="4246" spans="1:36" x14ac:dyDescent="0.25">
      <c r="A4246" t="s">
        <v>5411</v>
      </c>
      <c r="B4246" t="s">
        <v>16</v>
      </c>
      <c r="C4246" t="s">
        <v>17</v>
      </c>
      <c r="D4246">
        <v>76380000</v>
      </c>
      <c r="E4246">
        <v>76389999</v>
      </c>
      <c r="F4246" t="s">
        <v>3864</v>
      </c>
      <c r="G4246" t="str">
        <f t="shared" si="132"/>
        <v>GOI</v>
      </c>
      <c r="H4246" t="s">
        <v>3672</v>
      </c>
      <c r="I4246" t="s">
        <v>20</v>
      </c>
      <c r="J4246" t="s">
        <v>62</v>
      </c>
      <c r="K4246" s="6">
        <v>0.03</v>
      </c>
      <c r="L4246" s="7">
        <f t="shared" si="133"/>
        <v>2E-3</v>
      </c>
      <c r="M4246" s="7">
        <v>3.0000000000000001E-3</v>
      </c>
      <c r="N4246">
        <v>9</v>
      </c>
      <c r="O4246" s="8">
        <v>20.377140471637041</v>
      </c>
      <c r="P4246" s="9">
        <v>20.377140471637041</v>
      </c>
      <c r="Q4246" s="9">
        <v>20.377140471637041</v>
      </c>
      <c r="R4246" s="9">
        <v>21.402978767052765</v>
      </c>
      <c r="S4246" s="9">
        <v>22.589768980199143</v>
      </c>
      <c r="T4246" s="9">
        <v>24.040396091340774</v>
      </c>
      <c r="U4246" s="9">
        <v>25.448505028591189</v>
      </c>
      <c r="V4246" s="9">
        <v>25.448505028591189</v>
      </c>
      <c r="W4246" s="9">
        <v>25.448505028591189</v>
      </c>
      <c r="X4246" s="9">
        <v>28.109873114011638</v>
      </c>
      <c r="Y4246" s="9">
        <v>28.109873114011638</v>
      </c>
      <c r="Z4246" s="9">
        <v>30.975097350688763</v>
      </c>
      <c r="AA4246" s="9">
        <v>30.975097350688763</v>
      </c>
      <c r="AB4246" s="9">
        <v>34.370578528895656</v>
      </c>
      <c r="AC4246" s="9">
        <v>34.370578528895656</v>
      </c>
      <c r="AD4246" s="9">
        <v>39.013187474230911</v>
      </c>
      <c r="AE4246" s="9">
        <v>42.452173954636635</v>
      </c>
      <c r="AF4246" s="9">
        <v>47.478364248265585</v>
      </c>
      <c r="AG4246" s="9">
        <v>47.478364248265585</v>
      </c>
      <c r="AH4246" s="9">
        <v>50.815992158664379</v>
      </c>
      <c r="AI4246" s="9">
        <v>54.045500821302042</v>
      </c>
      <c r="AJ4246" s="9">
        <v>3.0428788910505911</v>
      </c>
    </row>
    <row r="4247" spans="1:36" x14ac:dyDescent="0.25">
      <c r="A4247" t="s">
        <v>5411</v>
      </c>
      <c r="B4247" t="s">
        <v>16</v>
      </c>
      <c r="C4247" t="s">
        <v>17</v>
      </c>
      <c r="D4247">
        <v>76390000</v>
      </c>
      <c r="E4247">
        <v>76392999</v>
      </c>
      <c r="F4247" t="s">
        <v>1786</v>
      </c>
      <c r="G4247" t="str">
        <f t="shared" si="132"/>
        <v>GOI</v>
      </c>
      <c r="H4247" t="s">
        <v>3672</v>
      </c>
      <c r="I4247" t="s">
        <v>20</v>
      </c>
      <c r="J4247" t="s">
        <v>62</v>
      </c>
      <c r="K4247" s="6">
        <v>0.03</v>
      </c>
      <c r="L4247" s="7">
        <f t="shared" si="133"/>
        <v>2E-3</v>
      </c>
      <c r="M4247" s="7">
        <v>3.0000000000000001E-3</v>
      </c>
      <c r="N4247">
        <v>9</v>
      </c>
      <c r="O4247" s="8">
        <v>20.377140471637041</v>
      </c>
      <c r="P4247" s="9">
        <v>20.377140471637041</v>
      </c>
      <c r="Q4247" s="9">
        <v>20.377140471637041</v>
      </c>
      <c r="R4247" s="9">
        <v>21.402978767052765</v>
      </c>
      <c r="S4247" s="9">
        <v>22.589768980199143</v>
      </c>
      <c r="T4247" s="9">
        <v>24.040396091340774</v>
      </c>
      <c r="U4247" s="9">
        <v>25.448505028591189</v>
      </c>
      <c r="V4247" s="9">
        <v>25.448505028591189</v>
      </c>
      <c r="W4247" s="9">
        <v>25.448505028591189</v>
      </c>
      <c r="X4247" s="9">
        <v>28.109873114011638</v>
      </c>
      <c r="Y4247" s="9">
        <v>28.109873114011638</v>
      </c>
      <c r="Z4247" s="9">
        <v>30.975097350688763</v>
      </c>
      <c r="AA4247" s="9">
        <v>30.975097350688763</v>
      </c>
      <c r="AB4247" s="9">
        <v>34.370578528895656</v>
      </c>
      <c r="AC4247" s="9">
        <v>34.370578528895656</v>
      </c>
      <c r="AD4247" s="9">
        <v>39.013187474230911</v>
      </c>
      <c r="AE4247" s="9">
        <v>42.452173954636635</v>
      </c>
      <c r="AF4247" s="9">
        <v>47.478364248265585</v>
      </c>
      <c r="AG4247" s="9">
        <v>47.478364248265585</v>
      </c>
      <c r="AH4247" s="9">
        <v>50.815992158664379</v>
      </c>
      <c r="AI4247" s="9">
        <v>54.045500821302042</v>
      </c>
      <c r="AJ4247" s="9">
        <v>3.0428788910505911</v>
      </c>
    </row>
    <row r="4248" spans="1:36" x14ac:dyDescent="0.25">
      <c r="A4248" t="s">
        <v>5411</v>
      </c>
      <c r="B4248" t="s">
        <v>16</v>
      </c>
      <c r="C4248" t="s">
        <v>17</v>
      </c>
      <c r="D4248">
        <v>76393000</v>
      </c>
      <c r="E4248">
        <v>76394999</v>
      </c>
      <c r="F4248" t="s">
        <v>3865</v>
      </c>
      <c r="G4248" t="str">
        <f t="shared" si="132"/>
        <v>GOI</v>
      </c>
      <c r="H4248" t="s">
        <v>3672</v>
      </c>
      <c r="I4248" t="s">
        <v>20</v>
      </c>
      <c r="J4248" t="s">
        <v>62</v>
      </c>
      <c r="K4248" s="6">
        <v>0.03</v>
      </c>
      <c r="L4248" s="7">
        <f t="shared" si="133"/>
        <v>2E-3</v>
      </c>
      <c r="M4248" s="7">
        <v>3.0000000000000001E-3</v>
      </c>
      <c r="N4248">
        <v>9</v>
      </c>
      <c r="O4248" s="8">
        <v>20.377140471637041</v>
      </c>
      <c r="P4248" s="9">
        <v>20.377140471637041</v>
      </c>
      <c r="Q4248" s="9">
        <v>20.377140471637041</v>
      </c>
      <c r="R4248" s="9">
        <v>21.402978767052765</v>
      </c>
      <c r="S4248" s="9">
        <v>22.589768980199143</v>
      </c>
      <c r="T4248" s="9">
        <v>24.040396091340774</v>
      </c>
      <c r="U4248" s="9">
        <v>25.448505028591189</v>
      </c>
      <c r="V4248" s="9">
        <v>25.448505028591189</v>
      </c>
      <c r="W4248" s="9">
        <v>25.448505028591189</v>
      </c>
      <c r="X4248" s="9">
        <v>28.109873114011638</v>
      </c>
      <c r="Y4248" s="9">
        <v>28.109873114011638</v>
      </c>
      <c r="Z4248" s="9">
        <v>30.975097350688763</v>
      </c>
      <c r="AA4248" s="9">
        <v>30.975097350688763</v>
      </c>
      <c r="AB4248" s="9">
        <v>34.370578528895656</v>
      </c>
      <c r="AC4248" s="9">
        <v>34.370578528895656</v>
      </c>
      <c r="AD4248" s="9">
        <v>39.013187474230911</v>
      </c>
      <c r="AE4248" s="9">
        <v>42.452173954636635</v>
      </c>
      <c r="AF4248" s="9">
        <v>47.478364248265585</v>
      </c>
      <c r="AG4248" s="9">
        <v>47.478364248265585</v>
      </c>
      <c r="AH4248" s="9">
        <v>50.815992158664379</v>
      </c>
      <c r="AI4248" s="9">
        <v>54.045500821302042</v>
      </c>
      <c r="AJ4248" s="9">
        <v>3.0428788910505911</v>
      </c>
    </row>
    <row r="4249" spans="1:36" x14ac:dyDescent="0.25">
      <c r="A4249" t="s">
        <v>5411</v>
      </c>
      <c r="B4249" t="s">
        <v>16</v>
      </c>
      <c r="C4249" t="s">
        <v>17</v>
      </c>
      <c r="D4249">
        <v>76395000</v>
      </c>
      <c r="E4249">
        <v>76399999</v>
      </c>
      <c r="F4249" t="s">
        <v>3866</v>
      </c>
      <c r="G4249" t="str">
        <f t="shared" si="132"/>
        <v>GOI</v>
      </c>
      <c r="H4249" t="s">
        <v>3672</v>
      </c>
      <c r="I4249" t="s">
        <v>20</v>
      </c>
      <c r="J4249" t="s">
        <v>62</v>
      </c>
      <c r="K4249" s="6">
        <v>0.03</v>
      </c>
      <c r="L4249" s="7">
        <f t="shared" si="133"/>
        <v>2E-3</v>
      </c>
      <c r="M4249" s="7">
        <v>3.0000000000000001E-3</v>
      </c>
      <c r="N4249">
        <v>9</v>
      </c>
      <c r="O4249" s="8">
        <v>20.377140471637041</v>
      </c>
      <c r="P4249" s="9">
        <v>20.377140471637041</v>
      </c>
      <c r="Q4249" s="9">
        <v>20.377140471637041</v>
      </c>
      <c r="R4249" s="9">
        <v>21.402978767052765</v>
      </c>
      <c r="S4249" s="9">
        <v>22.589768980199143</v>
      </c>
      <c r="T4249" s="9">
        <v>24.040396091340774</v>
      </c>
      <c r="U4249" s="9">
        <v>25.448505028591189</v>
      </c>
      <c r="V4249" s="9">
        <v>25.448505028591189</v>
      </c>
      <c r="W4249" s="9">
        <v>25.448505028591189</v>
      </c>
      <c r="X4249" s="9">
        <v>28.109873114011638</v>
      </c>
      <c r="Y4249" s="9">
        <v>28.109873114011638</v>
      </c>
      <c r="Z4249" s="9">
        <v>30.975097350688763</v>
      </c>
      <c r="AA4249" s="9">
        <v>30.975097350688763</v>
      </c>
      <c r="AB4249" s="9">
        <v>34.370578528895656</v>
      </c>
      <c r="AC4249" s="9">
        <v>34.370578528895656</v>
      </c>
      <c r="AD4249" s="9">
        <v>39.013187474230911</v>
      </c>
      <c r="AE4249" s="9">
        <v>42.452173954636635</v>
      </c>
      <c r="AF4249" s="9">
        <v>47.478364248265585</v>
      </c>
      <c r="AG4249" s="9">
        <v>47.478364248265585</v>
      </c>
      <c r="AH4249" s="9">
        <v>50.815992158664379</v>
      </c>
      <c r="AI4249" s="9">
        <v>54.045500821302042</v>
      </c>
      <c r="AJ4249" s="9">
        <v>3.0428788910505911</v>
      </c>
    </row>
    <row r="4250" spans="1:36" x14ac:dyDescent="0.25">
      <c r="A4250" t="s">
        <v>5411</v>
      </c>
      <c r="B4250" t="s">
        <v>16</v>
      </c>
      <c r="C4250" t="s">
        <v>17</v>
      </c>
      <c r="D4250">
        <v>76400000</v>
      </c>
      <c r="E4250">
        <v>76409999</v>
      </c>
      <c r="F4250" t="s">
        <v>3867</v>
      </c>
      <c r="G4250" t="str">
        <f t="shared" si="132"/>
        <v>GOI II</v>
      </c>
      <c r="H4250" t="s">
        <v>3672</v>
      </c>
      <c r="I4250" t="s">
        <v>20</v>
      </c>
      <c r="J4250" t="s">
        <v>64</v>
      </c>
      <c r="K4250" s="6">
        <v>0.03</v>
      </c>
      <c r="L4250" s="7">
        <f t="shared" si="133"/>
        <v>2E-3</v>
      </c>
      <c r="M4250" s="7">
        <v>3.0000000000000001E-3</v>
      </c>
      <c r="N4250">
        <v>14</v>
      </c>
      <c r="O4250" s="8">
        <v>24.12918157169327</v>
      </c>
      <c r="P4250" s="9">
        <v>24.12918157169327</v>
      </c>
      <c r="Q4250" s="9">
        <v>24.12918157169327</v>
      </c>
      <c r="R4250" s="9">
        <v>25.337926603196635</v>
      </c>
      <c r="S4250" s="9">
        <v>26.739125453822282</v>
      </c>
      <c r="T4250" s="9">
        <v>27.918529456871191</v>
      </c>
      <c r="U4250" s="9">
        <v>29.567239706252465</v>
      </c>
      <c r="V4250" s="9">
        <v>29.567239706252465</v>
      </c>
      <c r="W4250" s="9">
        <v>29.567239706252465</v>
      </c>
      <c r="X4250" s="9">
        <v>32.768324265753506</v>
      </c>
      <c r="Y4250" s="9">
        <v>32.768324265753506</v>
      </c>
      <c r="Z4250" s="9">
        <v>36.06659911693589</v>
      </c>
      <c r="AA4250" s="9">
        <v>36.06659911693589</v>
      </c>
      <c r="AB4250" s="9">
        <v>39.471783288967806</v>
      </c>
      <c r="AC4250" s="9">
        <v>39.471783288967806</v>
      </c>
      <c r="AD4250" s="9">
        <v>44.89371961968488</v>
      </c>
      <c r="AE4250" s="9">
        <v>47.788360826374728</v>
      </c>
      <c r="AF4250" s="9">
        <v>50.811128677055613</v>
      </c>
      <c r="AG4250" s="9">
        <v>50.811128677055613</v>
      </c>
      <c r="AH4250" s="9">
        <v>54.808386973888702</v>
      </c>
      <c r="AI4250" s="9">
        <v>57.901475997525047</v>
      </c>
      <c r="AJ4250" s="9">
        <v>3.0428788910505911</v>
      </c>
    </row>
    <row r="4251" spans="1:36" x14ac:dyDescent="0.25">
      <c r="A4251" t="s">
        <v>5411</v>
      </c>
      <c r="B4251" t="s">
        <v>16</v>
      </c>
      <c r="C4251" t="s">
        <v>17</v>
      </c>
      <c r="D4251">
        <v>76410000</v>
      </c>
      <c r="E4251">
        <v>76419999</v>
      </c>
      <c r="F4251" t="s">
        <v>3868</v>
      </c>
      <c r="G4251" t="str">
        <f t="shared" si="132"/>
        <v>GOI II</v>
      </c>
      <c r="H4251" t="s">
        <v>3672</v>
      </c>
      <c r="I4251" t="s">
        <v>20</v>
      </c>
      <c r="J4251" t="s">
        <v>64</v>
      </c>
      <c r="K4251" s="6">
        <v>0.03</v>
      </c>
      <c r="L4251" s="7">
        <f t="shared" si="133"/>
        <v>2E-3</v>
      </c>
      <c r="M4251" s="7">
        <v>3.0000000000000001E-3</v>
      </c>
      <c r="N4251">
        <v>14</v>
      </c>
      <c r="O4251" s="8">
        <v>24.12918157169327</v>
      </c>
      <c r="P4251" s="9">
        <v>24.12918157169327</v>
      </c>
      <c r="Q4251" s="9">
        <v>24.12918157169327</v>
      </c>
      <c r="R4251" s="9">
        <v>25.337926603196635</v>
      </c>
      <c r="S4251" s="9">
        <v>26.739125453822282</v>
      </c>
      <c r="T4251" s="9">
        <v>27.918529456871191</v>
      </c>
      <c r="U4251" s="9">
        <v>29.567239706252465</v>
      </c>
      <c r="V4251" s="9">
        <v>29.567239706252465</v>
      </c>
      <c r="W4251" s="9">
        <v>29.567239706252465</v>
      </c>
      <c r="X4251" s="9">
        <v>32.768324265753506</v>
      </c>
      <c r="Y4251" s="9">
        <v>32.768324265753506</v>
      </c>
      <c r="Z4251" s="9">
        <v>36.06659911693589</v>
      </c>
      <c r="AA4251" s="9">
        <v>36.06659911693589</v>
      </c>
      <c r="AB4251" s="9">
        <v>39.471783288967806</v>
      </c>
      <c r="AC4251" s="9">
        <v>39.471783288967806</v>
      </c>
      <c r="AD4251" s="9">
        <v>44.89371961968488</v>
      </c>
      <c r="AE4251" s="9">
        <v>47.788360826374728</v>
      </c>
      <c r="AF4251" s="9">
        <v>50.811128677055613</v>
      </c>
      <c r="AG4251" s="9">
        <v>50.811128677055613</v>
      </c>
      <c r="AH4251" s="9">
        <v>54.808386973888702</v>
      </c>
      <c r="AI4251" s="9">
        <v>57.901475997525047</v>
      </c>
      <c r="AJ4251" s="9">
        <v>3.0428788910505911</v>
      </c>
    </row>
    <row r="4252" spans="1:36" x14ac:dyDescent="0.25">
      <c r="A4252" t="s">
        <v>5411</v>
      </c>
      <c r="B4252" t="s">
        <v>16</v>
      </c>
      <c r="C4252" t="s">
        <v>17</v>
      </c>
      <c r="D4252">
        <v>76420000</v>
      </c>
      <c r="E4252">
        <v>76439999</v>
      </c>
      <c r="F4252" t="s">
        <v>3869</v>
      </c>
      <c r="G4252" t="str">
        <f t="shared" si="132"/>
        <v>GOI II</v>
      </c>
      <c r="H4252" t="s">
        <v>3672</v>
      </c>
      <c r="I4252" t="s">
        <v>20</v>
      </c>
      <c r="J4252" t="s">
        <v>64</v>
      </c>
      <c r="K4252" s="6">
        <v>0.03</v>
      </c>
      <c r="L4252" s="7">
        <f t="shared" si="133"/>
        <v>2E-3</v>
      </c>
      <c r="M4252" s="7">
        <v>3.0000000000000001E-3</v>
      </c>
      <c r="N4252">
        <v>14</v>
      </c>
      <c r="O4252" s="8">
        <v>24.12918157169327</v>
      </c>
      <c r="P4252" s="9">
        <v>24.12918157169327</v>
      </c>
      <c r="Q4252" s="9">
        <v>24.12918157169327</v>
      </c>
      <c r="R4252" s="9">
        <v>25.337926603196635</v>
      </c>
      <c r="S4252" s="9">
        <v>26.739125453822282</v>
      </c>
      <c r="T4252" s="9">
        <v>27.918529456871191</v>
      </c>
      <c r="U4252" s="9">
        <v>29.567239706252465</v>
      </c>
      <c r="V4252" s="9">
        <v>29.567239706252465</v>
      </c>
      <c r="W4252" s="9">
        <v>29.567239706252465</v>
      </c>
      <c r="X4252" s="9">
        <v>32.768324265753506</v>
      </c>
      <c r="Y4252" s="9">
        <v>32.768324265753506</v>
      </c>
      <c r="Z4252" s="9">
        <v>36.06659911693589</v>
      </c>
      <c r="AA4252" s="9">
        <v>36.06659911693589</v>
      </c>
      <c r="AB4252" s="9">
        <v>39.471783288967806</v>
      </c>
      <c r="AC4252" s="9">
        <v>39.471783288967806</v>
      </c>
      <c r="AD4252" s="9">
        <v>44.89371961968488</v>
      </c>
      <c r="AE4252" s="9">
        <v>47.788360826374728</v>
      </c>
      <c r="AF4252" s="9">
        <v>50.811128677055613</v>
      </c>
      <c r="AG4252" s="9">
        <v>50.811128677055613</v>
      </c>
      <c r="AH4252" s="9">
        <v>54.808386973888702</v>
      </c>
      <c r="AI4252" s="9">
        <v>57.901475997525047</v>
      </c>
      <c r="AJ4252" s="9">
        <v>3.0428788910505911</v>
      </c>
    </row>
    <row r="4253" spans="1:36" x14ac:dyDescent="0.25">
      <c r="A4253" t="s">
        <v>5411</v>
      </c>
      <c r="B4253" t="s">
        <v>16</v>
      </c>
      <c r="C4253" t="s">
        <v>17</v>
      </c>
      <c r="D4253">
        <v>76440000</v>
      </c>
      <c r="E4253">
        <v>76449999</v>
      </c>
      <c r="F4253" t="s">
        <v>3870</v>
      </c>
      <c r="G4253" t="str">
        <f t="shared" si="132"/>
        <v>GOI II</v>
      </c>
      <c r="H4253" t="s">
        <v>3672</v>
      </c>
      <c r="I4253" t="s">
        <v>20</v>
      </c>
      <c r="J4253" t="s">
        <v>64</v>
      </c>
      <c r="K4253" s="6">
        <v>0.03</v>
      </c>
      <c r="L4253" s="7">
        <f t="shared" si="133"/>
        <v>2E-3</v>
      </c>
      <c r="M4253" s="7">
        <v>3.0000000000000001E-3</v>
      </c>
      <c r="N4253">
        <v>17</v>
      </c>
      <c r="O4253" s="8">
        <v>24.12918157169327</v>
      </c>
      <c r="P4253" s="9">
        <v>24.12918157169327</v>
      </c>
      <c r="Q4253" s="9">
        <v>24.12918157169327</v>
      </c>
      <c r="R4253" s="9">
        <v>25.337926603196635</v>
      </c>
      <c r="S4253" s="9">
        <v>26.739125453822282</v>
      </c>
      <c r="T4253" s="9">
        <v>27.918529456871191</v>
      </c>
      <c r="U4253" s="9">
        <v>29.567239706252465</v>
      </c>
      <c r="V4253" s="9">
        <v>29.567239706252465</v>
      </c>
      <c r="W4253" s="9">
        <v>29.567239706252465</v>
      </c>
      <c r="X4253" s="9">
        <v>32.768324265753506</v>
      </c>
      <c r="Y4253" s="9">
        <v>32.768324265753506</v>
      </c>
      <c r="Z4253" s="9">
        <v>36.06659911693589</v>
      </c>
      <c r="AA4253" s="9">
        <v>36.06659911693589</v>
      </c>
      <c r="AB4253" s="9">
        <v>39.471783288967806</v>
      </c>
      <c r="AC4253" s="9">
        <v>39.471783288967806</v>
      </c>
      <c r="AD4253" s="9">
        <v>44.89371961968488</v>
      </c>
      <c r="AE4253" s="9">
        <v>47.788360826374728</v>
      </c>
      <c r="AF4253" s="9">
        <v>50.811128677055613</v>
      </c>
      <c r="AG4253" s="9">
        <v>50.811128677055613</v>
      </c>
      <c r="AH4253" s="9">
        <v>54.808386973888702</v>
      </c>
      <c r="AI4253" s="9">
        <v>57.901475997525047</v>
      </c>
      <c r="AJ4253" s="9">
        <v>3.0428788910505911</v>
      </c>
    </row>
    <row r="4254" spans="1:36" x14ac:dyDescent="0.25">
      <c r="A4254" t="s">
        <v>5411</v>
      </c>
      <c r="B4254" t="s">
        <v>16</v>
      </c>
      <c r="C4254" t="s">
        <v>17</v>
      </c>
      <c r="D4254">
        <v>76450000</v>
      </c>
      <c r="E4254">
        <v>76459999</v>
      </c>
      <c r="F4254" t="s">
        <v>3871</v>
      </c>
      <c r="G4254" t="str">
        <f t="shared" si="132"/>
        <v>GOI II</v>
      </c>
      <c r="H4254" t="s">
        <v>3672</v>
      </c>
      <c r="I4254" t="s">
        <v>20</v>
      </c>
      <c r="J4254" t="s">
        <v>64</v>
      </c>
      <c r="K4254" s="6">
        <v>0.03</v>
      </c>
      <c r="L4254" s="7">
        <f t="shared" si="133"/>
        <v>2E-3</v>
      </c>
      <c r="M4254" s="7">
        <v>3.0000000000000001E-3</v>
      </c>
      <c r="N4254">
        <v>17</v>
      </c>
      <c r="O4254" s="8">
        <v>24.12918157169327</v>
      </c>
      <c r="P4254" s="9">
        <v>24.12918157169327</v>
      </c>
      <c r="Q4254" s="9">
        <v>24.12918157169327</v>
      </c>
      <c r="R4254" s="9">
        <v>25.337926603196635</v>
      </c>
      <c r="S4254" s="9">
        <v>26.739125453822282</v>
      </c>
      <c r="T4254" s="9">
        <v>27.918529456871191</v>
      </c>
      <c r="U4254" s="9">
        <v>29.567239706252465</v>
      </c>
      <c r="V4254" s="9">
        <v>29.567239706252465</v>
      </c>
      <c r="W4254" s="9">
        <v>29.567239706252465</v>
      </c>
      <c r="X4254" s="9">
        <v>32.768324265753506</v>
      </c>
      <c r="Y4254" s="9">
        <v>32.768324265753506</v>
      </c>
      <c r="Z4254" s="9">
        <v>36.06659911693589</v>
      </c>
      <c r="AA4254" s="9">
        <v>36.06659911693589</v>
      </c>
      <c r="AB4254" s="9">
        <v>39.471783288967806</v>
      </c>
      <c r="AC4254" s="9">
        <v>39.471783288967806</v>
      </c>
      <c r="AD4254" s="9">
        <v>44.89371961968488</v>
      </c>
      <c r="AE4254" s="9">
        <v>47.788360826374728</v>
      </c>
      <c r="AF4254" s="9">
        <v>50.811128677055613</v>
      </c>
      <c r="AG4254" s="9">
        <v>50.811128677055613</v>
      </c>
      <c r="AH4254" s="9">
        <v>54.808386973888702</v>
      </c>
      <c r="AI4254" s="9">
        <v>57.901475997525047</v>
      </c>
      <c r="AJ4254" s="9">
        <v>3.0428788910505911</v>
      </c>
    </row>
    <row r="4255" spans="1:36" x14ac:dyDescent="0.25">
      <c r="A4255" t="s">
        <v>5411</v>
      </c>
      <c r="B4255" t="s">
        <v>16</v>
      </c>
      <c r="C4255" t="s">
        <v>17</v>
      </c>
      <c r="D4255">
        <v>76460000</v>
      </c>
      <c r="E4255">
        <v>76464999</v>
      </c>
      <c r="F4255" t="s">
        <v>3872</v>
      </c>
      <c r="G4255" t="str">
        <f t="shared" si="132"/>
        <v>GOI II</v>
      </c>
      <c r="H4255" t="s">
        <v>3672</v>
      </c>
      <c r="I4255" t="s">
        <v>20</v>
      </c>
      <c r="J4255" t="s">
        <v>64</v>
      </c>
      <c r="K4255" s="6">
        <v>0.03</v>
      </c>
      <c r="L4255" s="7">
        <f t="shared" si="133"/>
        <v>2E-3</v>
      </c>
      <c r="M4255" s="7">
        <v>3.0000000000000001E-3</v>
      </c>
      <c r="N4255">
        <v>17</v>
      </c>
      <c r="O4255" s="8">
        <v>24.12918157169327</v>
      </c>
      <c r="P4255" s="9">
        <v>24.12918157169327</v>
      </c>
      <c r="Q4255" s="9">
        <v>24.12918157169327</v>
      </c>
      <c r="R4255" s="9">
        <v>25.337926603196635</v>
      </c>
      <c r="S4255" s="9">
        <v>26.739125453822282</v>
      </c>
      <c r="T4255" s="9">
        <v>27.918529456871191</v>
      </c>
      <c r="U4255" s="9">
        <v>29.567239706252465</v>
      </c>
      <c r="V4255" s="9">
        <v>29.567239706252465</v>
      </c>
      <c r="W4255" s="9">
        <v>29.567239706252465</v>
      </c>
      <c r="X4255" s="9">
        <v>32.768324265753506</v>
      </c>
      <c r="Y4255" s="9">
        <v>32.768324265753506</v>
      </c>
      <c r="Z4255" s="9">
        <v>36.06659911693589</v>
      </c>
      <c r="AA4255" s="9">
        <v>36.06659911693589</v>
      </c>
      <c r="AB4255" s="9">
        <v>39.471783288967806</v>
      </c>
      <c r="AC4255" s="9">
        <v>39.471783288967806</v>
      </c>
      <c r="AD4255" s="9">
        <v>44.89371961968488</v>
      </c>
      <c r="AE4255" s="9">
        <v>47.788360826374728</v>
      </c>
      <c r="AF4255" s="9">
        <v>50.811128677055613</v>
      </c>
      <c r="AG4255" s="9">
        <v>50.811128677055613</v>
      </c>
      <c r="AH4255" s="9">
        <v>54.808386973888702</v>
      </c>
      <c r="AI4255" s="9">
        <v>57.901475997525047</v>
      </c>
      <c r="AJ4255" s="9">
        <v>3.0428788910505911</v>
      </c>
    </row>
    <row r="4256" spans="1:36" x14ac:dyDescent="0.25">
      <c r="A4256" t="s">
        <v>5411</v>
      </c>
      <c r="B4256" t="s">
        <v>16</v>
      </c>
      <c r="C4256" t="s">
        <v>17</v>
      </c>
      <c r="D4256">
        <v>76465000</v>
      </c>
      <c r="E4256">
        <v>76469999</v>
      </c>
      <c r="F4256" t="s">
        <v>3801</v>
      </c>
      <c r="G4256" t="str">
        <f t="shared" si="132"/>
        <v>GOI II</v>
      </c>
      <c r="H4256" t="s">
        <v>3672</v>
      </c>
      <c r="I4256" t="s">
        <v>20</v>
      </c>
      <c r="J4256" t="s">
        <v>64</v>
      </c>
      <c r="K4256" s="6">
        <v>0.03</v>
      </c>
      <c r="L4256" s="7">
        <f t="shared" si="133"/>
        <v>2E-3</v>
      </c>
      <c r="M4256" s="7">
        <v>3.0000000000000001E-3</v>
      </c>
      <c r="N4256">
        <v>17</v>
      </c>
      <c r="O4256" s="8">
        <v>24.12918157169327</v>
      </c>
      <c r="P4256" s="9">
        <v>24.12918157169327</v>
      </c>
      <c r="Q4256" s="9">
        <v>24.12918157169327</v>
      </c>
      <c r="R4256" s="9">
        <v>25.337926603196635</v>
      </c>
      <c r="S4256" s="9">
        <v>26.739125453822282</v>
      </c>
      <c r="T4256" s="9">
        <v>27.918529456871191</v>
      </c>
      <c r="U4256" s="9">
        <v>29.567239706252465</v>
      </c>
      <c r="V4256" s="9">
        <v>29.567239706252465</v>
      </c>
      <c r="W4256" s="9">
        <v>29.567239706252465</v>
      </c>
      <c r="X4256" s="9">
        <v>32.768324265753506</v>
      </c>
      <c r="Y4256" s="9">
        <v>32.768324265753506</v>
      </c>
      <c r="Z4256" s="9">
        <v>36.06659911693589</v>
      </c>
      <c r="AA4256" s="9">
        <v>36.06659911693589</v>
      </c>
      <c r="AB4256" s="9">
        <v>39.471783288967806</v>
      </c>
      <c r="AC4256" s="9">
        <v>39.471783288967806</v>
      </c>
      <c r="AD4256" s="9">
        <v>44.89371961968488</v>
      </c>
      <c r="AE4256" s="9">
        <v>47.788360826374728</v>
      </c>
      <c r="AF4256" s="9">
        <v>50.811128677055613</v>
      </c>
      <c r="AG4256" s="9">
        <v>50.811128677055613</v>
      </c>
      <c r="AH4256" s="9">
        <v>54.808386973888702</v>
      </c>
      <c r="AI4256" s="9">
        <v>57.901475997525047</v>
      </c>
      <c r="AJ4256" s="9">
        <v>3.0428788910505911</v>
      </c>
    </row>
    <row r="4257" spans="1:36" x14ac:dyDescent="0.25">
      <c r="A4257" t="s">
        <v>5411</v>
      </c>
      <c r="B4257" t="s">
        <v>16</v>
      </c>
      <c r="C4257" t="s">
        <v>17</v>
      </c>
      <c r="D4257">
        <v>76470000</v>
      </c>
      <c r="E4257">
        <v>76479999</v>
      </c>
      <c r="F4257" t="s">
        <v>1466</v>
      </c>
      <c r="G4257" t="str">
        <f t="shared" si="132"/>
        <v>GOI</v>
      </c>
      <c r="H4257" t="s">
        <v>3672</v>
      </c>
      <c r="I4257" t="s">
        <v>20</v>
      </c>
      <c r="J4257" t="s">
        <v>62</v>
      </c>
      <c r="K4257" s="6">
        <v>0.03</v>
      </c>
      <c r="L4257" s="7">
        <f t="shared" si="133"/>
        <v>2E-3</v>
      </c>
      <c r="M4257" s="7">
        <v>3.0000000000000001E-3</v>
      </c>
      <c r="N4257">
        <v>17</v>
      </c>
      <c r="O4257" s="8">
        <v>20.377140471637041</v>
      </c>
      <c r="P4257" s="9">
        <v>20.377140471637041</v>
      </c>
      <c r="Q4257" s="9">
        <v>20.377140471637041</v>
      </c>
      <c r="R4257" s="9">
        <v>21.402978767052765</v>
      </c>
      <c r="S4257" s="9">
        <v>22.589768980199143</v>
      </c>
      <c r="T4257" s="9">
        <v>24.040396091340774</v>
      </c>
      <c r="U4257" s="9">
        <v>25.448505028591189</v>
      </c>
      <c r="V4257" s="9">
        <v>25.448505028591189</v>
      </c>
      <c r="W4257" s="9">
        <v>25.448505028591189</v>
      </c>
      <c r="X4257" s="9">
        <v>28.109873114011638</v>
      </c>
      <c r="Y4257" s="9">
        <v>28.109873114011638</v>
      </c>
      <c r="Z4257" s="9">
        <v>30.975097350688763</v>
      </c>
      <c r="AA4257" s="9">
        <v>30.975097350688763</v>
      </c>
      <c r="AB4257" s="9">
        <v>34.370578528895656</v>
      </c>
      <c r="AC4257" s="9">
        <v>34.370578528895656</v>
      </c>
      <c r="AD4257" s="9">
        <v>39.013187474230911</v>
      </c>
      <c r="AE4257" s="9">
        <v>42.452173954636635</v>
      </c>
      <c r="AF4257" s="9">
        <v>47.478364248265585</v>
      </c>
      <c r="AG4257" s="9">
        <v>47.478364248265585</v>
      </c>
      <c r="AH4257" s="9">
        <v>50.815992158664379</v>
      </c>
      <c r="AI4257" s="9">
        <v>54.045500821302042</v>
      </c>
      <c r="AJ4257" s="9">
        <v>3.0428788910505911</v>
      </c>
    </row>
    <row r="4258" spans="1:36" x14ac:dyDescent="0.25">
      <c r="A4258" t="s">
        <v>5411</v>
      </c>
      <c r="B4258" t="s">
        <v>16</v>
      </c>
      <c r="C4258" t="s">
        <v>17</v>
      </c>
      <c r="D4258">
        <v>76480000</v>
      </c>
      <c r="E4258">
        <v>76484999</v>
      </c>
      <c r="F4258" t="s">
        <v>3873</v>
      </c>
      <c r="G4258" t="str">
        <f t="shared" si="132"/>
        <v>GOI II</v>
      </c>
      <c r="H4258" t="s">
        <v>3672</v>
      </c>
      <c r="I4258" t="s">
        <v>20</v>
      </c>
      <c r="J4258" t="s">
        <v>64</v>
      </c>
      <c r="K4258" s="6">
        <v>0.03</v>
      </c>
      <c r="L4258" s="7">
        <f t="shared" si="133"/>
        <v>2E-3</v>
      </c>
      <c r="M4258" s="7">
        <v>3.0000000000000001E-3</v>
      </c>
      <c r="N4258">
        <v>17</v>
      </c>
      <c r="O4258" s="8">
        <v>24.12918157169327</v>
      </c>
      <c r="P4258" s="9">
        <v>24.12918157169327</v>
      </c>
      <c r="Q4258" s="9">
        <v>24.12918157169327</v>
      </c>
      <c r="R4258" s="9">
        <v>25.337926603196635</v>
      </c>
      <c r="S4258" s="9">
        <v>26.739125453822282</v>
      </c>
      <c r="T4258" s="9">
        <v>27.918529456871191</v>
      </c>
      <c r="U4258" s="9">
        <v>29.567239706252465</v>
      </c>
      <c r="V4258" s="9">
        <v>29.567239706252465</v>
      </c>
      <c r="W4258" s="9">
        <v>29.567239706252465</v>
      </c>
      <c r="X4258" s="9">
        <v>32.768324265753506</v>
      </c>
      <c r="Y4258" s="9">
        <v>32.768324265753506</v>
      </c>
      <c r="Z4258" s="9">
        <v>36.06659911693589</v>
      </c>
      <c r="AA4258" s="9">
        <v>36.06659911693589</v>
      </c>
      <c r="AB4258" s="9">
        <v>39.471783288967806</v>
      </c>
      <c r="AC4258" s="9">
        <v>39.471783288967806</v>
      </c>
      <c r="AD4258" s="9">
        <v>44.89371961968488</v>
      </c>
      <c r="AE4258" s="9">
        <v>47.788360826374728</v>
      </c>
      <c r="AF4258" s="9">
        <v>50.811128677055613</v>
      </c>
      <c r="AG4258" s="9">
        <v>50.811128677055613</v>
      </c>
      <c r="AH4258" s="9">
        <v>54.808386973888702</v>
      </c>
      <c r="AI4258" s="9">
        <v>57.901475997525047</v>
      </c>
      <c r="AJ4258" s="9">
        <v>3.0428788910505911</v>
      </c>
    </row>
    <row r="4259" spans="1:36" x14ac:dyDescent="0.25">
      <c r="A4259" t="s">
        <v>5411</v>
      </c>
      <c r="B4259" t="s">
        <v>16</v>
      </c>
      <c r="C4259" t="s">
        <v>17</v>
      </c>
      <c r="D4259">
        <v>76485000</v>
      </c>
      <c r="E4259">
        <v>76489999</v>
      </c>
      <c r="F4259" t="s">
        <v>617</v>
      </c>
      <c r="G4259" t="str">
        <f t="shared" si="132"/>
        <v>GOI II</v>
      </c>
      <c r="H4259" t="s">
        <v>3672</v>
      </c>
      <c r="I4259" t="s">
        <v>20</v>
      </c>
      <c r="J4259" t="s">
        <v>64</v>
      </c>
      <c r="K4259" s="6">
        <v>0.03</v>
      </c>
      <c r="L4259" s="7">
        <f t="shared" si="133"/>
        <v>2E-3</v>
      </c>
      <c r="M4259" s="7">
        <v>3.0000000000000001E-3</v>
      </c>
      <c r="N4259">
        <v>17</v>
      </c>
      <c r="O4259" s="8">
        <v>24.12918157169327</v>
      </c>
      <c r="P4259" s="9">
        <v>24.12918157169327</v>
      </c>
      <c r="Q4259" s="9">
        <v>24.12918157169327</v>
      </c>
      <c r="R4259" s="9">
        <v>25.337926603196635</v>
      </c>
      <c r="S4259" s="9">
        <v>26.739125453822282</v>
      </c>
      <c r="T4259" s="9">
        <v>27.918529456871191</v>
      </c>
      <c r="U4259" s="9">
        <v>29.567239706252465</v>
      </c>
      <c r="V4259" s="9">
        <v>29.567239706252465</v>
      </c>
      <c r="W4259" s="9">
        <v>29.567239706252465</v>
      </c>
      <c r="X4259" s="9">
        <v>32.768324265753506</v>
      </c>
      <c r="Y4259" s="9">
        <v>32.768324265753506</v>
      </c>
      <c r="Z4259" s="9">
        <v>36.06659911693589</v>
      </c>
      <c r="AA4259" s="9">
        <v>36.06659911693589</v>
      </c>
      <c r="AB4259" s="9">
        <v>39.471783288967806</v>
      </c>
      <c r="AC4259" s="9">
        <v>39.471783288967806</v>
      </c>
      <c r="AD4259" s="9">
        <v>44.89371961968488</v>
      </c>
      <c r="AE4259" s="9">
        <v>47.788360826374728</v>
      </c>
      <c r="AF4259" s="9">
        <v>50.811128677055613</v>
      </c>
      <c r="AG4259" s="9">
        <v>50.811128677055613</v>
      </c>
      <c r="AH4259" s="9">
        <v>54.808386973888702</v>
      </c>
      <c r="AI4259" s="9">
        <v>57.901475997525047</v>
      </c>
      <c r="AJ4259" s="9">
        <v>3.0428788910505911</v>
      </c>
    </row>
    <row r="4260" spans="1:36" x14ac:dyDescent="0.25">
      <c r="A4260" t="s">
        <v>5411</v>
      </c>
      <c r="B4260" t="s">
        <v>16</v>
      </c>
      <c r="C4260" t="s">
        <v>17</v>
      </c>
      <c r="D4260">
        <v>76490000</v>
      </c>
      <c r="E4260">
        <v>76492999</v>
      </c>
      <c r="F4260" t="s">
        <v>3874</v>
      </c>
      <c r="G4260" t="str">
        <f t="shared" si="132"/>
        <v>GOI</v>
      </c>
      <c r="H4260" t="s">
        <v>3672</v>
      </c>
      <c r="I4260" t="s">
        <v>20</v>
      </c>
      <c r="J4260" t="s">
        <v>62</v>
      </c>
      <c r="K4260" s="6">
        <v>0.03</v>
      </c>
      <c r="L4260" s="7">
        <f t="shared" si="133"/>
        <v>2E-3</v>
      </c>
      <c r="M4260" s="7">
        <v>3.0000000000000001E-3</v>
      </c>
      <c r="N4260">
        <v>17</v>
      </c>
      <c r="O4260" s="8">
        <v>20.377140471637041</v>
      </c>
      <c r="P4260" s="9">
        <v>20.377140471637041</v>
      </c>
      <c r="Q4260" s="9">
        <v>20.377140471637041</v>
      </c>
      <c r="R4260" s="9">
        <v>21.402978767052765</v>
      </c>
      <c r="S4260" s="9">
        <v>22.589768980199143</v>
      </c>
      <c r="T4260" s="9">
        <v>24.040396091340774</v>
      </c>
      <c r="U4260" s="9">
        <v>25.448505028591189</v>
      </c>
      <c r="V4260" s="9">
        <v>25.448505028591189</v>
      </c>
      <c r="W4260" s="9">
        <v>25.448505028591189</v>
      </c>
      <c r="X4260" s="9">
        <v>28.109873114011638</v>
      </c>
      <c r="Y4260" s="9">
        <v>28.109873114011638</v>
      </c>
      <c r="Z4260" s="9">
        <v>30.975097350688763</v>
      </c>
      <c r="AA4260" s="9">
        <v>30.975097350688763</v>
      </c>
      <c r="AB4260" s="9">
        <v>34.370578528895656</v>
      </c>
      <c r="AC4260" s="9">
        <v>34.370578528895656</v>
      </c>
      <c r="AD4260" s="9">
        <v>39.013187474230911</v>
      </c>
      <c r="AE4260" s="9">
        <v>42.452173954636635</v>
      </c>
      <c r="AF4260" s="9">
        <v>47.478364248265585</v>
      </c>
      <c r="AG4260" s="9">
        <v>47.478364248265585</v>
      </c>
      <c r="AH4260" s="9">
        <v>50.815992158664379</v>
      </c>
      <c r="AI4260" s="9">
        <v>54.045500821302042</v>
      </c>
      <c r="AJ4260" s="9">
        <v>3.0428788910505911</v>
      </c>
    </row>
    <row r="4261" spans="1:36" x14ac:dyDescent="0.25">
      <c r="A4261" t="s">
        <v>5411</v>
      </c>
      <c r="B4261" t="s">
        <v>16</v>
      </c>
      <c r="C4261" t="s">
        <v>17</v>
      </c>
      <c r="D4261">
        <v>76493000</v>
      </c>
      <c r="E4261">
        <v>76494999</v>
      </c>
      <c r="F4261" t="s">
        <v>3875</v>
      </c>
      <c r="G4261" t="str">
        <f t="shared" si="132"/>
        <v>GOI II</v>
      </c>
      <c r="H4261" t="s">
        <v>3672</v>
      </c>
      <c r="I4261" t="s">
        <v>20</v>
      </c>
      <c r="J4261" t="s">
        <v>64</v>
      </c>
      <c r="K4261" s="6">
        <v>0.03</v>
      </c>
      <c r="L4261" s="7">
        <f t="shared" si="133"/>
        <v>2E-3</v>
      </c>
      <c r="M4261" s="7">
        <v>3.0000000000000001E-3</v>
      </c>
      <c r="N4261">
        <v>17</v>
      </c>
      <c r="O4261" s="8">
        <v>24.12918157169327</v>
      </c>
      <c r="P4261" s="9">
        <v>24.12918157169327</v>
      </c>
      <c r="Q4261" s="9">
        <v>24.12918157169327</v>
      </c>
      <c r="R4261" s="9">
        <v>25.337926603196635</v>
      </c>
      <c r="S4261" s="9">
        <v>26.739125453822282</v>
      </c>
      <c r="T4261" s="9">
        <v>27.918529456871191</v>
      </c>
      <c r="U4261" s="9">
        <v>29.567239706252465</v>
      </c>
      <c r="V4261" s="9">
        <v>29.567239706252465</v>
      </c>
      <c r="W4261" s="9">
        <v>29.567239706252465</v>
      </c>
      <c r="X4261" s="9">
        <v>32.768324265753506</v>
      </c>
      <c r="Y4261" s="9">
        <v>32.768324265753506</v>
      </c>
      <c r="Z4261" s="9">
        <v>36.06659911693589</v>
      </c>
      <c r="AA4261" s="9">
        <v>36.06659911693589</v>
      </c>
      <c r="AB4261" s="9">
        <v>39.471783288967806</v>
      </c>
      <c r="AC4261" s="9">
        <v>39.471783288967806</v>
      </c>
      <c r="AD4261" s="9">
        <v>44.89371961968488</v>
      </c>
      <c r="AE4261" s="9">
        <v>47.788360826374728</v>
      </c>
      <c r="AF4261" s="9">
        <v>50.811128677055613</v>
      </c>
      <c r="AG4261" s="9">
        <v>50.811128677055613</v>
      </c>
      <c r="AH4261" s="9">
        <v>54.808386973888702</v>
      </c>
      <c r="AI4261" s="9">
        <v>57.901475997525047</v>
      </c>
      <c r="AJ4261" s="9">
        <v>3.0428788910505911</v>
      </c>
    </row>
    <row r="4262" spans="1:36" x14ac:dyDescent="0.25">
      <c r="A4262" t="s">
        <v>5411</v>
      </c>
      <c r="B4262" t="s">
        <v>16</v>
      </c>
      <c r="C4262" t="s">
        <v>17</v>
      </c>
      <c r="D4262">
        <v>76495000</v>
      </c>
      <c r="E4262">
        <v>76499999</v>
      </c>
      <c r="F4262" t="s">
        <v>3876</v>
      </c>
      <c r="G4262" t="str">
        <f t="shared" si="132"/>
        <v>GOI II</v>
      </c>
      <c r="H4262" t="s">
        <v>3672</v>
      </c>
      <c r="I4262" t="s">
        <v>20</v>
      </c>
      <c r="J4262" t="s">
        <v>64</v>
      </c>
      <c r="K4262" s="6">
        <v>0.03</v>
      </c>
      <c r="L4262" s="7">
        <f t="shared" si="133"/>
        <v>2E-3</v>
      </c>
      <c r="M4262" s="7">
        <v>3.0000000000000001E-3</v>
      </c>
      <c r="N4262">
        <v>14</v>
      </c>
      <c r="O4262" s="8">
        <v>24.12918157169327</v>
      </c>
      <c r="P4262" s="9">
        <v>24.12918157169327</v>
      </c>
      <c r="Q4262" s="9">
        <v>24.12918157169327</v>
      </c>
      <c r="R4262" s="9">
        <v>25.337926603196635</v>
      </c>
      <c r="S4262" s="9">
        <v>26.739125453822282</v>
      </c>
      <c r="T4262" s="9">
        <v>27.918529456871191</v>
      </c>
      <c r="U4262" s="9">
        <v>29.567239706252465</v>
      </c>
      <c r="V4262" s="9">
        <v>29.567239706252465</v>
      </c>
      <c r="W4262" s="9">
        <v>29.567239706252465</v>
      </c>
      <c r="X4262" s="9">
        <v>32.768324265753506</v>
      </c>
      <c r="Y4262" s="9">
        <v>32.768324265753506</v>
      </c>
      <c r="Z4262" s="9">
        <v>36.06659911693589</v>
      </c>
      <c r="AA4262" s="9">
        <v>36.06659911693589</v>
      </c>
      <c r="AB4262" s="9">
        <v>39.471783288967806</v>
      </c>
      <c r="AC4262" s="9">
        <v>39.471783288967806</v>
      </c>
      <c r="AD4262" s="9">
        <v>44.89371961968488</v>
      </c>
      <c r="AE4262" s="9">
        <v>47.788360826374728</v>
      </c>
      <c r="AF4262" s="9">
        <v>50.811128677055613</v>
      </c>
      <c r="AG4262" s="9">
        <v>50.811128677055613</v>
      </c>
      <c r="AH4262" s="9">
        <v>54.808386973888702</v>
      </c>
      <c r="AI4262" s="9">
        <v>57.901475997525047</v>
      </c>
      <c r="AJ4262" s="9">
        <v>3.0428788910505911</v>
      </c>
    </row>
    <row r="4263" spans="1:36" x14ac:dyDescent="0.25">
      <c r="A4263" t="s">
        <v>5411</v>
      </c>
      <c r="B4263" t="s">
        <v>16</v>
      </c>
      <c r="C4263" t="s">
        <v>17</v>
      </c>
      <c r="D4263">
        <v>76500000</v>
      </c>
      <c r="E4263">
        <v>76509999</v>
      </c>
      <c r="F4263" t="s">
        <v>3877</v>
      </c>
      <c r="G4263" t="str">
        <f t="shared" si="132"/>
        <v>GOI II</v>
      </c>
      <c r="H4263" t="s">
        <v>3672</v>
      </c>
      <c r="I4263" t="s">
        <v>20</v>
      </c>
      <c r="J4263" t="s">
        <v>64</v>
      </c>
      <c r="K4263" s="6">
        <v>0.03</v>
      </c>
      <c r="L4263" s="7">
        <f t="shared" si="133"/>
        <v>2E-3</v>
      </c>
      <c r="M4263" s="7">
        <v>3.0000000000000001E-3</v>
      </c>
      <c r="N4263">
        <v>10</v>
      </c>
      <c r="O4263" s="8">
        <v>24.12918157169327</v>
      </c>
      <c r="P4263" s="9">
        <v>24.12918157169327</v>
      </c>
      <c r="Q4263" s="9">
        <v>24.12918157169327</v>
      </c>
      <c r="R4263" s="9">
        <v>25.337926603196635</v>
      </c>
      <c r="S4263" s="9">
        <v>26.739125453822282</v>
      </c>
      <c r="T4263" s="9">
        <v>27.918529456871191</v>
      </c>
      <c r="U4263" s="9">
        <v>29.567239706252465</v>
      </c>
      <c r="V4263" s="9">
        <v>29.567239706252465</v>
      </c>
      <c r="W4263" s="9">
        <v>29.567239706252465</v>
      </c>
      <c r="X4263" s="9">
        <v>32.768324265753506</v>
      </c>
      <c r="Y4263" s="9">
        <v>32.768324265753506</v>
      </c>
      <c r="Z4263" s="9">
        <v>36.06659911693589</v>
      </c>
      <c r="AA4263" s="9">
        <v>36.06659911693589</v>
      </c>
      <c r="AB4263" s="9">
        <v>39.471783288967806</v>
      </c>
      <c r="AC4263" s="9">
        <v>39.471783288967806</v>
      </c>
      <c r="AD4263" s="9">
        <v>44.89371961968488</v>
      </c>
      <c r="AE4263" s="9">
        <v>47.788360826374728</v>
      </c>
      <c r="AF4263" s="9">
        <v>50.811128677055613</v>
      </c>
      <c r="AG4263" s="9">
        <v>50.811128677055613</v>
      </c>
      <c r="AH4263" s="9">
        <v>54.808386973888702</v>
      </c>
      <c r="AI4263" s="9">
        <v>57.901475997525047</v>
      </c>
      <c r="AJ4263" s="9">
        <v>3.0428788910505911</v>
      </c>
    </row>
    <row r="4264" spans="1:36" x14ac:dyDescent="0.25">
      <c r="A4264" t="s">
        <v>5411</v>
      </c>
      <c r="B4264" t="s">
        <v>16</v>
      </c>
      <c r="C4264" t="s">
        <v>17</v>
      </c>
      <c r="D4264">
        <v>76510000</v>
      </c>
      <c r="E4264">
        <v>76514999</v>
      </c>
      <c r="F4264" t="s">
        <v>3878</v>
      </c>
      <c r="G4264" t="str">
        <f t="shared" si="132"/>
        <v>GOI II</v>
      </c>
      <c r="H4264" t="s">
        <v>3672</v>
      </c>
      <c r="I4264" t="s">
        <v>20</v>
      </c>
      <c r="J4264" t="s">
        <v>64</v>
      </c>
      <c r="K4264" s="6">
        <v>0.03</v>
      </c>
      <c r="L4264" s="7">
        <f t="shared" si="133"/>
        <v>2E-3</v>
      </c>
      <c r="M4264" s="7">
        <v>3.0000000000000001E-3</v>
      </c>
      <c r="N4264">
        <v>10</v>
      </c>
      <c r="O4264" s="8">
        <v>24.12918157169327</v>
      </c>
      <c r="P4264" s="9">
        <v>24.12918157169327</v>
      </c>
      <c r="Q4264" s="9">
        <v>24.12918157169327</v>
      </c>
      <c r="R4264" s="9">
        <v>25.337926603196635</v>
      </c>
      <c r="S4264" s="9">
        <v>26.739125453822282</v>
      </c>
      <c r="T4264" s="9">
        <v>27.918529456871191</v>
      </c>
      <c r="U4264" s="9">
        <v>29.567239706252465</v>
      </c>
      <c r="V4264" s="9">
        <v>29.567239706252465</v>
      </c>
      <c r="W4264" s="9">
        <v>29.567239706252465</v>
      </c>
      <c r="X4264" s="9">
        <v>32.768324265753506</v>
      </c>
      <c r="Y4264" s="9">
        <v>32.768324265753506</v>
      </c>
      <c r="Z4264" s="9">
        <v>36.06659911693589</v>
      </c>
      <c r="AA4264" s="9">
        <v>36.06659911693589</v>
      </c>
      <c r="AB4264" s="9">
        <v>39.471783288967806</v>
      </c>
      <c r="AC4264" s="9">
        <v>39.471783288967806</v>
      </c>
      <c r="AD4264" s="9">
        <v>44.89371961968488</v>
      </c>
      <c r="AE4264" s="9">
        <v>47.788360826374728</v>
      </c>
      <c r="AF4264" s="9">
        <v>50.811128677055613</v>
      </c>
      <c r="AG4264" s="9">
        <v>50.811128677055613</v>
      </c>
      <c r="AH4264" s="9">
        <v>54.808386973888702</v>
      </c>
      <c r="AI4264" s="9">
        <v>57.901475997525047</v>
      </c>
      <c r="AJ4264" s="9">
        <v>3.0428788910505911</v>
      </c>
    </row>
    <row r="4265" spans="1:36" x14ac:dyDescent="0.25">
      <c r="A4265" t="s">
        <v>5411</v>
      </c>
      <c r="B4265" t="s">
        <v>16</v>
      </c>
      <c r="C4265" t="s">
        <v>17</v>
      </c>
      <c r="D4265">
        <v>76515000</v>
      </c>
      <c r="E4265">
        <v>76519999</v>
      </c>
      <c r="F4265" t="s">
        <v>3879</v>
      </c>
      <c r="G4265" t="str">
        <f t="shared" si="132"/>
        <v>GOI II</v>
      </c>
      <c r="H4265" t="s">
        <v>3672</v>
      </c>
      <c r="I4265" t="s">
        <v>20</v>
      </c>
      <c r="J4265" t="s">
        <v>64</v>
      </c>
      <c r="K4265" s="6">
        <v>0.03</v>
      </c>
      <c r="L4265" s="7">
        <f t="shared" si="133"/>
        <v>2E-3</v>
      </c>
      <c r="M4265" s="7">
        <v>3.0000000000000001E-3</v>
      </c>
      <c r="N4265">
        <v>10</v>
      </c>
      <c r="O4265" s="8">
        <v>24.12918157169327</v>
      </c>
      <c r="P4265" s="9">
        <v>24.12918157169327</v>
      </c>
      <c r="Q4265" s="9">
        <v>24.12918157169327</v>
      </c>
      <c r="R4265" s="9">
        <v>25.337926603196635</v>
      </c>
      <c r="S4265" s="9">
        <v>26.739125453822282</v>
      </c>
      <c r="T4265" s="9">
        <v>27.918529456871191</v>
      </c>
      <c r="U4265" s="9">
        <v>29.567239706252465</v>
      </c>
      <c r="V4265" s="9">
        <v>29.567239706252465</v>
      </c>
      <c r="W4265" s="9">
        <v>29.567239706252465</v>
      </c>
      <c r="X4265" s="9">
        <v>32.768324265753506</v>
      </c>
      <c r="Y4265" s="9">
        <v>32.768324265753506</v>
      </c>
      <c r="Z4265" s="9">
        <v>36.06659911693589</v>
      </c>
      <c r="AA4265" s="9">
        <v>36.06659911693589</v>
      </c>
      <c r="AB4265" s="9">
        <v>39.471783288967806</v>
      </c>
      <c r="AC4265" s="9">
        <v>39.471783288967806</v>
      </c>
      <c r="AD4265" s="9">
        <v>44.89371961968488</v>
      </c>
      <c r="AE4265" s="9">
        <v>47.788360826374728</v>
      </c>
      <c r="AF4265" s="9">
        <v>50.811128677055613</v>
      </c>
      <c r="AG4265" s="9">
        <v>50.811128677055613</v>
      </c>
      <c r="AH4265" s="9">
        <v>54.808386973888702</v>
      </c>
      <c r="AI4265" s="9">
        <v>57.901475997525047</v>
      </c>
      <c r="AJ4265" s="9">
        <v>3.0428788910505911</v>
      </c>
    </row>
    <row r="4266" spans="1:36" x14ac:dyDescent="0.25">
      <c r="A4266" t="s">
        <v>5411</v>
      </c>
      <c r="B4266" t="s">
        <v>16</v>
      </c>
      <c r="C4266" t="s">
        <v>17</v>
      </c>
      <c r="D4266">
        <v>76520000</v>
      </c>
      <c r="E4266">
        <v>76524999</v>
      </c>
      <c r="F4266" t="s">
        <v>3880</v>
      </c>
      <c r="G4266" t="str">
        <f t="shared" si="132"/>
        <v>GOI II</v>
      </c>
      <c r="H4266" t="s">
        <v>3672</v>
      </c>
      <c r="I4266" t="s">
        <v>20</v>
      </c>
      <c r="J4266" t="s">
        <v>64</v>
      </c>
      <c r="K4266" s="6">
        <v>0.03</v>
      </c>
      <c r="L4266" s="7">
        <f t="shared" si="133"/>
        <v>2E-3</v>
      </c>
      <c r="M4266" s="7">
        <v>3.0000000000000001E-3</v>
      </c>
      <c r="N4266">
        <v>14</v>
      </c>
      <c r="O4266" s="8">
        <v>24.12918157169327</v>
      </c>
      <c r="P4266" s="9">
        <v>24.12918157169327</v>
      </c>
      <c r="Q4266" s="9">
        <v>24.12918157169327</v>
      </c>
      <c r="R4266" s="9">
        <v>25.337926603196635</v>
      </c>
      <c r="S4266" s="9">
        <v>26.739125453822282</v>
      </c>
      <c r="T4266" s="9">
        <v>27.918529456871191</v>
      </c>
      <c r="U4266" s="9">
        <v>29.567239706252465</v>
      </c>
      <c r="V4266" s="9">
        <v>29.567239706252465</v>
      </c>
      <c r="W4266" s="9">
        <v>29.567239706252465</v>
      </c>
      <c r="X4266" s="9">
        <v>32.768324265753506</v>
      </c>
      <c r="Y4266" s="9">
        <v>32.768324265753506</v>
      </c>
      <c r="Z4266" s="9">
        <v>36.06659911693589</v>
      </c>
      <c r="AA4266" s="9">
        <v>36.06659911693589</v>
      </c>
      <c r="AB4266" s="9">
        <v>39.471783288967806</v>
      </c>
      <c r="AC4266" s="9">
        <v>39.471783288967806</v>
      </c>
      <c r="AD4266" s="9">
        <v>44.89371961968488</v>
      </c>
      <c r="AE4266" s="9">
        <v>47.788360826374728</v>
      </c>
      <c r="AF4266" s="9">
        <v>50.811128677055613</v>
      </c>
      <c r="AG4266" s="9">
        <v>50.811128677055613</v>
      </c>
      <c r="AH4266" s="9">
        <v>54.808386973888702</v>
      </c>
      <c r="AI4266" s="9">
        <v>57.901475997525047</v>
      </c>
      <c r="AJ4266" s="9">
        <v>3.0428788910505911</v>
      </c>
    </row>
    <row r="4267" spans="1:36" x14ac:dyDescent="0.25">
      <c r="A4267" t="s">
        <v>5411</v>
      </c>
      <c r="B4267" t="s">
        <v>16</v>
      </c>
      <c r="C4267" t="s">
        <v>17</v>
      </c>
      <c r="D4267">
        <v>76525000</v>
      </c>
      <c r="E4267">
        <v>76529999</v>
      </c>
      <c r="F4267" t="s">
        <v>3881</v>
      </c>
      <c r="G4267" t="str">
        <f t="shared" si="132"/>
        <v>GOI II</v>
      </c>
      <c r="H4267" t="s">
        <v>3672</v>
      </c>
      <c r="I4267" t="s">
        <v>20</v>
      </c>
      <c r="J4267" t="s">
        <v>64</v>
      </c>
      <c r="K4267" s="6">
        <v>0.03</v>
      </c>
      <c r="L4267" s="7">
        <f t="shared" si="133"/>
        <v>2E-3</v>
      </c>
      <c r="M4267" s="7">
        <v>3.0000000000000001E-3</v>
      </c>
      <c r="N4267">
        <v>10</v>
      </c>
      <c r="O4267" s="8">
        <v>24.12918157169327</v>
      </c>
      <c r="P4267" s="9">
        <v>24.12918157169327</v>
      </c>
      <c r="Q4267" s="9">
        <v>24.12918157169327</v>
      </c>
      <c r="R4267" s="9">
        <v>25.337926603196635</v>
      </c>
      <c r="S4267" s="9">
        <v>26.739125453822282</v>
      </c>
      <c r="T4267" s="9">
        <v>27.918529456871191</v>
      </c>
      <c r="U4267" s="9">
        <v>29.567239706252465</v>
      </c>
      <c r="V4267" s="9">
        <v>29.567239706252465</v>
      </c>
      <c r="W4267" s="9">
        <v>29.567239706252465</v>
      </c>
      <c r="X4267" s="9">
        <v>32.768324265753506</v>
      </c>
      <c r="Y4267" s="9">
        <v>32.768324265753506</v>
      </c>
      <c r="Z4267" s="9">
        <v>36.06659911693589</v>
      </c>
      <c r="AA4267" s="9">
        <v>36.06659911693589</v>
      </c>
      <c r="AB4267" s="9">
        <v>39.471783288967806</v>
      </c>
      <c r="AC4267" s="9">
        <v>39.471783288967806</v>
      </c>
      <c r="AD4267" s="9">
        <v>44.89371961968488</v>
      </c>
      <c r="AE4267" s="9">
        <v>47.788360826374728</v>
      </c>
      <c r="AF4267" s="9">
        <v>50.811128677055613</v>
      </c>
      <c r="AG4267" s="9">
        <v>50.811128677055613</v>
      </c>
      <c r="AH4267" s="9">
        <v>54.808386973888702</v>
      </c>
      <c r="AI4267" s="9">
        <v>57.901475997525047</v>
      </c>
      <c r="AJ4267" s="9">
        <v>3.0428788910505911</v>
      </c>
    </row>
    <row r="4268" spans="1:36" x14ac:dyDescent="0.25">
      <c r="A4268" t="s">
        <v>5411</v>
      </c>
      <c r="B4268" t="s">
        <v>16</v>
      </c>
      <c r="C4268" t="s">
        <v>17</v>
      </c>
      <c r="D4268">
        <v>76530000</v>
      </c>
      <c r="E4268">
        <v>76539999</v>
      </c>
      <c r="F4268" t="s">
        <v>1779</v>
      </c>
      <c r="G4268" t="str">
        <f t="shared" si="132"/>
        <v>GOI II</v>
      </c>
      <c r="H4268" t="s">
        <v>3672</v>
      </c>
      <c r="I4268" t="s">
        <v>20</v>
      </c>
      <c r="J4268" t="s">
        <v>64</v>
      </c>
      <c r="K4268" s="6">
        <v>0.03</v>
      </c>
      <c r="L4268" s="7">
        <f t="shared" si="133"/>
        <v>2E-3</v>
      </c>
      <c r="M4268" s="7">
        <v>3.0000000000000001E-3</v>
      </c>
      <c r="N4268">
        <v>14</v>
      </c>
      <c r="O4268" s="8">
        <v>24.12918157169327</v>
      </c>
      <c r="P4268" s="9">
        <v>24.12918157169327</v>
      </c>
      <c r="Q4268" s="9">
        <v>24.12918157169327</v>
      </c>
      <c r="R4268" s="9">
        <v>25.337926603196635</v>
      </c>
      <c r="S4268" s="9">
        <v>26.739125453822282</v>
      </c>
      <c r="T4268" s="9">
        <v>27.918529456871191</v>
      </c>
      <c r="U4268" s="9">
        <v>29.567239706252465</v>
      </c>
      <c r="V4268" s="9">
        <v>29.567239706252465</v>
      </c>
      <c r="W4268" s="9">
        <v>29.567239706252465</v>
      </c>
      <c r="X4268" s="9">
        <v>32.768324265753506</v>
      </c>
      <c r="Y4268" s="9">
        <v>32.768324265753506</v>
      </c>
      <c r="Z4268" s="9">
        <v>36.06659911693589</v>
      </c>
      <c r="AA4268" s="9">
        <v>36.06659911693589</v>
      </c>
      <c r="AB4268" s="9">
        <v>39.471783288967806</v>
      </c>
      <c r="AC4268" s="9">
        <v>39.471783288967806</v>
      </c>
      <c r="AD4268" s="9">
        <v>44.89371961968488</v>
      </c>
      <c r="AE4268" s="9">
        <v>47.788360826374728</v>
      </c>
      <c r="AF4268" s="9">
        <v>50.811128677055613</v>
      </c>
      <c r="AG4268" s="9">
        <v>50.811128677055613</v>
      </c>
      <c r="AH4268" s="9">
        <v>54.808386973888702</v>
      </c>
      <c r="AI4268" s="9">
        <v>57.901475997525047</v>
      </c>
      <c r="AJ4268" s="9">
        <v>3.0428788910505911</v>
      </c>
    </row>
    <row r="4269" spans="1:36" x14ac:dyDescent="0.25">
      <c r="A4269" t="s">
        <v>5411</v>
      </c>
      <c r="B4269" t="s">
        <v>16</v>
      </c>
      <c r="C4269" t="s">
        <v>17</v>
      </c>
      <c r="D4269">
        <v>76540000</v>
      </c>
      <c r="E4269">
        <v>76549999</v>
      </c>
      <c r="F4269" t="s">
        <v>3882</v>
      </c>
      <c r="G4269" t="str">
        <f t="shared" si="132"/>
        <v>GOI II</v>
      </c>
      <c r="H4269" t="s">
        <v>3672</v>
      </c>
      <c r="I4269" t="s">
        <v>20</v>
      </c>
      <c r="J4269" t="s">
        <v>64</v>
      </c>
      <c r="K4269" s="6">
        <v>0.03</v>
      </c>
      <c r="L4269" s="7">
        <f t="shared" si="133"/>
        <v>2E-3</v>
      </c>
      <c r="M4269" s="7">
        <v>3.0000000000000001E-3</v>
      </c>
      <c r="N4269">
        <v>14</v>
      </c>
      <c r="O4269" s="8">
        <v>24.12918157169327</v>
      </c>
      <c r="P4269" s="9">
        <v>24.12918157169327</v>
      </c>
      <c r="Q4269" s="9">
        <v>24.12918157169327</v>
      </c>
      <c r="R4269" s="9">
        <v>25.337926603196635</v>
      </c>
      <c r="S4269" s="9">
        <v>26.739125453822282</v>
      </c>
      <c r="T4269" s="9">
        <v>27.918529456871191</v>
      </c>
      <c r="U4269" s="9">
        <v>29.567239706252465</v>
      </c>
      <c r="V4269" s="9">
        <v>29.567239706252465</v>
      </c>
      <c r="W4269" s="9">
        <v>29.567239706252465</v>
      </c>
      <c r="X4269" s="9">
        <v>32.768324265753506</v>
      </c>
      <c r="Y4269" s="9">
        <v>32.768324265753506</v>
      </c>
      <c r="Z4269" s="9">
        <v>36.06659911693589</v>
      </c>
      <c r="AA4269" s="9">
        <v>36.06659911693589</v>
      </c>
      <c r="AB4269" s="9">
        <v>39.471783288967806</v>
      </c>
      <c r="AC4269" s="9">
        <v>39.471783288967806</v>
      </c>
      <c r="AD4269" s="9">
        <v>44.89371961968488</v>
      </c>
      <c r="AE4269" s="9">
        <v>47.788360826374728</v>
      </c>
      <c r="AF4269" s="9">
        <v>50.811128677055613</v>
      </c>
      <c r="AG4269" s="9">
        <v>50.811128677055613</v>
      </c>
      <c r="AH4269" s="9">
        <v>54.808386973888702</v>
      </c>
      <c r="AI4269" s="9">
        <v>57.901475997525047</v>
      </c>
      <c r="AJ4269" s="9">
        <v>3.0428788910505911</v>
      </c>
    </row>
    <row r="4270" spans="1:36" x14ac:dyDescent="0.25">
      <c r="A4270" t="s">
        <v>5411</v>
      </c>
      <c r="B4270" t="s">
        <v>16</v>
      </c>
      <c r="C4270" t="s">
        <v>17</v>
      </c>
      <c r="D4270">
        <v>76550000</v>
      </c>
      <c r="E4270">
        <v>76554999</v>
      </c>
      <c r="F4270" t="s">
        <v>3883</v>
      </c>
      <c r="G4270" t="str">
        <f t="shared" si="132"/>
        <v>GOI II</v>
      </c>
      <c r="H4270" t="s">
        <v>3672</v>
      </c>
      <c r="I4270" t="s">
        <v>20</v>
      </c>
      <c r="J4270" t="s">
        <v>64</v>
      </c>
      <c r="K4270" s="6">
        <v>0.03</v>
      </c>
      <c r="L4270" s="7">
        <f t="shared" si="133"/>
        <v>2E-3</v>
      </c>
      <c r="M4270" s="7">
        <v>3.0000000000000001E-3</v>
      </c>
      <c r="N4270">
        <v>14</v>
      </c>
      <c r="O4270" s="8">
        <v>24.12918157169327</v>
      </c>
      <c r="P4270" s="9">
        <v>24.12918157169327</v>
      </c>
      <c r="Q4270" s="9">
        <v>24.12918157169327</v>
      </c>
      <c r="R4270" s="9">
        <v>25.337926603196635</v>
      </c>
      <c r="S4270" s="9">
        <v>26.739125453822282</v>
      </c>
      <c r="T4270" s="9">
        <v>27.918529456871191</v>
      </c>
      <c r="U4270" s="9">
        <v>29.567239706252465</v>
      </c>
      <c r="V4270" s="9">
        <v>29.567239706252465</v>
      </c>
      <c r="W4270" s="9">
        <v>29.567239706252465</v>
      </c>
      <c r="X4270" s="9">
        <v>32.768324265753506</v>
      </c>
      <c r="Y4270" s="9">
        <v>32.768324265753506</v>
      </c>
      <c r="Z4270" s="9">
        <v>36.06659911693589</v>
      </c>
      <c r="AA4270" s="9">
        <v>36.06659911693589</v>
      </c>
      <c r="AB4270" s="9">
        <v>39.471783288967806</v>
      </c>
      <c r="AC4270" s="9">
        <v>39.471783288967806</v>
      </c>
      <c r="AD4270" s="9">
        <v>44.89371961968488</v>
      </c>
      <c r="AE4270" s="9">
        <v>47.788360826374728</v>
      </c>
      <c r="AF4270" s="9">
        <v>50.811128677055613</v>
      </c>
      <c r="AG4270" s="9">
        <v>50.811128677055613</v>
      </c>
      <c r="AH4270" s="9">
        <v>54.808386973888702</v>
      </c>
      <c r="AI4270" s="9">
        <v>57.901475997525047</v>
      </c>
      <c r="AJ4270" s="9">
        <v>3.0428788910505911</v>
      </c>
    </row>
    <row r="4271" spans="1:36" x14ac:dyDescent="0.25">
      <c r="A4271" t="s">
        <v>5411</v>
      </c>
      <c r="B4271" t="s">
        <v>16</v>
      </c>
      <c r="C4271" t="s">
        <v>17</v>
      </c>
      <c r="D4271">
        <v>76555000</v>
      </c>
      <c r="E4271">
        <v>76559999</v>
      </c>
      <c r="F4271" t="s">
        <v>3884</v>
      </c>
      <c r="G4271" t="str">
        <f t="shared" si="132"/>
        <v>GOI II</v>
      </c>
      <c r="H4271" t="s">
        <v>3672</v>
      </c>
      <c r="I4271" t="s">
        <v>20</v>
      </c>
      <c r="J4271" t="s">
        <v>64</v>
      </c>
      <c r="K4271" s="6">
        <v>0.03</v>
      </c>
      <c r="L4271" s="7">
        <f t="shared" si="133"/>
        <v>2E-3</v>
      </c>
      <c r="M4271" s="7">
        <v>3.0000000000000001E-3</v>
      </c>
      <c r="N4271">
        <v>14</v>
      </c>
      <c r="O4271" s="8">
        <v>24.12918157169327</v>
      </c>
      <c r="P4271" s="9">
        <v>24.12918157169327</v>
      </c>
      <c r="Q4271" s="9">
        <v>24.12918157169327</v>
      </c>
      <c r="R4271" s="9">
        <v>25.337926603196635</v>
      </c>
      <c r="S4271" s="9">
        <v>26.739125453822282</v>
      </c>
      <c r="T4271" s="9">
        <v>27.918529456871191</v>
      </c>
      <c r="U4271" s="9">
        <v>29.567239706252465</v>
      </c>
      <c r="V4271" s="9">
        <v>29.567239706252465</v>
      </c>
      <c r="W4271" s="9">
        <v>29.567239706252465</v>
      </c>
      <c r="X4271" s="9">
        <v>32.768324265753506</v>
      </c>
      <c r="Y4271" s="9">
        <v>32.768324265753506</v>
      </c>
      <c r="Z4271" s="9">
        <v>36.06659911693589</v>
      </c>
      <c r="AA4271" s="9">
        <v>36.06659911693589</v>
      </c>
      <c r="AB4271" s="9">
        <v>39.471783288967806</v>
      </c>
      <c r="AC4271" s="9">
        <v>39.471783288967806</v>
      </c>
      <c r="AD4271" s="9">
        <v>44.89371961968488</v>
      </c>
      <c r="AE4271" s="9">
        <v>47.788360826374728</v>
      </c>
      <c r="AF4271" s="9">
        <v>50.811128677055613</v>
      </c>
      <c r="AG4271" s="9">
        <v>50.811128677055613</v>
      </c>
      <c r="AH4271" s="9">
        <v>54.808386973888702</v>
      </c>
      <c r="AI4271" s="9">
        <v>57.901475997525047</v>
      </c>
      <c r="AJ4271" s="9">
        <v>3.0428788910505911</v>
      </c>
    </row>
    <row r="4272" spans="1:36" x14ac:dyDescent="0.25">
      <c r="A4272" t="s">
        <v>5411</v>
      </c>
      <c r="B4272" t="s">
        <v>16</v>
      </c>
      <c r="C4272" t="s">
        <v>17</v>
      </c>
      <c r="D4272">
        <v>76560000</v>
      </c>
      <c r="E4272">
        <v>76579999</v>
      </c>
      <c r="F4272" t="s">
        <v>3885</v>
      </c>
      <c r="G4272" t="str">
        <f t="shared" si="132"/>
        <v>GOI II</v>
      </c>
      <c r="H4272" t="s">
        <v>3672</v>
      </c>
      <c r="I4272" t="s">
        <v>20</v>
      </c>
      <c r="J4272" t="s">
        <v>64</v>
      </c>
      <c r="K4272" s="6">
        <v>0.03</v>
      </c>
      <c r="L4272" s="7">
        <f t="shared" si="133"/>
        <v>2E-3</v>
      </c>
      <c r="M4272" s="7">
        <v>3.0000000000000001E-3</v>
      </c>
      <c r="N4272">
        <v>14</v>
      </c>
      <c r="O4272" s="8">
        <v>24.12918157169327</v>
      </c>
      <c r="P4272" s="9">
        <v>24.12918157169327</v>
      </c>
      <c r="Q4272" s="9">
        <v>24.12918157169327</v>
      </c>
      <c r="R4272" s="9">
        <v>25.337926603196635</v>
      </c>
      <c r="S4272" s="9">
        <v>26.739125453822282</v>
      </c>
      <c r="T4272" s="9">
        <v>27.918529456871191</v>
      </c>
      <c r="U4272" s="9">
        <v>29.567239706252465</v>
      </c>
      <c r="V4272" s="9">
        <v>29.567239706252465</v>
      </c>
      <c r="W4272" s="9">
        <v>29.567239706252465</v>
      </c>
      <c r="X4272" s="9">
        <v>32.768324265753506</v>
      </c>
      <c r="Y4272" s="9">
        <v>32.768324265753506</v>
      </c>
      <c r="Z4272" s="9">
        <v>36.06659911693589</v>
      </c>
      <c r="AA4272" s="9">
        <v>36.06659911693589</v>
      </c>
      <c r="AB4272" s="9">
        <v>39.471783288967806</v>
      </c>
      <c r="AC4272" s="9">
        <v>39.471783288967806</v>
      </c>
      <c r="AD4272" s="9">
        <v>44.89371961968488</v>
      </c>
      <c r="AE4272" s="9">
        <v>47.788360826374728</v>
      </c>
      <c r="AF4272" s="9">
        <v>50.811128677055613</v>
      </c>
      <c r="AG4272" s="9">
        <v>50.811128677055613</v>
      </c>
      <c r="AH4272" s="9">
        <v>54.808386973888702</v>
      </c>
      <c r="AI4272" s="9">
        <v>57.901475997525047</v>
      </c>
      <c r="AJ4272" s="9">
        <v>3.0428788910505911</v>
      </c>
    </row>
    <row r="4273" spans="1:36" x14ac:dyDescent="0.25">
      <c r="A4273" t="s">
        <v>5411</v>
      </c>
      <c r="B4273" t="s">
        <v>16</v>
      </c>
      <c r="C4273" t="s">
        <v>17</v>
      </c>
      <c r="D4273">
        <v>76580000</v>
      </c>
      <c r="E4273">
        <v>76589999</v>
      </c>
      <c r="F4273" t="s">
        <v>3886</v>
      </c>
      <c r="G4273" t="str">
        <f t="shared" si="132"/>
        <v>GOI II</v>
      </c>
      <c r="H4273" t="s">
        <v>3672</v>
      </c>
      <c r="I4273" t="s">
        <v>20</v>
      </c>
      <c r="J4273" t="s">
        <v>64</v>
      </c>
      <c r="K4273" s="6">
        <v>0.03</v>
      </c>
      <c r="L4273" s="7">
        <f t="shared" si="133"/>
        <v>2E-3</v>
      </c>
      <c r="M4273" s="7">
        <v>3.0000000000000001E-3</v>
      </c>
      <c r="N4273">
        <v>14</v>
      </c>
      <c r="O4273" s="8">
        <v>24.12918157169327</v>
      </c>
      <c r="P4273" s="9">
        <v>24.12918157169327</v>
      </c>
      <c r="Q4273" s="9">
        <v>24.12918157169327</v>
      </c>
      <c r="R4273" s="9">
        <v>25.337926603196635</v>
      </c>
      <c r="S4273" s="9">
        <v>26.739125453822282</v>
      </c>
      <c r="T4273" s="9">
        <v>27.918529456871191</v>
      </c>
      <c r="U4273" s="9">
        <v>29.567239706252465</v>
      </c>
      <c r="V4273" s="9">
        <v>29.567239706252465</v>
      </c>
      <c r="W4273" s="9">
        <v>29.567239706252465</v>
      </c>
      <c r="X4273" s="9">
        <v>32.768324265753506</v>
      </c>
      <c r="Y4273" s="9">
        <v>32.768324265753506</v>
      </c>
      <c r="Z4273" s="9">
        <v>36.06659911693589</v>
      </c>
      <c r="AA4273" s="9">
        <v>36.06659911693589</v>
      </c>
      <c r="AB4273" s="9">
        <v>39.471783288967806</v>
      </c>
      <c r="AC4273" s="9">
        <v>39.471783288967806</v>
      </c>
      <c r="AD4273" s="9">
        <v>44.89371961968488</v>
      </c>
      <c r="AE4273" s="9">
        <v>47.788360826374728</v>
      </c>
      <c r="AF4273" s="9">
        <v>50.811128677055613</v>
      </c>
      <c r="AG4273" s="9">
        <v>50.811128677055613</v>
      </c>
      <c r="AH4273" s="9">
        <v>54.808386973888702</v>
      </c>
      <c r="AI4273" s="9">
        <v>57.901475997525047</v>
      </c>
      <c r="AJ4273" s="9">
        <v>3.0428788910505911</v>
      </c>
    </row>
    <row r="4274" spans="1:36" x14ac:dyDescent="0.25">
      <c r="A4274" t="s">
        <v>5411</v>
      </c>
      <c r="B4274" t="s">
        <v>16</v>
      </c>
      <c r="C4274" t="s">
        <v>17</v>
      </c>
      <c r="D4274">
        <v>76590000</v>
      </c>
      <c r="E4274">
        <v>76599999</v>
      </c>
      <c r="F4274" t="s">
        <v>3887</v>
      </c>
      <c r="G4274" t="str">
        <f t="shared" si="132"/>
        <v>GOI II</v>
      </c>
      <c r="H4274" t="s">
        <v>3672</v>
      </c>
      <c r="I4274" t="s">
        <v>20</v>
      </c>
      <c r="J4274" t="s">
        <v>64</v>
      </c>
      <c r="K4274" s="6">
        <v>0.03</v>
      </c>
      <c r="L4274" s="7">
        <f t="shared" si="133"/>
        <v>2E-3</v>
      </c>
      <c r="M4274" s="7">
        <v>3.0000000000000001E-3</v>
      </c>
      <c r="N4274">
        <v>14</v>
      </c>
      <c r="O4274" s="8">
        <v>24.12918157169327</v>
      </c>
      <c r="P4274" s="9">
        <v>24.12918157169327</v>
      </c>
      <c r="Q4274" s="9">
        <v>24.12918157169327</v>
      </c>
      <c r="R4274" s="9">
        <v>25.337926603196635</v>
      </c>
      <c r="S4274" s="9">
        <v>26.739125453822282</v>
      </c>
      <c r="T4274" s="9">
        <v>27.918529456871191</v>
      </c>
      <c r="U4274" s="9">
        <v>29.567239706252465</v>
      </c>
      <c r="V4274" s="9">
        <v>29.567239706252465</v>
      </c>
      <c r="W4274" s="9">
        <v>29.567239706252465</v>
      </c>
      <c r="X4274" s="9">
        <v>32.768324265753506</v>
      </c>
      <c r="Y4274" s="9">
        <v>32.768324265753506</v>
      </c>
      <c r="Z4274" s="9">
        <v>36.06659911693589</v>
      </c>
      <c r="AA4274" s="9">
        <v>36.06659911693589</v>
      </c>
      <c r="AB4274" s="9">
        <v>39.471783288967806</v>
      </c>
      <c r="AC4274" s="9">
        <v>39.471783288967806</v>
      </c>
      <c r="AD4274" s="9">
        <v>44.89371961968488</v>
      </c>
      <c r="AE4274" s="9">
        <v>47.788360826374728</v>
      </c>
      <c r="AF4274" s="9">
        <v>50.811128677055613</v>
      </c>
      <c r="AG4274" s="9">
        <v>50.811128677055613</v>
      </c>
      <c r="AH4274" s="9">
        <v>54.808386973888702</v>
      </c>
      <c r="AI4274" s="9">
        <v>57.901475997525047</v>
      </c>
      <c r="AJ4274" s="9">
        <v>3.0428788910505911</v>
      </c>
    </row>
    <row r="4275" spans="1:36" x14ac:dyDescent="0.25">
      <c r="A4275" t="s">
        <v>5411</v>
      </c>
      <c r="B4275" t="s">
        <v>16</v>
      </c>
      <c r="C4275" t="s">
        <v>17</v>
      </c>
      <c r="D4275">
        <v>76600000</v>
      </c>
      <c r="E4275">
        <v>76629999</v>
      </c>
      <c r="F4275" t="s">
        <v>3888</v>
      </c>
      <c r="G4275" t="str">
        <f t="shared" si="132"/>
        <v>GOI II</v>
      </c>
      <c r="H4275" t="s">
        <v>3672</v>
      </c>
      <c r="I4275" t="s">
        <v>20</v>
      </c>
      <c r="J4275" t="s">
        <v>64</v>
      </c>
      <c r="K4275" s="6">
        <v>0.03</v>
      </c>
      <c r="L4275" s="7">
        <f t="shared" si="133"/>
        <v>2E-3</v>
      </c>
      <c r="M4275" s="7">
        <v>3.0000000000000001E-3</v>
      </c>
      <c r="N4275">
        <v>14</v>
      </c>
      <c r="O4275" s="8">
        <v>24.12918157169327</v>
      </c>
      <c r="P4275" s="9">
        <v>24.12918157169327</v>
      </c>
      <c r="Q4275" s="9">
        <v>24.12918157169327</v>
      </c>
      <c r="R4275" s="9">
        <v>25.337926603196635</v>
      </c>
      <c r="S4275" s="9">
        <v>26.739125453822282</v>
      </c>
      <c r="T4275" s="9">
        <v>27.918529456871191</v>
      </c>
      <c r="U4275" s="9">
        <v>29.567239706252465</v>
      </c>
      <c r="V4275" s="9">
        <v>29.567239706252465</v>
      </c>
      <c r="W4275" s="9">
        <v>29.567239706252465</v>
      </c>
      <c r="X4275" s="9">
        <v>32.768324265753506</v>
      </c>
      <c r="Y4275" s="9">
        <v>32.768324265753506</v>
      </c>
      <c r="Z4275" s="9">
        <v>36.06659911693589</v>
      </c>
      <c r="AA4275" s="9">
        <v>36.06659911693589</v>
      </c>
      <c r="AB4275" s="9">
        <v>39.471783288967806</v>
      </c>
      <c r="AC4275" s="9">
        <v>39.471783288967806</v>
      </c>
      <c r="AD4275" s="9">
        <v>44.89371961968488</v>
      </c>
      <c r="AE4275" s="9">
        <v>47.788360826374728</v>
      </c>
      <c r="AF4275" s="9">
        <v>50.811128677055613</v>
      </c>
      <c r="AG4275" s="9">
        <v>50.811128677055613</v>
      </c>
      <c r="AH4275" s="9">
        <v>54.808386973888702</v>
      </c>
      <c r="AI4275" s="9">
        <v>57.901475997525047</v>
      </c>
      <c r="AJ4275" s="9">
        <v>3.0428788910505911</v>
      </c>
    </row>
    <row r="4276" spans="1:36" x14ac:dyDescent="0.25">
      <c r="A4276" t="s">
        <v>5411</v>
      </c>
      <c r="B4276" t="s">
        <v>16</v>
      </c>
      <c r="C4276" t="s">
        <v>17</v>
      </c>
      <c r="D4276">
        <v>76630000</v>
      </c>
      <c r="E4276">
        <v>76639999</v>
      </c>
      <c r="F4276" t="s">
        <v>3889</v>
      </c>
      <c r="G4276" t="str">
        <f t="shared" si="132"/>
        <v>GOI II</v>
      </c>
      <c r="H4276" t="s">
        <v>3672</v>
      </c>
      <c r="I4276" t="s">
        <v>20</v>
      </c>
      <c r="J4276" t="s">
        <v>64</v>
      </c>
      <c r="K4276" s="6">
        <v>0.03</v>
      </c>
      <c r="L4276" s="7">
        <f t="shared" si="133"/>
        <v>2E-3</v>
      </c>
      <c r="M4276" s="7">
        <v>3.0000000000000001E-3</v>
      </c>
      <c r="N4276">
        <v>14</v>
      </c>
      <c r="O4276" s="8">
        <v>24.12918157169327</v>
      </c>
      <c r="P4276" s="9">
        <v>24.12918157169327</v>
      </c>
      <c r="Q4276" s="9">
        <v>24.12918157169327</v>
      </c>
      <c r="R4276" s="9">
        <v>25.337926603196635</v>
      </c>
      <c r="S4276" s="9">
        <v>26.739125453822282</v>
      </c>
      <c r="T4276" s="9">
        <v>27.918529456871191</v>
      </c>
      <c r="U4276" s="9">
        <v>29.567239706252465</v>
      </c>
      <c r="V4276" s="9">
        <v>29.567239706252465</v>
      </c>
      <c r="W4276" s="9">
        <v>29.567239706252465</v>
      </c>
      <c r="X4276" s="9">
        <v>32.768324265753506</v>
      </c>
      <c r="Y4276" s="9">
        <v>32.768324265753506</v>
      </c>
      <c r="Z4276" s="9">
        <v>36.06659911693589</v>
      </c>
      <c r="AA4276" s="9">
        <v>36.06659911693589</v>
      </c>
      <c r="AB4276" s="9">
        <v>39.471783288967806</v>
      </c>
      <c r="AC4276" s="9">
        <v>39.471783288967806</v>
      </c>
      <c r="AD4276" s="9">
        <v>44.89371961968488</v>
      </c>
      <c r="AE4276" s="9">
        <v>47.788360826374728</v>
      </c>
      <c r="AF4276" s="9">
        <v>50.811128677055613</v>
      </c>
      <c r="AG4276" s="9">
        <v>50.811128677055613</v>
      </c>
      <c r="AH4276" s="9">
        <v>54.808386973888702</v>
      </c>
      <c r="AI4276" s="9">
        <v>57.901475997525047</v>
      </c>
      <c r="AJ4276" s="9">
        <v>3.0428788910505911</v>
      </c>
    </row>
    <row r="4277" spans="1:36" x14ac:dyDescent="0.25">
      <c r="A4277" t="s">
        <v>5411</v>
      </c>
      <c r="B4277" t="s">
        <v>16</v>
      </c>
      <c r="C4277" t="s">
        <v>17</v>
      </c>
      <c r="D4277">
        <v>76640000</v>
      </c>
      <c r="E4277">
        <v>76649999</v>
      </c>
      <c r="F4277" t="s">
        <v>3890</v>
      </c>
      <c r="G4277" t="str">
        <f t="shared" si="132"/>
        <v>GOI II</v>
      </c>
      <c r="H4277" t="s">
        <v>3672</v>
      </c>
      <c r="I4277" t="s">
        <v>20</v>
      </c>
      <c r="J4277" t="s">
        <v>64</v>
      </c>
      <c r="K4277" s="6">
        <v>0.03</v>
      </c>
      <c r="L4277" s="7">
        <f t="shared" si="133"/>
        <v>2E-3</v>
      </c>
      <c r="M4277" s="7">
        <v>3.0000000000000001E-3</v>
      </c>
      <c r="N4277">
        <v>14</v>
      </c>
      <c r="O4277" s="8">
        <v>24.12918157169327</v>
      </c>
      <c r="P4277" s="9">
        <v>24.12918157169327</v>
      </c>
      <c r="Q4277" s="9">
        <v>24.12918157169327</v>
      </c>
      <c r="R4277" s="9">
        <v>25.337926603196635</v>
      </c>
      <c r="S4277" s="9">
        <v>26.739125453822282</v>
      </c>
      <c r="T4277" s="9">
        <v>27.918529456871191</v>
      </c>
      <c r="U4277" s="9">
        <v>29.567239706252465</v>
      </c>
      <c r="V4277" s="9">
        <v>29.567239706252465</v>
      </c>
      <c r="W4277" s="9">
        <v>29.567239706252465</v>
      </c>
      <c r="X4277" s="9">
        <v>32.768324265753506</v>
      </c>
      <c r="Y4277" s="9">
        <v>32.768324265753506</v>
      </c>
      <c r="Z4277" s="9">
        <v>36.06659911693589</v>
      </c>
      <c r="AA4277" s="9">
        <v>36.06659911693589</v>
      </c>
      <c r="AB4277" s="9">
        <v>39.471783288967806</v>
      </c>
      <c r="AC4277" s="9">
        <v>39.471783288967806</v>
      </c>
      <c r="AD4277" s="9">
        <v>44.89371961968488</v>
      </c>
      <c r="AE4277" s="9">
        <v>47.788360826374728</v>
      </c>
      <c r="AF4277" s="9">
        <v>50.811128677055613</v>
      </c>
      <c r="AG4277" s="9">
        <v>50.811128677055613</v>
      </c>
      <c r="AH4277" s="9">
        <v>54.808386973888702</v>
      </c>
      <c r="AI4277" s="9">
        <v>57.901475997525047</v>
      </c>
      <c r="AJ4277" s="9">
        <v>3.0428788910505911</v>
      </c>
    </row>
    <row r="4278" spans="1:36" x14ac:dyDescent="0.25">
      <c r="A4278" t="s">
        <v>5411</v>
      </c>
      <c r="B4278" t="s">
        <v>16</v>
      </c>
      <c r="C4278" t="s">
        <v>17</v>
      </c>
      <c r="D4278">
        <v>76650000</v>
      </c>
      <c r="E4278">
        <v>76659999</v>
      </c>
      <c r="F4278" t="s">
        <v>3891</v>
      </c>
      <c r="G4278" t="str">
        <f t="shared" si="132"/>
        <v>GOI II</v>
      </c>
      <c r="H4278" t="s">
        <v>3672</v>
      </c>
      <c r="I4278" t="s">
        <v>20</v>
      </c>
      <c r="J4278" t="s">
        <v>64</v>
      </c>
      <c r="K4278" s="6">
        <v>0.03</v>
      </c>
      <c r="L4278" s="7">
        <f t="shared" si="133"/>
        <v>2E-3</v>
      </c>
      <c r="M4278" s="7">
        <v>3.0000000000000001E-3</v>
      </c>
      <c r="N4278">
        <v>14</v>
      </c>
      <c r="O4278" s="8">
        <v>24.12918157169327</v>
      </c>
      <c r="P4278" s="9">
        <v>24.12918157169327</v>
      </c>
      <c r="Q4278" s="9">
        <v>24.12918157169327</v>
      </c>
      <c r="R4278" s="9">
        <v>25.337926603196635</v>
      </c>
      <c r="S4278" s="9">
        <v>26.739125453822282</v>
      </c>
      <c r="T4278" s="9">
        <v>27.918529456871191</v>
      </c>
      <c r="U4278" s="9">
        <v>29.567239706252465</v>
      </c>
      <c r="V4278" s="9">
        <v>29.567239706252465</v>
      </c>
      <c r="W4278" s="9">
        <v>29.567239706252465</v>
      </c>
      <c r="X4278" s="9">
        <v>32.768324265753506</v>
      </c>
      <c r="Y4278" s="9">
        <v>32.768324265753506</v>
      </c>
      <c r="Z4278" s="9">
        <v>36.06659911693589</v>
      </c>
      <c r="AA4278" s="9">
        <v>36.06659911693589</v>
      </c>
      <c r="AB4278" s="9">
        <v>39.471783288967806</v>
      </c>
      <c r="AC4278" s="9">
        <v>39.471783288967806</v>
      </c>
      <c r="AD4278" s="9">
        <v>44.89371961968488</v>
      </c>
      <c r="AE4278" s="9">
        <v>47.788360826374728</v>
      </c>
      <c r="AF4278" s="9">
        <v>50.811128677055613</v>
      </c>
      <c r="AG4278" s="9">
        <v>50.811128677055613</v>
      </c>
      <c r="AH4278" s="9">
        <v>54.808386973888702</v>
      </c>
      <c r="AI4278" s="9">
        <v>57.901475997525047</v>
      </c>
      <c r="AJ4278" s="9">
        <v>3.0428788910505911</v>
      </c>
    </row>
    <row r="4279" spans="1:36" x14ac:dyDescent="0.25">
      <c r="A4279" t="s">
        <v>5411</v>
      </c>
      <c r="B4279" t="s">
        <v>16</v>
      </c>
      <c r="C4279" t="s">
        <v>17</v>
      </c>
      <c r="D4279">
        <v>76660000</v>
      </c>
      <c r="E4279">
        <v>76669999</v>
      </c>
      <c r="F4279" t="s">
        <v>3892</v>
      </c>
      <c r="G4279" t="str">
        <f t="shared" si="132"/>
        <v>GOI II</v>
      </c>
      <c r="H4279" t="s">
        <v>3672</v>
      </c>
      <c r="I4279" t="s">
        <v>20</v>
      </c>
      <c r="J4279" t="s">
        <v>64</v>
      </c>
      <c r="K4279" s="6">
        <v>0.03</v>
      </c>
      <c r="L4279" s="7">
        <f t="shared" si="133"/>
        <v>2E-3</v>
      </c>
      <c r="M4279" s="7">
        <v>3.0000000000000001E-3</v>
      </c>
      <c r="N4279">
        <v>14</v>
      </c>
      <c r="O4279" s="8">
        <v>24.12918157169327</v>
      </c>
      <c r="P4279" s="9">
        <v>24.12918157169327</v>
      </c>
      <c r="Q4279" s="9">
        <v>24.12918157169327</v>
      </c>
      <c r="R4279" s="9">
        <v>25.337926603196635</v>
      </c>
      <c r="S4279" s="9">
        <v>26.739125453822282</v>
      </c>
      <c r="T4279" s="9">
        <v>27.918529456871191</v>
      </c>
      <c r="U4279" s="9">
        <v>29.567239706252465</v>
      </c>
      <c r="V4279" s="9">
        <v>29.567239706252465</v>
      </c>
      <c r="W4279" s="9">
        <v>29.567239706252465</v>
      </c>
      <c r="X4279" s="9">
        <v>32.768324265753506</v>
      </c>
      <c r="Y4279" s="9">
        <v>32.768324265753506</v>
      </c>
      <c r="Z4279" s="9">
        <v>36.06659911693589</v>
      </c>
      <c r="AA4279" s="9">
        <v>36.06659911693589</v>
      </c>
      <c r="AB4279" s="9">
        <v>39.471783288967806</v>
      </c>
      <c r="AC4279" s="9">
        <v>39.471783288967806</v>
      </c>
      <c r="AD4279" s="9">
        <v>44.89371961968488</v>
      </c>
      <c r="AE4279" s="9">
        <v>47.788360826374728</v>
      </c>
      <c r="AF4279" s="9">
        <v>50.811128677055613</v>
      </c>
      <c r="AG4279" s="9">
        <v>50.811128677055613</v>
      </c>
      <c r="AH4279" s="9">
        <v>54.808386973888702</v>
      </c>
      <c r="AI4279" s="9">
        <v>57.901475997525047</v>
      </c>
      <c r="AJ4279" s="9">
        <v>3.0428788910505911</v>
      </c>
    </row>
    <row r="4280" spans="1:36" x14ac:dyDescent="0.25">
      <c r="A4280" t="s">
        <v>5411</v>
      </c>
      <c r="B4280" t="s">
        <v>16</v>
      </c>
      <c r="C4280" t="s">
        <v>17</v>
      </c>
      <c r="D4280">
        <v>76670000</v>
      </c>
      <c r="E4280">
        <v>76679999</v>
      </c>
      <c r="F4280" t="s">
        <v>3893</v>
      </c>
      <c r="G4280" t="str">
        <f t="shared" si="132"/>
        <v>GOI II</v>
      </c>
      <c r="H4280" t="s">
        <v>3672</v>
      </c>
      <c r="I4280" t="s">
        <v>20</v>
      </c>
      <c r="J4280" t="s">
        <v>64</v>
      </c>
      <c r="K4280" s="6">
        <v>0.03</v>
      </c>
      <c r="L4280" s="7">
        <f t="shared" si="133"/>
        <v>2E-3</v>
      </c>
      <c r="M4280" s="7">
        <v>3.0000000000000001E-3</v>
      </c>
      <c r="N4280">
        <v>14</v>
      </c>
      <c r="O4280" s="8">
        <v>24.12918157169327</v>
      </c>
      <c r="P4280" s="9">
        <v>24.12918157169327</v>
      </c>
      <c r="Q4280" s="9">
        <v>24.12918157169327</v>
      </c>
      <c r="R4280" s="9">
        <v>25.337926603196635</v>
      </c>
      <c r="S4280" s="9">
        <v>26.739125453822282</v>
      </c>
      <c r="T4280" s="9">
        <v>27.918529456871191</v>
      </c>
      <c r="U4280" s="9">
        <v>29.567239706252465</v>
      </c>
      <c r="V4280" s="9">
        <v>29.567239706252465</v>
      </c>
      <c r="W4280" s="9">
        <v>29.567239706252465</v>
      </c>
      <c r="X4280" s="9">
        <v>32.768324265753506</v>
      </c>
      <c r="Y4280" s="9">
        <v>32.768324265753506</v>
      </c>
      <c r="Z4280" s="9">
        <v>36.06659911693589</v>
      </c>
      <c r="AA4280" s="9">
        <v>36.06659911693589</v>
      </c>
      <c r="AB4280" s="9">
        <v>39.471783288967806</v>
      </c>
      <c r="AC4280" s="9">
        <v>39.471783288967806</v>
      </c>
      <c r="AD4280" s="9">
        <v>44.89371961968488</v>
      </c>
      <c r="AE4280" s="9">
        <v>47.788360826374728</v>
      </c>
      <c r="AF4280" s="9">
        <v>50.811128677055613</v>
      </c>
      <c r="AG4280" s="9">
        <v>50.811128677055613</v>
      </c>
      <c r="AH4280" s="9">
        <v>54.808386973888702</v>
      </c>
      <c r="AI4280" s="9">
        <v>57.901475997525047</v>
      </c>
      <c r="AJ4280" s="9">
        <v>3.0428788910505911</v>
      </c>
    </row>
    <row r="4281" spans="1:36" x14ac:dyDescent="0.25">
      <c r="A4281" t="s">
        <v>5411</v>
      </c>
      <c r="B4281" t="s">
        <v>16</v>
      </c>
      <c r="C4281" t="s">
        <v>17</v>
      </c>
      <c r="D4281">
        <v>76680000</v>
      </c>
      <c r="E4281">
        <v>76689999</v>
      </c>
      <c r="F4281" t="s">
        <v>3894</v>
      </c>
      <c r="G4281" t="str">
        <f t="shared" si="132"/>
        <v>GOI II</v>
      </c>
      <c r="H4281" t="s">
        <v>3672</v>
      </c>
      <c r="I4281" t="s">
        <v>20</v>
      </c>
      <c r="J4281" t="s">
        <v>64</v>
      </c>
      <c r="K4281" s="6">
        <v>0.03</v>
      </c>
      <c r="L4281" s="7">
        <f t="shared" si="133"/>
        <v>2E-3</v>
      </c>
      <c r="M4281" s="7">
        <v>3.0000000000000001E-3</v>
      </c>
      <c r="N4281">
        <v>14</v>
      </c>
      <c r="O4281" s="8">
        <v>24.12918157169327</v>
      </c>
      <c r="P4281" s="9">
        <v>24.12918157169327</v>
      </c>
      <c r="Q4281" s="9">
        <v>24.12918157169327</v>
      </c>
      <c r="R4281" s="9">
        <v>25.337926603196635</v>
      </c>
      <c r="S4281" s="9">
        <v>26.739125453822282</v>
      </c>
      <c r="T4281" s="9">
        <v>27.918529456871191</v>
      </c>
      <c r="U4281" s="9">
        <v>29.567239706252465</v>
      </c>
      <c r="V4281" s="9">
        <v>29.567239706252465</v>
      </c>
      <c r="W4281" s="9">
        <v>29.567239706252465</v>
      </c>
      <c r="X4281" s="9">
        <v>32.768324265753506</v>
      </c>
      <c r="Y4281" s="9">
        <v>32.768324265753506</v>
      </c>
      <c r="Z4281" s="9">
        <v>36.06659911693589</v>
      </c>
      <c r="AA4281" s="9">
        <v>36.06659911693589</v>
      </c>
      <c r="AB4281" s="9">
        <v>39.471783288967806</v>
      </c>
      <c r="AC4281" s="9">
        <v>39.471783288967806</v>
      </c>
      <c r="AD4281" s="9">
        <v>44.89371961968488</v>
      </c>
      <c r="AE4281" s="9">
        <v>47.788360826374728</v>
      </c>
      <c r="AF4281" s="9">
        <v>50.811128677055613</v>
      </c>
      <c r="AG4281" s="9">
        <v>50.811128677055613</v>
      </c>
      <c r="AH4281" s="9">
        <v>54.808386973888702</v>
      </c>
      <c r="AI4281" s="9">
        <v>57.901475997525047</v>
      </c>
      <c r="AJ4281" s="9">
        <v>3.0428788910505911</v>
      </c>
    </row>
    <row r="4282" spans="1:36" x14ac:dyDescent="0.25">
      <c r="A4282" t="s">
        <v>5411</v>
      </c>
      <c r="B4282" t="s">
        <v>16</v>
      </c>
      <c r="C4282" t="s">
        <v>17</v>
      </c>
      <c r="D4282">
        <v>76690000</v>
      </c>
      <c r="E4282">
        <v>76699999</v>
      </c>
      <c r="F4282" t="s">
        <v>3895</v>
      </c>
      <c r="G4282" t="str">
        <f t="shared" si="132"/>
        <v>GOI II</v>
      </c>
      <c r="H4282" t="s">
        <v>3672</v>
      </c>
      <c r="I4282" t="s">
        <v>20</v>
      </c>
      <c r="J4282" t="s">
        <v>64</v>
      </c>
      <c r="K4282" s="6">
        <v>0.03</v>
      </c>
      <c r="L4282" s="7">
        <f t="shared" si="133"/>
        <v>2E-3</v>
      </c>
      <c r="M4282" s="7">
        <v>3.0000000000000001E-3</v>
      </c>
      <c r="N4282">
        <v>14</v>
      </c>
      <c r="O4282" s="8">
        <v>24.12918157169327</v>
      </c>
      <c r="P4282" s="9">
        <v>24.12918157169327</v>
      </c>
      <c r="Q4282" s="9">
        <v>24.12918157169327</v>
      </c>
      <c r="R4282" s="9">
        <v>25.337926603196635</v>
      </c>
      <c r="S4282" s="9">
        <v>26.739125453822282</v>
      </c>
      <c r="T4282" s="9">
        <v>27.918529456871191</v>
      </c>
      <c r="U4282" s="9">
        <v>29.567239706252465</v>
      </c>
      <c r="V4282" s="9">
        <v>29.567239706252465</v>
      </c>
      <c r="W4282" s="9">
        <v>29.567239706252465</v>
      </c>
      <c r="X4282" s="9">
        <v>32.768324265753506</v>
      </c>
      <c r="Y4282" s="9">
        <v>32.768324265753506</v>
      </c>
      <c r="Z4282" s="9">
        <v>36.06659911693589</v>
      </c>
      <c r="AA4282" s="9">
        <v>36.06659911693589</v>
      </c>
      <c r="AB4282" s="9">
        <v>39.471783288967806</v>
      </c>
      <c r="AC4282" s="9">
        <v>39.471783288967806</v>
      </c>
      <c r="AD4282" s="9">
        <v>44.89371961968488</v>
      </c>
      <c r="AE4282" s="9">
        <v>47.788360826374728</v>
      </c>
      <c r="AF4282" s="9">
        <v>50.811128677055613</v>
      </c>
      <c r="AG4282" s="9">
        <v>50.811128677055613</v>
      </c>
      <c r="AH4282" s="9">
        <v>54.808386973888702</v>
      </c>
      <c r="AI4282" s="9">
        <v>57.901475997525047</v>
      </c>
      <c r="AJ4282" s="9">
        <v>3.0428788910505911</v>
      </c>
    </row>
    <row r="4283" spans="1:36" x14ac:dyDescent="0.25">
      <c r="A4283" t="s">
        <v>5411</v>
      </c>
      <c r="B4283" t="s">
        <v>16</v>
      </c>
      <c r="C4283" t="s">
        <v>17</v>
      </c>
      <c r="D4283">
        <v>76700000</v>
      </c>
      <c r="E4283">
        <v>76709999</v>
      </c>
      <c r="F4283" t="s">
        <v>3896</v>
      </c>
      <c r="G4283" t="str">
        <f t="shared" si="132"/>
        <v>GOI II</v>
      </c>
      <c r="H4283" t="s">
        <v>3672</v>
      </c>
      <c r="I4283" t="s">
        <v>20</v>
      </c>
      <c r="J4283" t="s">
        <v>64</v>
      </c>
      <c r="K4283" s="6">
        <v>0.03</v>
      </c>
      <c r="L4283" s="7">
        <f t="shared" si="133"/>
        <v>2E-3</v>
      </c>
      <c r="M4283" s="7">
        <v>3.0000000000000001E-3</v>
      </c>
      <c r="N4283">
        <v>14</v>
      </c>
      <c r="O4283" s="8">
        <v>24.12918157169327</v>
      </c>
      <c r="P4283" s="9">
        <v>24.12918157169327</v>
      </c>
      <c r="Q4283" s="9">
        <v>24.12918157169327</v>
      </c>
      <c r="R4283" s="9">
        <v>25.337926603196635</v>
      </c>
      <c r="S4283" s="9">
        <v>26.739125453822282</v>
      </c>
      <c r="T4283" s="9">
        <v>27.918529456871191</v>
      </c>
      <c r="U4283" s="9">
        <v>29.567239706252465</v>
      </c>
      <c r="V4283" s="9">
        <v>29.567239706252465</v>
      </c>
      <c r="W4283" s="9">
        <v>29.567239706252465</v>
      </c>
      <c r="X4283" s="9">
        <v>32.768324265753506</v>
      </c>
      <c r="Y4283" s="9">
        <v>32.768324265753506</v>
      </c>
      <c r="Z4283" s="9">
        <v>36.06659911693589</v>
      </c>
      <c r="AA4283" s="9">
        <v>36.06659911693589</v>
      </c>
      <c r="AB4283" s="9">
        <v>39.471783288967806</v>
      </c>
      <c r="AC4283" s="9">
        <v>39.471783288967806</v>
      </c>
      <c r="AD4283" s="9">
        <v>44.89371961968488</v>
      </c>
      <c r="AE4283" s="9">
        <v>47.788360826374728</v>
      </c>
      <c r="AF4283" s="9">
        <v>50.811128677055613</v>
      </c>
      <c r="AG4283" s="9">
        <v>50.811128677055613</v>
      </c>
      <c r="AH4283" s="9">
        <v>54.808386973888702</v>
      </c>
      <c r="AI4283" s="9">
        <v>57.901475997525047</v>
      </c>
      <c r="AJ4283" s="9">
        <v>3.0428788910505911</v>
      </c>
    </row>
    <row r="4284" spans="1:36" x14ac:dyDescent="0.25">
      <c r="A4284" t="s">
        <v>5411</v>
      </c>
      <c r="B4284" t="s">
        <v>16</v>
      </c>
      <c r="C4284" t="s">
        <v>17</v>
      </c>
      <c r="D4284">
        <v>76710000</v>
      </c>
      <c r="E4284">
        <v>76719999</v>
      </c>
      <c r="F4284" t="s">
        <v>3897</v>
      </c>
      <c r="G4284" t="str">
        <f t="shared" si="132"/>
        <v>GOI II</v>
      </c>
      <c r="H4284" t="s">
        <v>3672</v>
      </c>
      <c r="I4284" t="s">
        <v>20</v>
      </c>
      <c r="J4284" t="s">
        <v>64</v>
      </c>
      <c r="K4284" s="6">
        <v>0.03</v>
      </c>
      <c r="L4284" s="7">
        <f t="shared" si="133"/>
        <v>2E-3</v>
      </c>
      <c r="M4284" s="7">
        <v>3.0000000000000001E-3</v>
      </c>
      <c r="N4284">
        <v>14</v>
      </c>
      <c r="O4284" s="8">
        <v>24.12918157169327</v>
      </c>
      <c r="P4284" s="9">
        <v>24.12918157169327</v>
      </c>
      <c r="Q4284" s="9">
        <v>24.12918157169327</v>
      </c>
      <c r="R4284" s="9">
        <v>25.337926603196635</v>
      </c>
      <c r="S4284" s="9">
        <v>26.739125453822282</v>
      </c>
      <c r="T4284" s="9">
        <v>27.918529456871191</v>
      </c>
      <c r="U4284" s="9">
        <v>29.567239706252465</v>
      </c>
      <c r="V4284" s="9">
        <v>29.567239706252465</v>
      </c>
      <c r="W4284" s="9">
        <v>29.567239706252465</v>
      </c>
      <c r="X4284" s="9">
        <v>32.768324265753506</v>
      </c>
      <c r="Y4284" s="9">
        <v>32.768324265753506</v>
      </c>
      <c r="Z4284" s="9">
        <v>36.06659911693589</v>
      </c>
      <c r="AA4284" s="9">
        <v>36.06659911693589</v>
      </c>
      <c r="AB4284" s="9">
        <v>39.471783288967806</v>
      </c>
      <c r="AC4284" s="9">
        <v>39.471783288967806</v>
      </c>
      <c r="AD4284" s="9">
        <v>44.89371961968488</v>
      </c>
      <c r="AE4284" s="9">
        <v>47.788360826374728</v>
      </c>
      <c r="AF4284" s="9">
        <v>50.811128677055613</v>
      </c>
      <c r="AG4284" s="9">
        <v>50.811128677055613</v>
      </c>
      <c r="AH4284" s="9">
        <v>54.808386973888702</v>
      </c>
      <c r="AI4284" s="9">
        <v>57.901475997525047</v>
      </c>
      <c r="AJ4284" s="9">
        <v>3.0428788910505911</v>
      </c>
    </row>
    <row r="4285" spans="1:36" x14ac:dyDescent="0.25">
      <c r="A4285" t="s">
        <v>5411</v>
      </c>
      <c r="B4285" t="s">
        <v>16</v>
      </c>
      <c r="C4285" t="s">
        <v>17</v>
      </c>
      <c r="D4285">
        <v>76720000</v>
      </c>
      <c r="E4285">
        <v>76729999</v>
      </c>
      <c r="F4285" t="s">
        <v>3898</v>
      </c>
      <c r="G4285" t="str">
        <f t="shared" si="132"/>
        <v>GOI II</v>
      </c>
      <c r="H4285" t="s">
        <v>3672</v>
      </c>
      <c r="I4285" t="s">
        <v>20</v>
      </c>
      <c r="J4285" t="s">
        <v>64</v>
      </c>
      <c r="K4285" s="6">
        <v>0.03</v>
      </c>
      <c r="L4285" s="7">
        <f t="shared" si="133"/>
        <v>2E-3</v>
      </c>
      <c r="M4285" s="7">
        <v>3.0000000000000001E-3</v>
      </c>
      <c r="N4285">
        <v>14</v>
      </c>
      <c r="O4285" s="8">
        <v>24.12918157169327</v>
      </c>
      <c r="P4285" s="9">
        <v>24.12918157169327</v>
      </c>
      <c r="Q4285" s="9">
        <v>24.12918157169327</v>
      </c>
      <c r="R4285" s="9">
        <v>25.337926603196635</v>
      </c>
      <c r="S4285" s="9">
        <v>26.739125453822282</v>
      </c>
      <c r="T4285" s="9">
        <v>27.918529456871191</v>
      </c>
      <c r="U4285" s="9">
        <v>29.567239706252465</v>
      </c>
      <c r="V4285" s="9">
        <v>29.567239706252465</v>
      </c>
      <c r="W4285" s="9">
        <v>29.567239706252465</v>
      </c>
      <c r="X4285" s="9">
        <v>32.768324265753506</v>
      </c>
      <c r="Y4285" s="9">
        <v>32.768324265753506</v>
      </c>
      <c r="Z4285" s="9">
        <v>36.06659911693589</v>
      </c>
      <c r="AA4285" s="9">
        <v>36.06659911693589</v>
      </c>
      <c r="AB4285" s="9">
        <v>39.471783288967806</v>
      </c>
      <c r="AC4285" s="9">
        <v>39.471783288967806</v>
      </c>
      <c r="AD4285" s="9">
        <v>44.89371961968488</v>
      </c>
      <c r="AE4285" s="9">
        <v>47.788360826374728</v>
      </c>
      <c r="AF4285" s="9">
        <v>50.811128677055613</v>
      </c>
      <c r="AG4285" s="9">
        <v>50.811128677055613</v>
      </c>
      <c r="AH4285" s="9">
        <v>54.808386973888702</v>
      </c>
      <c r="AI4285" s="9">
        <v>57.901475997525047</v>
      </c>
      <c r="AJ4285" s="9">
        <v>3.0428788910505911</v>
      </c>
    </row>
    <row r="4286" spans="1:36" x14ac:dyDescent="0.25">
      <c r="A4286" t="s">
        <v>5411</v>
      </c>
      <c r="B4286" t="s">
        <v>16</v>
      </c>
      <c r="C4286" t="s">
        <v>17</v>
      </c>
      <c r="D4286">
        <v>76730000</v>
      </c>
      <c r="E4286">
        <v>76739999</v>
      </c>
      <c r="F4286" t="s">
        <v>3899</v>
      </c>
      <c r="G4286" t="str">
        <f t="shared" si="132"/>
        <v>GOI II</v>
      </c>
      <c r="H4286" t="s">
        <v>3672</v>
      </c>
      <c r="I4286" t="s">
        <v>20</v>
      </c>
      <c r="J4286" t="s">
        <v>64</v>
      </c>
      <c r="K4286" s="6">
        <v>0.03</v>
      </c>
      <c r="L4286" s="7">
        <f t="shared" si="133"/>
        <v>2E-3</v>
      </c>
      <c r="M4286" s="7">
        <v>3.0000000000000001E-3</v>
      </c>
      <c r="N4286">
        <v>14</v>
      </c>
      <c r="O4286" s="8">
        <v>24.12918157169327</v>
      </c>
      <c r="P4286" s="9">
        <v>24.12918157169327</v>
      </c>
      <c r="Q4286" s="9">
        <v>24.12918157169327</v>
      </c>
      <c r="R4286" s="9">
        <v>25.337926603196635</v>
      </c>
      <c r="S4286" s="9">
        <v>26.739125453822282</v>
      </c>
      <c r="T4286" s="9">
        <v>27.918529456871191</v>
      </c>
      <c r="U4286" s="9">
        <v>29.567239706252465</v>
      </c>
      <c r="V4286" s="9">
        <v>29.567239706252465</v>
      </c>
      <c r="W4286" s="9">
        <v>29.567239706252465</v>
      </c>
      <c r="X4286" s="9">
        <v>32.768324265753506</v>
      </c>
      <c r="Y4286" s="9">
        <v>32.768324265753506</v>
      </c>
      <c r="Z4286" s="9">
        <v>36.06659911693589</v>
      </c>
      <c r="AA4286" s="9">
        <v>36.06659911693589</v>
      </c>
      <c r="AB4286" s="9">
        <v>39.471783288967806</v>
      </c>
      <c r="AC4286" s="9">
        <v>39.471783288967806</v>
      </c>
      <c r="AD4286" s="9">
        <v>44.89371961968488</v>
      </c>
      <c r="AE4286" s="9">
        <v>47.788360826374728</v>
      </c>
      <c r="AF4286" s="9">
        <v>50.811128677055613</v>
      </c>
      <c r="AG4286" s="9">
        <v>50.811128677055613</v>
      </c>
      <c r="AH4286" s="9">
        <v>54.808386973888702</v>
      </c>
      <c r="AI4286" s="9">
        <v>57.901475997525047</v>
      </c>
      <c r="AJ4286" s="9">
        <v>3.0428788910505911</v>
      </c>
    </row>
    <row r="4287" spans="1:36" x14ac:dyDescent="0.25">
      <c r="A4287" t="s">
        <v>5411</v>
      </c>
      <c r="B4287" t="s">
        <v>16</v>
      </c>
      <c r="C4287" t="s">
        <v>17</v>
      </c>
      <c r="D4287">
        <v>76740000</v>
      </c>
      <c r="E4287">
        <v>76799999</v>
      </c>
      <c r="F4287" t="s">
        <v>3900</v>
      </c>
      <c r="G4287" t="str">
        <f t="shared" si="132"/>
        <v>GOI II</v>
      </c>
      <c r="H4287" t="s">
        <v>3672</v>
      </c>
      <c r="I4287" t="s">
        <v>20</v>
      </c>
      <c r="J4287" t="s">
        <v>64</v>
      </c>
      <c r="K4287" s="6">
        <v>0.03</v>
      </c>
      <c r="L4287" s="7">
        <f t="shared" si="133"/>
        <v>2E-3</v>
      </c>
      <c r="M4287" s="7">
        <v>3.0000000000000001E-3</v>
      </c>
      <c r="N4287">
        <v>14</v>
      </c>
      <c r="O4287" s="8">
        <v>24.12918157169327</v>
      </c>
      <c r="P4287" s="9">
        <v>24.12918157169327</v>
      </c>
      <c r="Q4287" s="9">
        <v>24.12918157169327</v>
      </c>
      <c r="R4287" s="9">
        <v>25.337926603196635</v>
      </c>
      <c r="S4287" s="9">
        <v>26.739125453822282</v>
      </c>
      <c r="T4287" s="9">
        <v>27.918529456871191</v>
      </c>
      <c r="U4287" s="9">
        <v>29.567239706252465</v>
      </c>
      <c r="V4287" s="9">
        <v>29.567239706252465</v>
      </c>
      <c r="W4287" s="9">
        <v>29.567239706252465</v>
      </c>
      <c r="X4287" s="9">
        <v>32.768324265753506</v>
      </c>
      <c r="Y4287" s="9">
        <v>32.768324265753506</v>
      </c>
      <c r="Z4287" s="9">
        <v>36.06659911693589</v>
      </c>
      <c r="AA4287" s="9">
        <v>36.06659911693589</v>
      </c>
      <c r="AB4287" s="9">
        <v>39.471783288967806</v>
      </c>
      <c r="AC4287" s="9">
        <v>39.471783288967806</v>
      </c>
      <c r="AD4287" s="9">
        <v>44.89371961968488</v>
      </c>
      <c r="AE4287" s="9">
        <v>47.788360826374728</v>
      </c>
      <c r="AF4287" s="9">
        <v>50.811128677055613</v>
      </c>
      <c r="AG4287" s="9">
        <v>50.811128677055613</v>
      </c>
      <c r="AH4287" s="9">
        <v>54.808386973888702</v>
      </c>
      <c r="AI4287" s="9">
        <v>57.901475997525047</v>
      </c>
      <c r="AJ4287" s="9">
        <v>3.0428788910505911</v>
      </c>
    </row>
    <row r="4288" spans="1:36" x14ac:dyDescent="0.25">
      <c r="A4288" t="s">
        <v>5411</v>
      </c>
      <c r="B4288" t="s">
        <v>16</v>
      </c>
      <c r="C4288" t="s">
        <v>17</v>
      </c>
      <c r="D4288">
        <v>76800000</v>
      </c>
      <c r="E4288">
        <v>76849999</v>
      </c>
      <c r="F4288" t="s">
        <v>3901</v>
      </c>
      <c r="G4288" t="str">
        <f t="shared" si="132"/>
        <v>ROC</v>
      </c>
      <c r="H4288" t="s">
        <v>3902</v>
      </c>
      <c r="I4288" t="s">
        <v>20</v>
      </c>
      <c r="J4288" t="s">
        <v>21</v>
      </c>
      <c r="K4288" s="6">
        <v>0.03</v>
      </c>
      <c r="L4288" s="7">
        <f t="shared" si="133"/>
        <v>2E-3</v>
      </c>
      <c r="M4288" s="7">
        <v>3.0000000000000001E-3</v>
      </c>
      <c r="N4288">
        <v>12</v>
      </c>
      <c r="O4288" s="8">
        <v>28.498039192895266</v>
      </c>
      <c r="P4288" s="9">
        <v>28.498039192895266</v>
      </c>
      <c r="Q4288" s="9">
        <v>28.498039192895266</v>
      </c>
      <c r="R4288" s="9">
        <v>28.968520724049363</v>
      </c>
      <c r="S4288" s="9">
        <v>29.270612559326153</v>
      </c>
      <c r="T4288" s="9">
        <v>29.674791705047774</v>
      </c>
      <c r="U4288" s="9">
        <v>42.743094317999102</v>
      </c>
      <c r="V4288" s="9">
        <v>42.743094317999102</v>
      </c>
      <c r="W4288" s="9">
        <v>42.743094317999102</v>
      </c>
      <c r="X4288" s="9">
        <v>56.737235852631443</v>
      </c>
      <c r="Y4288" s="9">
        <v>56.737235852631443</v>
      </c>
      <c r="Z4288" s="9">
        <v>70.928112500177477</v>
      </c>
      <c r="AA4288" s="9">
        <v>70.928112500177477</v>
      </c>
      <c r="AB4288" s="9">
        <v>85.413430392705351</v>
      </c>
      <c r="AC4288" s="9">
        <v>85.413430392705351</v>
      </c>
      <c r="AD4288" s="9">
        <v>99.593307412876158</v>
      </c>
      <c r="AE4288" s="9">
        <v>113.87544072509698</v>
      </c>
      <c r="AF4288" s="9">
        <v>128.2700559585727</v>
      </c>
      <c r="AG4288" s="9">
        <v>128.2700559585727</v>
      </c>
      <c r="AH4288" s="9">
        <v>142.78840130542901</v>
      </c>
      <c r="AI4288" s="9">
        <v>156.73705785882069</v>
      </c>
      <c r="AJ4288" s="9">
        <v>3.0428788910505911</v>
      </c>
    </row>
    <row r="4289" spans="1:36" x14ac:dyDescent="0.25">
      <c r="A4289" t="s">
        <v>5411</v>
      </c>
      <c r="B4289" t="s">
        <v>16</v>
      </c>
      <c r="C4289" t="s">
        <v>17</v>
      </c>
      <c r="D4289">
        <v>76850000</v>
      </c>
      <c r="E4289">
        <v>76856999</v>
      </c>
      <c r="F4289" t="s">
        <v>3903</v>
      </c>
      <c r="G4289" t="str">
        <f t="shared" si="132"/>
        <v>ROR</v>
      </c>
      <c r="H4289" t="s">
        <v>3902</v>
      </c>
      <c r="I4289" t="s">
        <v>20</v>
      </c>
      <c r="J4289" t="s">
        <v>77</v>
      </c>
      <c r="K4289" s="6">
        <v>0.03</v>
      </c>
      <c r="L4289" s="7">
        <f t="shared" si="133"/>
        <v>2E-3</v>
      </c>
      <c r="M4289" s="7">
        <v>3.0000000000000001E-3</v>
      </c>
      <c r="N4289">
        <v>17</v>
      </c>
      <c r="O4289" s="8">
        <v>52.356470025188507</v>
      </c>
      <c r="P4289" s="9">
        <v>52.356470025188507</v>
      </c>
      <c r="Q4289" s="9">
        <v>52.356470025188507</v>
      </c>
      <c r="R4289" s="9">
        <v>53.760206005810289</v>
      </c>
      <c r="S4289" s="9">
        <v>54.225347430867238</v>
      </c>
      <c r="T4289" s="9">
        <v>54.610644522460483</v>
      </c>
      <c r="U4289" s="9">
        <v>69.025126971275171</v>
      </c>
      <c r="V4289" s="9">
        <v>69.025126971275171</v>
      </c>
      <c r="W4289" s="9">
        <v>69.025126971275171</v>
      </c>
      <c r="X4289" s="9">
        <v>84.82781936027213</v>
      </c>
      <c r="Y4289" s="9">
        <v>84.82781936027213</v>
      </c>
      <c r="Z4289" s="9">
        <v>100.7364947991155</v>
      </c>
      <c r="AA4289" s="9">
        <v>100.7364947991155</v>
      </c>
      <c r="AB4289" s="9">
        <v>117.02508837332475</v>
      </c>
      <c r="AC4289" s="9">
        <v>117.02508837332475</v>
      </c>
      <c r="AD4289" s="9">
        <v>133.59992350616912</v>
      </c>
      <c r="AE4289" s="9">
        <v>150.48962435351206</v>
      </c>
      <c r="AF4289" s="9">
        <v>169.31808477390766</v>
      </c>
      <c r="AG4289" s="9">
        <v>169.31808477390766</v>
      </c>
      <c r="AH4289" s="9">
        <v>187.09436615045269</v>
      </c>
      <c r="AI4289" s="9">
        <v>204.90277882222901</v>
      </c>
      <c r="AJ4289" s="9">
        <v>3.0428788910505911</v>
      </c>
    </row>
    <row r="4290" spans="1:36" x14ac:dyDescent="0.25">
      <c r="A4290" t="s">
        <v>5411</v>
      </c>
      <c r="B4290" t="s">
        <v>16</v>
      </c>
      <c r="C4290" t="s">
        <v>17</v>
      </c>
      <c r="D4290">
        <v>76857000</v>
      </c>
      <c r="E4290">
        <v>76859999</v>
      </c>
      <c r="F4290" t="s">
        <v>3904</v>
      </c>
      <c r="G4290" t="str">
        <f t="shared" si="132"/>
        <v>ROR</v>
      </c>
      <c r="H4290" t="s">
        <v>3902</v>
      </c>
      <c r="I4290" t="s">
        <v>20</v>
      </c>
      <c r="J4290" t="s">
        <v>77</v>
      </c>
      <c r="K4290" s="6">
        <v>0.03</v>
      </c>
      <c r="L4290" s="7">
        <f t="shared" si="133"/>
        <v>2E-3</v>
      </c>
      <c r="M4290" s="7">
        <v>3.0000000000000001E-3</v>
      </c>
      <c r="N4290">
        <v>17</v>
      </c>
      <c r="O4290" s="8">
        <v>52.356470025188507</v>
      </c>
      <c r="P4290" s="9">
        <v>52.356470025188507</v>
      </c>
      <c r="Q4290" s="9">
        <v>52.356470025188507</v>
      </c>
      <c r="R4290" s="9">
        <v>53.760206005810289</v>
      </c>
      <c r="S4290" s="9">
        <v>54.225347430867238</v>
      </c>
      <c r="T4290" s="9">
        <v>54.610644522460483</v>
      </c>
      <c r="U4290" s="9">
        <v>69.025126971275171</v>
      </c>
      <c r="V4290" s="9">
        <v>69.025126971275171</v>
      </c>
      <c r="W4290" s="9">
        <v>69.025126971275171</v>
      </c>
      <c r="X4290" s="9">
        <v>84.82781936027213</v>
      </c>
      <c r="Y4290" s="9">
        <v>84.82781936027213</v>
      </c>
      <c r="Z4290" s="9">
        <v>100.7364947991155</v>
      </c>
      <c r="AA4290" s="9">
        <v>100.7364947991155</v>
      </c>
      <c r="AB4290" s="9">
        <v>117.02508837332475</v>
      </c>
      <c r="AC4290" s="9">
        <v>117.02508837332475</v>
      </c>
      <c r="AD4290" s="9">
        <v>133.59992350616912</v>
      </c>
      <c r="AE4290" s="9">
        <v>150.48962435351206</v>
      </c>
      <c r="AF4290" s="9">
        <v>169.31808477390766</v>
      </c>
      <c r="AG4290" s="9">
        <v>169.31808477390766</v>
      </c>
      <c r="AH4290" s="9">
        <v>187.09436615045269</v>
      </c>
      <c r="AI4290" s="9">
        <v>204.90277882222901</v>
      </c>
      <c r="AJ4290" s="9">
        <v>3.0428788910505911</v>
      </c>
    </row>
    <row r="4291" spans="1:36" x14ac:dyDescent="0.25">
      <c r="A4291" t="s">
        <v>5411</v>
      </c>
      <c r="B4291" t="s">
        <v>16</v>
      </c>
      <c r="C4291" t="s">
        <v>17</v>
      </c>
      <c r="D4291">
        <v>76860000</v>
      </c>
      <c r="E4291">
        <v>76860999</v>
      </c>
      <c r="F4291" t="s">
        <v>3905</v>
      </c>
      <c r="G4291" t="str">
        <f t="shared" si="132"/>
        <v>ROR</v>
      </c>
      <c r="H4291" t="s">
        <v>3902</v>
      </c>
      <c r="I4291" t="s">
        <v>20</v>
      </c>
      <c r="J4291" t="s">
        <v>77</v>
      </c>
      <c r="K4291" s="6">
        <v>0.03</v>
      </c>
      <c r="L4291" s="7">
        <f t="shared" si="133"/>
        <v>2E-3</v>
      </c>
      <c r="M4291" s="7">
        <v>3.0000000000000001E-3</v>
      </c>
      <c r="N4291">
        <v>17</v>
      </c>
      <c r="O4291" s="8">
        <v>52.356470025188507</v>
      </c>
      <c r="P4291" s="9">
        <v>52.356470025188507</v>
      </c>
      <c r="Q4291" s="9">
        <v>52.356470025188507</v>
      </c>
      <c r="R4291" s="9">
        <v>53.760206005810289</v>
      </c>
      <c r="S4291" s="9">
        <v>54.225347430867238</v>
      </c>
      <c r="T4291" s="9">
        <v>54.610644522460483</v>
      </c>
      <c r="U4291" s="9">
        <v>69.025126971275171</v>
      </c>
      <c r="V4291" s="9">
        <v>69.025126971275171</v>
      </c>
      <c r="W4291" s="9">
        <v>69.025126971275171</v>
      </c>
      <c r="X4291" s="9">
        <v>84.82781936027213</v>
      </c>
      <c r="Y4291" s="9">
        <v>84.82781936027213</v>
      </c>
      <c r="Z4291" s="9">
        <v>100.7364947991155</v>
      </c>
      <c r="AA4291" s="9">
        <v>100.7364947991155</v>
      </c>
      <c r="AB4291" s="9">
        <v>117.02508837332475</v>
      </c>
      <c r="AC4291" s="9">
        <v>117.02508837332475</v>
      </c>
      <c r="AD4291" s="9">
        <v>133.59992350616912</v>
      </c>
      <c r="AE4291" s="9">
        <v>150.48962435351206</v>
      </c>
      <c r="AF4291" s="9">
        <v>169.31808477390766</v>
      </c>
      <c r="AG4291" s="9">
        <v>169.31808477390766</v>
      </c>
      <c r="AH4291" s="9">
        <v>187.09436615045269</v>
      </c>
      <c r="AI4291" s="9">
        <v>204.90277882222901</v>
      </c>
      <c r="AJ4291" s="9">
        <v>3.0428788910505911</v>
      </c>
    </row>
    <row r="4292" spans="1:36" x14ac:dyDescent="0.25">
      <c r="A4292" t="s">
        <v>5411</v>
      </c>
      <c r="B4292" t="s">
        <v>16</v>
      </c>
      <c r="C4292" t="s">
        <v>17</v>
      </c>
      <c r="D4292">
        <v>76861000</v>
      </c>
      <c r="E4292">
        <v>76861999</v>
      </c>
      <c r="F4292" t="s">
        <v>3906</v>
      </c>
      <c r="G4292" t="str">
        <f t="shared" ref="G4292:G4355" si="134">H4292&amp;IF(J4292="CAPITAL","C",IF(J4292="INTERIOR","I",IF(J4292="INTERIOR II","I II","R")))</f>
        <v>ROR</v>
      </c>
      <c r="H4292" t="s">
        <v>3902</v>
      </c>
      <c r="I4292" t="s">
        <v>20</v>
      </c>
      <c r="J4292" t="s">
        <v>77</v>
      </c>
      <c r="K4292" s="6">
        <v>0.03</v>
      </c>
      <c r="L4292" s="7">
        <f t="shared" ref="L4292:L4355" si="135">IF(I4292="(0) Não",0.2%,3%)</f>
        <v>2E-3</v>
      </c>
      <c r="M4292" s="7">
        <v>3.0000000000000001E-3</v>
      </c>
      <c r="N4292">
        <v>17</v>
      </c>
      <c r="O4292" s="8">
        <v>52.356470025188507</v>
      </c>
      <c r="P4292" s="9">
        <v>52.356470025188507</v>
      </c>
      <c r="Q4292" s="9">
        <v>52.356470025188507</v>
      </c>
      <c r="R4292" s="9">
        <v>53.760206005810289</v>
      </c>
      <c r="S4292" s="9">
        <v>54.225347430867238</v>
      </c>
      <c r="T4292" s="9">
        <v>54.610644522460483</v>
      </c>
      <c r="U4292" s="9">
        <v>69.025126971275171</v>
      </c>
      <c r="V4292" s="9">
        <v>69.025126971275171</v>
      </c>
      <c r="W4292" s="9">
        <v>69.025126971275171</v>
      </c>
      <c r="X4292" s="9">
        <v>84.82781936027213</v>
      </c>
      <c r="Y4292" s="9">
        <v>84.82781936027213</v>
      </c>
      <c r="Z4292" s="9">
        <v>100.7364947991155</v>
      </c>
      <c r="AA4292" s="9">
        <v>100.7364947991155</v>
      </c>
      <c r="AB4292" s="9">
        <v>117.02508837332475</v>
      </c>
      <c r="AC4292" s="9">
        <v>117.02508837332475</v>
      </c>
      <c r="AD4292" s="9">
        <v>133.59992350616912</v>
      </c>
      <c r="AE4292" s="9">
        <v>150.48962435351206</v>
      </c>
      <c r="AF4292" s="9">
        <v>169.31808477390766</v>
      </c>
      <c r="AG4292" s="9">
        <v>169.31808477390766</v>
      </c>
      <c r="AH4292" s="9">
        <v>187.09436615045269</v>
      </c>
      <c r="AI4292" s="9">
        <v>204.90277882222901</v>
      </c>
      <c r="AJ4292" s="9">
        <v>3.0428788910505911</v>
      </c>
    </row>
    <row r="4293" spans="1:36" x14ac:dyDescent="0.25">
      <c r="A4293" t="s">
        <v>5411</v>
      </c>
      <c r="B4293" t="s">
        <v>16</v>
      </c>
      <c r="C4293" t="s">
        <v>17</v>
      </c>
      <c r="D4293">
        <v>76862000</v>
      </c>
      <c r="E4293">
        <v>76862999</v>
      </c>
      <c r="F4293" t="s">
        <v>3907</v>
      </c>
      <c r="G4293" t="str">
        <f t="shared" si="134"/>
        <v>ROR</v>
      </c>
      <c r="H4293" t="s">
        <v>3902</v>
      </c>
      <c r="I4293" t="s">
        <v>20</v>
      </c>
      <c r="J4293" t="s">
        <v>77</v>
      </c>
      <c r="K4293" s="6">
        <v>0.03</v>
      </c>
      <c r="L4293" s="7">
        <f t="shared" si="135"/>
        <v>2E-3</v>
      </c>
      <c r="M4293" s="7">
        <v>3.0000000000000001E-3</v>
      </c>
      <c r="N4293">
        <v>17</v>
      </c>
      <c r="O4293" s="8">
        <v>52.356470025188507</v>
      </c>
      <c r="P4293" s="9">
        <v>52.356470025188507</v>
      </c>
      <c r="Q4293" s="9">
        <v>52.356470025188507</v>
      </c>
      <c r="R4293" s="9">
        <v>53.760206005810289</v>
      </c>
      <c r="S4293" s="9">
        <v>54.225347430867238</v>
      </c>
      <c r="T4293" s="9">
        <v>54.610644522460483</v>
      </c>
      <c r="U4293" s="9">
        <v>69.025126971275171</v>
      </c>
      <c r="V4293" s="9">
        <v>69.025126971275171</v>
      </c>
      <c r="W4293" s="9">
        <v>69.025126971275171</v>
      </c>
      <c r="X4293" s="9">
        <v>84.82781936027213</v>
      </c>
      <c r="Y4293" s="9">
        <v>84.82781936027213</v>
      </c>
      <c r="Z4293" s="9">
        <v>100.7364947991155</v>
      </c>
      <c r="AA4293" s="9">
        <v>100.7364947991155</v>
      </c>
      <c r="AB4293" s="9">
        <v>117.02508837332475</v>
      </c>
      <c r="AC4293" s="9">
        <v>117.02508837332475</v>
      </c>
      <c r="AD4293" s="9">
        <v>133.59992350616912</v>
      </c>
      <c r="AE4293" s="9">
        <v>150.48962435351206</v>
      </c>
      <c r="AF4293" s="9">
        <v>169.31808477390766</v>
      </c>
      <c r="AG4293" s="9">
        <v>169.31808477390766</v>
      </c>
      <c r="AH4293" s="9">
        <v>187.09436615045269</v>
      </c>
      <c r="AI4293" s="9">
        <v>204.90277882222901</v>
      </c>
      <c r="AJ4293" s="9">
        <v>3.0428788910505911</v>
      </c>
    </row>
    <row r="4294" spans="1:36" x14ac:dyDescent="0.25">
      <c r="A4294" t="s">
        <v>5411</v>
      </c>
      <c r="B4294" t="s">
        <v>16</v>
      </c>
      <c r="C4294" t="s">
        <v>17</v>
      </c>
      <c r="D4294">
        <v>76863000</v>
      </c>
      <c r="E4294">
        <v>76863999</v>
      </c>
      <c r="F4294" t="s">
        <v>3908</v>
      </c>
      <c r="G4294" t="str">
        <f t="shared" si="134"/>
        <v>ROR</v>
      </c>
      <c r="H4294" t="s">
        <v>3902</v>
      </c>
      <c r="I4294" t="s">
        <v>20</v>
      </c>
      <c r="J4294" t="s">
        <v>77</v>
      </c>
      <c r="K4294" s="6">
        <v>0.03</v>
      </c>
      <c r="L4294" s="7">
        <f t="shared" si="135"/>
        <v>2E-3</v>
      </c>
      <c r="M4294" s="7">
        <v>3.0000000000000001E-3</v>
      </c>
      <c r="N4294">
        <v>17</v>
      </c>
      <c r="O4294" s="8">
        <v>52.356470025188507</v>
      </c>
      <c r="P4294" s="9">
        <v>52.356470025188507</v>
      </c>
      <c r="Q4294" s="9">
        <v>52.356470025188507</v>
      </c>
      <c r="R4294" s="9">
        <v>53.760206005810289</v>
      </c>
      <c r="S4294" s="9">
        <v>54.225347430867238</v>
      </c>
      <c r="T4294" s="9">
        <v>54.610644522460483</v>
      </c>
      <c r="U4294" s="9">
        <v>69.025126971275171</v>
      </c>
      <c r="V4294" s="9">
        <v>69.025126971275171</v>
      </c>
      <c r="W4294" s="9">
        <v>69.025126971275171</v>
      </c>
      <c r="X4294" s="9">
        <v>84.82781936027213</v>
      </c>
      <c r="Y4294" s="9">
        <v>84.82781936027213</v>
      </c>
      <c r="Z4294" s="9">
        <v>100.7364947991155</v>
      </c>
      <c r="AA4294" s="9">
        <v>100.7364947991155</v>
      </c>
      <c r="AB4294" s="9">
        <v>117.02508837332475</v>
      </c>
      <c r="AC4294" s="9">
        <v>117.02508837332475</v>
      </c>
      <c r="AD4294" s="9">
        <v>133.59992350616912</v>
      </c>
      <c r="AE4294" s="9">
        <v>150.48962435351206</v>
      </c>
      <c r="AF4294" s="9">
        <v>169.31808477390766</v>
      </c>
      <c r="AG4294" s="9">
        <v>169.31808477390766</v>
      </c>
      <c r="AH4294" s="9">
        <v>187.09436615045269</v>
      </c>
      <c r="AI4294" s="9">
        <v>204.90277882222901</v>
      </c>
      <c r="AJ4294" s="9">
        <v>3.0428788910505911</v>
      </c>
    </row>
    <row r="4295" spans="1:36" x14ac:dyDescent="0.25">
      <c r="A4295" t="s">
        <v>5411</v>
      </c>
      <c r="B4295" t="s">
        <v>16</v>
      </c>
      <c r="C4295" t="s">
        <v>17</v>
      </c>
      <c r="D4295">
        <v>76864000</v>
      </c>
      <c r="E4295">
        <v>76865999</v>
      </c>
      <c r="F4295" t="s">
        <v>3909</v>
      </c>
      <c r="G4295" t="str">
        <f t="shared" si="134"/>
        <v>ROR</v>
      </c>
      <c r="H4295" t="s">
        <v>3902</v>
      </c>
      <c r="I4295" t="s">
        <v>20</v>
      </c>
      <c r="J4295" t="s">
        <v>77</v>
      </c>
      <c r="K4295" s="6">
        <v>0.03</v>
      </c>
      <c r="L4295" s="7">
        <f t="shared" si="135"/>
        <v>2E-3</v>
      </c>
      <c r="M4295" s="7">
        <v>3.0000000000000001E-3</v>
      </c>
      <c r="N4295">
        <v>17</v>
      </c>
      <c r="O4295" s="8">
        <v>52.356470025188507</v>
      </c>
      <c r="P4295" s="9">
        <v>52.356470025188507</v>
      </c>
      <c r="Q4295" s="9">
        <v>52.356470025188507</v>
      </c>
      <c r="R4295" s="9">
        <v>53.760206005810289</v>
      </c>
      <c r="S4295" s="9">
        <v>54.225347430867238</v>
      </c>
      <c r="T4295" s="9">
        <v>54.610644522460483</v>
      </c>
      <c r="U4295" s="9">
        <v>69.025126971275171</v>
      </c>
      <c r="V4295" s="9">
        <v>69.025126971275171</v>
      </c>
      <c r="W4295" s="9">
        <v>69.025126971275171</v>
      </c>
      <c r="X4295" s="9">
        <v>84.82781936027213</v>
      </c>
      <c r="Y4295" s="9">
        <v>84.82781936027213</v>
      </c>
      <c r="Z4295" s="9">
        <v>100.7364947991155</v>
      </c>
      <c r="AA4295" s="9">
        <v>100.7364947991155</v>
      </c>
      <c r="AB4295" s="9">
        <v>117.02508837332475</v>
      </c>
      <c r="AC4295" s="9">
        <v>117.02508837332475</v>
      </c>
      <c r="AD4295" s="9">
        <v>133.59992350616912</v>
      </c>
      <c r="AE4295" s="9">
        <v>150.48962435351206</v>
      </c>
      <c r="AF4295" s="9">
        <v>169.31808477390766</v>
      </c>
      <c r="AG4295" s="9">
        <v>169.31808477390766</v>
      </c>
      <c r="AH4295" s="9">
        <v>187.09436615045269</v>
      </c>
      <c r="AI4295" s="9">
        <v>204.90277882222901</v>
      </c>
      <c r="AJ4295" s="9">
        <v>3.0428788910505911</v>
      </c>
    </row>
    <row r="4296" spans="1:36" x14ac:dyDescent="0.25">
      <c r="A4296" t="s">
        <v>5411</v>
      </c>
      <c r="B4296" t="s">
        <v>16</v>
      </c>
      <c r="C4296" t="s">
        <v>17</v>
      </c>
      <c r="D4296">
        <v>76866000</v>
      </c>
      <c r="E4296">
        <v>76866999</v>
      </c>
      <c r="F4296" t="s">
        <v>3910</v>
      </c>
      <c r="G4296" t="str">
        <f t="shared" si="134"/>
        <v>ROR</v>
      </c>
      <c r="H4296" t="s">
        <v>3902</v>
      </c>
      <c r="I4296" t="s">
        <v>20</v>
      </c>
      <c r="J4296" t="s">
        <v>77</v>
      </c>
      <c r="K4296" s="6">
        <v>0.03</v>
      </c>
      <c r="L4296" s="7">
        <f t="shared" si="135"/>
        <v>2E-3</v>
      </c>
      <c r="M4296" s="7">
        <v>3.0000000000000001E-3</v>
      </c>
      <c r="N4296">
        <v>17</v>
      </c>
      <c r="O4296" s="8">
        <v>52.356470025188507</v>
      </c>
      <c r="P4296" s="9">
        <v>52.356470025188507</v>
      </c>
      <c r="Q4296" s="9">
        <v>52.356470025188507</v>
      </c>
      <c r="R4296" s="9">
        <v>53.760206005810289</v>
      </c>
      <c r="S4296" s="9">
        <v>54.225347430867238</v>
      </c>
      <c r="T4296" s="9">
        <v>54.610644522460483</v>
      </c>
      <c r="U4296" s="9">
        <v>69.025126971275171</v>
      </c>
      <c r="V4296" s="9">
        <v>69.025126971275171</v>
      </c>
      <c r="W4296" s="9">
        <v>69.025126971275171</v>
      </c>
      <c r="X4296" s="9">
        <v>84.82781936027213</v>
      </c>
      <c r="Y4296" s="9">
        <v>84.82781936027213</v>
      </c>
      <c r="Z4296" s="9">
        <v>100.7364947991155</v>
      </c>
      <c r="AA4296" s="9">
        <v>100.7364947991155</v>
      </c>
      <c r="AB4296" s="9">
        <v>117.02508837332475</v>
      </c>
      <c r="AC4296" s="9">
        <v>117.02508837332475</v>
      </c>
      <c r="AD4296" s="9">
        <v>133.59992350616912</v>
      </c>
      <c r="AE4296" s="9">
        <v>150.48962435351206</v>
      </c>
      <c r="AF4296" s="9">
        <v>169.31808477390766</v>
      </c>
      <c r="AG4296" s="9">
        <v>169.31808477390766</v>
      </c>
      <c r="AH4296" s="9">
        <v>187.09436615045269</v>
      </c>
      <c r="AI4296" s="9">
        <v>204.90277882222901</v>
      </c>
      <c r="AJ4296" s="9">
        <v>3.0428788910505911</v>
      </c>
    </row>
    <row r="4297" spans="1:36" x14ac:dyDescent="0.25">
      <c r="A4297" t="s">
        <v>5411</v>
      </c>
      <c r="B4297" t="s">
        <v>16</v>
      </c>
      <c r="C4297" t="s">
        <v>17</v>
      </c>
      <c r="D4297">
        <v>76867000</v>
      </c>
      <c r="E4297">
        <v>76867999</v>
      </c>
      <c r="F4297" t="s">
        <v>3911</v>
      </c>
      <c r="G4297" t="str">
        <f t="shared" si="134"/>
        <v>ROR</v>
      </c>
      <c r="H4297" t="s">
        <v>3902</v>
      </c>
      <c r="I4297" t="s">
        <v>20</v>
      </c>
      <c r="J4297" t="s">
        <v>77</v>
      </c>
      <c r="K4297" s="6">
        <v>0.03</v>
      </c>
      <c r="L4297" s="7">
        <f t="shared" si="135"/>
        <v>2E-3</v>
      </c>
      <c r="M4297" s="7">
        <v>3.0000000000000001E-3</v>
      </c>
      <c r="N4297">
        <v>17</v>
      </c>
      <c r="O4297" s="8">
        <v>52.356470025188507</v>
      </c>
      <c r="P4297" s="9">
        <v>52.356470025188507</v>
      </c>
      <c r="Q4297" s="9">
        <v>52.356470025188507</v>
      </c>
      <c r="R4297" s="9">
        <v>53.760206005810289</v>
      </c>
      <c r="S4297" s="9">
        <v>54.225347430867238</v>
      </c>
      <c r="T4297" s="9">
        <v>54.610644522460483</v>
      </c>
      <c r="U4297" s="9">
        <v>69.025126971275171</v>
      </c>
      <c r="V4297" s="9">
        <v>69.025126971275171</v>
      </c>
      <c r="W4297" s="9">
        <v>69.025126971275171</v>
      </c>
      <c r="X4297" s="9">
        <v>84.82781936027213</v>
      </c>
      <c r="Y4297" s="9">
        <v>84.82781936027213</v>
      </c>
      <c r="Z4297" s="9">
        <v>100.7364947991155</v>
      </c>
      <c r="AA4297" s="9">
        <v>100.7364947991155</v>
      </c>
      <c r="AB4297" s="9">
        <v>117.02508837332475</v>
      </c>
      <c r="AC4297" s="9">
        <v>117.02508837332475</v>
      </c>
      <c r="AD4297" s="9">
        <v>133.59992350616912</v>
      </c>
      <c r="AE4297" s="9">
        <v>150.48962435351206</v>
      </c>
      <c r="AF4297" s="9">
        <v>169.31808477390766</v>
      </c>
      <c r="AG4297" s="9">
        <v>169.31808477390766</v>
      </c>
      <c r="AH4297" s="9">
        <v>187.09436615045269</v>
      </c>
      <c r="AI4297" s="9">
        <v>204.90277882222901</v>
      </c>
      <c r="AJ4297" s="9">
        <v>3.0428788910505911</v>
      </c>
    </row>
    <row r="4298" spans="1:36" x14ac:dyDescent="0.25">
      <c r="A4298" t="s">
        <v>5411</v>
      </c>
      <c r="B4298" t="s">
        <v>16</v>
      </c>
      <c r="C4298" t="s">
        <v>17</v>
      </c>
      <c r="D4298">
        <v>76868000</v>
      </c>
      <c r="E4298">
        <v>76869999</v>
      </c>
      <c r="F4298" t="s">
        <v>3912</v>
      </c>
      <c r="G4298" t="str">
        <f t="shared" si="134"/>
        <v>ROR</v>
      </c>
      <c r="H4298" t="s">
        <v>3902</v>
      </c>
      <c r="I4298" t="s">
        <v>20</v>
      </c>
      <c r="J4298" t="s">
        <v>77</v>
      </c>
      <c r="K4298" s="6">
        <v>0.03</v>
      </c>
      <c r="L4298" s="7">
        <f t="shared" si="135"/>
        <v>2E-3</v>
      </c>
      <c r="M4298" s="7">
        <v>3.0000000000000001E-3</v>
      </c>
      <c r="N4298">
        <v>17</v>
      </c>
      <c r="O4298" s="8">
        <v>52.356470025188507</v>
      </c>
      <c r="P4298" s="9">
        <v>52.356470025188507</v>
      </c>
      <c r="Q4298" s="9">
        <v>52.356470025188507</v>
      </c>
      <c r="R4298" s="9">
        <v>53.760206005810289</v>
      </c>
      <c r="S4298" s="9">
        <v>54.225347430867238</v>
      </c>
      <c r="T4298" s="9">
        <v>54.610644522460483</v>
      </c>
      <c r="U4298" s="9">
        <v>69.025126971275171</v>
      </c>
      <c r="V4298" s="9">
        <v>69.025126971275171</v>
      </c>
      <c r="W4298" s="9">
        <v>69.025126971275171</v>
      </c>
      <c r="X4298" s="9">
        <v>84.82781936027213</v>
      </c>
      <c r="Y4298" s="9">
        <v>84.82781936027213</v>
      </c>
      <c r="Z4298" s="9">
        <v>100.7364947991155</v>
      </c>
      <c r="AA4298" s="9">
        <v>100.7364947991155</v>
      </c>
      <c r="AB4298" s="9">
        <v>117.02508837332475</v>
      </c>
      <c r="AC4298" s="9">
        <v>117.02508837332475</v>
      </c>
      <c r="AD4298" s="9">
        <v>133.59992350616912</v>
      </c>
      <c r="AE4298" s="9">
        <v>150.48962435351206</v>
      </c>
      <c r="AF4298" s="9">
        <v>169.31808477390766</v>
      </c>
      <c r="AG4298" s="9">
        <v>169.31808477390766</v>
      </c>
      <c r="AH4298" s="9">
        <v>187.09436615045269</v>
      </c>
      <c r="AI4298" s="9">
        <v>204.90277882222901</v>
      </c>
      <c r="AJ4298" s="9">
        <v>3.0428788910505911</v>
      </c>
    </row>
    <row r="4299" spans="1:36" x14ac:dyDescent="0.25">
      <c r="A4299" t="s">
        <v>5411</v>
      </c>
      <c r="B4299" t="s">
        <v>16</v>
      </c>
      <c r="C4299" t="s">
        <v>17</v>
      </c>
      <c r="D4299">
        <v>76870000</v>
      </c>
      <c r="E4299">
        <v>76879999</v>
      </c>
      <c r="F4299" t="s">
        <v>3913</v>
      </c>
      <c r="G4299" t="str">
        <f t="shared" si="134"/>
        <v>ROI</v>
      </c>
      <c r="H4299" t="s">
        <v>3902</v>
      </c>
      <c r="I4299" t="s">
        <v>20</v>
      </c>
      <c r="J4299" t="s">
        <v>62</v>
      </c>
      <c r="K4299" s="6">
        <v>0.03</v>
      </c>
      <c r="L4299" s="7">
        <f t="shared" si="135"/>
        <v>2E-3</v>
      </c>
      <c r="M4299" s="7">
        <v>3.0000000000000001E-3</v>
      </c>
      <c r="N4299">
        <v>14</v>
      </c>
      <c r="O4299" s="8">
        <v>36.419774735903836</v>
      </c>
      <c r="P4299" s="9">
        <v>36.419774735903836</v>
      </c>
      <c r="Q4299" s="9">
        <v>36.419774735903836</v>
      </c>
      <c r="R4299" s="9">
        <v>37.046104528592352</v>
      </c>
      <c r="S4299" s="9">
        <v>37.525033241755018</v>
      </c>
      <c r="T4299" s="9">
        <v>38.578308090472248</v>
      </c>
      <c r="U4299" s="9">
        <v>50.488766214783325</v>
      </c>
      <c r="V4299" s="9">
        <v>50.488766214783325</v>
      </c>
      <c r="W4299" s="9">
        <v>50.488766214783325</v>
      </c>
      <c r="X4299" s="9">
        <v>63.420944131387692</v>
      </c>
      <c r="Y4299" s="9">
        <v>63.420944131387692</v>
      </c>
      <c r="Z4299" s="9">
        <v>76.56836697231445</v>
      </c>
      <c r="AA4299" s="9">
        <v>76.56836697231445</v>
      </c>
      <c r="AB4299" s="9">
        <v>89.998487090933011</v>
      </c>
      <c r="AC4299" s="9">
        <v>89.998487090933011</v>
      </c>
      <c r="AD4299" s="9">
        <v>103.59716011696931</v>
      </c>
      <c r="AE4299" s="9">
        <v>117.38606689633737</v>
      </c>
      <c r="AF4299" s="9">
        <v>131.38975069970851</v>
      </c>
      <c r="AG4299" s="9">
        <v>131.38975069970851</v>
      </c>
      <c r="AH4299" s="9">
        <v>145.07163633894382</v>
      </c>
      <c r="AI4299" s="9">
        <v>158.63936246344934</v>
      </c>
      <c r="AJ4299" s="9">
        <v>3.0428788910505911</v>
      </c>
    </row>
    <row r="4300" spans="1:36" x14ac:dyDescent="0.25">
      <c r="A4300" t="s">
        <v>5411</v>
      </c>
      <c r="B4300" t="s">
        <v>16</v>
      </c>
      <c r="C4300" t="s">
        <v>17</v>
      </c>
      <c r="D4300">
        <v>76880000</v>
      </c>
      <c r="E4300">
        <v>76886999</v>
      </c>
      <c r="F4300" t="s">
        <v>1463</v>
      </c>
      <c r="G4300" t="str">
        <f t="shared" si="134"/>
        <v>ROR</v>
      </c>
      <c r="H4300" t="s">
        <v>3902</v>
      </c>
      <c r="I4300" t="s">
        <v>20</v>
      </c>
      <c r="J4300" t="s">
        <v>77</v>
      </c>
      <c r="K4300" s="6">
        <v>0.03</v>
      </c>
      <c r="L4300" s="7">
        <f t="shared" si="135"/>
        <v>2E-3</v>
      </c>
      <c r="M4300" s="7">
        <v>3.0000000000000001E-3</v>
      </c>
      <c r="N4300">
        <v>17</v>
      </c>
      <c r="O4300" s="8">
        <v>52.356470025188507</v>
      </c>
      <c r="P4300" s="9">
        <v>52.356470025188507</v>
      </c>
      <c r="Q4300" s="9">
        <v>52.356470025188507</v>
      </c>
      <c r="R4300" s="9">
        <v>53.760206005810289</v>
      </c>
      <c r="S4300" s="9">
        <v>54.225347430867238</v>
      </c>
      <c r="T4300" s="9">
        <v>54.610644522460483</v>
      </c>
      <c r="U4300" s="9">
        <v>69.025126971275171</v>
      </c>
      <c r="V4300" s="9">
        <v>69.025126971275171</v>
      </c>
      <c r="W4300" s="9">
        <v>69.025126971275171</v>
      </c>
      <c r="X4300" s="9">
        <v>84.82781936027213</v>
      </c>
      <c r="Y4300" s="9">
        <v>84.82781936027213</v>
      </c>
      <c r="Z4300" s="9">
        <v>100.7364947991155</v>
      </c>
      <c r="AA4300" s="9">
        <v>100.7364947991155</v>
      </c>
      <c r="AB4300" s="9">
        <v>117.02508837332475</v>
      </c>
      <c r="AC4300" s="9">
        <v>117.02508837332475</v>
      </c>
      <c r="AD4300" s="9">
        <v>133.59992350616912</v>
      </c>
      <c r="AE4300" s="9">
        <v>150.48962435351206</v>
      </c>
      <c r="AF4300" s="9">
        <v>169.31808477390766</v>
      </c>
      <c r="AG4300" s="9">
        <v>169.31808477390766</v>
      </c>
      <c r="AH4300" s="9">
        <v>187.09436615045269</v>
      </c>
      <c r="AI4300" s="9">
        <v>204.90277882222901</v>
      </c>
      <c r="AJ4300" s="9">
        <v>3.0428788910505911</v>
      </c>
    </row>
    <row r="4301" spans="1:36" x14ac:dyDescent="0.25">
      <c r="A4301" t="s">
        <v>5411</v>
      </c>
      <c r="B4301" t="s">
        <v>16</v>
      </c>
      <c r="C4301" t="s">
        <v>17</v>
      </c>
      <c r="D4301">
        <v>76887000</v>
      </c>
      <c r="E4301">
        <v>76887999</v>
      </c>
      <c r="F4301" t="s">
        <v>3914</v>
      </c>
      <c r="G4301" t="str">
        <f t="shared" si="134"/>
        <v>ROR</v>
      </c>
      <c r="H4301" t="s">
        <v>3902</v>
      </c>
      <c r="I4301" t="s">
        <v>20</v>
      </c>
      <c r="J4301" t="s">
        <v>77</v>
      </c>
      <c r="K4301" s="6">
        <v>0.03</v>
      </c>
      <c r="L4301" s="7">
        <f t="shared" si="135"/>
        <v>2E-3</v>
      </c>
      <c r="M4301" s="7">
        <v>3.0000000000000001E-3</v>
      </c>
      <c r="N4301">
        <v>17</v>
      </c>
      <c r="O4301" s="8">
        <v>52.356470025188507</v>
      </c>
      <c r="P4301" s="9">
        <v>52.356470025188507</v>
      </c>
      <c r="Q4301" s="9">
        <v>52.356470025188507</v>
      </c>
      <c r="R4301" s="9">
        <v>53.760206005810289</v>
      </c>
      <c r="S4301" s="9">
        <v>54.225347430867238</v>
      </c>
      <c r="T4301" s="9">
        <v>54.610644522460483</v>
      </c>
      <c r="U4301" s="9">
        <v>69.025126971275171</v>
      </c>
      <c r="V4301" s="9">
        <v>69.025126971275171</v>
      </c>
      <c r="W4301" s="9">
        <v>69.025126971275171</v>
      </c>
      <c r="X4301" s="9">
        <v>84.82781936027213</v>
      </c>
      <c r="Y4301" s="9">
        <v>84.82781936027213</v>
      </c>
      <c r="Z4301" s="9">
        <v>100.7364947991155</v>
      </c>
      <c r="AA4301" s="9">
        <v>100.7364947991155</v>
      </c>
      <c r="AB4301" s="9">
        <v>117.02508837332475</v>
      </c>
      <c r="AC4301" s="9">
        <v>117.02508837332475</v>
      </c>
      <c r="AD4301" s="9">
        <v>133.59992350616912</v>
      </c>
      <c r="AE4301" s="9">
        <v>150.48962435351206</v>
      </c>
      <c r="AF4301" s="9">
        <v>169.31808477390766</v>
      </c>
      <c r="AG4301" s="9">
        <v>169.31808477390766</v>
      </c>
      <c r="AH4301" s="9">
        <v>187.09436615045269</v>
      </c>
      <c r="AI4301" s="9">
        <v>204.90277882222901</v>
      </c>
      <c r="AJ4301" s="9">
        <v>3.0428788910505911</v>
      </c>
    </row>
    <row r="4302" spans="1:36" x14ac:dyDescent="0.25">
      <c r="A4302" t="s">
        <v>5411</v>
      </c>
      <c r="B4302" t="s">
        <v>16</v>
      </c>
      <c r="C4302" t="s">
        <v>17</v>
      </c>
      <c r="D4302">
        <v>76888000</v>
      </c>
      <c r="E4302">
        <v>76888999</v>
      </c>
      <c r="F4302" t="s">
        <v>3915</v>
      </c>
      <c r="G4302" t="str">
        <f t="shared" si="134"/>
        <v>ROR</v>
      </c>
      <c r="H4302" t="s">
        <v>3902</v>
      </c>
      <c r="I4302" t="s">
        <v>20</v>
      </c>
      <c r="J4302" t="s">
        <v>77</v>
      </c>
      <c r="K4302" s="6">
        <v>0.03</v>
      </c>
      <c r="L4302" s="7">
        <f t="shared" si="135"/>
        <v>2E-3</v>
      </c>
      <c r="M4302" s="7">
        <v>3.0000000000000001E-3</v>
      </c>
      <c r="N4302">
        <v>17</v>
      </c>
      <c r="O4302" s="8">
        <v>52.356470025188507</v>
      </c>
      <c r="P4302" s="9">
        <v>52.356470025188507</v>
      </c>
      <c r="Q4302" s="9">
        <v>52.356470025188507</v>
      </c>
      <c r="R4302" s="9">
        <v>53.760206005810289</v>
      </c>
      <c r="S4302" s="9">
        <v>54.225347430867238</v>
      </c>
      <c r="T4302" s="9">
        <v>54.610644522460483</v>
      </c>
      <c r="U4302" s="9">
        <v>69.025126971275171</v>
      </c>
      <c r="V4302" s="9">
        <v>69.025126971275171</v>
      </c>
      <c r="W4302" s="9">
        <v>69.025126971275171</v>
      </c>
      <c r="X4302" s="9">
        <v>84.82781936027213</v>
      </c>
      <c r="Y4302" s="9">
        <v>84.82781936027213</v>
      </c>
      <c r="Z4302" s="9">
        <v>100.7364947991155</v>
      </c>
      <c r="AA4302" s="9">
        <v>100.7364947991155</v>
      </c>
      <c r="AB4302" s="9">
        <v>117.02508837332475</v>
      </c>
      <c r="AC4302" s="9">
        <v>117.02508837332475</v>
      </c>
      <c r="AD4302" s="9">
        <v>133.59992350616912</v>
      </c>
      <c r="AE4302" s="9">
        <v>150.48962435351206</v>
      </c>
      <c r="AF4302" s="9">
        <v>169.31808477390766</v>
      </c>
      <c r="AG4302" s="9">
        <v>169.31808477390766</v>
      </c>
      <c r="AH4302" s="9">
        <v>187.09436615045269</v>
      </c>
      <c r="AI4302" s="9">
        <v>204.90277882222901</v>
      </c>
      <c r="AJ4302" s="9">
        <v>3.0428788910505911</v>
      </c>
    </row>
    <row r="4303" spans="1:36" x14ac:dyDescent="0.25">
      <c r="A4303" t="s">
        <v>5411</v>
      </c>
      <c r="B4303" t="s">
        <v>16</v>
      </c>
      <c r="C4303" t="s">
        <v>17</v>
      </c>
      <c r="D4303">
        <v>76889000</v>
      </c>
      <c r="E4303">
        <v>76889999</v>
      </c>
      <c r="F4303" t="s">
        <v>3916</v>
      </c>
      <c r="G4303" t="str">
        <f t="shared" si="134"/>
        <v>ROR</v>
      </c>
      <c r="H4303" t="s">
        <v>3902</v>
      </c>
      <c r="I4303" t="s">
        <v>20</v>
      </c>
      <c r="J4303" t="s">
        <v>77</v>
      </c>
      <c r="K4303" s="6">
        <v>0.03</v>
      </c>
      <c r="L4303" s="7">
        <f t="shared" si="135"/>
        <v>2E-3</v>
      </c>
      <c r="M4303" s="7">
        <v>3.0000000000000001E-3</v>
      </c>
      <c r="N4303">
        <v>17</v>
      </c>
      <c r="O4303" s="8">
        <v>52.356470025188507</v>
      </c>
      <c r="P4303" s="9">
        <v>52.356470025188507</v>
      </c>
      <c r="Q4303" s="9">
        <v>52.356470025188507</v>
      </c>
      <c r="R4303" s="9">
        <v>53.760206005810289</v>
      </c>
      <c r="S4303" s="9">
        <v>54.225347430867238</v>
      </c>
      <c r="T4303" s="9">
        <v>54.610644522460483</v>
      </c>
      <c r="U4303" s="9">
        <v>69.025126971275171</v>
      </c>
      <c r="V4303" s="9">
        <v>69.025126971275171</v>
      </c>
      <c r="W4303" s="9">
        <v>69.025126971275171</v>
      </c>
      <c r="X4303" s="9">
        <v>84.82781936027213</v>
      </c>
      <c r="Y4303" s="9">
        <v>84.82781936027213</v>
      </c>
      <c r="Z4303" s="9">
        <v>100.7364947991155</v>
      </c>
      <c r="AA4303" s="9">
        <v>100.7364947991155</v>
      </c>
      <c r="AB4303" s="9">
        <v>117.02508837332475</v>
      </c>
      <c r="AC4303" s="9">
        <v>117.02508837332475</v>
      </c>
      <c r="AD4303" s="9">
        <v>133.59992350616912</v>
      </c>
      <c r="AE4303" s="9">
        <v>150.48962435351206</v>
      </c>
      <c r="AF4303" s="9">
        <v>169.31808477390766</v>
      </c>
      <c r="AG4303" s="9">
        <v>169.31808477390766</v>
      </c>
      <c r="AH4303" s="9">
        <v>187.09436615045269</v>
      </c>
      <c r="AI4303" s="9">
        <v>204.90277882222901</v>
      </c>
      <c r="AJ4303" s="9">
        <v>3.0428788910505911</v>
      </c>
    </row>
    <row r="4304" spans="1:36" x14ac:dyDescent="0.25">
      <c r="A4304" t="s">
        <v>5411</v>
      </c>
      <c r="B4304" t="s">
        <v>16</v>
      </c>
      <c r="C4304" t="s">
        <v>17</v>
      </c>
      <c r="D4304">
        <v>76890000</v>
      </c>
      <c r="E4304">
        <v>76890001</v>
      </c>
      <c r="F4304" t="s">
        <v>3917</v>
      </c>
      <c r="G4304" t="str">
        <f t="shared" si="134"/>
        <v>ROI</v>
      </c>
      <c r="H4304" t="s">
        <v>3902</v>
      </c>
      <c r="I4304" t="s">
        <v>20</v>
      </c>
      <c r="J4304" t="s">
        <v>62</v>
      </c>
      <c r="K4304" s="6">
        <v>0.03</v>
      </c>
      <c r="L4304" s="7">
        <f t="shared" si="135"/>
        <v>2E-3</v>
      </c>
      <c r="M4304" s="7">
        <v>3.0000000000000001E-3</v>
      </c>
      <c r="N4304">
        <v>14</v>
      </c>
      <c r="O4304" s="8">
        <v>36.419774735903836</v>
      </c>
      <c r="P4304" s="9">
        <v>36.419774735903836</v>
      </c>
      <c r="Q4304" s="9">
        <v>36.419774735903836</v>
      </c>
      <c r="R4304" s="9">
        <v>37.046104528592352</v>
      </c>
      <c r="S4304" s="9">
        <v>37.525033241755018</v>
      </c>
      <c r="T4304" s="9">
        <v>38.578308090472248</v>
      </c>
      <c r="U4304" s="9">
        <v>50.488766214783325</v>
      </c>
      <c r="V4304" s="9">
        <v>50.488766214783325</v>
      </c>
      <c r="W4304" s="9">
        <v>50.488766214783325</v>
      </c>
      <c r="X4304" s="9">
        <v>63.420944131387692</v>
      </c>
      <c r="Y4304" s="9">
        <v>63.420944131387692</v>
      </c>
      <c r="Z4304" s="9">
        <v>76.56836697231445</v>
      </c>
      <c r="AA4304" s="9">
        <v>76.56836697231445</v>
      </c>
      <c r="AB4304" s="9">
        <v>89.998487090933011</v>
      </c>
      <c r="AC4304" s="9">
        <v>89.998487090933011</v>
      </c>
      <c r="AD4304" s="9">
        <v>103.59716011696931</v>
      </c>
      <c r="AE4304" s="9">
        <v>117.38606689633737</v>
      </c>
      <c r="AF4304" s="9">
        <v>131.38975069970851</v>
      </c>
      <c r="AG4304" s="9">
        <v>131.38975069970851</v>
      </c>
      <c r="AH4304" s="9">
        <v>145.07163633894382</v>
      </c>
      <c r="AI4304" s="9">
        <v>158.63936246344934</v>
      </c>
      <c r="AJ4304" s="9">
        <v>3.0428788910505911</v>
      </c>
    </row>
    <row r="4305" spans="1:36" x14ac:dyDescent="0.25">
      <c r="A4305" t="s">
        <v>5411</v>
      </c>
      <c r="B4305" t="s">
        <v>16</v>
      </c>
      <c r="C4305" t="s">
        <v>17</v>
      </c>
      <c r="D4305">
        <v>76890002</v>
      </c>
      <c r="E4305">
        <v>76897999</v>
      </c>
      <c r="F4305" t="s">
        <v>3917</v>
      </c>
      <c r="G4305" t="str">
        <f t="shared" si="134"/>
        <v>ROI II</v>
      </c>
      <c r="H4305" t="s">
        <v>3902</v>
      </c>
      <c r="I4305" t="s">
        <v>20</v>
      </c>
      <c r="J4305" t="s">
        <v>64</v>
      </c>
      <c r="K4305" s="6">
        <v>0.03</v>
      </c>
      <c r="L4305" s="7">
        <f t="shared" si="135"/>
        <v>2E-3</v>
      </c>
      <c r="M4305" s="7">
        <v>3.0000000000000001E-3</v>
      </c>
      <c r="N4305">
        <v>14</v>
      </c>
      <c r="O4305" s="8">
        <v>37.3006029315357</v>
      </c>
      <c r="P4305" s="9">
        <v>37.3006029315357</v>
      </c>
      <c r="Q4305" s="9">
        <v>37.3006029315357</v>
      </c>
      <c r="R4305" s="9">
        <v>37.954174833367482</v>
      </c>
      <c r="S4305" s="9">
        <v>38.461188195131434</v>
      </c>
      <c r="T4305" s="9">
        <v>39.070309384611662</v>
      </c>
      <c r="U4305" s="9">
        <v>50.995984043793037</v>
      </c>
      <c r="V4305" s="9">
        <v>50.995984043793037</v>
      </c>
      <c r="W4305" s="9">
        <v>50.995984043793037</v>
      </c>
      <c r="X4305" s="9">
        <v>64.105744170854834</v>
      </c>
      <c r="Y4305" s="9">
        <v>64.105744170854834</v>
      </c>
      <c r="Z4305" s="9">
        <v>77.318124291715549</v>
      </c>
      <c r="AA4305" s="9">
        <v>77.318124291715549</v>
      </c>
      <c r="AB4305" s="9">
        <v>90.643386405755081</v>
      </c>
      <c r="AC4305" s="9">
        <v>90.643386405755081</v>
      </c>
      <c r="AD4305" s="9">
        <v>106.09806999222619</v>
      </c>
      <c r="AE4305" s="9">
        <v>118.88426678367934</v>
      </c>
      <c r="AF4305" s="9">
        <v>131.80574823355238</v>
      </c>
      <c r="AG4305" s="9">
        <v>131.80574823355238</v>
      </c>
      <c r="AH4305" s="9">
        <v>145.75616170751147</v>
      </c>
      <c r="AI4305" s="9">
        <v>158.75189294311699</v>
      </c>
      <c r="AJ4305" s="9">
        <v>3.0428788910505911</v>
      </c>
    </row>
    <row r="4306" spans="1:36" x14ac:dyDescent="0.25">
      <c r="A4306" t="s">
        <v>5411</v>
      </c>
      <c r="B4306" t="s">
        <v>16</v>
      </c>
      <c r="C4306" t="s">
        <v>17</v>
      </c>
      <c r="D4306">
        <v>76898000</v>
      </c>
      <c r="E4306">
        <v>76899999</v>
      </c>
      <c r="F4306" t="s">
        <v>3918</v>
      </c>
      <c r="G4306" t="str">
        <f t="shared" si="134"/>
        <v>ROR</v>
      </c>
      <c r="H4306" t="s">
        <v>3902</v>
      </c>
      <c r="I4306" t="s">
        <v>20</v>
      </c>
      <c r="J4306" t="s">
        <v>77</v>
      </c>
      <c r="K4306" s="6">
        <v>0.03</v>
      </c>
      <c r="L4306" s="7">
        <f t="shared" si="135"/>
        <v>2E-3</v>
      </c>
      <c r="M4306" s="7">
        <v>3.0000000000000001E-3</v>
      </c>
      <c r="N4306">
        <v>17</v>
      </c>
      <c r="O4306" s="8">
        <v>52.356470025188507</v>
      </c>
      <c r="P4306" s="9">
        <v>52.356470025188507</v>
      </c>
      <c r="Q4306" s="9">
        <v>52.356470025188507</v>
      </c>
      <c r="R4306" s="9">
        <v>53.760206005810289</v>
      </c>
      <c r="S4306" s="9">
        <v>54.225347430867238</v>
      </c>
      <c r="T4306" s="9">
        <v>54.610644522460483</v>
      </c>
      <c r="U4306" s="9">
        <v>69.025126971275171</v>
      </c>
      <c r="V4306" s="9">
        <v>69.025126971275171</v>
      </c>
      <c r="W4306" s="9">
        <v>69.025126971275171</v>
      </c>
      <c r="X4306" s="9">
        <v>84.82781936027213</v>
      </c>
      <c r="Y4306" s="9">
        <v>84.82781936027213</v>
      </c>
      <c r="Z4306" s="9">
        <v>100.7364947991155</v>
      </c>
      <c r="AA4306" s="9">
        <v>100.7364947991155</v>
      </c>
      <c r="AB4306" s="9">
        <v>117.02508837332475</v>
      </c>
      <c r="AC4306" s="9">
        <v>117.02508837332475</v>
      </c>
      <c r="AD4306" s="9">
        <v>133.59992350616912</v>
      </c>
      <c r="AE4306" s="9">
        <v>150.48962435351206</v>
      </c>
      <c r="AF4306" s="9">
        <v>169.31808477390766</v>
      </c>
      <c r="AG4306" s="9">
        <v>169.31808477390766</v>
      </c>
      <c r="AH4306" s="9">
        <v>187.09436615045269</v>
      </c>
      <c r="AI4306" s="9">
        <v>204.90277882222901</v>
      </c>
      <c r="AJ4306" s="9">
        <v>3.0428788910505911</v>
      </c>
    </row>
    <row r="4307" spans="1:36" x14ac:dyDescent="0.25">
      <c r="A4307" t="s">
        <v>5411</v>
      </c>
      <c r="B4307" t="s">
        <v>16</v>
      </c>
      <c r="C4307" t="s">
        <v>17</v>
      </c>
      <c r="D4307">
        <v>76900000</v>
      </c>
      <c r="E4307">
        <v>76915999</v>
      </c>
      <c r="F4307" t="s">
        <v>3919</v>
      </c>
      <c r="G4307" t="str">
        <f t="shared" si="134"/>
        <v>ROI II</v>
      </c>
      <c r="H4307" t="s">
        <v>3902</v>
      </c>
      <c r="I4307" t="s">
        <v>20</v>
      </c>
      <c r="J4307" t="s">
        <v>64</v>
      </c>
      <c r="K4307" s="6">
        <v>0.03</v>
      </c>
      <c r="L4307" s="7">
        <f t="shared" si="135"/>
        <v>2E-3</v>
      </c>
      <c r="M4307" s="7">
        <v>3.0000000000000001E-3</v>
      </c>
      <c r="N4307">
        <v>15</v>
      </c>
      <c r="O4307" s="8">
        <v>37.3006029315357</v>
      </c>
      <c r="P4307" s="9">
        <v>37.3006029315357</v>
      </c>
      <c r="Q4307" s="9">
        <v>37.3006029315357</v>
      </c>
      <c r="R4307" s="9">
        <v>37.954174833367482</v>
      </c>
      <c r="S4307" s="9">
        <v>38.461188195131434</v>
      </c>
      <c r="T4307" s="9">
        <v>39.070309384611662</v>
      </c>
      <c r="U4307" s="9">
        <v>50.995984043793037</v>
      </c>
      <c r="V4307" s="9">
        <v>50.995984043793037</v>
      </c>
      <c r="W4307" s="9">
        <v>50.995984043793037</v>
      </c>
      <c r="X4307" s="9">
        <v>64.105744170854834</v>
      </c>
      <c r="Y4307" s="9">
        <v>64.105744170854834</v>
      </c>
      <c r="Z4307" s="9">
        <v>77.318124291715549</v>
      </c>
      <c r="AA4307" s="9">
        <v>77.318124291715549</v>
      </c>
      <c r="AB4307" s="9">
        <v>90.643386405755081</v>
      </c>
      <c r="AC4307" s="9">
        <v>90.643386405755081</v>
      </c>
      <c r="AD4307" s="9">
        <v>106.09806999222619</v>
      </c>
      <c r="AE4307" s="9">
        <v>118.88426678367934</v>
      </c>
      <c r="AF4307" s="9">
        <v>131.80574823355238</v>
      </c>
      <c r="AG4307" s="9">
        <v>131.80574823355238</v>
      </c>
      <c r="AH4307" s="9">
        <v>145.75616170751147</v>
      </c>
      <c r="AI4307" s="9">
        <v>158.75189294311699</v>
      </c>
      <c r="AJ4307" s="9">
        <v>3.0428788910505911</v>
      </c>
    </row>
    <row r="4308" spans="1:36" x14ac:dyDescent="0.25">
      <c r="A4308" t="s">
        <v>5411</v>
      </c>
      <c r="B4308" t="s">
        <v>16</v>
      </c>
      <c r="C4308" t="s">
        <v>17</v>
      </c>
      <c r="D4308">
        <v>76916000</v>
      </c>
      <c r="E4308">
        <v>76918999</v>
      </c>
      <c r="F4308" t="s">
        <v>3255</v>
      </c>
      <c r="G4308" t="str">
        <f t="shared" si="134"/>
        <v>ROR</v>
      </c>
      <c r="H4308" t="s">
        <v>3902</v>
      </c>
      <c r="I4308" t="s">
        <v>20</v>
      </c>
      <c r="J4308" t="s">
        <v>77</v>
      </c>
      <c r="K4308" s="6">
        <v>0.03</v>
      </c>
      <c r="L4308" s="7">
        <f t="shared" si="135"/>
        <v>2E-3</v>
      </c>
      <c r="M4308" s="7">
        <v>3.0000000000000001E-3</v>
      </c>
      <c r="N4308">
        <v>17</v>
      </c>
      <c r="O4308" s="8">
        <v>52.356470025188507</v>
      </c>
      <c r="P4308" s="9">
        <v>52.356470025188507</v>
      </c>
      <c r="Q4308" s="9">
        <v>52.356470025188507</v>
      </c>
      <c r="R4308" s="9">
        <v>53.760206005810289</v>
      </c>
      <c r="S4308" s="9">
        <v>54.225347430867238</v>
      </c>
      <c r="T4308" s="9">
        <v>54.610644522460483</v>
      </c>
      <c r="U4308" s="9">
        <v>69.025126971275171</v>
      </c>
      <c r="V4308" s="9">
        <v>69.025126971275171</v>
      </c>
      <c r="W4308" s="9">
        <v>69.025126971275171</v>
      </c>
      <c r="X4308" s="9">
        <v>84.82781936027213</v>
      </c>
      <c r="Y4308" s="9">
        <v>84.82781936027213</v>
      </c>
      <c r="Z4308" s="9">
        <v>100.7364947991155</v>
      </c>
      <c r="AA4308" s="9">
        <v>100.7364947991155</v>
      </c>
      <c r="AB4308" s="9">
        <v>117.02508837332475</v>
      </c>
      <c r="AC4308" s="9">
        <v>117.02508837332475</v>
      </c>
      <c r="AD4308" s="9">
        <v>133.59992350616912</v>
      </c>
      <c r="AE4308" s="9">
        <v>150.48962435351206</v>
      </c>
      <c r="AF4308" s="9">
        <v>169.31808477390766</v>
      </c>
      <c r="AG4308" s="9">
        <v>169.31808477390766</v>
      </c>
      <c r="AH4308" s="9">
        <v>187.09436615045269</v>
      </c>
      <c r="AI4308" s="9">
        <v>204.90277882222901</v>
      </c>
      <c r="AJ4308" s="9">
        <v>3.0428788910505911</v>
      </c>
    </row>
    <row r="4309" spans="1:36" x14ac:dyDescent="0.25">
      <c r="A4309" t="s">
        <v>5411</v>
      </c>
      <c r="B4309" t="s">
        <v>16</v>
      </c>
      <c r="C4309" t="s">
        <v>17</v>
      </c>
      <c r="D4309">
        <v>76919000</v>
      </c>
      <c r="E4309">
        <v>76919999</v>
      </c>
      <c r="F4309" t="s">
        <v>3920</v>
      </c>
      <c r="G4309" t="str">
        <f t="shared" si="134"/>
        <v>ROR</v>
      </c>
      <c r="H4309" t="s">
        <v>3902</v>
      </c>
      <c r="I4309" t="s">
        <v>20</v>
      </c>
      <c r="J4309" t="s">
        <v>77</v>
      </c>
      <c r="K4309" s="6">
        <v>0.03</v>
      </c>
      <c r="L4309" s="7">
        <f t="shared" si="135"/>
        <v>2E-3</v>
      </c>
      <c r="M4309" s="7">
        <v>3.0000000000000001E-3</v>
      </c>
      <c r="N4309">
        <v>17</v>
      </c>
      <c r="O4309" s="8">
        <v>52.356470025188507</v>
      </c>
      <c r="P4309" s="9">
        <v>52.356470025188507</v>
      </c>
      <c r="Q4309" s="9">
        <v>52.356470025188507</v>
      </c>
      <c r="R4309" s="9">
        <v>53.760206005810289</v>
      </c>
      <c r="S4309" s="9">
        <v>54.225347430867238</v>
      </c>
      <c r="T4309" s="9">
        <v>54.610644522460483</v>
      </c>
      <c r="U4309" s="9">
        <v>69.025126971275171</v>
      </c>
      <c r="V4309" s="9">
        <v>69.025126971275171</v>
      </c>
      <c r="W4309" s="9">
        <v>69.025126971275171</v>
      </c>
      <c r="X4309" s="9">
        <v>84.82781936027213</v>
      </c>
      <c r="Y4309" s="9">
        <v>84.82781936027213</v>
      </c>
      <c r="Z4309" s="9">
        <v>100.7364947991155</v>
      </c>
      <c r="AA4309" s="9">
        <v>100.7364947991155</v>
      </c>
      <c r="AB4309" s="9">
        <v>117.02508837332475</v>
      </c>
      <c r="AC4309" s="9">
        <v>117.02508837332475</v>
      </c>
      <c r="AD4309" s="9">
        <v>133.59992350616912</v>
      </c>
      <c r="AE4309" s="9">
        <v>150.48962435351206</v>
      </c>
      <c r="AF4309" s="9">
        <v>169.31808477390766</v>
      </c>
      <c r="AG4309" s="9">
        <v>169.31808477390766</v>
      </c>
      <c r="AH4309" s="9">
        <v>187.09436615045269</v>
      </c>
      <c r="AI4309" s="9">
        <v>204.90277882222901</v>
      </c>
      <c r="AJ4309" s="9">
        <v>3.0428788910505911</v>
      </c>
    </row>
    <row r="4310" spans="1:36" x14ac:dyDescent="0.25">
      <c r="A4310" t="s">
        <v>5411</v>
      </c>
      <c r="B4310" t="s">
        <v>16</v>
      </c>
      <c r="C4310" t="s">
        <v>17</v>
      </c>
      <c r="D4310">
        <v>76920000</v>
      </c>
      <c r="E4310">
        <v>76922999</v>
      </c>
      <c r="F4310" t="s">
        <v>3921</v>
      </c>
      <c r="G4310" t="str">
        <f t="shared" si="134"/>
        <v>ROI</v>
      </c>
      <c r="H4310" t="s">
        <v>3902</v>
      </c>
      <c r="I4310" t="s">
        <v>20</v>
      </c>
      <c r="J4310" t="s">
        <v>62</v>
      </c>
      <c r="K4310" s="6">
        <v>0.03</v>
      </c>
      <c r="L4310" s="7">
        <f t="shared" si="135"/>
        <v>2E-3</v>
      </c>
      <c r="M4310" s="7">
        <v>3.0000000000000001E-3</v>
      </c>
      <c r="N4310">
        <v>14</v>
      </c>
      <c r="O4310" s="8">
        <v>36.419774735903836</v>
      </c>
      <c r="P4310" s="9">
        <v>36.419774735903836</v>
      </c>
      <c r="Q4310" s="9">
        <v>36.419774735903836</v>
      </c>
      <c r="R4310" s="9">
        <v>37.046104528592352</v>
      </c>
      <c r="S4310" s="9">
        <v>37.525033241755018</v>
      </c>
      <c r="T4310" s="9">
        <v>38.578308090472248</v>
      </c>
      <c r="U4310" s="9">
        <v>50.488766214783325</v>
      </c>
      <c r="V4310" s="9">
        <v>50.488766214783325</v>
      </c>
      <c r="W4310" s="9">
        <v>50.488766214783325</v>
      </c>
      <c r="X4310" s="9">
        <v>63.420944131387692</v>
      </c>
      <c r="Y4310" s="9">
        <v>63.420944131387692</v>
      </c>
      <c r="Z4310" s="9">
        <v>76.56836697231445</v>
      </c>
      <c r="AA4310" s="9">
        <v>76.56836697231445</v>
      </c>
      <c r="AB4310" s="9">
        <v>89.998487090933011</v>
      </c>
      <c r="AC4310" s="9">
        <v>89.998487090933011</v>
      </c>
      <c r="AD4310" s="9">
        <v>103.59716011696931</v>
      </c>
      <c r="AE4310" s="9">
        <v>117.38606689633737</v>
      </c>
      <c r="AF4310" s="9">
        <v>131.38975069970851</v>
      </c>
      <c r="AG4310" s="9">
        <v>131.38975069970851</v>
      </c>
      <c r="AH4310" s="9">
        <v>145.07163633894382</v>
      </c>
      <c r="AI4310" s="9">
        <v>158.63936246344934</v>
      </c>
      <c r="AJ4310" s="9">
        <v>3.0428788910505911</v>
      </c>
    </row>
    <row r="4311" spans="1:36" x14ac:dyDescent="0.25">
      <c r="A4311" t="s">
        <v>5411</v>
      </c>
      <c r="B4311" t="s">
        <v>16</v>
      </c>
      <c r="C4311" t="s">
        <v>17</v>
      </c>
      <c r="D4311">
        <v>76923000</v>
      </c>
      <c r="E4311">
        <v>76923999</v>
      </c>
      <c r="F4311" t="s">
        <v>3922</v>
      </c>
      <c r="G4311" t="str">
        <f t="shared" si="134"/>
        <v>ROR</v>
      </c>
      <c r="H4311" t="s">
        <v>3902</v>
      </c>
      <c r="I4311" t="s">
        <v>20</v>
      </c>
      <c r="J4311" t="s">
        <v>77</v>
      </c>
      <c r="K4311" s="6">
        <v>0.03</v>
      </c>
      <c r="L4311" s="7">
        <f t="shared" si="135"/>
        <v>2E-3</v>
      </c>
      <c r="M4311" s="7">
        <v>3.0000000000000001E-3</v>
      </c>
      <c r="N4311">
        <v>17</v>
      </c>
      <c r="O4311" s="8">
        <v>52.356470025188507</v>
      </c>
      <c r="P4311" s="9">
        <v>52.356470025188507</v>
      </c>
      <c r="Q4311" s="9">
        <v>52.356470025188507</v>
      </c>
      <c r="R4311" s="9">
        <v>53.760206005810289</v>
      </c>
      <c r="S4311" s="9">
        <v>54.225347430867238</v>
      </c>
      <c r="T4311" s="9">
        <v>54.610644522460483</v>
      </c>
      <c r="U4311" s="9">
        <v>69.025126971275171</v>
      </c>
      <c r="V4311" s="9">
        <v>69.025126971275171</v>
      </c>
      <c r="W4311" s="9">
        <v>69.025126971275171</v>
      </c>
      <c r="X4311" s="9">
        <v>84.82781936027213</v>
      </c>
      <c r="Y4311" s="9">
        <v>84.82781936027213</v>
      </c>
      <c r="Z4311" s="9">
        <v>100.7364947991155</v>
      </c>
      <c r="AA4311" s="9">
        <v>100.7364947991155</v>
      </c>
      <c r="AB4311" s="9">
        <v>117.02508837332475</v>
      </c>
      <c r="AC4311" s="9">
        <v>117.02508837332475</v>
      </c>
      <c r="AD4311" s="9">
        <v>133.59992350616912</v>
      </c>
      <c r="AE4311" s="9">
        <v>150.48962435351206</v>
      </c>
      <c r="AF4311" s="9">
        <v>169.31808477390766</v>
      </c>
      <c r="AG4311" s="9">
        <v>169.31808477390766</v>
      </c>
      <c r="AH4311" s="9">
        <v>187.09436615045269</v>
      </c>
      <c r="AI4311" s="9">
        <v>204.90277882222901</v>
      </c>
      <c r="AJ4311" s="9">
        <v>3.0428788910505911</v>
      </c>
    </row>
    <row r="4312" spans="1:36" x14ac:dyDescent="0.25">
      <c r="A4312" t="s">
        <v>5411</v>
      </c>
      <c r="B4312" t="s">
        <v>16</v>
      </c>
      <c r="C4312" t="s">
        <v>17</v>
      </c>
      <c r="D4312">
        <v>76924000</v>
      </c>
      <c r="E4312">
        <v>76925999</v>
      </c>
      <c r="F4312" t="s">
        <v>872</v>
      </c>
      <c r="G4312" t="str">
        <f t="shared" si="134"/>
        <v>ROR</v>
      </c>
      <c r="H4312" t="s">
        <v>3902</v>
      </c>
      <c r="I4312" t="s">
        <v>20</v>
      </c>
      <c r="J4312" t="s">
        <v>77</v>
      </c>
      <c r="K4312" s="6">
        <v>0.03</v>
      </c>
      <c r="L4312" s="7">
        <f t="shared" si="135"/>
        <v>2E-3</v>
      </c>
      <c r="M4312" s="7">
        <v>3.0000000000000001E-3</v>
      </c>
      <c r="N4312">
        <v>17</v>
      </c>
      <c r="O4312" s="8">
        <v>52.356470025188507</v>
      </c>
      <c r="P4312" s="9">
        <v>52.356470025188507</v>
      </c>
      <c r="Q4312" s="9">
        <v>52.356470025188507</v>
      </c>
      <c r="R4312" s="9">
        <v>53.760206005810289</v>
      </c>
      <c r="S4312" s="9">
        <v>54.225347430867238</v>
      </c>
      <c r="T4312" s="9">
        <v>54.610644522460483</v>
      </c>
      <c r="U4312" s="9">
        <v>69.025126971275171</v>
      </c>
      <c r="V4312" s="9">
        <v>69.025126971275171</v>
      </c>
      <c r="W4312" s="9">
        <v>69.025126971275171</v>
      </c>
      <c r="X4312" s="9">
        <v>84.82781936027213</v>
      </c>
      <c r="Y4312" s="9">
        <v>84.82781936027213</v>
      </c>
      <c r="Z4312" s="9">
        <v>100.7364947991155</v>
      </c>
      <c r="AA4312" s="9">
        <v>100.7364947991155</v>
      </c>
      <c r="AB4312" s="9">
        <v>117.02508837332475</v>
      </c>
      <c r="AC4312" s="9">
        <v>117.02508837332475</v>
      </c>
      <c r="AD4312" s="9">
        <v>133.59992350616912</v>
      </c>
      <c r="AE4312" s="9">
        <v>150.48962435351206</v>
      </c>
      <c r="AF4312" s="9">
        <v>169.31808477390766</v>
      </c>
      <c r="AG4312" s="9">
        <v>169.31808477390766</v>
      </c>
      <c r="AH4312" s="9">
        <v>187.09436615045269</v>
      </c>
      <c r="AI4312" s="9">
        <v>204.90277882222901</v>
      </c>
      <c r="AJ4312" s="9">
        <v>3.0428788910505911</v>
      </c>
    </row>
    <row r="4313" spans="1:36" x14ac:dyDescent="0.25">
      <c r="A4313" t="s">
        <v>5411</v>
      </c>
      <c r="B4313" t="s">
        <v>16</v>
      </c>
      <c r="C4313" t="s">
        <v>17</v>
      </c>
      <c r="D4313">
        <v>76926000</v>
      </c>
      <c r="E4313">
        <v>76927999</v>
      </c>
      <c r="F4313" t="s">
        <v>3923</v>
      </c>
      <c r="G4313" t="str">
        <f t="shared" si="134"/>
        <v>ROR</v>
      </c>
      <c r="H4313" t="s">
        <v>3902</v>
      </c>
      <c r="I4313" t="s">
        <v>20</v>
      </c>
      <c r="J4313" t="s">
        <v>77</v>
      </c>
      <c r="K4313" s="6">
        <v>0.03</v>
      </c>
      <c r="L4313" s="7">
        <f t="shared" si="135"/>
        <v>2E-3</v>
      </c>
      <c r="M4313" s="7">
        <v>3.0000000000000001E-3</v>
      </c>
      <c r="N4313">
        <v>17</v>
      </c>
      <c r="O4313" s="8">
        <v>52.356470025188507</v>
      </c>
      <c r="P4313" s="9">
        <v>52.356470025188507</v>
      </c>
      <c r="Q4313" s="9">
        <v>52.356470025188507</v>
      </c>
      <c r="R4313" s="9">
        <v>53.760206005810289</v>
      </c>
      <c r="S4313" s="9">
        <v>54.225347430867238</v>
      </c>
      <c r="T4313" s="9">
        <v>54.610644522460483</v>
      </c>
      <c r="U4313" s="9">
        <v>69.025126971275171</v>
      </c>
      <c r="V4313" s="9">
        <v>69.025126971275171</v>
      </c>
      <c r="W4313" s="9">
        <v>69.025126971275171</v>
      </c>
      <c r="X4313" s="9">
        <v>84.82781936027213</v>
      </c>
      <c r="Y4313" s="9">
        <v>84.82781936027213</v>
      </c>
      <c r="Z4313" s="9">
        <v>100.7364947991155</v>
      </c>
      <c r="AA4313" s="9">
        <v>100.7364947991155</v>
      </c>
      <c r="AB4313" s="9">
        <v>117.02508837332475</v>
      </c>
      <c r="AC4313" s="9">
        <v>117.02508837332475</v>
      </c>
      <c r="AD4313" s="9">
        <v>133.59992350616912</v>
      </c>
      <c r="AE4313" s="9">
        <v>150.48962435351206</v>
      </c>
      <c r="AF4313" s="9">
        <v>169.31808477390766</v>
      </c>
      <c r="AG4313" s="9">
        <v>169.31808477390766</v>
      </c>
      <c r="AH4313" s="9">
        <v>187.09436615045269</v>
      </c>
      <c r="AI4313" s="9">
        <v>204.90277882222901</v>
      </c>
      <c r="AJ4313" s="9">
        <v>3.0428788910505911</v>
      </c>
    </row>
    <row r="4314" spans="1:36" x14ac:dyDescent="0.25">
      <c r="A4314" t="s">
        <v>5411</v>
      </c>
      <c r="B4314" t="s">
        <v>16</v>
      </c>
      <c r="C4314" t="s">
        <v>17</v>
      </c>
      <c r="D4314">
        <v>76928000</v>
      </c>
      <c r="E4314">
        <v>76928999</v>
      </c>
      <c r="F4314" t="s">
        <v>3924</v>
      </c>
      <c r="G4314" t="str">
        <f t="shared" si="134"/>
        <v>ROR</v>
      </c>
      <c r="H4314" t="s">
        <v>3902</v>
      </c>
      <c r="I4314" t="s">
        <v>20</v>
      </c>
      <c r="J4314" t="s">
        <v>77</v>
      </c>
      <c r="K4314" s="6">
        <v>0.03</v>
      </c>
      <c r="L4314" s="7">
        <f t="shared" si="135"/>
        <v>2E-3</v>
      </c>
      <c r="M4314" s="7">
        <v>3.0000000000000001E-3</v>
      </c>
      <c r="N4314">
        <v>17</v>
      </c>
      <c r="O4314" s="8">
        <v>52.356470025188507</v>
      </c>
      <c r="P4314" s="9">
        <v>52.356470025188507</v>
      </c>
      <c r="Q4314" s="9">
        <v>52.356470025188507</v>
      </c>
      <c r="R4314" s="9">
        <v>53.760206005810289</v>
      </c>
      <c r="S4314" s="9">
        <v>54.225347430867238</v>
      </c>
      <c r="T4314" s="9">
        <v>54.610644522460483</v>
      </c>
      <c r="U4314" s="9">
        <v>69.025126971275171</v>
      </c>
      <c r="V4314" s="9">
        <v>69.025126971275171</v>
      </c>
      <c r="W4314" s="9">
        <v>69.025126971275171</v>
      </c>
      <c r="X4314" s="9">
        <v>84.82781936027213</v>
      </c>
      <c r="Y4314" s="9">
        <v>84.82781936027213</v>
      </c>
      <c r="Z4314" s="9">
        <v>100.7364947991155</v>
      </c>
      <c r="AA4314" s="9">
        <v>100.7364947991155</v>
      </c>
      <c r="AB4314" s="9">
        <v>117.02508837332475</v>
      </c>
      <c r="AC4314" s="9">
        <v>117.02508837332475</v>
      </c>
      <c r="AD4314" s="9">
        <v>133.59992350616912</v>
      </c>
      <c r="AE4314" s="9">
        <v>150.48962435351206</v>
      </c>
      <c r="AF4314" s="9">
        <v>169.31808477390766</v>
      </c>
      <c r="AG4314" s="9">
        <v>169.31808477390766</v>
      </c>
      <c r="AH4314" s="9">
        <v>187.09436615045269</v>
      </c>
      <c r="AI4314" s="9">
        <v>204.90277882222901</v>
      </c>
      <c r="AJ4314" s="9">
        <v>3.0428788910505911</v>
      </c>
    </row>
    <row r="4315" spans="1:36" x14ac:dyDescent="0.25">
      <c r="A4315" t="s">
        <v>5411</v>
      </c>
      <c r="B4315" t="s">
        <v>16</v>
      </c>
      <c r="C4315" t="s">
        <v>17</v>
      </c>
      <c r="D4315">
        <v>76929000</v>
      </c>
      <c r="E4315">
        <v>76929999</v>
      </c>
      <c r="F4315" t="s">
        <v>3925</v>
      </c>
      <c r="G4315" t="str">
        <f t="shared" si="134"/>
        <v>ROR</v>
      </c>
      <c r="H4315" t="s">
        <v>3902</v>
      </c>
      <c r="I4315" t="s">
        <v>20</v>
      </c>
      <c r="J4315" t="s">
        <v>77</v>
      </c>
      <c r="K4315" s="6">
        <v>0.03</v>
      </c>
      <c r="L4315" s="7">
        <f t="shared" si="135"/>
        <v>2E-3</v>
      </c>
      <c r="M4315" s="7">
        <v>3.0000000000000001E-3</v>
      </c>
      <c r="N4315">
        <v>17</v>
      </c>
      <c r="O4315" s="8">
        <v>52.356470025188507</v>
      </c>
      <c r="P4315" s="9">
        <v>52.356470025188507</v>
      </c>
      <c r="Q4315" s="9">
        <v>52.356470025188507</v>
      </c>
      <c r="R4315" s="9">
        <v>53.760206005810289</v>
      </c>
      <c r="S4315" s="9">
        <v>54.225347430867238</v>
      </c>
      <c r="T4315" s="9">
        <v>54.610644522460483</v>
      </c>
      <c r="U4315" s="9">
        <v>69.025126971275171</v>
      </c>
      <c r="V4315" s="9">
        <v>69.025126971275171</v>
      </c>
      <c r="W4315" s="9">
        <v>69.025126971275171</v>
      </c>
      <c r="X4315" s="9">
        <v>84.82781936027213</v>
      </c>
      <c r="Y4315" s="9">
        <v>84.82781936027213</v>
      </c>
      <c r="Z4315" s="9">
        <v>100.7364947991155</v>
      </c>
      <c r="AA4315" s="9">
        <v>100.7364947991155</v>
      </c>
      <c r="AB4315" s="9">
        <v>117.02508837332475</v>
      </c>
      <c r="AC4315" s="9">
        <v>117.02508837332475</v>
      </c>
      <c r="AD4315" s="9">
        <v>133.59992350616912</v>
      </c>
      <c r="AE4315" s="9">
        <v>150.48962435351206</v>
      </c>
      <c r="AF4315" s="9">
        <v>169.31808477390766</v>
      </c>
      <c r="AG4315" s="9">
        <v>169.31808477390766</v>
      </c>
      <c r="AH4315" s="9">
        <v>187.09436615045269</v>
      </c>
      <c r="AI4315" s="9">
        <v>204.90277882222901</v>
      </c>
      <c r="AJ4315" s="9">
        <v>3.0428788910505911</v>
      </c>
    </row>
    <row r="4316" spans="1:36" x14ac:dyDescent="0.25">
      <c r="A4316" t="s">
        <v>5411</v>
      </c>
      <c r="B4316" t="s">
        <v>16</v>
      </c>
      <c r="C4316" t="s">
        <v>17</v>
      </c>
      <c r="D4316">
        <v>76930000</v>
      </c>
      <c r="E4316">
        <v>76931999</v>
      </c>
      <c r="F4316" t="s">
        <v>3926</v>
      </c>
      <c r="G4316" t="str">
        <f t="shared" si="134"/>
        <v>ROR</v>
      </c>
      <c r="H4316" t="s">
        <v>3902</v>
      </c>
      <c r="I4316" t="s">
        <v>20</v>
      </c>
      <c r="J4316" t="s">
        <v>77</v>
      </c>
      <c r="K4316" s="6">
        <v>0.03</v>
      </c>
      <c r="L4316" s="7">
        <f t="shared" si="135"/>
        <v>2E-3</v>
      </c>
      <c r="M4316" s="7">
        <v>3.0000000000000001E-3</v>
      </c>
      <c r="N4316">
        <v>17</v>
      </c>
      <c r="O4316" s="8">
        <v>52.356470025188507</v>
      </c>
      <c r="P4316" s="9">
        <v>52.356470025188507</v>
      </c>
      <c r="Q4316" s="9">
        <v>52.356470025188507</v>
      </c>
      <c r="R4316" s="9">
        <v>53.760206005810289</v>
      </c>
      <c r="S4316" s="9">
        <v>54.225347430867238</v>
      </c>
      <c r="T4316" s="9">
        <v>54.610644522460483</v>
      </c>
      <c r="U4316" s="9">
        <v>69.025126971275171</v>
      </c>
      <c r="V4316" s="9">
        <v>69.025126971275171</v>
      </c>
      <c r="W4316" s="9">
        <v>69.025126971275171</v>
      </c>
      <c r="X4316" s="9">
        <v>84.82781936027213</v>
      </c>
      <c r="Y4316" s="9">
        <v>84.82781936027213</v>
      </c>
      <c r="Z4316" s="9">
        <v>100.7364947991155</v>
      </c>
      <c r="AA4316" s="9">
        <v>100.7364947991155</v>
      </c>
      <c r="AB4316" s="9">
        <v>117.02508837332475</v>
      </c>
      <c r="AC4316" s="9">
        <v>117.02508837332475</v>
      </c>
      <c r="AD4316" s="9">
        <v>133.59992350616912</v>
      </c>
      <c r="AE4316" s="9">
        <v>150.48962435351206</v>
      </c>
      <c r="AF4316" s="9">
        <v>169.31808477390766</v>
      </c>
      <c r="AG4316" s="9">
        <v>169.31808477390766</v>
      </c>
      <c r="AH4316" s="9">
        <v>187.09436615045269</v>
      </c>
      <c r="AI4316" s="9">
        <v>204.90277882222901</v>
      </c>
      <c r="AJ4316" s="9">
        <v>3.0428788910505911</v>
      </c>
    </row>
    <row r="4317" spans="1:36" x14ac:dyDescent="0.25">
      <c r="A4317" t="s">
        <v>5411</v>
      </c>
      <c r="B4317" t="s">
        <v>16</v>
      </c>
      <c r="C4317" t="s">
        <v>17</v>
      </c>
      <c r="D4317">
        <v>76932000</v>
      </c>
      <c r="E4317">
        <v>76933999</v>
      </c>
      <c r="F4317" t="s">
        <v>3927</v>
      </c>
      <c r="G4317" t="str">
        <f t="shared" si="134"/>
        <v>ROR</v>
      </c>
      <c r="H4317" t="s">
        <v>3902</v>
      </c>
      <c r="I4317" t="s">
        <v>20</v>
      </c>
      <c r="J4317" t="s">
        <v>77</v>
      </c>
      <c r="K4317" s="6">
        <v>0.03</v>
      </c>
      <c r="L4317" s="7">
        <f t="shared" si="135"/>
        <v>2E-3</v>
      </c>
      <c r="M4317" s="7">
        <v>3.0000000000000001E-3</v>
      </c>
      <c r="N4317">
        <v>17</v>
      </c>
      <c r="O4317" s="8">
        <v>52.356470025188507</v>
      </c>
      <c r="P4317" s="9">
        <v>52.356470025188507</v>
      </c>
      <c r="Q4317" s="9">
        <v>52.356470025188507</v>
      </c>
      <c r="R4317" s="9">
        <v>53.760206005810289</v>
      </c>
      <c r="S4317" s="9">
        <v>54.225347430867238</v>
      </c>
      <c r="T4317" s="9">
        <v>54.610644522460483</v>
      </c>
      <c r="U4317" s="9">
        <v>69.025126971275171</v>
      </c>
      <c r="V4317" s="9">
        <v>69.025126971275171</v>
      </c>
      <c r="W4317" s="9">
        <v>69.025126971275171</v>
      </c>
      <c r="X4317" s="9">
        <v>84.82781936027213</v>
      </c>
      <c r="Y4317" s="9">
        <v>84.82781936027213</v>
      </c>
      <c r="Z4317" s="9">
        <v>100.7364947991155</v>
      </c>
      <c r="AA4317" s="9">
        <v>100.7364947991155</v>
      </c>
      <c r="AB4317" s="9">
        <v>117.02508837332475</v>
      </c>
      <c r="AC4317" s="9">
        <v>117.02508837332475</v>
      </c>
      <c r="AD4317" s="9">
        <v>133.59992350616912</v>
      </c>
      <c r="AE4317" s="9">
        <v>150.48962435351206</v>
      </c>
      <c r="AF4317" s="9">
        <v>169.31808477390766</v>
      </c>
      <c r="AG4317" s="9">
        <v>169.31808477390766</v>
      </c>
      <c r="AH4317" s="9">
        <v>187.09436615045269</v>
      </c>
      <c r="AI4317" s="9">
        <v>204.90277882222901</v>
      </c>
      <c r="AJ4317" s="9">
        <v>3.0428788910505911</v>
      </c>
    </row>
    <row r="4318" spans="1:36" x14ac:dyDescent="0.25">
      <c r="A4318" t="s">
        <v>5411</v>
      </c>
      <c r="B4318" t="s">
        <v>16</v>
      </c>
      <c r="C4318" t="s">
        <v>17</v>
      </c>
      <c r="D4318">
        <v>76934000</v>
      </c>
      <c r="E4318">
        <v>76934999</v>
      </c>
      <c r="F4318" t="s">
        <v>3928</v>
      </c>
      <c r="G4318" t="str">
        <f t="shared" si="134"/>
        <v>ROR</v>
      </c>
      <c r="H4318" t="s">
        <v>3902</v>
      </c>
      <c r="I4318" t="s">
        <v>20</v>
      </c>
      <c r="J4318" t="s">
        <v>77</v>
      </c>
      <c r="K4318" s="6">
        <v>0.03</v>
      </c>
      <c r="L4318" s="7">
        <f t="shared" si="135"/>
        <v>2E-3</v>
      </c>
      <c r="M4318" s="7">
        <v>3.0000000000000001E-3</v>
      </c>
      <c r="N4318">
        <v>17</v>
      </c>
      <c r="O4318" s="8">
        <v>52.356470025188507</v>
      </c>
      <c r="P4318" s="9">
        <v>52.356470025188507</v>
      </c>
      <c r="Q4318" s="9">
        <v>52.356470025188507</v>
      </c>
      <c r="R4318" s="9">
        <v>53.760206005810289</v>
      </c>
      <c r="S4318" s="9">
        <v>54.225347430867238</v>
      </c>
      <c r="T4318" s="9">
        <v>54.610644522460483</v>
      </c>
      <c r="U4318" s="9">
        <v>69.025126971275171</v>
      </c>
      <c r="V4318" s="9">
        <v>69.025126971275171</v>
      </c>
      <c r="W4318" s="9">
        <v>69.025126971275171</v>
      </c>
      <c r="X4318" s="9">
        <v>84.82781936027213</v>
      </c>
      <c r="Y4318" s="9">
        <v>84.82781936027213</v>
      </c>
      <c r="Z4318" s="9">
        <v>100.7364947991155</v>
      </c>
      <c r="AA4318" s="9">
        <v>100.7364947991155</v>
      </c>
      <c r="AB4318" s="9">
        <v>117.02508837332475</v>
      </c>
      <c r="AC4318" s="9">
        <v>117.02508837332475</v>
      </c>
      <c r="AD4318" s="9">
        <v>133.59992350616912</v>
      </c>
      <c r="AE4318" s="9">
        <v>150.48962435351206</v>
      </c>
      <c r="AF4318" s="9">
        <v>169.31808477390766</v>
      </c>
      <c r="AG4318" s="9">
        <v>169.31808477390766</v>
      </c>
      <c r="AH4318" s="9">
        <v>187.09436615045269</v>
      </c>
      <c r="AI4318" s="9">
        <v>204.90277882222901</v>
      </c>
      <c r="AJ4318" s="9">
        <v>3.0428788910505911</v>
      </c>
    </row>
    <row r="4319" spans="1:36" x14ac:dyDescent="0.25">
      <c r="A4319" t="s">
        <v>5411</v>
      </c>
      <c r="B4319" t="s">
        <v>16</v>
      </c>
      <c r="C4319" t="s">
        <v>17</v>
      </c>
      <c r="D4319">
        <v>76935000</v>
      </c>
      <c r="E4319">
        <v>76936999</v>
      </c>
      <c r="F4319" t="s">
        <v>3929</v>
      </c>
      <c r="G4319" t="str">
        <f t="shared" si="134"/>
        <v>ROR</v>
      </c>
      <c r="H4319" t="s">
        <v>3902</v>
      </c>
      <c r="I4319" t="s">
        <v>20</v>
      </c>
      <c r="J4319" t="s">
        <v>77</v>
      </c>
      <c r="K4319" s="6">
        <v>0.03</v>
      </c>
      <c r="L4319" s="7">
        <f t="shared" si="135"/>
        <v>2E-3</v>
      </c>
      <c r="M4319" s="7">
        <v>3.0000000000000001E-3</v>
      </c>
      <c r="N4319">
        <v>17</v>
      </c>
      <c r="O4319" s="8">
        <v>52.356470025188507</v>
      </c>
      <c r="P4319" s="9">
        <v>52.356470025188507</v>
      </c>
      <c r="Q4319" s="9">
        <v>52.356470025188507</v>
      </c>
      <c r="R4319" s="9">
        <v>53.760206005810289</v>
      </c>
      <c r="S4319" s="9">
        <v>54.225347430867238</v>
      </c>
      <c r="T4319" s="9">
        <v>54.610644522460483</v>
      </c>
      <c r="U4319" s="9">
        <v>69.025126971275171</v>
      </c>
      <c r="V4319" s="9">
        <v>69.025126971275171</v>
      </c>
      <c r="W4319" s="9">
        <v>69.025126971275171</v>
      </c>
      <c r="X4319" s="9">
        <v>84.82781936027213</v>
      </c>
      <c r="Y4319" s="9">
        <v>84.82781936027213</v>
      </c>
      <c r="Z4319" s="9">
        <v>100.7364947991155</v>
      </c>
      <c r="AA4319" s="9">
        <v>100.7364947991155</v>
      </c>
      <c r="AB4319" s="9">
        <v>117.02508837332475</v>
      </c>
      <c r="AC4319" s="9">
        <v>117.02508837332475</v>
      </c>
      <c r="AD4319" s="9">
        <v>133.59992350616912</v>
      </c>
      <c r="AE4319" s="9">
        <v>150.48962435351206</v>
      </c>
      <c r="AF4319" s="9">
        <v>169.31808477390766</v>
      </c>
      <c r="AG4319" s="9">
        <v>169.31808477390766</v>
      </c>
      <c r="AH4319" s="9">
        <v>187.09436615045269</v>
      </c>
      <c r="AI4319" s="9">
        <v>204.90277882222901</v>
      </c>
      <c r="AJ4319" s="9">
        <v>3.0428788910505911</v>
      </c>
    </row>
    <row r="4320" spans="1:36" x14ac:dyDescent="0.25">
      <c r="A4320" t="s">
        <v>5411</v>
      </c>
      <c r="B4320" t="s">
        <v>16</v>
      </c>
      <c r="C4320" t="s">
        <v>17</v>
      </c>
      <c r="D4320">
        <v>76937000</v>
      </c>
      <c r="E4320">
        <v>76939999</v>
      </c>
      <c r="F4320" t="s">
        <v>3930</v>
      </c>
      <c r="G4320" t="str">
        <f t="shared" si="134"/>
        <v>ROR</v>
      </c>
      <c r="H4320" t="s">
        <v>3902</v>
      </c>
      <c r="I4320" t="s">
        <v>20</v>
      </c>
      <c r="J4320" t="s">
        <v>77</v>
      </c>
      <c r="K4320" s="6">
        <v>0.03</v>
      </c>
      <c r="L4320" s="7">
        <f t="shared" si="135"/>
        <v>2E-3</v>
      </c>
      <c r="M4320" s="7">
        <v>3.0000000000000001E-3</v>
      </c>
      <c r="N4320">
        <v>17</v>
      </c>
      <c r="O4320" s="8">
        <v>52.356470025188507</v>
      </c>
      <c r="P4320" s="9">
        <v>52.356470025188507</v>
      </c>
      <c r="Q4320" s="9">
        <v>52.356470025188507</v>
      </c>
      <c r="R4320" s="9">
        <v>53.760206005810289</v>
      </c>
      <c r="S4320" s="9">
        <v>54.225347430867238</v>
      </c>
      <c r="T4320" s="9">
        <v>54.610644522460483</v>
      </c>
      <c r="U4320" s="9">
        <v>69.025126971275171</v>
      </c>
      <c r="V4320" s="9">
        <v>69.025126971275171</v>
      </c>
      <c r="W4320" s="9">
        <v>69.025126971275171</v>
      </c>
      <c r="X4320" s="9">
        <v>84.82781936027213</v>
      </c>
      <c r="Y4320" s="9">
        <v>84.82781936027213</v>
      </c>
      <c r="Z4320" s="9">
        <v>100.7364947991155</v>
      </c>
      <c r="AA4320" s="9">
        <v>100.7364947991155</v>
      </c>
      <c r="AB4320" s="9">
        <v>117.02508837332475</v>
      </c>
      <c r="AC4320" s="9">
        <v>117.02508837332475</v>
      </c>
      <c r="AD4320" s="9">
        <v>133.59992350616912</v>
      </c>
      <c r="AE4320" s="9">
        <v>150.48962435351206</v>
      </c>
      <c r="AF4320" s="9">
        <v>169.31808477390766</v>
      </c>
      <c r="AG4320" s="9">
        <v>169.31808477390766</v>
      </c>
      <c r="AH4320" s="9">
        <v>187.09436615045269</v>
      </c>
      <c r="AI4320" s="9">
        <v>204.90277882222901</v>
      </c>
      <c r="AJ4320" s="9">
        <v>3.0428788910505911</v>
      </c>
    </row>
    <row r="4321" spans="1:36" x14ac:dyDescent="0.25">
      <c r="A4321" t="s">
        <v>5411</v>
      </c>
      <c r="B4321" t="s">
        <v>16</v>
      </c>
      <c r="C4321" t="s">
        <v>17</v>
      </c>
      <c r="D4321">
        <v>76940000</v>
      </c>
      <c r="E4321">
        <v>76940001</v>
      </c>
      <c r="F4321" t="s">
        <v>3931</v>
      </c>
      <c r="G4321" t="str">
        <f t="shared" si="134"/>
        <v>ROI II</v>
      </c>
      <c r="H4321" t="s">
        <v>3902</v>
      </c>
      <c r="I4321" t="s">
        <v>20</v>
      </c>
      <c r="J4321" t="s">
        <v>64</v>
      </c>
      <c r="K4321" s="6">
        <v>0.03</v>
      </c>
      <c r="L4321" s="7">
        <f t="shared" si="135"/>
        <v>2E-3</v>
      </c>
      <c r="M4321" s="7">
        <v>3.0000000000000001E-3</v>
      </c>
      <c r="N4321">
        <v>15</v>
      </c>
      <c r="O4321" s="8">
        <v>37.3006029315357</v>
      </c>
      <c r="P4321" s="9">
        <v>37.3006029315357</v>
      </c>
      <c r="Q4321" s="9">
        <v>37.3006029315357</v>
      </c>
      <c r="R4321" s="9">
        <v>37.954174833367482</v>
      </c>
      <c r="S4321" s="9">
        <v>38.461188195131434</v>
      </c>
      <c r="T4321" s="9">
        <v>39.070309384611662</v>
      </c>
      <c r="U4321" s="9">
        <v>50.995984043793037</v>
      </c>
      <c r="V4321" s="9">
        <v>50.995984043793037</v>
      </c>
      <c r="W4321" s="9">
        <v>50.995984043793037</v>
      </c>
      <c r="X4321" s="9">
        <v>64.105744170854834</v>
      </c>
      <c r="Y4321" s="9">
        <v>64.105744170854834</v>
      </c>
      <c r="Z4321" s="9">
        <v>77.318124291715549</v>
      </c>
      <c r="AA4321" s="9">
        <v>77.318124291715549</v>
      </c>
      <c r="AB4321" s="9">
        <v>90.643386405755081</v>
      </c>
      <c r="AC4321" s="9">
        <v>90.643386405755081</v>
      </c>
      <c r="AD4321" s="9">
        <v>106.09806999222619</v>
      </c>
      <c r="AE4321" s="9">
        <v>118.88426678367934</v>
      </c>
      <c r="AF4321" s="9">
        <v>131.80574823355238</v>
      </c>
      <c r="AG4321" s="9">
        <v>131.80574823355238</v>
      </c>
      <c r="AH4321" s="9">
        <v>145.75616170751147</v>
      </c>
      <c r="AI4321" s="9">
        <v>158.75189294311699</v>
      </c>
      <c r="AJ4321" s="9">
        <v>3.0428788910505911</v>
      </c>
    </row>
    <row r="4322" spans="1:36" x14ac:dyDescent="0.25">
      <c r="A4322" t="s">
        <v>5411</v>
      </c>
      <c r="B4322" t="s">
        <v>16</v>
      </c>
      <c r="C4322" t="s">
        <v>17</v>
      </c>
      <c r="D4322">
        <v>76940002</v>
      </c>
      <c r="E4322">
        <v>76947999</v>
      </c>
      <c r="F4322" t="s">
        <v>3931</v>
      </c>
      <c r="G4322" t="str">
        <f t="shared" si="134"/>
        <v>ROI II</v>
      </c>
      <c r="H4322" t="s">
        <v>3902</v>
      </c>
      <c r="I4322" t="s">
        <v>20</v>
      </c>
      <c r="J4322" t="s">
        <v>64</v>
      </c>
      <c r="K4322" s="6">
        <v>0.03</v>
      </c>
      <c r="L4322" s="7">
        <f t="shared" si="135"/>
        <v>2E-3</v>
      </c>
      <c r="M4322" s="7">
        <v>3.0000000000000001E-3</v>
      </c>
      <c r="N4322">
        <v>15</v>
      </c>
      <c r="O4322" s="8">
        <v>37.3006029315357</v>
      </c>
      <c r="P4322" s="9">
        <v>37.3006029315357</v>
      </c>
      <c r="Q4322" s="9">
        <v>37.3006029315357</v>
      </c>
      <c r="R4322" s="9">
        <v>37.954174833367482</v>
      </c>
      <c r="S4322" s="9">
        <v>38.461188195131434</v>
      </c>
      <c r="T4322" s="9">
        <v>39.070309384611662</v>
      </c>
      <c r="U4322" s="9">
        <v>50.995984043793037</v>
      </c>
      <c r="V4322" s="9">
        <v>50.995984043793037</v>
      </c>
      <c r="W4322" s="9">
        <v>50.995984043793037</v>
      </c>
      <c r="X4322" s="9">
        <v>64.105744170854834</v>
      </c>
      <c r="Y4322" s="9">
        <v>64.105744170854834</v>
      </c>
      <c r="Z4322" s="9">
        <v>77.318124291715549</v>
      </c>
      <c r="AA4322" s="9">
        <v>77.318124291715549</v>
      </c>
      <c r="AB4322" s="9">
        <v>90.643386405755081</v>
      </c>
      <c r="AC4322" s="9">
        <v>90.643386405755081</v>
      </c>
      <c r="AD4322" s="9">
        <v>106.09806999222619</v>
      </c>
      <c r="AE4322" s="9">
        <v>118.88426678367934</v>
      </c>
      <c r="AF4322" s="9">
        <v>131.80574823355238</v>
      </c>
      <c r="AG4322" s="9">
        <v>131.80574823355238</v>
      </c>
      <c r="AH4322" s="9">
        <v>145.75616170751147</v>
      </c>
      <c r="AI4322" s="9">
        <v>158.75189294311699</v>
      </c>
      <c r="AJ4322" s="9">
        <v>3.0428788910505911</v>
      </c>
    </row>
    <row r="4323" spans="1:36" x14ac:dyDescent="0.25">
      <c r="A4323" t="s">
        <v>5411</v>
      </c>
      <c r="B4323" t="s">
        <v>16</v>
      </c>
      <c r="C4323" t="s">
        <v>17</v>
      </c>
      <c r="D4323">
        <v>76948000</v>
      </c>
      <c r="E4323">
        <v>76949999</v>
      </c>
      <c r="F4323" t="s">
        <v>3932</v>
      </c>
      <c r="G4323" t="str">
        <f t="shared" si="134"/>
        <v>ROR</v>
      </c>
      <c r="H4323" t="s">
        <v>3902</v>
      </c>
      <c r="I4323" t="s">
        <v>20</v>
      </c>
      <c r="J4323" t="s">
        <v>77</v>
      </c>
      <c r="K4323" s="6">
        <v>0.03</v>
      </c>
      <c r="L4323" s="7">
        <f t="shared" si="135"/>
        <v>2E-3</v>
      </c>
      <c r="M4323" s="7">
        <v>3.0000000000000001E-3</v>
      </c>
      <c r="N4323">
        <v>17</v>
      </c>
      <c r="O4323" s="8">
        <v>52.356470025188507</v>
      </c>
      <c r="P4323" s="9">
        <v>52.356470025188507</v>
      </c>
      <c r="Q4323" s="9">
        <v>52.356470025188507</v>
      </c>
      <c r="R4323" s="9">
        <v>53.760206005810289</v>
      </c>
      <c r="S4323" s="9">
        <v>54.225347430867238</v>
      </c>
      <c r="T4323" s="9">
        <v>54.610644522460483</v>
      </c>
      <c r="U4323" s="9">
        <v>69.025126971275171</v>
      </c>
      <c r="V4323" s="9">
        <v>69.025126971275171</v>
      </c>
      <c r="W4323" s="9">
        <v>69.025126971275171</v>
      </c>
      <c r="X4323" s="9">
        <v>84.82781936027213</v>
      </c>
      <c r="Y4323" s="9">
        <v>84.82781936027213</v>
      </c>
      <c r="Z4323" s="9">
        <v>100.7364947991155</v>
      </c>
      <c r="AA4323" s="9">
        <v>100.7364947991155</v>
      </c>
      <c r="AB4323" s="9">
        <v>117.02508837332475</v>
      </c>
      <c r="AC4323" s="9">
        <v>117.02508837332475</v>
      </c>
      <c r="AD4323" s="9">
        <v>133.59992350616912</v>
      </c>
      <c r="AE4323" s="9">
        <v>150.48962435351206</v>
      </c>
      <c r="AF4323" s="9">
        <v>169.31808477390766</v>
      </c>
      <c r="AG4323" s="9">
        <v>169.31808477390766</v>
      </c>
      <c r="AH4323" s="9">
        <v>187.09436615045269</v>
      </c>
      <c r="AI4323" s="9">
        <v>204.90277882222901</v>
      </c>
      <c r="AJ4323" s="9">
        <v>3.0428788910505911</v>
      </c>
    </row>
    <row r="4324" spans="1:36" x14ac:dyDescent="0.25">
      <c r="A4324" t="s">
        <v>5411</v>
      </c>
      <c r="B4324" t="s">
        <v>16</v>
      </c>
      <c r="C4324" t="s">
        <v>17</v>
      </c>
      <c r="D4324">
        <v>76950000</v>
      </c>
      <c r="E4324">
        <v>76951999</v>
      </c>
      <c r="F4324" t="s">
        <v>3933</v>
      </c>
      <c r="G4324" t="str">
        <f t="shared" si="134"/>
        <v>ROR</v>
      </c>
      <c r="H4324" t="s">
        <v>3902</v>
      </c>
      <c r="I4324" t="s">
        <v>20</v>
      </c>
      <c r="J4324" t="s">
        <v>77</v>
      </c>
      <c r="K4324" s="6">
        <v>0.03</v>
      </c>
      <c r="L4324" s="7">
        <f t="shared" si="135"/>
        <v>2E-3</v>
      </c>
      <c r="M4324" s="7">
        <v>3.0000000000000001E-3</v>
      </c>
      <c r="N4324">
        <v>17</v>
      </c>
      <c r="O4324" s="8">
        <v>52.356470025188507</v>
      </c>
      <c r="P4324" s="9">
        <v>52.356470025188507</v>
      </c>
      <c r="Q4324" s="9">
        <v>52.356470025188507</v>
      </c>
      <c r="R4324" s="9">
        <v>53.760206005810289</v>
      </c>
      <c r="S4324" s="9">
        <v>54.225347430867238</v>
      </c>
      <c r="T4324" s="9">
        <v>54.610644522460483</v>
      </c>
      <c r="U4324" s="9">
        <v>69.025126971275171</v>
      </c>
      <c r="V4324" s="9">
        <v>69.025126971275171</v>
      </c>
      <c r="W4324" s="9">
        <v>69.025126971275171</v>
      </c>
      <c r="X4324" s="9">
        <v>84.82781936027213</v>
      </c>
      <c r="Y4324" s="9">
        <v>84.82781936027213</v>
      </c>
      <c r="Z4324" s="9">
        <v>100.7364947991155</v>
      </c>
      <c r="AA4324" s="9">
        <v>100.7364947991155</v>
      </c>
      <c r="AB4324" s="9">
        <v>117.02508837332475</v>
      </c>
      <c r="AC4324" s="9">
        <v>117.02508837332475</v>
      </c>
      <c r="AD4324" s="9">
        <v>133.59992350616912</v>
      </c>
      <c r="AE4324" s="9">
        <v>150.48962435351206</v>
      </c>
      <c r="AF4324" s="9">
        <v>169.31808477390766</v>
      </c>
      <c r="AG4324" s="9">
        <v>169.31808477390766</v>
      </c>
      <c r="AH4324" s="9">
        <v>187.09436615045269</v>
      </c>
      <c r="AI4324" s="9">
        <v>204.90277882222901</v>
      </c>
      <c r="AJ4324" s="9">
        <v>3.0428788910505911</v>
      </c>
    </row>
    <row r="4325" spans="1:36" x14ac:dyDescent="0.25">
      <c r="A4325" t="s">
        <v>5411</v>
      </c>
      <c r="B4325" t="s">
        <v>16</v>
      </c>
      <c r="C4325" t="s">
        <v>17</v>
      </c>
      <c r="D4325">
        <v>76952000</v>
      </c>
      <c r="E4325">
        <v>76953999</v>
      </c>
      <c r="F4325" t="s">
        <v>3934</v>
      </c>
      <c r="G4325" t="str">
        <f t="shared" si="134"/>
        <v>ROR</v>
      </c>
      <c r="H4325" t="s">
        <v>3902</v>
      </c>
      <c r="I4325" t="s">
        <v>20</v>
      </c>
      <c r="J4325" t="s">
        <v>77</v>
      </c>
      <c r="K4325" s="6">
        <v>0.03</v>
      </c>
      <c r="L4325" s="7">
        <f t="shared" si="135"/>
        <v>2E-3</v>
      </c>
      <c r="M4325" s="7">
        <v>3.0000000000000001E-3</v>
      </c>
      <c r="N4325">
        <v>17</v>
      </c>
      <c r="O4325" s="8">
        <v>52.356470025188507</v>
      </c>
      <c r="P4325" s="9">
        <v>52.356470025188507</v>
      </c>
      <c r="Q4325" s="9">
        <v>52.356470025188507</v>
      </c>
      <c r="R4325" s="9">
        <v>53.760206005810289</v>
      </c>
      <c r="S4325" s="9">
        <v>54.225347430867238</v>
      </c>
      <c r="T4325" s="9">
        <v>54.610644522460483</v>
      </c>
      <c r="U4325" s="9">
        <v>69.025126971275171</v>
      </c>
      <c r="V4325" s="9">
        <v>69.025126971275171</v>
      </c>
      <c r="W4325" s="9">
        <v>69.025126971275171</v>
      </c>
      <c r="X4325" s="9">
        <v>84.82781936027213</v>
      </c>
      <c r="Y4325" s="9">
        <v>84.82781936027213</v>
      </c>
      <c r="Z4325" s="9">
        <v>100.7364947991155</v>
      </c>
      <c r="AA4325" s="9">
        <v>100.7364947991155</v>
      </c>
      <c r="AB4325" s="9">
        <v>117.02508837332475</v>
      </c>
      <c r="AC4325" s="9">
        <v>117.02508837332475</v>
      </c>
      <c r="AD4325" s="9">
        <v>133.59992350616912</v>
      </c>
      <c r="AE4325" s="9">
        <v>150.48962435351206</v>
      </c>
      <c r="AF4325" s="9">
        <v>169.31808477390766</v>
      </c>
      <c r="AG4325" s="9">
        <v>169.31808477390766</v>
      </c>
      <c r="AH4325" s="9">
        <v>187.09436615045269</v>
      </c>
      <c r="AI4325" s="9">
        <v>204.90277882222901</v>
      </c>
      <c r="AJ4325" s="9">
        <v>3.0428788910505911</v>
      </c>
    </row>
    <row r="4326" spans="1:36" x14ac:dyDescent="0.25">
      <c r="A4326" t="s">
        <v>5411</v>
      </c>
      <c r="B4326" t="s">
        <v>16</v>
      </c>
      <c r="C4326" t="s">
        <v>17</v>
      </c>
      <c r="D4326">
        <v>76954000</v>
      </c>
      <c r="E4326">
        <v>76955999</v>
      </c>
      <c r="F4326" t="s">
        <v>3935</v>
      </c>
      <c r="G4326" t="str">
        <f t="shared" si="134"/>
        <v>ROR</v>
      </c>
      <c r="H4326" t="s">
        <v>3902</v>
      </c>
      <c r="I4326" t="s">
        <v>20</v>
      </c>
      <c r="J4326" t="s">
        <v>77</v>
      </c>
      <c r="K4326" s="6">
        <v>0.03</v>
      </c>
      <c r="L4326" s="7">
        <f t="shared" si="135"/>
        <v>2E-3</v>
      </c>
      <c r="M4326" s="7">
        <v>3.0000000000000001E-3</v>
      </c>
      <c r="N4326">
        <v>17</v>
      </c>
      <c r="O4326" s="8">
        <v>52.356470025188507</v>
      </c>
      <c r="P4326" s="9">
        <v>52.356470025188507</v>
      </c>
      <c r="Q4326" s="9">
        <v>52.356470025188507</v>
      </c>
      <c r="R4326" s="9">
        <v>53.760206005810289</v>
      </c>
      <c r="S4326" s="9">
        <v>54.225347430867238</v>
      </c>
      <c r="T4326" s="9">
        <v>54.610644522460483</v>
      </c>
      <c r="U4326" s="9">
        <v>69.025126971275171</v>
      </c>
      <c r="V4326" s="9">
        <v>69.025126971275171</v>
      </c>
      <c r="W4326" s="9">
        <v>69.025126971275171</v>
      </c>
      <c r="X4326" s="9">
        <v>84.82781936027213</v>
      </c>
      <c r="Y4326" s="9">
        <v>84.82781936027213</v>
      </c>
      <c r="Z4326" s="9">
        <v>100.7364947991155</v>
      </c>
      <c r="AA4326" s="9">
        <v>100.7364947991155</v>
      </c>
      <c r="AB4326" s="9">
        <v>117.02508837332475</v>
      </c>
      <c r="AC4326" s="9">
        <v>117.02508837332475</v>
      </c>
      <c r="AD4326" s="9">
        <v>133.59992350616912</v>
      </c>
      <c r="AE4326" s="9">
        <v>150.48962435351206</v>
      </c>
      <c r="AF4326" s="9">
        <v>169.31808477390766</v>
      </c>
      <c r="AG4326" s="9">
        <v>169.31808477390766</v>
      </c>
      <c r="AH4326" s="9">
        <v>187.09436615045269</v>
      </c>
      <c r="AI4326" s="9">
        <v>204.90277882222901</v>
      </c>
      <c r="AJ4326" s="9">
        <v>3.0428788910505911</v>
      </c>
    </row>
    <row r="4327" spans="1:36" x14ac:dyDescent="0.25">
      <c r="A4327" t="s">
        <v>5411</v>
      </c>
      <c r="B4327" t="s">
        <v>16</v>
      </c>
      <c r="C4327" t="s">
        <v>17</v>
      </c>
      <c r="D4327">
        <v>76956000</v>
      </c>
      <c r="E4327">
        <v>76957999</v>
      </c>
      <c r="F4327" t="s">
        <v>3936</v>
      </c>
      <c r="G4327" t="str">
        <f t="shared" si="134"/>
        <v>ROR</v>
      </c>
      <c r="H4327" t="s">
        <v>3902</v>
      </c>
      <c r="I4327" t="s">
        <v>20</v>
      </c>
      <c r="J4327" t="s">
        <v>77</v>
      </c>
      <c r="K4327" s="6">
        <v>0.03</v>
      </c>
      <c r="L4327" s="7">
        <f t="shared" si="135"/>
        <v>2E-3</v>
      </c>
      <c r="M4327" s="7">
        <v>3.0000000000000001E-3</v>
      </c>
      <c r="N4327">
        <v>17</v>
      </c>
      <c r="O4327" s="8">
        <v>52.356470025188507</v>
      </c>
      <c r="P4327" s="9">
        <v>52.356470025188507</v>
      </c>
      <c r="Q4327" s="9">
        <v>52.356470025188507</v>
      </c>
      <c r="R4327" s="9">
        <v>53.760206005810289</v>
      </c>
      <c r="S4327" s="9">
        <v>54.225347430867238</v>
      </c>
      <c r="T4327" s="9">
        <v>54.610644522460483</v>
      </c>
      <c r="U4327" s="9">
        <v>69.025126971275171</v>
      </c>
      <c r="V4327" s="9">
        <v>69.025126971275171</v>
      </c>
      <c r="W4327" s="9">
        <v>69.025126971275171</v>
      </c>
      <c r="X4327" s="9">
        <v>84.82781936027213</v>
      </c>
      <c r="Y4327" s="9">
        <v>84.82781936027213</v>
      </c>
      <c r="Z4327" s="9">
        <v>100.7364947991155</v>
      </c>
      <c r="AA4327" s="9">
        <v>100.7364947991155</v>
      </c>
      <c r="AB4327" s="9">
        <v>117.02508837332475</v>
      </c>
      <c r="AC4327" s="9">
        <v>117.02508837332475</v>
      </c>
      <c r="AD4327" s="9">
        <v>133.59992350616912</v>
      </c>
      <c r="AE4327" s="9">
        <v>150.48962435351206</v>
      </c>
      <c r="AF4327" s="9">
        <v>169.31808477390766</v>
      </c>
      <c r="AG4327" s="9">
        <v>169.31808477390766</v>
      </c>
      <c r="AH4327" s="9">
        <v>187.09436615045269</v>
      </c>
      <c r="AI4327" s="9">
        <v>204.90277882222901</v>
      </c>
      <c r="AJ4327" s="9">
        <v>3.0428788910505911</v>
      </c>
    </row>
    <row r="4328" spans="1:36" x14ac:dyDescent="0.25">
      <c r="A4328" t="s">
        <v>5411</v>
      </c>
      <c r="B4328" t="s">
        <v>16</v>
      </c>
      <c r="C4328" t="s">
        <v>17</v>
      </c>
      <c r="D4328">
        <v>76958000</v>
      </c>
      <c r="E4328">
        <v>76959999</v>
      </c>
      <c r="F4328" t="s">
        <v>3937</v>
      </c>
      <c r="G4328" t="str">
        <f t="shared" si="134"/>
        <v>ROR</v>
      </c>
      <c r="H4328" t="s">
        <v>3902</v>
      </c>
      <c r="I4328" t="s">
        <v>20</v>
      </c>
      <c r="J4328" t="s">
        <v>77</v>
      </c>
      <c r="K4328" s="6">
        <v>0.03</v>
      </c>
      <c r="L4328" s="7">
        <f t="shared" si="135"/>
        <v>2E-3</v>
      </c>
      <c r="M4328" s="7">
        <v>3.0000000000000001E-3</v>
      </c>
      <c r="N4328">
        <v>17</v>
      </c>
      <c r="O4328" s="8">
        <v>52.356470025188507</v>
      </c>
      <c r="P4328" s="9">
        <v>52.356470025188507</v>
      </c>
      <c r="Q4328" s="9">
        <v>52.356470025188507</v>
      </c>
      <c r="R4328" s="9">
        <v>53.760206005810289</v>
      </c>
      <c r="S4328" s="9">
        <v>54.225347430867238</v>
      </c>
      <c r="T4328" s="9">
        <v>54.610644522460483</v>
      </c>
      <c r="U4328" s="9">
        <v>69.025126971275171</v>
      </c>
      <c r="V4328" s="9">
        <v>69.025126971275171</v>
      </c>
      <c r="W4328" s="9">
        <v>69.025126971275171</v>
      </c>
      <c r="X4328" s="9">
        <v>84.82781936027213</v>
      </c>
      <c r="Y4328" s="9">
        <v>84.82781936027213</v>
      </c>
      <c r="Z4328" s="9">
        <v>100.7364947991155</v>
      </c>
      <c r="AA4328" s="9">
        <v>100.7364947991155</v>
      </c>
      <c r="AB4328" s="9">
        <v>117.02508837332475</v>
      </c>
      <c r="AC4328" s="9">
        <v>117.02508837332475</v>
      </c>
      <c r="AD4328" s="9">
        <v>133.59992350616912</v>
      </c>
      <c r="AE4328" s="9">
        <v>150.48962435351206</v>
      </c>
      <c r="AF4328" s="9">
        <v>169.31808477390766</v>
      </c>
      <c r="AG4328" s="9">
        <v>169.31808477390766</v>
      </c>
      <c r="AH4328" s="9">
        <v>187.09436615045269</v>
      </c>
      <c r="AI4328" s="9">
        <v>204.90277882222901</v>
      </c>
      <c r="AJ4328" s="9">
        <v>3.0428788910505911</v>
      </c>
    </row>
    <row r="4329" spans="1:36" x14ac:dyDescent="0.25">
      <c r="A4329" t="s">
        <v>5411</v>
      </c>
      <c r="B4329" t="s">
        <v>16</v>
      </c>
      <c r="C4329" t="s">
        <v>17</v>
      </c>
      <c r="D4329">
        <v>76960000</v>
      </c>
      <c r="E4329">
        <v>76969999</v>
      </c>
      <c r="F4329" t="s">
        <v>3938</v>
      </c>
      <c r="G4329" t="str">
        <f t="shared" si="134"/>
        <v>ROI II</v>
      </c>
      <c r="H4329" t="s">
        <v>3902</v>
      </c>
      <c r="I4329" t="s">
        <v>20</v>
      </c>
      <c r="J4329" t="s">
        <v>64</v>
      </c>
      <c r="K4329" s="6">
        <v>0.03</v>
      </c>
      <c r="L4329" s="7">
        <f t="shared" si="135"/>
        <v>2E-3</v>
      </c>
      <c r="M4329" s="7">
        <v>3.0000000000000001E-3</v>
      </c>
      <c r="N4329">
        <v>15</v>
      </c>
      <c r="O4329" s="8">
        <v>37.3006029315357</v>
      </c>
      <c r="P4329" s="9">
        <v>37.3006029315357</v>
      </c>
      <c r="Q4329" s="9">
        <v>37.3006029315357</v>
      </c>
      <c r="R4329" s="9">
        <v>37.954174833367482</v>
      </c>
      <c r="S4329" s="9">
        <v>38.461188195131434</v>
      </c>
      <c r="T4329" s="9">
        <v>39.070309384611662</v>
      </c>
      <c r="U4329" s="9">
        <v>50.995984043793037</v>
      </c>
      <c r="V4329" s="9">
        <v>50.995984043793037</v>
      </c>
      <c r="W4329" s="9">
        <v>50.995984043793037</v>
      </c>
      <c r="X4329" s="9">
        <v>64.105744170854834</v>
      </c>
      <c r="Y4329" s="9">
        <v>64.105744170854834</v>
      </c>
      <c r="Z4329" s="9">
        <v>77.318124291715549</v>
      </c>
      <c r="AA4329" s="9">
        <v>77.318124291715549</v>
      </c>
      <c r="AB4329" s="9">
        <v>90.643386405755081</v>
      </c>
      <c r="AC4329" s="9">
        <v>90.643386405755081</v>
      </c>
      <c r="AD4329" s="9">
        <v>106.09806999222619</v>
      </c>
      <c r="AE4329" s="9">
        <v>118.88426678367934</v>
      </c>
      <c r="AF4329" s="9">
        <v>131.80574823355238</v>
      </c>
      <c r="AG4329" s="9">
        <v>131.80574823355238</v>
      </c>
      <c r="AH4329" s="9">
        <v>145.75616170751147</v>
      </c>
      <c r="AI4329" s="9">
        <v>158.75189294311699</v>
      </c>
      <c r="AJ4329" s="9">
        <v>3.0428788910505911</v>
      </c>
    </row>
    <row r="4330" spans="1:36" x14ac:dyDescent="0.25">
      <c r="A4330" t="s">
        <v>5411</v>
      </c>
      <c r="B4330" t="s">
        <v>16</v>
      </c>
      <c r="C4330" t="s">
        <v>17</v>
      </c>
      <c r="D4330">
        <v>76970000</v>
      </c>
      <c r="E4330">
        <v>76970001</v>
      </c>
      <c r="F4330" t="s">
        <v>3939</v>
      </c>
      <c r="G4330" t="str">
        <f t="shared" si="134"/>
        <v>ROI II</v>
      </c>
      <c r="H4330" t="s">
        <v>3902</v>
      </c>
      <c r="I4330" t="s">
        <v>20</v>
      </c>
      <c r="J4330" t="s">
        <v>64</v>
      </c>
      <c r="K4330" s="6">
        <v>0.03</v>
      </c>
      <c r="L4330" s="7">
        <f t="shared" si="135"/>
        <v>2E-3</v>
      </c>
      <c r="M4330" s="7">
        <v>3.0000000000000001E-3</v>
      </c>
      <c r="N4330">
        <v>15</v>
      </c>
      <c r="O4330" s="8">
        <v>37.3006029315357</v>
      </c>
      <c r="P4330" s="9">
        <v>37.3006029315357</v>
      </c>
      <c r="Q4330" s="9">
        <v>37.3006029315357</v>
      </c>
      <c r="R4330" s="9">
        <v>37.954174833367482</v>
      </c>
      <c r="S4330" s="9">
        <v>38.461188195131434</v>
      </c>
      <c r="T4330" s="9">
        <v>39.070309384611662</v>
      </c>
      <c r="U4330" s="9">
        <v>50.995984043793037</v>
      </c>
      <c r="V4330" s="9">
        <v>50.995984043793037</v>
      </c>
      <c r="W4330" s="9">
        <v>50.995984043793037</v>
      </c>
      <c r="X4330" s="9">
        <v>64.105744170854834</v>
      </c>
      <c r="Y4330" s="9">
        <v>64.105744170854834</v>
      </c>
      <c r="Z4330" s="9">
        <v>77.318124291715549</v>
      </c>
      <c r="AA4330" s="9">
        <v>77.318124291715549</v>
      </c>
      <c r="AB4330" s="9">
        <v>90.643386405755081</v>
      </c>
      <c r="AC4330" s="9">
        <v>90.643386405755081</v>
      </c>
      <c r="AD4330" s="9">
        <v>106.09806999222619</v>
      </c>
      <c r="AE4330" s="9">
        <v>118.88426678367934</v>
      </c>
      <c r="AF4330" s="9">
        <v>131.80574823355238</v>
      </c>
      <c r="AG4330" s="9">
        <v>131.80574823355238</v>
      </c>
      <c r="AH4330" s="9">
        <v>145.75616170751147</v>
      </c>
      <c r="AI4330" s="9">
        <v>158.75189294311699</v>
      </c>
      <c r="AJ4330" s="9">
        <v>3.0428788910505911</v>
      </c>
    </row>
    <row r="4331" spans="1:36" x14ac:dyDescent="0.25">
      <c r="A4331" t="s">
        <v>5411</v>
      </c>
      <c r="B4331" t="s">
        <v>16</v>
      </c>
      <c r="C4331" t="s">
        <v>17</v>
      </c>
      <c r="D4331">
        <v>76970002</v>
      </c>
      <c r="E4331">
        <v>76973999</v>
      </c>
      <c r="F4331" t="s">
        <v>3939</v>
      </c>
      <c r="G4331" t="str">
        <f t="shared" si="134"/>
        <v>ROI II</v>
      </c>
      <c r="H4331" t="s">
        <v>3902</v>
      </c>
      <c r="I4331" t="s">
        <v>20</v>
      </c>
      <c r="J4331" t="s">
        <v>64</v>
      </c>
      <c r="K4331" s="6">
        <v>0.03</v>
      </c>
      <c r="L4331" s="7">
        <f t="shared" si="135"/>
        <v>2E-3</v>
      </c>
      <c r="M4331" s="7">
        <v>3.0000000000000001E-3</v>
      </c>
      <c r="N4331">
        <v>15</v>
      </c>
      <c r="O4331" s="8">
        <v>37.3006029315357</v>
      </c>
      <c r="P4331" s="9">
        <v>37.3006029315357</v>
      </c>
      <c r="Q4331" s="9">
        <v>37.3006029315357</v>
      </c>
      <c r="R4331" s="9">
        <v>37.954174833367482</v>
      </c>
      <c r="S4331" s="9">
        <v>38.461188195131434</v>
      </c>
      <c r="T4331" s="9">
        <v>39.070309384611662</v>
      </c>
      <c r="U4331" s="9">
        <v>50.995984043793037</v>
      </c>
      <c r="V4331" s="9">
        <v>50.995984043793037</v>
      </c>
      <c r="W4331" s="9">
        <v>50.995984043793037</v>
      </c>
      <c r="X4331" s="9">
        <v>64.105744170854834</v>
      </c>
      <c r="Y4331" s="9">
        <v>64.105744170854834</v>
      </c>
      <c r="Z4331" s="9">
        <v>77.318124291715549</v>
      </c>
      <c r="AA4331" s="9">
        <v>77.318124291715549</v>
      </c>
      <c r="AB4331" s="9">
        <v>90.643386405755081</v>
      </c>
      <c r="AC4331" s="9">
        <v>90.643386405755081</v>
      </c>
      <c r="AD4331" s="9">
        <v>106.09806999222619</v>
      </c>
      <c r="AE4331" s="9">
        <v>118.88426678367934</v>
      </c>
      <c r="AF4331" s="9">
        <v>131.80574823355238</v>
      </c>
      <c r="AG4331" s="9">
        <v>131.80574823355238</v>
      </c>
      <c r="AH4331" s="9">
        <v>145.75616170751147</v>
      </c>
      <c r="AI4331" s="9">
        <v>158.75189294311699</v>
      </c>
      <c r="AJ4331" s="9">
        <v>3.0428788910505911</v>
      </c>
    </row>
    <row r="4332" spans="1:36" x14ac:dyDescent="0.25">
      <c r="A4332" t="s">
        <v>5411</v>
      </c>
      <c r="B4332" t="s">
        <v>16</v>
      </c>
      <c r="C4332" t="s">
        <v>17</v>
      </c>
      <c r="D4332">
        <v>76974000</v>
      </c>
      <c r="E4332">
        <v>76975999</v>
      </c>
      <c r="F4332" t="s">
        <v>3940</v>
      </c>
      <c r="G4332" t="str">
        <f t="shared" si="134"/>
        <v>ROR</v>
      </c>
      <c r="H4332" t="s">
        <v>3902</v>
      </c>
      <c r="I4332" t="s">
        <v>20</v>
      </c>
      <c r="J4332" t="s">
        <v>77</v>
      </c>
      <c r="K4332" s="6">
        <v>0.03</v>
      </c>
      <c r="L4332" s="7">
        <f t="shared" si="135"/>
        <v>2E-3</v>
      </c>
      <c r="M4332" s="7">
        <v>3.0000000000000001E-3</v>
      </c>
      <c r="N4332">
        <v>17</v>
      </c>
      <c r="O4332" s="8">
        <v>52.356470025188507</v>
      </c>
      <c r="P4332" s="9">
        <v>52.356470025188507</v>
      </c>
      <c r="Q4332" s="9">
        <v>52.356470025188507</v>
      </c>
      <c r="R4332" s="9">
        <v>53.760206005810289</v>
      </c>
      <c r="S4332" s="9">
        <v>54.225347430867238</v>
      </c>
      <c r="T4332" s="9">
        <v>54.610644522460483</v>
      </c>
      <c r="U4332" s="9">
        <v>69.025126971275171</v>
      </c>
      <c r="V4332" s="9">
        <v>69.025126971275171</v>
      </c>
      <c r="W4332" s="9">
        <v>69.025126971275171</v>
      </c>
      <c r="X4332" s="9">
        <v>84.82781936027213</v>
      </c>
      <c r="Y4332" s="9">
        <v>84.82781936027213</v>
      </c>
      <c r="Z4332" s="9">
        <v>100.7364947991155</v>
      </c>
      <c r="AA4332" s="9">
        <v>100.7364947991155</v>
      </c>
      <c r="AB4332" s="9">
        <v>117.02508837332475</v>
      </c>
      <c r="AC4332" s="9">
        <v>117.02508837332475</v>
      </c>
      <c r="AD4332" s="9">
        <v>133.59992350616912</v>
      </c>
      <c r="AE4332" s="9">
        <v>150.48962435351206</v>
      </c>
      <c r="AF4332" s="9">
        <v>169.31808477390766</v>
      </c>
      <c r="AG4332" s="9">
        <v>169.31808477390766</v>
      </c>
      <c r="AH4332" s="9">
        <v>187.09436615045269</v>
      </c>
      <c r="AI4332" s="9">
        <v>204.90277882222901</v>
      </c>
      <c r="AJ4332" s="9">
        <v>3.0428788910505911</v>
      </c>
    </row>
    <row r="4333" spans="1:36" x14ac:dyDescent="0.25">
      <c r="A4333" t="s">
        <v>5411</v>
      </c>
      <c r="B4333" t="s">
        <v>16</v>
      </c>
      <c r="C4333" t="s">
        <v>17</v>
      </c>
      <c r="D4333">
        <v>76976000</v>
      </c>
      <c r="E4333">
        <v>76976999</v>
      </c>
      <c r="F4333" t="s">
        <v>3941</v>
      </c>
      <c r="G4333" t="str">
        <f t="shared" si="134"/>
        <v>ROR</v>
      </c>
      <c r="H4333" t="s">
        <v>3902</v>
      </c>
      <c r="I4333" t="s">
        <v>20</v>
      </c>
      <c r="J4333" t="s">
        <v>77</v>
      </c>
      <c r="K4333" s="6">
        <v>0.03</v>
      </c>
      <c r="L4333" s="7">
        <f t="shared" si="135"/>
        <v>2E-3</v>
      </c>
      <c r="M4333" s="7">
        <v>3.0000000000000001E-3</v>
      </c>
      <c r="N4333">
        <v>17</v>
      </c>
      <c r="O4333" s="8">
        <v>52.356470025188507</v>
      </c>
      <c r="P4333" s="9">
        <v>52.356470025188507</v>
      </c>
      <c r="Q4333" s="9">
        <v>52.356470025188507</v>
      </c>
      <c r="R4333" s="9">
        <v>53.760206005810289</v>
      </c>
      <c r="S4333" s="9">
        <v>54.225347430867238</v>
      </c>
      <c r="T4333" s="9">
        <v>54.610644522460483</v>
      </c>
      <c r="U4333" s="9">
        <v>69.025126971275171</v>
      </c>
      <c r="V4333" s="9">
        <v>69.025126971275171</v>
      </c>
      <c r="W4333" s="9">
        <v>69.025126971275171</v>
      </c>
      <c r="X4333" s="9">
        <v>84.82781936027213</v>
      </c>
      <c r="Y4333" s="9">
        <v>84.82781936027213</v>
      </c>
      <c r="Z4333" s="9">
        <v>100.7364947991155</v>
      </c>
      <c r="AA4333" s="9">
        <v>100.7364947991155</v>
      </c>
      <c r="AB4333" s="9">
        <v>117.02508837332475</v>
      </c>
      <c r="AC4333" s="9">
        <v>117.02508837332475</v>
      </c>
      <c r="AD4333" s="9">
        <v>133.59992350616912</v>
      </c>
      <c r="AE4333" s="9">
        <v>150.48962435351206</v>
      </c>
      <c r="AF4333" s="9">
        <v>169.31808477390766</v>
      </c>
      <c r="AG4333" s="9">
        <v>169.31808477390766</v>
      </c>
      <c r="AH4333" s="9">
        <v>187.09436615045269</v>
      </c>
      <c r="AI4333" s="9">
        <v>204.90277882222901</v>
      </c>
      <c r="AJ4333" s="9">
        <v>3.0428788910505911</v>
      </c>
    </row>
    <row r="4334" spans="1:36" x14ac:dyDescent="0.25">
      <c r="A4334" t="s">
        <v>5411</v>
      </c>
      <c r="B4334" t="s">
        <v>16</v>
      </c>
      <c r="C4334" t="s">
        <v>17</v>
      </c>
      <c r="D4334">
        <v>76977000</v>
      </c>
      <c r="E4334">
        <v>76978999</v>
      </c>
      <c r="F4334" t="s">
        <v>3942</v>
      </c>
      <c r="G4334" t="str">
        <f t="shared" si="134"/>
        <v>ROR</v>
      </c>
      <c r="H4334" t="s">
        <v>3902</v>
      </c>
      <c r="I4334" t="s">
        <v>20</v>
      </c>
      <c r="J4334" t="s">
        <v>77</v>
      </c>
      <c r="K4334" s="6">
        <v>0.03</v>
      </c>
      <c r="L4334" s="7">
        <f t="shared" si="135"/>
        <v>2E-3</v>
      </c>
      <c r="M4334" s="7">
        <v>3.0000000000000001E-3</v>
      </c>
      <c r="N4334">
        <v>17</v>
      </c>
      <c r="O4334" s="8">
        <v>52.356470025188507</v>
      </c>
      <c r="P4334" s="9">
        <v>52.356470025188507</v>
      </c>
      <c r="Q4334" s="9">
        <v>52.356470025188507</v>
      </c>
      <c r="R4334" s="9">
        <v>53.760206005810289</v>
      </c>
      <c r="S4334" s="9">
        <v>54.225347430867238</v>
      </c>
      <c r="T4334" s="9">
        <v>54.610644522460483</v>
      </c>
      <c r="U4334" s="9">
        <v>69.025126971275171</v>
      </c>
      <c r="V4334" s="9">
        <v>69.025126971275171</v>
      </c>
      <c r="W4334" s="9">
        <v>69.025126971275171</v>
      </c>
      <c r="X4334" s="9">
        <v>84.82781936027213</v>
      </c>
      <c r="Y4334" s="9">
        <v>84.82781936027213</v>
      </c>
      <c r="Z4334" s="9">
        <v>100.7364947991155</v>
      </c>
      <c r="AA4334" s="9">
        <v>100.7364947991155</v>
      </c>
      <c r="AB4334" s="9">
        <v>117.02508837332475</v>
      </c>
      <c r="AC4334" s="9">
        <v>117.02508837332475</v>
      </c>
      <c r="AD4334" s="9">
        <v>133.59992350616912</v>
      </c>
      <c r="AE4334" s="9">
        <v>150.48962435351206</v>
      </c>
      <c r="AF4334" s="9">
        <v>169.31808477390766</v>
      </c>
      <c r="AG4334" s="9">
        <v>169.31808477390766</v>
      </c>
      <c r="AH4334" s="9">
        <v>187.09436615045269</v>
      </c>
      <c r="AI4334" s="9">
        <v>204.90277882222901</v>
      </c>
      <c r="AJ4334" s="9">
        <v>3.0428788910505911</v>
      </c>
    </row>
    <row r="4335" spans="1:36" x14ac:dyDescent="0.25">
      <c r="A4335" t="s">
        <v>5411</v>
      </c>
      <c r="B4335" t="s">
        <v>16</v>
      </c>
      <c r="C4335" t="s">
        <v>17</v>
      </c>
      <c r="D4335">
        <v>76979000</v>
      </c>
      <c r="E4335">
        <v>76979999</v>
      </c>
      <c r="F4335" t="s">
        <v>3943</v>
      </c>
      <c r="G4335" t="str">
        <f t="shared" si="134"/>
        <v>ROR</v>
      </c>
      <c r="H4335" t="s">
        <v>3902</v>
      </c>
      <c r="I4335" t="s">
        <v>20</v>
      </c>
      <c r="J4335" t="s">
        <v>77</v>
      </c>
      <c r="K4335" s="6">
        <v>0.03</v>
      </c>
      <c r="L4335" s="7">
        <f t="shared" si="135"/>
        <v>2E-3</v>
      </c>
      <c r="M4335" s="7">
        <v>3.0000000000000001E-3</v>
      </c>
      <c r="N4335">
        <v>17</v>
      </c>
      <c r="O4335" s="8">
        <v>52.356470025188507</v>
      </c>
      <c r="P4335" s="9">
        <v>52.356470025188507</v>
      </c>
      <c r="Q4335" s="9">
        <v>52.356470025188507</v>
      </c>
      <c r="R4335" s="9">
        <v>53.760206005810289</v>
      </c>
      <c r="S4335" s="9">
        <v>54.225347430867238</v>
      </c>
      <c r="T4335" s="9">
        <v>54.610644522460483</v>
      </c>
      <c r="U4335" s="9">
        <v>69.025126971275171</v>
      </c>
      <c r="V4335" s="9">
        <v>69.025126971275171</v>
      </c>
      <c r="W4335" s="9">
        <v>69.025126971275171</v>
      </c>
      <c r="X4335" s="9">
        <v>84.82781936027213</v>
      </c>
      <c r="Y4335" s="9">
        <v>84.82781936027213</v>
      </c>
      <c r="Z4335" s="9">
        <v>100.7364947991155</v>
      </c>
      <c r="AA4335" s="9">
        <v>100.7364947991155</v>
      </c>
      <c r="AB4335" s="9">
        <v>117.02508837332475</v>
      </c>
      <c r="AC4335" s="9">
        <v>117.02508837332475</v>
      </c>
      <c r="AD4335" s="9">
        <v>133.59992350616912</v>
      </c>
      <c r="AE4335" s="9">
        <v>150.48962435351206</v>
      </c>
      <c r="AF4335" s="9">
        <v>169.31808477390766</v>
      </c>
      <c r="AG4335" s="9">
        <v>169.31808477390766</v>
      </c>
      <c r="AH4335" s="9">
        <v>187.09436615045269</v>
      </c>
      <c r="AI4335" s="9">
        <v>204.90277882222901</v>
      </c>
      <c r="AJ4335" s="9">
        <v>3.0428788910505911</v>
      </c>
    </row>
    <row r="4336" spans="1:36" x14ac:dyDescent="0.25">
      <c r="A4336" t="s">
        <v>5411</v>
      </c>
      <c r="B4336" t="s">
        <v>16</v>
      </c>
      <c r="C4336" t="s">
        <v>17</v>
      </c>
      <c r="D4336">
        <v>76980000</v>
      </c>
      <c r="E4336">
        <v>76980001</v>
      </c>
      <c r="F4336" t="s">
        <v>3944</v>
      </c>
      <c r="G4336" t="str">
        <f t="shared" si="134"/>
        <v>ROI II</v>
      </c>
      <c r="H4336" t="s">
        <v>3902</v>
      </c>
      <c r="I4336" t="s">
        <v>20</v>
      </c>
      <c r="J4336" t="s">
        <v>64</v>
      </c>
      <c r="K4336" s="6">
        <v>0.03</v>
      </c>
      <c r="L4336" s="7">
        <f t="shared" si="135"/>
        <v>2E-3</v>
      </c>
      <c r="M4336" s="7">
        <v>3.0000000000000001E-3</v>
      </c>
      <c r="N4336">
        <v>15</v>
      </c>
      <c r="O4336" s="8">
        <v>37.3006029315357</v>
      </c>
      <c r="P4336" s="9">
        <v>37.3006029315357</v>
      </c>
      <c r="Q4336" s="9">
        <v>37.3006029315357</v>
      </c>
      <c r="R4336" s="9">
        <v>37.954174833367482</v>
      </c>
      <c r="S4336" s="9">
        <v>38.461188195131434</v>
      </c>
      <c r="T4336" s="9">
        <v>39.070309384611662</v>
      </c>
      <c r="U4336" s="9">
        <v>50.995984043793037</v>
      </c>
      <c r="V4336" s="9">
        <v>50.995984043793037</v>
      </c>
      <c r="W4336" s="9">
        <v>50.995984043793037</v>
      </c>
      <c r="X4336" s="9">
        <v>64.105744170854834</v>
      </c>
      <c r="Y4336" s="9">
        <v>64.105744170854834</v>
      </c>
      <c r="Z4336" s="9">
        <v>77.318124291715549</v>
      </c>
      <c r="AA4336" s="9">
        <v>77.318124291715549</v>
      </c>
      <c r="AB4336" s="9">
        <v>90.643386405755081</v>
      </c>
      <c r="AC4336" s="9">
        <v>90.643386405755081</v>
      </c>
      <c r="AD4336" s="9">
        <v>106.09806999222619</v>
      </c>
      <c r="AE4336" s="9">
        <v>118.88426678367934</v>
      </c>
      <c r="AF4336" s="9">
        <v>131.80574823355238</v>
      </c>
      <c r="AG4336" s="9">
        <v>131.80574823355238</v>
      </c>
      <c r="AH4336" s="9">
        <v>145.75616170751147</v>
      </c>
      <c r="AI4336" s="9">
        <v>158.75189294311699</v>
      </c>
      <c r="AJ4336" s="9">
        <v>3.0428788910505911</v>
      </c>
    </row>
    <row r="4337" spans="1:36" x14ac:dyDescent="0.25">
      <c r="A4337" t="s">
        <v>5411</v>
      </c>
      <c r="B4337" t="s">
        <v>16</v>
      </c>
      <c r="C4337" t="s">
        <v>17</v>
      </c>
      <c r="D4337">
        <v>76980002</v>
      </c>
      <c r="E4337">
        <v>76989999</v>
      </c>
      <c r="F4337" t="s">
        <v>3944</v>
      </c>
      <c r="G4337" t="str">
        <f t="shared" si="134"/>
        <v>ROI II</v>
      </c>
      <c r="H4337" t="s">
        <v>3902</v>
      </c>
      <c r="I4337" t="s">
        <v>20</v>
      </c>
      <c r="J4337" t="s">
        <v>64</v>
      </c>
      <c r="K4337" s="6">
        <v>0.03</v>
      </c>
      <c r="L4337" s="7">
        <f t="shared" si="135"/>
        <v>2E-3</v>
      </c>
      <c r="M4337" s="7">
        <v>3.0000000000000001E-3</v>
      </c>
      <c r="N4337">
        <v>15</v>
      </c>
      <c r="O4337" s="8">
        <v>37.3006029315357</v>
      </c>
      <c r="P4337" s="9">
        <v>37.3006029315357</v>
      </c>
      <c r="Q4337" s="9">
        <v>37.3006029315357</v>
      </c>
      <c r="R4337" s="9">
        <v>37.954174833367482</v>
      </c>
      <c r="S4337" s="9">
        <v>38.461188195131434</v>
      </c>
      <c r="T4337" s="9">
        <v>39.070309384611662</v>
      </c>
      <c r="U4337" s="9">
        <v>50.995984043793037</v>
      </c>
      <c r="V4337" s="9">
        <v>50.995984043793037</v>
      </c>
      <c r="W4337" s="9">
        <v>50.995984043793037</v>
      </c>
      <c r="X4337" s="9">
        <v>64.105744170854834</v>
      </c>
      <c r="Y4337" s="9">
        <v>64.105744170854834</v>
      </c>
      <c r="Z4337" s="9">
        <v>77.318124291715549</v>
      </c>
      <c r="AA4337" s="9">
        <v>77.318124291715549</v>
      </c>
      <c r="AB4337" s="9">
        <v>90.643386405755081</v>
      </c>
      <c r="AC4337" s="9">
        <v>90.643386405755081</v>
      </c>
      <c r="AD4337" s="9">
        <v>106.09806999222619</v>
      </c>
      <c r="AE4337" s="9">
        <v>118.88426678367934</v>
      </c>
      <c r="AF4337" s="9">
        <v>131.80574823355238</v>
      </c>
      <c r="AG4337" s="9">
        <v>131.80574823355238</v>
      </c>
      <c r="AH4337" s="9">
        <v>145.75616170751147</v>
      </c>
      <c r="AI4337" s="9">
        <v>158.75189294311699</v>
      </c>
      <c r="AJ4337" s="9">
        <v>3.0428788910505911</v>
      </c>
    </row>
    <row r="4338" spans="1:36" x14ac:dyDescent="0.25">
      <c r="A4338" t="s">
        <v>5411</v>
      </c>
      <c r="B4338" t="s">
        <v>16</v>
      </c>
      <c r="C4338" t="s">
        <v>17</v>
      </c>
      <c r="D4338">
        <v>76990000</v>
      </c>
      <c r="E4338">
        <v>76992999</v>
      </c>
      <c r="F4338" t="s">
        <v>3945</v>
      </c>
      <c r="G4338" t="str">
        <f t="shared" si="134"/>
        <v>ROR</v>
      </c>
      <c r="H4338" t="s">
        <v>3902</v>
      </c>
      <c r="I4338" t="s">
        <v>20</v>
      </c>
      <c r="J4338" t="s">
        <v>77</v>
      </c>
      <c r="K4338" s="6">
        <v>0.03</v>
      </c>
      <c r="L4338" s="7">
        <f t="shared" si="135"/>
        <v>2E-3</v>
      </c>
      <c r="M4338" s="7">
        <v>3.0000000000000001E-3</v>
      </c>
      <c r="N4338">
        <v>17</v>
      </c>
      <c r="O4338" s="8">
        <v>52.356470025188507</v>
      </c>
      <c r="P4338" s="9">
        <v>52.356470025188507</v>
      </c>
      <c r="Q4338" s="9">
        <v>52.356470025188507</v>
      </c>
      <c r="R4338" s="9">
        <v>53.760206005810289</v>
      </c>
      <c r="S4338" s="9">
        <v>54.225347430867238</v>
      </c>
      <c r="T4338" s="9">
        <v>54.610644522460483</v>
      </c>
      <c r="U4338" s="9">
        <v>69.025126971275171</v>
      </c>
      <c r="V4338" s="9">
        <v>69.025126971275171</v>
      </c>
      <c r="W4338" s="9">
        <v>69.025126971275171</v>
      </c>
      <c r="X4338" s="9">
        <v>84.82781936027213</v>
      </c>
      <c r="Y4338" s="9">
        <v>84.82781936027213</v>
      </c>
      <c r="Z4338" s="9">
        <v>100.7364947991155</v>
      </c>
      <c r="AA4338" s="9">
        <v>100.7364947991155</v>
      </c>
      <c r="AB4338" s="9">
        <v>117.02508837332475</v>
      </c>
      <c r="AC4338" s="9">
        <v>117.02508837332475</v>
      </c>
      <c r="AD4338" s="9">
        <v>133.59992350616912</v>
      </c>
      <c r="AE4338" s="9">
        <v>150.48962435351206</v>
      </c>
      <c r="AF4338" s="9">
        <v>169.31808477390766</v>
      </c>
      <c r="AG4338" s="9">
        <v>169.31808477390766</v>
      </c>
      <c r="AH4338" s="9">
        <v>187.09436615045269</v>
      </c>
      <c r="AI4338" s="9">
        <v>204.90277882222901</v>
      </c>
      <c r="AJ4338" s="9">
        <v>3.0428788910505911</v>
      </c>
    </row>
    <row r="4339" spans="1:36" x14ac:dyDescent="0.25">
      <c r="A4339" t="s">
        <v>5411</v>
      </c>
      <c r="B4339" t="s">
        <v>16</v>
      </c>
      <c r="C4339" t="s">
        <v>17</v>
      </c>
      <c r="D4339">
        <v>76993000</v>
      </c>
      <c r="E4339">
        <v>76993999</v>
      </c>
      <c r="F4339" t="s">
        <v>3946</v>
      </c>
      <c r="G4339" t="str">
        <f t="shared" si="134"/>
        <v>ROR</v>
      </c>
      <c r="H4339" t="s">
        <v>3902</v>
      </c>
      <c r="I4339" t="s">
        <v>20</v>
      </c>
      <c r="J4339" t="s">
        <v>77</v>
      </c>
      <c r="K4339" s="6">
        <v>0.03</v>
      </c>
      <c r="L4339" s="7">
        <f t="shared" si="135"/>
        <v>2E-3</v>
      </c>
      <c r="M4339" s="7">
        <v>3.0000000000000001E-3</v>
      </c>
      <c r="N4339">
        <v>17</v>
      </c>
      <c r="O4339" s="8">
        <v>52.356470025188507</v>
      </c>
      <c r="P4339" s="9">
        <v>52.356470025188507</v>
      </c>
      <c r="Q4339" s="9">
        <v>52.356470025188507</v>
      </c>
      <c r="R4339" s="9">
        <v>53.760206005810289</v>
      </c>
      <c r="S4339" s="9">
        <v>54.225347430867238</v>
      </c>
      <c r="T4339" s="9">
        <v>54.610644522460483</v>
      </c>
      <c r="U4339" s="9">
        <v>69.025126971275171</v>
      </c>
      <c r="V4339" s="9">
        <v>69.025126971275171</v>
      </c>
      <c r="W4339" s="9">
        <v>69.025126971275171</v>
      </c>
      <c r="X4339" s="9">
        <v>84.82781936027213</v>
      </c>
      <c r="Y4339" s="9">
        <v>84.82781936027213</v>
      </c>
      <c r="Z4339" s="9">
        <v>100.7364947991155</v>
      </c>
      <c r="AA4339" s="9">
        <v>100.7364947991155</v>
      </c>
      <c r="AB4339" s="9">
        <v>117.02508837332475</v>
      </c>
      <c r="AC4339" s="9">
        <v>117.02508837332475</v>
      </c>
      <c r="AD4339" s="9">
        <v>133.59992350616912</v>
      </c>
      <c r="AE4339" s="9">
        <v>150.48962435351206</v>
      </c>
      <c r="AF4339" s="9">
        <v>169.31808477390766</v>
      </c>
      <c r="AG4339" s="9">
        <v>169.31808477390766</v>
      </c>
      <c r="AH4339" s="9">
        <v>187.09436615045269</v>
      </c>
      <c r="AI4339" s="9">
        <v>204.90277882222901</v>
      </c>
      <c r="AJ4339" s="9">
        <v>3.0428788910505911</v>
      </c>
    </row>
    <row r="4340" spans="1:36" x14ac:dyDescent="0.25">
      <c r="A4340" t="s">
        <v>5411</v>
      </c>
      <c r="B4340" t="s">
        <v>16</v>
      </c>
      <c r="C4340" t="s">
        <v>17</v>
      </c>
      <c r="D4340">
        <v>76994000</v>
      </c>
      <c r="E4340">
        <v>76994999</v>
      </c>
      <c r="F4340" t="s">
        <v>3947</v>
      </c>
      <c r="G4340" t="str">
        <f t="shared" si="134"/>
        <v>ROR</v>
      </c>
      <c r="H4340" t="s">
        <v>3902</v>
      </c>
      <c r="I4340" t="s">
        <v>20</v>
      </c>
      <c r="J4340" t="s">
        <v>77</v>
      </c>
      <c r="K4340" s="6">
        <v>0.03</v>
      </c>
      <c r="L4340" s="7">
        <f t="shared" si="135"/>
        <v>2E-3</v>
      </c>
      <c r="M4340" s="7">
        <v>3.0000000000000001E-3</v>
      </c>
      <c r="N4340">
        <v>17</v>
      </c>
      <c r="O4340" s="8">
        <v>52.356470025188507</v>
      </c>
      <c r="P4340" s="9">
        <v>52.356470025188507</v>
      </c>
      <c r="Q4340" s="9">
        <v>52.356470025188507</v>
      </c>
      <c r="R4340" s="9">
        <v>53.760206005810289</v>
      </c>
      <c r="S4340" s="9">
        <v>54.225347430867238</v>
      </c>
      <c r="T4340" s="9">
        <v>54.610644522460483</v>
      </c>
      <c r="U4340" s="9">
        <v>69.025126971275171</v>
      </c>
      <c r="V4340" s="9">
        <v>69.025126971275171</v>
      </c>
      <c r="W4340" s="9">
        <v>69.025126971275171</v>
      </c>
      <c r="X4340" s="9">
        <v>84.82781936027213</v>
      </c>
      <c r="Y4340" s="9">
        <v>84.82781936027213</v>
      </c>
      <c r="Z4340" s="9">
        <v>100.7364947991155</v>
      </c>
      <c r="AA4340" s="9">
        <v>100.7364947991155</v>
      </c>
      <c r="AB4340" s="9">
        <v>117.02508837332475</v>
      </c>
      <c r="AC4340" s="9">
        <v>117.02508837332475</v>
      </c>
      <c r="AD4340" s="9">
        <v>133.59992350616912</v>
      </c>
      <c r="AE4340" s="9">
        <v>150.48962435351206</v>
      </c>
      <c r="AF4340" s="9">
        <v>169.31808477390766</v>
      </c>
      <c r="AG4340" s="9">
        <v>169.31808477390766</v>
      </c>
      <c r="AH4340" s="9">
        <v>187.09436615045269</v>
      </c>
      <c r="AI4340" s="9">
        <v>204.90277882222901</v>
      </c>
      <c r="AJ4340" s="9">
        <v>3.0428788910505911</v>
      </c>
    </row>
    <row r="4341" spans="1:36" x14ac:dyDescent="0.25">
      <c r="A4341" t="s">
        <v>5411</v>
      </c>
      <c r="B4341" t="s">
        <v>16</v>
      </c>
      <c r="C4341" t="s">
        <v>17</v>
      </c>
      <c r="D4341">
        <v>76995000</v>
      </c>
      <c r="E4341">
        <v>76996999</v>
      </c>
      <c r="F4341" t="s">
        <v>3948</v>
      </c>
      <c r="G4341" t="str">
        <f t="shared" si="134"/>
        <v>ROR</v>
      </c>
      <c r="H4341" t="s">
        <v>3902</v>
      </c>
      <c r="I4341" t="s">
        <v>20</v>
      </c>
      <c r="J4341" t="s">
        <v>77</v>
      </c>
      <c r="K4341" s="6">
        <v>0.03</v>
      </c>
      <c r="L4341" s="7">
        <f t="shared" si="135"/>
        <v>2E-3</v>
      </c>
      <c r="M4341" s="7">
        <v>3.0000000000000001E-3</v>
      </c>
      <c r="N4341">
        <v>17</v>
      </c>
      <c r="O4341" s="8">
        <v>52.356470025188507</v>
      </c>
      <c r="P4341" s="9">
        <v>52.356470025188507</v>
      </c>
      <c r="Q4341" s="9">
        <v>52.356470025188507</v>
      </c>
      <c r="R4341" s="9">
        <v>53.760206005810289</v>
      </c>
      <c r="S4341" s="9">
        <v>54.225347430867238</v>
      </c>
      <c r="T4341" s="9">
        <v>54.610644522460483</v>
      </c>
      <c r="U4341" s="9">
        <v>69.025126971275171</v>
      </c>
      <c r="V4341" s="9">
        <v>69.025126971275171</v>
      </c>
      <c r="W4341" s="9">
        <v>69.025126971275171</v>
      </c>
      <c r="X4341" s="9">
        <v>84.82781936027213</v>
      </c>
      <c r="Y4341" s="9">
        <v>84.82781936027213</v>
      </c>
      <c r="Z4341" s="9">
        <v>100.7364947991155</v>
      </c>
      <c r="AA4341" s="9">
        <v>100.7364947991155</v>
      </c>
      <c r="AB4341" s="9">
        <v>117.02508837332475</v>
      </c>
      <c r="AC4341" s="9">
        <v>117.02508837332475</v>
      </c>
      <c r="AD4341" s="9">
        <v>133.59992350616912</v>
      </c>
      <c r="AE4341" s="9">
        <v>150.48962435351206</v>
      </c>
      <c r="AF4341" s="9">
        <v>169.31808477390766</v>
      </c>
      <c r="AG4341" s="9">
        <v>169.31808477390766</v>
      </c>
      <c r="AH4341" s="9">
        <v>187.09436615045269</v>
      </c>
      <c r="AI4341" s="9">
        <v>204.90277882222901</v>
      </c>
      <c r="AJ4341" s="9">
        <v>3.0428788910505911</v>
      </c>
    </row>
    <row r="4342" spans="1:36" x14ac:dyDescent="0.25">
      <c r="A4342" t="s">
        <v>5411</v>
      </c>
      <c r="B4342" t="s">
        <v>16</v>
      </c>
      <c r="C4342" t="s">
        <v>17</v>
      </c>
      <c r="D4342">
        <v>76997000</v>
      </c>
      <c r="E4342">
        <v>76998999</v>
      </c>
      <c r="F4342" t="s">
        <v>3949</v>
      </c>
      <c r="G4342" t="str">
        <f t="shared" si="134"/>
        <v>ROR</v>
      </c>
      <c r="H4342" t="s">
        <v>3902</v>
      </c>
      <c r="I4342" t="s">
        <v>20</v>
      </c>
      <c r="J4342" t="s">
        <v>77</v>
      </c>
      <c r="K4342" s="6">
        <v>0.03</v>
      </c>
      <c r="L4342" s="7">
        <f t="shared" si="135"/>
        <v>2E-3</v>
      </c>
      <c r="M4342" s="7">
        <v>3.0000000000000001E-3</v>
      </c>
      <c r="N4342">
        <v>17</v>
      </c>
      <c r="O4342" s="8">
        <v>52.356470025188507</v>
      </c>
      <c r="P4342" s="9">
        <v>52.356470025188507</v>
      </c>
      <c r="Q4342" s="9">
        <v>52.356470025188507</v>
      </c>
      <c r="R4342" s="9">
        <v>53.760206005810289</v>
      </c>
      <c r="S4342" s="9">
        <v>54.225347430867238</v>
      </c>
      <c r="T4342" s="9">
        <v>54.610644522460483</v>
      </c>
      <c r="U4342" s="9">
        <v>69.025126971275171</v>
      </c>
      <c r="V4342" s="9">
        <v>69.025126971275171</v>
      </c>
      <c r="W4342" s="9">
        <v>69.025126971275171</v>
      </c>
      <c r="X4342" s="9">
        <v>84.82781936027213</v>
      </c>
      <c r="Y4342" s="9">
        <v>84.82781936027213</v>
      </c>
      <c r="Z4342" s="9">
        <v>100.7364947991155</v>
      </c>
      <c r="AA4342" s="9">
        <v>100.7364947991155</v>
      </c>
      <c r="AB4342" s="9">
        <v>117.02508837332475</v>
      </c>
      <c r="AC4342" s="9">
        <v>117.02508837332475</v>
      </c>
      <c r="AD4342" s="9">
        <v>133.59992350616912</v>
      </c>
      <c r="AE4342" s="9">
        <v>150.48962435351206</v>
      </c>
      <c r="AF4342" s="9">
        <v>169.31808477390766</v>
      </c>
      <c r="AG4342" s="9">
        <v>169.31808477390766</v>
      </c>
      <c r="AH4342" s="9">
        <v>187.09436615045269</v>
      </c>
      <c r="AI4342" s="9">
        <v>204.90277882222901</v>
      </c>
      <c r="AJ4342" s="9">
        <v>3.0428788910505911</v>
      </c>
    </row>
    <row r="4343" spans="1:36" x14ac:dyDescent="0.25">
      <c r="A4343" t="s">
        <v>5411</v>
      </c>
      <c r="B4343" t="s">
        <v>16</v>
      </c>
      <c r="C4343" t="s">
        <v>17</v>
      </c>
      <c r="D4343">
        <v>76999000</v>
      </c>
      <c r="E4343">
        <v>76999999</v>
      </c>
      <c r="F4343" t="s">
        <v>3950</v>
      </c>
      <c r="G4343" t="str">
        <f t="shared" si="134"/>
        <v>ROR</v>
      </c>
      <c r="H4343" t="s">
        <v>3902</v>
      </c>
      <c r="I4343" t="s">
        <v>20</v>
      </c>
      <c r="J4343" t="s">
        <v>77</v>
      </c>
      <c r="K4343" s="6">
        <v>0.03</v>
      </c>
      <c r="L4343" s="7">
        <f t="shared" si="135"/>
        <v>2E-3</v>
      </c>
      <c r="M4343" s="7">
        <v>3.0000000000000001E-3</v>
      </c>
      <c r="N4343">
        <v>17</v>
      </c>
      <c r="O4343" s="8">
        <v>52.356470025188507</v>
      </c>
      <c r="P4343" s="9">
        <v>52.356470025188507</v>
      </c>
      <c r="Q4343" s="9">
        <v>52.356470025188507</v>
      </c>
      <c r="R4343" s="9">
        <v>53.760206005810289</v>
      </c>
      <c r="S4343" s="9">
        <v>54.225347430867238</v>
      </c>
      <c r="T4343" s="9">
        <v>54.610644522460483</v>
      </c>
      <c r="U4343" s="9">
        <v>69.025126971275171</v>
      </c>
      <c r="V4343" s="9">
        <v>69.025126971275171</v>
      </c>
      <c r="W4343" s="9">
        <v>69.025126971275171</v>
      </c>
      <c r="X4343" s="9">
        <v>84.82781936027213</v>
      </c>
      <c r="Y4343" s="9">
        <v>84.82781936027213</v>
      </c>
      <c r="Z4343" s="9">
        <v>100.7364947991155</v>
      </c>
      <c r="AA4343" s="9">
        <v>100.7364947991155</v>
      </c>
      <c r="AB4343" s="9">
        <v>117.02508837332475</v>
      </c>
      <c r="AC4343" s="9">
        <v>117.02508837332475</v>
      </c>
      <c r="AD4343" s="9">
        <v>133.59992350616912</v>
      </c>
      <c r="AE4343" s="9">
        <v>150.48962435351206</v>
      </c>
      <c r="AF4343" s="9">
        <v>169.31808477390766</v>
      </c>
      <c r="AG4343" s="9">
        <v>169.31808477390766</v>
      </c>
      <c r="AH4343" s="9">
        <v>187.09436615045269</v>
      </c>
      <c r="AI4343" s="9">
        <v>204.90277882222901</v>
      </c>
      <c r="AJ4343" s="9">
        <v>3.0428788910505911</v>
      </c>
    </row>
    <row r="4344" spans="1:36" x14ac:dyDescent="0.25">
      <c r="A4344" t="s">
        <v>5411</v>
      </c>
      <c r="B4344" t="s">
        <v>16</v>
      </c>
      <c r="C4344" t="s">
        <v>17</v>
      </c>
      <c r="D4344">
        <v>77000000</v>
      </c>
      <c r="E4344">
        <v>77299999</v>
      </c>
      <c r="F4344" t="s">
        <v>3951</v>
      </c>
      <c r="G4344" t="str">
        <f t="shared" si="134"/>
        <v>TOC</v>
      </c>
      <c r="H4344" t="s">
        <v>3952</v>
      </c>
      <c r="I4344" t="s">
        <v>20</v>
      </c>
      <c r="J4344" t="s">
        <v>21</v>
      </c>
      <c r="K4344" s="6">
        <v>0.03</v>
      </c>
      <c r="L4344" s="7">
        <f t="shared" si="135"/>
        <v>2E-3</v>
      </c>
      <c r="M4344" s="7">
        <v>3.0000000000000001E-3</v>
      </c>
      <c r="N4344">
        <v>12</v>
      </c>
      <c r="O4344" s="8">
        <v>22.029671018570404</v>
      </c>
      <c r="P4344" s="9">
        <v>22.029671018570404</v>
      </c>
      <c r="Q4344" s="9">
        <v>22.029671018570404</v>
      </c>
      <c r="R4344" s="9">
        <v>22.348827735767482</v>
      </c>
      <c r="S4344" s="9">
        <v>22.57988097354675</v>
      </c>
      <c r="T4344" s="9">
        <v>23.245187493169556</v>
      </c>
      <c r="U4344" s="9">
        <v>29.04747341217541</v>
      </c>
      <c r="V4344" s="9">
        <v>29.04747341217541</v>
      </c>
      <c r="W4344" s="9">
        <v>29.04747341217541</v>
      </c>
      <c r="X4344" s="9">
        <v>35.796996885218697</v>
      </c>
      <c r="Y4344" s="9">
        <v>35.796996885218697</v>
      </c>
      <c r="Z4344" s="9">
        <v>43.245586540150029</v>
      </c>
      <c r="AA4344" s="9">
        <v>43.245586540150029</v>
      </c>
      <c r="AB4344" s="9">
        <v>50.792499381977308</v>
      </c>
      <c r="AC4344" s="9">
        <v>50.792499381977308</v>
      </c>
      <c r="AD4344" s="9">
        <v>57.843551011239057</v>
      </c>
      <c r="AE4344" s="9">
        <v>65.440289275264959</v>
      </c>
      <c r="AF4344" s="9">
        <v>72.839952896143416</v>
      </c>
      <c r="AG4344" s="9">
        <v>72.839952896143416</v>
      </c>
      <c r="AH4344" s="9">
        <v>80.440483426477286</v>
      </c>
      <c r="AI4344" s="9">
        <v>87.495846239603594</v>
      </c>
      <c r="AJ4344" s="9">
        <v>3.0428788910505911</v>
      </c>
    </row>
    <row r="4345" spans="1:36" x14ac:dyDescent="0.25">
      <c r="A4345" t="s">
        <v>5411</v>
      </c>
      <c r="B4345" t="s">
        <v>16</v>
      </c>
      <c r="C4345" t="s">
        <v>17</v>
      </c>
      <c r="D4345">
        <v>77300000</v>
      </c>
      <c r="E4345">
        <v>77302999</v>
      </c>
      <c r="F4345" t="s">
        <v>3953</v>
      </c>
      <c r="G4345" t="str">
        <f t="shared" si="134"/>
        <v>TOR</v>
      </c>
      <c r="H4345" t="s">
        <v>3952</v>
      </c>
      <c r="I4345" t="s">
        <v>20</v>
      </c>
      <c r="J4345" t="s">
        <v>77</v>
      </c>
      <c r="K4345" s="6">
        <v>0.03</v>
      </c>
      <c r="L4345" s="7">
        <f t="shared" si="135"/>
        <v>2E-3</v>
      </c>
      <c r="M4345" s="7">
        <v>3.0000000000000001E-3</v>
      </c>
      <c r="N4345">
        <v>17</v>
      </c>
      <c r="O4345" s="8">
        <v>49.365095147237867</v>
      </c>
      <c r="P4345" s="9">
        <v>49.365095147237867</v>
      </c>
      <c r="Q4345" s="9">
        <v>49.365095147237867</v>
      </c>
      <c r="R4345" s="9">
        <v>50.770888721957412</v>
      </c>
      <c r="S4345" s="9">
        <v>52.200434315108524</v>
      </c>
      <c r="T4345" s="9">
        <v>52.724840228616593</v>
      </c>
      <c r="U4345" s="9">
        <v>59.472638024172305</v>
      </c>
      <c r="V4345" s="9">
        <v>59.472638024172305</v>
      </c>
      <c r="W4345" s="9">
        <v>59.472638024172305</v>
      </c>
      <c r="X4345" s="9">
        <v>72.142723701589546</v>
      </c>
      <c r="Y4345" s="9">
        <v>72.142723701589546</v>
      </c>
      <c r="Z4345" s="9">
        <v>81.509458318176925</v>
      </c>
      <c r="AA4345" s="9">
        <v>81.509458318176925</v>
      </c>
      <c r="AB4345" s="9">
        <v>89.863972899994664</v>
      </c>
      <c r="AC4345" s="9">
        <v>89.863972899994664</v>
      </c>
      <c r="AD4345" s="9">
        <v>98.618648314994076</v>
      </c>
      <c r="AE4345" s="9">
        <v>108.72378502149357</v>
      </c>
      <c r="AF4345" s="9">
        <v>120.36692993447016</v>
      </c>
      <c r="AG4345" s="9">
        <v>120.36692993447016</v>
      </c>
      <c r="AH4345" s="9">
        <v>131.35112917791719</v>
      </c>
      <c r="AI4345" s="9">
        <v>142.33181861642981</v>
      </c>
      <c r="AJ4345" s="9">
        <v>3.0428788910505911</v>
      </c>
    </row>
    <row r="4346" spans="1:36" x14ac:dyDescent="0.25">
      <c r="A4346" t="s">
        <v>5411</v>
      </c>
      <c r="B4346" t="s">
        <v>16</v>
      </c>
      <c r="C4346" t="s">
        <v>17</v>
      </c>
      <c r="D4346">
        <v>77303000</v>
      </c>
      <c r="E4346">
        <v>77304999</v>
      </c>
      <c r="F4346" t="s">
        <v>3954</v>
      </c>
      <c r="G4346" t="str">
        <f t="shared" si="134"/>
        <v>TOR</v>
      </c>
      <c r="H4346" t="s">
        <v>3952</v>
      </c>
      <c r="I4346" t="s">
        <v>20</v>
      </c>
      <c r="J4346" t="s">
        <v>77</v>
      </c>
      <c r="K4346" s="6">
        <v>0.03</v>
      </c>
      <c r="L4346" s="7">
        <f t="shared" si="135"/>
        <v>2E-3</v>
      </c>
      <c r="M4346" s="7">
        <v>3.0000000000000001E-3</v>
      </c>
      <c r="N4346">
        <v>17</v>
      </c>
      <c r="O4346" s="8">
        <v>49.365095147237867</v>
      </c>
      <c r="P4346" s="9">
        <v>49.365095147237867</v>
      </c>
      <c r="Q4346" s="9">
        <v>49.365095147237867</v>
      </c>
      <c r="R4346" s="9">
        <v>50.770888721957412</v>
      </c>
      <c r="S4346" s="9">
        <v>52.200434315108524</v>
      </c>
      <c r="T4346" s="9">
        <v>52.724840228616593</v>
      </c>
      <c r="U4346" s="9">
        <v>59.472638024172305</v>
      </c>
      <c r="V4346" s="9">
        <v>59.472638024172305</v>
      </c>
      <c r="W4346" s="9">
        <v>59.472638024172305</v>
      </c>
      <c r="X4346" s="9">
        <v>72.142723701589546</v>
      </c>
      <c r="Y4346" s="9">
        <v>72.142723701589546</v>
      </c>
      <c r="Z4346" s="9">
        <v>81.509458318176925</v>
      </c>
      <c r="AA4346" s="9">
        <v>81.509458318176925</v>
      </c>
      <c r="AB4346" s="9">
        <v>89.863972899994664</v>
      </c>
      <c r="AC4346" s="9">
        <v>89.863972899994664</v>
      </c>
      <c r="AD4346" s="9">
        <v>98.618648314994076</v>
      </c>
      <c r="AE4346" s="9">
        <v>108.72378502149357</v>
      </c>
      <c r="AF4346" s="9">
        <v>120.36692993447016</v>
      </c>
      <c r="AG4346" s="9">
        <v>120.36692993447016</v>
      </c>
      <c r="AH4346" s="9">
        <v>131.35112917791719</v>
      </c>
      <c r="AI4346" s="9">
        <v>142.33181861642981</v>
      </c>
      <c r="AJ4346" s="9">
        <v>3.0428788910505911</v>
      </c>
    </row>
    <row r="4347" spans="1:36" x14ac:dyDescent="0.25">
      <c r="A4347" t="s">
        <v>5411</v>
      </c>
      <c r="B4347" t="s">
        <v>16</v>
      </c>
      <c r="C4347" t="s">
        <v>17</v>
      </c>
      <c r="D4347">
        <v>77305000</v>
      </c>
      <c r="E4347">
        <v>77307999</v>
      </c>
      <c r="F4347" t="s">
        <v>3955</v>
      </c>
      <c r="G4347" t="str">
        <f t="shared" si="134"/>
        <v>TOR</v>
      </c>
      <c r="H4347" t="s">
        <v>3952</v>
      </c>
      <c r="I4347" t="s">
        <v>20</v>
      </c>
      <c r="J4347" t="s">
        <v>77</v>
      </c>
      <c r="K4347" s="6">
        <v>0.03</v>
      </c>
      <c r="L4347" s="7">
        <f t="shared" si="135"/>
        <v>2E-3</v>
      </c>
      <c r="M4347" s="7">
        <v>3.0000000000000001E-3</v>
      </c>
      <c r="N4347">
        <v>17</v>
      </c>
      <c r="O4347" s="8">
        <v>49.365095147237867</v>
      </c>
      <c r="P4347" s="9">
        <v>49.365095147237867</v>
      </c>
      <c r="Q4347" s="9">
        <v>49.365095147237867</v>
      </c>
      <c r="R4347" s="9">
        <v>50.770888721957412</v>
      </c>
      <c r="S4347" s="9">
        <v>52.200434315108524</v>
      </c>
      <c r="T4347" s="9">
        <v>52.724840228616593</v>
      </c>
      <c r="U4347" s="9">
        <v>59.472638024172305</v>
      </c>
      <c r="V4347" s="9">
        <v>59.472638024172305</v>
      </c>
      <c r="W4347" s="9">
        <v>59.472638024172305</v>
      </c>
      <c r="X4347" s="9">
        <v>72.142723701589546</v>
      </c>
      <c r="Y4347" s="9">
        <v>72.142723701589546</v>
      </c>
      <c r="Z4347" s="9">
        <v>81.509458318176925</v>
      </c>
      <c r="AA4347" s="9">
        <v>81.509458318176925</v>
      </c>
      <c r="AB4347" s="9">
        <v>89.863972899994664</v>
      </c>
      <c r="AC4347" s="9">
        <v>89.863972899994664</v>
      </c>
      <c r="AD4347" s="9">
        <v>98.618648314994076</v>
      </c>
      <c r="AE4347" s="9">
        <v>108.72378502149357</v>
      </c>
      <c r="AF4347" s="9">
        <v>120.36692993447016</v>
      </c>
      <c r="AG4347" s="9">
        <v>120.36692993447016</v>
      </c>
      <c r="AH4347" s="9">
        <v>131.35112917791719</v>
      </c>
      <c r="AI4347" s="9">
        <v>142.33181861642981</v>
      </c>
      <c r="AJ4347" s="9">
        <v>3.0428788910505911</v>
      </c>
    </row>
    <row r="4348" spans="1:36" x14ac:dyDescent="0.25">
      <c r="A4348" t="s">
        <v>5411</v>
      </c>
      <c r="B4348" t="s">
        <v>16</v>
      </c>
      <c r="C4348" t="s">
        <v>17</v>
      </c>
      <c r="D4348">
        <v>77308000</v>
      </c>
      <c r="E4348">
        <v>77309999</v>
      </c>
      <c r="F4348" t="s">
        <v>3956</v>
      </c>
      <c r="G4348" t="str">
        <f t="shared" si="134"/>
        <v>TOR</v>
      </c>
      <c r="H4348" t="s">
        <v>3952</v>
      </c>
      <c r="I4348" t="s">
        <v>20</v>
      </c>
      <c r="J4348" t="s">
        <v>77</v>
      </c>
      <c r="K4348" s="6">
        <v>0.03</v>
      </c>
      <c r="L4348" s="7">
        <f t="shared" si="135"/>
        <v>2E-3</v>
      </c>
      <c r="M4348" s="7">
        <v>3.0000000000000001E-3</v>
      </c>
      <c r="N4348">
        <v>17</v>
      </c>
      <c r="O4348" s="8">
        <v>49.365095147237867</v>
      </c>
      <c r="P4348" s="9">
        <v>49.365095147237867</v>
      </c>
      <c r="Q4348" s="9">
        <v>49.365095147237867</v>
      </c>
      <c r="R4348" s="9">
        <v>50.770888721957412</v>
      </c>
      <c r="S4348" s="9">
        <v>52.200434315108524</v>
      </c>
      <c r="T4348" s="9">
        <v>52.724840228616593</v>
      </c>
      <c r="U4348" s="9">
        <v>59.472638024172305</v>
      </c>
      <c r="V4348" s="9">
        <v>59.472638024172305</v>
      </c>
      <c r="W4348" s="9">
        <v>59.472638024172305</v>
      </c>
      <c r="X4348" s="9">
        <v>72.142723701589546</v>
      </c>
      <c r="Y4348" s="9">
        <v>72.142723701589546</v>
      </c>
      <c r="Z4348" s="9">
        <v>81.509458318176925</v>
      </c>
      <c r="AA4348" s="9">
        <v>81.509458318176925</v>
      </c>
      <c r="AB4348" s="9">
        <v>89.863972899994664</v>
      </c>
      <c r="AC4348" s="9">
        <v>89.863972899994664</v>
      </c>
      <c r="AD4348" s="9">
        <v>98.618648314994076</v>
      </c>
      <c r="AE4348" s="9">
        <v>108.72378502149357</v>
      </c>
      <c r="AF4348" s="9">
        <v>120.36692993447016</v>
      </c>
      <c r="AG4348" s="9">
        <v>120.36692993447016</v>
      </c>
      <c r="AH4348" s="9">
        <v>131.35112917791719</v>
      </c>
      <c r="AI4348" s="9">
        <v>142.33181861642981</v>
      </c>
      <c r="AJ4348" s="9">
        <v>3.0428788910505911</v>
      </c>
    </row>
    <row r="4349" spans="1:36" x14ac:dyDescent="0.25">
      <c r="A4349" t="s">
        <v>5411</v>
      </c>
      <c r="B4349" t="s">
        <v>16</v>
      </c>
      <c r="C4349" t="s">
        <v>17</v>
      </c>
      <c r="D4349">
        <v>77310000</v>
      </c>
      <c r="E4349">
        <v>77314999</v>
      </c>
      <c r="F4349" t="s">
        <v>3957</v>
      </c>
      <c r="G4349" t="str">
        <f t="shared" si="134"/>
        <v>TOR</v>
      </c>
      <c r="H4349" t="s">
        <v>3952</v>
      </c>
      <c r="I4349" t="s">
        <v>20</v>
      </c>
      <c r="J4349" t="s">
        <v>77</v>
      </c>
      <c r="K4349" s="6">
        <v>0.03</v>
      </c>
      <c r="L4349" s="7">
        <f t="shared" si="135"/>
        <v>2E-3</v>
      </c>
      <c r="M4349" s="7">
        <v>3.0000000000000001E-3</v>
      </c>
      <c r="N4349">
        <v>17</v>
      </c>
      <c r="O4349" s="8">
        <v>49.365095147237867</v>
      </c>
      <c r="P4349" s="9">
        <v>49.365095147237867</v>
      </c>
      <c r="Q4349" s="9">
        <v>49.365095147237867</v>
      </c>
      <c r="R4349" s="9">
        <v>50.770888721957412</v>
      </c>
      <c r="S4349" s="9">
        <v>52.200434315108524</v>
      </c>
      <c r="T4349" s="9">
        <v>52.724840228616593</v>
      </c>
      <c r="U4349" s="9">
        <v>59.472638024172305</v>
      </c>
      <c r="V4349" s="9">
        <v>59.472638024172305</v>
      </c>
      <c r="W4349" s="9">
        <v>59.472638024172305</v>
      </c>
      <c r="X4349" s="9">
        <v>72.142723701589546</v>
      </c>
      <c r="Y4349" s="9">
        <v>72.142723701589546</v>
      </c>
      <c r="Z4349" s="9">
        <v>81.509458318176925</v>
      </c>
      <c r="AA4349" s="9">
        <v>81.509458318176925</v>
      </c>
      <c r="AB4349" s="9">
        <v>89.863972899994664</v>
      </c>
      <c r="AC4349" s="9">
        <v>89.863972899994664</v>
      </c>
      <c r="AD4349" s="9">
        <v>98.618648314994076</v>
      </c>
      <c r="AE4349" s="9">
        <v>108.72378502149357</v>
      </c>
      <c r="AF4349" s="9">
        <v>120.36692993447016</v>
      </c>
      <c r="AG4349" s="9">
        <v>120.36692993447016</v>
      </c>
      <c r="AH4349" s="9">
        <v>131.35112917791719</v>
      </c>
      <c r="AI4349" s="9">
        <v>142.33181861642981</v>
      </c>
      <c r="AJ4349" s="9">
        <v>3.0428788910505911</v>
      </c>
    </row>
    <row r="4350" spans="1:36" x14ac:dyDescent="0.25">
      <c r="A4350" t="s">
        <v>5411</v>
      </c>
      <c r="B4350" t="s">
        <v>16</v>
      </c>
      <c r="C4350" t="s">
        <v>17</v>
      </c>
      <c r="D4350">
        <v>77315000</v>
      </c>
      <c r="E4350">
        <v>77317999</v>
      </c>
      <c r="F4350" t="s">
        <v>3958</v>
      </c>
      <c r="G4350" t="str">
        <f t="shared" si="134"/>
        <v>TOR</v>
      </c>
      <c r="H4350" t="s">
        <v>3952</v>
      </c>
      <c r="I4350" t="s">
        <v>20</v>
      </c>
      <c r="J4350" t="s">
        <v>77</v>
      </c>
      <c r="K4350" s="6">
        <v>0.03</v>
      </c>
      <c r="L4350" s="7">
        <f t="shared" si="135"/>
        <v>2E-3</v>
      </c>
      <c r="M4350" s="7">
        <v>3.0000000000000001E-3</v>
      </c>
      <c r="N4350">
        <v>17</v>
      </c>
      <c r="O4350" s="8">
        <v>49.365095147237867</v>
      </c>
      <c r="P4350" s="9">
        <v>49.365095147237867</v>
      </c>
      <c r="Q4350" s="9">
        <v>49.365095147237867</v>
      </c>
      <c r="R4350" s="9">
        <v>50.770888721957412</v>
      </c>
      <c r="S4350" s="9">
        <v>52.200434315108524</v>
      </c>
      <c r="T4350" s="9">
        <v>52.724840228616593</v>
      </c>
      <c r="U4350" s="9">
        <v>59.472638024172305</v>
      </c>
      <c r="V4350" s="9">
        <v>59.472638024172305</v>
      </c>
      <c r="W4350" s="9">
        <v>59.472638024172305</v>
      </c>
      <c r="X4350" s="9">
        <v>72.142723701589546</v>
      </c>
      <c r="Y4350" s="9">
        <v>72.142723701589546</v>
      </c>
      <c r="Z4350" s="9">
        <v>81.509458318176925</v>
      </c>
      <c r="AA4350" s="9">
        <v>81.509458318176925</v>
      </c>
      <c r="AB4350" s="9">
        <v>89.863972899994664</v>
      </c>
      <c r="AC4350" s="9">
        <v>89.863972899994664</v>
      </c>
      <c r="AD4350" s="9">
        <v>98.618648314994076</v>
      </c>
      <c r="AE4350" s="9">
        <v>108.72378502149357</v>
      </c>
      <c r="AF4350" s="9">
        <v>120.36692993447016</v>
      </c>
      <c r="AG4350" s="9">
        <v>120.36692993447016</v>
      </c>
      <c r="AH4350" s="9">
        <v>131.35112917791719</v>
      </c>
      <c r="AI4350" s="9">
        <v>142.33181861642981</v>
      </c>
      <c r="AJ4350" s="9">
        <v>3.0428788910505911</v>
      </c>
    </row>
    <row r="4351" spans="1:36" x14ac:dyDescent="0.25">
      <c r="A4351" t="s">
        <v>5411</v>
      </c>
      <c r="B4351" t="s">
        <v>16</v>
      </c>
      <c r="C4351" t="s">
        <v>17</v>
      </c>
      <c r="D4351">
        <v>77318000</v>
      </c>
      <c r="E4351">
        <v>77319999</v>
      </c>
      <c r="F4351" t="s">
        <v>3959</v>
      </c>
      <c r="G4351" t="str">
        <f t="shared" si="134"/>
        <v>TOR</v>
      </c>
      <c r="H4351" t="s">
        <v>3952</v>
      </c>
      <c r="I4351" t="s">
        <v>20</v>
      </c>
      <c r="J4351" t="s">
        <v>77</v>
      </c>
      <c r="K4351" s="6">
        <v>0.03</v>
      </c>
      <c r="L4351" s="7">
        <f t="shared" si="135"/>
        <v>2E-3</v>
      </c>
      <c r="M4351" s="7">
        <v>3.0000000000000001E-3</v>
      </c>
      <c r="N4351">
        <v>17</v>
      </c>
      <c r="O4351" s="8">
        <v>49.365095147237867</v>
      </c>
      <c r="P4351" s="9">
        <v>49.365095147237867</v>
      </c>
      <c r="Q4351" s="9">
        <v>49.365095147237867</v>
      </c>
      <c r="R4351" s="9">
        <v>50.770888721957412</v>
      </c>
      <c r="S4351" s="9">
        <v>52.200434315108524</v>
      </c>
      <c r="T4351" s="9">
        <v>52.724840228616593</v>
      </c>
      <c r="U4351" s="9">
        <v>59.472638024172305</v>
      </c>
      <c r="V4351" s="9">
        <v>59.472638024172305</v>
      </c>
      <c r="W4351" s="9">
        <v>59.472638024172305</v>
      </c>
      <c r="X4351" s="9">
        <v>72.142723701589546</v>
      </c>
      <c r="Y4351" s="9">
        <v>72.142723701589546</v>
      </c>
      <c r="Z4351" s="9">
        <v>81.509458318176925</v>
      </c>
      <c r="AA4351" s="9">
        <v>81.509458318176925</v>
      </c>
      <c r="AB4351" s="9">
        <v>89.863972899994664</v>
      </c>
      <c r="AC4351" s="9">
        <v>89.863972899994664</v>
      </c>
      <c r="AD4351" s="9">
        <v>98.618648314994076</v>
      </c>
      <c r="AE4351" s="9">
        <v>108.72378502149357</v>
      </c>
      <c r="AF4351" s="9">
        <v>120.36692993447016</v>
      </c>
      <c r="AG4351" s="9">
        <v>120.36692993447016</v>
      </c>
      <c r="AH4351" s="9">
        <v>131.35112917791719</v>
      </c>
      <c r="AI4351" s="9">
        <v>142.33181861642981</v>
      </c>
      <c r="AJ4351" s="9">
        <v>3.0428788910505911</v>
      </c>
    </row>
    <row r="4352" spans="1:36" x14ac:dyDescent="0.25">
      <c r="A4352" t="s">
        <v>5411</v>
      </c>
      <c r="B4352" t="s">
        <v>16</v>
      </c>
      <c r="C4352" t="s">
        <v>17</v>
      </c>
      <c r="D4352">
        <v>77320000</v>
      </c>
      <c r="E4352">
        <v>77324999</v>
      </c>
      <c r="F4352" t="s">
        <v>3960</v>
      </c>
      <c r="G4352" t="str">
        <f t="shared" si="134"/>
        <v>TOR</v>
      </c>
      <c r="H4352" t="s">
        <v>3952</v>
      </c>
      <c r="I4352" t="s">
        <v>20</v>
      </c>
      <c r="J4352" t="s">
        <v>77</v>
      </c>
      <c r="K4352" s="6">
        <v>0.03</v>
      </c>
      <c r="L4352" s="7">
        <f t="shared" si="135"/>
        <v>2E-3</v>
      </c>
      <c r="M4352" s="7">
        <v>3.0000000000000001E-3</v>
      </c>
      <c r="N4352">
        <v>17</v>
      </c>
      <c r="O4352" s="8">
        <v>49.365095147237867</v>
      </c>
      <c r="P4352" s="9">
        <v>49.365095147237867</v>
      </c>
      <c r="Q4352" s="9">
        <v>49.365095147237867</v>
      </c>
      <c r="R4352" s="9">
        <v>50.770888721957412</v>
      </c>
      <c r="S4352" s="9">
        <v>52.200434315108524</v>
      </c>
      <c r="T4352" s="9">
        <v>52.724840228616593</v>
      </c>
      <c r="U4352" s="9">
        <v>59.472638024172305</v>
      </c>
      <c r="V4352" s="9">
        <v>59.472638024172305</v>
      </c>
      <c r="W4352" s="9">
        <v>59.472638024172305</v>
      </c>
      <c r="X4352" s="9">
        <v>72.142723701589546</v>
      </c>
      <c r="Y4352" s="9">
        <v>72.142723701589546</v>
      </c>
      <c r="Z4352" s="9">
        <v>81.509458318176925</v>
      </c>
      <c r="AA4352" s="9">
        <v>81.509458318176925</v>
      </c>
      <c r="AB4352" s="9">
        <v>89.863972899994664</v>
      </c>
      <c r="AC4352" s="9">
        <v>89.863972899994664</v>
      </c>
      <c r="AD4352" s="9">
        <v>98.618648314994076</v>
      </c>
      <c r="AE4352" s="9">
        <v>108.72378502149357</v>
      </c>
      <c r="AF4352" s="9">
        <v>120.36692993447016</v>
      </c>
      <c r="AG4352" s="9">
        <v>120.36692993447016</v>
      </c>
      <c r="AH4352" s="9">
        <v>131.35112917791719</v>
      </c>
      <c r="AI4352" s="9">
        <v>142.33181861642981</v>
      </c>
      <c r="AJ4352" s="9">
        <v>3.0428788910505911</v>
      </c>
    </row>
    <row r="4353" spans="1:36" x14ac:dyDescent="0.25">
      <c r="A4353" t="s">
        <v>5411</v>
      </c>
      <c r="B4353" t="s">
        <v>16</v>
      </c>
      <c r="C4353" t="s">
        <v>17</v>
      </c>
      <c r="D4353">
        <v>77325000</v>
      </c>
      <c r="E4353">
        <v>77327999</v>
      </c>
      <c r="F4353" t="s">
        <v>3961</v>
      </c>
      <c r="G4353" t="str">
        <f t="shared" si="134"/>
        <v>TOR</v>
      </c>
      <c r="H4353" t="s">
        <v>3952</v>
      </c>
      <c r="I4353" t="s">
        <v>20</v>
      </c>
      <c r="J4353" t="s">
        <v>77</v>
      </c>
      <c r="K4353" s="6">
        <v>0.03</v>
      </c>
      <c r="L4353" s="7">
        <f t="shared" si="135"/>
        <v>2E-3</v>
      </c>
      <c r="M4353" s="7">
        <v>3.0000000000000001E-3</v>
      </c>
      <c r="N4353">
        <v>17</v>
      </c>
      <c r="O4353" s="8">
        <v>49.365095147237867</v>
      </c>
      <c r="P4353" s="9">
        <v>49.365095147237867</v>
      </c>
      <c r="Q4353" s="9">
        <v>49.365095147237867</v>
      </c>
      <c r="R4353" s="9">
        <v>50.770888721957412</v>
      </c>
      <c r="S4353" s="9">
        <v>52.200434315108524</v>
      </c>
      <c r="T4353" s="9">
        <v>52.724840228616593</v>
      </c>
      <c r="U4353" s="9">
        <v>59.472638024172305</v>
      </c>
      <c r="V4353" s="9">
        <v>59.472638024172305</v>
      </c>
      <c r="W4353" s="9">
        <v>59.472638024172305</v>
      </c>
      <c r="X4353" s="9">
        <v>72.142723701589546</v>
      </c>
      <c r="Y4353" s="9">
        <v>72.142723701589546</v>
      </c>
      <c r="Z4353" s="9">
        <v>81.509458318176925</v>
      </c>
      <c r="AA4353" s="9">
        <v>81.509458318176925</v>
      </c>
      <c r="AB4353" s="9">
        <v>89.863972899994664</v>
      </c>
      <c r="AC4353" s="9">
        <v>89.863972899994664</v>
      </c>
      <c r="AD4353" s="9">
        <v>98.618648314994076</v>
      </c>
      <c r="AE4353" s="9">
        <v>108.72378502149357</v>
      </c>
      <c r="AF4353" s="9">
        <v>120.36692993447016</v>
      </c>
      <c r="AG4353" s="9">
        <v>120.36692993447016</v>
      </c>
      <c r="AH4353" s="9">
        <v>131.35112917791719</v>
      </c>
      <c r="AI4353" s="9">
        <v>142.33181861642981</v>
      </c>
      <c r="AJ4353" s="9">
        <v>3.0428788910505911</v>
      </c>
    </row>
    <row r="4354" spans="1:36" x14ac:dyDescent="0.25">
      <c r="A4354" t="s">
        <v>5411</v>
      </c>
      <c r="B4354" t="s">
        <v>16</v>
      </c>
      <c r="C4354" t="s">
        <v>17</v>
      </c>
      <c r="D4354">
        <v>77328000</v>
      </c>
      <c r="E4354">
        <v>77329999</v>
      </c>
      <c r="F4354" t="s">
        <v>3962</v>
      </c>
      <c r="G4354" t="str">
        <f t="shared" si="134"/>
        <v>TOR</v>
      </c>
      <c r="H4354" t="s">
        <v>3952</v>
      </c>
      <c r="I4354" t="s">
        <v>20</v>
      </c>
      <c r="J4354" t="s">
        <v>77</v>
      </c>
      <c r="K4354" s="6">
        <v>0.03</v>
      </c>
      <c r="L4354" s="7">
        <f t="shared" si="135"/>
        <v>2E-3</v>
      </c>
      <c r="M4354" s="7">
        <v>3.0000000000000001E-3</v>
      </c>
      <c r="N4354">
        <v>17</v>
      </c>
      <c r="O4354" s="8">
        <v>49.365095147237867</v>
      </c>
      <c r="P4354" s="9">
        <v>49.365095147237867</v>
      </c>
      <c r="Q4354" s="9">
        <v>49.365095147237867</v>
      </c>
      <c r="R4354" s="9">
        <v>50.770888721957412</v>
      </c>
      <c r="S4354" s="9">
        <v>52.200434315108524</v>
      </c>
      <c r="T4354" s="9">
        <v>52.724840228616593</v>
      </c>
      <c r="U4354" s="9">
        <v>59.472638024172305</v>
      </c>
      <c r="V4354" s="9">
        <v>59.472638024172305</v>
      </c>
      <c r="W4354" s="9">
        <v>59.472638024172305</v>
      </c>
      <c r="X4354" s="9">
        <v>72.142723701589546</v>
      </c>
      <c r="Y4354" s="9">
        <v>72.142723701589546</v>
      </c>
      <c r="Z4354" s="9">
        <v>81.509458318176925</v>
      </c>
      <c r="AA4354" s="9">
        <v>81.509458318176925</v>
      </c>
      <c r="AB4354" s="9">
        <v>89.863972899994664</v>
      </c>
      <c r="AC4354" s="9">
        <v>89.863972899994664</v>
      </c>
      <c r="AD4354" s="9">
        <v>98.618648314994076</v>
      </c>
      <c r="AE4354" s="9">
        <v>108.72378502149357</v>
      </c>
      <c r="AF4354" s="9">
        <v>120.36692993447016</v>
      </c>
      <c r="AG4354" s="9">
        <v>120.36692993447016</v>
      </c>
      <c r="AH4354" s="9">
        <v>131.35112917791719</v>
      </c>
      <c r="AI4354" s="9">
        <v>142.33181861642981</v>
      </c>
      <c r="AJ4354" s="9">
        <v>3.0428788910505911</v>
      </c>
    </row>
    <row r="4355" spans="1:36" x14ac:dyDescent="0.25">
      <c r="A4355" t="s">
        <v>5411</v>
      </c>
      <c r="B4355" t="s">
        <v>16</v>
      </c>
      <c r="C4355" t="s">
        <v>17</v>
      </c>
      <c r="D4355">
        <v>77330000</v>
      </c>
      <c r="E4355">
        <v>77349999</v>
      </c>
      <c r="F4355" t="s">
        <v>3963</v>
      </c>
      <c r="G4355" t="str">
        <f t="shared" si="134"/>
        <v>TOR</v>
      </c>
      <c r="H4355" t="s">
        <v>3952</v>
      </c>
      <c r="I4355" t="s">
        <v>20</v>
      </c>
      <c r="J4355" t="s">
        <v>77</v>
      </c>
      <c r="K4355" s="6">
        <v>0.03</v>
      </c>
      <c r="L4355" s="7">
        <f t="shared" si="135"/>
        <v>2E-3</v>
      </c>
      <c r="M4355" s="7">
        <v>3.0000000000000001E-3</v>
      </c>
      <c r="N4355">
        <v>17</v>
      </c>
      <c r="O4355" s="8">
        <v>49.365095147237867</v>
      </c>
      <c r="P4355" s="9">
        <v>49.365095147237867</v>
      </c>
      <c r="Q4355" s="9">
        <v>49.365095147237867</v>
      </c>
      <c r="R4355" s="9">
        <v>50.770888721957412</v>
      </c>
      <c r="S4355" s="9">
        <v>52.200434315108524</v>
      </c>
      <c r="T4355" s="9">
        <v>52.724840228616593</v>
      </c>
      <c r="U4355" s="9">
        <v>59.472638024172305</v>
      </c>
      <c r="V4355" s="9">
        <v>59.472638024172305</v>
      </c>
      <c r="W4355" s="9">
        <v>59.472638024172305</v>
      </c>
      <c r="X4355" s="9">
        <v>72.142723701589546</v>
      </c>
      <c r="Y4355" s="9">
        <v>72.142723701589546</v>
      </c>
      <c r="Z4355" s="9">
        <v>81.509458318176925</v>
      </c>
      <c r="AA4355" s="9">
        <v>81.509458318176925</v>
      </c>
      <c r="AB4355" s="9">
        <v>89.863972899994664</v>
      </c>
      <c r="AC4355" s="9">
        <v>89.863972899994664</v>
      </c>
      <c r="AD4355" s="9">
        <v>98.618648314994076</v>
      </c>
      <c r="AE4355" s="9">
        <v>108.72378502149357</v>
      </c>
      <c r="AF4355" s="9">
        <v>120.36692993447016</v>
      </c>
      <c r="AG4355" s="9">
        <v>120.36692993447016</v>
      </c>
      <c r="AH4355" s="9">
        <v>131.35112917791719</v>
      </c>
      <c r="AI4355" s="9">
        <v>142.33181861642981</v>
      </c>
      <c r="AJ4355" s="9">
        <v>3.0428788910505911</v>
      </c>
    </row>
    <row r="4356" spans="1:36" x14ac:dyDescent="0.25">
      <c r="A4356" t="s">
        <v>5411</v>
      </c>
      <c r="B4356" t="s">
        <v>16</v>
      </c>
      <c r="C4356" t="s">
        <v>17</v>
      </c>
      <c r="D4356">
        <v>77350000</v>
      </c>
      <c r="E4356">
        <v>77352999</v>
      </c>
      <c r="F4356" t="s">
        <v>3964</v>
      </c>
      <c r="G4356" t="str">
        <f t="shared" ref="G4356:G4419" si="136">H4356&amp;IF(J4356="CAPITAL","C",IF(J4356="INTERIOR","I",IF(J4356="INTERIOR II","I II","R")))</f>
        <v>TOR</v>
      </c>
      <c r="H4356" t="s">
        <v>3952</v>
      </c>
      <c r="I4356" t="s">
        <v>20</v>
      </c>
      <c r="J4356" t="s">
        <v>77</v>
      </c>
      <c r="K4356" s="6">
        <v>0.03</v>
      </c>
      <c r="L4356" s="7">
        <f t="shared" ref="L4356:L4419" si="137">IF(I4356="(0) Não",0.2%,3%)</f>
        <v>2E-3</v>
      </c>
      <c r="M4356" s="7">
        <v>3.0000000000000001E-3</v>
      </c>
      <c r="N4356">
        <v>17</v>
      </c>
      <c r="O4356" s="8">
        <v>49.365095147237867</v>
      </c>
      <c r="P4356" s="9">
        <v>49.365095147237867</v>
      </c>
      <c r="Q4356" s="9">
        <v>49.365095147237867</v>
      </c>
      <c r="R4356" s="9">
        <v>50.770888721957412</v>
      </c>
      <c r="S4356" s="9">
        <v>52.200434315108524</v>
      </c>
      <c r="T4356" s="9">
        <v>52.724840228616593</v>
      </c>
      <c r="U4356" s="9">
        <v>59.472638024172305</v>
      </c>
      <c r="V4356" s="9">
        <v>59.472638024172305</v>
      </c>
      <c r="W4356" s="9">
        <v>59.472638024172305</v>
      </c>
      <c r="X4356" s="9">
        <v>72.142723701589546</v>
      </c>
      <c r="Y4356" s="9">
        <v>72.142723701589546</v>
      </c>
      <c r="Z4356" s="9">
        <v>81.509458318176925</v>
      </c>
      <c r="AA4356" s="9">
        <v>81.509458318176925</v>
      </c>
      <c r="AB4356" s="9">
        <v>89.863972899994664</v>
      </c>
      <c r="AC4356" s="9">
        <v>89.863972899994664</v>
      </c>
      <c r="AD4356" s="9">
        <v>98.618648314994076</v>
      </c>
      <c r="AE4356" s="9">
        <v>108.72378502149357</v>
      </c>
      <c r="AF4356" s="9">
        <v>120.36692993447016</v>
      </c>
      <c r="AG4356" s="9">
        <v>120.36692993447016</v>
      </c>
      <c r="AH4356" s="9">
        <v>131.35112917791719</v>
      </c>
      <c r="AI4356" s="9">
        <v>142.33181861642981</v>
      </c>
      <c r="AJ4356" s="9">
        <v>3.0428788910505911</v>
      </c>
    </row>
    <row r="4357" spans="1:36" x14ac:dyDescent="0.25">
      <c r="A4357" t="s">
        <v>5411</v>
      </c>
      <c r="B4357" t="s">
        <v>16</v>
      </c>
      <c r="C4357" t="s">
        <v>17</v>
      </c>
      <c r="D4357">
        <v>77353000</v>
      </c>
      <c r="E4357">
        <v>77359999</v>
      </c>
      <c r="F4357" t="s">
        <v>3965</v>
      </c>
      <c r="G4357" t="str">
        <f t="shared" si="136"/>
        <v>TOR</v>
      </c>
      <c r="H4357" t="s">
        <v>3952</v>
      </c>
      <c r="I4357" t="s">
        <v>20</v>
      </c>
      <c r="J4357" t="s">
        <v>77</v>
      </c>
      <c r="K4357" s="6">
        <v>0.03</v>
      </c>
      <c r="L4357" s="7">
        <f t="shared" si="137"/>
        <v>2E-3</v>
      </c>
      <c r="M4357" s="7">
        <v>3.0000000000000001E-3</v>
      </c>
      <c r="N4357">
        <v>17</v>
      </c>
      <c r="O4357" s="8">
        <v>49.365095147237867</v>
      </c>
      <c r="P4357" s="9">
        <v>49.365095147237867</v>
      </c>
      <c r="Q4357" s="9">
        <v>49.365095147237867</v>
      </c>
      <c r="R4357" s="9">
        <v>50.770888721957412</v>
      </c>
      <c r="S4357" s="9">
        <v>52.200434315108524</v>
      </c>
      <c r="T4357" s="9">
        <v>52.724840228616593</v>
      </c>
      <c r="U4357" s="9">
        <v>59.472638024172305</v>
      </c>
      <c r="V4357" s="9">
        <v>59.472638024172305</v>
      </c>
      <c r="W4357" s="9">
        <v>59.472638024172305</v>
      </c>
      <c r="X4357" s="9">
        <v>72.142723701589546</v>
      </c>
      <c r="Y4357" s="9">
        <v>72.142723701589546</v>
      </c>
      <c r="Z4357" s="9">
        <v>81.509458318176925</v>
      </c>
      <c r="AA4357" s="9">
        <v>81.509458318176925</v>
      </c>
      <c r="AB4357" s="9">
        <v>89.863972899994664</v>
      </c>
      <c r="AC4357" s="9">
        <v>89.863972899994664</v>
      </c>
      <c r="AD4357" s="9">
        <v>98.618648314994076</v>
      </c>
      <c r="AE4357" s="9">
        <v>108.72378502149357</v>
      </c>
      <c r="AF4357" s="9">
        <v>120.36692993447016</v>
      </c>
      <c r="AG4357" s="9">
        <v>120.36692993447016</v>
      </c>
      <c r="AH4357" s="9">
        <v>131.35112917791719</v>
      </c>
      <c r="AI4357" s="9">
        <v>142.33181861642981</v>
      </c>
      <c r="AJ4357" s="9">
        <v>3.0428788910505911</v>
      </c>
    </row>
    <row r="4358" spans="1:36" x14ac:dyDescent="0.25">
      <c r="A4358" t="s">
        <v>5411</v>
      </c>
      <c r="B4358" t="s">
        <v>16</v>
      </c>
      <c r="C4358" t="s">
        <v>17</v>
      </c>
      <c r="D4358">
        <v>77360000</v>
      </c>
      <c r="E4358">
        <v>77364999</v>
      </c>
      <c r="F4358" t="s">
        <v>2807</v>
      </c>
      <c r="G4358" t="str">
        <f t="shared" si="136"/>
        <v>TOR</v>
      </c>
      <c r="H4358" t="s">
        <v>3952</v>
      </c>
      <c r="I4358" t="s">
        <v>20</v>
      </c>
      <c r="J4358" t="s">
        <v>77</v>
      </c>
      <c r="K4358" s="6">
        <v>0.03</v>
      </c>
      <c r="L4358" s="7">
        <f t="shared" si="137"/>
        <v>2E-3</v>
      </c>
      <c r="M4358" s="7">
        <v>3.0000000000000001E-3</v>
      </c>
      <c r="N4358">
        <v>17</v>
      </c>
      <c r="O4358" s="8">
        <v>49.365095147237867</v>
      </c>
      <c r="P4358" s="9">
        <v>49.365095147237867</v>
      </c>
      <c r="Q4358" s="9">
        <v>49.365095147237867</v>
      </c>
      <c r="R4358" s="9">
        <v>50.770888721957412</v>
      </c>
      <c r="S4358" s="9">
        <v>52.200434315108524</v>
      </c>
      <c r="T4358" s="9">
        <v>52.724840228616593</v>
      </c>
      <c r="U4358" s="9">
        <v>59.472638024172305</v>
      </c>
      <c r="V4358" s="9">
        <v>59.472638024172305</v>
      </c>
      <c r="W4358" s="9">
        <v>59.472638024172305</v>
      </c>
      <c r="X4358" s="9">
        <v>72.142723701589546</v>
      </c>
      <c r="Y4358" s="9">
        <v>72.142723701589546</v>
      </c>
      <c r="Z4358" s="9">
        <v>81.509458318176925</v>
      </c>
      <c r="AA4358" s="9">
        <v>81.509458318176925</v>
      </c>
      <c r="AB4358" s="9">
        <v>89.863972899994664</v>
      </c>
      <c r="AC4358" s="9">
        <v>89.863972899994664</v>
      </c>
      <c r="AD4358" s="9">
        <v>98.618648314994076</v>
      </c>
      <c r="AE4358" s="9">
        <v>108.72378502149357</v>
      </c>
      <c r="AF4358" s="9">
        <v>120.36692993447016</v>
      </c>
      <c r="AG4358" s="9">
        <v>120.36692993447016</v>
      </c>
      <c r="AH4358" s="9">
        <v>131.35112917791719</v>
      </c>
      <c r="AI4358" s="9">
        <v>142.33181861642981</v>
      </c>
      <c r="AJ4358" s="9">
        <v>3.0428788910505911</v>
      </c>
    </row>
    <row r="4359" spans="1:36" x14ac:dyDescent="0.25">
      <c r="A4359" t="s">
        <v>5411</v>
      </c>
      <c r="B4359" t="s">
        <v>16</v>
      </c>
      <c r="C4359" t="s">
        <v>17</v>
      </c>
      <c r="D4359">
        <v>77365000</v>
      </c>
      <c r="E4359">
        <v>77367999</v>
      </c>
      <c r="F4359" t="s">
        <v>3966</v>
      </c>
      <c r="G4359" t="str">
        <f t="shared" si="136"/>
        <v>TOR</v>
      </c>
      <c r="H4359" t="s">
        <v>3952</v>
      </c>
      <c r="I4359" t="s">
        <v>20</v>
      </c>
      <c r="J4359" t="s">
        <v>77</v>
      </c>
      <c r="K4359" s="6">
        <v>0.03</v>
      </c>
      <c r="L4359" s="7">
        <f t="shared" si="137"/>
        <v>2E-3</v>
      </c>
      <c r="M4359" s="7">
        <v>3.0000000000000001E-3</v>
      </c>
      <c r="N4359">
        <v>17</v>
      </c>
      <c r="O4359" s="8">
        <v>49.365095147237867</v>
      </c>
      <c r="P4359" s="9">
        <v>49.365095147237867</v>
      </c>
      <c r="Q4359" s="9">
        <v>49.365095147237867</v>
      </c>
      <c r="R4359" s="9">
        <v>50.770888721957412</v>
      </c>
      <c r="S4359" s="9">
        <v>52.200434315108524</v>
      </c>
      <c r="T4359" s="9">
        <v>52.724840228616593</v>
      </c>
      <c r="U4359" s="9">
        <v>59.472638024172305</v>
      </c>
      <c r="V4359" s="9">
        <v>59.472638024172305</v>
      </c>
      <c r="W4359" s="9">
        <v>59.472638024172305</v>
      </c>
      <c r="X4359" s="9">
        <v>72.142723701589546</v>
      </c>
      <c r="Y4359" s="9">
        <v>72.142723701589546</v>
      </c>
      <c r="Z4359" s="9">
        <v>81.509458318176925</v>
      </c>
      <c r="AA4359" s="9">
        <v>81.509458318176925</v>
      </c>
      <c r="AB4359" s="9">
        <v>89.863972899994664</v>
      </c>
      <c r="AC4359" s="9">
        <v>89.863972899994664</v>
      </c>
      <c r="AD4359" s="9">
        <v>98.618648314994076</v>
      </c>
      <c r="AE4359" s="9">
        <v>108.72378502149357</v>
      </c>
      <c r="AF4359" s="9">
        <v>120.36692993447016</v>
      </c>
      <c r="AG4359" s="9">
        <v>120.36692993447016</v>
      </c>
      <c r="AH4359" s="9">
        <v>131.35112917791719</v>
      </c>
      <c r="AI4359" s="9">
        <v>142.33181861642981</v>
      </c>
      <c r="AJ4359" s="9">
        <v>3.0428788910505911</v>
      </c>
    </row>
    <row r="4360" spans="1:36" x14ac:dyDescent="0.25">
      <c r="A4360" t="s">
        <v>5411</v>
      </c>
      <c r="B4360" t="s">
        <v>16</v>
      </c>
      <c r="C4360" t="s">
        <v>17</v>
      </c>
      <c r="D4360">
        <v>77368000</v>
      </c>
      <c r="E4360">
        <v>77369999</v>
      </c>
      <c r="F4360" t="s">
        <v>3967</v>
      </c>
      <c r="G4360" t="str">
        <f t="shared" si="136"/>
        <v>TOR</v>
      </c>
      <c r="H4360" t="s">
        <v>3952</v>
      </c>
      <c r="I4360" t="s">
        <v>20</v>
      </c>
      <c r="J4360" t="s">
        <v>77</v>
      </c>
      <c r="K4360" s="6">
        <v>0.03</v>
      </c>
      <c r="L4360" s="7">
        <f t="shared" si="137"/>
        <v>2E-3</v>
      </c>
      <c r="M4360" s="7">
        <v>3.0000000000000001E-3</v>
      </c>
      <c r="N4360">
        <v>17</v>
      </c>
      <c r="O4360" s="8">
        <v>49.365095147237867</v>
      </c>
      <c r="P4360" s="9">
        <v>49.365095147237867</v>
      </c>
      <c r="Q4360" s="9">
        <v>49.365095147237867</v>
      </c>
      <c r="R4360" s="9">
        <v>50.770888721957412</v>
      </c>
      <c r="S4360" s="9">
        <v>52.200434315108524</v>
      </c>
      <c r="T4360" s="9">
        <v>52.724840228616593</v>
      </c>
      <c r="U4360" s="9">
        <v>59.472638024172305</v>
      </c>
      <c r="V4360" s="9">
        <v>59.472638024172305</v>
      </c>
      <c r="W4360" s="9">
        <v>59.472638024172305</v>
      </c>
      <c r="X4360" s="9">
        <v>72.142723701589546</v>
      </c>
      <c r="Y4360" s="9">
        <v>72.142723701589546</v>
      </c>
      <c r="Z4360" s="9">
        <v>81.509458318176925</v>
      </c>
      <c r="AA4360" s="9">
        <v>81.509458318176925</v>
      </c>
      <c r="AB4360" s="9">
        <v>89.863972899994664</v>
      </c>
      <c r="AC4360" s="9">
        <v>89.863972899994664</v>
      </c>
      <c r="AD4360" s="9">
        <v>98.618648314994076</v>
      </c>
      <c r="AE4360" s="9">
        <v>108.72378502149357</v>
      </c>
      <c r="AF4360" s="9">
        <v>120.36692993447016</v>
      </c>
      <c r="AG4360" s="9">
        <v>120.36692993447016</v>
      </c>
      <c r="AH4360" s="9">
        <v>131.35112917791719</v>
      </c>
      <c r="AI4360" s="9">
        <v>142.33181861642981</v>
      </c>
      <c r="AJ4360" s="9">
        <v>3.0428788910505911</v>
      </c>
    </row>
    <row r="4361" spans="1:36" x14ac:dyDescent="0.25">
      <c r="A4361" t="s">
        <v>5411</v>
      </c>
      <c r="B4361" t="s">
        <v>16</v>
      </c>
      <c r="C4361" t="s">
        <v>17</v>
      </c>
      <c r="D4361">
        <v>77370000</v>
      </c>
      <c r="E4361">
        <v>77374999</v>
      </c>
      <c r="F4361" t="s">
        <v>3968</v>
      </c>
      <c r="G4361" t="str">
        <f t="shared" si="136"/>
        <v>TOR</v>
      </c>
      <c r="H4361" t="s">
        <v>3952</v>
      </c>
      <c r="I4361" t="s">
        <v>20</v>
      </c>
      <c r="J4361" t="s">
        <v>77</v>
      </c>
      <c r="K4361" s="6">
        <v>0.03</v>
      </c>
      <c r="L4361" s="7">
        <f t="shared" si="137"/>
        <v>2E-3</v>
      </c>
      <c r="M4361" s="7">
        <v>3.0000000000000001E-3</v>
      </c>
      <c r="N4361">
        <v>17</v>
      </c>
      <c r="O4361" s="8">
        <v>49.365095147237867</v>
      </c>
      <c r="P4361" s="9">
        <v>49.365095147237867</v>
      </c>
      <c r="Q4361" s="9">
        <v>49.365095147237867</v>
      </c>
      <c r="R4361" s="9">
        <v>50.770888721957412</v>
      </c>
      <c r="S4361" s="9">
        <v>52.200434315108524</v>
      </c>
      <c r="T4361" s="9">
        <v>52.724840228616593</v>
      </c>
      <c r="U4361" s="9">
        <v>59.472638024172305</v>
      </c>
      <c r="V4361" s="9">
        <v>59.472638024172305</v>
      </c>
      <c r="W4361" s="9">
        <v>59.472638024172305</v>
      </c>
      <c r="X4361" s="9">
        <v>72.142723701589546</v>
      </c>
      <c r="Y4361" s="9">
        <v>72.142723701589546</v>
      </c>
      <c r="Z4361" s="9">
        <v>81.509458318176925</v>
      </c>
      <c r="AA4361" s="9">
        <v>81.509458318176925</v>
      </c>
      <c r="AB4361" s="9">
        <v>89.863972899994664</v>
      </c>
      <c r="AC4361" s="9">
        <v>89.863972899994664</v>
      </c>
      <c r="AD4361" s="9">
        <v>98.618648314994076</v>
      </c>
      <c r="AE4361" s="9">
        <v>108.72378502149357</v>
      </c>
      <c r="AF4361" s="9">
        <v>120.36692993447016</v>
      </c>
      <c r="AG4361" s="9">
        <v>120.36692993447016</v>
      </c>
      <c r="AH4361" s="9">
        <v>131.35112917791719</v>
      </c>
      <c r="AI4361" s="9">
        <v>142.33181861642981</v>
      </c>
      <c r="AJ4361" s="9">
        <v>3.0428788910505911</v>
      </c>
    </row>
    <row r="4362" spans="1:36" x14ac:dyDescent="0.25">
      <c r="A4362" t="s">
        <v>5411</v>
      </c>
      <c r="B4362" t="s">
        <v>16</v>
      </c>
      <c r="C4362" t="s">
        <v>17</v>
      </c>
      <c r="D4362">
        <v>77375000</v>
      </c>
      <c r="E4362">
        <v>77377999</v>
      </c>
      <c r="F4362" t="s">
        <v>3969</v>
      </c>
      <c r="G4362" t="str">
        <f t="shared" si="136"/>
        <v>TOR</v>
      </c>
      <c r="H4362" t="s">
        <v>3952</v>
      </c>
      <c r="I4362" t="s">
        <v>20</v>
      </c>
      <c r="J4362" t="s">
        <v>77</v>
      </c>
      <c r="K4362" s="6">
        <v>0.03</v>
      </c>
      <c r="L4362" s="7">
        <f t="shared" si="137"/>
        <v>2E-3</v>
      </c>
      <c r="M4362" s="7">
        <v>3.0000000000000001E-3</v>
      </c>
      <c r="N4362">
        <v>17</v>
      </c>
      <c r="O4362" s="8">
        <v>49.365095147237867</v>
      </c>
      <c r="P4362" s="9">
        <v>49.365095147237867</v>
      </c>
      <c r="Q4362" s="9">
        <v>49.365095147237867</v>
      </c>
      <c r="R4362" s="9">
        <v>50.770888721957412</v>
      </c>
      <c r="S4362" s="9">
        <v>52.200434315108524</v>
      </c>
      <c r="T4362" s="9">
        <v>52.724840228616593</v>
      </c>
      <c r="U4362" s="9">
        <v>59.472638024172305</v>
      </c>
      <c r="V4362" s="9">
        <v>59.472638024172305</v>
      </c>
      <c r="W4362" s="9">
        <v>59.472638024172305</v>
      </c>
      <c r="X4362" s="9">
        <v>72.142723701589546</v>
      </c>
      <c r="Y4362" s="9">
        <v>72.142723701589546</v>
      </c>
      <c r="Z4362" s="9">
        <v>81.509458318176925</v>
      </c>
      <c r="AA4362" s="9">
        <v>81.509458318176925</v>
      </c>
      <c r="AB4362" s="9">
        <v>89.863972899994664</v>
      </c>
      <c r="AC4362" s="9">
        <v>89.863972899994664</v>
      </c>
      <c r="AD4362" s="9">
        <v>98.618648314994076</v>
      </c>
      <c r="AE4362" s="9">
        <v>108.72378502149357</v>
      </c>
      <c r="AF4362" s="9">
        <v>120.36692993447016</v>
      </c>
      <c r="AG4362" s="9">
        <v>120.36692993447016</v>
      </c>
      <c r="AH4362" s="9">
        <v>131.35112917791719</v>
      </c>
      <c r="AI4362" s="9">
        <v>142.33181861642981</v>
      </c>
      <c r="AJ4362" s="9">
        <v>3.0428788910505911</v>
      </c>
    </row>
    <row r="4363" spans="1:36" x14ac:dyDescent="0.25">
      <c r="A4363" t="s">
        <v>5411</v>
      </c>
      <c r="B4363" t="s">
        <v>16</v>
      </c>
      <c r="C4363" t="s">
        <v>17</v>
      </c>
      <c r="D4363">
        <v>77378000</v>
      </c>
      <c r="E4363">
        <v>77379999</v>
      </c>
      <c r="F4363" t="s">
        <v>3970</v>
      </c>
      <c r="G4363" t="str">
        <f t="shared" si="136"/>
        <v>TOR</v>
      </c>
      <c r="H4363" t="s">
        <v>3952</v>
      </c>
      <c r="I4363" t="s">
        <v>20</v>
      </c>
      <c r="J4363" t="s">
        <v>77</v>
      </c>
      <c r="K4363" s="6">
        <v>0.03</v>
      </c>
      <c r="L4363" s="7">
        <f t="shared" si="137"/>
        <v>2E-3</v>
      </c>
      <c r="M4363" s="7">
        <v>3.0000000000000001E-3</v>
      </c>
      <c r="N4363">
        <v>17</v>
      </c>
      <c r="O4363" s="8">
        <v>49.365095147237867</v>
      </c>
      <c r="P4363" s="9">
        <v>49.365095147237867</v>
      </c>
      <c r="Q4363" s="9">
        <v>49.365095147237867</v>
      </c>
      <c r="R4363" s="9">
        <v>50.770888721957412</v>
      </c>
      <c r="S4363" s="9">
        <v>52.200434315108524</v>
      </c>
      <c r="T4363" s="9">
        <v>52.724840228616593</v>
      </c>
      <c r="U4363" s="9">
        <v>59.472638024172305</v>
      </c>
      <c r="V4363" s="9">
        <v>59.472638024172305</v>
      </c>
      <c r="W4363" s="9">
        <v>59.472638024172305</v>
      </c>
      <c r="X4363" s="9">
        <v>72.142723701589546</v>
      </c>
      <c r="Y4363" s="9">
        <v>72.142723701589546</v>
      </c>
      <c r="Z4363" s="9">
        <v>81.509458318176925</v>
      </c>
      <c r="AA4363" s="9">
        <v>81.509458318176925</v>
      </c>
      <c r="AB4363" s="9">
        <v>89.863972899994664</v>
      </c>
      <c r="AC4363" s="9">
        <v>89.863972899994664</v>
      </c>
      <c r="AD4363" s="9">
        <v>98.618648314994076</v>
      </c>
      <c r="AE4363" s="9">
        <v>108.72378502149357</v>
      </c>
      <c r="AF4363" s="9">
        <v>120.36692993447016</v>
      </c>
      <c r="AG4363" s="9">
        <v>120.36692993447016</v>
      </c>
      <c r="AH4363" s="9">
        <v>131.35112917791719</v>
      </c>
      <c r="AI4363" s="9">
        <v>142.33181861642981</v>
      </c>
      <c r="AJ4363" s="9">
        <v>3.0428788910505911</v>
      </c>
    </row>
    <row r="4364" spans="1:36" x14ac:dyDescent="0.25">
      <c r="A4364" t="s">
        <v>5411</v>
      </c>
      <c r="B4364" t="s">
        <v>16</v>
      </c>
      <c r="C4364" t="s">
        <v>17</v>
      </c>
      <c r="D4364">
        <v>77380000</v>
      </c>
      <c r="E4364">
        <v>77389999</v>
      </c>
      <c r="F4364" t="s">
        <v>3971</v>
      </c>
      <c r="G4364" t="str">
        <f t="shared" si="136"/>
        <v>TOR</v>
      </c>
      <c r="H4364" t="s">
        <v>3952</v>
      </c>
      <c r="I4364" t="s">
        <v>20</v>
      </c>
      <c r="J4364" t="s">
        <v>77</v>
      </c>
      <c r="K4364" s="6">
        <v>0.03</v>
      </c>
      <c r="L4364" s="7">
        <f t="shared" si="137"/>
        <v>2E-3</v>
      </c>
      <c r="M4364" s="7">
        <v>3.0000000000000001E-3</v>
      </c>
      <c r="N4364">
        <v>17</v>
      </c>
      <c r="O4364" s="8">
        <v>49.365095147237867</v>
      </c>
      <c r="P4364" s="9">
        <v>49.365095147237867</v>
      </c>
      <c r="Q4364" s="9">
        <v>49.365095147237867</v>
      </c>
      <c r="R4364" s="9">
        <v>50.770888721957412</v>
      </c>
      <c r="S4364" s="9">
        <v>52.200434315108524</v>
      </c>
      <c r="T4364" s="9">
        <v>52.724840228616593</v>
      </c>
      <c r="U4364" s="9">
        <v>59.472638024172305</v>
      </c>
      <c r="V4364" s="9">
        <v>59.472638024172305</v>
      </c>
      <c r="W4364" s="9">
        <v>59.472638024172305</v>
      </c>
      <c r="X4364" s="9">
        <v>72.142723701589546</v>
      </c>
      <c r="Y4364" s="9">
        <v>72.142723701589546</v>
      </c>
      <c r="Z4364" s="9">
        <v>81.509458318176925</v>
      </c>
      <c r="AA4364" s="9">
        <v>81.509458318176925</v>
      </c>
      <c r="AB4364" s="9">
        <v>89.863972899994664</v>
      </c>
      <c r="AC4364" s="9">
        <v>89.863972899994664</v>
      </c>
      <c r="AD4364" s="9">
        <v>98.618648314994076</v>
      </c>
      <c r="AE4364" s="9">
        <v>108.72378502149357</v>
      </c>
      <c r="AF4364" s="9">
        <v>120.36692993447016</v>
      </c>
      <c r="AG4364" s="9">
        <v>120.36692993447016</v>
      </c>
      <c r="AH4364" s="9">
        <v>131.35112917791719</v>
      </c>
      <c r="AI4364" s="9">
        <v>142.33181861642981</v>
      </c>
      <c r="AJ4364" s="9">
        <v>3.0428788910505911</v>
      </c>
    </row>
    <row r="4365" spans="1:36" x14ac:dyDescent="0.25">
      <c r="A4365" t="s">
        <v>5411</v>
      </c>
      <c r="B4365" t="s">
        <v>16</v>
      </c>
      <c r="C4365" t="s">
        <v>17</v>
      </c>
      <c r="D4365">
        <v>77390000</v>
      </c>
      <c r="E4365">
        <v>77394999</v>
      </c>
      <c r="F4365" t="s">
        <v>3972</v>
      </c>
      <c r="G4365" t="str">
        <f t="shared" si="136"/>
        <v>TOR</v>
      </c>
      <c r="H4365" t="s">
        <v>3952</v>
      </c>
      <c r="I4365" t="s">
        <v>20</v>
      </c>
      <c r="J4365" t="s">
        <v>77</v>
      </c>
      <c r="K4365" s="6">
        <v>0.03</v>
      </c>
      <c r="L4365" s="7">
        <f t="shared" si="137"/>
        <v>2E-3</v>
      </c>
      <c r="M4365" s="7">
        <v>3.0000000000000001E-3</v>
      </c>
      <c r="N4365">
        <v>17</v>
      </c>
      <c r="O4365" s="8">
        <v>49.365095147237867</v>
      </c>
      <c r="P4365" s="9">
        <v>49.365095147237867</v>
      </c>
      <c r="Q4365" s="9">
        <v>49.365095147237867</v>
      </c>
      <c r="R4365" s="9">
        <v>50.770888721957412</v>
      </c>
      <c r="S4365" s="9">
        <v>52.200434315108524</v>
      </c>
      <c r="T4365" s="9">
        <v>52.724840228616593</v>
      </c>
      <c r="U4365" s="9">
        <v>59.472638024172305</v>
      </c>
      <c r="V4365" s="9">
        <v>59.472638024172305</v>
      </c>
      <c r="W4365" s="9">
        <v>59.472638024172305</v>
      </c>
      <c r="X4365" s="9">
        <v>72.142723701589546</v>
      </c>
      <c r="Y4365" s="9">
        <v>72.142723701589546</v>
      </c>
      <c r="Z4365" s="9">
        <v>81.509458318176925</v>
      </c>
      <c r="AA4365" s="9">
        <v>81.509458318176925</v>
      </c>
      <c r="AB4365" s="9">
        <v>89.863972899994664</v>
      </c>
      <c r="AC4365" s="9">
        <v>89.863972899994664</v>
      </c>
      <c r="AD4365" s="9">
        <v>98.618648314994076</v>
      </c>
      <c r="AE4365" s="9">
        <v>108.72378502149357</v>
      </c>
      <c r="AF4365" s="9">
        <v>120.36692993447016</v>
      </c>
      <c r="AG4365" s="9">
        <v>120.36692993447016</v>
      </c>
      <c r="AH4365" s="9">
        <v>131.35112917791719</v>
      </c>
      <c r="AI4365" s="9">
        <v>142.33181861642981</v>
      </c>
      <c r="AJ4365" s="9">
        <v>3.0428788910505911</v>
      </c>
    </row>
    <row r="4366" spans="1:36" x14ac:dyDescent="0.25">
      <c r="A4366" t="s">
        <v>5411</v>
      </c>
      <c r="B4366" t="s">
        <v>16</v>
      </c>
      <c r="C4366" t="s">
        <v>17</v>
      </c>
      <c r="D4366">
        <v>77395000</v>
      </c>
      <c r="E4366">
        <v>77399999</v>
      </c>
      <c r="F4366" t="s">
        <v>3973</v>
      </c>
      <c r="G4366" t="str">
        <f t="shared" si="136"/>
        <v>TOR</v>
      </c>
      <c r="H4366" t="s">
        <v>3952</v>
      </c>
      <c r="I4366" t="s">
        <v>20</v>
      </c>
      <c r="J4366" t="s">
        <v>77</v>
      </c>
      <c r="K4366" s="6">
        <v>0.03</v>
      </c>
      <c r="L4366" s="7">
        <f t="shared" si="137"/>
        <v>2E-3</v>
      </c>
      <c r="M4366" s="7">
        <v>3.0000000000000001E-3</v>
      </c>
      <c r="N4366">
        <v>17</v>
      </c>
      <c r="O4366" s="8">
        <v>49.365095147237867</v>
      </c>
      <c r="P4366" s="9">
        <v>49.365095147237867</v>
      </c>
      <c r="Q4366" s="9">
        <v>49.365095147237867</v>
      </c>
      <c r="R4366" s="9">
        <v>50.770888721957412</v>
      </c>
      <c r="S4366" s="9">
        <v>52.200434315108524</v>
      </c>
      <c r="T4366" s="9">
        <v>52.724840228616593</v>
      </c>
      <c r="U4366" s="9">
        <v>59.472638024172305</v>
      </c>
      <c r="V4366" s="9">
        <v>59.472638024172305</v>
      </c>
      <c r="W4366" s="9">
        <v>59.472638024172305</v>
      </c>
      <c r="X4366" s="9">
        <v>72.142723701589546</v>
      </c>
      <c r="Y4366" s="9">
        <v>72.142723701589546</v>
      </c>
      <c r="Z4366" s="9">
        <v>81.509458318176925</v>
      </c>
      <c r="AA4366" s="9">
        <v>81.509458318176925</v>
      </c>
      <c r="AB4366" s="9">
        <v>89.863972899994664</v>
      </c>
      <c r="AC4366" s="9">
        <v>89.863972899994664</v>
      </c>
      <c r="AD4366" s="9">
        <v>98.618648314994076</v>
      </c>
      <c r="AE4366" s="9">
        <v>108.72378502149357</v>
      </c>
      <c r="AF4366" s="9">
        <v>120.36692993447016</v>
      </c>
      <c r="AG4366" s="9">
        <v>120.36692993447016</v>
      </c>
      <c r="AH4366" s="9">
        <v>131.35112917791719</v>
      </c>
      <c r="AI4366" s="9">
        <v>142.33181861642981</v>
      </c>
      <c r="AJ4366" s="9">
        <v>3.0428788910505911</v>
      </c>
    </row>
    <row r="4367" spans="1:36" x14ac:dyDescent="0.25">
      <c r="A4367" t="s">
        <v>5411</v>
      </c>
      <c r="B4367" t="s">
        <v>16</v>
      </c>
      <c r="C4367" t="s">
        <v>17</v>
      </c>
      <c r="D4367">
        <v>77400000</v>
      </c>
      <c r="E4367">
        <v>77449999</v>
      </c>
      <c r="F4367" t="s">
        <v>3974</v>
      </c>
      <c r="G4367" t="str">
        <f t="shared" si="136"/>
        <v>TOI II</v>
      </c>
      <c r="H4367" t="s">
        <v>3952</v>
      </c>
      <c r="I4367" t="s">
        <v>20</v>
      </c>
      <c r="J4367" t="s">
        <v>64</v>
      </c>
      <c r="K4367" s="6">
        <v>0.03</v>
      </c>
      <c r="L4367" s="7">
        <f t="shared" si="137"/>
        <v>2E-3</v>
      </c>
      <c r="M4367" s="7">
        <v>3.0000000000000001E-3</v>
      </c>
      <c r="N4367">
        <v>15</v>
      </c>
      <c r="O4367" s="8">
        <v>33.781331501009838</v>
      </c>
      <c r="P4367" s="9">
        <v>33.781331501009838</v>
      </c>
      <c r="Q4367" s="9">
        <v>33.781331501009838</v>
      </c>
      <c r="R4367" s="9">
        <v>34.433939146946329</v>
      </c>
      <c r="S4367" s="9">
        <v>35.715304560924992</v>
      </c>
      <c r="T4367" s="9">
        <v>37.841932313349979</v>
      </c>
      <c r="U4367" s="9">
        <v>43.06110671091858</v>
      </c>
      <c r="V4367" s="9">
        <v>43.06110671091858</v>
      </c>
      <c r="W4367" s="9">
        <v>43.06110671091858</v>
      </c>
      <c r="X4367" s="9">
        <v>49.693262350914033</v>
      </c>
      <c r="Y4367" s="9">
        <v>49.693262350914033</v>
      </c>
      <c r="Z4367" s="9">
        <v>56.492014144744225</v>
      </c>
      <c r="AA4367" s="9">
        <v>56.492014144744225</v>
      </c>
      <c r="AB4367" s="9">
        <v>63.55714504062793</v>
      </c>
      <c r="AC4367" s="9">
        <v>63.55714504062793</v>
      </c>
      <c r="AD4367" s="9">
        <v>75.267967413979164</v>
      </c>
      <c r="AE4367" s="9">
        <v>82.646694060645473</v>
      </c>
      <c r="AF4367" s="9">
        <v>90.24504558674569</v>
      </c>
      <c r="AG4367" s="9">
        <v>90.24504558674569</v>
      </c>
      <c r="AH4367" s="9">
        <v>99.513793995796377</v>
      </c>
      <c r="AI4367" s="9">
        <v>107.2326846904169</v>
      </c>
      <c r="AJ4367" s="9">
        <v>3.0428788910505911</v>
      </c>
    </row>
    <row r="4368" spans="1:36" x14ac:dyDescent="0.25">
      <c r="A4368" t="s">
        <v>5411</v>
      </c>
      <c r="B4368" t="s">
        <v>16</v>
      </c>
      <c r="C4368" t="s">
        <v>17</v>
      </c>
      <c r="D4368">
        <v>77450000</v>
      </c>
      <c r="E4368">
        <v>77452999</v>
      </c>
      <c r="F4368" t="s">
        <v>3975</v>
      </c>
      <c r="G4368" t="str">
        <f t="shared" si="136"/>
        <v>TOR</v>
      </c>
      <c r="H4368" t="s">
        <v>3952</v>
      </c>
      <c r="I4368" t="s">
        <v>20</v>
      </c>
      <c r="J4368" t="s">
        <v>77</v>
      </c>
      <c r="K4368" s="6">
        <v>0.03</v>
      </c>
      <c r="L4368" s="7">
        <f t="shared" si="137"/>
        <v>2E-3</v>
      </c>
      <c r="M4368" s="7">
        <v>3.0000000000000001E-3</v>
      </c>
      <c r="N4368">
        <v>17</v>
      </c>
      <c r="O4368" s="8">
        <v>49.365095147237867</v>
      </c>
      <c r="P4368" s="9">
        <v>49.365095147237867</v>
      </c>
      <c r="Q4368" s="9">
        <v>49.365095147237867</v>
      </c>
      <c r="R4368" s="9">
        <v>50.770888721957412</v>
      </c>
      <c r="S4368" s="9">
        <v>52.200434315108524</v>
      </c>
      <c r="T4368" s="9">
        <v>52.724840228616593</v>
      </c>
      <c r="U4368" s="9">
        <v>59.472638024172305</v>
      </c>
      <c r="V4368" s="9">
        <v>59.472638024172305</v>
      </c>
      <c r="W4368" s="9">
        <v>59.472638024172305</v>
      </c>
      <c r="X4368" s="9">
        <v>72.142723701589546</v>
      </c>
      <c r="Y4368" s="9">
        <v>72.142723701589546</v>
      </c>
      <c r="Z4368" s="9">
        <v>81.509458318176925</v>
      </c>
      <c r="AA4368" s="9">
        <v>81.509458318176925</v>
      </c>
      <c r="AB4368" s="9">
        <v>89.863972899994664</v>
      </c>
      <c r="AC4368" s="9">
        <v>89.863972899994664</v>
      </c>
      <c r="AD4368" s="9">
        <v>98.618648314994076</v>
      </c>
      <c r="AE4368" s="9">
        <v>108.72378502149357</v>
      </c>
      <c r="AF4368" s="9">
        <v>120.36692993447016</v>
      </c>
      <c r="AG4368" s="9">
        <v>120.36692993447016</v>
      </c>
      <c r="AH4368" s="9">
        <v>131.35112917791719</v>
      </c>
      <c r="AI4368" s="9">
        <v>142.33181861642981</v>
      </c>
      <c r="AJ4368" s="9">
        <v>3.0428788910505911</v>
      </c>
    </row>
    <row r="4369" spans="1:36" x14ac:dyDescent="0.25">
      <c r="A4369" t="s">
        <v>5411</v>
      </c>
      <c r="B4369" t="s">
        <v>16</v>
      </c>
      <c r="C4369" t="s">
        <v>17</v>
      </c>
      <c r="D4369">
        <v>77453000</v>
      </c>
      <c r="E4369">
        <v>77454999</v>
      </c>
      <c r="F4369" t="s">
        <v>3976</v>
      </c>
      <c r="G4369" t="str">
        <f t="shared" si="136"/>
        <v>TOR</v>
      </c>
      <c r="H4369" t="s">
        <v>3952</v>
      </c>
      <c r="I4369" t="s">
        <v>20</v>
      </c>
      <c r="J4369" t="s">
        <v>77</v>
      </c>
      <c r="K4369" s="6">
        <v>0.03</v>
      </c>
      <c r="L4369" s="7">
        <f t="shared" si="137"/>
        <v>2E-3</v>
      </c>
      <c r="M4369" s="7">
        <v>3.0000000000000001E-3</v>
      </c>
      <c r="N4369">
        <v>17</v>
      </c>
      <c r="O4369" s="8">
        <v>49.365095147237867</v>
      </c>
      <c r="P4369" s="9">
        <v>49.365095147237867</v>
      </c>
      <c r="Q4369" s="9">
        <v>49.365095147237867</v>
      </c>
      <c r="R4369" s="9">
        <v>50.770888721957412</v>
      </c>
      <c r="S4369" s="9">
        <v>52.200434315108524</v>
      </c>
      <c r="T4369" s="9">
        <v>52.724840228616593</v>
      </c>
      <c r="U4369" s="9">
        <v>59.472638024172305</v>
      </c>
      <c r="V4369" s="9">
        <v>59.472638024172305</v>
      </c>
      <c r="W4369" s="9">
        <v>59.472638024172305</v>
      </c>
      <c r="X4369" s="9">
        <v>72.142723701589546</v>
      </c>
      <c r="Y4369" s="9">
        <v>72.142723701589546</v>
      </c>
      <c r="Z4369" s="9">
        <v>81.509458318176925</v>
      </c>
      <c r="AA4369" s="9">
        <v>81.509458318176925</v>
      </c>
      <c r="AB4369" s="9">
        <v>89.863972899994664</v>
      </c>
      <c r="AC4369" s="9">
        <v>89.863972899994664</v>
      </c>
      <c r="AD4369" s="9">
        <v>98.618648314994076</v>
      </c>
      <c r="AE4369" s="9">
        <v>108.72378502149357</v>
      </c>
      <c r="AF4369" s="9">
        <v>120.36692993447016</v>
      </c>
      <c r="AG4369" s="9">
        <v>120.36692993447016</v>
      </c>
      <c r="AH4369" s="9">
        <v>131.35112917791719</v>
      </c>
      <c r="AI4369" s="9">
        <v>142.33181861642981</v>
      </c>
      <c r="AJ4369" s="9">
        <v>3.0428788910505911</v>
      </c>
    </row>
    <row r="4370" spans="1:36" x14ac:dyDescent="0.25">
      <c r="A4370" t="s">
        <v>5411</v>
      </c>
      <c r="B4370" t="s">
        <v>16</v>
      </c>
      <c r="C4370" t="s">
        <v>17</v>
      </c>
      <c r="D4370">
        <v>77455000</v>
      </c>
      <c r="E4370">
        <v>77457999</v>
      </c>
      <c r="F4370" t="s">
        <v>3977</v>
      </c>
      <c r="G4370" t="str">
        <f t="shared" si="136"/>
        <v>TOR</v>
      </c>
      <c r="H4370" t="s">
        <v>3952</v>
      </c>
      <c r="I4370" t="s">
        <v>20</v>
      </c>
      <c r="J4370" t="s">
        <v>77</v>
      </c>
      <c r="K4370" s="6">
        <v>0.03</v>
      </c>
      <c r="L4370" s="7">
        <f t="shared" si="137"/>
        <v>2E-3</v>
      </c>
      <c r="M4370" s="7">
        <v>3.0000000000000001E-3</v>
      </c>
      <c r="N4370">
        <v>17</v>
      </c>
      <c r="O4370" s="8">
        <v>49.365095147237867</v>
      </c>
      <c r="P4370" s="9">
        <v>49.365095147237867</v>
      </c>
      <c r="Q4370" s="9">
        <v>49.365095147237867</v>
      </c>
      <c r="R4370" s="9">
        <v>50.770888721957412</v>
      </c>
      <c r="S4370" s="9">
        <v>52.200434315108524</v>
      </c>
      <c r="T4370" s="9">
        <v>52.724840228616593</v>
      </c>
      <c r="U4370" s="9">
        <v>59.472638024172305</v>
      </c>
      <c r="V4370" s="9">
        <v>59.472638024172305</v>
      </c>
      <c r="W4370" s="9">
        <v>59.472638024172305</v>
      </c>
      <c r="X4370" s="9">
        <v>72.142723701589546</v>
      </c>
      <c r="Y4370" s="9">
        <v>72.142723701589546</v>
      </c>
      <c r="Z4370" s="9">
        <v>81.509458318176925</v>
      </c>
      <c r="AA4370" s="9">
        <v>81.509458318176925</v>
      </c>
      <c r="AB4370" s="9">
        <v>89.863972899994664</v>
      </c>
      <c r="AC4370" s="9">
        <v>89.863972899994664</v>
      </c>
      <c r="AD4370" s="9">
        <v>98.618648314994076</v>
      </c>
      <c r="AE4370" s="9">
        <v>108.72378502149357</v>
      </c>
      <c r="AF4370" s="9">
        <v>120.36692993447016</v>
      </c>
      <c r="AG4370" s="9">
        <v>120.36692993447016</v>
      </c>
      <c r="AH4370" s="9">
        <v>131.35112917791719</v>
      </c>
      <c r="AI4370" s="9">
        <v>142.33181861642981</v>
      </c>
      <c r="AJ4370" s="9">
        <v>3.0428788910505911</v>
      </c>
    </row>
    <row r="4371" spans="1:36" x14ac:dyDescent="0.25">
      <c r="A4371" t="s">
        <v>5411</v>
      </c>
      <c r="B4371" t="s">
        <v>16</v>
      </c>
      <c r="C4371" t="s">
        <v>17</v>
      </c>
      <c r="D4371">
        <v>77458000</v>
      </c>
      <c r="E4371">
        <v>77459999</v>
      </c>
      <c r="F4371" t="s">
        <v>3978</v>
      </c>
      <c r="G4371" t="str">
        <f t="shared" si="136"/>
        <v>TOR</v>
      </c>
      <c r="H4371" t="s">
        <v>3952</v>
      </c>
      <c r="I4371" t="s">
        <v>20</v>
      </c>
      <c r="J4371" t="s">
        <v>77</v>
      </c>
      <c r="K4371" s="6">
        <v>0.03</v>
      </c>
      <c r="L4371" s="7">
        <f t="shared" si="137"/>
        <v>2E-3</v>
      </c>
      <c r="M4371" s="7">
        <v>3.0000000000000001E-3</v>
      </c>
      <c r="N4371">
        <v>17</v>
      </c>
      <c r="O4371" s="8">
        <v>49.365095147237867</v>
      </c>
      <c r="P4371" s="9">
        <v>49.365095147237867</v>
      </c>
      <c r="Q4371" s="9">
        <v>49.365095147237867</v>
      </c>
      <c r="R4371" s="9">
        <v>50.770888721957412</v>
      </c>
      <c r="S4371" s="9">
        <v>52.200434315108524</v>
      </c>
      <c r="T4371" s="9">
        <v>52.724840228616593</v>
      </c>
      <c r="U4371" s="9">
        <v>59.472638024172305</v>
      </c>
      <c r="V4371" s="9">
        <v>59.472638024172305</v>
      </c>
      <c r="W4371" s="9">
        <v>59.472638024172305</v>
      </c>
      <c r="X4371" s="9">
        <v>72.142723701589546</v>
      </c>
      <c r="Y4371" s="9">
        <v>72.142723701589546</v>
      </c>
      <c r="Z4371" s="9">
        <v>81.509458318176925</v>
      </c>
      <c r="AA4371" s="9">
        <v>81.509458318176925</v>
      </c>
      <c r="AB4371" s="9">
        <v>89.863972899994664</v>
      </c>
      <c r="AC4371" s="9">
        <v>89.863972899994664</v>
      </c>
      <c r="AD4371" s="9">
        <v>98.618648314994076</v>
      </c>
      <c r="AE4371" s="9">
        <v>108.72378502149357</v>
      </c>
      <c r="AF4371" s="9">
        <v>120.36692993447016</v>
      </c>
      <c r="AG4371" s="9">
        <v>120.36692993447016</v>
      </c>
      <c r="AH4371" s="9">
        <v>131.35112917791719</v>
      </c>
      <c r="AI4371" s="9">
        <v>142.33181861642981</v>
      </c>
      <c r="AJ4371" s="9">
        <v>3.0428788910505911</v>
      </c>
    </row>
    <row r="4372" spans="1:36" x14ac:dyDescent="0.25">
      <c r="A4372" t="s">
        <v>5411</v>
      </c>
      <c r="B4372" t="s">
        <v>16</v>
      </c>
      <c r="C4372" t="s">
        <v>17</v>
      </c>
      <c r="D4372">
        <v>77460000</v>
      </c>
      <c r="E4372">
        <v>77462999</v>
      </c>
      <c r="F4372" t="s">
        <v>3979</v>
      </c>
      <c r="G4372" t="str">
        <f t="shared" si="136"/>
        <v>TOR</v>
      </c>
      <c r="H4372" t="s">
        <v>3952</v>
      </c>
      <c r="I4372" t="s">
        <v>20</v>
      </c>
      <c r="J4372" t="s">
        <v>77</v>
      </c>
      <c r="K4372" s="6">
        <v>0.03</v>
      </c>
      <c r="L4372" s="7">
        <f t="shared" si="137"/>
        <v>2E-3</v>
      </c>
      <c r="M4372" s="7">
        <v>3.0000000000000001E-3</v>
      </c>
      <c r="N4372">
        <v>17</v>
      </c>
      <c r="O4372" s="8">
        <v>49.365095147237867</v>
      </c>
      <c r="P4372" s="9">
        <v>49.365095147237867</v>
      </c>
      <c r="Q4372" s="9">
        <v>49.365095147237867</v>
      </c>
      <c r="R4372" s="9">
        <v>50.770888721957412</v>
      </c>
      <c r="S4372" s="9">
        <v>52.200434315108524</v>
      </c>
      <c r="T4372" s="9">
        <v>52.724840228616593</v>
      </c>
      <c r="U4372" s="9">
        <v>59.472638024172305</v>
      </c>
      <c r="V4372" s="9">
        <v>59.472638024172305</v>
      </c>
      <c r="W4372" s="9">
        <v>59.472638024172305</v>
      </c>
      <c r="X4372" s="9">
        <v>72.142723701589546</v>
      </c>
      <c r="Y4372" s="9">
        <v>72.142723701589546</v>
      </c>
      <c r="Z4372" s="9">
        <v>81.509458318176925</v>
      </c>
      <c r="AA4372" s="9">
        <v>81.509458318176925</v>
      </c>
      <c r="AB4372" s="9">
        <v>89.863972899994664</v>
      </c>
      <c r="AC4372" s="9">
        <v>89.863972899994664</v>
      </c>
      <c r="AD4372" s="9">
        <v>98.618648314994076</v>
      </c>
      <c r="AE4372" s="9">
        <v>108.72378502149357</v>
      </c>
      <c r="AF4372" s="9">
        <v>120.36692993447016</v>
      </c>
      <c r="AG4372" s="9">
        <v>120.36692993447016</v>
      </c>
      <c r="AH4372" s="9">
        <v>131.35112917791719</v>
      </c>
      <c r="AI4372" s="9">
        <v>142.33181861642981</v>
      </c>
      <c r="AJ4372" s="9">
        <v>3.0428788910505911</v>
      </c>
    </row>
    <row r="4373" spans="1:36" x14ac:dyDescent="0.25">
      <c r="A4373" t="s">
        <v>5411</v>
      </c>
      <c r="B4373" t="s">
        <v>16</v>
      </c>
      <c r="C4373" t="s">
        <v>17</v>
      </c>
      <c r="D4373">
        <v>77463000</v>
      </c>
      <c r="E4373">
        <v>77464999</v>
      </c>
      <c r="F4373" t="s">
        <v>3980</v>
      </c>
      <c r="G4373" t="str">
        <f t="shared" si="136"/>
        <v>TOR</v>
      </c>
      <c r="H4373" t="s">
        <v>3952</v>
      </c>
      <c r="I4373" t="s">
        <v>20</v>
      </c>
      <c r="J4373" t="s">
        <v>77</v>
      </c>
      <c r="K4373" s="6">
        <v>0.03</v>
      </c>
      <c r="L4373" s="7">
        <f t="shared" si="137"/>
        <v>2E-3</v>
      </c>
      <c r="M4373" s="7">
        <v>3.0000000000000001E-3</v>
      </c>
      <c r="N4373">
        <v>17</v>
      </c>
      <c r="O4373" s="8">
        <v>49.365095147237867</v>
      </c>
      <c r="P4373" s="9">
        <v>49.365095147237867</v>
      </c>
      <c r="Q4373" s="9">
        <v>49.365095147237867</v>
      </c>
      <c r="R4373" s="9">
        <v>50.770888721957412</v>
      </c>
      <c r="S4373" s="9">
        <v>52.200434315108524</v>
      </c>
      <c r="T4373" s="9">
        <v>52.724840228616593</v>
      </c>
      <c r="U4373" s="9">
        <v>59.472638024172305</v>
      </c>
      <c r="V4373" s="9">
        <v>59.472638024172305</v>
      </c>
      <c r="W4373" s="9">
        <v>59.472638024172305</v>
      </c>
      <c r="X4373" s="9">
        <v>72.142723701589546</v>
      </c>
      <c r="Y4373" s="9">
        <v>72.142723701589546</v>
      </c>
      <c r="Z4373" s="9">
        <v>81.509458318176925</v>
      </c>
      <c r="AA4373" s="9">
        <v>81.509458318176925</v>
      </c>
      <c r="AB4373" s="9">
        <v>89.863972899994664</v>
      </c>
      <c r="AC4373" s="9">
        <v>89.863972899994664</v>
      </c>
      <c r="AD4373" s="9">
        <v>98.618648314994076</v>
      </c>
      <c r="AE4373" s="9">
        <v>108.72378502149357</v>
      </c>
      <c r="AF4373" s="9">
        <v>120.36692993447016</v>
      </c>
      <c r="AG4373" s="9">
        <v>120.36692993447016</v>
      </c>
      <c r="AH4373" s="9">
        <v>131.35112917791719</v>
      </c>
      <c r="AI4373" s="9">
        <v>142.33181861642981</v>
      </c>
      <c r="AJ4373" s="9">
        <v>3.0428788910505911</v>
      </c>
    </row>
    <row r="4374" spans="1:36" x14ac:dyDescent="0.25">
      <c r="A4374" t="s">
        <v>5411</v>
      </c>
      <c r="B4374" t="s">
        <v>16</v>
      </c>
      <c r="C4374" t="s">
        <v>17</v>
      </c>
      <c r="D4374">
        <v>77465000</v>
      </c>
      <c r="E4374">
        <v>77469999</v>
      </c>
      <c r="F4374" t="s">
        <v>3981</v>
      </c>
      <c r="G4374" t="str">
        <f t="shared" si="136"/>
        <v>TOR</v>
      </c>
      <c r="H4374" t="s">
        <v>3952</v>
      </c>
      <c r="I4374" t="s">
        <v>20</v>
      </c>
      <c r="J4374" t="s">
        <v>77</v>
      </c>
      <c r="K4374" s="6">
        <v>0.03</v>
      </c>
      <c r="L4374" s="7">
        <f t="shared" si="137"/>
        <v>2E-3</v>
      </c>
      <c r="M4374" s="7">
        <v>3.0000000000000001E-3</v>
      </c>
      <c r="N4374">
        <v>17</v>
      </c>
      <c r="O4374" s="8">
        <v>49.365095147237867</v>
      </c>
      <c r="P4374" s="9">
        <v>49.365095147237867</v>
      </c>
      <c r="Q4374" s="9">
        <v>49.365095147237867</v>
      </c>
      <c r="R4374" s="9">
        <v>50.770888721957412</v>
      </c>
      <c r="S4374" s="9">
        <v>52.200434315108524</v>
      </c>
      <c r="T4374" s="9">
        <v>52.724840228616593</v>
      </c>
      <c r="U4374" s="9">
        <v>59.472638024172305</v>
      </c>
      <c r="V4374" s="9">
        <v>59.472638024172305</v>
      </c>
      <c r="W4374" s="9">
        <v>59.472638024172305</v>
      </c>
      <c r="X4374" s="9">
        <v>72.142723701589546</v>
      </c>
      <c r="Y4374" s="9">
        <v>72.142723701589546</v>
      </c>
      <c r="Z4374" s="9">
        <v>81.509458318176925</v>
      </c>
      <c r="AA4374" s="9">
        <v>81.509458318176925</v>
      </c>
      <c r="AB4374" s="9">
        <v>89.863972899994664</v>
      </c>
      <c r="AC4374" s="9">
        <v>89.863972899994664</v>
      </c>
      <c r="AD4374" s="9">
        <v>98.618648314994076</v>
      </c>
      <c r="AE4374" s="9">
        <v>108.72378502149357</v>
      </c>
      <c r="AF4374" s="9">
        <v>120.36692993447016</v>
      </c>
      <c r="AG4374" s="9">
        <v>120.36692993447016</v>
      </c>
      <c r="AH4374" s="9">
        <v>131.35112917791719</v>
      </c>
      <c r="AI4374" s="9">
        <v>142.33181861642981</v>
      </c>
      <c r="AJ4374" s="9">
        <v>3.0428788910505911</v>
      </c>
    </row>
    <row r="4375" spans="1:36" x14ac:dyDescent="0.25">
      <c r="A4375" t="s">
        <v>5411</v>
      </c>
      <c r="B4375" t="s">
        <v>16</v>
      </c>
      <c r="C4375" t="s">
        <v>17</v>
      </c>
      <c r="D4375">
        <v>77470000</v>
      </c>
      <c r="E4375">
        <v>77474999</v>
      </c>
      <c r="F4375" t="s">
        <v>3982</v>
      </c>
      <c r="G4375" t="str">
        <f t="shared" si="136"/>
        <v>TOR</v>
      </c>
      <c r="H4375" t="s">
        <v>3952</v>
      </c>
      <c r="I4375" t="s">
        <v>20</v>
      </c>
      <c r="J4375" t="s">
        <v>77</v>
      </c>
      <c r="K4375" s="6">
        <v>0.03</v>
      </c>
      <c r="L4375" s="7">
        <f t="shared" si="137"/>
        <v>2E-3</v>
      </c>
      <c r="M4375" s="7">
        <v>3.0000000000000001E-3</v>
      </c>
      <c r="N4375">
        <v>17</v>
      </c>
      <c r="O4375" s="8">
        <v>49.365095147237867</v>
      </c>
      <c r="P4375" s="9">
        <v>49.365095147237867</v>
      </c>
      <c r="Q4375" s="9">
        <v>49.365095147237867</v>
      </c>
      <c r="R4375" s="9">
        <v>50.770888721957412</v>
      </c>
      <c r="S4375" s="9">
        <v>52.200434315108524</v>
      </c>
      <c r="T4375" s="9">
        <v>52.724840228616593</v>
      </c>
      <c r="U4375" s="9">
        <v>59.472638024172305</v>
      </c>
      <c r="V4375" s="9">
        <v>59.472638024172305</v>
      </c>
      <c r="W4375" s="9">
        <v>59.472638024172305</v>
      </c>
      <c r="X4375" s="9">
        <v>72.142723701589546</v>
      </c>
      <c r="Y4375" s="9">
        <v>72.142723701589546</v>
      </c>
      <c r="Z4375" s="9">
        <v>81.509458318176925</v>
      </c>
      <c r="AA4375" s="9">
        <v>81.509458318176925</v>
      </c>
      <c r="AB4375" s="9">
        <v>89.863972899994664</v>
      </c>
      <c r="AC4375" s="9">
        <v>89.863972899994664</v>
      </c>
      <c r="AD4375" s="9">
        <v>98.618648314994076</v>
      </c>
      <c r="AE4375" s="9">
        <v>108.72378502149357</v>
      </c>
      <c r="AF4375" s="9">
        <v>120.36692993447016</v>
      </c>
      <c r="AG4375" s="9">
        <v>120.36692993447016</v>
      </c>
      <c r="AH4375" s="9">
        <v>131.35112917791719</v>
      </c>
      <c r="AI4375" s="9">
        <v>142.33181861642981</v>
      </c>
      <c r="AJ4375" s="9">
        <v>3.0428788910505911</v>
      </c>
    </row>
    <row r="4376" spans="1:36" x14ac:dyDescent="0.25">
      <c r="A4376" t="s">
        <v>5411</v>
      </c>
      <c r="B4376" t="s">
        <v>16</v>
      </c>
      <c r="C4376" t="s">
        <v>17</v>
      </c>
      <c r="D4376">
        <v>77475000</v>
      </c>
      <c r="E4376">
        <v>77477999</v>
      </c>
      <c r="F4376" t="s">
        <v>3983</v>
      </c>
      <c r="G4376" t="str">
        <f t="shared" si="136"/>
        <v>TOR</v>
      </c>
      <c r="H4376" t="s">
        <v>3952</v>
      </c>
      <c r="I4376" t="s">
        <v>20</v>
      </c>
      <c r="J4376" t="s">
        <v>77</v>
      </c>
      <c r="K4376" s="6">
        <v>0.03</v>
      </c>
      <c r="L4376" s="7">
        <f t="shared" si="137"/>
        <v>2E-3</v>
      </c>
      <c r="M4376" s="7">
        <v>3.0000000000000001E-3</v>
      </c>
      <c r="N4376">
        <v>17</v>
      </c>
      <c r="O4376" s="8">
        <v>49.365095147237867</v>
      </c>
      <c r="P4376" s="9">
        <v>49.365095147237867</v>
      </c>
      <c r="Q4376" s="9">
        <v>49.365095147237867</v>
      </c>
      <c r="R4376" s="9">
        <v>50.770888721957412</v>
      </c>
      <c r="S4376" s="9">
        <v>52.200434315108524</v>
      </c>
      <c r="T4376" s="9">
        <v>52.724840228616593</v>
      </c>
      <c r="U4376" s="9">
        <v>59.472638024172305</v>
      </c>
      <c r="V4376" s="9">
        <v>59.472638024172305</v>
      </c>
      <c r="W4376" s="9">
        <v>59.472638024172305</v>
      </c>
      <c r="X4376" s="9">
        <v>72.142723701589546</v>
      </c>
      <c r="Y4376" s="9">
        <v>72.142723701589546</v>
      </c>
      <c r="Z4376" s="9">
        <v>81.509458318176925</v>
      </c>
      <c r="AA4376" s="9">
        <v>81.509458318176925</v>
      </c>
      <c r="AB4376" s="9">
        <v>89.863972899994664</v>
      </c>
      <c r="AC4376" s="9">
        <v>89.863972899994664</v>
      </c>
      <c r="AD4376" s="9">
        <v>98.618648314994076</v>
      </c>
      <c r="AE4376" s="9">
        <v>108.72378502149357</v>
      </c>
      <c r="AF4376" s="9">
        <v>120.36692993447016</v>
      </c>
      <c r="AG4376" s="9">
        <v>120.36692993447016</v>
      </c>
      <c r="AH4376" s="9">
        <v>131.35112917791719</v>
      </c>
      <c r="AI4376" s="9">
        <v>142.33181861642981</v>
      </c>
      <c r="AJ4376" s="9">
        <v>3.0428788910505911</v>
      </c>
    </row>
    <row r="4377" spans="1:36" x14ac:dyDescent="0.25">
      <c r="A4377" t="s">
        <v>5411</v>
      </c>
      <c r="B4377" t="s">
        <v>16</v>
      </c>
      <c r="C4377" t="s">
        <v>17</v>
      </c>
      <c r="D4377">
        <v>77478000</v>
      </c>
      <c r="E4377">
        <v>77479999</v>
      </c>
      <c r="F4377" t="s">
        <v>3984</v>
      </c>
      <c r="G4377" t="str">
        <f t="shared" si="136"/>
        <v>TOR</v>
      </c>
      <c r="H4377" t="s">
        <v>3952</v>
      </c>
      <c r="I4377" t="s">
        <v>20</v>
      </c>
      <c r="J4377" t="s">
        <v>77</v>
      </c>
      <c r="K4377" s="6">
        <v>0.03</v>
      </c>
      <c r="L4377" s="7">
        <f t="shared" si="137"/>
        <v>2E-3</v>
      </c>
      <c r="M4377" s="7">
        <v>3.0000000000000001E-3</v>
      </c>
      <c r="N4377">
        <v>17</v>
      </c>
      <c r="O4377" s="8">
        <v>49.365095147237867</v>
      </c>
      <c r="P4377" s="9">
        <v>49.365095147237867</v>
      </c>
      <c r="Q4377" s="9">
        <v>49.365095147237867</v>
      </c>
      <c r="R4377" s="9">
        <v>50.770888721957412</v>
      </c>
      <c r="S4377" s="9">
        <v>52.200434315108524</v>
      </c>
      <c r="T4377" s="9">
        <v>52.724840228616593</v>
      </c>
      <c r="U4377" s="9">
        <v>59.472638024172305</v>
      </c>
      <c r="V4377" s="9">
        <v>59.472638024172305</v>
      </c>
      <c r="W4377" s="9">
        <v>59.472638024172305</v>
      </c>
      <c r="X4377" s="9">
        <v>72.142723701589546</v>
      </c>
      <c r="Y4377" s="9">
        <v>72.142723701589546</v>
      </c>
      <c r="Z4377" s="9">
        <v>81.509458318176925</v>
      </c>
      <c r="AA4377" s="9">
        <v>81.509458318176925</v>
      </c>
      <c r="AB4377" s="9">
        <v>89.863972899994664</v>
      </c>
      <c r="AC4377" s="9">
        <v>89.863972899994664</v>
      </c>
      <c r="AD4377" s="9">
        <v>98.618648314994076</v>
      </c>
      <c r="AE4377" s="9">
        <v>108.72378502149357</v>
      </c>
      <c r="AF4377" s="9">
        <v>120.36692993447016</v>
      </c>
      <c r="AG4377" s="9">
        <v>120.36692993447016</v>
      </c>
      <c r="AH4377" s="9">
        <v>131.35112917791719</v>
      </c>
      <c r="AI4377" s="9">
        <v>142.33181861642981</v>
      </c>
      <c r="AJ4377" s="9">
        <v>3.0428788910505911</v>
      </c>
    </row>
    <row r="4378" spans="1:36" x14ac:dyDescent="0.25">
      <c r="A4378" t="s">
        <v>5411</v>
      </c>
      <c r="B4378" t="s">
        <v>16</v>
      </c>
      <c r="C4378" t="s">
        <v>17</v>
      </c>
      <c r="D4378">
        <v>77480000</v>
      </c>
      <c r="E4378">
        <v>77482999</v>
      </c>
      <c r="F4378" t="s">
        <v>3985</v>
      </c>
      <c r="G4378" t="str">
        <f t="shared" si="136"/>
        <v>TOR</v>
      </c>
      <c r="H4378" t="s">
        <v>3952</v>
      </c>
      <c r="I4378" t="s">
        <v>20</v>
      </c>
      <c r="J4378" t="s">
        <v>77</v>
      </c>
      <c r="K4378" s="6">
        <v>0.03</v>
      </c>
      <c r="L4378" s="7">
        <f t="shared" si="137"/>
        <v>2E-3</v>
      </c>
      <c r="M4378" s="7">
        <v>3.0000000000000001E-3</v>
      </c>
      <c r="N4378">
        <v>17</v>
      </c>
      <c r="O4378" s="8">
        <v>49.365095147237867</v>
      </c>
      <c r="P4378" s="9">
        <v>49.365095147237867</v>
      </c>
      <c r="Q4378" s="9">
        <v>49.365095147237867</v>
      </c>
      <c r="R4378" s="9">
        <v>50.770888721957412</v>
      </c>
      <c r="S4378" s="9">
        <v>52.200434315108524</v>
      </c>
      <c r="T4378" s="9">
        <v>52.724840228616593</v>
      </c>
      <c r="U4378" s="9">
        <v>59.472638024172305</v>
      </c>
      <c r="V4378" s="9">
        <v>59.472638024172305</v>
      </c>
      <c r="W4378" s="9">
        <v>59.472638024172305</v>
      </c>
      <c r="X4378" s="9">
        <v>72.142723701589546</v>
      </c>
      <c r="Y4378" s="9">
        <v>72.142723701589546</v>
      </c>
      <c r="Z4378" s="9">
        <v>81.509458318176925</v>
      </c>
      <c r="AA4378" s="9">
        <v>81.509458318176925</v>
      </c>
      <c r="AB4378" s="9">
        <v>89.863972899994664</v>
      </c>
      <c r="AC4378" s="9">
        <v>89.863972899994664</v>
      </c>
      <c r="AD4378" s="9">
        <v>98.618648314994076</v>
      </c>
      <c r="AE4378" s="9">
        <v>108.72378502149357</v>
      </c>
      <c r="AF4378" s="9">
        <v>120.36692993447016</v>
      </c>
      <c r="AG4378" s="9">
        <v>120.36692993447016</v>
      </c>
      <c r="AH4378" s="9">
        <v>131.35112917791719</v>
      </c>
      <c r="AI4378" s="9">
        <v>142.33181861642981</v>
      </c>
      <c r="AJ4378" s="9">
        <v>3.0428788910505911</v>
      </c>
    </row>
    <row r="4379" spans="1:36" x14ac:dyDescent="0.25">
      <c r="A4379" t="s">
        <v>5411</v>
      </c>
      <c r="B4379" t="s">
        <v>16</v>
      </c>
      <c r="C4379" t="s">
        <v>17</v>
      </c>
      <c r="D4379">
        <v>77483000</v>
      </c>
      <c r="E4379">
        <v>77484999</v>
      </c>
      <c r="F4379" t="s">
        <v>3986</v>
      </c>
      <c r="G4379" t="str">
        <f t="shared" si="136"/>
        <v>TOR</v>
      </c>
      <c r="H4379" t="s">
        <v>3952</v>
      </c>
      <c r="I4379" t="s">
        <v>20</v>
      </c>
      <c r="J4379" t="s">
        <v>77</v>
      </c>
      <c r="K4379" s="6">
        <v>0.03</v>
      </c>
      <c r="L4379" s="7">
        <f t="shared" si="137"/>
        <v>2E-3</v>
      </c>
      <c r="M4379" s="7">
        <v>3.0000000000000001E-3</v>
      </c>
      <c r="N4379">
        <v>17</v>
      </c>
      <c r="O4379" s="8">
        <v>49.365095147237867</v>
      </c>
      <c r="P4379" s="9">
        <v>49.365095147237867</v>
      </c>
      <c r="Q4379" s="9">
        <v>49.365095147237867</v>
      </c>
      <c r="R4379" s="9">
        <v>50.770888721957412</v>
      </c>
      <c r="S4379" s="9">
        <v>52.200434315108524</v>
      </c>
      <c r="T4379" s="9">
        <v>52.724840228616593</v>
      </c>
      <c r="U4379" s="9">
        <v>59.472638024172305</v>
      </c>
      <c r="V4379" s="9">
        <v>59.472638024172305</v>
      </c>
      <c r="W4379" s="9">
        <v>59.472638024172305</v>
      </c>
      <c r="X4379" s="9">
        <v>72.142723701589546</v>
      </c>
      <c r="Y4379" s="9">
        <v>72.142723701589546</v>
      </c>
      <c r="Z4379" s="9">
        <v>81.509458318176925</v>
      </c>
      <c r="AA4379" s="9">
        <v>81.509458318176925</v>
      </c>
      <c r="AB4379" s="9">
        <v>89.863972899994664</v>
      </c>
      <c r="AC4379" s="9">
        <v>89.863972899994664</v>
      </c>
      <c r="AD4379" s="9">
        <v>98.618648314994076</v>
      </c>
      <c r="AE4379" s="9">
        <v>108.72378502149357</v>
      </c>
      <c r="AF4379" s="9">
        <v>120.36692993447016</v>
      </c>
      <c r="AG4379" s="9">
        <v>120.36692993447016</v>
      </c>
      <c r="AH4379" s="9">
        <v>131.35112917791719</v>
      </c>
      <c r="AI4379" s="9">
        <v>142.33181861642981</v>
      </c>
      <c r="AJ4379" s="9">
        <v>3.0428788910505911</v>
      </c>
    </row>
    <row r="4380" spans="1:36" x14ac:dyDescent="0.25">
      <c r="A4380" t="s">
        <v>5411</v>
      </c>
      <c r="B4380" t="s">
        <v>16</v>
      </c>
      <c r="C4380" t="s">
        <v>17</v>
      </c>
      <c r="D4380">
        <v>77485000</v>
      </c>
      <c r="E4380">
        <v>77489999</v>
      </c>
      <c r="F4380" t="s">
        <v>3987</v>
      </c>
      <c r="G4380" t="str">
        <f t="shared" si="136"/>
        <v>TOR</v>
      </c>
      <c r="H4380" t="s">
        <v>3952</v>
      </c>
      <c r="I4380" t="s">
        <v>20</v>
      </c>
      <c r="J4380" t="s">
        <v>77</v>
      </c>
      <c r="K4380" s="6">
        <v>0.03</v>
      </c>
      <c r="L4380" s="7">
        <f t="shared" si="137"/>
        <v>2E-3</v>
      </c>
      <c r="M4380" s="7">
        <v>3.0000000000000001E-3</v>
      </c>
      <c r="N4380">
        <v>17</v>
      </c>
      <c r="O4380" s="8">
        <v>49.365095147237867</v>
      </c>
      <c r="P4380" s="9">
        <v>49.365095147237867</v>
      </c>
      <c r="Q4380" s="9">
        <v>49.365095147237867</v>
      </c>
      <c r="R4380" s="9">
        <v>50.770888721957412</v>
      </c>
      <c r="S4380" s="9">
        <v>52.200434315108524</v>
      </c>
      <c r="T4380" s="9">
        <v>52.724840228616593</v>
      </c>
      <c r="U4380" s="9">
        <v>59.472638024172305</v>
      </c>
      <c r="V4380" s="9">
        <v>59.472638024172305</v>
      </c>
      <c r="W4380" s="9">
        <v>59.472638024172305</v>
      </c>
      <c r="X4380" s="9">
        <v>72.142723701589546</v>
      </c>
      <c r="Y4380" s="9">
        <v>72.142723701589546</v>
      </c>
      <c r="Z4380" s="9">
        <v>81.509458318176925</v>
      </c>
      <c r="AA4380" s="9">
        <v>81.509458318176925</v>
      </c>
      <c r="AB4380" s="9">
        <v>89.863972899994664</v>
      </c>
      <c r="AC4380" s="9">
        <v>89.863972899994664</v>
      </c>
      <c r="AD4380" s="9">
        <v>98.618648314994076</v>
      </c>
      <c r="AE4380" s="9">
        <v>108.72378502149357</v>
      </c>
      <c r="AF4380" s="9">
        <v>120.36692993447016</v>
      </c>
      <c r="AG4380" s="9">
        <v>120.36692993447016</v>
      </c>
      <c r="AH4380" s="9">
        <v>131.35112917791719</v>
      </c>
      <c r="AI4380" s="9">
        <v>142.33181861642981</v>
      </c>
      <c r="AJ4380" s="9">
        <v>3.0428788910505911</v>
      </c>
    </row>
    <row r="4381" spans="1:36" x14ac:dyDescent="0.25">
      <c r="A4381" t="s">
        <v>5411</v>
      </c>
      <c r="B4381" t="s">
        <v>16</v>
      </c>
      <c r="C4381" t="s">
        <v>17</v>
      </c>
      <c r="D4381">
        <v>77490000</v>
      </c>
      <c r="E4381">
        <v>77492999</v>
      </c>
      <c r="F4381" t="s">
        <v>3988</v>
      </c>
      <c r="G4381" t="str">
        <f t="shared" si="136"/>
        <v>TOR</v>
      </c>
      <c r="H4381" t="s">
        <v>3952</v>
      </c>
      <c r="I4381" t="s">
        <v>20</v>
      </c>
      <c r="J4381" t="s">
        <v>77</v>
      </c>
      <c r="K4381" s="6">
        <v>0.03</v>
      </c>
      <c r="L4381" s="7">
        <f t="shared" si="137"/>
        <v>2E-3</v>
      </c>
      <c r="M4381" s="7">
        <v>3.0000000000000001E-3</v>
      </c>
      <c r="N4381">
        <v>17</v>
      </c>
      <c r="O4381" s="8">
        <v>49.365095147237867</v>
      </c>
      <c r="P4381" s="9">
        <v>49.365095147237867</v>
      </c>
      <c r="Q4381" s="9">
        <v>49.365095147237867</v>
      </c>
      <c r="R4381" s="9">
        <v>50.770888721957412</v>
      </c>
      <c r="S4381" s="9">
        <v>52.200434315108524</v>
      </c>
      <c r="T4381" s="9">
        <v>52.724840228616593</v>
      </c>
      <c r="U4381" s="9">
        <v>59.472638024172305</v>
      </c>
      <c r="V4381" s="9">
        <v>59.472638024172305</v>
      </c>
      <c r="W4381" s="9">
        <v>59.472638024172305</v>
      </c>
      <c r="X4381" s="9">
        <v>72.142723701589546</v>
      </c>
      <c r="Y4381" s="9">
        <v>72.142723701589546</v>
      </c>
      <c r="Z4381" s="9">
        <v>81.509458318176925</v>
      </c>
      <c r="AA4381" s="9">
        <v>81.509458318176925</v>
      </c>
      <c r="AB4381" s="9">
        <v>89.863972899994664</v>
      </c>
      <c r="AC4381" s="9">
        <v>89.863972899994664</v>
      </c>
      <c r="AD4381" s="9">
        <v>98.618648314994076</v>
      </c>
      <c r="AE4381" s="9">
        <v>108.72378502149357</v>
      </c>
      <c r="AF4381" s="9">
        <v>120.36692993447016</v>
      </c>
      <c r="AG4381" s="9">
        <v>120.36692993447016</v>
      </c>
      <c r="AH4381" s="9">
        <v>131.35112917791719</v>
      </c>
      <c r="AI4381" s="9">
        <v>142.33181861642981</v>
      </c>
      <c r="AJ4381" s="9">
        <v>3.0428788910505911</v>
      </c>
    </row>
    <row r="4382" spans="1:36" x14ac:dyDescent="0.25">
      <c r="A4382" t="s">
        <v>5411</v>
      </c>
      <c r="B4382" t="s">
        <v>16</v>
      </c>
      <c r="C4382" t="s">
        <v>17</v>
      </c>
      <c r="D4382">
        <v>77493000</v>
      </c>
      <c r="E4382">
        <v>77494999</v>
      </c>
      <c r="F4382" t="s">
        <v>3989</v>
      </c>
      <c r="G4382" t="str">
        <f t="shared" si="136"/>
        <v>TOR</v>
      </c>
      <c r="H4382" t="s">
        <v>3952</v>
      </c>
      <c r="I4382" t="s">
        <v>20</v>
      </c>
      <c r="J4382" t="s">
        <v>77</v>
      </c>
      <c r="K4382" s="6">
        <v>0.03</v>
      </c>
      <c r="L4382" s="7">
        <f t="shared" si="137"/>
        <v>2E-3</v>
      </c>
      <c r="M4382" s="7">
        <v>3.0000000000000001E-3</v>
      </c>
      <c r="N4382">
        <v>17</v>
      </c>
      <c r="O4382" s="8">
        <v>49.365095147237867</v>
      </c>
      <c r="P4382" s="9">
        <v>49.365095147237867</v>
      </c>
      <c r="Q4382" s="9">
        <v>49.365095147237867</v>
      </c>
      <c r="R4382" s="9">
        <v>50.770888721957412</v>
      </c>
      <c r="S4382" s="9">
        <v>52.200434315108524</v>
      </c>
      <c r="T4382" s="9">
        <v>52.724840228616593</v>
      </c>
      <c r="U4382" s="9">
        <v>59.472638024172305</v>
      </c>
      <c r="V4382" s="9">
        <v>59.472638024172305</v>
      </c>
      <c r="W4382" s="9">
        <v>59.472638024172305</v>
      </c>
      <c r="X4382" s="9">
        <v>72.142723701589546</v>
      </c>
      <c r="Y4382" s="9">
        <v>72.142723701589546</v>
      </c>
      <c r="Z4382" s="9">
        <v>81.509458318176925</v>
      </c>
      <c r="AA4382" s="9">
        <v>81.509458318176925</v>
      </c>
      <c r="AB4382" s="9">
        <v>89.863972899994664</v>
      </c>
      <c r="AC4382" s="9">
        <v>89.863972899994664</v>
      </c>
      <c r="AD4382" s="9">
        <v>98.618648314994076</v>
      </c>
      <c r="AE4382" s="9">
        <v>108.72378502149357</v>
      </c>
      <c r="AF4382" s="9">
        <v>120.36692993447016</v>
      </c>
      <c r="AG4382" s="9">
        <v>120.36692993447016</v>
      </c>
      <c r="AH4382" s="9">
        <v>131.35112917791719</v>
      </c>
      <c r="AI4382" s="9">
        <v>142.33181861642981</v>
      </c>
      <c r="AJ4382" s="9">
        <v>3.0428788910505911</v>
      </c>
    </row>
    <row r="4383" spans="1:36" x14ac:dyDescent="0.25">
      <c r="A4383" t="s">
        <v>5411</v>
      </c>
      <c r="B4383" t="s">
        <v>16</v>
      </c>
      <c r="C4383" t="s">
        <v>17</v>
      </c>
      <c r="D4383">
        <v>77495000</v>
      </c>
      <c r="E4383">
        <v>77499999</v>
      </c>
      <c r="F4383" t="s">
        <v>3990</v>
      </c>
      <c r="G4383" t="str">
        <f t="shared" si="136"/>
        <v>TOR</v>
      </c>
      <c r="H4383" t="s">
        <v>3952</v>
      </c>
      <c r="I4383" t="s">
        <v>20</v>
      </c>
      <c r="J4383" t="s">
        <v>77</v>
      </c>
      <c r="K4383" s="6">
        <v>0.03</v>
      </c>
      <c r="L4383" s="7">
        <f t="shared" si="137"/>
        <v>2E-3</v>
      </c>
      <c r="M4383" s="7">
        <v>3.0000000000000001E-3</v>
      </c>
      <c r="N4383">
        <v>17</v>
      </c>
      <c r="O4383" s="8">
        <v>49.365095147237867</v>
      </c>
      <c r="P4383" s="9">
        <v>49.365095147237867</v>
      </c>
      <c r="Q4383" s="9">
        <v>49.365095147237867</v>
      </c>
      <c r="R4383" s="9">
        <v>50.770888721957412</v>
      </c>
      <c r="S4383" s="9">
        <v>52.200434315108524</v>
      </c>
      <c r="T4383" s="9">
        <v>52.724840228616593</v>
      </c>
      <c r="U4383" s="9">
        <v>59.472638024172305</v>
      </c>
      <c r="V4383" s="9">
        <v>59.472638024172305</v>
      </c>
      <c r="W4383" s="9">
        <v>59.472638024172305</v>
      </c>
      <c r="X4383" s="9">
        <v>72.142723701589546</v>
      </c>
      <c r="Y4383" s="9">
        <v>72.142723701589546</v>
      </c>
      <c r="Z4383" s="9">
        <v>81.509458318176925</v>
      </c>
      <c r="AA4383" s="9">
        <v>81.509458318176925</v>
      </c>
      <c r="AB4383" s="9">
        <v>89.863972899994664</v>
      </c>
      <c r="AC4383" s="9">
        <v>89.863972899994664</v>
      </c>
      <c r="AD4383" s="9">
        <v>98.618648314994076</v>
      </c>
      <c r="AE4383" s="9">
        <v>108.72378502149357</v>
      </c>
      <c r="AF4383" s="9">
        <v>120.36692993447016</v>
      </c>
      <c r="AG4383" s="9">
        <v>120.36692993447016</v>
      </c>
      <c r="AH4383" s="9">
        <v>131.35112917791719</v>
      </c>
      <c r="AI4383" s="9">
        <v>142.33181861642981</v>
      </c>
      <c r="AJ4383" s="9">
        <v>3.0428788910505911</v>
      </c>
    </row>
    <row r="4384" spans="1:36" x14ac:dyDescent="0.25">
      <c r="A4384" t="s">
        <v>5411</v>
      </c>
      <c r="B4384" t="s">
        <v>16</v>
      </c>
      <c r="C4384" t="s">
        <v>17</v>
      </c>
      <c r="D4384">
        <v>77500000</v>
      </c>
      <c r="E4384">
        <v>77552999</v>
      </c>
      <c r="F4384" t="s">
        <v>3991</v>
      </c>
      <c r="G4384" t="str">
        <f t="shared" si="136"/>
        <v>TOI</v>
      </c>
      <c r="H4384" t="s">
        <v>3952</v>
      </c>
      <c r="I4384" t="s">
        <v>20</v>
      </c>
      <c r="J4384" t="s">
        <v>62</v>
      </c>
      <c r="K4384" s="6">
        <v>0.03</v>
      </c>
      <c r="L4384" s="7">
        <f t="shared" si="137"/>
        <v>2E-3</v>
      </c>
      <c r="M4384" s="7">
        <v>3.0000000000000001E-3</v>
      </c>
      <c r="N4384">
        <v>14</v>
      </c>
      <c r="O4384" s="8">
        <v>32.332337801098205</v>
      </c>
      <c r="P4384" s="9">
        <v>32.332337801098205</v>
      </c>
      <c r="Q4384" s="9">
        <v>32.332337801098205</v>
      </c>
      <c r="R4384" s="9">
        <v>32.940523384695631</v>
      </c>
      <c r="S4384" s="9">
        <v>34.175484284092171</v>
      </c>
      <c r="T4384" s="9">
        <v>37.021521614718367</v>
      </c>
      <c r="U4384" s="9">
        <v>42.211273680168205</v>
      </c>
      <c r="V4384" s="9">
        <v>42.211273680168205</v>
      </c>
      <c r="W4384" s="9">
        <v>42.211273680168205</v>
      </c>
      <c r="X4384" s="9">
        <v>48.550171223514766</v>
      </c>
      <c r="Y4384" s="9">
        <v>48.550171223514766</v>
      </c>
      <c r="Z4384" s="9">
        <v>46.216732011746963</v>
      </c>
      <c r="AA4384" s="9">
        <v>46.216732011746963</v>
      </c>
      <c r="AB4384" s="9">
        <v>52.720231922739409</v>
      </c>
      <c r="AC4384" s="9">
        <v>52.720231922739409</v>
      </c>
      <c r="AD4384" s="9">
        <v>60.487973145764791</v>
      </c>
      <c r="AE4384" s="9">
        <v>68.564545138130441</v>
      </c>
      <c r="AF4384" s="9">
        <v>76.989792128480374</v>
      </c>
      <c r="AG4384" s="9">
        <v>76.989792128480374</v>
      </c>
      <c r="AH4384" s="9">
        <v>84.892623023569556</v>
      </c>
      <c r="AI4384" s="9">
        <v>92.610124185401475</v>
      </c>
      <c r="AJ4384" s="9">
        <v>3.0428788910505911</v>
      </c>
    </row>
    <row r="4385" spans="1:36" x14ac:dyDescent="0.25">
      <c r="A4385" t="s">
        <v>5411</v>
      </c>
      <c r="B4385" t="s">
        <v>16</v>
      </c>
      <c r="C4385" t="s">
        <v>17</v>
      </c>
      <c r="D4385">
        <v>77553000</v>
      </c>
      <c r="E4385">
        <v>77554999</v>
      </c>
      <c r="F4385" t="s">
        <v>2839</v>
      </c>
      <c r="G4385" t="str">
        <f t="shared" si="136"/>
        <v>TOR</v>
      </c>
      <c r="H4385" t="s">
        <v>3952</v>
      </c>
      <c r="I4385" t="s">
        <v>20</v>
      </c>
      <c r="J4385" t="s">
        <v>77</v>
      </c>
      <c r="K4385" s="6">
        <v>0.03</v>
      </c>
      <c r="L4385" s="7">
        <f t="shared" si="137"/>
        <v>2E-3</v>
      </c>
      <c r="M4385" s="7">
        <v>3.0000000000000001E-3</v>
      </c>
      <c r="N4385">
        <v>17</v>
      </c>
      <c r="O4385" s="8">
        <v>49.365095147237867</v>
      </c>
      <c r="P4385" s="9">
        <v>49.365095147237867</v>
      </c>
      <c r="Q4385" s="9">
        <v>49.365095147237867</v>
      </c>
      <c r="R4385" s="9">
        <v>50.770888721957412</v>
      </c>
      <c r="S4385" s="9">
        <v>52.200434315108524</v>
      </c>
      <c r="T4385" s="9">
        <v>52.724840228616593</v>
      </c>
      <c r="U4385" s="9">
        <v>59.472638024172305</v>
      </c>
      <c r="V4385" s="9">
        <v>59.472638024172305</v>
      </c>
      <c r="W4385" s="9">
        <v>59.472638024172305</v>
      </c>
      <c r="X4385" s="9">
        <v>72.142723701589546</v>
      </c>
      <c r="Y4385" s="9">
        <v>72.142723701589546</v>
      </c>
      <c r="Z4385" s="9">
        <v>81.509458318176925</v>
      </c>
      <c r="AA4385" s="9">
        <v>81.509458318176925</v>
      </c>
      <c r="AB4385" s="9">
        <v>89.863972899994664</v>
      </c>
      <c r="AC4385" s="9">
        <v>89.863972899994664</v>
      </c>
      <c r="AD4385" s="9">
        <v>98.618648314994076</v>
      </c>
      <c r="AE4385" s="9">
        <v>108.72378502149357</v>
      </c>
      <c r="AF4385" s="9">
        <v>120.36692993447016</v>
      </c>
      <c r="AG4385" s="9">
        <v>120.36692993447016</v>
      </c>
      <c r="AH4385" s="9">
        <v>131.35112917791719</v>
      </c>
      <c r="AI4385" s="9">
        <v>142.33181861642981</v>
      </c>
      <c r="AJ4385" s="9">
        <v>3.0428788910505911</v>
      </c>
    </row>
    <row r="4386" spans="1:36" x14ac:dyDescent="0.25">
      <c r="A4386" t="s">
        <v>5411</v>
      </c>
      <c r="B4386" t="s">
        <v>16</v>
      </c>
      <c r="C4386" t="s">
        <v>17</v>
      </c>
      <c r="D4386">
        <v>77555000</v>
      </c>
      <c r="E4386">
        <v>77557999</v>
      </c>
      <c r="F4386" t="s">
        <v>2064</v>
      </c>
      <c r="G4386" t="str">
        <f t="shared" si="136"/>
        <v>TOR</v>
      </c>
      <c r="H4386" t="s">
        <v>3952</v>
      </c>
      <c r="I4386" t="s">
        <v>20</v>
      </c>
      <c r="J4386" t="s">
        <v>77</v>
      </c>
      <c r="K4386" s="6">
        <v>0.03</v>
      </c>
      <c r="L4386" s="7">
        <f t="shared" si="137"/>
        <v>2E-3</v>
      </c>
      <c r="M4386" s="7">
        <v>3.0000000000000001E-3</v>
      </c>
      <c r="N4386">
        <v>17</v>
      </c>
      <c r="O4386" s="8">
        <v>49.365095147237867</v>
      </c>
      <c r="P4386" s="9">
        <v>49.365095147237867</v>
      </c>
      <c r="Q4386" s="9">
        <v>49.365095147237867</v>
      </c>
      <c r="R4386" s="9">
        <v>50.770888721957412</v>
      </c>
      <c r="S4386" s="9">
        <v>52.200434315108524</v>
      </c>
      <c r="T4386" s="9">
        <v>52.724840228616593</v>
      </c>
      <c r="U4386" s="9">
        <v>59.472638024172305</v>
      </c>
      <c r="V4386" s="9">
        <v>59.472638024172305</v>
      </c>
      <c r="W4386" s="9">
        <v>59.472638024172305</v>
      </c>
      <c r="X4386" s="9">
        <v>72.142723701589546</v>
      </c>
      <c r="Y4386" s="9">
        <v>72.142723701589546</v>
      </c>
      <c r="Z4386" s="9">
        <v>81.509458318176925</v>
      </c>
      <c r="AA4386" s="9">
        <v>81.509458318176925</v>
      </c>
      <c r="AB4386" s="9">
        <v>89.863972899994664</v>
      </c>
      <c r="AC4386" s="9">
        <v>89.863972899994664</v>
      </c>
      <c r="AD4386" s="9">
        <v>98.618648314994076</v>
      </c>
      <c r="AE4386" s="9">
        <v>108.72378502149357</v>
      </c>
      <c r="AF4386" s="9">
        <v>120.36692993447016</v>
      </c>
      <c r="AG4386" s="9">
        <v>120.36692993447016</v>
      </c>
      <c r="AH4386" s="9">
        <v>131.35112917791719</v>
      </c>
      <c r="AI4386" s="9">
        <v>142.33181861642981</v>
      </c>
      <c r="AJ4386" s="9">
        <v>3.0428788910505911</v>
      </c>
    </row>
    <row r="4387" spans="1:36" x14ac:dyDescent="0.25">
      <c r="A4387" t="s">
        <v>5411</v>
      </c>
      <c r="B4387" t="s">
        <v>16</v>
      </c>
      <c r="C4387" t="s">
        <v>17</v>
      </c>
      <c r="D4387">
        <v>77558000</v>
      </c>
      <c r="E4387">
        <v>77559999</v>
      </c>
      <c r="F4387" t="s">
        <v>3992</v>
      </c>
      <c r="G4387" t="str">
        <f t="shared" si="136"/>
        <v>TOR</v>
      </c>
      <c r="H4387" t="s">
        <v>3952</v>
      </c>
      <c r="I4387" t="s">
        <v>20</v>
      </c>
      <c r="J4387" t="s">
        <v>77</v>
      </c>
      <c r="K4387" s="6">
        <v>0.03</v>
      </c>
      <c r="L4387" s="7">
        <f t="shared" si="137"/>
        <v>2E-3</v>
      </c>
      <c r="M4387" s="7">
        <v>3.0000000000000001E-3</v>
      </c>
      <c r="N4387">
        <v>17</v>
      </c>
      <c r="O4387" s="8">
        <v>49.365095147237867</v>
      </c>
      <c r="P4387" s="9">
        <v>49.365095147237867</v>
      </c>
      <c r="Q4387" s="9">
        <v>49.365095147237867</v>
      </c>
      <c r="R4387" s="9">
        <v>50.770888721957412</v>
      </c>
      <c r="S4387" s="9">
        <v>52.200434315108524</v>
      </c>
      <c r="T4387" s="9">
        <v>52.724840228616593</v>
      </c>
      <c r="U4387" s="9">
        <v>59.472638024172305</v>
      </c>
      <c r="V4387" s="9">
        <v>59.472638024172305</v>
      </c>
      <c r="W4387" s="9">
        <v>59.472638024172305</v>
      </c>
      <c r="X4387" s="9">
        <v>72.142723701589546</v>
      </c>
      <c r="Y4387" s="9">
        <v>72.142723701589546</v>
      </c>
      <c r="Z4387" s="9">
        <v>81.509458318176925</v>
      </c>
      <c r="AA4387" s="9">
        <v>81.509458318176925</v>
      </c>
      <c r="AB4387" s="9">
        <v>89.863972899994664</v>
      </c>
      <c r="AC4387" s="9">
        <v>89.863972899994664</v>
      </c>
      <c r="AD4387" s="9">
        <v>98.618648314994076</v>
      </c>
      <c r="AE4387" s="9">
        <v>108.72378502149357</v>
      </c>
      <c r="AF4387" s="9">
        <v>120.36692993447016</v>
      </c>
      <c r="AG4387" s="9">
        <v>120.36692993447016</v>
      </c>
      <c r="AH4387" s="9">
        <v>131.35112917791719</v>
      </c>
      <c r="AI4387" s="9">
        <v>142.33181861642981</v>
      </c>
      <c r="AJ4387" s="9">
        <v>3.0428788910505911</v>
      </c>
    </row>
    <row r="4388" spans="1:36" x14ac:dyDescent="0.25">
      <c r="A4388" t="s">
        <v>5411</v>
      </c>
      <c r="B4388" t="s">
        <v>16</v>
      </c>
      <c r="C4388" t="s">
        <v>17</v>
      </c>
      <c r="D4388">
        <v>77560000</v>
      </c>
      <c r="E4388">
        <v>77564999</v>
      </c>
      <c r="F4388" t="s">
        <v>3993</v>
      </c>
      <c r="G4388" t="str">
        <f t="shared" si="136"/>
        <v>TOR</v>
      </c>
      <c r="H4388" t="s">
        <v>3952</v>
      </c>
      <c r="I4388" t="s">
        <v>20</v>
      </c>
      <c r="J4388" t="s">
        <v>77</v>
      </c>
      <c r="K4388" s="6">
        <v>0.03</v>
      </c>
      <c r="L4388" s="7">
        <f t="shared" si="137"/>
        <v>2E-3</v>
      </c>
      <c r="M4388" s="7">
        <v>3.0000000000000001E-3</v>
      </c>
      <c r="N4388">
        <v>17</v>
      </c>
      <c r="O4388" s="8">
        <v>49.365095147237867</v>
      </c>
      <c r="P4388" s="9">
        <v>49.365095147237867</v>
      </c>
      <c r="Q4388" s="9">
        <v>49.365095147237867</v>
      </c>
      <c r="R4388" s="9">
        <v>50.770888721957412</v>
      </c>
      <c r="S4388" s="9">
        <v>52.200434315108524</v>
      </c>
      <c r="T4388" s="9">
        <v>52.724840228616593</v>
      </c>
      <c r="U4388" s="9">
        <v>59.472638024172305</v>
      </c>
      <c r="V4388" s="9">
        <v>59.472638024172305</v>
      </c>
      <c r="W4388" s="9">
        <v>59.472638024172305</v>
      </c>
      <c r="X4388" s="9">
        <v>72.142723701589546</v>
      </c>
      <c r="Y4388" s="9">
        <v>72.142723701589546</v>
      </c>
      <c r="Z4388" s="9">
        <v>81.509458318176925</v>
      </c>
      <c r="AA4388" s="9">
        <v>81.509458318176925</v>
      </c>
      <c r="AB4388" s="9">
        <v>89.863972899994664</v>
      </c>
      <c r="AC4388" s="9">
        <v>89.863972899994664</v>
      </c>
      <c r="AD4388" s="9">
        <v>98.618648314994076</v>
      </c>
      <c r="AE4388" s="9">
        <v>108.72378502149357</v>
      </c>
      <c r="AF4388" s="9">
        <v>120.36692993447016</v>
      </c>
      <c r="AG4388" s="9">
        <v>120.36692993447016</v>
      </c>
      <c r="AH4388" s="9">
        <v>131.35112917791719</v>
      </c>
      <c r="AI4388" s="9">
        <v>142.33181861642981</v>
      </c>
      <c r="AJ4388" s="9">
        <v>3.0428788910505911</v>
      </c>
    </row>
    <row r="4389" spans="1:36" x14ac:dyDescent="0.25">
      <c r="A4389" t="s">
        <v>5411</v>
      </c>
      <c r="B4389" t="s">
        <v>16</v>
      </c>
      <c r="C4389" t="s">
        <v>17</v>
      </c>
      <c r="D4389">
        <v>77565000</v>
      </c>
      <c r="E4389">
        <v>77569999</v>
      </c>
      <c r="F4389" t="s">
        <v>3994</v>
      </c>
      <c r="G4389" t="str">
        <f t="shared" si="136"/>
        <v>TOR</v>
      </c>
      <c r="H4389" t="s">
        <v>3952</v>
      </c>
      <c r="I4389" t="s">
        <v>20</v>
      </c>
      <c r="J4389" t="s">
        <v>77</v>
      </c>
      <c r="K4389" s="6">
        <v>0.03</v>
      </c>
      <c r="L4389" s="7">
        <f t="shared" si="137"/>
        <v>2E-3</v>
      </c>
      <c r="M4389" s="7">
        <v>3.0000000000000001E-3</v>
      </c>
      <c r="N4389">
        <v>17</v>
      </c>
      <c r="O4389" s="8">
        <v>49.365095147237867</v>
      </c>
      <c r="P4389" s="9">
        <v>49.365095147237867</v>
      </c>
      <c r="Q4389" s="9">
        <v>49.365095147237867</v>
      </c>
      <c r="R4389" s="9">
        <v>50.770888721957412</v>
      </c>
      <c r="S4389" s="9">
        <v>52.200434315108524</v>
      </c>
      <c r="T4389" s="9">
        <v>52.724840228616593</v>
      </c>
      <c r="U4389" s="9">
        <v>59.472638024172305</v>
      </c>
      <c r="V4389" s="9">
        <v>59.472638024172305</v>
      </c>
      <c r="W4389" s="9">
        <v>59.472638024172305</v>
      </c>
      <c r="X4389" s="9">
        <v>72.142723701589546</v>
      </c>
      <c r="Y4389" s="9">
        <v>72.142723701589546</v>
      </c>
      <c r="Z4389" s="9">
        <v>81.509458318176925</v>
      </c>
      <c r="AA4389" s="9">
        <v>81.509458318176925</v>
      </c>
      <c r="AB4389" s="9">
        <v>89.863972899994664</v>
      </c>
      <c r="AC4389" s="9">
        <v>89.863972899994664</v>
      </c>
      <c r="AD4389" s="9">
        <v>98.618648314994076</v>
      </c>
      <c r="AE4389" s="9">
        <v>108.72378502149357</v>
      </c>
      <c r="AF4389" s="9">
        <v>120.36692993447016</v>
      </c>
      <c r="AG4389" s="9">
        <v>120.36692993447016</v>
      </c>
      <c r="AH4389" s="9">
        <v>131.35112917791719</v>
      </c>
      <c r="AI4389" s="9">
        <v>142.33181861642981</v>
      </c>
      <c r="AJ4389" s="9">
        <v>3.0428788910505911</v>
      </c>
    </row>
    <row r="4390" spans="1:36" x14ac:dyDescent="0.25">
      <c r="A4390" t="s">
        <v>5411</v>
      </c>
      <c r="B4390" t="s">
        <v>16</v>
      </c>
      <c r="C4390" t="s">
        <v>17</v>
      </c>
      <c r="D4390">
        <v>77570000</v>
      </c>
      <c r="E4390">
        <v>77574999</v>
      </c>
      <c r="F4390" t="s">
        <v>3995</v>
      </c>
      <c r="G4390" t="str">
        <f t="shared" si="136"/>
        <v>TOR</v>
      </c>
      <c r="H4390" t="s">
        <v>3952</v>
      </c>
      <c r="I4390" t="s">
        <v>20</v>
      </c>
      <c r="J4390" t="s">
        <v>77</v>
      </c>
      <c r="K4390" s="6">
        <v>0.03</v>
      </c>
      <c r="L4390" s="7">
        <f t="shared" si="137"/>
        <v>2E-3</v>
      </c>
      <c r="M4390" s="7">
        <v>3.0000000000000001E-3</v>
      </c>
      <c r="N4390">
        <v>17</v>
      </c>
      <c r="O4390" s="8">
        <v>49.365095147237867</v>
      </c>
      <c r="P4390" s="9">
        <v>49.365095147237867</v>
      </c>
      <c r="Q4390" s="9">
        <v>49.365095147237867</v>
      </c>
      <c r="R4390" s="9">
        <v>50.770888721957412</v>
      </c>
      <c r="S4390" s="9">
        <v>52.200434315108524</v>
      </c>
      <c r="T4390" s="9">
        <v>52.724840228616593</v>
      </c>
      <c r="U4390" s="9">
        <v>59.472638024172305</v>
      </c>
      <c r="V4390" s="9">
        <v>59.472638024172305</v>
      </c>
      <c r="W4390" s="9">
        <v>59.472638024172305</v>
      </c>
      <c r="X4390" s="9">
        <v>72.142723701589546</v>
      </c>
      <c r="Y4390" s="9">
        <v>72.142723701589546</v>
      </c>
      <c r="Z4390" s="9">
        <v>81.509458318176925</v>
      </c>
      <c r="AA4390" s="9">
        <v>81.509458318176925</v>
      </c>
      <c r="AB4390" s="9">
        <v>89.863972899994664</v>
      </c>
      <c r="AC4390" s="9">
        <v>89.863972899994664</v>
      </c>
      <c r="AD4390" s="9">
        <v>98.618648314994076</v>
      </c>
      <c r="AE4390" s="9">
        <v>108.72378502149357</v>
      </c>
      <c r="AF4390" s="9">
        <v>120.36692993447016</v>
      </c>
      <c r="AG4390" s="9">
        <v>120.36692993447016</v>
      </c>
      <c r="AH4390" s="9">
        <v>131.35112917791719</v>
      </c>
      <c r="AI4390" s="9">
        <v>142.33181861642981</v>
      </c>
      <c r="AJ4390" s="9">
        <v>3.0428788910505911</v>
      </c>
    </row>
    <row r="4391" spans="1:36" x14ac:dyDescent="0.25">
      <c r="A4391" t="s">
        <v>5411</v>
      </c>
      <c r="B4391" t="s">
        <v>16</v>
      </c>
      <c r="C4391" t="s">
        <v>17</v>
      </c>
      <c r="D4391">
        <v>77575000</v>
      </c>
      <c r="E4391">
        <v>77579999</v>
      </c>
      <c r="F4391" t="s">
        <v>3996</v>
      </c>
      <c r="G4391" t="str">
        <f t="shared" si="136"/>
        <v>TOR</v>
      </c>
      <c r="H4391" t="s">
        <v>3952</v>
      </c>
      <c r="I4391" t="s">
        <v>20</v>
      </c>
      <c r="J4391" t="s">
        <v>77</v>
      </c>
      <c r="K4391" s="6">
        <v>0.03</v>
      </c>
      <c r="L4391" s="7">
        <f t="shared" si="137"/>
        <v>2E-3</v>
      </c>
      <c r="M4391" s="7">
        <v>3.0000000000000001E-3</v>
      </c>
      <c r="N4391">
        <v>17</v>
      </c>
      <c r="O4391" s="8">
        <v>49.365095147237867</v>
      </c>
      <c r="P4391" s="9">
        <v>49.365095147237867</v>
      </c>
      <c r="Q4391" s="9">
        <v>49.365095147237867</v>
      </c>
      <c r="R4391" s="9">
        <v>50.770888721957412</v>
      </c>
      <c r="S4391" s="9">
        <v>52.200434315108524</v>
      </c>
      <c r="T4391" s="9">
        <v>52.724840228616593</v>
      </c>
      <c r="U4391" s="9">
        <v>59.472638024172305</v>
      </c>
      <c r="V4391" s="9">
        <v>59.472638024172305</v>
      </c>
      <c r="W4391" s="9">
        <v>59.472638024172305</v>
      </c>
      <c r="X4391" s="9">
        <v>72.142723701589546</v>
      </c>
      <c r="Y4391" s="9">
        <v>72.142723701589546</v>
      </c>
      <c r="Z4391" s="9">
        <v>81.509458318176925</v>
      </c>
      <c r="AA4391" s="9">
        <v>81.509458318176925</v>
      </c>
      <c r="AB4391" s="9">
        <v>89.863972899994664</v>
      </c>
      <c r="AC4391" s="9">
        <v>89.863972899994664</v>
      </c>
      <c r="AD4391" s="9">
        <v>98.618648314994076</v>
      </c>
      <c r="AE4391" s="9">
        <v>108.72378502149357</v>
      </c>
      <c r="AF4391" s="9">
        <v>120.36692993447016</v>
      </c>
      <c r="AG4391" s="9">
        <v>120.36692993447016</v>
      </c>
      <c r="AH4391" s="9">
        <v>131.35112917791719</v>
      </c>
      <c r="AI4391" s="9">
        <v>142.33181861642981</v>
      </c>
      <c r="AJ4391" s="9">
        <v>3.0428788910505911</v>
      </c>
    </row>
    <row r="4392" spans="1:36" x14ac:dyDescent="0.25">
      <c r="A4392" t="s">
        <v>5411</v>
      </c>
      <c r="B4392" t="s">
        <v>16</v>
      </c>
      <c r="C4392" t="s">
        <v>17</v>
      </c>
      <c r="D4392">
        <v>77580000</v>
      </c>
      <c r="E4392">
        <v>77584999</v>
      </c>
      <c r="F4392" t="s">
        <v>3997</v>
      </c>
      <c r="G4392" t="str">
        <f t="shared" si="136"/>
        <v>TOR</v>
      </c>
      <c r="H4392" t="s">
        <v>3952</v>
      </c>
      <c r="I4392" t="s">
        <v>20</v>
      </c>
      <c r="J4392" t="s">
        <v>77</v>
      </c>
      <c r="K4392" s="6">
        <v>0.03</v>
      </c>
      <c r="L4392" s="7">
        <f t="shared" si="137"/>
        <v>2E-3</v>
      </c>
      <c r="M4392" s="7">
        <v>3.0000000000000001E-3</v>
      </c>
      <c r="N4392">
        <v>17</v>
      </c>
      <c r="O4392" s="8">
        <v>49.365095147237867</v>
      </c>
      <c r="P4392" s="9">
        <v>49.365095147237867</v>
      </c>
      <c r="Q4392" s="9">
        <v>49.365095147237867</v>
      </c>
      <c r="R4392" s="9">
        <v>50.770888721957412</v>
      </c>
      <c r="S4392" s="9">
        <v>52.200434315108524</v>
      </c>
      <c r="T4392" s="9">
        <v>52.724840228616593</v>
      </c>
      <c r="U4392" s="9">
        <v>59.472638024172305</v>
      </c>
      <c r="V4392" s="9">
        <v>59.472638024172305</v>
      </c>
      <c r="W4392" s="9">
        <v>59.472638024172305</v>
      </c>
      <c r="X4392" s="9">
        <v>72.142723701589546</v>
      </c>
      <c r="Y4392" s="9">
        <v>72.142723701589546</v>
      </c>
      <c r="Z4392" s="9">
        <v>81.509458318176925</v>
      </c>
      <c r="AA4392" s="9">
        <v>81.509458318176925</v>
      </c>
      <c r="AB4392" s="9">
        <v>89.863972899994664</v>
      </c>
      <c r="AC4392" s="9">
        <v>89.863972899994664</v>
      </c>
      <c r="AD4392" s="9">
        <v>98.618648314994076</v>
      </c>
      <c r="AE4392" s="9">
        <v>108.72378502149357</v>
      </c>
      <c r="AF4392" s="9">
        <v>120.36692993447016</v>
      </c>
      <c r="AG4392" s="9">
        <v>120.36692993447016</v>
      </c>
      <c r="AH4392" s="9">
        <v>131.35112917791719</v>
      </c>
      <c r="AI4392" s="9">
        <v>142.33181861642981</v>
      </c>
      <c r="AJ4392" s="9">
        <v>3.0428788910505911</v>
      </c>
    </row>
    <row r="4393" spans="1:36" x14ac:dyDescent="0.25">
      <c r="A4393" t="s">
        <v>5411</v>
      </c>
      <c r="B4393" t="s">
        <v>16</v>
      </c>
      <c r="C4393" t="s">
        <v>17</v>
      </c>
      <c r="D4393">
        <v>77585000</v>
      </c>
      <c r="E4393">
        <v>77589999</v>
      </c>
      <c r="F4393" t="s">
        <v>3998</v>
      </c>
      <c r="G4393" t="str">
        <f t="shared" si="136"/>
        <v>TOR</v>
      </c>
      <c r="H4393" t="s">
        <v>3952</v>
      </c>
      <c r="I4393" t="s">
        <v>20</v>
      </c>
      <c r="J4393" t="s">
        <v>77</v>
      </c>
      <c r="K4393" s="6">
        <v>0.03</v>
      </c>
      <c r="L4393" s="7">
        <f t="shared" si="137"/>
        <v>2E-3</v>
      </c>
      <c r="M4393" s="7">
        <v>3.0000000000000001E-3</v>
      </c>
      <c r="N4393">
        <v>17</v>
      </c>
      <c r="O4393" s="8">
        <v>49.365095147237867</v>
      </c>
      <c r="P4393" s="9">
        <v>49.365095147237867</v>
      </c>
      <c r="Q4393" s="9">
        <v>49.365095147237867</v>
      </c>
      <c r="R4393" s="9">
        <v>50.770888721957412</v>
      </c>
      <c r="S4393" s="9">
        <v>52.200434315108524</v>
      </c>
      <c r="T4393" s="9">
        <v>52.724840228616593</v>
      </c>
      <c r="U4393" s="9">
        <v>59.472638024172305</v>
      </c>
      <c r="V4393" s="9">
        <v>59.472638024172305</v>
      </c>
      <c r="W4393" s="9">
        <v>59.472638024172305</v>
      </c>
      <c r="X4393" s="9">
        <v>72.142723701589546</v>
      </c>
      <c r="Y4393" s="9">
        <v>72.142723701589546</v>
      </c>
      <c r="Z4393" s="9">
        <v>81.509458318176925</v>
      </c>
      <c r="AA4393" s="9">
        <v>81.509458318176925</v>
      </c>
      <c r="AB4393" s="9">
        <v>89.863972899994664</v>
      </c>
      <c r="AC4393" s="9">
        <v>89.863972899994664</v>
      </c>
      <c r="AD4393" s="9">
        <v>98.618648314994076</v>
      </c>
      <c r="AE4393" s="9">
        <v>108.72378502149357</v>
      </c>
      <c r="AF4393" s="9">
        <v>120.36692993447016</v>
      </c>
      <c r="AG4393" s="9">
        <v>120.36692993447016</v>
      </c>
      <c r="AH4393" s="9">
        <v>131.35112917791719</v>
      </c>
      <c r="AI4393" s="9">
        <v>142.33181861642981</v>
      </c>
      <c r="AJ4393" s="9">
        <v>3.0428788910505911</v>
      </c>
    </row>
    <row r="4394" spans="1:36" x14ac:dyDescent="0.25">
      <c r="A4394" t="s">
        <v>5411</v>
      </c>
      <c r="B4394" t="s">
        <v>16</v>
      </c>
      <c r="C4394" t="s">
        <v>17</v>
      </c>
      <c r="D4394">
        <v>77590000</v>
      </c>
      <c r="E4394">
        <v>77592999</v>
      </c>
      <c r="F4394" t="s">
        <v>3999</v>
      </c>
      <c r="G4394" t="str">
        <f t="shared" si="136"/>
        <v>TOR</v>
      </c>
      <c r="H4394" t="s">
        <v>3952</v>
      </c>
      <c r="I4394" t="s">
        <v>20</v>
      </c>
      <c r="J4394" t="s">
        <v>77</v>
      </c>
      <c r="K4394" s="6">
        <v>0.03</v>
      </c>
      <c r="L4394" s="7">
        <f t="shared" si="137"/>
        <v>2E-3</v>
      </c>
      <c r="M4394" s="7">
        <v>3.0000000000000001E-3</v>
      </c>
      <c r="N4394">
        <v>17</v>
      </c>
      <c r="O4394" s="8">
        <v>49.365095147237867</v>
      </c>
      <c r="P4394" s="9">
        <v>49.365095147237867</v>
      </c>
      <c r="Q4394" s="9">
        <v>49.365095147237867</v>
      </c>
      <c r="R4394" s="9">
        <v>50.770888721957412</v>
      </c>
      <c r="S4394" s="9">
        <v>52.200434315108524</v>
      </c>
      <c r="T4394" s="9">
        <v>52.724840228616593</v>
      </c>
      <c r="U4394" s="9">
        <v>59.472638024172305</v>
      </c>
      <c r="V4394" s="9">
        <v>59.472638024172305</v>
      </c>
      <c r="W4394" s="9">
        <v>59.472638024172305</v>
      </c>
      <c r="X4394" s="9">
        <v>72.142723701589546</v>
      </c>
      <c r="Y4394" s="9">
        <v>72.142723701589546</v>
      </c>
      <c r="Z4394" s="9">
        <v>81.509458318176925</v>
      </c>
      <c r="AA4394" s="9">
        <v>81.509458318176925</v>
      </c>
      <c r="AB4394" s="9">
        <v>89.863972899994664</v>
      </c>
      <c r="AC4394" s="9">
        <v>89.863972899994664</v>
      </c>
      <c r="AD4394" s="9">
        <v>98.618648314994076</v>
      </c>
      <c r="AE4394" s="9">
        <v>108.72378502149357</v>
      </c>
      <c r="AF4394" s="9">
        <v>120.36692993447016</v>
      </c>
      <c r="AG4394" s="9">
        <v>120.36692993447016</v>
      </c>
      <c r="AH4394" s="9">
        <v>131.35112917791719</v>
      </c>
      <c r="AI4394" s="9">
        <v>142.33181861642981</v>
      </c>
      <c r="AJ4394" s="9">
        <v>3.0428788910505911</v>
      </c>
    </row>
    <row r="4395" spans="1:36" x14ac:dyDescent="0.25">
      <c r="A4395" t="s">
        <v>5411</v>
      </c>
      <c r="B4395" t="s">
        <v>16</v>
      </c>
      <c r="C4395" t="s">
        <v>17</v>
      </c>
      <c r="D4395">
        <v>77593000</v>
      </c>
      <c r="E4395">
        <v>77599999</v>
      </c>
      <c r="F4395" t="s">
        <v>4000</v>
      </c>
      <c r="G4395" t="str">
        <f t="shared" si="136"/>
        <v>TOR</v>
      </c>
      <c r="H4395" t="s">
        <v>3952</v>
      </c>
      <c r="I4395" t="s">
        <v>20</v>
      </c>
      <c r="J4395" t="s">
        <v>77</v>
      </c>
      <c r="K4395" s="6">
        <v>0.03</v>
      </c>
      <c r="L4395" s="7">
        <f t="shared" si="137"/>
        <v>2E-3</v>
      </c>
      <c r="M4395" s="7">
        <v>3.0000000000000001E-3</v>
      </c>
      <c r="N4395">
        <v>17</v>
      </c>
      <c r="O4395" s="8">
        <v>49.365095147237867</v>
      </c>
      <c r="P4395" s="9">
        <v>49.365095147237867</v>
      </c>
      <c r="Q4395" s="9">
        <v>49.365095147237867</v>
      </c>
      <c r="R4395" s="9">
        <v>50.770888721957412</v>
      </c>
      <c r="S4395" s="9">
        <v>52.200434315108524</v>
      </c>
      <c r="T4395" s="9">
        <v>52.724840228616593</v>
      </c>
      <c r="U4395" s="9">
        <v>59.472638024172305</v>
      </c>
      <c r="V4395" s="9">
        <v>59.472638024172305</v>
      </c>
      <c r="W4395" s="9">
        <v>59.472638024172305</v>
      </c>
      <c r="X4395" s="9">
        <v>72.142723701589546</v>
      </c>
      <c r="Y4395" s="9">
        <v>72.142723701589546</v>
      </c>
      <c r="Z4395" s="9">
        <v>81.509458318176925</v>
      </c>
      <c r="AA4395" s="9">
        <v>81.509458318176925</v>
      </c>
      <c r="AB4395" s="9">
        <v>89.863972899994664</v>
      </c>
      <c r="AC4395" s="9">
        <v>89.863972899994664</v>
      </c>
      <c r="AD4395" s="9">
        <v>98.618648314994076</v>
      </c>
      <c r="AE4395" s="9">
        <v>108.72378502149357</v>
      </c>
      <c r="AF4395" s="9">
        <v>120.36692993447016</v>
      </c>
      <c r="AG4395" s="9">
        <v>120.36692993447016</v>
      </c>
      <c r="AH4395" s="9">
        <v>131.35112917791719</v>
      </c>
      <c r="AI4395" s="9">
        <v>142.33181861642981</v>
      </c>
      <c r="AJ4395" s="9">
        <v>3.0428788910505911</v>
      </c>
    </row>
    <row r="4396" spans="1:36" x14ac:dyDescent="0.25">
      <c r="A4396" t="s">
        <v>5411</v>
      </c>
      <c r="B4396" t="s">
        <v>16</v>
      </c>
      <c r="C4396" t="s">
        <v>17</v>
      </c>
      <c r="D4396">
        <v>77600000</v>
      </c>
      <c r="E4396">
        <v>77602999</v>
      </c>
      <c r="F4396" t="s">
        <v>4001</v>
      </c>
      <c r="G4396" t="str">
        <f t="shared" si="136"/>
        <v>TOI II</v>
      </c>
      <c r="H4396" t="s">
        <v>3952</v>
      </c>
      <c r="I4396" t="s">
        <v>20</v>
      </c>
      <c r="J4396" t="s">
        <v>64</v>
      </c>
      <c r="K4396" s="6">
        <v>0.03</v>
      </c>
      <c r="L4396" s="7">
        <f t="shared" si="137"/>
        <v>2E-3</v>
      </c>
      <c r="M4396" s="7">
        <v>3.0000000000000001E-3</v>
      </c>
      <c r="N4396">
        <v>15</v>
      </c>
      <c r="O4396" s="8">
        <v>33.781331501009838</v>
      </c>
      <c r="P4396" s="9">
        <v>33.781331501009838</v>
      </c>
      <c r="Q4396" s="9">
        <v>33.781331501009838</v>
      </c>
      <c r="R4396" s="9">
        <v>34.433939146946329</v>
      </c>
      <c r="S4396" s="9">
        <v>35.715304560924992</v>
      </c>
      <c r="T4396" s="9">
        <v>37.841932313349979</v>
      </c>
      <c r="U4396" s="9">
        <v>43.06110671091858</v>
      </c>
      <c r="V4396" s="9">
        <v>43.06110671091858</v>
      </c>
      <c r="W4396" s="9">
        <v>43.06110671091858</v>
      </c>
      <c r="X4396" s="9">
        <v>49.693262350914033</v>
      </c>
      <c r="Y4396" s="9">
        <v>49.693262350914033</v>
      </c>
      <c r="Z4396" s="9">
        <v>56.492014144744225</v>
      </c>
      <c r="AA4396" s="9">
        <v>56.492014144744225</v>
      </c>
      <c r="AB4396" s="9">
        <v>63.55714504062793</v>
      </c>
      <c r="AC4396" s="9">
        <v>63.55714504062793</v>
      </c>
      <c r="AD4396" s="9">
        <v>75.267967413979164</v>
      </c>
      <c r="AE4396" s="9">
        <v>82.646694060645473</v>
      </c>
      <c r="AF4396" s="9">
        <v>90.24504558674569</v>
      </c>
      <c r="AG4396" s="9">
        <v>90.24504558674569</v>
      </c>
      <c r="AH4396" s="9">
        <v>99.513793995796377</v>
      </c>
      <c r="AI4396" s="9">
        <v>107.2326846904169</v>
      </c>
      <c r="AJ4396" s="9">
        <v>3.0428788910505911</v>
      </c>
    </row>
    <row r="4397" spans="1:36" x14ac:dyDescent="0.25">
      <c r="A4397" t="s">
        <v>5411</v>
      </c>
      <c r="B4397" t="s">
        <v>16</v>
      </c>
      <c r="C4397" t="s">
        <v>17</v>
      </c>
      <c r="D4397">
        <v>77603000</v>
      </c>
      <c r="E4397">
        <v>77604999</v>
      </c>
      <c r="F4397" t="s">
        <v>4002</v>
      </c>
      <c r="G4397" t="str">
        <f t="shared" si="136"/>
        <v>TOR</v>
      </c>
      <c r="H4397" t="s">
        <v>3952</v>
      </c>
      <c r="I4397" t="s">
        <v>20</v>
      </c>
      <c r="J4397" t="s">
        <v>77</v>
      </c>
      <c r="K4397" s="6">
        <v>0.03</v>
      </c>
      <c r="L4397" s="7">
        <f t="shared" si="137"/>
        <v>2E-3</v>
      </c>
      <c r="M4397" s="7">
        <v>3.0000000000000001E-3</v>
      </c>
      <c r="N4397">
        <v>17</v>
      </c>
      <c r="O4397" s="8">
        <v>49.365095147237867</v>
      </c>
      <c r="P4397" s="9">
        <v>49.365095147237867</v>
      </c>
      <c r="Q4397" s="9">
        <v>49.365095147237867</v>
      </c>
      <c r="R4397" s="9">
        <v>50.770888721957412</v>
      </c>
      <c r="S4397" s="9">
        <v>52.200434315108524</v>
      </c>
      <c r="T4397" s="9">
        <v>52.724840228616593</v>
      </c>
      <c r="U4397" s="9">
        <v>59.472638024172305</v>
      </c>
      <c r="V4397" s="9">
        <v>59.472638024172305</v>
      </c>
      <c r="W4397" s="9">
        <v>59.472638024172305</v>
      </c>
      <c r="X4397" s="9">
        <v>72.142723701589546</v>
      </c>
      <c r="Y4397" s="9">
        <v>72.142723701589546</v>
      </c>
      <c r="Z4397" s="9">
        <v>81.509458318176925</v>
      </c>
      <c r="AA4397" s="9">
        <v>81.509458318176925</v>
      </c>
      <c r="AB4397" s="9">
        <v>89.863972899994664</v>
      </c>
      <c r="AC4397" s="9">
        <v>89.863972899994664</v>
      </c>
      <c r="AD4397" s="9">
        <v>98.618648314994076</v>
      </c>
      <c r="AE4397" s="9">
        <v>108.72378502149357</v>
      </c>
      <c r="AF4397" s="9">
        <v>120.36692993447016</v>
      </c>
      <c r="AG4397" s="9">
        <v>120.36692993447016</v>
      </c>
      <c r="AH4397" s="9">
        <v>131.35112917791719</v>
      </c>
      <c r="AI4397" s="9">
        <v>142.33181861642981</v>
      </c>
      <c r="AJ4397" s="9">
        <v>3.0428788910505911</v>
      </c>
    </row>
    <row r="4398" spans="1:36" x14ac:dyDescent="0.25">
      <c r="A4398" t="s">
        <v>5411</v>
      </c>
      <c r="B4398" t="s">
        <v>16</v>
      </c>
      <c r="C4398" t="s">
        <v>17</v>
      </c>
      <c r="D4398">
        <v>77605000</v>
      </c>
      <c r="E4398">
        <v>77609999</v>
      </c>
      <c r="F4398" t="s">
        <v>4003</v>
      </c>
      <c r="G4398" t="str">
        <f t="shared" si="136"/>
        <v>TOR</v>
      </c>
      <c r="H4398" t="s">
        <v>3952</v>
      </c>
      <c r="I4398" t="s">
        <v>20</v>
      </c>
      <c r="J4398" t="s">
        <v>77</v>
      </c>
      <c r="K4398" s="6">
        <v>0.03</v>
      </c>
      <c r="L4398" s="7">
        <f t="shared" si="137"/>
        <v>2E-3</v>
      </c>
      <c r="M4398" s="7">
        <v>3.0000000000000001E-3</v>
      </c>
      <c r="N4398">
        <v>17</v>
      </c>
      <c r="O4398" s="8">
        <v>49.365095147237867</v>
      </c>
      <c r="P4398" s="9">
        <v>49.365095147237867</v>
      </c>
      <c r="Q4398" s="9">
        <v>49.365095147237867</v>
      </c>
      <c r="R4398" s="9">
        <v>50.770888721957412</v>
      </c>
      <c r="S4398" s="9">
        <v>52.200434315108524</v>
      </c>
      <c r="T4398" s="9">
        <v>52.724840228616593</v>
      </c>
      <c r="U4398" s="9">
        <v>59.472638024172305</v>
      </c>
      <c r="V4398" s="9">
        <v>59.472638024172305</v>
      </c>
      <c r="W4398" s="9">
        <v>59.472638024172305</v>
      </c>
      <c r="X4398" s="9">
        <v>72.142723701589546</v>
      </c>
      <c r="Y4398" s="9">
        <v>72.142723701589546</v>
      </c>
      <c r="Z4398" s="9">
        <v>81.509458318176925</v>
      </c>
      <c r="AA4398" s="9">
        <v>81.509458318176925</v>
      </c>
      <c r="AB4398" s="9">
        <v>89.863972899994664</v>
      </c>
      <c r="AC4398" s="9">
        <v>89.863972899994664</v>
      </c>
      <c r="AD4398" s="9">
        <v>98.618648314994076</v>
      </c>
      <c r="AE4398" s="9">
        <v>108.72378502149357</v>
      </c>
      <c r="AF4398" s="9">
        <v>120.36692993447016</v>
      </c>
      <c r="AG4398" s="9">
        <v>120.36692993447016</v>
      </c>
      <c r="AH4398" s="9">
        <v>131.35112917791719</v>
      </c>
      <c r="AI4398" s="9">
        <v>142.33181861642981</v>
      </c>
      <c r="AJ4398" s="9">
        <v>3.0428788910505911</v>
      </c>
    </row>
    <row r="4399" spans="1:36" x14ac:dyDescent="0.25">
      <c r="A4399" t="s">
        <v>5411</v>
      </c>
      <c r="B4399" t="s">
        <v>16</v>
      </c>
      <c r="C4399" t="s">
        <v>17</v>
      </c>
      <c r="D4399">
        <v>77610000</v>
      </c>
      <c r="E4399">
        <v>77612999</v>
      </c>
      <c r="F4399" t="s">
        <v>4004</v>
      </c>
      <c r="G4399" t="str">
        <f t="shared" si="136"/>
        <v>TOR</v>
      </c>
      <c r="H4399" t="s">
        <v>3952</v>
      </c>
      <c r="I4399" t="s">
        <v>20</v>
      </c>
      <c r="J4399" t="s">
        <v>77</v>
      </c>
      <c r="K4399" s="6">
        <v>0.03</v>
      </c>
      <c r="L4399" s="7">
        <f t="shared" si="137"/>
        <v>2E-3</v>
      </c>
      <c r="M4399" s="7">
        <v>3.0000000000000001E-3</v>
      </c>
      <c r="N4399">
        <v>17</v>
      </c>
      <c r="O4399" s="8">
        <v>49.365095147237867</v>
      </c>
      <c r="P4399" s="9">
        <v>49.365095147237867</v>
      </c>
      <c r="Q4399" s="9">
        <v>49.365095147237867</v>
      </c>
      <c r="R4399" s="9">
        <v>50.770888721957412</v>
      </c>
      <c r="S4399" s="9">
        <v>52.200434315108524</v>
      </c>
      <c r="T4399" s="9">
        <v>52.724840228616593</v>
      </c>
      <c r="U4399" s="9">
        <v>59.472638024172305</v>
      </c>
      <c r="V4399" s="9">
        <v>59.472638024172305</v>
      </c>
      <c r="W4399" s="9">
        <v>59.472638024172305</v>
      </c>
      <c r="X4399" s="9">
        <v>72.142723701589546</v>
      </c>
      <c r="Y4399" s="9">
        <v>72.142723701589546</v>
      </c>
      <c r="Z4399" s="9">
        <v>81.509458318176925</v>
      </c>
      <c r="AA4399" s="9">
        <v>81.509458318176925</v>
      </c>
      <c r="AB4399" s="9">
        <v>89.863972899994664</v>
      </c>
      <c r="AC4399" s="9">
        <v>89.863972899994664</v>
      </c>
      <c r="AD4399" s="9">
        <v>98.618648314994076</v>
      </c>
      <c r="AE4399" s="9">
        <v>108.72378502149357</v>
      </c>
      <c r="AF4399" s="9">
        <v>120.36692993447016</v>
      </c>
      <c r="AG4399" s="9">
        <v>120.36692993447016</v>
      </c>
      <c r="AH4399" s="9">
        <v>131.35112917791719</v>
      </c>
      <c r="AI4399" s="9">
        <v>142.33181861642981</v>
      </c>
      <c r="AJ4399" s="9">
        <v>3.0428788910505911</v>
      </c>
    </row>
    <row r="4400" spans="1:36" x14ac:dyDescent="0.25">
      <c r="A4400" t="s">
        <v>5411</v>
      </c>
      <c r="B4400" t="s">
        <v>16</v>
      </c>
      <c r="C4400" t="s">
        <v>17</v>
      </c>
      <c r="D4400">
        <v>77613000</v>
      </c>
      <c r="E4400">
        <v>77614999</v>
      </c>
      <c r="F4400" t="s">
        <v>4005</v>
      </c>
      <c r="G4400" t="str">
        <f t="shared" si="136"/>
        <v>TOR</v>
      </c>
      <c r="H4400" t="s">
        <v>3952</v>
      </c>
      <c r="I4400" t="s">
        <v>20</v>
      </c>
      <c r="J4400" t="s">
        <v>77</v>
      </c>
      <c r="K4400" s="6">
        <v>0.03</v>
      </c>
      <c r="L4400" s="7">
        <f t="shared" si="137"/>
        <v>2E-3</v>
      </c>
      <c r="M4400" s="7">
        <v>3.0000000000000001E-3</v>
      </c>
      <c r="N4400">
        <v>17</v>
      </c>
      <c r="O4400" s="8">
        <v>49.365095147237867</v>
      </c>
      <c r="P4400" s="9">
        <v>49.365095147237867</v>
      </c>
      <c r="Q4400" s="9">
        <v>49.365095147237867</v>
      </c>
      <c r="R4400" s="9">
        <v>50.770888721957412</v>
      </c>
      <c r="S4400" s="9">
        <v>52.200434315108524</v>
      </c>
      <c r="T4400" s="9">
        <v>52.724840228616593</v>
      </c>
      <c r="U4400" s="9">
        <v>59.472638024172305</v>
      </c>
      <c r="V4400" s="9">
        <v>59.472638024172305</v>
      </c>
      <c r="W4400" s="9">
        <v>59.472638024172305</v>
      </c>
      <c r="X4400" s="9">
        <v>72.142723701589546</v>
      </c>
      <c r="Y4400" s="9">
        <v>72.142723701589546</v>
      </c>
      <c r="Z4400" s="9">
        <v>81.509458318176925</v>
      </c>
      <c r="AA4400" s="9">
        <v>81.509458318176925</v>
      </c>
      <c r="AB4400" s="9">
        <v>89.863972899994664</v>
      </c>
      <c r="AC4400" s="9">
        <v>89.863972899994664</v>
      </c>
      <c r="AD4400" s="9">
        <v>98.618648314994076</v>
      </c>
      <c r="AE4400" s="9">
        <v>108.72378502149357</v>
      </c>
      <c r="AF4400" s="9">
        <v>120.36692993447016</v>
      </c>
      <c r="AG4400" s="9">
        <v>120.36692993447016</v>
      </c>
      <c r="AH4400" s="9">
        <v>131.35112917791719</v>
      </c>
      <c r="AI4400" s="9">
        <v>142.33181861642981</v>
      </c>
      <c r="AJ4400" s="9">
        <v>3.0428788910505911</v>
      </c>
    </row>
    <row r="4401" spans="1:36" x14ac:dyDescent="0.25">
      <c r="A4401" t="s">
        <v>5411</v>
      </c>
      <c r="B4401" t="s">
        <v>16</v>
      </c>
      <c r="C4401" t="s">
        <v>17</v>
      </c>
      <c r="D4401">
        <v>77615000</v>
      </c>
      <c r="E4401">
        <v>77619999</v>
      </c>
      <c r="F4401" t="s">
        <v>4006</v>
      </c>
      <c r="G4401" t="str">
        <f t="shared" si="136"/>
        <v>TOR</v>
      </c>
      <c r="H4401" t="s">
        <v>3952</v>
      </c>
      <c r="I4401" t="s">
        <v>20</v>
      </c>
      <c r="J4401" t="s">
        <v>77</v>
      </c>
      <c r="K4401" s="6">
        <v>0.03</v>
      </c>
      <c r="L4401" s="7">
        <f t="shared" si="137"/>
        <v>2E-3</v>
      </c>
      <c r="M4401" s="7">
        <v>3.0000000000000001E-3</v>
      </c>
      <c r="N4401">
        <v>17</v>
      </c>
      <c r="O4401" s="8">
        <v>49.365095147237867</v>
      </c>
      <c r="P4401" s="9">
        <v>49.365095147237867</v>
      </c>
      <c r="Q4401" s="9">
        <v>49.365095147237867</v>
      </c>
      <c r="R4401" s="9">
        <v>50.770888721957412</v>
      </c>
      <c r="S4401" s="9">
        <v>52.200434315108524</v>
      </c>
      <c r="T4401" s="9">
        <v>52.724840228616593</v>
      </c>
      <c r="U4401" s="9">
        <v>59.472638024172305</v>
      </c>
      <c r="V4401" s="9">
        <v>59.472638024172305</v>
      </c>
      <c r="W4401" s="9">
        <v>59.472638024172305</v>
      </c>
      <c r="X4401" s="9">
        <v>72.142723701589546</v>
      </c>
      <c r="Y4401" s="9">
        <v>72.142723701589546</v>
      </c>
      <c r="Z4401" s="9">
        <v>81.509458318176925</v>
      </c>
      <c r="AA4401" s="9">
        <v>81.509458318176925</v>
      </c>
      <c r="AB4401" s="9">
        <v>89.863972899994664</v>
      </c>
      <c r="AC4401" s="9">
        <v>89.863972899994664</v>
      </c>
      <c r="AD4401" s="9">
        <v>98.618648314994076</v>
      </c>
      <c r="AE4401" s="9">
        <v>108.72378502149357</v>
      </c>
      <c r="AF4401" s="9">
        <v>120.36692993447016</v>
      </c>
      <c r="AG4401" s="9">
        <v>120.36692993447016</v>
      </c>
      <c r="AH4401" s="9">
        <v>131.35112917791719</v>
      </c>
      <c r="AI4401" s="9">
        <v>142.33181861642981</v>
      </c>
      <c r="AJ4401" s="9">
        <v>3.0428788910505911</v>
      </c>
    </row>
    <row r="4402" spans="1:36" x14ac:dyDescent="0.25">
      <c r="A4402" t="s">
        <v>5411</v>
      </c>
      <c r="B4402" t="s">
        <v>16</v>
      </c>
      <c r="C4402" t="s">
        <v>17</v>
      </c>
      <c r="D4402">
        <v>77620000</v>
      </c>
      <c r="E4402">
        <v>77629999</v>
      </c>
      <c r="F4402" t="s">
        <v>4007</v>
      </c>
      <c r="G4402" t="str">
        <f t="shared" si="136"/>
        <v>TOR</v>
      </c>
      <c r="H4402" t="s">
        <v>3952</v>
      </c>
      <c r="I4402" t="s">
        <v>20</v>
      </c>
      <c r="J4402" t="s">
        <v>77</v>
      </c>
      <c r="K4402" s="6">
        <v>0.03</v>
      </c>
      <c r="L4402" s="7">
        <f t="shared" si="137"/>
        <v>2E-3</v>
      </c>
      <c r="M4402" s="7">
        <v>3.0000000000000001E-3</v>
      </c>
      <c r="N4402">
        <v>17</v>
      </c>
      <c r="O4402" s="8">
        <v>49.365095147237867</v>
      </c>
      <c r="P4402" s="9">
        <v>49.365095147237867</v>
      </c>
      <c r="Q4402" s="9">
        <v>49.365095147237867</v>
      </c>
      <c r="R4402" s="9">
        <v>50.770888721957412</v>
      </c>
      <c r="S4402" s="9">
        <v>52.200434315108524</v>
      </c>
      <c r="T4402" s="9">
        <v>52.724840228616593</v>
      </c>
      <c r="U4402" s="9">
        <v>59.472638024172305</v>
      </c>
      <c r="V4402" s="9">
        <v>59.472638024172305</v>
      </c>
      <c r="W4402" s="9">
        <v>59.472638024172305</v>
      </c>
      <c r="X4402" s="9">
        <v>72.142723701589546</v>
      </c>
      <c r="Y4402" s="9">
        <v>72.142723701589546</v>
      </c>
      <c r="Z4402" s="9">
        <v>81.509458318176925</v>
      </c>
      <c r="AA4402" s="9">
        <v>81.509458318176925</v>
      </c>
      <c r="AB4402" s="9">
        <v>89.863972899994664</v>
      </c>
      <c r="AC4402" s="9">
        <v>89.863972899994664</v>
      </c>
      <c r="AD4402" s="9">
        <v>98.618648314994076</v>
      </c>
      <c r="AE4402" s="9">
        <v>108.72378502149357</v>
      </c>
      <c r="AF4402" s="9">
        <v>120.36692993447016</v>
      </c>
      <c r="AG4402" s="9">
        <v>120.36692993447016</v>
      </c>
      <c r="AH4402" s="9">
        <v>131.35112917791719</v>
      </c>
      <c r="AI4402" s="9">
        <v>142.33181861642981</v>
      </c>
      <c r="AJ4402" s="9">
        <v>3.0428788910505911</v>
      </c>
    </row>
    <row r="4403" spans="1:36" x14ac:dyDescent="0.25">
      <c r="A4403" t="s">
        <v>5411</v>
      </c>
      <c r="B4403" t="s">
        <v>16</v>
      </c>
      <c r="C4403" t="s">
        <v>17</v>
      </c>
      <c r="D4403">
        <v>77630000</v>
      </c>
      <c r="E4403">
        <v>77634999</v>
      </c>
      <c r="F4403" t="s">
        <v>4008</v>
      </c>
      <c r="G4403" t="str">
        <f t="shared" si="136"/>
        <v>TOR</v>
      </c>
      <c r="H4403" t="s">
        <v>3952</v>
      </c>
      <c r="I4403" t="s">
        <v>20</v>
      </c>
      <c r="J4403" t="s">
        <v>77</v>
      </c>
      <c r="K4403" s="6">
        <v>0.03</v>
      </c>
      <c r="L4403" s="7">
        <f t="shared" si="137"/>
        <v>2E-3</v>
      </c>
      <c r="M4403" s="7">
        <v>3.0000000000000001E-3</v>
      </c>
      <c r="N4403">
        <v>17</v>
      </c>
      <c r="O4403" s="8">
        <v>49.365095147237867</v>
      </c>
      <c r="P4403" s="9">
        <v>49.365095147237867</v>
      </c>
      <c r="Q4403" s="9">
        <v>49.365095147237867</v>
      </c>
      <c r="R4403" s="9">
        <v>50.770888721957412</v>
      </c>
      <c r="S4403" s="9">
        <v>52.200434315108524</v>
      </c>
      <c r="T4403" s="9">
        <v>52.724840228616593</v>
      </c>
      <c r="U4403" s="9">
        <v>59.472638024172305</v>
      </c>
      <c r="V4403" s="9">
        <v>59.472638024172305</v>
      </c>
      <c r="W4403" s="9">
        <v>59.472638024172305</v>
      </c>
      <c r="X4403" s="9">
        <v>72.142723701589546</v>
      </c>
      <c r="Y4403" s="9">
        <v>72.142723701589546</v>
      </c>
      <c r="Z4403" s="9">
        <v>81.509458318176925</v>
      </c>
      <c r="AA4403" s="9">
        <v>81.509458318176925</v>
      </c>
      <c r="AB4403" s="9">
        <v>89.863972899994664</v>
      </c>
      <c r="AC4403" s="9">
        <v>89.863972899994664</v>
      </c>
      <c r="AD4403" s="9">
        <v>98.618648314994076</v>
      </c>
      <c r="AE4403" s="9">
        <v>108.72378502149357</v>
      </c>
      <c r="AF4403" s="9">
        <v>120.36692993447016</v>
      </c>
      <c r="AG4403" s="9">
        <v>120.36692993447016</v>
      </c>
      <c r="AH4403" s="9">
        <v>131.35112917791719</v>
      </c>
      <c r="AI4403" s="9">
        <v>142.33181861642981</v>
      </c>
      <c r="AJ4403" s="9">
        <v>3.0428788910505911</v>
      </c>
    </row>
    <row r="4404" spans="1:36" x14ac:dyDescent="0.25">
      <c r="A4404" t="s">
        <v>5411</v>
      </c>
      <c r="B4404" t="s">
        <v>16</v>
      </c>
      <c r="C4404" t="s">
        <v>17</v>
      </c>
      <c r="D4404">
        <v>77635000</v>
      </c>
      <c r="E4404">
        <v>77639999</v>
      </c>
      <c r="F4404" t="s">
        <v>4009</v>
      </c>
      <c r="G4404" t="str">
        <f t="shared" si="136"/>
        <v>TOR</v>
      </c>
      <c r="H4404" t="s">
        <v>3952</v>
      </c>
      <c r="I4404" t="s">
        <v>20</v>
      </c>
      <c r="J4404" t="s">
        <v>77</v>
      </c>
      <c r="K4404" s="6">
        <v>0.03</v>
      </c>
      <c r="L4404" s="7">
        <f t="shared" si="137"/>
        <v>2E-3</v>
      </c>
      <c r="M4404" s="7">
        <v>3.0000000000000001E-3</v>
      </c>
      <c r="N4404">
        <v>17</v>
      </c>
      <c r="O4404" s="8">
        <v>49.365095147237867</v>
      </c>
      <c r="P4404" s="9">
        <v>49.365095147237867</v>
      </c>
      <c r="Q4404" s="9">
        <v>49.365095147237867</v>
      </c>
      <c r="R4404" s="9">
        <v>50.770888721957412</v>
      </c>
      <c r="S4404" s="9">
        <v>52.200434315108524</v>
      </c>
      <c r="T4404" s="9">
        <v>52.724840228616593</v>
      </c>
      <c r="U4404" s="9">
        <v>59.472638024172305</v>
      </c>
      <c r="V4404" s="9">
        <v>59.472638024172305</v>
      </c>
      <c r="W4404" s="9">
        <v>59.472638024172305</v>
      </c>
      <c r="X4404" s="9">
        <v>72.142723701589546</v>
      </c>
      <c r="Y4404" s="9">
        <v>72.142723701589546</v>
      </c>
      <c r="Z4404" s="9">
        <v>81.509458318176925</v>
      </c>
      <c r="AA4404" s="9">
        <v>81.509458318176925</v>
      </c>
      <c r="AB4404" s="9">
        <v>89.863972899994664</v>
      </c>
      <c r="AC4404" s="9">
        <v>89.863972899994664</v>
      </c>
      <c r="AD4404" s="9">
        <v>98.618648314994076</v>
      </c>
      <c r="AE4404" s="9">
        <v>108.72378502149357</v>
      </c>
      <c r="AF4404" s="9">
        <v>120.36692993447016</v>
      </c>
      <c r="AG4404" s="9">
        <v>120.36692993447016</v>
      </c>
      <c r="AH4404" s="9">
        <v>131.35112917791719</v>
      </c>
      <c r="AI4404" s="9">
        <v>142.33181861642981</v>
      </c>
      <c r="AJ4404" s="9">
        <v>3.0428788910505911</v>
      </c>
    </row>
    <row r="4405" spans="1:36" x14ac:dyDescent="0.25">
      <c r="A4405" t="s">
        <v>5411</v>
      </c>
      <c r="B4405" t="s">
        <v>16</v>
      </c>
      <c r="C4405" t="s">
        <v>17</v>
      </c>
      <c r="D4405">
        <v>77640000</v>
      </c>
      <c r="E4405">
        <v>77644999</v>
      </c>
      <c r="F4405" t="s">
        <v>4010</v>
      </c>
      <c r="G4405" t="str">
        <f t="shared" si="136"/>
        <v>TOR</v>
      </c>
      <c r="H4405" t="s">
        <v>3952</v>
      </c>
      <c r="I4405" t="s">
        <v>20</v>
      </c>
      <c r="J4405" t="s">
        <v>77</v>
      </c>
      <c r="K4405" s="6">
        <v>0.03</v>
      </c>
      <c r="L4405" s="7">
        <f t="shared" si="137"/>
        <v>2E-3</v>
      </c>
      <c r="M4405" s="7">
        <v>3.0000000000000001E-3</v>
      </c>
      <c r="N4405">
        <v>17</v>
      </c>
      <c r="O4405" s="8">
        <v>49.365095147237867</v>
      </c>
      <c r="P4405" s="9">
        <v>49.365095147237867</v>
      </c>
      <c r="Q4405" s="9">
        <v>49.365095147237867</v>
      </c>
      <c r="R4405" s="9">
        <v>50.770888721957412</v>
      </c>
      <c r="S4405" s="9">
        <v>52.200434315108524</v>
      </c>
      <c r="T4405" s="9">
        <v>52.724840228616593</v>
      </c>
      <c r="U4405" s="9">
        <v>59.472638024172305</v>
      </c>
      <c r="V4405" s="9">
        <v>59.472638024172305</v>
      </c>
      <c r="W4405" s="9">
        <v>59.472638024172305</v>
      </c>
      <c r="X4405" s="9">
        <v>72.142723701589546</v>
      </c>
      <c r="Y4405" s="9">
        <v>72.142723701589546</v>
      </c>
      <c r="Z4405" s="9">
        <v>81.509458318176925</v>
      </c>
      <c r="AA4405" s="9">
        <v>81.509458318176925</v>
      </c>
      <c r="AB4405" s="9">
        <v>89.863972899994664</v>
      </c>
      <c r="AC4405" s="9">
        <v>89.863972899994664</v>
      </c>
      <c r="AD4405" s="9">
        <v>98.618648314994076</v>
      </c>
      <c r="AE4405" s="9">
        <v>108.72378502149357</v>
      </c>
      <c r="AF4405" s="9">
        <v>120.36692993447016</v>
      </c>
      <c r="AG4405" s="9">
        <v>120.36692993447016</v>
      </c>
      <c r="AH4405" s="9">
        <v>131.35112917791719</v>
      </c>
      <c r="AI4405" s="9">
        <v>142.33181861642981</v>
      </c>
      <c r="AJ4405" s="9">
        <v>3.0428788910505911</v>
      </c>
    </row>
    <row r="4406" spans="1:36" x14ac:dyDescent="0.25">
      <c r="A4406" t="s">
        <v>5411</v>
      </c>
      <c r="B4406" t="s">
        <v>16</v>
      </c>
      <c r="C4406" t="s">
        <v>17</v>
      </c>
      <c r="D4406">
        <v>77645000</v>
      </c>
      <c r="E4406">
        <v>77649999</v>
      </c>
      <c r="F4406" t="s">
        <v>4011</v>
      </c>
      <c r="G4406" t="str">
        <f t="shared" si="136"/>
        <v>TOR</v>
      </c>
      <c r="H4406" t="s">
        <v>3952</v>
      </c>
      <c r="I4406" t="s">
        <v>20</v>
      </c>
      <c r="J4406" t="s">
        <v>77</v>
      </c>
      <c r="K4406" s="6">
        <v>0.03</v>
      </c>
      <c r="L4406" s="7">
        <f t="shared" si="137"/>
        <v>2E-3</v>
      </c>
      <c r="M4406" s="7">
        <v>3.0000000000000001E-3</v>
      </c>
      <c r="N4406">
        <v>17</v>
      </c>
      <c r="O4406" s="8">
        <v>49.365095147237867</v>
      </c>
      <c r="P4406" s="9">
        <v>49.365095147237867</v>
      </c>
      <c r="Q4406" s="9">
        <v>49.365095147237867</v>
      </c>
      <c r="R4406" s="9">
        <v>50.770888721957412</v>
      </c>
      <c r="S4406" s="9">
        <v>52.200434315108524</v>
      </c>
      <c r="T4406" s="9">
        <v>52.724840228616593</v>
      </c>
      <c r="U4406" s="9">
        <v>59.472638024172305</v>
      </c>
      <c r="V4406" s="9">
        <v>59.472638024172305</v>
      </c>
      <c r="W4406" s="9">
        <v>59.472638024172305</v>
      </c>
      <c r="X4406" s="9">
        <v>72.142723701589546</v>
      </c>
      <c r="Y4406" s="9">
        <v>72.142723701589546</v>
      </c>
      <c r="Z4406" s="9">
        <v>81.509458318176925</v>
      </c>
      <c r="AA4406" s="9">
        <v>81.509458318176925</v>
      </c>
      <c r="AB4406" s="9">
        <v>89.863972899994664</v>
      </c>
      <c r="AC4406" s="9">
        <v>89.863972899994664</v>
      </c>
      <c r="AD4406" s="9">
        <v>98.618648314994076</v>
      </c>
      <c r="AE4406" s="9">
        <v>108.72378502149357</v>
      </c>
      <c r="AF4406" s="9">
        <v>120.36692993447016</v>
      </c>
      <c r="AG4406" s="9">
        <v>120.36692993447016</v>
      </c>
      <c r="AH4406" s="9">
        <v>131.35112917791719</v>
      </c>
      <c r="AI4406" s="9">
        <v>142.33181861642981</v>
      </c>
      <c r="AJ4406" s="9">
        <v>3.0428788910505911</v>
      </c>
    </row>
    <row r="4407" spans="1:36" x14ac:dyDescent="0.25">
      <c r="A4407" t="s">
        <v>5411</v>
      </c>
      <c r="B4407" t="s">
        <v>16</v>
      </c>
      <c r="C4407" t="s">
        <v>17</v>
      </c>
      <c r="D4407">
        <v>77650000</v>
      </c>
      <c r="E4407">
        <v>77654999</v>
      </c>
      <c r="F4407" t="s">
        <v>4012</v>
      </c>
      <c r="G4407" t="str">
        <f t="shared" si="136"/>
        <v>TOR</v>
      </c>
      <c r="H4407" t="s">
        <v>3952</v>
      </c>
      <c r="I4407" t="s">
        <v>20</v>
      </c>
      <c r="J4407" t="s">
        <v>77</v>
      </c>
      <c r="K4407" s="6">
        <v>0.03</v>
      </c>
      <c r="L4407" s="7">
        <f t="shared" si="137"/>
        <v>2E-3</v>
      </c>
      <c r="M4407" s="7">
        <v>3.0000000000000001E-3</v>
      </c>
      <c r="N4407">
        <v>17</v>
      </c>
      <c r="O4407" s="8">
        <v>49.365095147237867</v>
      </c>
      <c r="P4407" s="9">
        <v>49.365095147237867</v>
      </c>
      <c r="Q4407" s="9">
        <v>49.365095147237867</v>
      </c>
      <c r="R4407" s="9">
        <v>50.770888721957412</v>
      </c>
      <c r="S4407" s="9">
        <v>52.200434315108524</v>
      </c>
      <c r="T4407" s="9">
        <v>52.724840228616593</v>
      </c>
      <c r="U4407" s="9">
        <v>59.472638024172305</v>
      </c>
      <c r="V4407" s="9">
        <v>59.472638024172305</v>
      </c>
      <c r="W4407" s="9">
        <v>59.472638024172305</v>
      </c>
      <c r="X4407" s="9">
        <v>72.142723701589546</v>
      </c>
      <c r="Y4407" s="9">
        <v>72.142723701589546</v>
      </c>
      <c r="Z4407" s="9">
        <v>81.509458318176925</v>
      </c>
      <c r="AA4407" s="9">
        <v>81.509458318176925</v>
      </c>
      <c r="AB4407" s="9">
        <v>89.863972899994664</v>
      </c>
      <c r="AC4407" s="9">
        <v>89.863972899994664</v>
      </c>
      <c r="AD4407" s="9">
        <v>98.618648314994076</v>
      </c>
      <c r="AE4407" s="9">
        <v>108.72378502149357</v>
      </c>
      <c r="AF4407" s="9">
        <v>120.36692993447016</v>
      </c>
      <c r="AG4407" s="9">
        <v>120.36692993447016</v>
      </c>
      <c r="AH4407" s="9">
        <v>131.35112917791719</v>
      </c>
      <c r="AI4407" s="9">
        <v>142.33181861642981</v>
      </c>
      <c r="AJ4407" s="9">
        <v>3.0428788910505911</v>
      </c>
    </row>
    <row r="4408" spans="1:36" x14ac:dyDescent="0.25">
      <c r="A4408" t="s">
        <v>5411</v>
      </c>
      <c r="B4408" t="s">
        <v>16</v>
      </c>
      <c r="C4408" t="s">
        <v>17</v>
      </c>
      <c r="D4408">
        <v>77655000</v>
      </c>
      <c r="E4408">
        <v>77659999</v>
      </c>
      <c r="F4408" t="s">
        <v>4013</v>
      </c>
      <c r="G4408" t="str">
        <f t="shared" si="136"/>
        <v>TOR</v>
      </c>
      <c r="H4408" t="s">
        <v>3952</v>
      </c>
      <c r="I4408" t="s">
        <v>20</v>
      </c>
      <c r="J4408" t="s">
        <v>77</v>
      </c>
      <c r="K4408" s="6">
        <v>0.03</v>
      </c>
      <c r="L4408" s="7">
        <f t="shared" si="137"/>
        <v>2E-3</v>
      </c>
      <c r="M4408" s="7">
        <v>3.0000000000000001E-3</v>
      </c>
      <c r="N4408">
        <v>17</v>
      </c>
      <c r="O4408" s="8">
        <v>49.365095147237867</v>
      </c>
      <c r="P4408" s="9">
        <v>49.365095147237867</v>
      </c>
      <c r="Q4408" s="9">
        <v>49.365095147237867</v>
      </c>
      <c r="R4408" s="9">
        <v>50.770888721957412</v>
      </c>
      <c r="S4408" s="9">
        <v>52.200434315108524</v>
      </c>
      <c r="T4408" s="9">
        <v>52.724840228616593</v>
      </c>
      <c r="U4408" s="9">
        <v>59.472638024172305</v>
      </c>
      <c r="V4408" s="9">
        <v>59.472638024172305</v>
      </c>
      <c r="W4408" s="9">
        <v>59.472638024172305</v>
      </c>
      <c r="X4408" s="9">
        <v>72.142723701589546</v>
      </c>
      <c r="Y4408" s="9">
        <v>72.142723701589546</v>
      </c>
      <c r="Z4408" s="9">
        <v>81.509458318176925</v>
      </c>
      <c r="AA4408" s="9">
        <v>81.509458318176925</v>
      </c>
      <c r="AB4408" s="9">
        <v>89.863972899994664</v>
      </c>
      <c r="AC4408" s="9">
        <v>89.863972899994664</v>
      </c>
      <c r="AD4408" s="9">
        <v>98.618648314994076</v>
      </c>
      <c r="AE4408" s="9">
        <v>108.72378502149357</v>
      </c>
      <c r="AF4408" s="9">
        <v>120.36692993447016</v>
      </c>
      <c r="AG4408" s="9">
        <v>120.36692993447016</v>
      </c>
      <c r="AH4408" s="9">
        <v>131.35112917791719</v>
      </c>
      <c r="AI4408" s="9">
        <v>142.33181861642981</v>
      </c>
      <c r="AJ4408" s="9">
        <v>3.0428788910505911</v>
      </c>
    </row>
    <row r="4409" spans="1:36" x14ac:dyDescent="0.25">
      <c r="A4409" t="s">
        <v>5411</v>
      </c>
      <c r="B4409" t="s">
        <v>16</v>
      </c>
      <c r="C4409" t="s">
        <v>17</v>
      </c>
      <c r="D4409">
        <v>77660000</v>
      </c>
      <c r="E4409">
        <v>77664999</v>
      </c>
      <c r="F4409" t="s">
        <v>4014</v>
      </c>
      <c r="G4409" t="str">
        <f t="shared" si="136"/>
        <v>TOR</v>
      </c>
      <c r="H4409" t="s">
        <v>3952</v>
      </c>
      <c r="I4409" t="s">
        <v>20</v>
      </c>
      <c r="J4409" t="s">
        <v>77</v>
      </c>
      <c r="K4409" s="6">
        <v>0.03</v>
      </c>
      <c r="L4409" s="7">
        <f t="shared" si="137"/>
        <v>2E-3</v>
      </c>
      <c r="M4409" s="7">
        <v>3.0000000000000001E-3</v>
      </c>
      <c r="N4409">
        <v>17</v>
      </c>
      <c r="O4409" s="8">
        <v>49.365095147237867</v>
      </c>
      <c r="P4409" s="9">
        <v>49.365095147237867</v>
      </c>
      <c r="Q4409" s="9">
        <v>49.365095147237867</v>
      </c>
      <c r="R4409" s="9">
        <v>50.770888721957412</v>
      </c>
      <c r="S4409" s="9">
        <v>52.200434315108524</v>
      </c>
      <c r="T4409" s="9">
        <v>52.724840228616593</v>
      </c>
      <c r="U4409" s="9">
        <v>59.472638024172305</v>
      </c>
      <c r="V4409" s="9">
        <v>59.472638024172305</v>
      </c>
      <c r="W4409" s="9">
        <v>59.472638024172305</v>
      </c>
      <c r="X4409" s="9">
        <v>72.142723701589546</v>
      </c>
      <c r="Y4409" s="9">
        <v>72.142723701589546</v>
      </c>
      <c r="Z4409" s="9">
        <v>81.509458318176925</v>
      </c>
      <c r="AA4409" s="9">
        <v>81.509458318176925</v>
      </c>
      <c r="AB4409" s="9">
        <v>89.863972899994664</v>
      </c>
      <c r="AC4409" s="9">
        <v>89.863972899994664</v>
      </c>
      <c r="AD4409" s="9">
        <v>98.618648314994076</v>
      </c>
      <c r="AE4409" s="9">
        <v>108.72378502149357</v>
      </c>
      <c r="AF4409" s="9">
        <v>120.36692993447016</v>
      </c>
      <c r="AG4409" s="9">
        <v>120.36692993447016</v>
      </c>
      <c r="AH4409" s="9">
        <v>131.35112917791719</v>
      </c>
      <c r="AI4409" s="9">
        <v>142.33181861642981</v>
      </c>
      <c r="AJ4409" s="9">
        <v>3.0428788910505911</v>
      </c>
    </row>
    <row r="4410" spans="1:36" x14ac:dyDescent="0.25">
      <c r="A4410" t="s">
        <v>5411</v>
      </c>
      <c r="B4410" t="s">
        <v>16</v>
      </c>
      <c r="C4410" t="s">
        <v>17</v>
      </c>
      <c r="D4410">
        <v>77665000</v>
      </c>
      <c r="E4410">
        <v>77669999</v>
      </c>
      <c r="F4410" t="s">
        <v>4015</v>
      </c>
      <c r="G4410" t="str">
        <f t="shared" si="136"/>
        <v>TOR</v>
      </c>
      <c r="H4410" t="s">
        <v>3952</v>
      </c>
      <c r="I4410" t="s">
        <v>20</v>
      </c>
      <c r="J4410" t="s">
        <v>77</v>
      </c>
      <c r="K4410" s="6">
        <v>0.03</v>
      </c>
      <c r="L4410" s="7">
        <f t="shared" si="137"/>
        <v>2E-3</v>
      </c>
      <c r="M4410" s="7">
        <v>3.0000000000000001E-3</v>
      </c>
      <c r="N4410">
        <v>17</v>
      </c>
      <c r="O4410" s="8">
        <v>49.365095147237867</v>
      </c>
      <c r="P4410" s="9">
        <v>49.365095147237867</v>
      </c>
      <c r="Q4410" s="9">
        <v>49.365095147237867</v>
      </c>
      <c r="R4410" s="9">
        <v>50.770888721957412</v>
      </c>
      <c r="S4410" s="9">
        <v>52.200434315108524</v>
      </c>
      <c r="T4410" s="9">
        <v>52.724840228616593</v>
      </c>
      <c r="U4410" s="9">
        <v>59.472638024172305</v>
      </c>
      <c r="V4410" s="9">
        <v>59.472638024172305</v>
      </c>
      <c r="W4410" s="9">
        <v>59.472638024172305</v>
      </c>
      <c r="X4410" s="9">
        <v>72.142723701589546</v>
      </c>
      <c r="Y4410" s="9">
        <v>72.142723701589546</v>
      </c>
      <c r="Z4410" s="9">
        <v>81.509458318176925</v>
      </c>
      <c r="AA4410" s="9">
        <v>81.509458318176925</v>
      </c>
      <c r="AB4410" s="9">
        <v>89.863972899994664</v>
      </c>
      <c r="AC4410" s="9">
        <v>89.863972899994664</v>
      </c>
      <c r="AD4410" s="9">
        <v>98.618648314994076</v>
      </c>
      <c r="AE4410" s="9">
        <v>108.72378502149357</v>
      </c>
      <c r="AF4410" s="9">
        <v>120.36692993447016</v>
      </c>
      <c r="AG4410" s="9">
        <v>120.36692993447016</v>
      </c>
      <c r="AH4410" s="9">
        <v>131.35112917791719</v>
      </c>
      <c r="AI4410" s="9">
        <v>142.33181861642981</v>
      </c>
      <c r="AJ4410" s="9">
        <v>3.0428788910505911</v>
      </c>
    </row>
    <row r="4411" spans="1:36" x14ac:dyDescent="0.25">
      <c r="A4411" t="s">
        <v>5411</v>
      </c>
      <c r="B4411" t="s">
        <v>16</v>
      </c>
      <c r="C4411" t="s">
        <v>17</v>
      </c>
      <c r="D4411">
        <v>77670000</v>
      </c>
      <c r="E4411">
        <v>77672999</v>
      </c>
      <c r="F4411" t="s">
        <v>4016</v>
      </c>
      <c r="G4411" t="str">
        <f t="shared" si="136"/>
        <v>TOR</v>
      </c>
      <c r="H4411" t="s">
        <v>3952</v>
      </c>
      <c r="I4411" t="s">
        <v>20</v>
      </c>
      <c r="J4411" t="s">
        <v>77</v>
      </c>
      <c r="K4411" s="6">
        <v>0.03</v>
      </c>
      <c r="L4411" s="7">
        <f t="shared" si="137"/>
        <v>2E-3</v>
      </c>
      <c r="M4411" s="7">
        <v>3.0000000000000001E-3</v>
      </c>
      <c r="N4411">
        <v>17</v>
      </c>
      <c r="O4411" s="8">
        <v>49.365095147237867</v>
      </c>
      <c r="P4411" s="9">
        <v>49.365095147237867</v>
      </c>
      <c r="Q4411" s="9">
        <v>49.365095147237867</v>
      </c>
      <c r="R4411" s="9">
        <v>50.770888721957412</v>
      </c>
      <c r="S4411" s="9">
        <v>52.200434315108524</v>
      </c>
      <c r="T4411" s="9">
        <v>52.724840228616593</v>
      </c>
      <c r="U4411" s="9">
        <v>59.472638024172305</v>
      </c>
      <c r="V4411" s="9">
        <v>59.472638024172305</v>
      </c>
      <c r="W4411" s="9">
        <v>59.472638024172305</v>
      </c>
      <c r="X4411" s="9">
        <v>72.142723701589546</v>
      </c>
      <c r="Y4411" s="9">
        <v>72.142723701589546</v>
      </c>
      <c r="Z4411" s="9">
        <v>81.509458318176925</v>
      </c>
      <c r="AA4411" s="9">
        <v>81.509458318176925</v>
      </c>
      <c r="AB4411" s="9">
        <v>89.863972899994664</v>
      </c>
      <c r="AC4411" s="9">
        <v>89.863972899994664</v>
      </c>
      <c r="AD4411" s="9">
        <v>98.618648314994076</v>
      </c>
      <c r="AE4411" s="9">
        <v>108.72378502149357</v>
      </c>
      <c r="AF4411" s="9">
        <v>120.36692993447016</v>
      </c>
      <c r="AG4411" s="9">
        <v>120.36692993447016</v>
      </c>
      <c r="AH4411" s="9">
        <v>131.35112917791719</v>
      </c>
      <c r="AI4411" s="9">
        <v>142.33181861642981</v>
      </c>
      <c r="AJ4411" s="9">
        <v>3.0428788910505911</v>
      </c>
    </row>
    <row r="4412" spans="1:36" x14ac:dyDescent="0.25">
      <c r="A4412" t="s">
        <v>5411</v>
      </c>
      <c r="B4412" t="s">
        <v>16</v>
      </c>
      <c r="C4412" t="s">
        <v>17</v>
      </c>
      <c r="D4412">
        <v>77673000</v>
      </c>
      <c r="E4412">
        <v>77674999</v>
      </c>
      <c r="F4412" t="s">
        <v>4017</v>
      </c>
      <c r="G4412" t="str">
        <f t="shared" si="136"/>
        <v>TOR</v>
      </c>
      <c r="H4412" t="s">
        <v>3952</v>
      </c>
      <c r="I4412" t="s">
        <v>20</v>
      </c>
      <c r="J4412" t="s">
        <v>77</v>
      </c>
      <c r="K4412" s="6">
        <v>0.03</v>
      </c>
      <c r="L4412" s="7">
        <f t="shared" si="137"/>
        <v>2E-3</v>
      </c>
      <c r="M4412" s="7">
        <v>3.0000000000000001E-3</v>
      </c>
      <c r="N4412">
        <v>17</v>
      </c>
      <c r="O4412" s="8">
        <v>49.365095147237867</v>
      </c>
      <c r="P4412" s="9">
        <v>49.365095147237867</v>
      </c>
      <c r="Q4412" s="9">
        <v>49.365095147237867</v>
      </c>
      <c r="R4412" s="9">
        <v>50.770888721957412</v>
      </c>
      <c r="S4412" s="9">
        <v>52.200434315108524</v>
      </c>
      <c r="T4412" s="9">
        <v>52.724840228616593</v>
      </c>
      <c r="U4412" s="9">
        <v>59.472638024172305</v>
      </c>
      <c r="V4412" s="9">
        <v>59.472638024172305</v>
      </c>
      <c r="W4412" s="9">
        <v>59.472638024172305</v>
      </c>
      <c r="X4412" s="9">
        <v>72.142723701589546</v>
      </c>
      <c r="Y4412" s="9">
        <v>72.142723701589546</v>
      </c>
      <c r="Z4412" s="9">
        <v>81.509458318176925</v>
      </c>
      <c r="AA4412" s="9">
        <v>81.509458318176925</v>
      </c>
      <c r="AB4412" s="9">
        <v>89.863972899994664</v>
      </c>
      <c r="AC4412" s="9">
        <v>89.863972899994664</v>
      </c>
      <c r="AD4412" s="9">
        <v>98.618648314994076</v>
      </c>
      <c r="AE4412" s="9">
        <v>108.72378502149357</v>
      </c>
      <c r="AF4412" s="9">
        <v>120.36692993447016</v>
      </c>
      <c r="AG4412" s="9">
        <v>120.36692993447016</v>
      </c>
      <c r="AH4412" s="9">
        <v>131.35112917791719</v>
      </c>
      <c r="AI4412" s="9">
        <v>142.33181861642981</v>
      </c>
      <c r="AJ4412" s="9">
        <v>3.0428788910505911</v>
      </c>
    </row>
    <row r="4413" spans="1:36" x14ac:dyDescent="0.25">
      <c r="A4413" t="s">
        <v>5411</v>
      </c>
      <c r="B4413" t="s">
        <v>16</v>
      </c>
      <c r="C4413" t="s">
        <v>17</v>
      </c>
      <c r="D4413">
        <v>77675000</v>
      </c>
      <c r="E4413">
        <v>77679999</v>
      </c>
      <c r="F4413" t="s">
        <v>4018</v>
      </c>
      <c r="G4413" t="str">
        <f t="shared" si="136"/>
        <v>TOR</v>
      </c>
      <c r="H4413" t="s">
        <v>3952</v>
      </c>
      <c r="I4413" t="s">
        <v>20</v>
      </c>
      <c r="J4413" t="s">
        <v>77</v>
      </c>
      <c r="K4413" s="6">
        <v>0.03</v>
      </c>
      <c r="L4413" s="7">
        <f t="shared" si="137"/>
        <v>2E-3</v>
      </c>
      <c r="M4413" s="7">
        <v>3.0000000000000001E-3</v>
      </c>
      <c r="N4413">
        <v>17</v>
      </c>
      <c r="O4413" s="8">
        <v>49.365095147237867</v>
      </c>
      <c r="P4413" s="9">
        <v>49.365095147237867</v>
      </c>
      <c r="Q4413" s="9">
        <v>49.365095147237867</v>
      </c>
      <c r="R4413" s="9">
        <v>50.770888721957412</v>
      </c>
      <c r="S4413" s="9">
        <v>52.200434315108524</v>
      </c>
      <c r="T4413" s="9">
        <v>52.724840228616593</v>
      </c>
      <c r="U4413" s="9">
        <v>59.472638024172305</v>
      </c>
      <c r="V4413" s="9">
        <v>59.472638024172305</v>
      </c>
      <c r="W4413" s="9">
        <v>59.472638024172305</v>
      </c>
      <c r="X4413" s="9">
        <v>72.142723701589546</v>
      </c>
      <c r="Y4413" s="9">
        <v>72.142723701589546</v>
      </c>
      <c r="Z4413" s="9">
        <v>81.509458318176925</v>
      </c>
      <c r="AA4413" s="9">
        <v>81.509458318176925</v>
      </c>
      <c r="AB4413" s="9">
        <v>89.863972899994664</v>
      </c>
      <c r="AC4413" s="9">
        <v>89.863972899994664</v>
      </c>
      <c r="AD4413" s="9">
        <v>98.618648314994076</v>
      </c>
      <c r="AE4413" s="9">
        <v>108.72378502149357</v>
      </c>
      <c r="AF4413" s="9">
        <v>120.36692993447016</v>
      </c>
      <c r="AG4413" s="9">
        <v>120.36692993447016</v>
      </c>
      <c r="AH4413" s="9">
        <v>131.35112917791719</v>
      </c>
      <c r="AI4413" s="9">
        <v>142.33181861642981</v>
      </c>
      <c r="AJ4413" s="9">
        <v>3.0428788910505911</v>
      </c>
    </row>
    <row r="4414" spans="1:36" x14ac:dyDescent="0.25">
      <c r="A4414" t="s">
        <v>5411</v>
      </c>
      <c r="B4414" t="s">
        <v>16</v>
      </c>
      <c r="C4414" t="s">
        <v>17</v>
      </c>
      <c r="D4414">
        <v>77680000</v>
      </c>
      <c r="E4414">
        <v>77684999</v>
      </c>
      <c r="F4414" t="s">
        <v>4019</v>
      </c>
      <c r="G4414" t="str">
        <f t="shared" si="136"/>
        <v>TOR</v>
      </c>
      <c r="H4414" t="s">
        <v>3952</v>
      </c>
      <c r="I4414" t="s">
        <v>20</v>
      </c>
      <c r="J4414" t="s">
        <v>77</v>
      </c>
      <c r="K4414" s="6">
        <v>0.03</v>
      </c>
      <c r="L4414" s="7">
        <f t="shared" si="137"/>
        <v>2E-3</v>
      </c>
      <c r="M4414" s="7">
        <v>3.0000000000000001E-3</v>
      </c>
      <c r="N4414">
        <v>17</v>
      </c>
      <c r="O4414" s="8">
        <v>49.365095147237867</v>
      </c>
      <c r="P4414" s="9">
        <v>49.365095147237867</v>
      </c>
      <c r="Q4414" s="9">
        <v>49.365095147237867</v>
      </c>
      <c r="R4414" s="9">
        <v>50.770888721957412</v>
      </c>
      <c r="S4414" s="9">
        <v>52.200434315108524</v>
      </c>
      <c r="T4414" s="9">
        <v>52.724840228616593</v>
      </c>
      <c r="U4414" s="9">
        <v>59.472638024172305</v>
      </c>
      <c r="V4414" s="9">
        <v>59.472638024172305</v>
      </c>
      <c r="W4414" s="9">
        <v>59.472638024172305</v>
      </c>
      <c r="X4414" s="9">
        <v>72.142723701589546</v>
      </c>
      <c r="Y4414" s="9">
        <v>72.142723701589546</v>
      </c>
      <c r="Z4414" s="9">
        <v>81.509458318176925</v>
      </c>
      <c r="AA4414" s="9">
        <v>81.509458318176925</v>
      </c>
      <c r="AB4414" s="9">
        <v>89.863972899994664</v>
      </c>
      <c r="AC4414" s="9">
        <v>89.863972899994664</v>
      </c>
      <c r="AD4414" s="9">
        <v>98.618648314994076</v>
      </c>
      <c r="AE4414" s="9">
        <v>108.72378502149357</v>
      </c>
      <c r="AF4414" s="9">
        <v>120.36692993447016</v>
      </c>
      <c r="AG4414" s="9">
        <v>120.36692993447016</v>
      </c>
      <c r="AH4414" s="9">
        <v>131.35112917791719</v>
      </c>
      <c r="AI4414" s="9">
        <v>142.33181861642981</v>
      </c>
      <c r="AJ4414" s="9">
        <v>3.0428788910505911</v>
      </c>
    </row>
    <row r="4415" spans="1:36" x14ac:dyDescent="0.25">
      <c r="A4415" t="s">
        <v>5411</v>
      </c>
      <c r="B4415" t="s">
        <v>16</v>
      </c>
      <c r="C4415" t="s">
        <v>17</v>
      </c>
      <c r="D4415">
        <v>77685000</v>
      </c>
      <c r="E4415">
        <v>77689999</v>
      </c>
      <c r="F4415" t="s">
        <v>4020</v>
      </c>
      <c r="G4415" t="str">
        <f t="shared" si="136"/>
        <v>TOR</v>
      </c>
      <c r="H4415" t="s">
        <v>3952</v>
      </c>
      <c r="I4415" t="s">
        <v>20</v>
      </c>
      <c r="J4415" t="s">
        <v>77</v>
      </c>
      <c r="K4415" s="6">
        <v>0.03</v>
      </c>
      <c r="L4415" s="7">
        <f t="shared" si="137"/>
        <v>2E-3</v>
      </c>
      <c r="M4415" s="7">
        <v>3.0000000000000001E-3</v>
      </c>
      <c r="N4415">
        <v>17</v>
      </c>
      <c r="O4415" s="8">
        <v>49.365095147237867</v>
      </c>
      <c r="P4415" s="9">
        <v>49.365095147237867</v>
      </c>
      <c r="Q4415" s="9">
        <v>49.365095147237867</v>
      </c>
      <c r="R4415" s="9">
        <v>50.770888721957412</v>
      </c>
      <c r="S4415" s="9">
        <v>52.200434315108524</v>
      </c>
      <c r="T4415" s="9">
        <v>52.724840228616593</v>
      </c>
      <c r="U4415" s="9">
        <v>59.472638024172305</v>
      </c>
      <c r="V4415" s="9">
        <v>59.472638024172305</v>
      </c>
      <c r="W4415" s="9">
        <v>59.472638024172305</v>
      </c>
      <c r="X4415" s="9">
        <v>72.142723701589546</v>
      </c>
      <c r="Y4415" s="9">
        <v>72.142723701589546</v>
      </c>
      <c r="Z4415" s="9">
        <v>81.509458318176925</v>
      </c>
      <c r="AA4415" s="9">
        <v>81.509458318176925</v>
      </c>
      <c r="AB4415" s="9">
        <v>89.863972899994664</v>
      </c>
      <c r="AC4415" s="9">
        <v>89.863972899994664</v>
      </c>
      <c r="AD4415" s="9">
        <v>98.618648314994076</v>
      </c>
      <c r="AE4415" s="9">
        <v>108.72378502149357</v>
      </c>
      <c r="AF4415" s="9">
        <v>120.36692993447016</v>
      </c>
      <c r="AG4415" s="9">
        <v>120.36692993447016</v>
      </c>
      <c r="AH4415" s="9">
        <v>131.35112917791719</v>
      </c>
      <c r="AI4415" s="9">
        <v>142.33181861642981</v>
      </c>
      <c r="AJ4415" s="9">
        <v>3.0428788910505911</v>
      </c>
    </row>
    <row r="4416" spans="1:36" x14ac:dyDescent="0.25">
      <c r="A4416" t="s">
        <v>5411</v>
      </c>
      <c r="B4416" t="s">
        <v>16</v>
      </c>
      <c r="C4416" t="s">
        <v>17</v>
      </c>
      <c r="D4416">
        <v>77690000</v>
      </c>
      <c r="E4416">
        <v>77692999</v>
      </c>
      <c r="F4416" t="s">
        <v>4021</v>
      </c>
      <c r="G4416" t="str">
        <f t="shared" si="136"/>
        <v>TOR</v>
      </c>
      <c r="H4416" t="s">
        <v>3952</v>
      </c>
      <c r="I4416" t="s">
        <v>20</v>
      </c>
      <c r="J4416" t="s">
        <v>77</v>
      </c>
      <c r="K4416" s="6">
        <v>0.03</v>
      </c>
      <c r="L4416" s="7">
        <f t="shared" si="137"/>
        <v>2E-3</v>
      </c>
      <c r="M4416" s="7">
        <v>3.0000000000000001E-3</v>
      </c>
      <c r="N4416">
        <v>17</v>
      </c>
      <c r="O4416" s="8">
        <v>49.365095147237867</v>
      </c>
      <c r="P4416" s="9">
        <v>49.365095147237867</v>
      </c>
      <c r="Q4416" s="9">
        <v>49.365095147237867</v>
      </c>
      <c r="R4416" s="9">
        <v>50.770888721957412</v>
      </c>
      <c r="S4416" s="9">
        <v>52.200434315108524</v>
      </c>
      <c r="T4416" s="9">
        <v>52.724840228616593</v>
      </c>
      <c r="U4416" s="9">
        <v>59.472638024172305</v>
      </c>
      <c r="V4416" s="9">
        <v>59.472638024172305</v>
      </c>
      <c r="W4416" s="9">
        <v>59.472638024172305</v>
      </c>
      <c r="X4416" s="9">
        <v>72.142723701589546</v>
      </c>
      <c r="Y4416" s="9">
        <v>72.142723701589546</v>
      </c>
      <c r="Z4416" s="9">
        <v>81.509458318176925</v>
      </c>
      <c r="AA4416" s="9">
        <v>81.509458318176925</v>
      </c>
      <c r="AB4416" s="9">
        <v>89.863972899994664</v>
      </c>
      <c r="AC4416" s="9">
        <v>89.863972899994664</v>
      </c>
      <c r="AD4416" s="9">
        <v>98.618648314994076</v>
      </c>
      <c r="AE4416" s="9">
        <v>108.72378502149357</v>
      </c>
      <c r="AF4416" s="9">
        <v>120.36692993447016</v>
      </c>
      <c r="AG4416" s="9">
        <v>120.36692993447016</v>
      </c>
      <c r="AH4416" s="9">
        <v>131.35112917791719</v>
      </c>
      <c r="AI4416" s="9">
        <v>142.33181861642981</v>
      </c>
      <c r="AJ4416" s="9">
        <v>3.0428788910505911</v>
      </c>
    </row>
    <row r="4417" spans="1:36" x14ac:dyDescent="0.25">
      <c r="A4417" t="s">
        <v>5411</v>
      </c>
      <c r="B4417" t="s">
        <v>16</v>
      </c>
      <c r="C4417" t="s">
        <v>17</v>
      </c>
      <c r="D4417">
        <v>77693000</v>
      </c>
      <c r="E4417">
        <v>77694999</v>
      </c>
      <c r="F4417" t="s">
        <v>4022</v>
      </c>
      <c r="G4417" t="str">
        <f t="shared" si="136"/>
        <v>TOR</v>
      </c>
      <c r="H4417" t="s">
        <v>3952</v>
      </c>
      <c r="I4417" t="s">
        <v>20</v>
      </c>
      <c r="J4417" t="s">
        <v>77</v>
      </c>
      <c r="K4417" s="6">
        <v>0.03</v>
      </c>
      <c r="L4417" s="7">
        <f t="shared" si="137"/>
        <v>2E-3</v>
      </c>
      <c r="M4417" s="7">
        <v>3.0000000000000001E-3</v>
      </c>
      <c r="N4417">
        <v>17</v>
      </c>
      <c r="O4417" s="8">
        <v>49.365095147237867</v>
      </c>
      <c r="P4417" s="9">
        <v>49.365095147237867</v>
      </c>
      <c r="Q4417" s="9">
        <v>49.365095147237867</v>
      </c>
      <c r="R4417" s="9">
        <v>50.770888721957412</v>
      </c>
      <c r="S4417" s="9">
        <v>52.200434315108524</v>
      </c>
      <c r="T4417" s="9">
        <v>52.724840228616593</v>
      </c>
      <c r="U4417" s="9">
        <v>59.472638024172305</v>
      </c>
      <c r="V4417" s="9">
        <v>59.472638024172305</v>
      </c>
      <c r="W4417" s="9">
        <v>59.472638024172305</v>
      </c>
      <c r="X4417" s="9">
        <v>72.142723701589546</v>
      </c>
      <c r="Y4417" s="9">
        <v>72.142723701589546</v>
      </c>
      <c r="Z4417" s="9">
        <v>81.509458318176925</v>
      </c>
      <c r="AA4417" s="9">
        <v>81.509458318176925</v>
      </c>
      <c r="AB4417" s="9">
        <v>89.863972899994664</v>
      </c>
      <c r="AC4417" s="9">
        <v>89.863972899994664</v>
      </c>
      <c r="AD4417" s="9">
        <v>98.618648314994076</v>
      </c>
      <c r="AE4417" s="9">
        <v>108.72378502149357</v>
      </c>
      <c r="AF4417" s="9">
        <v>120.36692993447016</v>
      </c>
      <c r="AG4417" s="9">
        <v>120.36692993447016</v>
      </c>
      <c r="AH4417" s="9">
        <v>131.35112917791719</v>
      </c>
      <c r="AI4417" s="9">
        <v>142.33181861642981</v>
      </c>
      <c r="AJ4417" s="9">
        <v>3.0428788910505911</v>
      </c>
    </row>
    <row r="4418" spans="1:36" x14ac:dyDescent="0.25">
      <c r="A4418" t="s">
        <v>5411</v>
      </c>
      <c r="B4418" t="s">
        <v>16</v>
      </c>
      <c r="C4418" t="s">
        <v>17</v>
      </c>
      <c r="D4418">
        <v>77695000</v>
      </c>
      <c r="E4418">
        <v>77699999</v>
      </c>
      <c r="F4418" t="s">
        <v>4023</v>
      </c>
      <c r="G4418" t="str">
        <f t="shared" si="136"/>
        <v>TOR</v>
      </c>
      <c r="H4418" t="s">
        <v>3952</v>
      </c>
      <c r="I4418" t="s">
        <v>20</v>
      </c>
      <c r="J4418" t="s">
        <v>77</v>
      </c>
      <c r="K4418" s="6">
        <v>0.03</v>
      </c>
      <c r="L4418" s="7">
        <f t="shared" si="137"/>
        <v>2E-3</v>
      </c>
      <c r="M4418" s="7">
        <v>3.0000000000000001E-3</v>
      </c>
      <c r="N4418">
        <v>17</v>
      </c>
      <c r="O4418" s="8">
        <v>49.365095147237867</v>
      </c>
      <c r="P4418" s="9">
        <v>49.365095147237867</v>
      </c>
      <c r="Q4418" s="9">
        <v>49.365095147237867</v>
      </c>
      <c r="R4418" s="9">
        <v>50.770888721957412</v>
      </c>
      <c r="S4418" s="9">
        <v>52.200434315108524</v>
      </c>
      <c r="T4418" s="9">
        <v>52.724840228616593</v>
      </c>
      <c r="U4418" s="9">
        <v>59.472638024172305</v>
      </c>
      <c r="V4418" s="9">
        <v>59.472638024172305</v>
      </c>
      <c r="W4418" s="9">
        <v>59.472638024172305</v>
      </c>
      <c r="X4418" s="9">
        <v>72.142723701589546</v>
      </c>
      <c r="Y4418" s="9">
        <v>72.142723701589546</v>
      </c>
      <c r="Z4418" s="9">
        <v>81.509458318176925</v>
      </c>
      <c r="AA4418" s="9">
        <v>81.509458318176925</v>
      </c>
      <c r="AB4418" s="9">
        <v>89.863972899994664</v>
      </c>
      <c r="AC4418" s="9">
        <v>89.863972899994664</v>
      </c>
      <c r="AD4418" s="9">
        <v>98.618648314994076</v>
      </c>
      <c r="AE4418" s="9">
        <v>108.72378502149357</v>
      </c>
      <c r="AF4418" s="9">
        <v>120.36692993447016</v>
      </c>
      <c r="AG4418" s="9">
        <v>120.36692993447016</v>
      </c>
      <c r="AH4418" s="9">
        <v>131.35112917791719</v>
      </c>
      <c r="AI4418" s="9">
        <v>142.33181861642981</v>
      </c>
      <c r="AJ4418" s="9">
        <v>3.0428788910505911</v>
      </c>
    </row>
    <row r="4419" spans="1:36" x14ac:dyDescent="0.25">
      <c r="A4419" t="s">
        <v>5411</v>
      </c>
      <c r="B4419" t="s">
        <v>16</v>
      </c>
      <c r="C4419" t="s">
        <v>17</v>
      </c>
      <c r="D4419">
        <v>77700000</v>
      </c>
      <c r="E4419">
        <v>77703999</v>
      </c>
      <c r="F4419" t="s">
        <v>4024</v>
      </c>
      <c r="G4419" t="str">
        <f t="shared" si="136"/>
        <v>TOR</v>
      </c>
      <c r="H4419" t="s">
        <v>3952</v>
      </c>
      <c r="I4419" t="s">
        <v>20</v>
      </c>
      <c r="J4419" t="s">
        <v>77</v>
      </c>
      <c r="K4419" s="6">
        <v>0.03</v>
      </c>
      <c r="L4419" s="7">
        <f t="shared" si="137"/>
        <v>2E-3</v>
      </c>
      <c r="M4419" s="7">
        <v>3.0000000000000001E-3</v>
      </c>
      <c r="N4419">
        <v>17</v>
      </c>
      <c r="O4419" s="8">
        <v>49.365095147237867</v>
      </c>
      <c r="P4419" s="9">
        <v>49.365095147237867</v>
      </c>
      <c r="Q4419" s="9">
        <v>49.365095147237867</v>
      </c>
      <c r="R4419" s="9">
        <v>50.770888721957412</v>
      </c>
      <c r="S4419" s="9">
        <v>52.200434315108524</v>
      </c>
      <c r="T4419" s="9">
        <v>52.724840228616593</v>
      </c>
      <c r="U4419" s="9">
        <v>59.472638024172305</v>
      </c>
      <c r="V4419" s="9">
        <v>59.472638024172305</v>
      </c>
      <c r="W4419" s="9">
        <v>59.472638024172305</v>
      </c>
      <c r="X4419" s="9">
        <v>72.142723701589546</v>
      </c>
      <c r="Y4419" s="9">
        <v>72.142723701589546</v>
      </c>
      <c r="Z4419" s="9">
        <v>81.509458318176925</v>
      </c>
      <c r="AA4419" s="9">
        <v>81.509458318176925</v>
      </c>
      <c r="AB4419" s="9">
        <v>89.863972899994664</v>
      </c>
      <c r="AC4419" s="9">
        <v>89.863972899994664</v>
      </c>
      <c r="AD4419" s="9">
        <v>98.618648314994076</v>
      </c>
      <c r="AE4419" s="9">
        <v>108.72378502149357</v>
      </c>
      <c r="AF4419" s="9">
        <v>120.36692993447016</v>
      </c>
      <c r="AG4419" s="9">
        <v>120.36692993447016</v>
      </c>
      <c r="AH4419" s="9">
        <v>131.35112917791719</v>
      </c>
      <c r="AI4419" s="9">
        <v>142.33181861642981</v>
      </c>
      <c r="AJ4419" s="9">
        <v>3.0428788910505911</v>
      </c>
    </row>
    <row r="4420" spans="1:36" x14ac:dyDescent="0.25">
      <c r="A4420" t="s">
        <v>5411</v>
      </c>
      <c r="B4420" t="s">
        <v>16</v>
      </c>
      <c r="C4420" t="s">
        <v>17</v>
      </c>
      <c r="D4420">
        <v>77704000</v>
      </c>
      <c r="E4420">
        <v>77707999</v>
      </c>
      <c r="F4420" t="s">
        <v>4025</v>
      </c>
      <c r="G4420" t="str">
        <f t="shared" ref="G4420:G4483" si="138">H4420&amp;IF(J4420="CAPITAL","C",IF(J4420="INTERIOR","I",IF(J4420="INTERIOR II","I II","R")))</f>
        <v>TOR</v>
      </c>
      <c r="H4420" t="s">
        <v>3952</v>
      </c>
      <c r="I4420" t="s">
        <v>20</v>
      </c>
      <c r="J4420" t="s">
        <v>77</v>
      </c>
      <c r="K4420" s="6">
        <v>0.03</v>
      </c>
      <c r="L4420" s="7">
        <f t="shared" ref="L4420:L4483" si="139">IF(I4420="(0) Não",0.2%,3%)</f>
        <v>2E-3</v>
      </c>
      <c r="M4420" s="7">
        <v>3.0000000000000001E-3</v>
      </c>
      <c r="N4420">
        <v>17</v>
      </c>
      <c r="O4420" s="8">
        <v>49.365095147237867</v>
      </c>
      <c r="P4420" s="9">
        <v>49.365095147237867</v>
      </c>
      <c r="Q4420" s="9">
        <v>49.365095147237867</v>
      </c>
      <c r="R4420" s="9">
        <v>50.770888721957412</v>
      </c>
      <c r="S4420" s="9">
        <v>52.200434315108524</v>
      </c>
      <c r="T4420" s="9">
        <v>52.724840228616593</v>
      </c>
      <c r="U4420" s="9">
        <v>59.472638024172305</v>
      </c>
      <c r="V4420" s="9">
        <v>59.472638024172305</v>
      </c>
      <c r="W4420" s="9">
        <v>59.472638024172305</v>
      </c>
      <c r="X4420" s="9">
        <v>72.142723701589546</v>
      </c>
      <c r="Y4420" s="9">
        <v>72.142723701589546</v>
      </c>
      <c r="Z4420" s="9">
        <v>81.509458318176925</v>
      </c>
      <c r="AA4420" s="9">
        <v>81.509458318176925</v>
      </c>
      <c r="AB4420" s="9">
        <v>89.863972899994664</v>
      </c>
      <c r="AC4420" s="9">
        <v>89.863972899994664</v>
      </c>
      <c r="AD4420" s="9">
        <v>98.618648314994076</v>
      </c>
      <c r="AE4420" s="9">
        <v>108.72378502149357</v>
      </c>
      <c r="AF4420" s="9">
        <v>120.36692993447016</v>
      </c>
      <c r="AG4420" s="9">
        <v>120.36692993447016</v>
      </c>
      <c r="AH4420" s="9">
        <v>131.35112917791719</v>
      </c>
      <c r="AI4420" s="9">
        <v>142.33181861642981</v>
      </c>
      <c r="AJ4420" s="9">
        <v>3.0428788910505911</v>
      </c>
    </row>
    <row r="4421" spans="1:36" x14ac:dyDescent="0.25">
      <c r="A4421" t="s">
        <v>5411</v>
      </c>
      <c r="B4421" t="s">
        <v>16</v>
      </c>
      <c r="C4421" t="s">
        <v>17</v>
      </c>
      <c r="D4421">
        <v>77708000</v>
      </c>
      <c r="E4421">
        <v>77709999</v>
      </c>
      <c r="F4421" t="s">
        <v>4026</v>
      </c>
      <c r="G4421" t="str">
        <f t="shared" si="138"/>
        <v>TOR</v>
      </c>
      <c r="H4421" t="s">
        <v>3952</v>
      </c>
      <c r="I4421" t="s">
        <v>20</v>
      </c>
      <c r="J4421" t="s">
        <v>77</v>
      </c>
      <c r="K4421" s="6">
        <v>0.03</v>
      </c>
      <c r="L4421" s="7">
        <f t="shared" si="139"/>
        <v>2E-3</v>
      </c>
      <c r="M4421" s="7">
        <v>3.0000000000000001E-3</v>
      </c>
      <c r="N4421">
        <v>17</v>
      </c>
      <c r="O4421" s="8">
        <v>49.365095147237867</v>
      </c>
      <c r="P4421" s="9">
        <v>49.365095147237867</v>
      </c>
      <c r="Q4421" s="9">
        <v>49.365095147237867</v>
      </c>
      <c r="R4421" s="9">
        <v>50.770888721957412</v>
      </c>
      <c r="S4421" s="9">
        <v>52.200434315108524</v>
      </c>
      <c r="T4421" s="9">
        <v>52.724840228616593</v>
      </c>
      <c r="U4421" s="9">
        <v>59.472638024172305</v>
      </c>
      <c r="V4421" s="9">
        <v>59.472638024172305</v>
      </c>
      <c r="W4421" s="9">
        <v>59.472638024172305</v>
      </c>
      <c r="X4421" s="9">
        <v>72.142723701589546</v>
      </c>
      <c r="Y4421" s="9">
        <v>72.142723701589546</v>
      </c>
      <c r="Z4421" s="9">
        <v>81.509458318176925</v>
      </c>
      <c r="AA4421" s="9">
        <v>81.509458318176925</v>
      </c>
      <c r="AB4421" s="9">
        <v>89.863972899994664</v>
      </c>
      <c r="AC4421" s="9">
        <v>89.863972899994664</v>
      </c>
      <c r="AD4421" s="9">
        <v>98.618648314994076</v>
      </c>
      <c r="AE4421" s="9">
        <v>108.72378502149357</v>
      </c>
      <c r="AF4421" s="9">
        <v>120.36692993447016</v>
      </c>
      <c r="AG4421" s="9">
        <v>120.36692993447016</v>
      </c>
      <c r="AH4421" s="9">
        <v>131.35112917791719</v>
      </c>
      <c r="AI4421" s="9">
        <v>142.33181861642981</v>
      </c>
      <c r="AJ4421" s="9">
        <v>3.0428788910505911</v>
      </c>
    </row>
    <row r="4422" spans="1:36" x14ac:dyDescent="0.25">
      <c r="A4422" t="s">
        <v>5411</v>
      </c>
      <c r="B4422" t="s">
        <v>16</v>
      </c>
      <c r="C4422" t="s">
        <v>17</v>
      </c>
      <c r="D4422">
        <v>77710000</v>
      </c>
      <c r="E4422">
        <v>77713999</v>
      </c>
      <c r="F4422" t="s">
        <v>4027</v>
      </c>
      <c r="G4422" t="str">
        <f t="shared" si="138"/>
        <v>TOR</v>
      </c>
      <c r="H4422" t="s">
        <v>3952</v>
      </c>
      <c r="I4422" t="s">
        <v>20</v>
      </c>
      <c r="J4422" t="s">
        <v>77</v>
      </c>
      <c r="K4422" s="6">
        <v>0.03</v>
      </c>
      <c r="L4422" s="7">
        <f t="shared" si="139"/>
        <v>2E-3</v>
      </c>
      <c r="M4422" s="7">
        <v>3.0000000000000001E-3</v>
      </c>
      <c r="N4422">
        <v>17</v>
      </c>
      <c r="O4422" s="8">
        <v>49.365095147237867</v>
      </c>
      <c r="P4422" s="9">
        <v>49.365095147237867</v>
      </c>
      <c r="Q4422" s="9">
        <v>49.365095147237867</v>
      </c>
      <c r="R4422" s="9">
        <v>50.770888721957412</v>
      </c>
      <c r="S4422" s="9">
        <v>52.200434315108524</v>
      </c>
      <c r="T4422" s="9">
        <v>52.724840228616593</v>
      </c>
      <c r="U4422" s="9">
        <v>59.472638024172305</v>
      </c>
      <c r="V4422" s="9">
        <v>59.472638024172305</v>
      </c>
      <c r="W4422" s="9">
        <v>59.472638024172305</v>
      </c>
      <c r="X4422" s="9">
        <v>72.142723701589546</v>
      </c>
      <c r="Y4422" s="9">
        <v>72.142723701589546</v>
      </c>
      <c r="Z4422" s="9">
        <v>81.509458318176925</v>
      </c>
      <c r="AA4422" s="9">
        <v>81.509458318176925</v>
      </c>
      <c r="AB4422" s="9">
        <v>89.863972899994664</v>
      </c>
      <c r="AC4422" s="9">
        <v>89.863972899994664</v>
      </c>
      <c r="AD4422" s="9">
        <v>98.618648314994076</v>
      </c>
      <c r="AE4422" s="9">
        <v>108.72378502149357</v>
      </c>
      <c r="AF4422" s="9">
        <v>120.36692993447016</v>
      </c>
      <c r="AG4422" s="9">
        <v>120.36692993447016</v>
      </c>
      <c r="AH4422" s="9">
        <v>131.35112917791719</v>
      </c>
      <c r="AI4422" s="9">
        <v>142.33181861642981</v>
      </c>
      <c r="AJ4422" s="9">
        <v>3.0428788910505911</v>
      </c>
    </row>
    <row r="4423" spans="1:36" x14ac:dyDescent="0.25">
      <c r="A4423" t="s">
        <v>5411</v>
      </c>
      <c r="B4423" t="s">
        <v>16</v>
      </c>
      <c r="C4423" t="s">
        <v>17</v>
      </c>
      <c r="D4423">
        <v>77714000</v>
      </c>
      <c r="E4423">
        <v>77715999</v>
      </c>
      <c r="F4423" t="s">
        <v>3476</v>
      </c>
      <c r="G4423" t="str">
        <f t="shared" si="138"/>
        <v>TOR</v>
      </c>
      <c r="H4423" t="s">
        <v>3952</v>
      </c>
      <c r="I4423" t="s">
        <v>20</v>
      </c>
      <c r="J4423" t="s">
        <v>77</v>
      </c>
      <c r="K4423" s="6">
        <v>0.03</v>
      </c>
      <c r="L4423" s="7">
        <f t="shared" si="139"/>
        <v>2E-3</v>
      </c>
      <c r="M4423" s="7">
        <v>3.0000000000000001E-3</v>
      </c>
      <c r="N4423">
        <v>17</v>
      </c>
      <c r="O4423" s="8">
        <v>49.365095147237867</v>
      </c>
      <c r="P4423" s="9">
        <v>49.365095147237867</v>
      </c>
      <c r="Q4423" s="9">
        <v>49.365095147237867</v>
      </c>
      <c r="R4423" s="9">
        <v>50.770888721957412</v>
      </c>
      <c r="S4423" s="9">
        <v>52.200434315108524</v>
      </c>
      <c r="T4423" s="9">
        <v>52.724840228616593</v>
      </c>
      <c r="U4423" s="9">
        <v>59.472638024172305</v>
      </c>
      <c r="V4423" s="9">
        <v>59.472638024172305</v>
      </c>
      <c r="W4423" s="9">
        <v>59.472638024172305</v>
      </c>
      <c r="X4423" s="9">
        <v>72.142723701589546</v>
      </c>
      <c r="Y4423" s="9">
        <v>72.142723701589546</v>
      </c>
      <c r="Z4423" s="9">
        <v>81.509458318176925</v>
      </c>
      <c r="AA4423" s="9">
        <v>81.509458318176925</v>
      </c>
      <c r="AB4423" s="9">
        <v>89.863972899994664</v>
      </c>
      <c r="AC4423" s="9">
        <v>89.863972899994664</v>
      </c>
      <c r="AD4423" s="9">
        <v>98.618648314994076</v>
      </c>
      <c r="AE4423" s="9">
        <v>108.72378502149357</v>
      </c>
      <c r="AF4423" s="9">
        <v>120.36692993447016</v>
      </c>
      <c r="AG4423" s="9">
        <v>120.36692993447016</v>
      </c>
      <c r="AH4423" s="9">
        <v>131.35112917791719</v>
      </c>
      <c r="AI4423" s="9">
        <v>142.33181861642981</v>
      </c>
      <c r="AJ4423" s="9">
        <v>3.0428788910505911</v>
      </c>
    </row>
    <row r="4424" spans="1:36" x14ac:dyDescent="0.25">
      <c r="A4424" t="s">
        <v>5411</v>
      </c>
      <c r="B4424" t="s">
        <v>16</v>
      </c>
      <c r="C4424" t="s">
        <v>17</v>
      </c>
      <c r="D4424">
        <v>77716000</v>
      </c>
      <c r="E4424">
        <v>77717999</v>
      </c>
      <c r="F4424" t="s">
        <v>4028</v>
      </c>
      <c r="G4424" t="str">
        <f t="shared" si="138"/>
        <v>TOR</v>
      </c>
      <c r="H4424" t="s">
        <v>3952</v>
      </c>
      <c r="I4424" t="s">
        <v>20</v>
      </c>
      <c r="J4424" t="s">
        <v>77</v>
      </c>
      <c r="K4424" s="6">
        <v>0.03</v>
      </c>
      <c r="L4424" s="7">
        <f t="shared" si="139"/>
        <v>2E-3</v>
      </c>
      <c r="M4424" s="7">
        <v>3.0000000000000001E-3</v>
      </c>
      <c r="N4424">
        <v>17</v>
      </c>
      <c r="O4424" s="8">
        <v>49.365095147237867</v>
      </c>
      <c r="P4424" s="9">
        <v>49.365095147237867</v>
      </c>
      <c r="Q4424" s="9">
        <v>49.365095147237867</v>
      </c>
      <c r="R4424" s="9">
        <v>50.770888721957412</v>
      </c>
      <c r="S4424" s="9">
        <v>52.200434315108524</v>
      </c>
      <c r="T4424" s="9">
        <v>52.724840228616593</v>
      </c>
      <c r="U4424" s="9">
        <v>59.472638024172305</v>
      </c>
      <c r="V4424" s="9">
        <v>59.472638024172305</v>
      </c>
      <c r="W4424" s="9">
        <v>59.472638024172305</v>
      </c>
      <c r="X4424" s="9">
        <v>72.142723701589546</v>
      </c>
      <c r="Y4424" s="9">
        <v>72.142723701589546</v>
      </c>
      <c r="Z4424" s="9">
        <v>81.509458318176925</v>
      </c>
      <c r="AA4424" s="9">
        <v>81.509458318176925</v>
      </c>
      <c r="AB4424" s="9">
        <v>89.863972899994664</v>
      </c>
      <c r="AC4424" s="9">
        <v>89.863972899994664</v>
      </c>
      <c r="AD4424" s="9">
        <v>98.618648314994076</v>
      </c>
      <c r="AE4424" s="9">
        <v>108.72378502149357</v>
      </c>
      <c r="AF4424" s="9">
        <v>120.36692993447016</v>
      </c>
      <c r="AG4424" s="9">
        <v>120.36692993447016</v>
      </c>
      <c r="AH4424" s="9">
        <v>131.35112917791719</v>
      </c>
      <c r="AI4424" s="9">
        <v>142.33181861642981</v>
      </c>
      <c r="AJ4424" s="9">
        <v>3.0428788910505911</v>
      </c>
    </row>
    <row r="4425" spans="1:36" x14ac:dyDescent="0.25">
      <c r="A4425" t="s">
        <v>5411</v>
      </c>
      <c r="B4425" t="s">
        <v>16</v>
      </c>
      <c r="C4425" t="s">
        <v>17</v>
      </c>
      <c r="D4425">
        <v>77718000</v>
      </c>
      <c r="E4425">
        <v>77719999</v>
      </c>
      <c r="F4425" t="s">
        <v>4029</v>
      </c>
      <c r="G4425" t="str">
        <f t="shared" si="138"/>
        <v>TOR</v>
      </c>
      <c r="H4425" t="s">
        <v>3952</v>
      </c>
      <c r="I4425" t="s">
        <v>20</v>
      </c>
      <c r="J4425" t="s">
        <v>77</v>
      </c>
      <c r="K4425" s="6">
        <v>0.03</v>
      </c>
      <c r="L4425" s="7">
        <f t="shared" si="139"/>
        <v>2E-3</v>
      </c>
      <c r="M4425" s="7">
        <v>3.0000000000000001E-3</v>
      </c>
      <c r="N4425">
        <v>17</v>
      </c>
      <c r="O4425" s="8">
        <v>49.365095147237867</v>
      </c>
      <c r="P4425" s="9">
        <v>49.365095147237867</v>
      </c>
      <c r="Q4425" s="9">
        <v>49.365095147237867</v>
      </c>
      <c r="R4425" s="9">
        <v>50.770888721957412</v>
      </c>
      <c r="S4425" s="9">
        <v>52.200434315108524</v>
      </c>
      <c r="T4425" s="9">
        <v>52.724840228616593</v>
      </c>
      <c r="U4425" s="9">
        <v>59.472638024172305</v>
      </c>
      <c r="V4425" s="9">
        <v>59.472638024172305</v>
      </c>
      <c r="W4425" s="9">
        <v>59.472638024172305</v>
      </c>
      <c r="X4425" s="9">
        <v>72.142723701589546</v>
      </c>
      <c r="Y4425" s="9">
        <v>72.142723701589546</v>
      </c>
      <c r="Z4425" s="9">
        <v>81.509458318176925</v>
      </c>
      <c r="AA4425" s="9">
        <v>81.509458318176925</v>
      </c>
      <c r="AB4425" s="9">
        <v>89.863972899994664</v>
      </c>
      <c r="AC4425" s="9">
        <v>89.863972899994664</v>
      </c>
      <c r="AD4425" s="9">
        <v>98.618648314994076</v>
      </c>
      <c r="AE4425" s="9">
        <v>108.72378502149357</v>
      </c>
      <c r="AF4425" s="9">
        <v>120.36692993447016</v>
      </c>
      <c r="AG4425" s="9">
        <v>120.36692993447016</v>
      </c>
      <c r="AH4425" s="9">
        <v>131.35112917791719</v>
      </c>
      <c r="AI4425" s="9">
        <v>142.33181861642981</v>
      </c>
      <c r="AJ4425" s="9">
        <v>3.0428788910505911</v>
      </c>
    </row>
    <row r="4426" spans="1:36" x14ac:dyDescent="0.25">
      <c r="A4426" t="s">
        <v>5411</v>
      </c>
      <c r="B4426" t="s">
        <v>16</v>
      </c>
      <c r="C4426" t="s">
        <v>17</v>
      </c>
      <c r="D4426">
        <v>77720000</v>
      </c>
      <c r="E4426">
        <v>77722999</v>
      </c>
      <c r="F4426" t="s">
        <v>4030</v>
      </c>
      <c r="G4426" t="str">
        <f t="shared" si="138"/>
        <v>TOR</v>
      </c>
      <c r="H4426" t="s">
        <v>3952</v>
      </c>
      <c r="I4426" t="s">
        <v>20</v>
      </c>
      <c r="J4426" t="s">
        <v>77</v>
      </c>
      <c r="K4426" s="6">
        <v>0.03</v>
      </c>
      <c r="L4426" s="7">
        <f t="shared" si="139"/>
        <v>2E-3</v>
      </c>
      <c r="M4426" s="7">
        <v>3.0000000000000001E-3</v>
      </c>
      <c r="N4426">
        <v>17</v>
      </c>
      <c r="O4426" s="8">
        <v>49.365095147237867</v>
      </c>
      <c r="P4426" s="9">
        <v>49.365095147237867</v>
      </c>
      <c r="Q4426" s="9">
        <v>49.365095147237867</v>
      </c>
      <c r="R4426" s="9">
        <v>50.770888721957412</v>
      </c>
      <c r="S4426" s="9">
        <v>52.200434315108524</v>
      </c>
      <c r="T4426" s="9">
        <v>52.724840228616593</v>
      </c>
      <c r="U4426" s="9">
        <v>59.472638024172305</v>
      </c>
      <c r="V4426" s="9">
        <v>59.472638024172305</v>
      </c>
      <c r="W4426" s="9">
        <v>59.472638024172305</v>
      </c>
      <c r="X4426" s="9">
        <v>72.142723701589546</v>
      </c>
      <c r="Y4426" s="9">
        <v>72.142723701589546</v>
      </c>
      <c r="Z4426" s="9">
        <v>81.509458318176925</v>
      </c>
      <c r="AA4426" s="9">
        <v>81.509458318176925</v>
      </c>
      <c r="AB4426" s="9">
        <v>89.863972899994664</v>
      </c>
      <c r="AC4426" s="9">
        <v>89.863972899994664</v>
      </c>
      <c r="AD4426" s="9">
        <v>98.618648314994076</v>
      </c>
      <c r="AE4426" s="9">
        <v>108.72378502149357</v>
      </c>
      <c r="AF4426" s="9">
        <v>120.36692993447016</v>
      </c>
      <c r="AG4426" s="9">
        <v>120.36692993447016</v>
      </c>
      <c r="AH4426" s="9">
        <v>131.35112917791719</v>
      </c>
      <c r="AI4426" s="9">
        <v>142.33181861642981</v>
      </c>
      <c r="AJ4426" s="9">
        <v>3.0428788910505911</v>
      </c>
    </row>
    <row r="4427" spans="1:36" x14ac:dyDescent="0.25">
      <c r="A4427" t="s">
        <v>5411</v>
      </c>
      <c r="B4427" t="s">
        <v>16</v>
      </c>
      <c r="C4427" t="s">
        <v>17</v>
      </c>
      <c r="D4427">
        <v>77723000</v>
      </c>
      <c r="E4427">
        <v>77724999</v>
      </c>
      <c r="F4427" t="s">
        <v>4031</v>
      </c>
      <c r="G4427" t="str">
        <f t="shared" si="138"/>
        <v>TOR</v>
      </c>
      <c r="H4427" t="s">
        <v>3952</v>
      </c>
      <c r="I4427" t="s">
        <v>20</v>
      </c>
      <c r="J4427" t="s">
        <v>77</v>
      </c>
      <c r="K4427" s="6">
        <v>0.03</v>
      </c>
      <c r="L4427" s="7">
        <f t="shared" si="139"/>
        <v>2E-3</v>
      </c>
      <c r="M4427" s="7">
        <v>3.0000000000000001E-3</v>
      </c>
      <c r="N4427">
        <v>17</v>
      </c>
      <c r="O4427" s="8">
        <v>49.365095147237867</v>
      </c>
      <c r="P4427" s="9">
        <v>49.365095147237867</v>
      </c>
      <c r="Q4427" s="9">
        <v>49.365095147237867</v>
      </c>
      <c r="R4427" s="9">
        <v>50.770888721957412</v>
      </c>
      <c r="S4427" s="9">
        <v>52.200434315108524</v>
      </c>
      <c r="T4427" s="9">
        <v>52.724840228616593</v>
      </c>
      <c r="U4427" s="9">
        <v>59.472638024172305</v>
      </c>
      <c r="V4427" s="9">
        <v>59.472638024172305</v>
      </c>
      <c r="W4427" s="9">
        <v>59.472638024172305</v>
      </c>
      <c r="X4427" s="9">
        <v>72.142723701589546</v>
      </c>
      <c r="Y4427" s="9">
        <v>72.142723701589546</v>
      </c>
      <c r="Z4427" s="9">
        <v>81.509458318176925</v>
      </c>
      <c r="AA4427" s="9">
        <v>81.509458318176925</v>
      </c>
      <c r="AB4427" s="9">
        <v>89.863972899994664</v>
      </c>
      <c r="AC4427" s="9">
        <v>89.863972899994664</v>
      </c>
      <c r="AD4427" s="9">
        <v>98.618648314994076</v>
      </c>
      <c r="AE4427" s="9">
        <v>108.72378502149357</v>
      </c>
      <c r="AF4427" s="9">
        <v>120.36692993447016</v>
      </c>
      <c r="AG4427" s="9">
        <v>120.36692993447016</v>
      </c>
      <c r="AH4427" s="9">
        <v>131.35112917791719</v>
      </c>
      <c r="AI4427" s="9">
        <v>142.33181861642981</v>
      </c>
      <c r="AJ4427" s="9">
        <v>3.0428788910505911</v>
      </c>
    </row>
    <row r="4428" spans="1:36" x14ac:dyDescent="0.25">
      <c r="A4428" t="s">
        <v>5411</v>
      </c>
      <c r="B4428" t="s">
        <v>16</v>
      </c>
      <c r="C4428" t="s">
        <v>17</v>
      </c>
      <c r="D4428">
        <v>77725000</v>
      </c>
      <c r="E4428">
        <v>77729999</v>
      </c>
      <c r="F4428" t="s">
        <v>4032</v>
      </c>
      <c r="G4428" t="str">
        <f t="shared" si="138"/>
        <v>TOR</v>
      </c>
      <c r="H4428" t="s">
        <v>3952</v>
      </c>
      <c r="I4428" t="s">
        <v>20</v>
      </c>
      <c r="J4428" t="s">
        <v>77</v>
      </c>
      <c r="K4428" s="6">
        <v>0.03</v>
      </c>
      <c r="L4428" s="7">
        <f t="shared" si="139"/>
        <v>2E-3</v>
      </c>
      <c r="M4428" s="7">
        <v>3.0000000000000001E-3</v>
      </c>
      <c r="N4428">
        <v>17</v>
      </c>
      <c r="O4428" s="8">
        <v>49.365095147237867</v>
      </c>
      <c r="P4428" s="9">
        <v>49.365095147237867</v>
      </c>
      <c r="Q4428" s="9">
        <v>49.365095147237867</v>
      </c>
      <c r="R4428" s="9">
        <v>50.770888721957412</v>
      </c>
      <c r="S4428" s="9">
        <v>52.200434315108524</v>
      </c>
      <c r="T4428" s="9">
        <v>52.724840228616593</v>
      </c>
      <c r="U4428" s="9">
        <v>59.472638024172305</v>
      </c>
      <c r="V4428" s="9">
        <v>59.472638024172305</v>
      </c>
      <c r="W4428" s="9">
        <v>59.472638024172305</v>
      </c>
      <c r="X4428" s="9">
        <v>72.142723701589546</v>
      </c>
      <c r="Y4428" s="9">
        <v>72.142723701589546</v>
      </c>
      <c r="Z4428" s="9">
        <v>81.509458318176925</v>
      </c>
      <c r="AA4428" s="9">
        <v>81.509458318176925</v>
      </c>
      <c r="AB4428" s="9">
        <v>89.863972899994664</v>
      </c>
      <c r="AC4428" s="9">
        <v>89.863972899994664</v>
      </c>
      <c r="AD4428" s="9">
        <v>98.618648314994076</v>
      </c>
      <c r="AE4428" s="9">
        <v>108.72378502149357</v>
      </c>
      <c r="AF4428" s="9">
        <v>120.36692993447016</v>
      </c>
      <c r="AG4428" s="9">
        <v>120.36692993447016</v>
      </c>
      <c r="AH4428" s="9">
        <v>131.35112917791719</v>
      </c>
      <c r="AI4428" s="9">
        <v>142.33181861642981</v>
      </c>
      <c r="AJ4428" s="9">
        <v>3.0428788910505911</v>
      </c>
    </row>
    <row r="4429" spans="1:36" x14ac:dyDescent="0.25">
      <c r="A4429" t="s">
        <v>5411</v>
      </c>
      <c r="B4429" t="s">
        <v>16</v>
      </c>
      <c r="C4429" t="s">
        <v>17</v>
      </c>
      <c r="D4429">
        <v>77730000</v>
      </c>
      <c r="E4429">
        <v>77732999</v>
      </c>
      <c r="F4429" t="s">
        <v>4033</v>
      </c>
      <c r="G4429" t="str">
        <f t="shared" si="138"/>
        <v>TOR</v>
      </c>
      <c r="H4429" t="s">
        <v>3952</v>
      </c>
      <c r="I4429" t="s">
        <v>20</v>
      </c>
      <c r="J4429" t="s">
        <v>77</v>
      </c>
      <c r="K4429" s="6">
        <v>0.03</v>
      </c>
      <c r="L4429" s="7">
        <f t="shared" si="139"/>
        <v>2E-3</v>
      </c>
      <c r="M4429" s="7">
        <v>3.0000000000000001E-3</v>
      </c>
      <c r="N4429">
        <v>17</v>
      </c>
      <c r="O4429" s="8">
        <v>49.365095147237867</v>
      </c>
      <c r="P4429" s="9">
        <v>49.365095147237867</v>
      </c>
      <c r="Q4429" s="9">
        <v>49.365095147237867</v>
      </c>
      <c r="R4429" s="9">
        <v>50.770888721957412</v>
      </c>
      <c r="S4429" s="9">
        <v>52.200434315108524</v>
      </c>
      <c r="T4429" s="9">
        <v>52.724840228616593</v>
      </c>
      <c r="U4429" s="9">
        <v>59.472638024172305</v>
      </c>
      <c r="V4429" s="9">
        <v>59.472638024172305</v>
      </c>
      <c r="W4429" s="9">
        <v>59.472638024172305</v>
      </c>
      <c r="X4429" s="9">
        <v>72.142723701589546</v>
      </c>
      <c r="Y4429" s="9">
        <v>72.142723701589546</v>
      </c>
      <c r="Z4429" s="9">
        <v>81.509458318176925</v>
      </c>
      <c r="AA4429" s="9">
        <v>81.509458318176925</v>
      </c>
      <c r="AB4429" s="9">
        <v>89.863972899994664</v>
      </c>
      <c r="AC4429" s="9">
        <v>89.863972899994664</v>
      </c>
      <c r="AD4429" s="9">
        <v>98.618648314994076</v>
      </c>
      <c r="AE4429" s="9">
        <v>108.72378502149357</v>
      </c>
      <c r="AF4429" s="9">
        <v>120.36692993447016</v>
      </c>
      <c r="AG4429" s="9">
        <v>120.36692993447016</v>
      </c>
      <c r="AH4429" s="9">
        <v>131.35112917791719</v>
      </c>
      <c r="AI4429" s="9">
        <v>142.33181861642981</v>
      </c>
      <c r="AJ4429" s="9">
        <v>3.0428788910505911</v>
      </c>
    </row>
    <row r="4430" spans="1:36" x14ac:dyDescent="0.25">
      <c r="A4430" t="s">
        <v>5411</v>
      </c>
      <c r="B4430" t="s">
        <v>16</v>
      </c>
      <c r="C4430" t="s">
        <v>17</v>
      </c>
      <c r="D4430">
        <v>77733000</v>
      </c>
      <c r="E4430">
        <v>77734999</v>
      </c>
      <c r="F4430" t="s">
        <v>4034</v>
      </c>
      <c r="G4430" t="str">
        <f t="shared" si="138"/>
        <v>TOR</v>
      </c>
      <c r="H4430" t="s">
        <v>3952</v>
      </c>
      <c r="I4430" t="s">
        <v>20</v>
      </c>
      <c r="J4430" t="s">
        <v>77</v>
      </c>
      <c r="K4430" s="6">
        <v>0.03</v>
      </c>
      <c r="L4430" s="7">
        <f t="shared" si="139"/>
        <v>2E-3</v>
      </c>
      <c r="M4430" s="7">
        <v>3.0000000000000001E-3</v>
      </c>
      <c r="N4430">
        <v>17</v>
      </c>
      <c r="O4430" s="8">
        <v>49.365095147237867</v>
      </c>
      <c r="P4430" s="9">
        <v>49.365095147237867</v>
      </c>
      <c r="Q4430" s="9">
        <v>49.365095147237867</v>
      </c>
      <c r="R4430" s="9">
        <v>50.770888721957412</v>
      </c>
      <c r="S4430" s="9">
        <v>52.200434315108524</v>
      </c>
      <c r="T4430" s="9">
        <v>52.724840228616593</v>
      </c>
      <c r="U4430" s="9">
        <v>59.472638024172305</v>
      </c>
      <c r="V4430" s="9">
        <v>59.472638024172305</v>
      </c>
      <c r="W4430" s="9">
        <v>59.472638024172305</v>
      </c>
      <c r="X4430" s="9">
        <v>72.142723701589546</v>
      </c>
      <c r="Y4430" s="9">
        <v>72.142723701589546</v>
      </c>
      <c r="Z4430" s="9">
        <v>81.509458318176925</v>
      </c>
      <c r="AA4430" s="9">
        <v>81.509458318176925</v>
      </c>
      <c r="AB4430" s="9">
        <v>89.863972899994664</v>
      </c>
      <c r="AC4430" s="9">
        <v>89.863972899994664</v>
      </c>
      <c r="AD4430" s="9">
        <v>98.618648314994076</v>
      </c>
      <c r="AE4430" s="9">
        <v>108.72378502149357</v>
      </c>
      <c r="AF4430" s="9">
        <v>120.36692993447016</v>
      </c>
      <c r="AG4430" s="9">
        <v>120.36692993447016</v>
      </c>
      <c r="AH4430" s="9">
        <v>131.35112917791719</v>
      </c>
      <c r="AI4430" s="9">
        <v>142.33181861642981</v>
      </c>
      <c r="AJ4430" s="9">
        <v>3.0428788910505911</v>
      </c>
    </row>
    <row r="4431" spans="1:36" x14ac:dyDescent="0.25">
      <c r="A4431" t="s">
        <v>5411</v>
      </c>
      <c r="B4431" t="s">
        <v>16</v>
      </c>
      <c r="C4431" t="s">
        <v>17</v>
      </c>
      <c r="D4431">
        <v>77735000</v>
      </c>
      <c r="E4431">
        <v>77739999</v>
      </c>
      <c r="F4431" t="s">
        <v>4035</v>
      </c>
      <c r="G4431" t="str">
        <f t="shared" si="138"/>
        <v>TOR</v>
      </c>
      <c r="H4431" t="s">
        <v>3952</v>
      </c>
      <c r="I4431" t="s">
        <v>20</v>
      </c>
      <c r="J4431" t="s">
        <v>77</v>
      </c>
      <c r="K4431" s="6">
        <v>0.03</v>
      </c>
      <c r="L4431" s="7">
        <f t="shared" si="139"/>
        <v>2E-3</v>
      </c>
      <c r="M4431" s="7">
        <v>3.0000000000000001E-3</v>
      </c>
      <c r="N4431">
        <v>17</v>
      </c>
      <c r="O4431" s="8">
        <v>49.365095147237867</v>
      </c>
      <c r="P4431" s="9">
        <v>49.365095147237867</v>
      </c>
      <c r="Q4431" s="9">
        <v>49.365095147237867</v>
      </c>
      <c r="R4431" s="9">
        <v>50.770888721957412</v>
      </c>
      <c r="S4431" s="9">
        <v>52.200434315108524</v>
      </c>
      <c r="T4431" s="9">
        <v>52.724840228616593</v>
      </c>
      <c r="U4431" s="9">
        <v>59.472638024172305</v>
      </c>
      <c r="V4431" s="9">
        <v>59.472638024172305</v>
      </c>
      <c r="W4431" s="9">
        <v>59.472638024172305</v>
      </c>
      <c r="X4431" s="9">
        <v>72.142723701589546</v>
      </c>
      <c r="Y4431" s="9">
        <v>72.142723701589546</v>
      </c>
      <c r="Z4431" s="9">
        <v>81.509458318176925</v>
      </c>
      <c r="AA4431" s="9">
        <v>81.509458318176925</v>
      </c>
      <c r="AB4431" s="9">
        <v>89.863972899994664</v>
      </c>
      <c r="AC4431" s="9">
        <v>89.863972899994664</v>
      </c>
      <c r="AD4431" s="9">
        <v>98.618648314994076</v>
      </c>
      <c r="AE4431" s="9">
        <v>108.72378502149357</v>
      </c>
      <c r="AF4431" s="9">
        <v>120.36692993447016</v>
      </c>
      <c r="AG4431" s="9">
        <v>120.36692993447016</v>
      </c>
      <c r="AH4431" s="9">
        <v>131.35112917791719</v>
      </c>
      <c r="AI4431" s="9">
        <v>142.33181861642981</v>
      </c>
      <c r="AJ4431" s="9">
        <v>3.0428788910505911</v>
      </c>
    </row>
    <row r="4432" spans="1:36" x14ac:dyDescent="0.25">
      <c r="A4432" t="s">
        <v>5411</v>
      </c>
      <c r="B4432" t="s">
        <v>16</v>
      </c>
      <c r="C4432" t="s">
        <v>17</v>
      </c>
      <c r="D4432">
        <v>77740000</v>
      </c>
      <c r="E4432">
        <v>77742999</v>
      </c>
      <c r="F4432" t="s">
        <v>4036</v>
      </c>
      <c r="G4432" t="str">
        <f t="shared" si="138"/>
        <v>TOR</v>
      </c>
      <c r="H4432" t="s">
        <v>3952</v>
      </c>
      <c r="I4432" t="s">
        <v>20</v>
      </c>
      <c r="J4432" t="s">
        <v>77</v>
      </c>
      <c r="K4432" s="6">
        <v>0.03</v>
      </c>
      <c r="L4432" s="7">
        <f t="shared" si="139"/>
        <v>2E-3</v>
      </c>
      <c r="M4432" s="7">
        <v>3.0000000000000001E-3</v>
      </c>
      <c r="N4432">
        <v>17</v>
      </c>
      <c r="O4432" s="8">
        <v>49.365095147237867</v>
      </c>
      <c r="P4432" s="9">
        <v>49.365095147237867</v>
      </c>
      <c r="Q4432" s="9">
        <v>49.365095147237867</v>
      </c>
      <c r="R4432" s="9">
        <v>50.770888721957412</v>
      </c>
      <c r="S4432" s="9">
        <v>52.200434315108524</v>
      </c>
      <c r="T4432" s="9">
        <v>52.724840228616593</v>
      </c>
      <c r="U4432" s="9">
        <v>59.472638024172305</v>
      </c>
      <c r="V4432" s="9">
        <v>59.472638024172305</v>
      </c>
      <c r="W4432" s="9">
        <v>59.472638024172305</v>
      </c>
      <c r="X4432" s="9">
        <v>72.142723701589546</v>
      </c>
      <c r="Y4432" s="9">
        <v>72.142723701589546</v>
      </c>
      <c r="Z4432" s="9">
        <v>81.509458318176925</v>
      </c>
      <c r="AA4432" s="9">
        <v>81.509458318176925</v>
      </c>
      <c r="AB4432" s="9">
        <v>89.863972899994664</v>
      </c>
      <c r="AC4432" s="9">
        <v>89.863972899994664</v>
      </c>
      <c r="AD4432" s="9">
        <v>98.618648314994076</v>
      </c>
      <c r="AE4432" s="9">
        <v>108.72378502149357</v>
      </c>
      <c r="AF4432" s="9">
        <v>120.36692993447016</v>
      </c>
      <c r="AG4432" s="9">
        <v>120.36692993447016</v>
      </c>
      <c r="AH4432" s="9">
        <v>131.35112917791719</v>
      </c>
      <c r="AI4432" s="9">
        <v>142.33181861642981</v>
      </c>
      <c r="AJ4432" s="9">
        <v>3.0428788910505911</v>
      </c>
    </row>
    <row r="4433" spans="1:36" x14ac:dyDescent="0.25">
      <c r="A4433" t="s">
        <v>5411</v>
      </c>
      <c r="B4433" t="s">
        <v>16</v>
      </c>
      <c r="C4433" t="s">
        <v>17</v>
      </c>
      <c r="D4433">
        <v>77743000</v>
      </c>
      <c r="E4433">
        <v>77744999</v>
      </c>
      <c r="F4433" t="s">
        <v>4037</v>
      </c>
      <c r="G4433" t="str">
        <f t="shared" si="138"/>
        <v>TOR</v>
      </c>
      <c r="H4433" t="s">
        <v>3952</v>
      </c>
      <c r="I4433" t="s">
        <v>20</v>
      </c>
      <c r="J4433" t="s">
        <v>77</v>
      </c>
      <c r="K4433" s="6">
        <v>0.03</v>
      </c>
      <c r="L4433" s="7">
        <f t="shared" si="139"/>
        <v>2E-3</v>
      </c>
      <c r="M4433" s="7">
        <v>3.0000000000000001E-3</v>
      </c>
      <c r="N4433">
        <v>17</v>
      </c>
      <c r="O4433" s="8">
        <v>49.365095147237867</v>
      </c>
      <c r="P4433" s="9">
        <v>49.365095147237867</v>
      </c>
      <c r="Q4433" s="9">
        <v>49.365095147237867</v>
      </c>
      <c r="R4433" s="9">
        <v>50.770888721957412</v>
      </c>
      <c r="S4433" s="9">
        <v>52.200434315108524</v>
      </c>
      <c r="T4433" s="9">
        <v>52.724840228616593</v>
      </c>
      <c r="U4433" s="9">
        <v>59.472638024172305</v>
      </c>
      <c r="V4433" s="9">
        <v>59.472638024172305</v>
      </c>
      <c r="W4433" s="9">
        <v>59.472638024172305</v>
      </c>
      <c r="X4433" s="9">
        <v>72.142723701589546</v>
      </c>
      <c r="Y4433" s="9">
        <v>72.142723701589546</v>
      </c>
      <c r="Z4433" s="9">
        <v>81.509458318176925</v>
      </c>
      <c r="AA4433" s="9">
        <v>81.509458318176925</v>
      </c>
      <c r="AB4433" s="9">
        <v>89.863972899994664</v>
      </c>
      <c r="AC4433" s="9">
        <v>89.863972899994664</v>
      </c>
      <c r="AD4433" s="9">
        <v>98.618648314994076</v>
      </c>
      <c r="AE4433" s="9">
        <v>108.72378502149357</v>
      </c>
      <c r="AF4433" s="9">
        <v>120.36692993447016</v>
      </c>
      <c r="AG4433" s="9">
        <v>120.36692993447016</v>
      </c>
      <c r="AH4433" s="9">
        <v>131.35112917791719</v>
      </c>
      <c r="AI4433" s="9">
        <v>142.33181861642981</v>
      </c>
      <c r="AJ4433" s="9">
        <v>3.0428788910505911</v>
      </c>
    </row>
    <row r="4434" spans="1:36" x14ac:dyDescent="0.25">
      <c r="A4434" t="s">
        <v>5411</v>
      </c>
      <c r="B4434" t="s">
        <v>16</v>
      </c>
      <c r="C4434" t="s">
        <v>17</v>
      </c>
      <c r="D4434">
        <v>77745000</v>
      </c>
      <c r="E4434">
        <v>77749999</v>
      </c>
      <c r="F4434" t="s">
        <v>791</v>
      </c>
      <c r="G4434" t="str">
        <f t="shared" si="138"/>
        <v>TOR</v>
      </c>
      <c r="H4434" t="s">
        <v>3952</v>
      </c>
      <c r="I4434" t="s">
        <v>20</v>
      </c>
      <c r="J4434" t="s">
        <v>77</v>
      </c>
      <c r="K4434" s="6">
        <v>0.03</v>
      </c>
      <c r="L4434" s="7">
        <f t="shared" si="139"/>
        <v>2E-3</v>
      </c>
      <c r="M4434" s="7">
        <v>3.0000000000000001E-3</v>
      </c>
      <c r="N4434">
        <v>17</v>
      </c>
      <c r="O4434" s="8">
        <v>49.365095147237867</v>
      </c>
      <c r="P4434" s="9">
        <v>49.365095147237867</v>
      </c>
      <c r="Q4434" s="9">
        <v>49.365095147237867</v>
      </c>
      <c r="R4434" s="9">
        <v>50.770888721957412</v>
      </c>
      <c r="S4434" s="9">
        <v>52.200434315108524</v>
      </c>
      <c r="T4434" s="9">
        <v>52.724840228616593</v>
      </c>
      <c r="U4434" s="9">
        <v>59.472638024172305</v>
      </c>
      <c r="V4434" s="9">
        <v>59.472638024172305</v>
      </c>
      <c r="W4434" s="9">
        <v>59.472638024172305</v>
      </c>
      <c r="X4434" s="9">
        <v>72.142723701589546</v>
      </c>
      <c r="Y4434" s="9">
        <v>72.142723701589546</v>
      </c>
      <c r="Z4434" s="9">
        <v>81.509458318176925</v>
      </c>
      <c r="AA4434" s="9">
        <v>81.509458318176925</v>
      </c>
      <c r="AB4434" s="9">
        <v>89.863972899994664</v>
      </c>
      <c r="AC4434" s="9">
        <v>89.863972899994664</v>
      </c>
      <c r="AD4434" s="9">
        <v>98.618648314994076</v>
      </c>
      <c r="AE4434" s="9">
        <v>108.72378502149357</v>
      </c>
      <c r="AF4434" s="9">
        <v>120.36692993447016</v>
      </c>
      <c r="AG4434" s="9">
        <v>120.36692993447016</v>
      </c>
      <c r="AH4434" s="9">
        <v>131.35112917791719</v>
      </c>
      <c r="AI4434" s="9">
        <v>142.33181861642981</v>
      </c>
      <c r="AJ4434" s="9">
        <v>3.0428788910505911</v>
      </c>
    </row>
    <row r="4435" spans="1:36" x14ac:dyDescent="0.25">
      <c r="A4435" t="s">
        <v>5411</v>
      </c>
      <c r="B4435" t="s">
        <v>16</v>
      </c>
      <c r="C4435" t="s">
        <v>17</v>
      </c>
      <c r="D4435">
        <v>77750000</v>
      </c>
      <c r="E4435">
        <v>77752999</v>
      </c>
      <c r="F4435" t="s">
        <v>4038</v>
      </c>
      <c r="G4435" t="str">
        <f t="shared" si="138"/>
        <v>TOR</v>
      </c>
      <c r="H4435" t="s">
        <v>3952</v>
      </c>
      <c r="I4435" t="s">
        <v>20</v>
      </c>
      <c r="J4435" t="s">
        <v>77</v>
      </c>
      <c r="K4435" s="6">
        <v>0.03</v>
      </c>
      <c r="L4435" s="7">
        <f t="shared" si="139"/>
        <v>2E-3</v>
      </c>
      <c r="M4435" s="7">
        <v>3.0000000000000001E-3</v>
      </c>
      <c r="N4435">
        <v>17</v>
      </c>
      <c r="O4435" s="8">
        <v>49.365095147237867</v>
      </c>
      <c r="P4435" s="9">
        <v>49.365095147237867</v>
      </c>
      <c r="Q4435" s="9">
        <v>49.365095147237867</v>
      </c>
      <c r="R4435" s="9">
        <v>50.770888721957412</v>
      </c>
      <c r="S4435" s="9">
        <v>52.200434315108524</v>
      </c>
      <c r="T4435" s="9">
        <v>52.724840228616593</v>
      </c>
      <c r="U4435" s="9">
        <v>59.472638024172305</v>
      </c>
      <c r="V4435" s="9">
        <v>59.472638024172305</v>
      </c>
      <c r="W4435" s="9">
        <v>59.472638024172305</v>
      </c>
      <c r="X4435" s="9">
        <v>72.142723701589546</v>
      </c>
      <c r="Y4435" s="9">
        <v>72.142723701589546</v>
      </c>
      <c r="Z4435" s="9">
        <v>81.509458318176925</v>
      </c>
      <c r="AA4435" s="9">
        <v>81.509458318176925</v>
      </c>
      <c r="AB4435" s="9">
        <v>89.863972899994664</v>
      </c>
      <c r="AC4435" s="9">
        <v>89.863972899994664</v>
      </c>
      <c r="AD4435" s="9">
        <v>98.618648314994076</v>
      </c>
      <c r="AE4435" s="9">
        <v>108.72378502149357</v>
      </c>
      <c r="AF4435" s="9">
        <v>120.36692993447016</v>
      </c>
      <c r="AG4435" s="9">
        <v>120.36692993447016</v>
      </c>
      <c r="AH4435" s="9">
        <v>131.35112917791719</v>
      </c>
      <c r="AI4435" s="9">
        <v>142.33181861642981</v>
      </c>
      <c r="AJ4435" s="9">
        <v>3.0428788910505911</v>
      </c>
    </row>
    <row r="4436" spans="1:36" x14ac:dyDescent="0.25">
      <c r="A4436" t="s">
        <v>5411</v>
      </c>
      <c r="B4436" t="s">
        <v>16</v>
      </c>
      <c r="C4436" t="s">
        <v>17</v>
      </c>
      <c r="D4436">
        <v>77753000</v>
      </c>
      <c r="E4436">
        <v>77754999</v>
      </c>
      <c r="F4436" t="s">
        <v>4039</v>
      </c>
      <c r="G4436" t="str">
        <f t="shared" si="138"/>
        <v>TOR</v>
      </c>
      <c r="H4436" t="s">
        <v>3952</v>
      </c>
      <c r="I4436" t="s">
        <v>20</v>
      </c>
      <c r="J4436" t="s">
        <v>77</v>
      </c>
      <c r="K4436" s="6">
        <v>0.03</v>
      </c>
      <c r="L4436" s="7">
        <f t="shared" si="139"/>
        <v>2E-3</v>
      </c>
      <c r="M4436" s="7">
        <v>3.0000000000000001E-3</v>
      </c>
      <c r="N4436">
        <v>17</v>
      </c>
      <c r="O4436" s="8">
        <v>49.365095147237867</v>
      </c>
      <c r="P4436" s="9">
        <v>49.365095147237867</v>
      </c>
      <c r="Q4436" s="9">
        <v>49.365095147237867</v>
      </c>
      <c r="R4436" s="9">
        <v>50.770888721957412</v>
      </c>
      <c r="S4436" s="9">
        <v>52.200434315108524</v>
      </c>
      <c r="T4436" s="9">
        <v>52.724840228616593</v>
      </c>
      <c r="U4436" s="9">
        <v>59.472638024172305</v>
      </c>
      <c r="V4436" s="9">
        <v>59.472638024172305</v>
      </c>
      <c r="W4436" s="9">
        <v>59.472638024172305</v>
      </c>
      <c r="X4436" s="9">
        <v>72.142723701589546</v>
      </c>
      <c r="Y4436" s="9">
        <v>72.142723701589546</v>
      </c>
      <c r="Z4436" s="9">
        <v>81.509458318176925</v>
      </c>
      <c r="AA4436" s="9">
        <v>81.509458318176925</v>
      </c>
      <c r="AB4436" s="9">
        <v>89.863972899994664</v>
      </c>
      <c r="AC4436" s="9">
        <v>89.863972899994664</v>
      </c>
      <c r="AD4436" s="9">
        <v>98.618648314994076</v>
      </c>
      <c r="AE4436" s="9">
        <v>108.72378502149357</v>
      </c>
      <c r="AF4436" s="9">
        <v>120.36692993447016</v>
      </c>
      <c r="AG4436" s="9">
        <v>120.36692993447016</v>
      </c>
      <c r="AH4436" s="9">
        <v>131.35112917791719</v>
      </c>
      <c r="AI4436" s="9">
        <v>142.33181861642981</v>
      </c>
      <c r="AJ4436" s="9">
        <v>3.0428788910505911</v>
      </c>
    </row>
    <row r="4437" spans="1:36" x14ac:dyDescent="0.25">
      <c r="A4437" t="s">
        <v>5411</v>
      </c>
      <c r="B4437" t="s">
        <v>16</v>
      </c>
      <c r="C4437" t="s">
        <v>17</v>
      </c>
      <c r="D4437">
        <v>77755000</v>
      </c>
      <c r="E4437">
        <v>77759999</v>
      </c>
      <c r="F4437" t="s">
        <v>4040</v>
      </c>
      <c r="G4437" t="str">
        <f t="shared" si="138"/>
        <v>TOR</v>
      </c>
      <c r="H4437" t="s">
        <v>3952</v>
      </c>
      <c r="I4437" t="s">
        <v>20</v>
      </c>
      <c r="J4437" t="s">
        <v>77</v>
      </c>
      <c r="K4437" s="6">
        <v>0.03</v>
      </c>
      <c r="L4437" s="7">
        <f t="shared" si="139"/>
        <v>2E-3</v>
      </c>
      <c r="M4437" s="7">
        <v>3.0000000000000001E-3</v>
      </c>
      <c r="N4437">
        <v>17</v>
      </c>
      <c r="O4437" s="8">
        <v>49.365095147237867</v>
      </c>
      <c r="P4437" s="9">
        <v>49.365095147237867</v>
      </c>
      <c r="Q4437" s="9">
        <v>49.365095147237867</v>
      </c>
      <c r="R4437" s="9">
        <v>50.770888721957412</v>
      </c>
      <c r="S4437" s="9">
        <v>52.200434315108524</v>
      </c>
      <c r="T4437" s="9">
        <v>52.724840228616593</v>
      </c>
      <c r="U4437" s="9">
        <v>59.472638024172305</v>
      </c>
      <c r="V4437" s="9">
        <v>59.472638024172305</v>
      </c>
      <c r="W4437" s="9">
        <v>59.472638024172305</v>
      </c>
      <c r="X4437" s="9">
        <v>72.142723701589546</v>
      </c>
      <c r="Y4437" s="9">
        <v>72.142723701589546</v>
      </c>
      <c r="Z4437" s="9">
        <v>81.509458318176925</v>
      </c>
      <c r="AA4437" s="9">
        <v>81.509458318176925</v>
      </c>
      <c r="AB4437" s="9">
        <v>89.863972899994664</v>
      </c>
      <c r="AC4437" s="9">
        <v>89.863972899994664</v>
      </c>
      <c r="AD4437" s="9">
        <v>98.618648314994076</v>
      </c>
      <c r="AE4437" s="9">
        <v>108.72378502149357</v>
      </c>
      <c r="AF4437" s="9">
        <v>120.36692993447016</v>
      </c>
      <c r="AG4437" s="9">
        <v>120.36692993447016</v>
      </c>
      <c r="AH4437" s="9">
        <v>131.35112917791719</v>
      </c>
      <c r="AI4437" s="9">
        <v>142.33181861642981</v>
      </c>
      <c r="AJ4437" s="9">
        <v>3.0428788910505911</v>
      </c>
    </row>
    <row r="4438" spans="1:36" x14ac:dyDescent="0.25">
      <c r="A4438" t="s">
        <v>5411</v>
      </c>
      <c r="B4438" t="s">
        <v>16</v>
      </c>
      <c r="C4438" t="s">
        <v>17</v>
      </c>
      <c r="D4438">
        <v>77760000</v>
      </c>
      <c r="E4438">
        <v>77764999</v>
      </c>
      <c r="F4438" t="s">
        <v>4041</v>
      </c>
      <c r="G4438" t="str">
        <f t="shared" si="138"/>
        <v>TOR</v>
      </c>
      <c r="H4438" t="s">
        <v>3952</v>
      </c>
      <c r="I4438" t="s">
        <v>20</v>
      </c>
      <c r="J4438" t="s">
        <v>77</v>
      </c>
      <c r="K4438" s="6">
        <v>0.03</v>
      </c>
      <c r="L4438" s="7">
        <f t="shared" si="139"/>
        <v>2E-3</v>
      </c>
      <c r="M4438" s="7">
        <v>3.0000000000000001E-3</v>
      </c>
      <c r="N4438">
        <v>17</v>
      </c>
      <c r="O4438" s="8">
        <v>49.365095147237867</v>
      </c>
      <c r="P4438" s="9">
        <v>49.365095147237867</v>
      </c>
      <c r="Q4438" s="9">
        <v>49.365095147237867</v>
      </c>
      <c r="R4438" s="9">
        <v>50.770888721957412</v>
      </c>
      <c r="S4438" s="9">
        <v>52.200434315108524</v>
      </c>
      <c r="T4438" s="9">
        <v>52.724840228616593</v>
      </c>
      <c r="U4438" s="9">
        <v>59.472638024172305</v>
      </c>
      <c r="V4438" s="9">
        <v>59.472638024172305</v>
      </c>
      <c r="W4438" s="9">
        <v>59.472638024172305</v>
      </c>
      <c r="X4438" s="9">
        <v>72.142723701589546</v>
      </c>
      <c r="Y4438" s="9">
        <v>72.142723701589546</v>
      </c>
      <c r="Z4438" s="9">
        <v>81.509458318176925</v>
      </c>
      <c r="AA4438" s="9">
        <v>81.509458318176925</v>
      </c>
      <c r="AB4438" s="9">
        <v>89.863972899994664</v>
      </c>
      <c r="AC4438" s="9">
        <v>89.863972899994664</v>
      </c>
      <c r="AD4438" s="9">
        <v>98.618648314994076</v>
      </c>
      <c r="AE4438" s="9">
        <v>108.72378502149357</v>
      </c>
      <c r="AF4438" s="9">
        <v>120.36692993447016</v>
      </c>
      <c r="AG4438" s="9">
        <v>120.36692993447016</v>
      </c>
      <c r="AH4438" s="9">
        <v>131.35112917791719</v>
      </c>
      <c r="AI4438" s="9">
        <v>142.33181861642981</v>
      </c>
      <c r="AJ4438" s="9">
        <v>3.0428788910505911</v>
      </c>
    </row>
    <row r="4439" spans="1:36" x14ac:dyDescent="0.25">
      <c r="A4439" t="s">
        <v>5411</v>
      </c>
      <c r="B4439" t="s">
        <v>16</v>
      </c>
      <c r="C4439" t="s">
        <v>17</v>
      </c>
      <c r="D4439">
        <v>77765000</v>
      </c>
      <c r="E4439">
        <v>77769999</v>
      </c>
      <c r="F4439" t="s">
        <v>4042</v>
      </c>
      <c r="G4439" t="str">
        <f t="shared" si="138"/>
        <v>TOR</v>
      </c>
      <c r="H4439" t="s">
        <v>3952</v>
      </c>
      <c r="I4439" t="s">
        <v>20</v>
      </c>
      <c r="J4439" t="s">
        <v>77</v>
      </c>
      <c r="K4439" s="6">
        <v>0.03</v>
      </c>
      <c r="L4439" s="7">
        <f t="shared" si="139"/>
        <v>2E-3</v>
      </c>
      <c r="M4439" s="7">
        <v>3.0000000000000001E-3</v>
      </c>
      <c r="N4439">
        <v>17</v>
      </c>
      <c r="O4439" s="8">
        <v>49.365095147237867</v>
      </c>
      <c r="P4439" s="9">
        <v>49.365095147237867</v>
      </c>
      <c r="Q4439" s="9">
        <v>49.365095147237867</v>
      </c>
      <c r="R4439" s="9">
        <v>50.770888721957412</v>
      </c>
      <c r="S4439" s="9">
        <v>52.200434315108524</v>
      </c>
      <c r="T4439" s="9">
        <v>52.724840228616593</v>
      </c>
      <c r="U4439" s="9">
        <v>59.472638024172305</v>
      </c>
      <c r="V4439" s="9">
        <v>59.472638024172305</v>
      </c>
      <c r="W4439" s="9">
        <v>59.472638024172305</v>
      </c>
      <c r="X4439" s="9">
        <v>72.142723701589546</v>
      </c>
      <c r="Y4439" s="9">
        <v>72.142723701589546</v>
      </c>
      <c r="Z4439" s="9">
        <v>81.509458318176925</v>
      </c>
      <c r="AA4439" s="9">
        <v>81.509458318176925</v>
      </c>
      <c r="AB4439" s="9">
        <v>89.863972899994664</v>
      </c>
      <c r="AC4439" s="9">
        <v>89.863972899994664</v>
      </c>
      <c r="AD4439" s="9">
        <v>98.618648314994076</v>
      </c>
      <c r="AE4439" s="9">
        <v>108.72378502149357</v>
      </c>
      <c r="AF4439" s="9">
        <v>120.36692993447016</v>
      </c>
      <c r="AG4439" s="9">
        <v>120.36692993447016</v>
      </c>
      <c r="AH4439" s="9">
        <v>131.35112917791719</v>
      </c>
      <c r="AI4439" s="9">
        <v>142.33181861642981</v>
      </c>
      <c r="AJ4439" s="9">
        <v>3.0428788910505911</v>
      </c>
    </row>
    <row r="4440" spans="1:36" x14ac:dyDescent="0.25">
      <c r="A4440" t="s">
        <v>5411</v>
      </c>
      <c r="B4440" t="s">
        <v>16</v>
      </c>
      <c r="C4440" t="s">
        <v>17</v>
      </c>
      <c r="D4440">
        <v>77770000</v>
      </c>
      <c r="E4440">
        <v>77776999</v>
      </c>
      <c r="F4440" t="s">
        <v>4043</v>
      </c>
      <c r="G4440" t="str">
        <f t="shared" si="138"/>
        <v>TOR</v>
      </c>
      <c r="H4440" t="s">
        <v>3952</v>
      </c>
      <c r="I4440" t="s">
        <v>20</v>
      </c>
      <c r="J4440" t="s">
        <v>77</v>
      </c>
      <c r="K4440" s="6">
        <v>0.03</v>
      </c>
      <c r="L4440" s="7">
        <f t="shared" si="139"/>
        <v>2E-3</v>
      </c>
      <c r="M4440" s="7">
        <v>3.0000000000000001E-3</v>
      </c>
      <c r="N4440">
        <v>17</v>
      </c>
      <c r="O4440" s="8">
        <v>49.365095147237867</v>
      </c>
      <c r="P4440" s="9">
        <v>49.365095147237867</v>
      </c>
      <c r="Q4440" s="9">
        <v>49.365095147237867</v>
      </c>
      <c r="R4440" s="9">
        <v>50.770888721957412</v>
      </c>
      <c r="S4440" s="9">
        <v>52.200434315108524</v>
      </c>
      <c r="T4440" s="9">
        <v>52.724840228616593</v>
      </c>
      <c r="U4440" s="9">
        <v>59.472638024172305</v>
      </c>
      <c r="V4440" s="9">
        <v>59.472638024172305</v>
      </c>
      <c r="W4440" s="9">
        <v>59.472638024172305</v>
      </c>
      <c r="X4440" s="9">
        <v>72.142723701589546</v>
      </c>
      <c r="Y4440" s="9">
        <v>72.142723701589546</v>
      </c>
      <c r="Z4440" s="9">
        <v>81.509458318176925</v>
      </c>
      <c r="AA4440" s="9">
        <v>81.509458318176925</v>
      </c>
      <c r="AB4440" s="9">
        <v>89.863972899994664</v>
      </c>
      <c r="AC4440" s="9">
        <v>89.863972899994664</v>
      </c>
      <c r="AD4440" s="9">
        <v>98.618648314994076</v>
      </c>
      <c r="AE4440" s="9">
        <v>108.72378502149357</v>
      </c>
      <c r="AF4440" s="9">
        <v>120.36692993447016</v>
      </c>
      <c r="AG4440" s="9">
        <v>120.36692993447016</v>
      </c>
      <c r="AH4440" s="9">
        <v>131.35112917791719</v>
      </c>
      <c r="AI4440" s="9">
        <v>142.33181861642981</v>
      </c>
      <c r="AJ4440" s="9">
        <v>3.0428788910505911</v>
      </c>
    </row>
    <row r="4441" spans="1:36" x14ac:dyDescent="0.25">
      <c r="A4441" t="s">
        <v>5411</v>
      </c>
      <c r="B4441" t="s">
        <v>16</v>
      </c>
      <c r="C4441" t="s">
        <v>17</v>
      </c>
      <c r="D4441">
        <v>77777000</v>
      </c>
      <c r="E4441">
        <v>77779999</v>
      </c>
      <c r="F4441" t="s">
        <v>4044</v>
      </c>
      <c r="G4441" t="str">
        <f t="shared" si="138"/>
        <v>TOR</v>
      </c>
      <c r="H4441" t="s">
        <v>3952</v>
      </c>
      <c r="I4441" t="s">
        <v>20</v>
      </c>
      <c r="J4441" t="s">
        <v>77</v>
      </c>
      <c r="K4441" s="6">
        <v>0.03</v>
      </c>
      <c r="L4441" s="7">
        <f t="shared" si="139"/>
        <v>2E-3</v>
      </c>
      <c r="M4441" s="7">
        <v>3.0000000000000001E-3</v>
      </c>
      <c r="N4441">
        <v>17</v>
      </c>
      <c r="O4441" s="8">
        <v>49.365095147237867</v>
      </c>
      <c r="P4441" s="9">
        <v>49.365095147237867</v>
      </c>
      <c r="Q4441" s="9">
        <v>49.365095147237867</v>
      </c>
      <c r="R4441" s="9">
        <v>50.770888721957412</v>
      </c>
      <c r="S4441" s="9">
        <v>52.200434315108524</v>
      </c>
      <c r="T4441" s="9">
        <v>52.724840228616593</v>
      </c>
      <c r="U4441" s="9">
        <v>59.472638024172305</v>
      </c>
      <c r="V4441" s="9">
        <v>59.472638024172305</v>
      </c>
      <c r="W4441" s="9">
        <v>59.472638024172305</v>
      </c>
      <c r="X4441" s="9">
        <v>72.142723701589546</v>
      </c>
      <c r="Y4441" s="9">
        <v>72.142723701589546</v>
      </c>
      <c r="Z4441" s="9">
        <v>81.509458318176925</v>
      </c>
      <c r="AA4441" s="9">
        <v>81.509458318176925</v>
      </c>
      <c r="AB4441" s="9">
        <v>89.863972899994664</v>
      </c>
      <c r="AC4441" s="9">
        <v>89.863972899994664</v>
      </c>
      <c r="AD4441" s="9">
        <v>98.618648314994076</v>
      </c>
      <c r="AE4441" s="9">
        <v>108.72378502149357</v>
      </c>
      <c r="AF4441" s="9">
        <v>120.36692993447016</v>
      </c>
      <c r="AG4441" s="9">
        <v>120.36692993447016</v>
      </c>
      <c r="AH4441" s="9">
        <v>131.35112917791719</v>
      </c>
      <c r="AI4441" s="9">
        <v>142.33181861642981</v>
      </c>
      <c r="AJ4441" s="9">
        <v>3.0428788910505911</v>
      </c>
    </row>
    <row r="4442" spans="1:36" x14ac:dyDescent="0.25">
      <c r="A4442" t="s">
        <v>5411</v>
      </c>
      <c r="B4442" t="s">
        <v>16</v>
      </c>
      <c r="C4442" t="s">
        <v>17</v>
      </c>
      <c r="D4442">
        <v>77780000</v>
      </c>
      <c r="E4442">
        <v>77782999</v>
      </c>
      <c r="F4442" t="s">
        <v>4045</v>
      </c>
      <c r="G4442" t="str">
        <f t="shared" si="138"/>
        <v>TOR</v>
      </c>
      <c r="H4442" t="s">
        <v>3952</v>
      </c>
      <c r="I4442" t="s">
        <v>20</v>
      </c>
      <c r="J4442" t="s">
        <v>77</v>
      </c>
      <c r="K4442" s="6">
        <v>0.03</v>
      </c>
      <c r="L4442" s="7">
        <f t="shared" si="139"/>
        <v>2E-3</v>
      </c>
      <c r="M4442" s="7">
        <v>3.0000000000000001E-3</v>
      </c>
      <c r="N4442">
        <v>17</v>
      </c>
      <c r="O4442" s="8">
        <v>49.365095147237867</v>
      </c>
      <c r="P4442" s="9">
        <v>49.365095147237867</v>
      </c>
      <c r="Q4442" s="9">
        <v>49.365095147237867</v>
      </c>
      <c r="R4442" s="9">
        <v>50.770888721957412</v>
      </c>
      <c r="S4442" s="9">
        <v>52.200434315108524</v>
      </c>
      <c r="T4442" s="9">
        <v>52.724840228616593</v>
      </c>
      <c r="U4442" s="9">
        <v>59.472638024172305</v>
      </c>
      <c r="V4442" s="9">
        <v>59.472638024172305</v>
      </c>
      <c r="W4442" s="9">
        <v>59.472638024172305</v>
      </c>
      <c r="X4442" s="9">
        <v>72.142723701589546</v>
      </c>
      <c r="Y4442" s="9">
        <v>72.142723701589546</v>
      </c>
      <c r="Z4442" s="9">
        <v>81.509458318176925</v>
      </c>
      <c r="AA4442" s="9">
        <v>81.509458318176925</v>
      </c>
      <c r="AB4442" s="9">
        <v>89.863972899994664</v>
      </c>
      <c r="AC4442" s="9">
        <v>89.863972899994664</v>
      </c>
      <c r="AD4442" s="9">
        <v>98.618648314994076</v>
      </c>
      <c r="AE4442" s="9">
        <v>108.72378502149357</v>
      </c>
      <c r="AF4442" s="9">
        <v>120.36692993447016</v>
      </c>
      <c r="AG4442" s="9">
        <v>120.36692993447016</v>
      </c>
      <c r="AH4442" s="9">
        <v>131.35112917791719</v>
      </c>
      <c r="AI4442" s="9">
        <v>142.33181861642981</v>
      </c>
      <c r="AJ4442" s="9">
        <v>3.0428788910505911</v>
      </c>
    </row>
    <row r="4443" spans="1:36" x14ac:dyDescent="0.25">
      <c r="A4443" t="s">
        <v>5411</v>
      </c>
      <c r="B4443" t="s">
        <v>16</v>
      </c>
      <c r="C4443" t="s">
        <v>17</v>
      </c>
      <c r="D4443">
        <v>77783000</v>
      </c>
      <c r="E4443">
        <v>77784999</v>
      </c>
      <c r="F4443" t="s">
        <v>4046</v>
      </c>
      <c r="G4443" t="str">
        <f t="shared" si="138"/>
        <v>TOR</v>
      </c>
      <c r="H4443" t="s">
        <v>3952</v>
      </c>
      <c r="I4443" t="s">
        <v>20</v>
      </c>
      <c r="J4443" t="s">
        <v>77</v>
      </c>
      <c r="K4443" s="6">
        <v>0.03</v>
      </c>
      <c r="L4443" s="7">
        <f t="shared" si="139"/>
        <v>2E-3</v>
      </c>
      <c r="M4443" s="7">
        <v>3.0000000000000001E-3</v>
      </c>
      <c r="N4443">
        <v>17</v>
      </c>
      <c r="O4443" s="8">
        <v>49.365095147237867</v>
      </c>
      <c r="P4443" s="9">
        <v>49.365095147237867</v>
      </c>
      <c r="Q4443" s="9">
        <v>49.365095147237867</v>
      </c>
      <c r="R4443" s="9">
        <v>50.770888721957412</v>
      </c>
      <c r="S4443" s="9">
        <v>52.200434315108524</v>
      </c>
      <c r="T4443" s="9">
        <v>52.724840228616593</v>
      </c>
      <c r="U4443" s="9">
        <v>59.472638024172305</v>
      </c>
      <c r="V4443" s="9">
        <v>59.472638024172305</v>
      </c>
      <c r="W4443" s="9">
        <v>59.472638024172305</v>
      </c>
      <c r="X4443" s="9">
        <v>72.142723701589546</v>
      </c>
      <c r="Y4443" s="9">
        <v>72.142723701589546</v>
      </c>
      <c r="Z4443" s="9">
        <v>81.509458318176925</v>
      </c>
      <c r="AA4443" s="9">
        <v>81.509458318176925</v>
      </c>
      <c r="AB4443" s="9">
        <v>89.863972899994664</v>
      </c>
      <c r="AC4443" s="9">
        <v>89.863972899994664</v>
      </c>
      <c r="AD4443" s="9">
        <v>98.618648314994076</v>
      </c>
      <c r="AE4443" s="9">
        <v>108.72378502149357</v>
      </c>
      <c r="AF4443" s="9">
        <v>120.36692993447016</v>
      </c>
      <c r="AG4443" s="9">
        <v>120.36692993447016</v>
      </c>
      <c r="AH4443" s="9">
        <v>131.35112917791719</v>
      </c>
      <c r="AI4443" s="9">
        <v>142.33181861642981</v>
      </c>
      <c r="AJ4443" s="9">
        <v>3.0428788910505911</v>
      </c>
    </row>
    <row r="4444" spans="1:36" x14ac:dyDescent="0.25">
      <c r="A4444" t="s">
        <v>5411</v>
      </c>
      <c r="B4444" t="s">
        <v>16</v>
      </c>
      <c r="C4444" t="s">
        <v>17</v>
      </c>
      <c r="D4444">
        <v>77785000</v>
      </c>
      <c r="E4444">
        <v>77789999</v>
      </c>
      <c r="F4444" t="s">
        <v>3484</v>
      </c>
      <c r="G4444" t="str">
        <f t="shared" si="138"/>
        <v>TOR</v>
      </c>
      <c r="H4444" t="s">
        <v>3952</v>
      </c>
      <c r="I4444" t="s">
        <v>20</v>
      </c>
      <c r="J4444" t="s">
        <v>77</v>
      </c>
      <c r="K4444" s="6">
        <v>0.03</v>
      </c>
      <c r="L4444" s="7">
        <f t="shared" si="139"/>
        <v>2E-3</v>
      </c>
      <c r="M4444" s="7">
        <v>3.0000000000000001E-3</v>
      </c>
      <c r="N4444">
        <v>17</v>
      </c>
      <c r="O4444" s="8">
        <v>49.365095147237867</v>
      </c>
      <c r="P4444" s="9">
        <v>49.365095147237867</v>
      </c>
      <c r="Q4444" s="9">
        <v>49.365095147237867</v>
      </c>
      <c r="R4444" s="9">
        <v>50.770888721957412</v>
      </c>
      <c r="S4444" s="9">
        <v>52.200434315108524</v>
      </c>
      <c r="T4444" s="9">
        <v>52.724840228616593</v>
      </c>
      <c r="U4444" s="9">
        <v>59.472638024172305</v>
      </c>
      <c r="V4444" s="9">
        <v>59.472638024172305</v>
      </c>
      <c r="W4444" s="9">
        <v>59.472638024172305</v>
      </c>
      <c r="X4444" s="9">
        <v>72.142723701589546</v>
      </c>
      <c r="Y4444" s="9">
        <v>72.142723701589546</v>
      </c>
      <c r="Z4444" s="9">
        <v>81.509458318176925</v>
      </c>
      <c r="AA4444" s="9">
        <v>81.509458318176925</v>
      </c>
      <c r="AB4444" s="9">
        <v>89.863972899994664</v>
      </c>
      <c r="AC4444" s="9">
        <v>89.863972899994664</v>
      </c>
      <c r="AD4444" s="9">
        <v>98.618648314994076</v>
      </c>
      <c r="AE4444" s="9">
        <v>108.72378502149357</v>
      </c>
      <c r="AF4444" s="9">
        <v>120.36692993447016</v>
      </c>
      <c r="AG4444" s="9">
        <v>120.36692993447016</v>
      </c>
      <c r="AH4444" s="9">
        <v>131.35112917791719</v>
      </c>
      <c r="AI4444" s="9">
        <v>142.33181861642981</v>
      </c>
      <c r="AJ4444" s="9">
        <v>3.0428788910505911</v>
      </c>
    </row>
    <row r="4445" spans="1:36" x14ac:dyDescent="0.25">
      <c r="A4445" t="s">
        <v>5411</v>
      </c>
      <c r="B4445" t="s">
        <v>16</v>
      </c>
      <c r="C4445" t="s">
        <v>17</v>
      </c>
      <c r="D4445">
        <v>77790000</v>
      </c>
      <c r="E4445">
        <v>77794999</v>
      </c>
      <c r="F4445" t="s">
        <v>2625</v>
      </c>
      <c r="G4445" t="str">
        <f t="shared" si="138"/>
        <v>TOR</v>
      </c>
      <c r="H4445" t="s">
        <v>3952</v>
      </c>
      <c r="I4445" t="s">
        <v>20</v>
      </c>
      <c r="J4445" t="s">
        <v>77</v>
      </c>
      <c r="K4445" s="6">
        <v>0.03</v>
      </c>
      <c r="L4445" s="7">
        <f t="shared" si="139"/>
        <v>2E-3</v>
      </c>
      <c r="M4445" s="7">
        <v>3.0000000000000001E-3</v>
      </c>
      <c r="N4445">
        <v>17</v>
      </c>
      <c r="O4445" s="8">
        <v>49.365095147237867</v>
      </c>
      <c r="P4445" s="9">
        <v>49.365095147237867</v>
      </c>
      <c r="Q4445" s="9">
        <v>49.365095147237867</v>
      </c>
      <c r="R4445" s="9">
        <v>50.770888721957412</v>
      </c>
      <c r="S4445" s="9">
        <v>52.200434315108524</v>
      </c>
      <c r="T4445" s="9">
        <v>52.724840228616593</v>
      </c>
      <c r="U4445" s="9">
        <v>59.472638024172305</v>
      </c>
      <c r="V4445" s="9">
        <v>59.472638024172305</v>
      </c>
      <c r="W4445" s="9">
        <v>59.472638024172305</v>
      </c>
      <c r="X4445" s="9">
        <v>72.142723701589546</v>
      </c>
      <c r="Y4445" s="9">
        <v>72.142723701589546</v>
      </c>
      <c r="Z4445" s="9">
        <v>81.509458318176925</v>
      </c>
      <c r="AA4445" s="9">
        <v>81.509458318176925</v>
      </c>
      <c r="AB4445" s="9">
        <v>89.863972899994664</v>
      </c>
      <c r="AC4445" s="9">
        <v>89.863972899994664</v>
      </c>
      <c r="AD4445" s="9">
        <v>98.618648314994076</v>
      </c>
      <c r="AE4445" s="9">
        <v>108.72378502149357</v>
      </c>
      <c r="AF4445" s="9">
        <v>120.36692993447016</v>
      </c>
      <c r="AG4445" s="9">
        <v>120.36692993447016</v>
      </c>
      <c r="AH4445" s="9">
        <v>131.35112917791719</v>
      </c>
      <c r="AI4445" s="9">
        <v>142.33181861642981</v>
      </c>
      <c r="AJ4445" s="9">
        <v>3.0428788910505911</v>
      </c>
    </row>
    <row r="4446" spans="1:36" x14ac:dyDescent="0.25">
      <c r="A4446" t="s">
        <v>5411</v>
      </c>
      <c r="B4446" t="s">
        <v>16</v>
      </c>
      <c r="C4446" t="s">
        <v>17</v>
      </c>
      <c r="D4446">
        <v>77795000</v>
      </c>
      <c r="E4446">
        <v>77797999</v>
      </c>
      <c r="F4446" t="s">
        <v>1775</v>
      </c>
      <c r="G4446" t="str">
        <f t="shared" si="138"/>
        <v>TOR</v>
      </c>
      <c r="H4446" t="s">
        <v>3952</v>
      </c>
      <c r="I4446" t="s">
        <v>20</v>
      </c>
      <c r="J4446" t="s">
        <v>77</v>
      </c>
      <c r="K4446" s="6">
        <v>0.03</v>
      </c>
      <c r="L4446" s="7">
        <f t="shared" si="139"/>
        <v>2E-3</v>
      </c>
      <c r="M4446" s="7">
        <v>3.0000000000000001E-3</v>
      </c>
      <c r="N4446">
        <v>17</v>
      </c>
      <c r="O4446" s="8">
        <v>49.365095147237867</v>
      </c>
      <c r="P4446" s="9">
        <v>49.365095147237867</v>
      </c>
      <c r="Q4446" s="9">
        <v>49.365095147237867</v>
      </c>
      <c r="R4446" s="9">
        <v>50.770888721957412</v>
      </c>
      <c r="S4446" s="9">
        <v>52.200434315108524</v>
      </c>
      <c r="T4446" s="9">
        <v>52.724840228616593</v>
      </c>
      <c r="U4446" s="9">
        <v>59.472638024172305</v>
      </c>
      <c r="V4446" s="9">
        <v>59.472638024172305</v>
      </c>
      <c r="W4446" s="9">
        <v>59.472638024172305</v>
      </c>
      <c r="X4446" s="9">
        <v>72.142723701589546</v>
      </c>
      <c r="Y4446" s="9">
        <v>72.142723701589546</v>
      </c>
      <c r="Z4446" s="9">
        <v>81.509458318176925</v>
      </c>
      <c r="AA4446" s="9">
        <v>81.509458318176925</v>
      </c>
      <c r="AB4446" s="9">
        <v>89.863972899994664</v>
      </c>
      <c r="AC4446" s="9">
        <v>89.863972899994664</v>
      </c>
      <c r="AD4446" s="9">
        <v>98.618648314994076</v>
      </c>
      <c r="AE4446" s="9">
        <v>108.72378502149357</v>
      </c>
      <c r="AF4446" s="9">
        <v>120.36692993447016</v>
      </c>
      <c r="AG4446" s="9">
        <v>120.36692993447016</v>
      </c>
      <c r="AH4446" s="9">
        <v>131.35112917791719</v>
      </c>
      <c r="AI4446" s="9">
        <v>142.33181861642981</v>
      </c>
      <c r="AJ4446" s="9">
        <v>3.0428788910505911</v>
      </c>
    </row>
    <row r="4447" spans="1:36" x14ac:dyDescent="0.25">
      <c r="A4447" t="s">
        <v>5411</v>
      </c>
      <c r="B4447" t="s">
        <v>16</v>
      </c>
      <c r="C4447" t="s">
        <v>17</v>
      </c>
      <c r="D4447">
        <v>77798000</v>
      </c>
      <c r="E4447">
        <v>77799999</v>
      </c>
      <c r="F4447" t="s">
        <v>4047</v>
      </c>
      <c r="G4447" t="str">
        <f t="shared" si="138"/>
        <v>TOR</v>
      </c>
      <c r="H4447" t="s">
        <v>3952</v>
      </c>
      <c r="I4447" t="s">
        <v>20</v>
      </c>
      <c r="J4447" t="s">
        <v>77</v>
      </c>
      <c r="K4447" s="6">
        <v>0.03</v>
      </c>
      <c r="L4447" s="7">
        <f t="shared" si="139"/>
        <v>2E-3</v>
      </c>
      <c r="M4447" s="7">
        <v>3.0000000000000001E-3</v>
      </c>
      <c r="N4447">
        <v>17</v>
      </c>
      <c r="O4447" s="8">
        <v>49.365095147237867</v>
      </c>
      <c r="P4447" s="9">
        <v>49.365095147237867</v>
      </c>
      <c r="Q4447" s="9">
        <v>49.365095147237867</v>
      </c>
      <c r="R4447" s="9">
        <v>50.770888721957412</v>
      </c>
      <c r="S4447" s="9">
        <v>52.200434315108524</v>
      </c>
      <c r="T4447" s="9">
        <v>52.724840228616593</v>
      </c>
      <c r="U4447" s="9">
        <v>59.472638024172305</v>
      </c>
      <c r="V4447" s="9">
        <v>59.472638024172305</v>
      </c>
      <c r="W4447" s="9">
        <v>59.472638024172305</v>
      </c>
      <c r="X4447" s="9">
        <v>72.142723701589546</v>
      </c>
      <c r="Y4447" s="9">
        <v>72.142723701589546</v>
      </c>
      <c r="Z4447" s="9">
        <v>81.509458318176925</v>
      </c>
      <c r="AA4447" s="9">
        <v>81.509458318176925</v>
      </c>
      <c r="AB4447" s="9">
        <v>89.863972899994664</v>
      </c>
      <c r="AC4447" s="9">
        <v>89.863972899994664</v>
      </c>
      <c r="AD4447" s="9">
        <v>98.618648314994076</v>
      </c>
      <c r="AE4447" s="9">
        <v>108.72378502149357</v>
      </c>
      <c r="AF4447" s="9">
        <v>120.36692993447016</v>
      </c>
      <c r="AG4447" s="9">
        <v>120.36692993447016</v>
      </c>
      <c r="AH4447" s="9">
        <v>131.35112917791719</v>
      </c>
      <c r="AI4447" s="9">
        <v>142.33181861642981</v>
      </c>
      <c r="AJ4447" s="9">
        <v>3.0428788910505911</v>
      </c>
    </row>
    <row r="4448" spans="1:36" x14ac:dyDescent="0.25">
      <c r="A4448" t="s">
        <v>5411</v>
      </c>
      <c r="B4448" t="s">
        <v>16</v>
      </c>
      <c r="C4448" t="s">
        <v>17</v>
      </c>
      <c r="D4448">
        <v>77800000</v>
      </c>
      <c r="E4448">
        <v>77839999</v>
      </c>
      <c r="F4448" t="s">
        <v>4048</v>
      </c>
      <c r="G4448" t="str">
        <f t="shared" si="138"/>
        <v>TOI II</v>
      </c>
      <c r="H4448" t="s">
        <v>3952</v>
      </c>
      <c r="I4448" t="s">
        <v>20</v>
      </c>
      <c r="J4448" t="s">
        <v>64</v>
      </c>
      <c r="K4448" s="6">
        <v>0.03</v>
      </c>
      <c r="L4448" s="7">
        <f t="shared" si="139"/>
        <v>2E-3</v>
      </c>
      <c r="M4448" s="7">
        <v>3.0000000000000001E-3</v>
      </c>
      <c r="N4448">
        <v>15</v>
      </c>
      <c r="O4448" s="8">
        <v>33.781331501009838</v>
      </c>
      <c r="P4448" s="9">
        <v>33.781331501009838</v>
      </c>
      <c r="Q4448" s="9">
        <v>33.781331501009838</v>
      </c>
      <c r="R4448" s="9">
        <v>34.433939146946329</v>
      </c>
      <c r="S4448" s="9">
        <v>35.715304560924992</v>
      </c>
      <c r="T4448" s="9">
        <v>37.841932313349979</v>
      </c>
      <c r="U4448" s="9">
        <v>43.06110671091858</v>
      </c>
      <c r="V4448" s="9">
        <v>43.06110671091858</v>
      </c>
      <c r="W4448" s="9">
        <v>43.06110671091858</v>
      </c>
      <c r="X4448" s="9">
        <v>49.693262350914033</v>
      </c>
      <c r="Y4448" s="9">
        <v>49.693262350914033</v>
      </c>
      <c r="Z4448" s="9">
        <v>56.492014144744225</v>
      </c>
      <c r="AA4448" s="9">
        <v>56.492014144744225</v>
      </c>
      <c r="AB4448" s="9">
        <v>63.55714504062793</v>
      </c>
      <c r="AC4448" s="9">
        <v>63.55714504062793</v>
      </c>
      <c r="AD4448" s="9">
        <v>75.267967413979164</v>
      </c>
      <c r="AE4448" s="9">
        <v>82.646694060645473</v>
      </c>
      <c r="AF4448" s="9">
        <v>90.24504558674569</v>
      </c>
      <c r="AG4448" s="9">
        <v>90.24504558674569</v>
      </c>
      <c r="AH4448" s="9">
        <v>99.513793995796377</v>
      </c>
      <c r="AI4448" s="9">
        <v>107.2326846904169</v>
      </c>
      <c r="AJ4448" s="9">
        <v>3.0428788910505911</v>
      </c>
    </row>
    <row r="4449" spans="1:36" x14ac:dyDescent="0.25">
      <c r="A4449" t="s">
        <v>5411</v>
      </c>
      <c r="B4449" t="s">
        <v>16</v>
      </c>
      <c r="C4449" t="s">
        <v>17</v>
      </c>
      <c r="D4449">
        <v>77840000</v>
      </c>
      <c r="E4449">
        <v>77844999</v>
      </c>
      <c r="F4449" t="s">
        <v>4049</v>
      </c>
      <c r="G4449" t="str">
        <f t="shared" si="138"/>
        <v>TOR</v>
      </c>
      <c r="H4449" t="s">
        <v>3952</v>
      </c>
      <c r="I4449" t="s">
        <v>20</v>
      </c>
      <c r="J4449" t="s">
        <v>77</v>
      </c>
      <c r="K4449" s="6">
        <v>0.03</v>
      </c>
      <c r="L4449" s="7">
        <f t="shared" si="139"/>
        <v>2E-3</v>
      </c>
      <c r="M4449" s="7">
        <v>3.0000000000000001E-3</v>
      </c>
      <c r="N4449">
        <v>17</v>
      </c>
      <c r="O4449" s="8">
        <v>49.365095147237867</v>
      </c>
      <c r="P4449" s="9">
        <v>49.365095147237867</v>
      </c>
      <c r="Q4449" s="9">
        <v>49.365095147237867</v>
      </c>
      <c r="R4449" s="9">
        <v>50.770888721957412</v>
      </c>
      <c r="S4449" s="9">
        <v>52.200434315108524</v>
      </c>
      <c r="T4449" s="9">
        <v>52.724840228616593</v>
      </c>
      <c r="U4449" s="9">
        <v>59.472638024172305</v>
      </c>
      <c r="V4449" s="9">
        <v>59.472638024172305</v>
      </c>
      <c r="W4449" s="9">
        <v>59.472638024172305</v>
      </c>
      <c r="X4449" s="9">
        <v>72.142723701589546</v>
      </c>
      <c r="Y4449" s="9">
        <v>72.142723701589546</v>
      </c>
      <c r="Z4449" s="9">
        <v>81.509458318176925</v>
      </c>
      <c r="AA4449" s="9">
        <v>81.509458318176925</v>
      </c>
      <c r="AB4449" s="9">
        <v>89.863972899994664</v>
      </c>
      <c r="AC4449" s="9">
        <v>89.863972899994664</v>
      </c>
      <c r="AD4449" s="9">
        <v>98.618648314994076</v>
      </c>
      <c r="AE4449" s="9">
        <v>108.72378502149357</v>
      </c>
      <c r="AF4449" s="9">
        <v>120.36692993447016</v>
      </c>
      <c r="AG4449" s="9">
        <v>120.36692993447016</v>
      </c>
      <c r="AH4449" s="9">
        <v>131.35112917791719</v>
      </c>
      <c r="AI4449" s="9">
        <v>142.33181861642981</v>
      </c>
      <c r="AJ4449" s="9">
        <v>3.0428788910505911</v>
      </c>
    </row>
    <row r="4450" spans="1:36" x14ac:dyDescent="0.25">
      <c r="A4450" t="s">
        <v>5411</v>
      </c>
      <c r="B4450" t="s">
        <v>16</v>
      </c>
      <c r="C4450" t="s">
        <v>17</v>
      </c>
      <c r="D4450">
        <v>77845000</v>
      </c>
      <c r="E4450">
        <v>77847999</v>
      </c>
      <c r="F4450" t="s">
        <v>4050</v>
      </c>
      <c r="G4450" t="str">
        <f t="shared" si="138"/>
        <v>TOR</v>
      </c>
      <c r="H4450" t="s">
        <v>3952</v>
      </c>
      <c r="I4450" t="s">
        <v>20</v>
      </c>
      <c r="J4450" t="s">
        <v>77</v>
      </c>
      <c r="K4450" s="6">
        <v>0.03</v>
      </c>
      <c r="L4450" s="7">
        <f t="shared" si="139"/>
        <v>2E-3</v>
      </c>
      <c r="M4450" s="7">
        <v>3.0000000000000001E-3</v>
      </c>
      <c r="N4450">
        <v>17</v>
      </c>
      <c r="O4450" s="8">
        <v>49.365095147237867</v>
      </c>
      <c r="P4450" s="9">
        <v>49.365095147237867</v>
      </c>
      <c r="Q4450" s="9">
        <v>49.365095147237867</v>
      </c>
      <c r="R4450" s="9">
        <v>50.770888721957412</v>
      </c>
      <c r="S4450" s="9">
        <v>52.200434315108524</v>
      </c>
      <c r="T4450" s="9">
        <v>52.724840228616593</v>
      </c>
      <c r="U4450" s="9">
        <v>59.472638024172305</v>
      </c>
      <c r="V4450" s="9">
        <v>59.472638024172305</v>
      </c>
      <c r="W4450" s="9">
        <v>59.472638024172305</v>
      </c>
      <c r="X4450" s="9">
        <v>72.142723701589546</v>
      </c>
      <c r="Y4450" s="9">
        <v>72.142723701589546</v>
      </c>
      <c r="Z4450" s="9">
        <v>81.509458318176925</v>
      </c>
      <c r="AA4450" s="9">
        <v>81.509458318176925</v>
      </c>
      <c r="AB4450" s="9">
        <v>89.863972899994664</v>
      </c>
      <c r="AC4450" s="9">
        <v>89.863972899994664</v>
      </c>
      <c r="AD4450" s="9">
        <v>98.618648314994076</v>
      </c>
      <c r="AE4450" s="9">
        <v>108.72378502149357</v>
      </c>
      <c r="AF4450" s="9">
        <v>120.36692993447016</v>
      </c>
      <c r="AG4450" s="9">
        <v>120.36692993447016</v>
      </c>
      <c r="AH4450" s="9">
        <v>131.35112917791719</v>
      </c>
      <c r="AI4450" s="9">
        <v>142.33181861642981</v>
      </c>
      <c r="AJ4450" s="9">
        <v>3.0428788910505911</v>
      </c>
    </row>
    <row r="4451" spans="1:36" x14ac:dyDescent="0.25">
      <c r="A4451" t="s">
        <v>5411</v>
      </c>
      <c r="B4451" t="s">
        <v>16</v>
      </c>
      <c r="C4451" t="s">
        <v>17</v>
      </c>
      <c r="D4451">
        <v>77848000</v>
      </c>
      <c r="E4451">
        <v>77849999</v>
      </c>
      <c r="F4451" t="s">
        <v>4051</v>
      </c>
      <c r="G4451" t="str">
        <f t="shared" si="138"/>
        <v>TOR</v>
      </c>
      <c r="H4451" t="s">
        <v>3952</v>
      </c>
      <c r="I4451" t="s">
        <v>20</v>
      </c>
      <c r="J4451" t="s">
        <v>77</v>
      </c>
      <c r="K4451" s="6">
        <v>0.03</v>
      </c>
      <c r="L4451" s="7">
        <f t="shared" si="139"/>
        <v>2E-3</v>
      </c>
      <c r="M4451" s="7">
        <v>3.0000000000000001E-3</v>
      </c>
      <c r="N4451">
        <v>17</v>
      </c>
      <c r="O4451" s="8">
        <v>49.365095147237867</v>
      </c>
      <c r="P4451" s="9">
        <v>49.365095147237867</v>
      </c>
      <c r="Q4451" s="9">
        <v>49.365095147237867</v>
      </c>
      <c r="R4451" s="9">
        <v>50.770888721957412</v>
      </c>
      <c r="S4451" s="9">
        <v>52.200434315108524</v>
      </c>
      <c r="T4451" s="9">
        <v>52.724840228616593</v>
      </c>
      <c r="U4451" s="9">
        <v>59.472638024172305</v>
      </c>
      <c r="V4451" s="9">
        <v>59.472638024172305</v>
      </c>
      <c r="W4451" s="9">
        <v>59.472638024172305</v>
      </c>
      <c r="X4451" s="9">
        <v>72.142723701589546</v>
      </c>
      <c r="Y4451" s="9">
        <v>72.142723701589546</v>
      </c>
      <c r="Z4451" s="9">
        <v>81.509458318176925</v>
      </c>
      <c r="AA4451" s="9">
        <v>81.509458318176925</v>
      </c>
      <c r="AB4451" s="9">
        <v>89.863972899994664</v>
      </c>
      <c r="AC4451" s="9">
        <v>89.863972899994664</v>
      </c>
      <c r="AD4451" s="9">
        <v>98.618648314994076</v>
      </c>
      <c r="AE4451" s="9">
        <v>108.72378502149357</v>
      </c>
      <c r="AF4451" s="9">
        <v>120.36692993447016</v>
      </c>
      <c r="AG4451" s="9">
        <v>120.36692993447016</v>
      </c>
      <c r="AH4451" s="9">
        <v>131.35112917791719</v>
      </c>
      <c r="AI4451" s="9">
        <v>142.33181861642981</v>
      </c>
      <c r="AJ4451" s="9">
        <v>3.0428788910505911</v>
      </c>
    </row>
    <row r="4452" spans="1:36" x14ac:dyDescent="0.25">
      <c r="A4452" t="s">
        <v>5411</v>
      </c>
      <c r="B4452" t="s">
        <v>16</v>
      </c>
      <c r="C4452" t="s">
        <v>17</v>
      </c>
      <c r="D4452">
        <v>77850000</v>
      </c>
      <c r="E4452">
        <v>77854999</v>
      </c>
      <c r="F4452" t="s">
        <v>4052</v>
      </c>
      <c r="G4452" t="str">
        <f t="shared" si="138"/>
        <v>TOR</v>
      </c>
      <c r="H4452" t="s">
        <v>3952</v>
      </c>
      <c r="I4452" t="s">
        <v>20</v>
      </c>
      <c r="J4452" t="s">
        <v>77</v>
      </c>
      <c r="K4452" s="6">
        <v>0.03</v>
      </c>
      <c r="L4452" s="7">
        <f t="shared" si="139"/>
        <v>2E-3</v>
      </c>
      <c r="M4452" s="7">
        <v>3.0000000000000001E-3</v>
      </c>
      <c r="N4452">
        <v>17</v>
      </c>
      <c r="O4452" s="8">
        <v>49.365095147237867</v>
      </c>
      <c r="P4452" s="9">
        <v>49.365095147237867</v>
      </c>
      <c r="Q4452" s="9">
        <v>49.365095147237867</v>
      </c>
      <c r="R4452" s="9">
        <v>50.770888721957412</v>
      </c>
      <c r="S4452" s="9">
        <v>52.200434315108524</v>
      </c>
      <c r="T4452" s="9">
        <v>52.724840228616593</v>
      </c>
      <c r="U4452" s="9">
        <v>59.472638024172305</v>
      </c>
      <c r="V4452" s="9">
        <v>59.472638024172305</v>
      </c>
      <c r="W4452" s="9">
        <v>59.472638024172305</v>
      </c>
      <c r="X4452" s="9">
        <v>72.142723701589546</v>
      </c>
      <c r="Y4452" s="9">
        <v>72.142723701589546</v>
      </c>
      <c r="Z4452" s="9">
        <v>81.509458318176925</v>
      </c>
      <c r="AA4452" s="9">
        <v>81.509458318176925</v>
      </c>
      <c r="AB4452" s="9">
        <v>89.863972899994664</v>
      </c>
      <c r="AC4452" s="9">
        <v>89.863972899994664</v>
      </c>
      <c r="AD4452" s="9">
        <v>98.618648314994076</v>
      </c>
      <c r="AE4452" s="9">
        <v>108.72378502149357</v>
      </c>
      <c r="AF4452" s="9">
        <v>120.36692993447016</v>
      </c>
      <c r="AG4452" s="9">
        <v>120.36692993447016</v>
      </c>
      <c r="AH4452" s="9">
        <v>131.35112917791719</v>
      </c>
      <c r="AI4452" s="9">
        <v>142.33181861642981</v>
      </c>
      <c r="AJ4452" s="9">
        <v>3.0428788910505911</v>
      </c>
    </row>
    <row r="4453" spans="1:36" x14ac:dyDescent="0.25">
      <c r="A4453" t="s">
        <v>5411</v>
      </c>
      <c r="B4453" t="s">
        <v>16</v>
      </c>
      <c r="C4453" t="s">
        <v>17</v>
      </c>
      <c r="D4453">
        <v>77855000</v>
      </c>
      <c r="E4453">
        <v>77859999</v>
      </c>
      <c r="F4453" t="s">
        <v>3278</v>
      </c>
      <c r="G4453" t="str">
        <f t="shared" si="138"/>
        <v>TOR</v>
      </c>
      <c r="H4453" t="s">
        <v>3952</v>
      </c>
      <c r="I4453" t="s">
        <v>20</v>
      </c>
      <c r="J4453" t="s">
        <v>77</v>
      </c>
      <c r="K4453" s="6">
        <v>0.03</v>
      </c>
      <c r="L4453" s="7">
        <f t="shared" si="139"/>
        <v>2E-3</v>
      </c>
      <c r="M4453" s="7">
        <v>3.0000000000000001E-3</v>
      </c>
      <c r="N4453">
        <v>17</v>
      </c>
      <c r="O4453" s="8">
        <v>49.365095147237867</v>
      </c>
      <c r="P4453" s="9">
        <v>49.365095147237867</v>
      </c>
      <c r="Q4453" s="9">
        <v>49.365095147237867</v>
      </c>
      <c r="R4453" s="9">
        <v>50.770888721957412</v>
      </c>
      <c r="S4453" s="9">
        <v>52.200434315108524</v>
      </c>
      <c r="T4453" s="9">
        <v>52.724840228616593</v>
      </c>
      <c r="U4453" s="9">
        <v>59.472638024172305</v>
      </c>
      <c r="V4453" s="9">
        <v>59.472638024172305</v>
      </c>
      <c r="W4453" s="9">
        <v>59.472638024172305</v>
      </c>
      <c r="X4453" s="9">
        <v>72.142723701589546</v>
      </c>
      <c r="Y4453" s="9">
        <v>72.142723701589546</v>
      </c>
      <c r="Z4453" s="9">
        <v>81.509458318176925</v>
      </c>
      <c r="AA4453" s="9">
        <v>81.509458318176925</v>
      </c>
      <c r="AB4453" s="9">
        <v>89.863972899994664</v>
      </c>
      <c r="AC4453" s="9">
        <v>89.863972899994664</v>
      </c>
      <c r="AD4453" s="9">
        <v>98.618648314994076</v>
      </c>
      <c r="AE4453" s="9">
        <v>108.72378502149357</v>
      </c>
      <c r="AF4453" s="9">
        <v>120.36692993447016</v>
      </c>
      <c r="AG4453" s="9">
        <v>120.36692993447016</v>
      </c>
      <c r="AH4453" s="9">
        <v>131.35112917791719</v>
      </c>
      <c r="AI4453" s="9">
        <v>142.33181861642981</v>
      </c>
      <c r="AJ4453" s="9">
        <v>3.0428788910505911</v>
      </c>
    </row>
    <row r="4454" spans="1:36" x14ac:dyDescent="0.25">
      <c r="A4454" t="s">
        <v>5411</v>
      </c>
      <c r="B4454" t="s">
        <v>16</v>
      </c>
      <c r="C4454" t="s">
        <v>17</v>
      </c>
      <c r="D4454">
        <v>77860000</v>
      </c>
      <c r="E4454">
        <v>77869999</v>
      </c>
      <c r="F4454" t="s">
        <v>4053</v>
      </c>
      <c r="G4454" t="str">
        <f t="shared" si="138"/>
        <v>TOR</v>
      </c>
      <c r="H4454" t="s">
        <v>3952</v>
      </c>
      <c r="I4454" t="s">
        <v>20</v>
      </c>
      <c r="J4454" t="s">
        <v>77</v>
      </c>
      <c r="K4454" s="6">
        <v>0.03</v>
      </c>
      <c r="L4454" s="7">
        <f t="shared" si="139"/>
        <v>2E-3</v>
      </c>
      <c r="M4454" s="7">
        <v>3.0000000000000001E-3</v>
      </c>
      <c r="N4454">
        <v>17</v>
      </c>
      <c r="O4454" s="8">
        <v>49.365095147237867</v>
      </c>
      <c r="P4454" s="9">
        <v>49.365095147237867</v>
      </c>
      <c r="Q4454" s="9">
        <v>49.365095147237867</v>
      </c>
      <c r="R4454" s="9">
        <v>50.770888721957412</v>
      </c>
      <c r="S4454" s="9">
        <v>52.200434315108524</v>
      </c>
      <c r="T4454" s="9">
        <v>52.724840228616593</v>
      </c>
      <c r="U4454" s="9">
        <v>59.472638024172305</v>
      </c>
      <c r="V4454" s="9">
        <v>59.472638024172305</v>
      </c>
      <c r="W4454" s="9">
        <v>59.472638024172305</v>
      </c>
      <c r="X4454" s="9">
        <v>72.142723701589546</v>
      </c>
      <c r="Y4454" s="9">
        <v>72.142723701589546</v>
      </c>
      <c r="Z4454" s="9">
        <v>81.509458318176925</v>
      </c>
      <c r="AA4454" s="9">
        <v>81.509458318176925</v>
      </c>
      <c r="AB4454" s="9">
        <v>89.863972899994664</v>
      </c>
      <c r="AC4454" s="9">
        <v>89.863972899994664</v>
      </c>
      <c r="AD4454" s="9">
        <v>98.618648314994076</v>
      </c>
      <c r="AE4454" s="9">
        <v>108.72378502149357</v>
      </c>
      <c r="AF4454" s="9">
        <v>120.36692993447016</v>
      </c>
      <c r="AG4454" s="9">
        <v>120.36692993447016</v>
      </c>
      <c r="AH4454" s="9">
        <v>131.35112917791719</v>
      </c>
      <c r="AI4454" s="9">
        <v>142.33181861642981</v>
      </c>
      <c r="AJ4454" s="9">
        <v>3.0428788910505911</v>
      </c>
    </row>
    <row r="4455" spans="1:36" x14ac:dyDescent="0.25">
      <c r="A4455" t="s">
        <v>5411</v>
      </c>
      <c r="B4455" t="s">
        <v>16</v>
      </c>
      <c r="C4455" t="s">
        <v>17</v>
      </c>
      <c r="D4455">
        <v>77870000</v>
      </c>
      <c r="E4455">
        <v>77879999</v>
      </c>
      <c r="F4455" t="s">
        <v>4054</v>
      </c>
      <c r="G4455" t="str">
        <f t="shared" si="138"/>
        <v>TOR</v>
      </c>
      <c r="H4455" t="s">
        <v>3952</v>
      </c>
      <c r="I4455" t="s">
        <v>20</v>
      </c>
      <c r="J4455" t="s">
        <v>77</v>
      </c>
      <c r="K4455" s="6">
        <v>0.03</v>
      </c>
      <c r="L4455" s="7">
        <f t="shared" si="139"/>
        <v>2E-3</v>
      </c>
      <c r="M4455" s="7">
        <v>3.0000000000000001E-3</v>
      </c>
      <c r="N4455">
        <v>17</v>
      </c>
      <c r="O4455" s="8">
        <v>49.365095147237867</v>
      </c>
      <c r="P4455" s="9">
        <v>49.365095147237867</v>
      </c>
      <c r="Q4455" s="9">
        <v>49.365095147237867</v>
      </c>
      <c r="R4455" s="9">
        <v>50.770888721957412</v>
      </c>
      <c r="S4455" s="9">
        <v>52.200434315108524</v>
      </c>
      <c r="T4455" s="9">
        <v>52.724840228616593</v>
      </c>
      <c r="U4455" s="9">
        <v>59.472638024172305</v>
      </c>
      <c r="V4455" s="9">
        <v>59.472638024172305</v>
      </c>
      <c r="W4455" s="9">
        <v>59.472638024172305</v>
      </c>
      <c r="X4455" s="9">
        <v>72.142723701589546</v>
      </c>
      <c r="Y4455" s="9">
        <v>72.142723701589546</v>
      </c>
      <c r="Z4455" s="9">
        <v>81.509458318176925</v>
      </c>
      <c r="AA4455" s="9">
        <v>81.509458318176925</v>
      </c>
      <c r="AB4455" s="9">
        <v>89.863972899994664</v>
      </c>
      <c r="AC4455" s="9">
        <v>89.863972899994664</v>
      </c>
      <c r="AD4455" s="9">
        <v>98.618648314994076</v>
      </c>
      <c r="AE4455" s="9">
        <v>108.72378502149357</v>
      </c>
      <c r="AF4455" s="9">
        <v>120.36692993447016</v>
      </c>
      <c r="AG4455" s="9">
        <v>120.36692993447016</v>
      </c>
      <c r="AH4455" s="9">
        <v>131.35112917791719</v>
      </c>
      <c r="AI4455" s="9">
        <v>142.33181861642981</v>
      </c>
      <c r="AJ4455" s="9">
        <v>3.0428788910505911</v>
      </c>
    </row>
    <row r="4456" spans="1:36" x14ac:dyDescent="0.25">
      <c r="A4456" t="s">
        <v>5411</v>
      </c>
      <c r="B4456" t="s">
        <v>16</v>
      </c>
      <c r="C4456" t="s">
        <v>17</v>
      </c>
      <c r="D4456">
        <v>77880000</v>
      </c>
      <c r="E4456">
        <v>77884999</v>
      </c>
      <c r="F4456" t="s">
        <v>4055</v>
      </c>
      <c r="G4456" t="str">
        <f t="shared" si="138"/>
        <v>TOR</v>
      </c>
      <c r="H4456" t="s">
        <v>3952</v>
      </c>
      <c r="I4456" t="s">
        <v>20</v>
      </c>
      <c r="J4456" t="s">
        <v>77</v>
      </c>
      <c r="K4456" s="6">
        <v>0.03</v>
      </c>
      <c r="L4456" s="7">
        <f t="shared" si="139"/>
        <v>2E-3</v>
      </c>
      <c r="M4456" s="7">
        <v>3.0000000000000001E-3</v>
      </c>
      <c r="N4456">
        <v>17</v>
      </c>
      <c r="O4456" s="8">
        <v>49.365095147237867</v>
      </c>
      <c r="P4456" s="9">
        <v>49.365095147237867</v>
      </c>
      <c r="Q4456" s="9">
        <v>49.365095147237867</v>
      </c>
      <c r="R4456" s="9">
        <v>50.770888721957412</v>
      </c>
      <c r="S4456" s="9">
        <v>52.200434315108524</v>
      </c>
      <c r="T4456" s="9">
        <v>52.724840228616593</v>
      </c>
      <c r="U4456" s="9">
        <v>59.472638024172305</v>
      </c>
      <c r="V4456" s="9">
        <v>59.472638024172305</v>
      </c>
      <c r="W4456" s="9">
        <v>59.472638024172305</v>
      </c>
      <c r="X4456" s="9">
        <v>72.142723701589546</v>
      </c>
      <c r="Y4456" s="9">
        <v>72.142723701589546</v>
      </c>
      <c r="Z4456" s="9">
        <v>81.509458318176925</v>
      </c>
      <c r="AA4456" s="9">
        <v>81.509458318176925</v>
      </c>
      <c r="AB4456" s="9">
        <v>89.863972899994664</v>
      </c>
      <c r="AC4456" s="9">
        <v>89.863972899994664</v>
      </c>
      <c r="AD4456" s="9">
        <v>98.618648314994076</v>
      </c>
      <c r="AE4456" s="9">
        <v>108.72378502149357</v>
      </c>
      <c r="AF4456" s="9">
        <v>120.36692993447016</v>
      </c>
      <c r="AG4456" s="9">
        <v>120.36692993447016</v>
      </c>
      <c r="AH4456" s="9">
        <v>131.35112917791719</v>
      </c>
      <c r="AI4456" s="9">
        <v>142.33181861642981</v>
      </c>
      <c r="AJ4456" s="9">
        <v>3.0428788910505911</v>
      </c>
    </row>
    <row r="4457" spans="1:36" x14ac:dyDescent="0.25">
      <c r="A4457" t="s">
        <v>5411</v>
      </c>
      <c r="B4457" t="s">
        <v>16</v>
      </c>
      <c r="C4457" t="s">
        <v>17</v>
      </c>
      <c r="D4457">
        <v>77885000</v>
      </c>
      <c r="E4457">
        <v>77887999</v>
      </c>
      <c r="F4457" t="s">
        <v>4056</v>
      </c>
      <c r="G4457" t="str">
        <f t="shared" si="138"/>
        <v>TOR</v>
      </c>
      <c r="H4457" t="s">
        <v>3952</v>
      </c>
      <c r="I4457" t="s">
        <v>20</v>
      </c>
      <c r="J4457" t="s">
        <v>77</v>
      </c>
      <c r="K4457" s="6">
        <v>0.03</v>
      </c>
      <c r="L4457" s="7">
        <f t="shared" si="139"/>
        <v>2E-3</v>
      </c>
      <c r="M4457" s="7">
        <v>3.0000000000000001E-3</v>
      </c>
      <c r="N4457">
        <v>17</v>
      </c>
      <c r="O4457" s="8">
        <v>49.365095147237867</v>
      </c>
      <c r="P4457" s="9">
        <v>49.365095147237867</v>
      </c>
      <c r="Q4457" s="9">
        <v>49.365095147237867</v>
      </c>
      <c r="R4457" s="9">
        <v>50.770888721957412</v>
      </c>
      <c r="S4457" s="9">
        <v>52.200434315108524</v>
      </c>
      <c r="T4457" s="9">
        <v>52.724840228616593</v>
      </c>
      <c r="U4457" s="9">
        <v>59.472638024172305</v>
      </c>
      <c r="V4457" s="9">
        <v>59.472638024172305</v>
      </c>
      <c r="W4457" s="9">
        <v>59.472638024172305</v>
      </c>
      <c r="X4457" s="9">
        <v>72.142723701589546</v>
      </c>
      <c r="Y4457" s="9">
        <v>72.142723701589546</v>
      </c>
      <c r="Z4457" s="9">
        <v>81.509458318176925</v>
      </c>
      <c r="AA4457" s="9">
        <v>81.509458318176925</v>
      </c>
      <c r="AB4457" s="9">
        <v>89.863972899994664</v>
      </c>
      <c r="AC4457" s="9">
        <v>89.863972899994664</v>
      </c>
      <c r="AD4457" s="9">
        <v>98.618648314994076</v>
      </c>
      <c r="AE4457" s="9">
        <v>108.72378502149357</v>
      </c>
      <c r="AF4457" s="9">
        <v>120.36692993447016</v>
      </c>
      <c r="AG4457" s="9">
        <v>120.36692993447016</v>
      </c>
      <c r="AH4457" s="9">
        <v>131.35112917791719</v>
      </c>
      <c r="AI4457" s="9">
        <v>142.33181861642981</v>
      </c>
      <c r="AJ4457" s="9">
        <v>3.0428788910505911</v>
      </c>
    </row>
    <row r="4458" spans="1:36" x14ac:dyDescent="0.25">
      <c r="A4458" t="s">
        <v>5411</v>
      </c>
      <c r="B4458" t="s">
        <v>16</v>
      </c>
      <c r="C4458" t="s">
        <v>17</v>
      </c>
      <c r="D4458">
        <v>77888000</v>
      </c>
      <c r="E4458">
        <v>77889999</v>
      </c>
      <c r="F4458" t="s">
        <v>4057</v>
      </c>
      <c r="G4458" t="str">
        <f t="shared" si="138"/>
        <v>TOR</v>
      </c>
      <c r="H4458" t="s">
        <v>3952</v>
      </c>
      <c r="I4458" t="s">
        <v>20</v>
      </c>
      <c r="J4458" t="s">
        <v>77</v>
      </c>
      <c r="K4458" s="6">
        <v>0.03</v>
      </c>
      <c r="L4458" s="7">
        <f t="shared" si="139"/>
        <v>2E-3</v>
      </c>
      <c r="M4458" s="7">
        <v>3.0000000000000001E-3</v>
      </c>
      <c r="N4458">
        <v>17</v>
      </c>
      <c r="O4458" s="8">
        <v>49.365095147237867</v>
      </c>
      <c r="P4458" s="9">
        <v>49.365095147237867</v>
      </c>
      <c r="Q4458" s="9">
        <v>49.365095147237867</v>
      </c>
      <c r="R4458" s="9">
        <v>50.770888721957412</v>
      </c>
      <c r="S4458" s="9">
        <v>52.200434315108524</v>
      </c>
      <c r="T4458" s="9">
        <v>52.724840228616593</v>
      </c>
      <c r="U4458" s="9">
        <v>59.472638024172305</v>
      </c>
      <c r="V4458" s="9">
        <v>59.472638024172305</v>
      </c>
      <c r="W4458" s="9">
        <v>59.472638024172305</v>
      </c>
      <c r="X4458" s="9">
        <v>72.142723701589546</v>
      </c>
      <c r="Y4458" s="9">
        <v>72.142723701589546</v>
      </c>
      <c r="Z4458" s="9">
        <v>81.509458318176925</v>
      </c>
      <c r="AA4458" s="9">
        <v>81.509458318176925</v>
      </c>
      <c r="AB4458" s="9">
        <v>89.863972899994664</v>
      </c>
      <c r="AC4458" s="9">
        <v>89.863972899994664</v>
      </c>
      <c r="AD4458" s="9">
        <v>98.618648314994076</v>
      </c>
      <c r="AE4458" s="9">
        <v>108.72378502149357</v>
      </c>
      <c r="AF4458" s="9">
        <v>120.36692993447016</v>
      </c>
      <c r="AG4458" s="9">
        <v>120.36692993447016</v>
      </c>
      <c r="AH4458" s="9">
        <v>131.35112917791719</v>
      </c>
      <c r="AI4458" s="9">
        <v>142.33181861642981</v>
      </c>
      <c r="AJ4458" s="9">
        <v>3.0428788910505911</v>
      </c>
    </row>
    <row r="4459" spans="1:36" x14ac:dyDescent="0.25">
      <c r="A4459" t="s">
        <v>5411</v>
      </c>
      <c r="B4459" t="s">
        <v>16</v>
      </c>
      <c r="C4459" t="s">
        <v>17</v>
      </c>
      <c r="D4459">
        <v>77890000</v>
      </c>
      <c r="E4459">
        <v>77892999</v>
      </c>
      <c r="F4459" t="s">
        <v>4058</v>
      </c>
      <c r="G4459" t="str">
        <f t="shared" si="138"/>
        <v>TOR</v>
      </c>
      <c r="H4459" t="s">
        <v>3952</v>
      </c>
      <c r="I4459" t="s">
        <v>20</v>
      </c>
      <c r="J4459" t="s">
        <v>77</v>
      </c>
      <c r="K4459" s="6">
        <v>0.03</v>
      </c>
      <c r="L4459" s="7">
        <f t="shared" si="139"/>
        <v>2E-3</v>
      </c>
      <c r="M4459" s="7">
        <v>3.0000000000000001E-3</v>
      </c>
      <c r="N4459">
        <v>17</v>
      </c>
      <c r="O4459" s="8">
        <v>49.365095147237867</v>
      </c>
      <c r="P4459" s="9">
        <v>49.365095147237867</v>
      </c>
      <c r="Q4459" s="9">
        <v>49.365095147237867</v>
      </c>
      <c r="R4459" s="9">
        <v>50.770888721957412</v>
      </c>
      <c r="S4459" s="9">
        <v>52.200434315108524</v>
      </c>
      <c r="T4459" s="9">
        <v>52.724840228616593</v>
      </c>
      <c r="U4459" s="9">
        <v>59.472638024172305</v>
      </c>
      <c r="V4459" s="9">
        <v>59.472638024172305</v>
      </c>
      <c r="W4459" s="9">
        <v>59.472638024172305</v>
      </c>
      <c r="X4459" s="9">
        <v>72.142723701589546</v>
      </c>
      <c r="Y4459" s="9">
        <v>72.142723701589546</v>
      </c>
      <c r="Z4459" s="9">
        <v>81.509458318176925</v>
      </c>
      <c r="AA4459" s="9">
        <v>81.509458318176925</v>
      </c>
      <c r="AB4459" s="9">
        <v>89.863972899994664</v>
      </c>
      <c r="AC4459" s="9">
        <v>89.863972899994664</v>
      </c>
      <c r="AD4459" s="9">
        <v>98.618648314994076</v>
      </c>
      <c r="AE4459" s="9">
        <v>108.72378502149357</v>
      </c>
      <c r="AF4459" s="9">
        <v>120.36692993447016</v>
      </c>
      <c r="AG4459" s="9">
        <v>120.36692993447016</v>
      </c>
      <c r="AH4459" s="9">
        <v>131.35112917791719</v>
      </c>
      <c r="AI4459" s="9">
        <v>142.33181861642981</v>
      </c>
      <c r="AJ4459" s="9">
        <v>3.0428788910505911</v>
      </c>
    </row>
    <row r="4460" spans="1:36" x14ac:dyDescent="0.25">
      <c r="A4460" t="s">
        <v>5411</v>
      </c>
      <c r="B4460" t="s">
        <v>16</v>
      </c>
      <c r="C4460" t="s">
        <v>17</v>
      </c>
      <c r="D4460">
        <v>77893000</v>
      </c>
      <c r="E4460">
        <v>77894999</v>
      </c>
      <c r="F4460" t="s">
        <v>1458</v>
      </c>
      <c r="G4460" t="str">
        <f t="shared" si="138"/>
        <v>TOR</v>
      </c>
      <c r="H4460" t="s">
        <v>3952</v>
      </c>
      <c r="I4460" t="s">
        <v>20</v>
      </c>
      <c r="J4460" t="s">
        <v>77</v>
      </c>
      <c r="K4460" s="6">
        <v>0.03</v>
      </c>
      <c r="L4460" s="7">
        <f t="shared" si="139"/>
        <v>2E-3</v>
      </c>
      <c r="M4460" s="7">
        <v>3.0000000000000001E-3</v>
      </c>
      <c r="N4460">
        <v>17</v>
      </c>
      <c r="O4460" s="8">
        <v>49.365095147237867</v>
      </c>
      <c r="P4460" s="9">
        <v>49.365095147237867</v>
      </c>
      <c r="Q4460" s="9">
        <v>49.365095147237867</v>
      </c>
      <c r="R4460" s="9">
        <v>50.770888721957412</v>
      </c>
      <c r="S4460" s="9">
        <v>52.200434315108524</v>
      </c>
      <c r="T4460" s="9">
        <v>52.724840228616593</v>
      </c>
      <c r="U4460" s="9">
        <v>59.472638024172305</v>
      </c>
      <c r="V4460" s="9">
        <v>59.472638024172305</v>
      </c>
      <c r="W4460" s="9">
        <v>59.472638024172305</v>
      </c>
      <c r="X4460" s="9">
        <v>72.142723701589546</v>
      </c>
      <c r="Y4460" s="9">
        <v>72.142723701589546</v>
      </c>
      <c r="Z4460" s="9">
        <v>81.509458318176925</v>
      </c>
      <c r="AA4460" s="9">
        <v>81.509458318176925</v>
      </c>
      <c r="AB4460" s="9">
        <v>89.863972899994664</v>
      </c>
      <c r="AC4460" s="9">
        <v>89.863972899994664</v>
      </c>
      <c r="AD4460" s="9">
        <v>98.618648314994076</v>
      </c>
      <c r="AE4460" s="9">
        <v>108.72378502149357</v>
      </c>
      <c r="AF4460" s="9">
        <v>120.36692993447016</v>
      </c>
      <c r="AG4460" s="9">
        <v>120.36692993447016</v>
      </c>
      <c r="AH4460" s="9">
        <v>131.35112917791719</v>
      </c>
      <c r="AI4460" s="9">
        <v>142.33181861642981</v>
      </c>
      <c r="AJ4460" s="9">
        <v>3.0428788910505911</v>
      </c>
    </row>
    <row r="4461" spans="1:36" x14ac:dyDescent="0.25">
      <c r="A4461" t="s">
        <v>5411</v>
      </c>
      <c r="B4461" t="s">
        <v>16</v>
      </c>
      <c r="C4461" t="s">
        <v>17</v>
      </c>
      <c r="D4461">
        <v>77895000</v>
      </c>
      <c r="E4461">
        <v>77899999</v>
      </c>
      <c r="F4461" t="s">
        <v>1730</v>
      </c>
      <c r="G4461" t="str">
        <f t="shared" si="138"/>
        <v>TOR</v>
      </c>
      <c r="H4461" t="s">
        <v>3952</v>
      </c>
      <c r="I4461" t="s">
        <v>20</v>
      </c>
      <c r="J4461" t="s">
        <v>77</v>
      </c>
      <c r="K4461" s="6">
        <v>0.03</v>
      </c>
      <c r="L4461" s="7">
        <f t="shared" si="139"/>
        <v>2E-3</v>
      </c>
      <c r="M4461" s="7">
        <v>3.0000000000000001E-3</v>
      </c>
      <c r="N4461">
        <v>17</v>
      </c>
      <c r="O4461" s="8">
        <v>49.365095147237867</v>
      </c>
      <c r="P4461" s="9">
        <v>49.365095147237867</v>
      </c>
      <c r="Q4461" s="9">
        <v>49.365095147237867</v>
      </c>
      <c r="R4461" s="9">
        <v>50.770888721957412</v>
      </c>
      <c r="S4461" s="9">
        <v>52.200434315108524</v>
      </c>
      <c r="T4461" s="9">
        <v>52.724840228616593</v>
      </c>
      <c r="U4461" s="9">
        <v>59.472638024172305</v>
      </c>
      <c r="V4461" s="9">
        <v>59.472638024172305</v>
      </c>
      <c r="W4461" s="9">
        <v>59.472638024172305</v>
      </c>
      <c r="X4461" s="9">
        <v>72.142723701589546</v>
      </c>
      <c r="Y4461" s="9">
        <v>72.142723701589546</v>
      </c>
      <c r="Z4461" s="9">
        <v>81.509458318176925</v>
      </c>
      <c r="AA4461" s="9">
        <v>81.509458318176925</v>
      </c>
      <c r="AB4461" s="9">
        <v>89.863972899994664</v>
      </c>
      <c r="AC4461" s="9">
        <v>89.863972899994664</v>
      </c>
      <c r="AD4461" s="9">
        <v>98.618648314994076</v>
      </c>
      <c r="AE4461" s="9">
        <v>108.72378502149357</v>
      </c>
      <c r="AF4461" s="9">
        <v>120.36692993447016</v>
      </c>
      <c r="AG4461" s="9">
        <v>120.36692993447016</v>
      </c>
      <c r="AH4461" s="9">
        <v>131.35112917791719</v>
      </c>
      <c r="AI4461" s="9">
        <v>142.33181861642981</v>
      </c>
      <c r="AJ4461" s="9">
        <v>3.0428788910505911</v>
      </c>
    </row>
    <row r="4462" spans="1:36" x14ac:dyDescent="0.25">
      <c r="A4462" t="s">
        <v>5411</v>
      </c>
      <c r="B4462" t="s">
        <v>16</v>
      </c>
      <c r="C4462" t="s">
        <v>17</v>
      </c>
      <c r="D4462">
        <v>77900000</v>
      </c>
      <c r="E4462">
        <v>77902999</v>
      </c>
      <c r="F4462" t="s">
        <v>4059</v>
      </c>
      <c r="G4462" t="str">
        <f t="shared" si="138"/>
        <v>TOR</v>
      </c>
      <c r="H4462" t="s">
        <v>3952</v>
      </c>
      <c r="I4462" t="s">
        <v>20</v>
      </c>
      <c r="J4462" t="s">
        <v>77</v>
      </c>
      <c r="K4462" s="6">
        <v>0.03</v>
      </c>
      <c r="L4462" s="7">
        <f t="shared" si="139"/>
        <v>2E-3</v>
      </c>
      <c r="M4462" s="7">
        <v>3.0000000000000001E-3</v>
      </c>
      <c r="N4462">
        <v>17</v>
      </c>
      <c r="O4462" s="8">
        <v>49.365095147237867</v>
      </c>
      <c r="P4462" s="9">
        <v>49.365095147237867</v>
      </c>
      <c r="Q4462" s="9">
        <v>49.365095147237867</v>
      </c>
      <c r="R4462" s="9">
        <v>50.770888721957412</v>
      </c>
      <c r="S4462" s="9">
        <v>52.200434315108524</v>
      </c>
      <c r="T4462" s="9">
        <v>52.724840228616593</v>
      </c>
      <c r="U4462" s="9">
        <v>59.472638024172305</v>
      </c>
      <c r="V4462" s="9">
        <v>59.472638024172305</v>
      </c>
      <c r="W4462" s="9">
        <v>59.472638024172305</v>
      </c>
      <c r="X4462" s="9">
        <v>72.142723701589546</v>
      </c>
      <c r="Y4462" s="9">
        <v>72.142723701589546</v>
      </c>
      <c r="Z4462" s="9">
        <v>81.509458318176925</v>
      </c>
      <c r="AA4462" s="9">
        <v>81.509458318176925</v>
      </c>
      <c r="AB4462" s="9">
        <v>89.863972899994664</v>
      </c>
      <c r="AC4462" s="9">
        <v>89.863972899994664</v>
      </c>
      <c r="AD4462" s="9">
        <v>98.618648314994076</v>
      </c>
      <c r="AE4462" s="9">
        <v>108.72378502149357</v>
      </c>
      <c r="AF4462" s="9">
        <v>120.36692993447016</v>
      </c>
      <c r="AG4462" s="9">
        <v>120.36692993447016</v>
      </c>
      <c r="AH4462" s="9">
        <v>131.35112917791719</v>
      </c>
      <c r="AI4462" s="9">
        <v>142.33181861642981</v>
      </c>
      <c r="AJ4462" s="9">
        <v>3.0428788910505911</v>
      </c>
    </row>
    <row r="4463" spans="1:36" x14ac:dyDescent="0.25">
      <c r="A4463" t="s">
        <v>5411</v>
      </c>
      <c r="B4463" t="s">
        <v>16</v>
      </c>
      <c r="C4463" t="s">
        <v>17</v>
      </c>
      <c r="D4463">
        <v>77903000</v>
      </c>
      <c r="E4463">
        <v>77904999</v>
      </c>
      <c r="F4463" t="s">
        <v>4060</v>
      </c>
      <c r="G4463" t="str">
        <f t="shared" si="138"/>
        <v>TOR</v>
      </c>
      <c r="H4463" t="s">
        <v>3952</v>
      </c>
      <c r="I4463" t="s">
        <v>20</v>
      </c>
      <c r="J4463" t="s">
        <v>77</v>
      </c>
      <c r="K4463" s="6">
        <v>0.03</v>
      </c>
      <c r="L4463" s="7">
        <f t="shared" si="139"/>
        <v>2E-3</v>
      </c>
      <c r="M4463" s="7">
        <v>3.0000000000000001E-3</v>
      </c>
      <c r="N4463">
        <v>17</v>
      </c>
      <c r="O4463" s="8">
        <v>49.365095147237867</v>
      </c>
      <c r="P4463" s="9">
        <v>49.365095147237867</v>
      </c>
      <c r="Q4463" s="9">
        <v>49.365095147237867</v>
      </c>
      <c r="R4463" s="9">
        <v>50.770888721957412</v>
      </c>
      <c r="S4463" s="9">
        <v>52.200434315108524</v>
      </c>
      <c r="T4463" s="9">
        <v>52.724840228616593</v>
      </c>
      <c r="U4463" s="9">
        <v>59.472638024172305</v>
      </c>
      <c r="V4463" s="9">
        <v>59.472638024172305</v>
      </c>
      <c r="W4463" s="9">
        <v>59.472638024172305</v>
      </c>
      <c r="X4463" s="9">
        <v>72.142723701589546</v>
      </c>
      <c r="Y4463" s="9">
        <v>72.142723701589546</v>
      </c>
      <c r="Z4463" s="9">
        <v>81.509458318176925</v>
      </c>
      <c r="AA4463" s="9">
        <v>81.509458318176925</v>
      </c>
      <c r="AB4463" s="9">
        <v>89.863972899994664</v>
      </c>
      <c r="AC4463" s="9">
        <v>89.863972899994664</v>
      </c>
      <c r="AD4463" s="9">
        <v>98.618648314994076</v>
      </c>
      <c r="AE4463" s="9">
        <v>108.72378502149357</v>
      </c>
      <c r="AF4463" s="9">
        <v>120.36692993447016</v>
      </c>
      <c r="AG4463" s="9">
        <v>120.36692993447016</v>
      </c>
      <c r="AH4463" s="9">
        <v>131.35112917791719</v>
      </c>
      <c r="AI4463" s="9">
        <v>142.33181861642981</v>
      </c>
      <c r="AJ4463" s="9">
        <v>3.0428788910505911</v>
      </c>
    </row>
    <row r="4464" spans="1:36" x14ac:dyDescent="0.25">
      <c r="A4464" t="s">
        <v>5411</v>
      </c>
      <c r="B4464" t="s">
        <v>16</v>
      </c>
      <c r="C4464" t="s">
        <v>17</v>
      </c>
      <c r="D4464">
        <v>77905000</v>
      </c>
      <c r="E4464">
        <v>77907999</v>
      </c>
      <c r="F4464" t="s">
        <v>4061</v>
      </c>
      <c r="G4464" t="str">
        <f t="shared" si="138"/>
        <v>TOR</v>
      </c>
      <c r="H4464" t="s">
        <v>3952</v>
      </c>
      <c r="I4464" t="s">
        <v>20</v>
      </c>
      <c r="J4464" t="s">
        <v>77</v>
      </c>
      <c r="K4464" s="6">
        <v>0.03</v>
      </c>
      <c r="L4464" s="7">
        <f t="shared" si="139"/>
        <v>2E-3</v>
      </c>
      <c r="M4464" s="7">
        <v>3.0000000000000001E-3</v>
      </c>
      <c r="N4464">
        <v>17</v>
      </c>
      <c r="O4464" s="8">
        <v>49.365095147237867</v>
      </c>
      <c r="P4464" s="9">
        <v>49.365095147237867</v>
      </c>
      <c r="Q4464" s="9">
        <v>49.365095147237867</v>
      </c>
      <c r="R4464" s="9">
        <v>50.770888721957412</v>
      </c>
      <c r="S4464" s="9">
        <v>52.200434315108524</v>
      </c>
      <c r="T4464" s="9">
        <v>52.724840228616593</v>
      </c>
      <c r="U4464" s="9">
        <v>59.472638024172305</v>
      </c>
      <c r="V4464" s="9">
        <v>59.472638024172305</v>
      </c>
      <c r="W4464" s="9">
        <v>59.472638024172305</v>
      </c>
      <c r="X4464" s="9">
        <v>72.142723701589546</v>
      </c>
      <c r="Y4464" s="9">
        <v>72.142723701589546</v>
      </c>
      <c r="Z4464" s="9">
        <v>81.509458318176925</v>
      </c>
      <c r="AA4464" s="9">
        <v>81.509458318176925</v>
      </c>
      <c r="AB4464" s="9">
        <v>89.863972899994664</v>
      </c>
      <c r="AC4464" s="9">
        <v>89.863972899994664</v>
      </c>
      <c r="AD4464" s="9">
        <v>98.618648314994076</v>
      </c>
      <c r="AE4464" s="9">
        <v>108.72378502149357</v>
      </c>
      <c r="AF4464" s="9">
        <v>120.36692993447016</v>
      </c>
      <c r="AG4464" s="9">
        <v>120.36692993447016</v>
      </c>
      <c r="AH4464" s="9">
        <v>131.35112917791719</v>
      </c>
      <c r="AI4464" s="9">
        <v>142.33181861642981</v>
      </c>
      <c r="AJ4464" s="9">
        <v>3.0428788910505911</v>
      </c>
    </row>
    <row r="4465" spans="1:36" x14ac:dyDescent="0.25">
      <c r="A4465" t="s">
        <v>5411</v>
      </c>
      <c r="B4465" t="s">
        <v>16</v>
      </c>
      <c r="C4465" t="s">
        <v>17</v>
      </c>
      <c r="D4465">
        <v>77908000</v>
      </c>
      <c r="E4465">
        <v>77909999</v>
      </c>
      <c r="F4465" t="s">
        <v>4062</v>
      </c>
      <c r="G4465" t="str">
        <f t="shared" si="138"/>
        <v>TOR</v>
      </c>
      <c r="H4465" t="s">
        <v>3952</v>
      </c>
      <c r="I4465" t="s">
        <v>20</v>
      </c>
      <c r="J4465" t="s">
        <v>77</v>
      </c>
      <c r="K4465" s="6">
        <v>0.03</v>
      </c>
      <c r="L4465" s="7">
        <f t="shared" si="139"/>
        <v>2E-3</v>
      </c>
      <c r="M4465" s="7">
        <v>3.0000000000000001E-3</v>
      </c>
      <c r="N4465">
        <v>17</v>
      </c>
      <c r="O4465" s="8">
        <v>49.365095147237867</v>
      </c>
      <c r="P4465" s="9">
        <v>49.365095147237867</v>
      </c>
      <c r="Q4465" s="9">
        <v>49.365095147237867</v>
      </c>
      <c r="R4465" s="9">
        <v>50.770888721957412</v>
      </c>
      <c r="S4465" s="9">
        <v>52.200434315108524</v>
      </c>
      <c r="T4465" s="9">
        <v>52.724840228616593</v>
      </c>
      <c r="U4465" s="9">
        <v>59.472638024172305</v>
      </c>
      <c r="V4465" s="9">
        <v>59.472638024172305</v>
      </c>
      <c r="W4465" s="9">
        <v>59.472638024172305</v>
      </c>
      <c r="X4465" s="9">
        <v>72.142723701589546</v>
      </c>
      <c r="Y4465" s="9">
        <v>72.142723701589546</v>
      </c>
      <c r="Z4465" s="9">
        <v>81.509458318176925</v>
      </c>
      <c r="AA4465" s="9">
        <v>81.509458318176925</v>
      </c>
      <c r="AB4465" s="9">
        <v>89.863972899994664</v>
      </c>
      <c r="AC4465" s="9">
        <v>89.863972899994664</v>
      </c>
      <c r="AD4465" s="9">
        <v>98.618648314994076</v>
      </c>
      <c r="AE4465" s="9">
        <v>108.72378502149357</v>
      </c>
      <c r="AF4465" s="9">
        <v>120.36692993447016</v>
      </c>
      <c r="AG4465" s="9">
        <v>120.36692993447016</v>
      </c>
      <c r="AH4465" s="9">
        <v>131.35112917791719</v>
      </c>
      <c r="AI4465" s="9">
        <v>142.33181861642981</v>
      </c>
      <c r="AJ4465" s="9">
        <v>3.0428788910505911</v>
      </c>
    </row>
    <row r="4466" spans="1:36" x14ac:dyDescent="0.25">
      <c r="A4466" t="s">
        <v>5411</v>
      </c>
      <c r="B4466" t="s">
        <v>16</v>
      </c>
      <c r="C4466" t="s">
        <v>17</v>
      </c>
      <c r="D4466">
        <v>77910000</v>
      </c>
      <c r="E4466">
        <v>77912999</v>
      </c>
      <c r="F4466" t="s">
        <v>4063</v>
      </c>
      <c r="G4466" t="str">
        <f t="shared" si="138"/>
        <v>TOR</v>
      </c>
      <c r="H4466" t="s">
        <v>3952</v>
      </c>
      <c r="I4466" t="s">
        <v>20</v>
      </c>
      <c r="J4466" t="s">
        <v>77</v>
      </c>
      <c r="K4466" s="6">
        <v>0.03</v>
      </c>
      <c r="L4466" s="7">
        <f t="shared" si="139"/>
        <v>2E-3</v>
      </c>
      <c r="M4466" s="7">
        <v>3.0000000000000001E-3</v>
      </c>
      <c r="N4466">
        <v>17</v>
      </c>
      <c r="O4466" s="8">
        <v>49.365095147237867</v>
      </c>
      <c r="P4466" s="9">
        <v>49.365095147237867</v>
      </c>
      <c r="Q4466" s="9">
        <v>49.365095147237867</v>
      </c>
      <c r="R4466" s="9">
        <v>50.770888721957412</v>
      </c>
      <c r="S4466" s="9">
        <v>52.200434315108524</v>
      </c>
      <c r="T4466" s="9">
        <v>52.724840228616593</v>
      </c>
      <c r="U4466" s="9">
        <v>59.472638024172305</v>
      </c>
      <c r="V4466" s="9">
        <v>59.472638024172305</v>
      </c>
      <c r="W4466" s="9">
        <v>59.472638024172305</v>
      </c>
      <c r="X4466" s="9">
        <v>72.142723701589546</v>
      </c>
      <c r="Y4466" s="9">
        <v>72.142723701589546</v>
      </c>
      <c r="Z4466" s="9">
        <v>81.509458318176925</v>
      </c>
      <c r="AA4466" s="9">
        <v>81.509458318176925</v>
      </c>
      <c r="AB4466" s="9">
        <v>89.863972899994664</v>
      </c>
      <c r="AC4466" s="9">
        <v>89.863972899994664</v>
      </c>
      <c r="AD4466" s="9">
        <v>98.618648314994076</v>
      </c>
      <c r="AE4466" s="9">
        <v>108.72378502149357</v>
      </c>
      <c r="AF4466" s="9">
        <v>120.36692993447016</v>
      </c>
      <c r="AG4466" s="9">
        <v>120.36692993447016</v>
      </c>
      <c r="AH4466" s="9">
        <v>131.35112917791719</v>
      </c>
      <c r="AI4466" s="9">
        <v>142.33181861642981</v>
      </c>
      <c r="AJ4466" s="9">
        <v>3.0428788910505911</v>
      </c>
    </row>
    <row r="4467" spans="1:36" x14ac:dyDescent="0.25">
      <c r="A4467" t="s">
        <v>5411</v>
      </c>
      <c r="B4467" t="s">
        <v>16</v>
      </c>
      <c r="C4467" t="s">
        <v>17</v>
      </c>
      <c r="D4467">
        <v>77913000</v>
      </c>
      <c r="E4467">
        <v>77914999</v>
      </c>
      <c r="F4467" t="s">
        <v>4064</v>
      </c>
      <c r="G4467" t="str">
        <f t="shared" si="138"/>
        <v>TOR</v>
      </c>
      <c r="H4467" t="s">
        <v>3952</v>
      </c>
      <c r="I4467" t="s">
        <v>20</v>
      </c>
      <c r="J4467" t="s">
        <v>77</v>
      </c>
      <c r="K4467" s="6">
        <v>0.03</v>
      </c>
      <c r="L4467" s="7">
        <f t="shared" si="139"/>
        <v>2E-3</v>
      </c>
      <c r="M4467" s="7">
        <v>3.0000000000000001E-3</v>
      </c>
      <c r="N4467">
        <v>17</v>
      </c>
      <c r="O4467" s="8">
        <v>49.365095147237867</v>
      </c>
      <c r="P4467" s="9">
        <v>49.365095147237867</v>
      </c>
      <c r="Q4467" s="9">
        <v>49.365095147237867</v>
      </c>
      <c r="R4467" s="9">
        <v>50.770888721957412</v>
      </c>
      <c r="S4467" s="9">
        <v>52.200434315108524</v>
      </c>
      <c r="T4467" s="9">
        <v>52.724840228616593</v>
      </c>
      <c r="U4467" s="9">
        <v>59.472638024172305</v>
      </c>
      <c r="V4467" s="9">
        <v>59.472638024172305</v>
      </c>
      <c r="W4467" s="9">
        <v>59.472638024172305</v>
      </c>
      <c r="X4467" s="9">
        <v>72.142723701589546</v>
      </c>
      <c r="Y4467" s="9">
        <v>72.142723701589546</v>
      </c>
      <c r="Z4467" s="9">
        <v>81.509458318176925</v>
      </c>
      <c r="AA4467" s="9">
        <v>81.509458318176925</v>
      </c>
      <c r="AB4467" s="9">
        <v>89.863972899994664</v>
      </c>
      <c r="AC4467" s="9">
        <v>89.863972899994664</v>
      </c>
      <c r="AD4467" s="9">
        <v>98.618648314994076</v>
      </c>
      <c r="AE4467" s="9">
        <v>108.72378502149357</v>
      </c>
      <c r="AF4467" s="9">
        <v>120.36692993447016</v>
      </c>
      <c r="AG4467" s="9">
        <v>120.36692993447016</v>
      </c>
      <c r="AH4467" s="9">
        <v>131.35112917791719</v>
      </c>
      <c r="AI4467" s="9">
        <v>142.33181861642981</v>
      </c>
      <c r="AJ4467" s="9">
        <v>3.0428788910505911</v>
      </c>
    </row>
    <row r="4468" spans="1:36" x14ac:dyDescent="0.25">
      <c r="A4468" t="s">
        <v>5411</v>
      </c>
      <c r="B4468" t="s">
        <v>16</v>
      </c>
      <c r="C4468" t="s">
        <v>17</v>
      </c>
      <c r="D4468">
        <v>77915000</v>
      </c>
      <c r="E4468">
        <v>77917999</v>
      </c>
      <c r="F4468" t="s">
        <v>2238</v>
      </c>
      <c r="G4468" t="str">
        <f t="shared" si="138"/>
        <v>TOR</v>
      </c>
      <c r="H4468" t="s">
        <v>3952</v>
      </c>
      <c r="I4468" t="s">
        <v>20</v>
      </c>
      <c r="J4468" t="s">
        <v>77</v>
      </c>
      <c r="K4468" s="6">
        <v>0.03</v>
      </c>
      <c r="L4468" s="7">
        <f t="shared" si="139"/>
        <v>2E-3</v>
      </c>
      <c r="M4468" s="7">
        <v>3.0000000000000001E-3</v>
      </c>
      <c r="N4468">
        <v>17</v>
      </c>
      <c r="O4468" s="8">
        <v>49.365095147237867</v>
      </c>
      <c r="P4468" s="9">
        <v>49.365095147237867</v>
      </c>
      <c r="Q4468" s="9">
        <v>49.365095147237867</v>
      </c>
      <c r="R4468" s="9">
        <v>50.770888721957412</v>
      </c>
      <c r="S4468" s="9">
        <v>52.200434315108524</v>
      </c>
      <c r="T4468" s="9">
        <v>52.724840228616593</v>
      </c>
      <c r="U4468" s="9">
        <v>59.472638024172305</v>
      </c>
      <c r="V4468" s="9">
        <v>59.472638024172305</v>
      </c>
      <c r="W4468" s="9">
        <v>59.472638024172305</v>
      </c>
      <c r="X4468" s="9">
        <v>72.142723701589546</v>
      </c>
      <c r="Y4468" s="9">
        <v>72.142723701589546</v>
      </c>
      <c r="Z4468" s="9">
        <v>81.509458318176925</v>
      </c>
      <c r="AA4468" s="9">
        <v>81.509458318176925</v>
      </c>
      <c r="AB4468" s="9">
        <v>89.863972899994664</v>
      </c>
      <c r="AC4468" s="9">
        <v>89.863972899994664</v>
      </c>
      <c r="AD4468" s="9">
        <v>98.618648314994076</v>
      </c>
      <c r="AE4468" s="9">
        <v>108.72378502149357</v>
      </c>
      <c r="AF4468" s="9">
        <v>120.36692993447016</v>
      </c>
      <c r="AG4468" s="9">
        <v>120.36692993447016</v>
      </c>
      <c r="AH4468" s="9">
        <v>131.35112917791719</v>
      </c>
      <c r="AI4468" s="9">
        <v>142.33181861642981</v>
      </c>
      <c r="AJ4468" s="9">
        <v>3.0428788910505911</v>
      </c>
    </row>
    <row r="4469" spans="1:36" x14ac:dyDescent="0.25">
      <c r="A4469" t="s">
        <v>5411</v>
      </c>
      <c r="B4469" t="s">
        <v>16</v>
      </c>
      <c r="C4469" t="s">
        <v>17</v>
      </c>
      <c r="D4469">
        <v>77918000</v>
      </c>
      <c r="E4469">
        <v>77919999</v>
      </c>
      <c r="F4469" t="s">
        <v>4065</v>
      </c>
      <c r="G4469" t="str">
        <f t="shared" si="138"/>
        <v>TOR</v>
      </c>
      <c r="H4469" t="s">
        <v>3952</v>
      </c>
      <c r="I4469" t="s">
        <v>20</v>
      </c>
      <c r="J4469" t="s">
        <v>77</v>
      </c>
      <c r="K4469" s="6">
        <v>0.03</v>
      </c>
      <c r="L4469" s="7">
        <f t="shared" si="139"/>
        <v>2E-3</v>
      </c>
      <c r="M4469" s="7">
        <v>3.0000000000000001E-3</v>
      </c>
      <c r="N4469">
        <v>17</v>
      </c>
      <c r="O4469" s="8">
        <v>49.365095147237867</v>
      </c>
      <c r="P4469" s="9">
        <v>49.365095147237867</v>
      </c>
      <c r="Q4469" s="9">
        <v>49.365095147237867</v>
      </c>
      <c r="R4469" s="9">
        <v>50.770888721957412</v>
      </c>
      <c r="S4469" s="9">
        <v>52.200434315108524</v>
      </c>
      <c r="T4469" s="9">
        <v>52.724840228616593</v>
      </c>
      <c r="U4469" s="9">
        <v>59.472638024172305</v>
      </c>
      <c r="V4469" s="9">
        <v>59.472638024172305</v>
      </c>
      <c r="W4469" s="9">
        <v>59.472638024172305</v>
      </c>
      <c r="X4469" s="9">
        <v>72.142723701589546</v>
      </c>
      <c r="Y4469" s="9">
        <v>72.142723701589546</v>
      </c>
      <c r="Z4469" s="9">
        <v>81.509458318176925</v>
      </c>
      <c r="AA4469" s="9">
        <v>81.509458318176925</v>
      </c>
      <c r="AB4469" s="9">
        <v>89.863972899994664</v>
      </c>
      <c r="AC4469" s="9">
        <v>89.863972899994664</v>
      </c>
      <c r="AD4469" s="9">
        <v>98.618648314994076</v>
      </c>
      <c r="AE4469" s="9">
        <v>108.72378502149357</v>
      </c>
      <c r="AF4469" s="9">
        <v>120.36692993447016</v>
      </c>
      <c r="AG4469" s="9">
        <v>120.36692993447016</v>
      </c>
      <c r="AH4469" s="9">
        <v>131.35112917791719</v>
      </c>
      <c r="AI4469" s="9">
        <v>142.33181861642981</v>
      </c>
      <c r="AJ4469" s="9">
        <v>3.0428788910505911</v>
      </c>
    </row>
    <row r="4470" spans="1:36" x14ac:dyDescent="0.25">
      <c r="A4470" t="s">
        <v>5411</v>
      </c>
      <c r="B4470" t="s">
        <v>16</v>
      </c>
      <c r="C4470" t="s">
        <v>17</v>
      </c>
      <c r="D4470">
        <v>77920000</v>
      </c>
      <c r="E4470">
        <v>77924999</v>
      </c>
      <c r="F4470" t="s">
        <v>4066</v>
      </c>
      <c r="G4470" t="str">
        <f t="shared" si="138"/>
        <v>TOR</v>
      </c>
      <c r="H4470" t="s">
        <v>3952</v>
      </c>
      <c r="I4470" t="s">
        <v>20</v>
      </c>
      <c r="J4470" t="s">
        <v>77</v>
      </c>
      <c r="K4470" s="6">
        <v>0.03</v>
      </c>
      <c r="L4470" s="7">
        <f t="shared" si="139"/>
        <v>2E-3</v>
      </c>
      <c r="M4470" s="7">
        <v>3.0000000000000001E-3</v>
      </c>
      <c r="N4470">
        <v>17</v>
      </c>
      <c r="O4470" s="8">
        <v>49.365095147237867</v>
      </c>
      <c r="P4470" s="9">
        <v>49.365095147237867</v>
      </c>
      <c r="Q4470" s="9">
        <v>49.365095147237867</v>
      </c>
      <c r="R4470" s="9">
        <v>50.770888721957412</v>
      </c>
      <c r="S4470" s="9">
        <v>52.200434315108524</v>
      </c>
      <c r="T4470" s="9">
        <v>52.724840228616593</v>
      </c>
      <c r="U4470" s="9">
        <v>59.472638024172305</v>
      </c>
      <c r="V4470" s="9">
        <v>59.472638024172305</v>
      </c>
      <c r="W4470" s="9">
        <v>59.472638024172305</v>
      </c>
      <c r="X4470" s="9">
        <v>72.142723701589546</v>
      </c>
      <c r="Y4470" s="9">
        <v>72.142723701589546</v>
      </c>
      <c r="Z4470" s="9">
        <v>81.509458318176925</v>
      </c>
      <c r="AA4470" s="9">
        <v>81.509458318176925</v>
      </c>
      <c r="AB4470" s="9">
        <v>89.863972899994664</v>
      </c>
      <c r="AC4470" s="9">
        <v>89.863972899994664</v>
      </c>
      <c r="AD4470" s="9">
        <v>98.618648314994076</v>
      </c>
      <c r="AE4470" s="9">
        <v>108.72378502149357</v>
      </c>
      <c r="AF4470" s="9">
        <v>120.36692993447016</v>
      </c>
      <c r="AG4470" s="9">
        <v>120.36692993447016</v>
      </c>
      <c r="AH4470" s="9">
        <v>131.35112917791719</v>
      </c>
      <c r="AI4470" s="9">
        <v>142.33181861642981</v>
      </c>
      <c r="AJ4470" s="9">
        <v>3.0428788910505911</v>
      </c>
    </row>
    <row r="4471" spans="1:36" x14ac:dyDescent="0.25">
      <c r="A4471" t="s">
        <v>5411</v>
      </c>
      <c r="B4471" t="s">
        <v>16</v>
      </c>
      <c r="C4471" t="s">
        <v>17</v>
      </c>
      <c r="D4471">
        <v>77925000</v>
      </c>
      <c r="E4471">
        <v>77929999</v>
      </c>
      <c r="F4471" t="s">
        <v>4067</v>
      </c>
      <c r="G4471" t="str">
        <f t="shared" si="138"/>
        <v>TOR</v>
      </c>
      <c r="H4471" t="s">
        <v>3952</v>
      </c>
      <c r="I4471" t="s">
        <v>20</v>
      </c>
      <c r="J4471" t="s">
        <v>77</v>
      </c>
      <c r="K4471" s="6">
        <v>0.03</v>
      </c>
      <c r="L4471" s="7">
        <f t="shared" si="139"/>
        <v>2E-3</v>
      </c>
      <c r="M4471" s="7">
        <v>3.0000000000000001E-3</v>
      </c>
      <c r="N4471">
        <v>17</v>
      </c>
      <c r="O4471" s="8">
        <v>49.365095147237867</v>
      </c>
      <c r="P4471" s="9">
        <v>49.365095147237867</v>
      </c>
      <c r="Q4471" s="9">
        <v>49.365095147237867</v>
      </c>
      <c r="R4471" s="9">
        <v>50.770888721957412</v>
      </c>
      <c r="S4471" s="9">
        <v>52.200434315108524</v>
      </c>
      <c r="T4471" s="9">
        <v>52.724840228616593</v>
      </c>
      <c r="U4471" s="9">
        <v>59.472638024172305</v>
      </c>
      <c r="V4471" s="9">
        <v>59.472638024172305</v>
      </c>
      <c r="W4471" s="9">
        <v>59.472638024172305</v>
      </c>
      <c r="X4471" s="9">
        <v>72.142723701589546</v>
      </c>
      <c r="Y4471" s="9">
        <v>72.142723701589546</v>
      </c>
      <c r="Z4471" s="9">
        <v>81.509458318176925</v>
      </c>
      <c r="AA4471" s="9">
        <v>81.509458318176925</v>
      </c>
      <c r="AB4471" s="9">
        <v>89.863972899994664</v>
      </c>
      <c r="AC4471" s="9">
        <v>89.863972899994664</v>
      </c>
      <c r="AD4471" s="9">
        <v>98.618648314994076</v>
      </c>
      <c r="AE4471" s="9">
        <v>108.72378502149357</v>
      </c>
      <c r="AF4471" s="9">
        <v>120.36692993447016</v>
      </c>
      <c r="AG4471" s="9">
        <v>120.36692993447016</v>
      </c>
      <c r="AH4471" s="9">
        <v>131.35112917791719</v>
      </c>
      <c r="AI4471" s="9">
        <v>142.33181861642981</v>
      </c>
      <c r="AJ4471" s="9">
        <v>3.0428788910505911</v>
      </c>
    </row>
    <row r="4472" spans="1:36" x14ac:dyDescent="0.25">
      <c r="A4472" t="s">
        <v>5411</v>
      </c>
      <c r="B4472" t="s">
        <v>16</v>
      </c>
      <c r="C4472" t="s">
        <v>17</v>
      </c>
      <c r="D4472">
        <v>77930000</v>
      </c>
      <c r="E4472">
        <v>77939999</v>
      </c>
      <c r="F4472" t="s">
        <v>4068</v>
      </c>
      <c r="G4472" t="str">
        <f t="shared" si="138"/>
        <v>TOR</v>
      </c>
      <c r="H4472" t="s">
        <v>3952</v>
      </c>
      <c r="I4472" t="s">
        <v>20</v>
      </c>
      <c r="J4472" t="s">
        <v>77</v>
      </c>
      <c r="K4472" s="6">
        <v>0.03</v>
      </c>
      <c r="L4472" s="7">
        <f t="shared" si="139"/>
        <v>2E-3</v>
      </c>
      <c r="M4472" s="7">
        <v>3.0000000000000001E-3</v>
      </c>
      <c r="N4472">
        <v>17</v>
      </c>
      <c r="O4472" s="8">
        <v>49.365095147237867</v>
      </c>
      <c r="P4472" s="9">
        <v>49.365095147237867</v>
      </c>
      <c r="Q4472" s="9">
        <v>49.365095147237867</v>
      </c>
      <c r="R4472" s="9">
        <v>50.770888721957412</v>
      </c>
      <c r="S4472" s="9">
        <v>52.200434315108524</v>
      </c>
      <c r="T4472" s="9">
        <v>52.724840228616593</v>
      </c>
      <c r="U4472" s="9">
        <v>59.472638024172305</v>
      </c>
      <c r="V4472" s="9">
        <v>59.472638024172305</v>
      </c>
      <c r="W4472" s="9">
        <v>59.472638024172305</v>
      </c>
      <c r="X4472" s="9">
        <v>72.142723701589546</v>
      </c>
      <c r="Y4472" s="9">
        <v>72.142723701589546</v>
      </c>
      <c r="Z4472" s="9">
        <v>81.509458318176925</v>
      </c>
      <c r="AA4472" s="9">
        <v>81.509458318176925</v>
      </c>
      <c r="AB4472" s="9">
        <v>89.863972899994664</v>
      </c>
      <c r="AC4472" s="9">
        <v>89.863972899994664</v>
      </c>
      <c r="AD4472" s="9">
        <v>98.618648314994076</v>
      </c>
      <c r="AE4472" s="9">
        <v>108.72378502149357</v>
      </c>
      <c r="AF4472" s="9">
        <v>120.36692993447016</v>
      </c>
      <c r="AG4472" s="9">
        <v>120.36692993447016</v>
      </c>
      <c r="AH4472" s="9">
        <v>131.35112917791719</v>
      </c>
      <c r="AI4472" s="9">
        <v>142.33181861642981</v>
      </c>
      <c r="AJ4472" s="9">
        <v>3.0428788910505911</v>
      </c>
    </row>
    <row r="4473" spans="1:36" x14ac:dyDescent="0.25">
      <c r="A4473" t="s">
        <v>5411</v>
      </c>
      <c r="B4473" t="s">
        <v>16</v>
      </c>
      <c r="C4473" t="s">
        <v>17</v>
      </c>
      <c r="D4473">
        <v>77940000</v>
      </c>
      <c r="E4473">
        <v>77949999</v>
      </c>
      <c r="F4473" t="s">
        <v>4069</v>
      </c>
      <c r="G4473" t="str">
        <f t="shared" si="138"/>
        <v>TOR</v>
      </c>
      <c r="H4473" t="s">
        <v>3952</v>
      </c>
      <c r="I4473" t="s">
        <v>20</v>
      </c>
      <c r="J4473" t="s">
        <v>77</v>
      </c>
      <c r="K4473" s="6">
        <v>0.03</v>
      </c>
      <c r="L4473" s="7">
        <f t="shared" si="139"/>
        <v>2E-3</v>
      </c>
      <c r="M4473" s="7">
        <v>3.0000000000000001E-3</v>
      </c>
      <c r="N4473">
        <v>17</v>
      </c>
      <c r="O4473" s="8">
        <v>49.365095147237867</v>
      </c>
      <c r="P4473" s="9">
        <v>49.365095147237867</v>
      </c>
      <c r="Q4473" s="9">
        <v>49.365095147237867</v>
      </c>
      <c r="R4473" s="9">
        <v>50.770888721957412</v>
      </c>
      <c r="S4473" s="9">
        <v>52.200434315108524</v>
      </c>
      <c r="T4473" s="9">
        <v>52.724840228616593</v>
      </c>
      <c r="U4473" s="9">
        <v>59.472638024172305</v>
      </c>
      <c r="V4473" s="9">
        <v>59.472638024172305</v>
      </c>
      <c r="W4473" s="9">
        <v>59.472638024172305</v>
      </c>
      <c r="X4473" s="9">
        <v>72.142723701589546</v>
      </c>
      <c r="Y4473" s="9">
        <v>72.142723701589546</v>
      </c>
      <c r="Z4473" s="9">
        <v>81.509458318176925</v>
      </c>
      <c r="AA4473" s="9">
        <v>81.509458318176925</v>
      </c>
      <c r="AB4473" s="9">
        <v>89.863972899994664</v>
      </c>
      <c r="AC4473" s="9">
        <v>89.863972899994664</v>
      </c>
      <c r="AD4473" s="9">
        <v>98.618648314994076</v>
      </c>
      <c r="AE4473" s="9">
        <v>108.72378502149357</v>
      </c>
      <c r="AF4473" s="9">
        <v>120.36692993447016</v>
      </c>
      <c r="AG4473" s="9">
        <v>120.36692993447016</v>
      </c>
      <c r="AH4473" s="9">
        <v>131.35112917791719</v>
      </c>
      <c r="AI4473" s="9">
        <v>142.33181861642981</v>
      </c>
      <c r="AJ4473" s="9">
        <v>3.0428788910505911</v>
      </c>
    </row>
    <row r="4474" spans="1:36" x14ac:dyDescent="0.25">
      <c r="A4474" t="s">
        <v>5411</v>
      </c>
      <c r="B4474" t="s">
        <v>16</v>
      </c>
      <c r="C4474" t="s">
        <v>17</v>
      </c>
      <c r="D4474">
        <v>77950000</v>
      </c>
      <c r="E4474">
        <v>77957999</v>
      </c>
      <c r="F4474" t="s">
        <v>4070</v>
      </c>
      <c r="G4474" t="str">
        <f t="shared" si="138"/>
        <v>TOR</v>
      </c>
      <c r="H4474" t="s">
        <v>3952</v>
      </c>
      <c r="I4474" t="s">
        <v>20</v>
      </c>
      <c r="J4474" t="s">
        <v>77</v>
      </c>
      <c r="K4474" s="6">
        <v>0.03</v>
      </c>
      <c r="L4474" s="7">
        <f t="shared" si="139"/>
        <v>2E-3</v>
      </c>
      <c r="M4474" s="7">
        <v>3.0000000000000001E-3</v>
      </c>
      <c r="N4474">
        <v>17</v>
      </c>
      <c r="O4474" s="8">
        <v>49.365095147237867</v>
      </c>
      <c r="P4474" s="9">
        <v>49.365095147237867</v>
      </c>
      <c r="Q4474" s="9">
        <v>49.365095147237867</v>
      </c>
      <c r="R4474" s="9">
        <v>50.770888721957412</v>
      </c>
      <c r="S4474" s="9">
        <v>52.200434315108524</v>
      </c>
      <c r="T4474" s="9">
        <v>52.724840228616593</v>
      </c>
      <c r="U4474" s="9">
        <v>59.472638024172305</v>
      </c>
      <c r="V4474" s="9">
        <v>59.472638024172305</v>
      </c>
      <c r="W4474" s="9">
        <v>59.472638024172305</v>
      </c>
      <c r="X4474" s="9">
        <v>72.142723701589546</v>
      </c>
      <c r="Y4474" s="9">
        <v>72.142723701589546</v>
      </c>
      <c r="Z4474" s="9">
        <v>81.509458318176925</v>
      </c>
      <c r="AA4474" s="9">
        <v>81.509458318176925</v>
      </c>
      <c r="AB4474" s="9">
        <v>89.863972899994664</v>
      </c>
      <c r="AC4474" s="9">
        <v>89.863972899994664</v>
      </c>
      <c r="AD4474" s="9">
        <v>98.618648314994076</v>
      </c>
      <c r="AE4474" s="9">
        <v>108.72378502149357</v>
      </c>
      <c r="AF4474" s="9">
        <v>120.36692993447016</v>
      </c>
      <c r="AG4474" s="9">
        <v>120.36692993447016</v>
      </c>
      <c r="AH4474" s="9">
        <v>131.35112917791719</v>
      </c>
      <c r="AI4474" s="9">
        <v>142.33181861642981</v>
      </c>
      <c r="AJ4474" s="9">
        <v>3.0428788910505911</v>
      </c>
    </row>
    <row r="4475" spans="1:36" x14ac:dyDescent="0.25">
      <c r="A4475" t="s">
        <v>5411</v>
      </c>
      <c r="B4475" t="s">
        <v>16</v>
      </c>
      <c r="C4475" t="s">
        <v>17</v>
      </c>
      <c r="D4475">
        <v>77958000</v>
      </c>
      <c r="E4475">
        <v>77959999</v>
      </c>
      <c r="F4475" t="s">
        <v>4071</v>
      </c>
      <c r="G4475" t="str">
        <f t="shared" si="138"/>
        <v>TOR</v>
      </c>
      <c r="H4475" t="s">
        <v>3952</v>
      </c>
      <c r="I4475" t="s">
        <v>20</v>
      </c>
      <c r="J4475" t="s">
        <v>77</v>
      </c>
      <c r="K4475" s="6">
        <v>0.03</v>
      </c>
      <c r="L4475" s="7">
        <f t="shared" si="139"/>
        <v>2E-3</v>
      </c>
      <c r="M4475" s="7">
        <v>3.0000000000000001E-3</v>
      </c>
      <c r="N4475">
        <v>17</v>
      </c>
      <c r="O4475" s="8">
        <v>49.365095147237867</v>
      </c>
      <c r="P4475" s="9">
        <v>49.365095147237867</v>
      </c>
      <c r="Q4475" s="9">
        <v>49.365095147237867</v>
      </c>
      <c r="R4475" s="9">
        <v>50.770888721957412</v>
      </c>
      <c r="S4475" s="9">
        <v>52.200434315108524</v>
      </c>
      <c r="T4475" s="9">
        <v>52.724840228616593</v>
      </c>
      <c r="U4475" s="9">
        <v>59.472638024172305</v>
      </c>
      <c r="V4475" s="9">
        <v>59.472638024172305</v>
      </c>
      <c r="W4475" s="9">
        <v>59.472638024172305</v>
      </c>
      <c r="X4475" s="9">
        <v>72.142723701589546</v>
      </c>
      <c r="Y4475" s="9">
        <v>72.142723701589546</v>
      </c>
      <c r="Z4475" s="9">
        <v>81.509458318176925</v>
      </c>
      <c r="AA4475" s="9">
        <v>81.509458318176925</v>
      </c>
      <c r="AB4475" s="9">
        <v>89.863972899994664</v>
      </c>
      <c r="AC4475" s="9">
        <v>89.863972899994664</v>
      </c>
      <c r="AD4475" s="9">
        <v>98.618648314994076</v>
      </c>
      <c r="AE4475" s="9">
        <v>108.72378502149357</v>
      </c>
      <c r="AF4475" s="9">
        <v>120.36692993447016</v>
      </c>
      <c r="AG4475" s="9">
        <v>120.36692993447016</v>
      </c>
      <c r="AH4475" s="9">
        <v>131.35112917791719</v>
      </c>
      <c r="AI4475" s="9">
        <v>142.33181861642981</v>
      </c>
      <c r="AJ4475" s="9">
        <v>3.0428788910505911</v>
      </c>
    </row>
    <row r="4476" spans="1:36" x14ac:dyDescent="0.25">
      <c r="A4476" t="s">
        <v>5411</v>
      </c>
      <c r="B4476" t="s">
        <v>16</v>
      </c>
      <c r="C4476" t="s">
        <v>17</v>
      </c>
      <c r="D4476">
        <v>77960000</v>
      </c>
      <c r="E4476">
        <v>77969999</v>
      </c>
      <c r="F4476" t="s">
        <v>4072</v>
      </c>
      <c r="G4476" t="str">
        <f t="shared" si="138"/>
        <v>TOR</v>
      </c>
      <c r="H4476" t="s">
        <v>3952</v>
      </c>
      <c r="I4476" t="s">
        <v>20</v>
      </c>
      <c r="J4476" t="s">
        <v>77</v>
      </c>
      <c r="K4476" s="6">
        <v>0.03</v>
      </c>
      <c r="L4476" s="7">
        <f t="shared" si="139"/>
        <v>2E-3</v>
      </c>
      <c r="M4476" s="7">
        <v>3.0000000000000001E-3</v>
      </c>
      <c r="N4476">
        <v>17</v>
      </c>
      <c r="O4476" s="8">
        <v>49.365095147237867</v>
      </c>
      <c r="P4476" s="9">
        <v>49.365095147237867</v>
      </c>
      <c r="Q4476" s="9">
        <v>49.365095147237867</v>
      </c>
      <c r="R4476" s="9">
        <v>50.770888721957412</v>
      </c>
      <c r="S4476" s="9">
        <v>52.200434315108524</v>
      </c>
      <c r="T4476" s="9">
        <v>52.724840228616593</v>
      </c>
      <c r="U4476" s="9">
        <v>59.472638024172305</v>
      </c>
      <c r="V4476" s="9">
        <v>59.472638024172305</v>
      </c>
      <c r="W4476" s="9">
        <v>59.472638024172305</v>
      </c>
      <c r="X4476" s="9">
        <v>72.142723701589546</v>
      </c>
      <c r="Y4476" s="9">
        <v>72.142723701589546</v>
      </c>
      <c r="Z4476" s="9">
        <v>81.509458318176925</v>
      </c>
      <c r="AA4476" s="9">
        <v>81.509458318176925</v>
      </c>
      <c r="AB4476" s="9">
        <v>89.863972899994664</v>
      </c>
      <c r="AC4476" s="9">
        <v>89.863972899994664</v>
      </c>
      <c r="AD4476" s="9">
        <v>98.618648314994076</v>
      </c>
      <c r="AE4476" s="9">
        <v>108.72378502149357</v>
      </c>
      <c r="AF4476" s="9">
        <v>120.36692993447016</v>
      </c>
      <c r="AG4476" s="9">
        <v>120.36692993447016</v>
      </c>
      <c r="AH4476" s="9">
        <v>131.35112917791719</v>
      </c>
      <c r="AI4476" s="9">
        <v>142.33181861642981</v>
      </c>
      <c r="AJ4476" s="9">
        <v>3.0428788910505911</v>
      </c>
    </row>
    <row r="4477" spans="1:36" x14ac:dyDescent="0.25">
      <c r="A4477" t="s">
        <v>5411</v>
      </c>
      <c r="B4477" t="s">
        <v>16</v>
      </c>
      <c r="C4477" t="s">
        <v>17</v>
      </c>
      <c r="D4477">
        <v>77970000</v>
      </c>
      <c r="E4477">
        <v>77979999</v>
      </c>
      <c r="F4477" t="s">
        <v>4073</v>
      </c>
      <c r="G4477" t="str">
        <f t="shared" si="138"/>
        <v>TOR</v>
      </c>
      <c r="H4477" t="s">
        <v>3952</v>
      </c>
      <c r="I4477" t="s">
        <v>20</v>
      </c>
      <c r="J4477" t="s">
        <v>77</v>
      </c>
      <c r="K4477" s="6">
        <v>0.03</v>
      </c>
      <c r="L4477" s="7">
        <f t="shared" si="139"/>
        <v>2E-3</v>
      </c>
      <c r="M4477" s="7">
        <v>3.0000000000000001E-3</v>
      </c>
      <c r="N4477">
        <v>17</v>
      </c>
      <c r="O4477" s="8">
        <v>49.365095147237867</v>
      </c>
      <c r="P4477" s="9">
        <v>49.365095147237867</v>
      </c>
      <c r="Q4477" s="9">
        <v>49.365095147237867</v>
      </c>
      <c r="R4477" s="9">
        <v>50.770888721957412</v>
      </c>
      <c r="S4477" s="9">
        <v>52.200434315108524</v>
      </c>
      <c r="T4477" s="9">
        <v>52.724840228616593</v>
      </c>
      <c r="U4477" s="9">
        <v>59.472638024172305</v>
      </c>
      <c r="V4477" s="9">
        <v>59.472638024172305</v>
      </c>
      <c r="W4477" s="9">
        <v>59.472638024172305</v>
      </c>
      <c r="X4477" s="9">
        <v>72.142723701589546</v>
      </c>
      <c r="Y4477" s="9">
        <v>72.142723701589546</v>
      </c>
      <c r="Z4477" s="9">
        <v>81.509458318176925</v>
      </c>
      <c r="AA4477" s="9">
        <v>81.509458318176925</v>
      </c>
      <c r="AB4477" s="9">
        <v>89.863972899994664</v>
      </c>
      <c r="AC4477" s="9">
        <v>89.863972899994664</v>
      </c>
      <c r="AD4477" s="9">
        <v>98.618648314994076</v>
      </c>
      <c r="AE4477" s="9">
        <v>108.72378502149357</v>
      </c>
      <c r="AF4477" s="9">
        <v>120.36692993447016</v>
      </c>
      <c r="AG4477" s="9">
        <v>120.36692993447016</v>
      </c>
      <c r="AH4477" s="9">
        <v>131.35112917791719</v>
      </c>
      <c r="AI4477" s="9">
        <v>142.33181861642981</v>
      </c>
      <c r="AJ4477" s="9">
        <v>3.0428788910505911</v>
      </c>
    </row>
    <row r="4478" spans="1:36" x14ac:dyDescent="0.25">
      <c r="A4478" t="s">
        <v>5411</v>
      </c>
      <c r="B4478" t="s">
        <v>16</v>
      </c>
      <c r="C4478" t="s">
        <v>17</v>
      </c>
      <c r="D4478">
        <v>77980000</v>
      </c>
      <c r="E4478">
        <v>77984999</v>
      </c>
      <c r="F4478" t="s">
        <v>4074</v>
      </c>
      <c r="G4478" t="str">
        <f t="shared" si="138"/>
        <v>TOR</v>
      </c>
      <c r="H4478" t="s">
        <v>3952</v>
      </c>
      <c r="I4478" t="s">
        <v>20</v>
      </c>
      <c r="J4478" t="s">
        <v>77</v>
      </c>
      <c r="K4478" s="6">
        <v>0.03</v>
      </c>
      <c r="L4478" s="7">
        <f t="shared" si="139"/>
        <v>2E-3</v>
      </c>
      <c r="M4478" s="7">
        <v>3.0000000000000001E-3</v>
      </c>
      <c r="N4478">
        <v>17</v>
      </c>
      <c r="O4478" s="8">
        <v>49.365095147237867</v>
      </c>
      <c r="P4478" s="9">
        <v>49.365095147237867</v>
      </c>
      <c r="Q4478" s="9">
        <v>49.365095147237867</v>
      </c>
      <c r="R4478" s="9">
        <v>50.770888721957412</v>
      </c>
      <c r="S4478" s="9">
        <v>52.200434315108524</v>
      </c>
      <c r="T4478" s="9">
        <v>52.724840228616593</v>
      </c>
      <c r="U4478" s="9">
        <v>59.472638024172305</v>
      </c>
      <c r="V4478" s="9">
        <v>59.472638024172305</v>
      </c>
      <c r="W4478" s="9">
        <v>59.472638024172305</v>
      </c>
      <c r="X4478" s="9">
        <v>72.142723701589546</v>
      </c>
      <c r="Y4478" s="9">
        <v>72.142723701589546</v>
      </c>
      <c r="Z4478" s="9">
        <v>81.509458318176925</v>
      </c>
      <c r="AA4478" s="9">
        <v>81.509458318176925</v>
      </c>
      <c r="AB4478" s="9">
        <v>89.863972899994664</v>
      </c>
      <c r="AC4478" s="9">
        <v>89.863972899994664</v>
      </c>
      <c r="AD4478" s="9">
        <v>98.618648314994076</v>
      </c>
      <c r="AE4478" s="9">
        <v>108.72378502149357</v>
      </c>
      <c r="AF4478" s="9">
        <v>120.36692993447016</v>
      </c>
      <c r="AG4478" s="9">
        <v>120.36692993447016</v>
      </c>
      <c r="AH4478" s="9">
        <v>131.35112917791719</v>
      </c>
      <c r="AI4478" s="9">
        <v>142.33181861642981</v>
      </c>
      <c r="AJ4478" s="9">
        <v>3.0428788910505911</v>
      </c>
    </row>
    <row r="4479" spans="1:36" x14ac:dyDescent="0.25">
      <c r="A4479" t="s">
        <v>5411</v>
      </c>
      <c r="B4479" t="s">
        <v>16</v>
      </c>
      <c r="C4479" t="s">
        <v>17</v>
      </c>
      <c r="D4479">
        <v>77985000</v>
      </c>
      <c r="E4479">
        <v>77989999</v>
      </c>
      <c r="F4479" t="s">
        <v>4075</v>
      </c>
      <c r="G4479" t="str">
        <f t="shared" si="138"/>
        <v>TOR</v>
      </c>
      <c r="H4479" t="s">
        <v>3952</v>
      </c>
      <c r="I4479" t="s">
        <v>20</v>
      </c>
      <c r="J4479" t="s">
        <v>77</v>
      </c>
      <c r="K4479" s="6">
        <v>0.03</v>
      </c>
      <c r="L4479" s="7">
        <f t="shared" si="139"/>
        <v>2E-3</v>
      </c>
      <c r="M4479" s="7">
        <v>3.0000000000000001E-3</v>
      </c>
      <c r="N4479">
        <v>17</v>
      </c>
      <c r="O4479" s="8">
        <v>49.365095147237867</v>
      </c>
      <c r="P4479" s="9">
        <v>49.365095147237867</v>
      </c>
      <c r="Q4479" s="9">
        <v>49.365095147237867</v>
      </c>
      <c r="R4479" s="9">
        <v>50.770888721957412</v>
      </c>
      <c r="S4479" s="9">
        <v>52.200434315108524</v>
      </c>
      <c r="T4479" s="9">
        <v>52.724840228616593</v>
      </c>
      <c r="U4479" s="9">
        <v>59.472638024172305</v>
      </c>
      <c r="V4479" s="9">
        <v>59.472638024172305</v>
      </c>
      <c r="W4479" s="9">
        <v>59.472638024172305</v>
      </c>
      <c r="X4479" s="9">
        <v>72.142723701589546</v>
      </c>
      <c r="Y4479" s="9">
        <v>72.142723701589546</v>
      </c>
      <c r="Z4479" s="9">
        <v>81.509458318176925</v>
      </c>
      <c r="AA4479" s="9">
        <v>81.509458318176925</v>
      </c>
      <c r="AB4479" s="9">
        <v>89.863972899994664</v>
      </c>
      <c r="AC4479" s="9">
        <v>89.863972899994664</v>
      </c>
      <c r="AD4479" s="9">
        <v>98.618648314994076</v>
      </c>
      <c r="AE4479" s="9">
        <v>108.72378502149357</v>
      </c>
      <c r="AF4479" s="9">
        <v>120.36692993447016</v>
      </c>
      <c r="AG4479" s="9">
        <v>120.36692993447016</v>
      </c>
      <c r="AH4479" s="9">
        <v>131.35112917791719</v>
      </c>
      <c r="AI4479" s="9">
        <v>142.33181861642981</v>
      </c>
      <c r="AJ4479" s="9">
        <v>3.0428788910505911</v>
      </c>
    </row>
    <row r="4480" spans="1:36" x14ac:dyDescent="0.25">
      <c r="A4480" t="s">
        <v>5411</v>
      </c>
      <c r="B4480" t="s">
        <v>16</v>
      </c>
      <c r="C4480" t="s">
        <v>17</v>
      </c>
      <c r="D4480">
        <v>77990000</v>
      </c>
      <c r="E4480">
        <v>77992999</v>
      </c>
      <c r="F4480" t="s">
        <v>4076</v>
      </c>
      <c r="G4480" t="str">
        <f t="shared" si="138"/>
        <v>TOR</v>
      </c>
      <c r="H4480" t="s">
        <v>3952</v>
      </c>
      <c r="I4480" t="s">
        <v>20</v>
      </c>
      <c r="J4480" t="s">
        <v>77</v>
      </c>
      <c r="K4480" s="6">
        <v>0.03</v>
      </c>
      <c r="L4480" s="7">
        <f t="shared" si="139"/>
        <v>2E-3</v>
      </c>
      <c r="M4480" s="7">
        <v>3.0000000000000001E-3</v>
      </c>
      <c r="N4480">
        <v>17</v>
      </c>
      <c r="O4480" s="8">
        <v>49.365095147237867</v>
      </c>
      <c r="P4480" s="9">
        <v>49.365095147237867</v>
      </c>
      <c r="Q4480" s="9">
        <v>49.365095147237867</v>
      </c>
      <c r="R4480" s="9">
        <v>50.770888721957412</v>
      </c>
      <c r="S4480" s="9">
        <v>52.200434315108524</v>
      </c>
      <c r="T4480" s="9">
        <v>52.724840228616593</v>
      </c>
      <c r="U4480" s="9">
        <v>59.472638024172305</v>
      </c>
      <c r="V4480" s="9">
        <v>59.472638024172305</v>
      </c>
      <c r="W4480" s="9">
        <v>59.472638024172305</v>
      </c>
      <c r="X4480" s="9">
        <v>72.142723701589546</v>
      </c>
      <c r="Y4480" s="9">
        <v>72.142723701589546</v>
      </c>
      <c r="Z4480" s="9">
        <v>81.509458318176925</v>
      </c>
      <c r="AA4480" s="9">
        <v>81.509458318176925</v>
      </c>
      <c r="AB4480" s="9">
        <v>89.863972899994664</v>
      </c>
      <c r="AC4480" s="9">
        <v>89.863972899994664</v>
      </c>
      <c r="AD4480" s="9">
        <v>98.618648314994076</v>
      </c>
      <c r="AE4480" s="9">
        <v>108.72378502149357</v>
      </c>
      <c r="AF4480" s="9">
        <v>120.36692993447016</v>
      </c>
      <c r="AG4480" s="9">
        <v>120.36692993447016</v>
      </c>
      <c r="AH4480" s="9">
        <v>131.35112917791719</v>
      </c>
      <c r="AI4480" s="9">
        <v>142.33181861642981</v>
      </c>
      <c r="AJ4480" s="9">
        <v>3.0428788910505911</v>
      </c>
    </row>
    <row r="4481" spans="1:36" x14ac:dyDescent="0.25">
      <c r="A4481" t="s">
        <v>5411</v>
      </c>
      <c r="B4481" t="s">
        <v>16</v>
      </c>
      <c r="C4481" t="s">
        <v>17</v>
      </c>
      <c r="D4481">
        <v>77993000</v>
      </c>
      <c r="E4481">
        <v>77994999</v>
      </c>
      <c r="F4481" t="s">
        <v>3014</v>
      </c>
      <c r="G4481" t="str">
        <f t="shared" si="138"/>
        <v>TOR</v>
      </c>
      <c r="H4481" t="s">
        <v>3952</v>
      </c>
      <c r="I4481" t="s">
        <v>20</v>
      </c>
      <c r="J4481" t="s">
        <v>77</v>
      </c>
      <c r="K4481" s="6">
        <v>0.03</v>
      </c>
      <c r="L4481" s="7">
        <f t="shared" si="139"/>
        <v>2E-3</v>
      </c>
      <c r="M4481" s="7">
        <v>3.0000000000000001E-3</v>
      </c>
      <c r="N4481">
        <v>17</v>
      </c>
      <c r="O4481" s="8">
        <v>49.365095147237867</v>
      </c>
      <c r="P4481" s="9">
        <v>49.365095147237867</v>
      </c>
      <c r="Q4481" s="9">
        <v>49.365095147237867</v>
      </c>
      <c r="R4481" s="9">
        <v>50.770888721957412</v>
      </c>
      <c r="S4481" s="9">
        <v>52.200434315108524</v>
      </c>
      <c r="T4481" s="9">
        <v>52.724840228616593</v>
      </c>
      <c r="U4481" s="9">
        <v>59.472638024172305</v>
      </c>
      <c r="V4481" s="9">
        <v>59.472638024172305</v>
      </c>
      <c r="W4481" s="9">
        <v>59.472638024172305</v>
      </c>
      <c r="X4481" s="9">
        <v>72.142723701589546</v>
      </c>
      <c r="Y4481" s="9">
        <v>72.142723701589546</v>
      </c>
      <c r="Z4481" s="9">
        <v>81.509458318176925</v>
      </c>
      <c r="AA4481" s="9">
        <v>81.509458318176925</v>
      </c>
      <c r="AB4481" s="9">
        <v>89.863972899994664</v>
      </c>
      <c r="AC4481" s="9">
        <v>89.863972899994664</v>
      </c>
      <c r="AD4481" s="9">
        <v>98.618648314994076</v>
      </c>
      <c r="AE4481" s="9">
        <v>108.72378502149357</v>
      </c>
      <c r="AF4481" s="9">
        <v>120.36692993447016</v>
      </c>
      <c r="AG4481" s="9">
        <v>120.36692993447016</v>
      </c>
      <c r="AH4481" s="9">
        <v>131.35112917791719</v>
      </c>
      <c r="AI4481" s="9">
        <v>142.33181861642981</v>
      </c>
      <c r="AJ4481" s="9">
        <v>3.0428788910505911</v>
      </c>
    </row>
    <row r="4482" spans="1:36" x14ac:dyDescent="0.25">
      <c r="A4482" t="s">
        <v>5411</v>
      </c>
      <c r="B4482" t="s">
        <v>16</v>
      </c>
      <c r="C4482" t="s">
        <v>17</v>
      </c>
      <c r="D4482">
        <v>77995000</v>
      </c>
      <c r="E4482">
        <v>77999999</v>
      </c>
      <c r="F4482" t="s">
        <v>4077</v>
      </c>
      <c r="G4482" t="str">
        <f t="shared" si="138"/>
        <v>TOR</v>
      </c>
      <c r="H4482" t="s">
        <v>3952</v>
      </c>
      <c r="I4482" t="s">
        <v>20</v>
      </c>
      <c r="J4482" t="s">
        <v>77</v>
      </c>
      <c r="K4482" s="6">
        <v>0.03</v>
      </c>
      <c r="L4482" s="7">
        <f t="shared" si="139"/>
        <v>2E-3</v>
      </c>
      <c r="M4482" s="7">
        <v>3.0000000000000001E-3</v>
      </c>
      <c r="N4482">
        <v>17</v>
      </c>
      <c r="O4482" s="8">
        <v>49.365095147237867</v>
      </c>
      <c r="P4482" s="9">
        <v>49.365095147237867</v>
      </c>
      <c r="Q4482" s="9">
        <v>49.365095147237867</v>
      </c>
      <c r="R4482" s="9">
        <v>50.770888721957412</v>
      </c>
      <c r="S4482" s="9">
        <v>52.200434315108524</v>
      </c>
      <c r="T4482" s="9">
        <v>52.724840228616593</v>
      </c>
      <c r="U4482" s="9">
        <v>59.472638024172305</v>
      </c>
      <c r="V4482" s="9">
        <v>59.472638024172305</v>
      </c>
      <c r="W4482" s="9">
        <v>59.472638024172305</v>
      </c>
      <c r="X4482" s="9">
        <v>72.142723701589546</v>
      </c>
      <c r="Y4482" s="9">
        <v>72.142723701589546</v>
      </c>
      <c r="Z4482" s="9">
        <v>81.509458318176925</v>
      </c>
      <c r="AA4482" s="9">
        <v>81.509458318176925</v>
      </c>
      <c r="AB4482" s="9">
        <v>89.863972899994664</v>
      </c>
      <c r="AC4482" s="9">
        <v>89.863972899994664</v>
      </c>
      <c r="AD4482" s="9">
        <v>98.618648314994076</v>
      </c>
      <c r="AE4482" s="9">
        <v>108.72378502149357</v>
      </c>
      <c r="AF4482" s="9">
        <v>120.36692993447016</v>
      </c>
      <c r="AG4482" s="9">
        <v>120.36692993447016</v>
      </c>
      <c r="AH4482" s="9">
        <v>131.35112917791719</v>
      </c>
      <c r="AI4482" s="9">
        <v>142.33181861642981</v>
      </c>
      <c r="AJ4482" s="9">
        <v>3.0428788910505911</v>
      </c>
    </row>
    <row r="4483" spans="1:36" x14ac:dyDescent="0.25">
      <c r="A4483" t="s">
        <v>5411</v>
      </c>
      <c r="B4483" t="s">
        <v>16</v>
      </c>
      <c r="C4483" t="s">
        <v>17</v>
      </c>
      <c r="D4483">
        <v>78000000</v>
      </c>
      <c r="E4483">
        <v>78099999</v>
      </c>
      <c r="F4483" t="s">
        <v>4078</v>
      </c>
      <c r="G4483" t="str">
        <f t="shared" si="138"/>
        <v>MTC</v>
      </c>
      <c r="H4483" t="s">
        <v>4079</v>
      </c>
      <c r="I4483" t="s">
        <v>20</v>
      </c>
      <c r="J4483" t="s">
        <v>21</v>
      </c>
      <c r="K4483" s="6">
        <v>0.03</v>
      </c>
      <c r="L4483" s="7">
        <f t="shared" si="139"/>
        <v>2E-3</v>
      </c>
      <c r="M4483" s="7">
        <v>3.0000000000000001E-3</v>
      </c>
      <c r="N4483">
        <v>12</v>
      </c>
      <c r="O4483" s="8">
        <v>13.679359634076365</v>
      </c>
      <c r="P4483" s="9">
        <v>13.679359634076365</v>
      </c>
      <c r="Q4483" s="9">
        <v>13.679359634076365</v>
      </c>
      <c r="R4483" s="9">
        <v>15.170570396333657</v>
      </c>
      <c r="S4483" s="9">
        <v>15.704788139201618</v>
      </c>
      <c r="T4483" s="9">
        <v>17.318925261435076</v>
      </c>
      <c r="U4483" s="9">
        <v>20.481697611770748</v>
      </c>
      <c r="V4483" s="9">
        <v>20.481697611770748</v>
      </c>
      <c r="W4483" s="9">
        <v>20.481697611770748</v>
      </c>
      <c r="X4483" s="9">
        <v>25.841167971780745</v>
      </c>
      <c r="Y4483" s="9">
        <v>25.841167971780745</v>
      </c>
      <c r="Z4483" s="9">
        <v>31.764335679170156</v>
      </c>
      <c r="AA4483" s="9">
        <v>31.764335679170156</v>
      </c>
      <c r="AB4483" s="9">
        <v>37.542107513624302</v>
      </c>
      <c r="AC4483" s="9">
        <v>37.542107513624302</v>
      </c>
      <c r="AD4483" s="9">
        <v>43.059756145467752</v>
      </c>
      <c r="AE4483" s="9">
        <v>49.060640943211155</v>
      </c>
      <c r="AF4483" s="9">
        <v>54.761167496194368</v>
      </c>
      <c r="AG4483" s="9">
        <v>54.761167496194368</v>
      </c>
      <c r="AH4483" s="9">
        <v>60.56706656564387</v>
      </c>
      <c r="AI4483" s="9">
        <v>66.283951904397099</v>
      </c>
      <c r="AJ4483" s="9">
        <v>3.0428788910505911</v>
      </c>
    </row>
    <row r="4484" spans="1:36" x14ac:dyDescent="0.25">
      <c r="A4484" t="s">
        <v>5411</v>
      </c>
      <c r="B4484" t="s">
        <v>16</v>
      </c>
      <c r="C4484" t="s">
        <v>17</v>
      </c>
      <c r="D4484">
        <v>78100000</v>
      </c>
      <c r="E4484">
        <v>78109999</v>
      </c>
      <c r="F4484" t="s">
        <v>4080</v>
      </c>
      <c r="G4484" t="str">
        <f t="shared" ref="G4484:G4547" si="140">H4484&amp;IF(J4484="CAPITAL","C",IF(J4484="INTERIOR","I",IF(J4484="INTERIOR II","I II","R")))</f>
        <v>MTI</v>
      </c>
      <c r="H4484" t="s">
        <v>4079</v>
      </c>
      <c r="I4484" t="s">
        <v>20</v>
      </c>
      <c r="J4484" t="s">
        <v>62</v>
      </c>
      <c r="K4484" s="6">
        <v>0.03</v>
      </c>
      <c r="L4484" s="7">
        <f t="shared" ref="L4484:L4547" si="141">IF(I4484="(0) Não",0.2%,3%)</f>
        <v>2E-3</v>
      </c>
      <c r="M4484" s="7">
        <v>3.0000000000000001E-3</v>
      </c>
      <c r="N4484">
        <v>13</v>
      </c>
      <c r="O4484" s="8">
        <v>26.118073918823253</v>
      </c>
      <c r="P4484" s="9">
        <v>26.118073918823253</v>
      </c>
      <c r="Q4484" s="9">
        <v>26.118073918823253</v>
      </c>
      <c r="R4484" s="9">
        <v>27.018935032738966</v>
      </c>
      <c r="S4484" s="9">
        <v>29.233496655672415</v>
      </c>
      <c r="T4484" s="9">
        <v>29.915869247956095</v>
      </c>
      <c r="U4484" s="9">
        <v>32.362199363352872</v>
      </c>
      <c r="V4484" s="9">
        <v>32.362199363352872</v>
      </c>
      <c r="W4484" s="9">
        <v>32.362199363352872</v>
      </c>
      <c r="X4484" s="9">
        <v>35.319290018891536</v>
      </c>
      <c r="Y4484" s="9">
        <v>35.319290018891536</v>
      </c>
      <c r="Z4484" s="9">
        <v>38.866068520442738</v>
      </c>
      <c r="AA4484" s="9">
        <v>38.866068520442738</v>
      </c>
      <c r="AB4484" s="9">
        <v>42.295123575006713</v>
      </c>
      <c r="AC4484" s="9">
        <v>42.295123575006713</v>
      </c>
      <c r="AD4484" s="9">
        <v>46.125805918060735</v>
      </c>
      <c r="AE4484" s="9">
        <v>50.02963556407235</v>
      </c>
      <c r="AF4484" s="9">
        <v>54.232391814971237</v>
      </c>
      <c r="AG4484" s="9">
        <v>54.232391814971237</v>
      </c>
      <c r="AH4484" s="9">
        <v>58.13951963530036</v>
      </c>
      <c r="AI4484" s="9">
        <v>62.203070038163574</v>
      </c>
      <c r="AJ4484" s="9">
        <v>3.0428788910505911</v>
      </c>
    </row>
    <row r="4485" spans="1:36" x14ac:dyDescent="0.25">
      <c r="A4485" t="s">
        <v>5411</v>
      </c>
      <c r="B4485" t="s">
        <v>16</v>
      </c>
      <c r="C4485" t="s">
        <v>17</v>
      </c>
      <c r="D4485">
        <v>78110000</v>
      </c>
      <c r="E4485">
        <v>78169999</v>
      </c>
      <c r="F4485" t="s">
        <v>4081</v>
      </c>
      <c r="G4485" t="str">
        <f t="shared" si="140"/>
        <v>MTC</v>
      </c>
      <c r="H4485" t="s">
        <v>4079</v>
      </c>
      <c r="I4485" t="s">
        <v>20</v>
      </c>
      <c r="J4485" t="s">
        <v>21</v>
      </c>
      <c r="K4485" s="6">
        <v>0.03</v>
      </c>
      <c r="L4485" s="7">
        <f t="shared" si="141"/>
        <v>2E-3</v>
      </c>
      <c r="M4485" s="7">
        <v>3.0000000000000001E-3</v>
      </c>
      <c r="N4485">
        <v>12</v>
      </c>
      <c r="O4485" s="8">
        <v>13.679359634076365</v>
      </c>
      <c r="P4485" s="9">
        <v>13.679359634076365</v>
      </c>
      <c r="Q4485" s="9">
        <v>13.679359634076365</v>
      </c>
      <c r="R4485" s="9">
        <v>15.170570396333657</v>
      </c>
      <c r="S4485" s="9">
        <v>15.704788139201618</v>
      </c>
      <c r="T4485" s="9">
        <v>17.318925261435076</v>
      </c>
      <c r="U4485" s="9">
        <v>20.481697611770748</v>
      </c>
      <c r="V4485" s="9">
        <v>20.481697611770748</v>
      </c>
      <c r="W4485" s="9">
        <v>20.481697611770748</v>
      </c>
      <c r="X4485" s="9">
        <v>25.841167971780745</v>
      </c>
      <c r="Y4485" s="9">
        <v>25.841167971780745</v>
      </c>
      <c r="Z4485" s="9">
        <v>31.764335679170156</v>
      </c>
      <c r="AA4485" s="9">
        <v>31.764335679170156</v>
      </c>
      <c r="AB4485" s="9">
        <v>37.542107513624302</v>
      </c>
      <c r="AC4485" s="9">
        <v>37.542107513624302</v>
      </c>
      <c r="AD4485" s="9">
        <v>43.059756145467752</v>
      </c>
      <c r="AE4485" s="9">
        <v>49.060640943211155</v>
      </c>
      <c r="AF4485" s="9">
        <v>54.761167496194368</v>
      </c>
      <c r="AG4485" s="9">
        <v>54.761167496194368</v>
      </c>
      <c r="AH4485" s="9">
        <v>60.56706656564387</v>
      </c>
      <c r="AI4485" s="9">
        <v>66.283951904397099</v>
      </c>
      <c r="AJ4485" s="9">
        <v>3.0428788910505911</v>
      </c>
    </row>
    <row r="4486" spans="1:36" x14ac:dyDescent="0.25">
      <c r="A4486" t="s">
        <v>5411</v>
      </c>
      <c r="B4486" t="s">
        <v>16</v>
      </c>
      <c r="C4486" t="s">
        <v>17</v>
      </c>
      <c r="D4486">
        <v>78170000</v>
      </c>
      <c r="E4486">
        <v>78174999</v>
      </c>
      <c r="F4486" t="s">
        <v>4082</v>
      </c>
      <c r="G4486" t="str">
        <f t="shared" si="140"/>
        <v>MTR</v>
      </c>
      <c r="H4486" t="s">
        <v>4079</v>
      </c>
      <c r="I4486" t="s">
        <v>20</v>
      </c>
      <c r="J4486" t="s">
        <v>77</v>
      </c>
      <c r="K4486" s="6">
        <v>0.03</v>
      </c>
      <c r="L4486" s="7">
        <f t="shared" si="141"/>
        <v>2E-3</v>
      </c>
      <c r="M4486" s="7">
        <v>3.0000000000000001E-3</v>
      </c>
      <c r="N4486">
        <v>17</v>
      </c>
      <c r="O4486" s="8">
        <v>41.207080732056241</v>
      </c>
      <c r="P4486" s="9">
        <v>41.207080732056241</v>
      </c>
      <c r="Q4486" s="9">
        <v>41.207080732056241</v>
      </c>
      <c r="R4486" s="9">
        <v>42.157262509433366</v>
      </c>
      <c r="S4486" s="9">
        <v>44.562650125658905</v>
      </c>
      <c r="T4486" s="9">
        <v>44.774343906619599</v>
      </c>
      <c r="U4486" s="9">
        <v>47.410026125961608</v>
      </c>
      <c r="V4486" s="9">
        <v>47.410026125961608</v>
      </c>
      <c r="W4486" s="9">
        <v>47.410026125961608</v>
      </c>
      <c r="X4486" s="9">
        <v>51.970197263128114</v>
      </c>
      <c r="Y4486" s="9">
        <v>51.970197263128114</v>
      </c>
      <c r="Z4486" s="9">
        <v>57.180133523400194</v>
      </c>
      <c r="AA4486" s="9">
        <v>57.180133523400194</v>
      </c>
      <c r="AB4486" s="9">
        <v>62.205497742174821</v>
      </c>
      <c r="AC4486" s="9">
        <v>62.205497742174821</v>
      </c>
      <c r="AD4486" s="9">
        <v>67.764075150980162</v>
      </c>
      <c r="AE4486" s="9">
        <v>75.345852790378046</v>
      </c>
      <c r="AF4486" s="9">
        <v>81.372396625232085</v>
      </c>
      <c r="AG4486" s="9">
        <v>81.372396625232085</v>
      </c>
      <c r="AH4486" s="9">
        <v>88.045224250123979</v>
      </c>
      <c r="AI4486" s="9">
        <v>94.96907033416484</v>
      </c>
      <c r="AJ4486" s="9">
        <v>3.0428788910505911</v>
      </c>
    </row>
    <row r="4487" spans="1:36" x14ac:dyDescent="0.25">
      <c r="A4487" t="s">
        <v>5411</v>
      </c>
      <c r="B4487" t="s">
        <v>16</v>
      </c>
      <c r="C4487" t="s">
        <v>17</v>
      </c>
      <c r="D4487">
        <v>78175000</v>
      </c>
      <c r="E4487">
        <v>78179999</v>
      </c>
      <c r="F4487" t="s">
        <v>4083</v>
      </c>
      <c r="G4487" t="str">
        <f t="shared" si="140"/>
        <v>MTR</v>
      </c>
      <c r="H4487" t="s">
        <v>4079</v>
      </c>
      <c r="I4487" t="s">
        <v>20</v>
      </c>
      <c r="J4487" t="s">
        <v>77</v>
      </c>
      <c r="K4487" s="6">
        <v>0.03</v>
      </c>
      <c r="L4487" s="7">
        <f t="shared" si="141"/>
        <v>2E-3</v>
      </c>
      <c r="M4487" s="7">
        <v>3.0000000000000001E-3</v>
      </c>
      <c r="N4487">
        <v>17</v>
      </c>
      <c r="O4487" s="8">
        <v>41.207080732056241</v>
      </c>
      <c r="P4487" s="9">
        <v>41.207080732056241</v>
      </c>
      <c r="Q4487" s="9">
        <v>41.207080732056241</v>
      </c>
      <c r="R4487" s="9">
        <v>42.157262509433366</v>
      </c>
      <c r="S4487" s="9">
        <v>44.562650125658905</v>
      </c>
      <c r="T4487" s="9">
        <v>44.774343906619599</v>
      </c>
      <c r="U4487" s="9">
        <v>47.410026125961608</v>
      </c>
      <c r="V4487" s="9">
        <v>47.410026125961608</v>
      </c>
      <c r="W4487" s="9">
        <v>47.410026125961608</v>
      </c>
      <c r="X4487" s="9">
        <v>51.970197263128114</v>
      </c>
      <c r="Y4487" s="9">
        <v>51.970197263128114</v>
      </c>
      <c r="Z4487" s="9">
        <v>57.180133523400194</v>
      </c>
      <c r="AA4487" s="9">
        <v>57.180133523400194</v>
      </c>
      <c r="AB4487" s="9">
        <v>62.205497742174821</v>
      </c>
      <c r="AC4487" s="9">
        <v>62.205497742174821</v>
      </c>
      <c r="AD4487" s="9">
        <v>67.764075150980162</v>
      </c>
      <c r="AE4487" s="9">
        <v>75.345852790378046</v>
      </c>
      <c r="AF4487" s="9">
        <v>81.372396625232085</v>
      </c>
      <c r="AG4487" s="9">
        <v>81.372396625232085</v>
      </c>
      <c r="AH4487" s="9">
        <v>88.045224250123979</v>
      </c>
      <c r="AI4487" s="9">
        <v>94.96907033416484</v>
      </c>
      <c r="AJ4487" s="9">
        <v>3.0428788910505911</v>
      </c>
    </row>
    <row r="4488" spans="1:36" x14ac:dyDescent="0.25">
      <c r="A4488" t="s">
        <v>5411</v>
      </c>
      <c r="B4488" t="s">
        <v>16</v>
      </c>
      <c r="C4488" t="s">
        <v>17</v>
      </c>
      <c r="D4488">
        <v>78180000</v>
      </c>
      <c r="E4488">
        <v>78189999</v>
      </c>
      <c r="F4488" t="s">
        <v>4084</v>
      </c>
      <c r="G4488" t="str">
        <f t="shared" si="140"/>
        <v>MTR</v>
      </c>
      <c r="H4488" t="s">
        <v>4079</v>
      </c>
      <c r="I4488" t="s">
        <v>20</v>
      </c>
      <c r="J4488" t="s">
        <v>77</v>
      </c>
      <c r="K4488" s="6">
        <v>0.03</v>
      </c>
      <c r="L4488" s="7">
        <f t="shared" si="141"/>
        <v>2E-3</v>
      </c>
      <c r="M4488" s="7">
        <v>3.0000000000000001E-3</v>
      </c>
      <c r="N4488">
        <v>17</v>
      </c>
      <c r="O4488" s="8">
        <v>41.207080732056241</v>
      </c>
      <c r="P4488" s="9">
        <v>41.207080732056241</v>
      </c>
      <c r="Q4488" s="9">
        <v>41.207080732056241</v>
      </c>
      <c r="R4488" s="9">
        <v>42.157262509433366</v>
      </c>
      <c r="S4488" s="9">
        <v>44.562650125658905</v>
      </c>
      <c r="T4488" s="9">
        <v>44.774343906619599</v>
      </c>
      <c r="U4488" s="9">
        <v>47.410026125961608</v>
      </c>
      <c r="V4488" s="9">
        <v>47.410026125961608</v>
      </c>
      <c r="W4488" s="9">
        <v>47.410026125961608</v>
      </c>
      <c r="X4488" s="9">
        <v>51.970197263128114</v>
      </c>
      <c r="Y4488" s="9">
        <v>51.970197263128114</v>
      </c>
      <c r="Z4488" s="9">
        <v>57.180133523400194</v>
      </c>
      <c r="AA4488" s="9">
        <v>57.180133523400194</v>
      </c>
      <c r="AB4488" s="9">
        <v>62.205497742174821</v>
      </c>
      <c r="AC4488" s="9">
        <v>62.205497742174821</v>
      </c>
      <c r="AD4488" s="9">
        <v>67.764075150980162</v>
      </c>
      <c r="AE4488" s="9">
        <v>75.345852790378046</v>
      </c>
      <c r="AF4488" s="9">
        <v>81.372396625232085</v>
      </c>
      <c r="AG4488" s="9">
        <v>81.372396625232085</v>
      </c>
      <c r="AH4488" s="9">
        <v>88.045224250123979</v>
      </c>
      <c r="AI4488" s="9">
        <v>94.96907033416484</v>
      </c>
      <c r="AJ4488" s="9">
        <v>3.0428788910505911</v>
      </c>
    </row>
    <row r="4489" spans="1:36" x14ac:dyDescent="0.25">
      <c r="A4489" t="s">
        <v>5411</v>
      </c>
      <c r="B4489" t="s">
        <v>16</v>
      </c>
      <c r="C4489" t="s">
        <v>17</v>
      </c>
      <c r="D4489">
        <v>78190000</v>
      </c>
      <c r="E4489">
        <v>78194999</v>
      </c>
      <c r="F4489" t="s">
        <v>4085</v>
      </c>
      <c r="G4489" t="str">
        <f t="shared" si="140"/>
        <v>MTR</v>
      </c>
      <c r="H4489" t="s">
        <v>4079</v>
      </c>
      <c r="I4489" t="s">
        <v>20</v>
      </c>
      <c r="J4489" t="s">
        <v>77</v>
      </c>
      <c r="K4489" s="6">
        <v>0.03</v>
      </c>
      <c r="L4489" s="7">
        <f t="shared" si="141"/>
        <v>2E-3</v>
      </c>
      <c r="M4489" s="7">
        <v>3.0000000000000001E-3</v>
      </c>
      <c r="N4489">
        <v>17</v>
      </c>
      <c r="O4489" s="8">
        <v>41.207080732056241</v>
      </c>
      <c r="P4489" s="9">
        <v>41.207080732056241</v>
      </c>
      <c r="Q4489" s="9">
        <v>41.207080732056241</v>
      </c>
      <c r="R4489" s="9">
        <v>42.157262509433366</v>
      </c>
      <c r="S4489" s="9">
        <v>44.562650125658905</v>
      </c>
      <c r="T4489" s="9">
        <v>44.774343906619599</v>
      </c>
      <c r="U4489" s="9">
        <v>47.410026125961608</v>
      </c>
      <c r="V4489" s="9">
        <v>47.410026125961608</v>
      </c>
      <c r="W4489" s="9">
        <v>47.410026125961608</v>
      </c>
      <c r="X4489" s="9">
        <v>51.970197263128114</v>
      </c>
      <c r="Y4489" s="9">
        <v>51.970197263128114</v>
      </c>
      <c r="Z4489" s="9">
        <v>57.180133523400194</v>
      </c>
      <c r="AA4489" s="9">
        <v>57.180133523400194</v>
      </c>
      <c r="AB4489" s="9">
        <v>62.205497742174821</v>
      </c>
      <c r="AC4489" s="9">
        <v>62.205497742174821</v>
      </c>
      <c r="AD4489" s="9">
        <v>67.764075150980162</v>
      </c>
      <c r="AE4489" s="9">
        <v>75.345852790378046</v>
      </c>
      <c r="AF4489" s="9">
        <v>81.372396625232085</v>
      </c>
      <c r="AG4489" s="9">
        <v>81.372396625232085</v>
      </c>
      <c r="AH4489" s="9">
        <v>88.045224250123979</v>
      </c>
      <c r="AI4489" s="9">
        <v>94.96907033416484</v>
      </c>
      <c r="AJ4489" s="9">
        <v>3.0428788910505911</v>
      </c>
    </row>
    <row r="4490" spans="1:36" x14ac:dyDescent="0.25">
      <c r="A4490" t="s">
        <v>5411</v>
      </c>
      <c r="B4490" t="s">
        <v>16</v>
      </c>
      <c r="C4490" t="s">
        <v>17</v>
      </c>
      <c r="D4490">
        <v>78195000</v>
      </c>
      <c r="E4490">
        <v>78199999</v>
      </c>
      <c r="F4490" t="s">
        <v>4086</v>
      </c>
      <c r="G4490" t="str">
        <f t="shared" si="140"/>
        <v>MTR</v>
      </c>
      <c r="H4490" t="s">
        <v>4079</v>
      </c>
      <c r="I4490" t="s">
        <v>20</v>
      </c>
      <c r="J4490" t="s">
        <v>77</v>
      </c>
      <c r="K4490" s="6">
        <v>0.03</v>
      </c>
      <c r="L4490" s="7">
        <f t="shared" si="141"/>
        <v>2E-3</v>
      </c>
      <c r="M4490" s="7">
        <v>3.0000000000000001E-3</v>
      </c>
      <c r="N4490">
        <v>17</v>
      </c>
      <c r="O4490" s="8">
        <v>41.207080732056241</v>
      </c>
      <c r="P4490" s="9">
        <v>41.207080732056241</v>
      </c>
      <c r="Q4490" s="9">
        <v>41.207080732056241</v>
      </c>
      <c r="R4490" s="9">
        <v>42.157262509433366</v>
      </c>
      <c r="S4490" s="9">
        <v>44.562650125658905</v>
      </c>
      <c r="T4490" s="9">
        <v>44.774343906619599</v>
      </c>
      <c r="U4490" s="9">
        <v>47.410026125961608</v>
      </c>
      <c r="V4490" s="9">
        <v>47.410026125961608</v>
      </c>
      <c r="W4490" s="9">
        <v>47.410026125961608</v>
      </c>
      <c r="X4490" s="9">
        <v>51.970197263128114</v>
      </c>
      <c r="Y4490" s="9">
        <v>51.970197263128114</v>
      </c>
      <c r="Z4490" s="9">
        <v>57.180133523400194</v>
      </c>
      <c r="AA4490" s="9">
        <v>57.180133523400194</v>
      </c>
      <c r="AB4490" s="9">
        <v>62.205497742174821</v>
      </c>
      <c r="AC4490" s="9">
        <v>62.205497742174821</v>
      </c>
      <c r="AD4490" s="9">
        <v>67.764075150980162</v>
      </c>
      <c r="AE4490" s="9">
        <v>75.345852790378046</v>
      </c>
      <c r="AF4490" s="9">
        <v>81.372396625232085</v>
      </c>
      <c r="AG4490" s="9">
        <v>81.372396625232085</v>
      </c>
      <c r="AH4490" s="9">
        <v>88.045224250123979</v>
      </c>
      <c r="AI4490" s="9">
        <v>94.96907033416484</v>
      </c>
      <c r="AJ4490" s="9">
        <v>3.0428788910505911</v>
      </c>
    </row>
    <row r="4491" spans="1:36" x14ac:dyDescent="0.25">
      <c r="A4491" t="s">
        <v>5411</v>
      </c>
      <c r="B4491" t="s">
        <v>16</v>
      </c>
      <c r="C4491" t="s">
        <v>17</v>
      </c>
      <c r="D4491">
        <v>78200000</v>
      </c>
      <c r="E4491">
        <v>78236999</v>
      </c>
      <c r="F4491" t="s">
        <v>4087</v>
      </c>
      <c r="G4491" t="str">
        <f t="shared" si="140"/>
        <v>MTI</v>
      </c>
      <c r="H4491" t="s">
        <v>4079</v>
      </c>
      <c r="I4491" t="s">
        <v>20</v>
      </c>
      <c r="J4491" t="s">
        <v>62</v>
      </c>
      <c r="K4491" s="6">
        <v>0.03</v>
      </c>
      <c r="L4491" s="7">
        <f t="shared" si="141"/>
        <v>2E-3</v>
      </c>
      <c r="M4491" s="7">
        <v>3.0000000000000001E-3</v>
      </c>
      <c r="N4491">
        <v>13</v>
      </c>
      <c r="O4491" s="8">
        <v>26.118073918823253</v>
      </c>
      <c r="P4491" s="9">
        <v>26.118073918823253</v>
      </c>
      <c r="Q4491" s="9">
        <v>26.118073918823253</v>
      </c>
      <c r="R4491" s="9">
        <v>27.018935032738966</v>
      </c>
      <c r="S4491" s="9">
        <v>29.233496655672415</v>
      </c>
      <c r="T4491" s="9">
        <v>29.915869247956095</v>
      </c>
      <c r="U4491" s="9">
        <v>32.362199363352872</v>
      </c>
      <c r="V4491" s="9">
        <v>32.362199363352872</v>
      </c>
      <c r="W4491" s="9">
        <v>32.362199363352872</v>
      </c>
      <c r="X4491" s="9">
        <v>35.319290018891536</v>
      </c>
      <c r="Y4491" s="9">
        <v>35.319290018891536</v>
      </c>
      <c r="Z4491" s="9">
        <v>38.866068520442738</v>
      </c>
      <c r="AA4491" s="9">
        <v>38.866068520442738</v>
      </c>
      <c r="AB4491" s="9">
        <v>42.295123575006713</v>
      </c>
      <c r="AC4491" s="9">
        <v>42.295123575006713</v>
      </c>
      <c r="AD4491" s="9">
        <v>46.125805918060735</v>
      </c>
      <c r="AE4491" s="9">
        <v>50.02963556407235</v>
      </c>
      <c r="AF4491" s="9">
        <v>54.232391814971237</v>
      </c>
      <c r="AG4491" s="9">
        <v>54.232391814971237</v>
      </c>
      <c r="AH4491" s="9">
        <v>58.13951963530036</v>
      </c>
      <c r="AI4491" s="9">
        <v>62.203070038163574</v>
      </c>
      <c r="AJ4491" s="9">
        <v>3.0428788910505911</v>
      </c>
    </row>
    <row r="4492" spans="1:36" x14ac:dyDescent="0.25">
      <c r="A4492" t="s">
        <v>5411</v>
      </c>
      <c r="B4492" t="s">
        <v>16</v>
      </c>
      <c r="C4492" t="s">
        <v>17</v>
      </c>
      <c r="D4492">
        <v>78237000</v>
      </c>
      <c r="E4492">
        <v>78239999</v>
      </c>
      <c r="F4492" t="s">
        <v>4088</v>
      </c>
      <c r="G4492" t="str">
        <f t="shared" si="140"/>
        <v>MTR</v>
      </c>
      <c r="H4492" t="s">
        <v>4079</v>
      </c>
      <c r="I4492" t="s">
        <v>20</v>
      </c>
      <c r="J4492" t="s">
        <v>77</v>
      </c>
      <c r="K4492" s="6">
        <v>0.03</v>
      </c>
      <c r="L4492" s="7">
        <f t="shared" si="141"/>
        <v>2E-3</v>
      </c>
      <c r="M4492" s="7">
        <v>3.0000000000000001E-3</v>
      </c>
      <c r="N4492">
        <v>17</v>
      </c>
      <c r="O4492" s="8">
        <v>41.207080732056241</v>
      </c>
      <c r="P4492" s="9">
        <v>41.207080732056241</v>
      </c>
      <c r="Q4492" s="9">
        <v>41.207080732056241</v>
      </c>
      <c r="R4492" s="9">
        <v>42.157262509433366</v>
      </c>
      <c r="S4492" s="9">
        <v>44.562650125658905</v>
      </c>
      <c r="T4492" s="9">
        <v>44.774343906619599</v>
      </c>
      <c r="U4492" s="9">
        <v>47.410026125961608</v>
      </c>
      <c r="V4492" s="9">
        <v>47.410026125961608</v>
      </c>
      <c r="W4492" s="9">
        <v>47.410026125961608</v>
      </c>
      <c r="X4492" s="9">
        <v>51.970197263128114</v>
      </c>
      <c r="Y4492" s="9">
        <v>51.970197263128114</v>
      </c>
      <c r="Z4492" s="9">
        <v>57.180133523400194</v>
      </c>
      <c r="AA4492" s="9">
        <v>57.180133523400194</v>
      </c>
      <c r="AB4492" s="9">
        <v>62.205497742174821</v>
      </c>
      <c r="AC4492" s="9">
        <v>62.205497742174821</v>
      </c>
      <c r="AD4492" s="9">
        <v>67.764075150980162</v>
      </c>
      <c r="AE4492" s="9">
        <v>75.345852790378046</v>
      </c>
      <c r="AF4492" s="9">
        <v>81.372396625232085</v>
      </c>
      <c r="AG4492" s="9">
        <v>81.372396625232085</v>
      </c>
      <c r="AH4492" s="9">
        <v>88.045224250123979</v>
      </c>
      <c r="AI4492" s="9">
        <v>94.96907033416484</v>
      </c>
      <c r="AJ4492" s="9">
        <v>3.0428788910505911</v>
      </c>
    </row>
    <row r="4493" spans="1:36" x14ac:dyDescent="0.25">
      <c r="A4493" t="s">
        <v>5411</v>
      </c>
      <c r="B4493" t="s">
        <v>16</v>
      </c>
      <c r="C4493" t="s">
        <v>17</v>
      </c>
      <c r="D4493">
        <v>78240000</v>
      </c>
      <c r="E4493">
        <v>78242999</v>
      </c>
      <c r="F4493" t="s">
        <v>4089</v>
      </c>
      <c r="G4493" t="str">
        <f t="shared" si="140"/>
        <v>MTR</v>
      </c>
      <c r="H4493" t="s">
        <v>4079</v>
      </c>
      <c r="I4493" t="s">
        <v>20</v>
      </c>
      <c r="J4493" t="s">
        <v>77</v>
      </c>
      <c r="K4493" s="6">
        <v>0.03</v>
      </c>
      <c r="L4493" s="7">
        <f t="shared" si="141"/>
        <v>2E-3</v>
      </c>
      <c r="M4493" s="7">
        <v>3.0000000000000001E-3</v>
      </c>
      <c r="N4493">
        <v>17</v>
      </c>
      <c r="O4493" s="8">
        <v>41.207080732056241</v>
      </c>
      <c r="P4493" s="9">
        <v>41.207080732056241</v>
      </c>
      <c r="Q4493" s="9">
        <v>41.207080732056241</v>
      </c>
      <c r="R4493" s="9">
        <v>42.157262509433366</v>
      </c>
      <c r="S4493" s="9">
        <v>44.562650125658905</v>
      </c>
      <c r="T4493" s="9">
        <v>44.774343906619599</v>
      </c>
      <c r="U4493" s="9">
        <v>47.410026125961608</v>
      </c>
      <c r="V4493" s="9">
        <v>47.410026125961608</v>
      </c>
      <c r="W4493" s="9">
        <v>47.410026125961608</v>
      </c>
      <c r="X4493" s="9">
        <v>51.970197263128114</v>
      </c>
      <c r="Y4493" s="9">
        <v>51.970197263128114</v>
      </c>
      <c r="Z4493" s="9">
        <v>57.180133523400194</v>
      </c>
      <c r="AA4493" s="9">
        <v>57.180133523400194</v>
      </c>
      <c r="AB4493" s="9">
        <v>62.205497742174821</v>
      </c>
      <c r="AC4493" s="9">
        <v>62.205497742174821</v>
      </c>
      <c r="AD4493" s="9">
        <v>67.764075150980162</v>
      </c>
      <c r="AE4493" s="9">
        <v>75.345852790378046</v>
      </c>
      <c r="AF4493" s="9">
        <v>81.372396625232085</v>
      </c>
      <c r="AG4493" s="9">
        <v>81.372396625232085</v>
      </c>
      <c r="AH4493" s="9">
        <v>88.045224250123979</v>
      </c>
      <c r="AI4493" s="9">
        <v>94.96907033416484</v>
      </c>
      <c r="AJ4493" s="9">
        <v>3.0428788910505911</v>
      </c>
    </row>
    <row r="4494" spans="1:36" x14ac:dyDescent="0.25">
      <c r="A4494" t="s">
        <v>5411</v>
      </c>
      <c r="B4494" t="s">
        <v>16</v>
      </c>
      <c r="C4494" t="s">
        <v>17</v>
      </c>
      <c r="D4494">
        <v>78243000</v>
      </c>
      <c r="E4494">
        <v>78244999</v>
      </c>
      <c r="F4494" t="s">
        <v>4090</v>
      </c>
      <c r="G4494" t="str">
        <f t="shared" si="140"/>
        <v>MTR</v>
      </c>
      <c r="H4494" t="s">
        <v>4079</v>
      </c>
      <c r="I4494" t="s">
        <v>20</v>
      </c>
      <c r="J4494" t="s">
        <v>77</v>
      </c>
      <c r="K4494" s="6">
        <v>0.03</v>
      </c>
      <c r="L4494" s="7">
        <f t="shared" si="141"/>
        <v>2E-3</v>
      </c>
      <c r="M4494" s="7">
        <v>3.0000000000000001E-3</v>
      </c>
      <c r="N4494">
        <v>17</v>
      </c>
      <c r="O4494" s="8">
        <v>41.207080732056241</v>
      </c>
      <c r="P4494" s="9">
        <v>41.207080732056241</v>
      </c>
      <c r="Q4494" s="9">
        <v>41.207080732056241</v>
      </c>
      <c r="R4494" s="9">
        <v>42.157262509433366</v>
      </c>
      <c r="S4494" s="9">
        <v>44.562650125658905</v>
      </c>
      <c r="T4494" s="9">
        <v>44.774343906619599</v>
      </c>
      <c r="U4494" s="9">
        <v>47.410026125961608</v>
      </c>
      <c r="V4494" s="9">
        <v>47.410026125961608</v>
      </c>
      <c r="W4494" s="9">
        <v>47.410026125961608</v>
      </c>
      <c r="X4494" s="9">
        <v>51.970197263128114</v>
      </c>
      <c r="Y4494" s="9">
        <v>51.970197263128114</v>
      </c>
      <c r="Z4494" s="9">
        <v>57.180133523400194</v>
      </c>
      <c r="AA4494" s="9">
        <v>57.180133523400194</v>
      </c>
      <c r="AB4494" s="9">
        <v>62.205497742174821</v>
      </c>
      <c r="AC4494" s="9">
        <v>62.205497742174821</v>
      </c>
      <c r="AD4494" s="9">
        <v>67.764075150980162</v>
      </c>
      <c r="AE4494" s="9">
        <v>75.345852790378046</v>
      </c>
      <c r="AF4494" s="9">
        <v>81.372396625232085</v>
      </c>
      <c r="AG4494" s="9">
        <v>81.372396625232085</v>
      </c>
      <c r="AH4494" s="9">
        <v>88.045224250123979</v>
      </c>
      <c r="AI4494" s="9">
        <v>94.96907033416484</v>
      </c>
      <c r="AJ4494" s="9">
        <v>3.0428788910505911</v>
      </c>
    </row>
    <row r="4495" spans="1:36" x14ac:dyDescent="0.25">
      <c r="A4495" t="s">
        <v>5411</v>
      </c>
      <c r="B4495" t="s">
        <v>16</v>
      </c>
      <c r="C4495" t="s">
        <v>17</v>
      </c>
      <c r="D4495">
        <v>78245000</v>
      </c>
      <c r="E4495">
        <v>78249999</v>
      </c>
      <c r="F4495" t="s">
        <v>4091</v>
      </c>
      <c r="G4495" t="str">
        <f t="shared" si="140"/>
        <v>MTR</v>
      </c>
      <c r="H4495" t="s">
        <v>4079</v>
      </c>
      <c r="I4495" t="s">
        <v>20</v>
      </c>
      <c r="J4495" t="s">
        <v>77</v>
      </c>
      <c r="K4495" s="6">
        <v>0.03</v>
      </c>
      <c r="L4495" s="7">
        <f t="shared" si="141"/>
        <v>2E-3</v>
      </c>
      <c r="M4495" s="7">
        <v>3.0000000000000001E-3</v>
      </c>
      <c r="N4495">
        <v>17</v>
      </c>
      <c r="O4495" s="8">
        <v>41.207080732056241</v>
      </c>
      <c r="P4495" s="9">
        <v>41.207080732056241</v>
      </c>
      <c r="Q4495" s="9">
        <v>41.207080732056241</v>
      </c>
      <c r="R4495" s="9">
        <v>42.157262509433366</v>
      </c>
      <c r="S4495" s="9">
        <v>44.562650125658905</v>
      </c>
      <c r="T4495" s="9">
        <v>44.774343906619599</v>
      </c>
      <c r="U4495" s="9">
        <v>47.410026125961608</v>
      </c>
      <c r="V4495" s="9">
        <v>47.410026125961608</v>
      </c>
      <c r="W4495" s="9">
        <v>47.410026125961608</v>
      </c>
      <c r="X4495" s="9">
        <v>51.970197263128114</v>
      </c>
      <c r="Y4495" s="9">
        <v>51.970197263128114</v>
      </c>
      <c r="Z4495" s="9">
        <v>57.180133523400194</v>
      </c>
      <c r="AA4495" s="9">
        <v>57.180133523400194</v>
      </c>
      <c r="AB4495" s="9">
        <v>62.205497742174821</v>
      </c>
      <c r="AC4495" s="9">
        <v>62.205497742174821</v>
      </c>
      <c r="AD4495" s="9">
        <v>67.764075150980162</v>
      </c>
      <c r="AE4495" s="9">
        <v>75.345852790378046</v>
      </c>
      <c r="AF4495" s="9">
        <v>81.372396625232085</v>
      </c>
      <c r="AG4495" s="9">
        <v>81.372396625232085</v>
      </c>
      <c r="AH4495" s="9">
        <v>88.045224250123979</v>
      </c>
      <c r="AI4495" s="9">
        <v>94.96907033416484</v>
      </c>
      <c r="AJ4495" s="9">
        <v>3.0428788910505911</v>
      </c>
    </row>
    <row r="4496" spans="1:36" x14ac:dyDescent="0.25">
      <c r="A4496" t="s">
        <v>5411</v>
      </c>
      <c r="B4496" t="s">
        <v>16</v>
      </c>
      <c r="C4496" t="s">
        <v>17</v>
      </c>
      <c r="D4496">
        <v>78250000</v>
      </c>
      <c r="E4496">
        <v>78252999</v>
      </c>
      <c r="F4496" t="s">
        <v>4092</v>
      </c>
      <c r="G4496" t="str">
        <f t="shared" si="140"/>
        <v>MTI</v>
      </c>
      <c r="H4496" t="s">
        <v>4079</v>
      </c>
      <c r="I4496" t="s">
        <v>20</v>
      </c>
      <c r="J4496" t="s">
        <v>62</v>
      </c>
      <c r="K4496" s="6">
        <v>0.03</v>
      </c>
      <c r="L4496" s="7">
        <f t="shared" si="141"/>
        <v>2E-3</v>
      </c>
      <c r="M4496" s="7">
        <v>3.0000000000000001E-3</v>
      </c>
      <c r="N4496">
        <v>13</v>
      </c>
      <c r="O4496" s="8">
        <v>26.118073918823253</v>
      </c>
      <c r="P4496" s="9">
        <v>26.118073918823253</v>
      </c>
      <c r="Q4496" s="9">
        <v>26.118073918823253</v>
      </c>
      <c r="R4496" s="9">
        <v>27.018935032738966</v>
      </c>
      <c r="S4496" s="9">
        <v>29.233496655672415</v>
      </c>
      <c r="T4496" s="9">
        <v>29.915869247956095</v>
      </c>
      <c r="U4496" s="9">
        <v>32.362199363352872</v>
      </c>
      <c r="V4496" s="9">
        <v>32.362199363352872</v>
      </c>
      <c r="W4496" s="9">
        <v>32.362199363352872</v>
      </c>
      <c r="X4496" s="9">
        <v>35.319290018891536</v>
      </c>
      <c r="Y4496" s="9">
        <v>35.319290018891536</v>
      </c>
      <c r="Z4496" s="9">
        <v>38.866068520442738</v>
      </c>
      <c r="AA4496" s="9">
        <v>38.866068520442738</v>
      </c>
      <c r="AB4496" s="9">
        <v>42.295123575006713</v>
      </c>
      <c r="AC4496" s="9">
        <v>42.295123575006713</v>
      </c>
      <c r="AD4496" s="9">
        <v>46.125805918060735</v>
      </c>
      <c r="AE4496" s="9">
        <v>50.02963556407235</v>
      </c>
      <c r="AF4496" s="9">
        <v>54.232391814971237</v>
      </c>
      <c r="AG4496" s="9">
        <v>54.232391814971237</v>
      </c>
      <c r="AH4496" s="9">
        <v>58.13951963530036</v>
      </c>
      <c r="AI4496" s="9">
        <v>62.203070038163574</v>
      </c>
      <c r="AJ4496" s="9">
        <v>3.0428788910505911</v>
      </c>
    </row>
    <row r="4497" spans="1:36" x14ac:dyDescent="0.25">
      <c r="A4497" t="s">
        <v>5411</v>
      </c>
      <c r="B4497" t="s">
        <v>16</v>
      </c>
      <c r="C4497" t="s">
        <v>17</v>
      </c>
      <c r="D4497">
        <v>78253000</v>
      </c>
      <c r="E4497">
        <v>78253999</v>
      </c>
      <c r="F4497" t="s">
        <v>4093</v>
      </c>
      <c r="G4497" t="str">
        <f t="shared" si="140"/>
        <v>MTR</v>
      </c>
      <c r="H4497" t="s">
        <v>4079</v>
      </c>
      <c r="I4497" t="s">
        <v>20</v>
      </c>
      <c r="J4497" t="s">
        <v>77</v>
      </c>
      <c r="K4497" s="6">
        <v>0.03</v>
      </c>
      <c r="L4497" s="7">
        <f t="shared" si="141"/>
        <v>2E-3</v>
      </c>
      <c r="M4497" s="7">
        <v>3.0000000000000001E-3</v>
      </c>
      <c r="N4497">
        <v>17</v>
      </c>
      <c r="O4497" s="8">
        <v>41.207080732056241</v>
      </c>
      <c r="P4497" s="9">
        <v>41.207080732056241</v>
      </c>
      <c r="Q4497" s="9">
        <v>41.207080732056241</v>
      </c>
      <c r="R4497" s="9">
        <v>42.157262509433366</v>
      </c>
      <c r="S4497" s="9">
        <v>44.562650125658905</v>
      </c>
      <c r="T4497" s="9">
        <v>44.774343906619599</v>
      </c>
      <c r="U4497" s="9">
        <v>47.410026125961608</v>
      </c>
      <c r="V4497" s="9">
        <v>47.410026125961608</v>
      </c>
      <c r="W4497" s="9">
        <v>47.410026125961608</v>
      </c>
      <c r="X4497" s="9">
        <v>51.970197263128114</v>
      </c>
      <c r="Y4497" s="9">
        <v>51.970197263128114</v>
      </c>
      <c r="Z4497" s="9">
        <v>57.180133523400194</v>
      </c>
      <c r="AA4497" s="9">
        <v>57.180133523400194</v>
      </c>
      <c r="AB4497" s="9">
        <v>62.205497742174821</v>
      </c>
      <c r="AC4497" s="9">
        <v>62.205497742174821</v>
      </c>
      <c r="AD4497" s="9">
        <v>67.764075150980162</v>
      </c>
      <c r="AE4497" s="9">
        <v>75.345852790378046</v>
      </c>
      <c r="AF4497" s="9">
        <v>81.372396625232085</v>
      </c>
      <c r="AG4497" s="9">
        <v>81.372396625232085</v>
      </c>
      <c r="AH4497" s="9">
        <v>88.045224250123979</v>
      </c>
      <c r="AI4497" s="9">
        <v>94.96907033416484</v>
      </c>
      <c r="AJ4497" s="9">
        <v>3.0428788910505911</v>
      </c>
    </row>
    <row r="4498" spans="1:36" x14ac:dyDescent="0.25">
      <c r="A4498" t="s">
        <v>5411</v>
      </c>
      <c r="B4498" t="s">
        <v>16</v>
      </c>
      <c r="C4498" t="s">
        <v>17</v>
      </c>
      <c r="D4498">
        <v>78254000</v>
      </c>
      <c r="E4498">
        <v>78254999</v>
      </c>
      <c r="F4498" t="s">
        <v>4094</v>
      </c>
      <c r="G4498" t="str">
        <f t="shared" si="140"/>
        <v>MTR</v>
      </c>
      <c r="H4498" t="s">
        <v>4079</v>
      </c>
      <c r="I4498" t="s">
        <v>20</v>
      </c>
      <c r="J4498" t="s">
        <v>77</v>
      </c>
      <c r="K4498" s="6">
        <v>0.03</v>
      </c>
      <c r="L4498" s="7">
        <f t="shared" si="141"/>
        <v>2E-3</v>
      </c>
      <c r="M4498" s="7">
        <v>3.0000000000000001E-3</v>
      </c>
      <c r="N4498">
        <v>17</v>
      </c>
      <c r="O4498" s="8">
        <v>41.207080732056241</v>
      </c>
      <c r="P4498" s="9">
        <v>41.207080732056241</v>
      </c>
      <c r="Q4498" s="9">
        <v>41.207080732056241</v>
      </c>
      <c r="R4498" s="9">
        <v>42.157262509433366</v>
      </c>
      <c r="S4498" s="9">
        <v>44.562650125658905</v>
      </c>
      <c r="T4498" s="9">
        <v>44.774343906619599</v>
      </c>
      <c r="U4498" s="9">
        <v>47.410026125961608</v>
      </c>
      <c r="V4498" s="9">
        <v>47.410026125961608</v>
      </c>
      <c r="W4498" s="9">
        <v>47.410026125961608</v>
      </c>
      <c r="X4498" s="9">
        <v>51.970197263128114</v>
      </c>
      <c r="Y4498" s="9">
        <v>51.970197263128114</v>
      </c>
      <c r="Z4498" s="9">
        <v>57.180133523400194</v>
      </c>
      <c r="AA4498" s="9">
        <v>57.180133523400194</v>
      </c>
      <c r="AB4498" s="9">
        <v>62.205497742174821</v>
      </c>
      <c r="AC4498" s="9">
        <v>62.205497742174821</v>
      </c>
      <c r="AD4498" s="9">
        <v>67.764075150980162</v>
      </c>
      <c r="AE4498" s="9">
        <v>75.345852790378046</v>
      </c>
      <c r="AF4498" s="9">
        <v>81.372396625232085</v>
      </c>
      <c r="AG4498" s="9">
        <v>81.372396625232085</v>
      </c>
      <c r="AH4498" s="9">
        <v>88.045224250123979</v>
      </c>
      <c r="AI4498" s="9">
        <v>94.96907033416484</v>
      </c>
      <c r="AJ4498" s="9">
        <v>3.0428788910505911</v>
      </c>
    </row>
    <row r="4499" spans="1:36" x14ac:dyDescent="0.25">
      <c r="A4499" t="s">
        <v>5411</v>
      </c>
      <c r="B4499" t="s">
        <v>16</v>
      </c>
      <c r="C4499" t="s">
        <v>17</v>
      </c>
      <c r="D4499">
        <v>78255000</v>
      </c>
      <c r="E4499">
        <v>78259999</v>
      </c>
      <c r="F4499" t="s">
        <v>4095</v>
      </c>
      <c r="G4499" t="str">
        <f t="shared" si="140"/>
        <v>MTR</v>
      </c>
      <c r="H4499" t="s">
        <v>4079</v>
      </c>
      <c r="I4499" t="s">
        <v>20</v>
      </c>
      <c r="J4499" t="s">
        <v>77</v>
      </c>
      <c r="K4499" s="6">
        <v>0.03</v>
      </c>
      <c r="L4499" s="7">
        <f t="shared" si="141"/>
        <v>2E-3</v>
      </c>
      <c r="M4499" s="7">
        <v>3.0000000000000001E-3</v>
      </c>
      <c r="N4499">
        <v>17</v>
      </c>
      <c r="O4499" s="8">
        <v>41.207080732056241</v>
      </c>
      <c r="P4499" s="9">
        <v>41.207080732056241</v>
      </c>
      <c r="Q4499" s="9">
        <v>41.207080732056241</v>
      </c>
      <c r="R4499" s="9">
        <v>42.157262509433366</v>
      </c>
      <c r="S4499" s="9">
        <v>44.562650125658905</v>
      </c>
      <c r="T4499" s="9">
        <v>44.774343906619599</v>
      </c>
      <c r="U4499" s="9">
        <v>47.410026125961608</v>
      </c>
      <c r="V4499" s="9">
        <v>47.410026125961608</v>
      </c>
      <c r="W4499" s="9">
        <v>47.410026125961608</v>
      </c>
      <c r="X4499" s="9">
        <v>51.970197263128114</v>
      </c>
      <c r="Y4499" s="9">
        <v>51.970197263128114</v>
      </c>
      <c r="Z4499" s="9">
        <v>57.180133523400194</v>
      </c>
      <c r="AA4499" s="9">
        <v>57.180133523400194</v>
      </c>
      <c r="AB4499" s="9">
        <v>62.205497742174821</v>
      </c>
      <c r="AC4499" s="9">
        <v>62.205497742174821</v>
      </c>
      <c r="AD4499" s="9">
        <v>67.764075150980162</v>
      </c>
      <c r="AE4499" s="9">
        <v>75.345852790378046</v>
      </c>
      <c r="AF4499" s="9">
        <v>81.372396625232085</v>
      </c>
      <c r="AG4499" s="9">
        <v>81.372396625232085</v>
      </c>
      <c r="AH4499" s="9">
        <v>88.045224250123979</v>
      </c>
      <c r="AI4499" s="9">
        <v>94.96907033416484</v>
      </c>
      <c r="AJ4499" s="9">
        <v>3.0428788910505911</v>
      </c>
    </row>
    <row r="4500" spans="1:36" x14ac:dyDescent="0.25">
      <c r="A4500" t="s">
        <v>5411</v>
      </c>
      <c r="B4500" t="s">
        <v>16</v>
      </c>
      <c r="C4500" t="s">
        <v>17</v>
      </c>
      <c r="D4500">
        <v>78260000</v>
      </c>
      <c r="E4500">
        <v>78264999</v>
      </c>
      <c r="F4500" t="s">
        <v>4096</v>
      </c>
      <c r="G4500" t="str">
        <f t="shared" si="140"/>
        <v>MTI II</v>
      </c>
      <c r="H4500" t="s">
        <v>4079</v>
      </c>
      <c r="I4500" t="s">
        <v>20</v>
      </c>
      <c r="J4500" t="s">
        <v>64</v>
      </c>
      <c r="K4500" s="6">
        <v>0.03</v>
      </c>
      <c r="L4500" s="7">
        <f t="shared" si="141"/>
        <v>2E-3</v>
      </c>
      <c r="M4500" s="7">
        <v>3.0000000000000001E-3</v>
      </c>
      <c r="N4500">
        <v>13</v>
      </c>
      <c r="O4500" s="8">
        <v>26.945869944786573</v>
      </c>
      <c r="P4500" s="9">
        <v>26.945869944786573</v>
      </c>
      <c r="Q4500" s="9">
        <v>26.945869944786573</v>
      </c>
      <c r="R4500" s="9">
        <v>27.872426176460309</v>
      </c>
      <c r="S4500" s="9">
        <v>30.114764737466444</v>
      </c>
      <c r="T4500" s="9">
        <v>30.389103773795448</v>
      </c>
      <c r="U4500" s="9">
        <v>32.851592628213609</v>
      </c>
      <c r="V4500" s="9">
        <v>32.851592628213609</v>
      </c>
      <c r="W4500" s="9">
        <v>32.851592628213609</v>
      </c>
      <c r="X4500" s="9">
        <v>35.974003563148294</v>
      </c>
      <c r="Y4500" s="9">
        <v>35.974003563148294</v>
      </c>
      <c r="Z4500" s="9">
        <v>39.583028800026455</v>
      </c>
      <c r="AA4500" s="9">
        <v>39.583028800026455</v>
      </c>
      <c r="AB4500" s="9">
        <v>42.917947459820233</v>
      </c>
      <c r="AC4500" s="9">
        <v>42.917947459820233</v>
      </c>
      <c r="AD4500" s="9">
        <v>48.456144425509514</v>
      </c>
      <c r="AE4500" s="9">
        <v>51.441147415963158</v>
      </c>
      <c r="AF4500" s="9">
        <v>54.652150956017358</v>
      </c>
      <c r="AG4500" s="9">
        <v>54.652150956017358</v>
      </c>
      <c r="AH4500" s="9">
        <v>58.808410228839165</v>
      </c>
      <c r="AI4500" s="9">
        <v>62.34918511933521</v>
      </c>
      <c r="AJ4500" s="9">
        <v>3.0428788910505911</v>
      </c>
    </row>
    <row r="4501" spans="1:36" x14ac:dyDescent="0.25">
      <c r="A4501" t="s">
        <v>5411</v>
      </c>
      <c r="B4501" t="s">
        <v>16</v>
      </c>
      <c r="C4501" t="s">
        <v>17</v>
      </c>
      <c r="D4501">
        <v>78265000</v>
      </c>
      <c r="E4501">
        <v>78269999</v>
      </c>
      <c r="F4501" t="s">
        <v>4097</v>
      </c>
      <c r="G4501" t="str">
        <f t="shared" si="140"/>
        <v>MTR</v>
      </c>
      <c r="H4501" t="s">
        <v>4079</v>
      </c>
      <c r="I4501" t="s">
        <v>20</v>
      </c>
      <c r="J4501" t="s">
        <v>77</v>
      </c>
      <c r="K4501" s="6">
        <v>0.03</v>
      </c>
      <c r="L4501" s="7">
        <f t="shared" si="141"/>
        <v>2E-3</v>
      </c>
      <c r="M4501" s="7">
        <v>3.0000000000000001E-3</v>
      </c>
      <c r="N4501">
        <v>17</v>
      </c>
      <c r="O4501" s="8">
        <v>41.207080732056241</v>
      </c>
      <c r="P4501" s="9">
        <v>41.207080732056241</v>
      </c>
      <c r="Q4501" s="9">
        <v>41.207080732056241</v>
      </c>
      <c r="R4501" s="9">
        <v>42.157262509433366</v>
      </c>
      <c r="S4501" s="9">
        <v>44.562650125658905</v>
      </c>
      <c r="T4501" s="9">
        <v>44.774343906619599</v>
      </c>
      <c r="U4501" s="9">
        <v>47.410026125961608</v>
      </c>
      <c r="V4501" s="9">
        <v>47.410026125961608</v>
      </c>
      <c r="W4501" s="9">
        <v>47.410026125961608</v>
      </c>
      <c r="X4501" s="9">
        <v>51.970197263128114</v>
      </c>
      <c r="Y4501" s="9">
        <v>51.970197263128114</v>
      </c>
      <c r="Z4501" s="9">
        <v>57.180133523400194</v>
      </c>
      <c r="AA4501" s="9">
        <v>57.180133523400194</v>
      </c>
      <c r="AB4501" s="9">
        <v>62.205497742174821</v>
      </c>
      <c r="AC4501" s="9">
        <v>62.205497742174821</v>
      </c>
      <c r="AD4501" s="9">
        <v>67.764075150980162</v>
      </c>
      <c r="AE4501" s="9">
        <v>75.345852790378046</v>
      </c>
      <c r="AF4501" s="9">
        <v>81.372396625232085</v>
      </c>
      <c r="AG4501" s="9">
        <v>81.372396625232085</v>
      </c>
      <c r="AH4501" s="9">
        <v>88.045224250123979</v>
      </c>
      <c r="AI4501" s="9">
        <v>94.96907033416484</v>
      </c>
      <c r="AJ4501" s="9">
        <v>3.0428788910505911</v>
      </c>
    </row>
    <row r="4502" spans="1:36" x14ac:dyDescent="0.25">
      <c r="A4502" t="s">
        <v>5411</v>
      </c>
      <c r="B4502" t="s">
        <v>16</v>
      </c>
      <c r="C4502" t="s">
        <v>17</v>
      </c>
      <c r="D4502">
        <v>78270000</v>
      </c>
      <c r="E4502">
        <v>78274999</v>
      </c>
      <c r="F4502" t="s">
        <v>4098</v>
      </c>
      <c r="G4502" t="str">
        <f t="shared" si="140"/>
        <v>MTR</v>
      </c>
      <c r="H4502" t="s">
        <v>4079</v>
      </c>
      <c r="I4502" t="s">
        <v>20</v>
      </c>
      <c r="J4502" t="s">
        <v>77</v>
      </c>
      <c r="K4502" s="6">
        <v>0.03</v>
      </c>
      <c r="L4502" s="7">
        <f t="shared" si="141"/>
        <v>2E-3</v>
      </c>
      <c r="M4502" s="7">
        <v>3.0000000000000001E-3</v>
      </c>
      <c r="N4502">
        <v>17</v>
      </c>
      <c r="O4502" s="8">
        <v>41.207080732056241</v>
      </c>
      <c r="P4502" s="9">
        <v>41.207080732056241</v>
      </c>
      <c r="Q4502" s="9">
        <v>41.207080732056241</v>
      </c>
      <c r="R4502" s="9">
        <v>42.157262509433366</v>
      </c>
      <c r="S4502" s="9">
        <v>44.562650125658905</v>
      </c>
      <c r="T4502" s="9">
        <v>44.774343906619599</v>
      </c>
      <c r="U4502" s="9">
        <v>47.410026125961608</v>
      </c>
      <c r="V4502" s="9">
        <v>47.410026125961608</v>
      </c>
      <c r="W4502" s="9">
        <v>47.410026125961608</v>
      </c>
      <c r="X4502" s="9">
        <v>51.970197263128114</v>
      </c>
      <c r="Y4502" s="9">
        <v>51.970197263128114</v>
      </c>
      <c r="Z4502" s="9">
        <v>57.180133523400194</v>
      </c>
      <c r="AA4502" s="9">
        <v>57.180133523400194</v>
      </c>
      <c r="AB4502" s="9">
        <v>62.205497742174821</v>
      </c>
      <c r="AC4502" s="9">
        <v>62.205497742174821</v>
      </c>
      <c r="AD4502" s="9">
        <v>67.764075150980162</v>
      </c>
      <c r="AE4502" s="9">
        <v>75.345852790378046</v>
      </c>
      <c r="AF4502" s="9">
        <v>81.372396625232085</v>
      </c>
      <c r="AG4502" s="9">
        <v>81.372396625232085</v>
      </c>
      <c r="AH4502" s="9">
        <v>88.045224250123979</v>
      </c>
      <c r="AI4502" s="9">
        <v>94.96907033416484</v>
      </c>
      <c r="AJ4502" s="9">
        <v>3.0428788910505911</v>
      </c>
    </row>
    <row r="4503" spans="1:36" x14ac:dyDescent="0.25">
      <c r="A4503" t="s">
        <v>5411</v>
      </c>
      <c r="B4503" t="s">
        <v>16</v>
      </c>
      <c r="C4503" t="s">
        <v>17</v>
      </c>
      <c r="D4503">
        <v>78275000</v>
      </c>
      <c r="E4503">
        <v>78277999</v>
      </c>
      <c r="F4503" t="s">
        <v>3646</v>
      </c>
      <c r="G4503" t="str">
        <f t="shared" si="140"/>
        <v>MTR</v>
      </c>
      <c r="H4503" t="s">
        <v>4079</v>
      </c>
      <c r="I4503" t="s">
        <v>20</v>
      </c>
      <c r="J4503" t="s">
        <v>77</v>
      </c>
      <c r="K4503" s="6">
        <v>0.03</v>
      </c>
      <c r="L4503" s="7">
        <f t="shared" si="141"/>
        <v>2E-3</v>
      </c>
      <c r="M4503" s="7">
        <v>3.0000000000000001E-3</v>
      </c>
      <c r="N4503">
        <v>17</v>
      </c>
      <c r="O4503" s="8">
        <v>41.207080732056241</v>
      </c>
      <c r="P4503" s="9">
        <v>41.207080732056241</v>
      </c>
      <c r="Q4503" s="9">
        <v>41.207080732056241</v>
      </c>
      <c r="R4503" s="9">
        <v>42.157262509433366</v>
      </c>
      <c r="S4503" s="9">
        <v>44.562650125658905</v>
      </c>
      <c r="T4503" s="9">
        <v>44.774343906619599</v>
      </c>
      <c r="U4503" s="9">
        <v>47.410026125961608</v>
      </c>
      <c r="V4503" s="9">
        <v>47.410026125961608</v>
      </c>
      <c r="W4503" s="9">
        <v>47.410026125961608</v>
      </c>
      <c r="X4503" s="9">
        <v>51.970197263128114</v>
      </c>
      <c r="Y4503" s="9">
        <v>51.970197263128114</v>
      </c>
      <c r="Z4503" s="9">
        <v>57.180133523400194</v>
      </c>
      <c r="AA4503" s="9">
        <v>57.180133523400194</v>
      </c>
      <c r="AB4503" s="9">
        <v>62.205497742174821</v>
      </c>
      <c r="AC4503" s="9">
        <v>62.205497742174821</v>
      </c>
      <c r="AD4503" s="9">
        <v>67.764075150980162</v>
      </c>
      <c r="AE4503" s="9">
        <v>75.345852790378046</v>
      </c>
      <c r="AF4503" s="9">
        <v>81.372396625232085</v>
      </c>
      <c r="AG4503" s="9">
        <v>81.372396625232085</v>
      </c>
      <c r="AH4503" s="9">
        <v>88.045224250123979</v>
      </c>
      <c r="AI4503" s="9">
        <v>94.96907033416484</v>
      </c>
      <c r="AJ4503" s="9">
        <v>3.0428788910505911</v>
      </c>
    </row>
    <row r="4504" spans="1:36" x14ac:dyDescent="0.25">
      <c r="A4504" t="s">
        <v>5411</v>
      </c>
      <c r="B4504" t="s">
        <v>16</v>
      </c>
      <c r="C4504" t="s">
        <v>17</v>
      </c>
      <c r="D4504">
        <v>78278000</v>
      </c>
      <c r="E4504">
        <v>78279999</v>
      </c>
      <c r="F4504" t="s">
        <v>4099</v>
      </c>
      <c r="G4504" t="str">
        <f t="shared" si="140"/>
        <v>MTR</v>
      </c>
      <c r="H4504" t="s">
        <v>4079</v>
      </c>
      <c r="I4504" t="s">
        <v>20</v>
      </c>
      <c r="J4504" t="s">
        <v>77</v>
      </c>
      <c r="K4504" s="6">
        <v>0.03</v>
      </c>
      <c r="L4504" s="7">
        <f t="shared" si="141"/>
        <v>2E-3</v>
      </c>
      <c r="M4504" s="7">
        <v>3.0000000000000001E-3</v>
      </c>
      <c r="N4504">
        <v>17</v>
      </c>
      <c r="O4504" s="8">
        <v>41.207080732056241</v>
      </c>
      <c r="P4504" s="9">
        <v>41.207080732056241</v>
      </c>
      <c r="Q4504" s="9">
        <v>41.207080732056241</v>
      </c>
      <c r="R4504" s="9">
        <v>42.157262509433366</v>
      </c>
      <c r="S4504" s="9">
        <v>44.562650125658905</v>
      </c>
      <c r="T4504" s="9">
        <v>44.774343906619599</v>
      </c>
      <c r="U4504" s="9">
        <v>47.410026125961608</v>
      </c>
      <c r="V4504" s="9">
        <v>47.410026125961608</v>
      </c>
      <c r="W4504" s="9">
        <v>47.410026125961608</v>
      </c>
      <c r="X4504" s="9">
        <v>51.970197263128114</v>
      </c>
      <c r="Y4504" s="9">
        <v>51.970197263128114</v>
      </c>
      <c r="Z4504" s="9">
        <v>57.180133523400194</v>
      </c>
      <c r="AA4504" s="9">
        <v>57.180133523400194</v>
      </c>
      <c r="AB4504" s="9">
        <v>62.205497742174821</v>
      </c>
      <c r="AC4504" s="9">
        <v>62.205497742174821</v>
      </c>
      <c r="AD4504" s="9">
        <v>67.764075150980162</v>
      </c>
      <c r="AE4504" s="9">
        <v>75.345852790378046</v>
      </c>
      <c r="AF4504" s="9">
        <v>81.372396625232085</v>
      </c>
      <c r="AG4504" s="9">
        <v>81.372396625232085</v>
      </c>
      <c r="AH4504" s="9">
        <v>88.045224250123979</v>
      </c>
      <c r="AI4504" s="9">
        <v>94.96907033416484</v>
      </c>
      <c r="AJ4504" s="9">
        <v>3.0428788910505911</v>
      </c>
    </row>
    <row r="4505" spans="1:36" x14ac:dyDescent="0.25">
      <c r="A4505" t="s">
        <v>5411</v>
      </c>
      <c r="B4505" t="s">
        <v>16</v>
      </c>
      <c r="C4505" t="s">
        <v>17</v>
      </c>
      <c r="D4505">
        <v>78280000</v>
      </c>
      <c r="E4505">
        <v>78284999</v>
      </c>
      <c r="F4505" t="s">
        <v>4100</v>
      </c>
      <c r="G4505" t="str">
        <f t="shared" si="140"/>
        <v>MTI II</v>
      </c>
      <c r="H4505" t="s">
        <v>4079</v>
      </c>
      <c r="I4505" t="s">
        <v>20</v>
      </c>
      <c r="J4505" t="s">
        <v>64</v>
      </c>
      <c r="K4505" s="6">
        <v>0.03</v>
      </c>
      <c r="L4505" s="7">
        <f t="shared" si="141"/>
        <v>2E-3</v>
      </c>
      <c r="M4505" s="7">
        <v>3.0000000000000001E-3</v>
      </c>
      <c r="N4505">
        <v>13</v>
      </c>
      <c r="O4505" s="8">
        <v>26.945869944786573</v>
      </c>
      <c r="P4505" s="9">
        <v>26.945869944786573</v>
      </c>
      <c r="Q4505" s="9">
        <v>26.945869944786573</v>
      </c>
      <c r="R4505" s="9">
        <v>27.872426176460309</v>
      </c>
      <c r="S4505" s="9">
        <v>30.114764737466444</v>
      </c>
      <c r="T4505" s="9">
        <v>30.389103773795448</v>
      </c>
      <c r="U4505" s="9">
        <v>32.851592628213609</v>
      </c>
      <c r="V4505" s="9">
        <v>32.851592628213609</v>
      </c>
      <c r="W4505" s="9">
        <v>32.851592628213609</v>
      </c>
      <c r="X4505" s="9">
        <v>35.974003563148294</v>
      </c>
      <c r="Y4505" s="9">
        <v>35.974003563148294</v>
      </c>
      <c r="Z4505" s="9">
        <v>39.583028800026455</v>
      </c>
      <c r="AA4505" s="9">
        <v>39.583028800026455</v>
      </c>
      <c r="AB4505" s="9">
        <v>42.917947459820233</v>
      </c>
      <c r="AC4505" s="9">
        <v>42.917947459820233</v>
      </c>
      <c r="AD4505" s="9">
        <v>48.456144425509514</v>
      </c>
      <c r="AE4505" s="9">
        <v>51.441147415963158</v>
      </c>
      <c r="AF4505" s="9">
        <v>54.652150956017358</v>
      </c>
      <c r="AG4505" s="9">
        <v>54.652150956017358</v>
      </c>
      <c r="AH4505" s="9">
        <v>58.808410228839165</v>
      </c>
      <c r="AI4505" s="9">
        <v>62.34918511933521</v>
      </c>
      <c r="AJ4505" s="9">
        <v>3.0428788910505911</v>
      </c>
    </row>
    <row r="4506" spans="1:36" x14ac:dyDescent="0.25">
      <c r="A4506" t="s">
        <v>5411</v>
      </c>
      <c r="B4506" t="s">
        <v>16</v>
      </c>
      <c r="C4506" t="s">
        <v>17</v>
      </c>
      <c r="D4506">
        <v>78285000</v>
      </c>
      <c r="E4506">
        <v>78289999</v>
      </c>
      <c r="F4506" t="s">
        <v>4101</v>
      </c>
      <c r="G4506" t="str">
        <f t="shared" si="140"/>
        <v>MTI II</v>
      </c>
      <c r="H4506" t="s">
        <v>4079</v>
      </c>
      <c r="I4506" t="s">
        <v>20</v>
      </c>
      <c r="J4506" t="s">
        <v>64</v>
      </c>
      <c r="K4506" s="6">
        <v>0.03</v>
      </c>
      <c r="L4506" s="7">
        <f t="shared" si="141"/>
        <v>2E-3</v>
      </c>
      <c r="M4506" s="7">
        <v>3.0000000000000001E-3</v>
      </c>
      <c r="N4506">
        <v>13</v>
      </c>
      <c r="O4506" s="8">
        <v>26.945869944786573</v>
      </c>
      <c r="P4506" s="9">
        <v>26.945869944786573</v>
      </c>
      <c r="Q4506" s="9">
        <v>26.945869944786573</v>
      </c>
      <c r="R4506" s="9">
        <v>27.872426176460309</v>
      </c>
      <c r="S4506" s="9">
        <v>30.114764737466444</v>
      </c>
      <c r="T4506" s="9">
        <v>30.389103773795448</v>
      </c>
      <c r="U4506" s="9">
        <v>32.851592628213609</v>
      </c>
      <c r="V4506" s="9">
        <v>32.851592628213609</v>
      </c>
      <c r="W4506" s="9">
        <v>32.851592628213609</v>
      </c>
      <c r="X4506" s="9">
        <v>35.974003563148294</v>
      </c>
      <c r="Y4506" s="9">
        <v>35.974003563148294</v>
      </c>
      <c r="Z4506" s="9">
        <v>39.583028800026455</v>
      </c>
      <c r="AA4506" s="9">
        <v>39.583028800026455</v>
      </c>
      <c r="AB4506" s="9">
        <v>42.917947459820233</v>
      </c>
      <c r="AC4506" s="9">
        <v>42.917947459820233</v>
      </c>
      <c r="AD4506" s="9">
        <v>48.456144425509514</v>
      </c>
      <c r="AE4506" s="9">
        <v>51.441147415963158</v>
      </c>
      <c r="AF4506" s="9">
        <v>54.652150956017358</v>
      </c>
      <c r="AG4506" s="9">
        <v>54.652150956017358</v>
      </c>
      <c r="AH4506" s="9">
        <v>58.808410228839165</v>
      </c>
      <c r="AI4506" s="9">
        <v>62.34918511933521</v>
      </c>
      <c r="AJ4506" s="9">
        <v>3.0428788910505911</v>
      </c>
    </row>
    <row r="4507" spans="1:36" x14ac:dyDescent="0.25">
      <c r="A4507" t="s">
        <v>5411</v>
      </c>
      <c r="B4507" t="s">
        <v>16</v>
      </c>
      <c r="C4507" t="s">
        <v>17</v>
      </c>
      <c r="D4507">
        <v>78290000</v>
      </c>
      <c r="E4507">
        <v>78292999</v>
      </c>
      <c r="F4507" t="s">
        <v>4102</v>
      </c>
      <c r="G4507" t="str">
        <f t="shared" si="140"/>
        <v>MTR</v>
      </c>
      <c r="H4507" t="s">
        <v>4079</v>
      </c>
      <c r="I4507" t="s">
        <v>20</v>
      </c>
      <c r="J4507" t="s">
        <v>77</v>
      </c>
      <c r="K4507" s="6">
        <v>0.03</v>
      </c>
      <c r="L4507" s="7">
        <f t="shared" si="141"/>
        <v>2E-3</v>
      </c>
      <c r="M4507" s="7">
        <v>3.0000000000000001E-3</v>
      </c>
      <c r="N4507">
        <v>17</v>
      </c>
      <c r="O4507" s="8">
        <v>41.207080732056241</v>
      </c>
      <c r="P4507" s="9">
        <v>41.207080732056241</v>
      </c>
      <c r="Q4507" s="9">
        <v>41.207080732056241</v>
      </c>
      <c r="R4507" s="9">
        <v>42.157262509433366</v>
      </c>
      <c r="S4507" s="9">
        <v>44.562650125658905</v>
      </c>
      <c r="T4507" s="9">
        <v>44.774343906619599</v>
      </c>
      <c r="U4507" s="9">
        <v>47.410026125961608</v>
      </c>
      <c r="V4507" s="9">
        <v>47.410026125961608</v>
      </c>
      <c r="W4507" s="9">
        <v>47.410026125961608</v>
      </c>
      <c r="X4507" s="9">
        <v>51.970197263128114</v>
      </c>
      <c r="Y4507" s="9">
        <v>51.970197263128114</v>
      </c>
      <c r="Z4507" s="9">
        <v>57.180133523400194</v>
      </c>
      <c r="AA4507" s="9">
        <v>57.180133523400194</v>
      </c>
      <c r="AB4507" s="9">
        <v>62.205497742174821</v>
      </c>
      <c r="AC4507" s="9">
        <v>62.205497742174821</v>
      </c>
      <c r="AD4507" s="9">
        <v>67.764075150980162</v>
      </c>
      <c r="AE4507" s="9">
        <v>75.345852790378046</v>
      </c>
      <c r="AF4507" s="9">
        <v>81.372396625232085</v>
      </c>
      <c r="AG4507" s="9">
        <v>81.372396625232085</v>
      </c>
      <c r="AH4507" s="9">
        <v>88.045224250123979</v>
      </c>
      <c r="AI4507" s="9">
        <v>94.96907033416484</v>
      </c>
      <c r="AJ4507" s="9">
        <v>3.0428788910505911</v>
      </c>
    </row>
    <row r="4508" spans="1:36" x14ac:dyDescent="0.25">
      <c r="A4508" t="s">
        <v>5411</v>
      </c>
      <c r="B4508" t="s">
        <v>16</v>
      </c>
      <c r="C4508" t="s">
        <v>17</v>
      </c>
      <c r="D4508">
        <v>78293000</v>
      </c>
      <c r="E4508">
        <v>78294999</v>
      </c>
      <c r="F4508" t="s">
        <v>4103</v>
      </c>
      <c r="G4508" t="str">
        <f t="shared" si="140"/>
        <v>MTI II</v>
      </c>
      <c r="H4508" t="s">
        <v>4079</v>
      </c>
      <c r="I4508" t="s">
        <v>20</v>
      </c>
      <c r="J4508" t="s">
        <v>64</v>
      </c>
      <c r="K4508" s="6">
        <v>0.03</v>
      </c>
      <c r="L4508" s="7">
        <f t="shared" si="141"/>
        <v>2E-3</v>
      </c>
      <c r="M4508" s="7">
        <v>3.0000000000000001E-3</v>
      </c>
      <c r="N4508">
        <v>13</v>
      </c>
      <c r="O4508" s="8">
        <v>26.945869944786573</v>
      </c>
      <c r="P4508" s="9">
        <v>26.945869944786573</v>
      </c>
      <c r="Q4508" s="9">
        <v>26.945869944786573</v>
      </c>
      <c r="R4508" s="9">
        <v>27.872426176460309</v>
      </c>
      <c r="S4508" s="9">
        <v>30.114764737466444</v>
      </c>
      <c r="T4508" s="9">
        <v>30.389103773795448</v>
      </c>
      <c r="U4508" s="9">
        <v>32.851592628213609</v>
      </c>
      <c r="V4508" s="9">
        <v>32.851592628213609</v>
      </c>
      <c r="W4508" s="9">
        <v>32.851592628213609</v>
      </c>
      <c r="X4508" s="9">
        <v>35.974003563148294</v>
      </c>
      <c r="Y4508" s="9">
        <v>35.974003563148294</v>
      </c>
      <c r="Z4508" s="9">
        <v>39.583028800026455</v>
      </c>
      <c r="AA4508" s="9">
        <v>39.583028800026455</v>
      </c>
      <c r="AB4508" s="9">
        <v>42.917947459820233</v>
      </c>
      <c r="AC4508" s="9">
        <v>42.917947459820233</v>
      </c>
      <c r="AD4508" s="9">
        <v>48.456144425509514</v>
      </c>
      <c r="AE4508" s="9">
        <v>51.441147415963158</v>
      </c>
      <c r="AF4508" s="9">
        <v>54.652150956017358</v>
      </c>
      <c r="AG4508" s="9">
        <v>54.652150956017358</v>
      </c>
      <c r="AH4508" s="9">
        <v>58.808410228839165</v>
      </c>
      <c r="AI4508" s="9">
        <v>62.34918511933521</v>
      </c>
      <c r="AJ4508" s="9">
        <v>3.0428788910505911</v>
      </c>
    </row>
    <row r="4509" spans="1:36" x14ac:dyDescent="0.25">
      <c r="A4509" t="s">
        <v>5411</v>
      </c>
      <c r="B4509" t="s">
        <v>16</v>
      </c>
      <c r="C4509" t="s">
        <v>17</v>
      </c>
      <c r="D4509">
        <v>78295000</v>
      </c>
      <c r="E4509">
        <v>78299999</v>
      </c>
      <c r="F4509" t="s">
        <v>4104</v>
      </c>
      <c r="G4509" t="str">
        <f t="shared" si="140"/>
        <v>MTR</v>
      </c>
      <c r="H4509" t="s">
        <v>4079</v>
      </c>
      <c r="I4509" t="s">
        <v>20</v>
      </c>
      <c r="J4509" t="s">
        <v>77</v>
      </c>
      <c r="K4509" s="6">
        <v>0.03</v>
      </c>
      <c r="L4509" s="7">
        <f t="shared" si="141"/>
        <v>2E-3</v>
      </c>
      <c r="M4509" s="7">
        <v>3.0000000000000001E-3</v>
      </c>
      <c r="N4509">
        <v>17</v>
      </c>
      <c r="O4509" s="8">
        <v>41.207080732056241</v>
      </c>
      <c r="P4509" s="9">
        <v>41.207080732056241</v>
      </c>
      <c r="Q4509" s="9">
        <v>41.207080732056241</v>
      </c>
      <c r="R4509" s="9">
        <v>42.157262509433366</v>
      </c>
      <c r="S4509" s="9">
        <v>44.562650125658905</v>
      </c>
      <c r="T4509" s="9">
        <v>44.774343906619599</v>
      </c>
      <c r="U4509" s="9">
        <v>47.410026125961608</v>
      </c>
      <c r="V4509" s="9">
        <v>47.410026125961608</v>
      </c>
      <c r="W4509" s="9">
        <v>47.410026125961608</v>
      </c>
      <c r="X4509" s="9">
        <v>51.970197263128114</v>
      </c>
      <c r="Y4509" s="9">
        <v>51.970197263128114</v>
      </c>
      <c r="Z4509" s="9">
        <v>57.180133523400194</v>
      </c>
      <c r="AA4509" s="9">
        <v>57.180133523400194</v>
      </c>
      <c r="AB4509" s="9">
        <v>62.205497742174821</v>
      </c>
      <c r="AC4509" s="9">
        <v>62.205497742174821</v>
      </c>
      <c r="AD4509" s="9">
        <v>67.764075150980162</v>
      </c>
      <c r="AE4509" s="9">
        <v>75.345852790378046</v>
      </c>
      <c r="AF4509" s="9">
        <v>81.372396625232085</v>
      </c>
      <c r="AG4509" s="9">
        <v>81.372396625232085</v>
      </c>
      <c r="AH4509" s="9">
        <v>88.045224250123979</v>
      </c>
      <c r="AI4509" s="9">
        <v>94.96907033416484</v>
      </c>
      <c r="AJ4509" s="9">
        <v>3.0428788910505911</v>
      </c>
    </row>
    <row r="4510" spans="1:36" x14ac:dyDescent="0.25">
      <c r="A4510" t="s">
        <v>5411</v>
      </c>
      <c r="B4510" t="s">
        <v>16</v>
      </c>
      <c r="C4510" t="s">
        <v>17</v>
      </c>
      <c r="D4510">
        <v>78300000</v>
      </c>
      <c r="E4510">
        <v>78306999</v>
      </c>
      <c r="F4510" t="s">
        <v>4105</v>
      </c>
      <c r="G4510" t="str">
        <f t="shared" si="140"/>
        <v>MTI II</v>
      </c>
      <c r="H4510" t="s">
        <v>4079</v>
      </c>
      <c r="I4510" t="s">
        <v>20</v>
      </c>
      <c r="J4510" t="s">
        <v>64</v>
      </c>
      <c r="K4510" s="6">
        <v>0.03</v>
      </c>
      <c r="L4510" s="7">
        <f t="shared" si="141"/>
        <v>2E-3</v>
      </c>
      <c r="M4510" s="7">
        <v>3.0000000000000001E-3</v>
      </c>
      <c r="N4510">
        <v>13</v>
      </c>
      <c r="O4510" s="8">
        <v>26.945869944786573</v>
      </c>
      <c r="P4510" s="9">
        <v>26.945869944786573</v>
      </c>
      <c r="Q4510" s="9">
        <v>26.945869944786573</v>
      </c>
      <c r="R4510" s="9">
        <v>27.872426176460309</v>
      </c>
      <c r="S4510" s="9">
        <v>30.114764737466444</v>
      </c>
      <c r="T4510" s="9">
        <v>30.389103773795448</v>
      </c>
      <c r="U4510" s="9">
        <v>32.851592628213609</v>
      </c>
      <c r="V4510" s="9">
        <v>32.851592628213609</v>
      </c>
      <c r="W4510" s="9">
        <v>32.851592628213609</v>
      </c>
      <c r="X4510" s="9">
        <v>35.974003563148294</v>
      </c>
      <c r="Y4510" s="9">
        <v>35.974003563148294</v>
      </c>
      <c r="Z4510" s="9">
        <v>39.583028800026455</v>
      </c>
      <c r="AA4510" s="9">
        <v>39.583028800026455</v>
      </c>
      <c r="AB4510" s="9">
        <v>42.917947459820233</v>
      </c>
      <c r="AC4510" s="9">
        <v>42.917947459820233</v>
      </c>
      <c r="AD4510" s="9">
        <v>48.456144425509514</v>
      </c>
      <c r="AE4510" s="9">
        <v>51.441147415963158</v>
      </c>
      <c r="AF4510" s="9">
        <v>54.652150956017358</v>
      </c>
      <c r="AG4510" s="9">
        <v>54.652150956017358</v>
      </c>
      <c r="AH4510" s="9">
        <v>58.808410228839165</v>
      </c>
      <c r="AI4510" s="9">
        <v>62.34918511933521</v>
      </c>
      <c r="AJ4510" s="9">
        <v>3.0428788910505911</v>
      </c>
    </row>
    <row r="4511" spans="1:36" x14ac:dyDescent="0.25">
      <c r="A4511" t="s">
        <v>5411</v>
      </c>
      <c r="B4511" t="s">
        <v>16</v>
      </c>
      <c r="C4511" t="s">
        <v>17</v>
      </c>
      <c r="D4511">
        <v>78307000</v>
      </c>
      <c r="E4511">
        <v>78309999</v>
      </c>
      <c r="F4511" t="s">
        <v>4106</v>
      </c>
      <c r="G4511" t="str">
        <f t="shared" si="140"/>
        <v>MTR</v>
      </c>
      <c r="H4511" t="s">
        <v>4079</v>
      </c>
      <c r="I4511" t="s">
        <v>20</v>
      </c>
      <c r="J4511" t="s">
        <v>77</v>
      </c>
      <c r="K4511" s="6">
        <v>0.03</v>
      </c>
      <c r="L4511" s="7">
        <f t="shared" si="141"/>
        <v>2E-3</v>
      </c>
      <c r="M4511" s="7">
        <v>3.0000000000000001E-3</v>
      </c>
      <c r="N4511">
        <v>17</v>
      </c>
      <c r="O4511" s="8">
        <v>41.207080732056241</v>
      </c>
      <c r="P4511" s="9">
        <v>41.207080732056241</v>
      </c>
      <c r="Q4511" s="9">
        <v>41.207080732056241</v>
      </c>
      <c r="R4511" s="9">
        <v>42.157262509433366</v>
      </c>
      <c r="S4511" s="9">
        <v>44.562650125658905</v>
      </c>
      <c r="T4511" s="9">
        <v>44.774343906619599</v>
      </c>
      <c r="U4511" s="9">
        <v>47.410026125961608</v>
      </c>
      <c r="V4511" s="9">
        <v>47.410026125961608</v>
      </c>
      <c r="W4511" s="9">
        <v>47.410026125961608</v>
      </c>
      <c r="X4511" s="9">
        <v>51.970197263128114</v>
      </c>
      <c r="Y4511" s="9">
        <v>51.970197263128114</v>
      </c>
      <c r="Z4511" s="9">
        <v>57.180133523400194</v>
      </c>
      <c r="AA4511" s="9">
        <v>57.180133523400194</v>
      </c>
      <c r="AB4511" s="9">
        <v>62.205497742174821</v>
      </c>
      <c r="AC4511" s="9">
        <v>62.205497742174821</v>
      </c>
      <c r="AD4511" s="9">
        <v>67.764075150980162</v>
      </c>
      <c r="AE4511" s="9">
        <v>75.345852790378046</v>
      </c>
      <c r="AF4511" s="9">
        <v>81.372396625232085</v>
      </c>
      <c r="AG4511" s="9">
        <v>81.372396625232085</v>
      </c>
      <c r="AH4511" s="9">
        <v>88.045224250123979</v>
      </c>
      <c r="AI4511" s="9">
        <v>94.96907033416484</v>
      </c>
      <c r="AJ4511" s="9">
        <v>3.0428788910505911</v>
      </c>
    </row>
    <row r="4512" spans="1:36" x14ac:dyDescent="0.25">
      <c r="A4512" t="s">
        <v>5411</v>
      </c>
      <c r="B4512" t="s">
        <v>16</v>
      </c>
      <c r="C4512" t="s">
        <v>17</v>
      </c>
      <c r="D4512">
        <v>78310000</v>
      </c>
      <c r="E4512">
        <v>78319999</v>
      </c>
      <c r="F4512" t="s">
        <v>4107</v>
      </c>
      <c r="G4512" t="str">
        <f t="shared" si="140"/>
        <v>MTR</v>
      </c>
      <c r="H4512" t="s">
        <v>4079</v>
      </c>
      <c r="I4512" t="s">
        <v>20</v>
      </c>
      <c r="J4512" t="s">
        <v>77</v>
      </c>
      <c r="K4512" s="6">
        <v>0.03</v>
      </c>
      <c r="L4512" s="7">
        <f t="shared" si="141"/>
        <v>2E-3</v>
      </c>
      <c r="M4512" s="7">
        <v>3.0000000000000001E-3</v>
      </c>
      <c r="N4512">
        <v>17</v>
      </c>
      <c r="O4512" s="8">
        <v>41.207080732056241</v>
      </c>
      <c r="P4512" s="9">
        <v>41.207080732056241</v>
      </c>
      <c r="Q4512" s="9">
        <v>41.207080732056241</v>
      </c>
      <c r="R4512" s="9">
        <v>42.157262509433366</v>
      </c>
      <c r="S4512" s="9">
        <v>44.562650125658905</v>
      </c>
      <c r="T4512" s="9">
        <v>44.774343906619599</v>
      </c>
      <c r="U4512" s="9">
        <v>47.410026125961608</v>
      </c>
      <c r="V4512" s="9">
        <v>47.410026125961608</v>
      </c>
      <c r="W4512" s="9">
        <v>47.410026125961608</v>
      </c>
      <c r="X4512" s="9">
        <v>51.970197263128114</v>
      </c>
      <c r="Y4512" s="9">
        <v>51.970197263128114</v>
      </c>
      <c r="Z4512" s="9">
        <v>57.180133523400194</v>
      </c>
      <c r="AA4512" s="9">
        <v>57.180133523400194</v>
      </c>
      <c r="AB4512" s="9">
        <v>62.205497742174821</v>
      </c>
      <c r="AC4512" s="9">
        <v>62.205497742174821</v>
      </c>
      <c r="AD4512" s="9">
        <v>67.764075150980162</v>
      </c>
      <c r="AE4512" s="9">
        <v>75.345852790378046</v>
      </c>
      <c r="AF4512" s="9">
        <v>81.372396625232085</v>
      </c>
      <c r="AG4512" s="9">
        <v>81.372396625232085</v>
      </c>
      <c r="AH4512" s="9">
        <v>88.045224250123979</v>
      </c>
      <c r="AI4512" s="9">
        <v>94.96907033416484</v>
      </c>
      <c r="AJ4512" s="9">
        <v>3.0428788910505911</v>
      </c>
    </row>
    <row r="4513" spans="1:36" x14ac:dyDescent="0.25">
      <c r="A4513" t="s">
        <v>5411</v>
      </c>
      <c r="B4513" t="s">
        <v>16</v>
      </c>
      <c r="C4513" t="s">
        <v>17</v>
      </c>
      <c r="D4513">
        <v>78320000</v>
      </c>
      <c r="E4513">
        <v>78324999</v>
      </c>
      <c r="F4513" t="s">
        <v>4108</v>
      </c>
      <c r="G4513" t="str">
        <f t="shared" si="140"/>
        <v>MTR</v>
      </c>
      <c r="H4513" t="s">
        <v>4079</v>
      </c>
      <c r="I4513" t="s">
        <v>20</v>
      </c>
      <c r="J4513" t="s">
        <v>77</v>
      </c>
      <c r="K4513" s="6">
        <v>0.03</v>
      </c>
      <c r="L4513" s="7">
        <f t="shared" si="141"/>
        <v>2E-3</v>
      </c>
      <c r="M4513" s="7">
        <v>3.0000000000000001E-3</v>
      </c>
      <c r="N4513">
        <v>17</v>
      </c>
      <c r="O4513" s="8">
        <v>41.207080732056241</v>
      </c>
      <c r="P4513" s="9">
        <v>41.207080732056241</v>
      </c>
      <c r="Q4513" s="9">
        <v>41.207080732056241</v>
      </c>
      <c r="R4513" s="9">
        <v>42.157262509433366</v>
      </c>
      <c r="S4513" s="9">
        <v>44.562650125658905</v>
      </c>
      <c r="T4513" s="9">
        <v>44.774343906619599</v>
      </c>
      <c r="U4513" s="9">
        <v>47.410026125961608</v>
      </c>
      <c r="V4513" s="9">
        <v>47.410026125961608</v>
      </c>
      <c r="W4513" s="9">
        <v>47.410026125961608</v>
      </c>
      <c r="X4513" s="9">
        <v>51.970197263128114</v>
      </c>
      <c r="Y4513" s="9">
        <v>51.970197263128114</v>
      </c>
      <c r="Z4513" s="9">
        <v>57.180133523400194</v>
      </c>
      <c r="AA4513" s="9">
        <v>57.180133523400194</v>
      </c>
      <c r="AB4513" s="9">
        <v>62.205497742174821</v>
      </c>
      <c r="AC4513" s="9">
        <v>62.205497742174821</v>
      </c>
      <c r="AD4513" s="9">
        <v>67.764075150980162</v>
      </c>
      <c r="AE4513" s="9">
        <v>75.345852790378046</v>
      </c>
      <c r="AF4513" s="9">
        <v>81.372396625232085</v>
      </c>
      <c r="AG4513" s="9">
        <v>81.372396625232085</v>
      </c>
      <c r="AH4513" s="9">
        <v>88.045224250123979</v>
      </c>
      <c r="AI4513" s="9">
        <v>94.96907033416484</v>
      </c>
      <c r="AJ4513" s="9">
        <v>3.0428788910505911</v>
      </c>
    </row>
    <row r="4514" spans="1:36" x14ac:dyDescent="0.25">
      <c r="A4514" t="s">
        <v>5411</v>
      </c>
      <c r="B4514" t="s">
        <v>16</v>
      </c>
      <c r="C4514" t="s">
        <v>17</v>
      </c>
      <c r="D4514">
        <v>78325000</v>
      </c>
      <c r="E4514">
        <v>78329999</v>
      </c>
      <c r="F4514" t="s">
        <v>4109</v>
      </c>
      <c r="G4514" t="str">
        <f t="shared" si="140"/>
        <v>MTR</v>
      </c>
      <c r="H4514" t="s">
        <v>4079</v>
      </c>
      <c r="I4514" t="s">
        <v>20</v>
      </c>
      <c r="J4514" t="s">
        <v>77</v>
      </c>
      <c r="K4514" s="6">
        <v>0.03</v>
      </c>
      <c r="L4514" s="7">
        <f t="shared" si="141"/>
        <v>2E-3</v>
      </c>
      <c r="M4514" s="7">
        <v>3.0000000000000001E-3</v>
      </c>
      <c r="N4514">
        <v>17</v>
      </c>
      <c r="O4514" s="8">
        <v>41.207080732056241</v>
      </c>
      <c r="P4514" s="9">
        <v>41.207080732056241</v>
      </c>
      <c r="Q4514" s="9">
        <v>41.207080732056241</v>
      </c>
      <c r="R4514" s="9">
        <v>42.157262509433366</v>
      </c>
      <c r="S4514" s="9">
        <v>44.562650125658905</v>
      </c>
      <c r="T4514" s="9">
        <v>44.774343906619599</v>
      </c>
      <c r="U4514" s="9">
        <v>47.410026125961608</v>
      </c>
      <c r="V4514" s="9">
        <v>47.410026125961608</v>
      </c>
      <c r="W4514" s="9">
        <v>47.410026125961608</v>
      </c>
      <c r="X4514" s="9">
        <v>51.970197263128114</v>
      </c>
      <c r="Y4514" s="9">
        <v>51.970197263128114</v>
      </c>
      <c r="Z4514" s="9">
        <v>57.180133523400194</v>
      </c>
      <c r="AA4514" s="9">
        <v>57.180133523400194</v>
      </c>
      <c r="AB4514" s="9">
        <v>62.205497742174821</v>
      </c>
      <c r="AC4514" s="9">
        <v>62.205497742174821</v>
      </c>
      <c r="AD4514" s="9">
        <v>67.764075150980162</v>
      </c>
      <c r="AE4514" s="9">
        <v>75.345852790378046</v>
      </c>
      <c r="AF4514" s="9">
        <v>81.372396625232085</v>
      </c>
      <c r="AG4514" s="9">
        <v>81.372396625232085</v>
      </c>
      <c r="AH4514" s="9">
        <v>88.045224250123979</v>
      </c>
      <c r="AI4514" s="9">
        <v>94.96907033416484</v>
      </c>
      <c r="AJ4514" s="9">
        <v>3.0428788910505911</v>
      </c>
    </row>
    <row r="4515" spans="1:36" x14ac:dyDescent="0.25">
      <c r="A4515" t="s">
        <v>5411</v>
      </c>
      <c r="B4515" t="s">
        <v>16</v>
      </c>
      <c r="C4515" t="s">
        <v>17</v>
      </c>
      <c r="D4515">
        <v>78330000</v>
      </c>
      <c r="E4515">
        <v>78334999</v>
      </c>
      <c r="F4515" t="s">
        <v>4110</v>
      </c>
      <c r="G4515" t="str">
        <f t="shared" si="140"/>
        <v>MTR</v>
      </c>
      <c r="H4515" t="s">
        <v>4079</v>
      </c>
      <c r="I4515" t="s">
        <v>20</v>
      </c>
      <c r="J4515" t="s">
        <v>77</v>
      </c>
      <c r="K4515" s="6">
        <v>0.03</v>
      </c>
      <c r="L4515" s="7">
        <f t="shared" si="141"/>
        <v>2E-3</v>
      </c>
      <c r="M4515" s="7">
        <v>3.0000000000000001E-3</v>
      </c>
      <c r="N4515">
        <v>17</v>
      </c>
      <c r="O4515" s="8">
        <v>41.207080732056241</v>
      </c>
      <c r="P4515" s="9">
        <v>41.207080732056241</v>
      </c>
      <c r="Q4515" s="9">
        <v>41.207080732056241</v>
      </c>
      <c r="R4515" s="9">
        <v>42.157262509433366</v>
      </c>
      <c r="S4515" s="9">
        <v>44.562650125658905</v>
      </c>
      <c r="T4515" s="9">
        <v>44.774343906619599</v>
      </c>
      <c r="U4515" s="9">
        <v>47.410026125961608</v>
      </c>
      <c r="V4515" s="9">
        <v>47.410026125961608</v>
      </c>
      <c r="W4515" s="9">
        <v>47.410026125961608</v>
      </c>
      <c r="X4515" s="9">
        <v>51.970197263128114</v>
      </c>
      <c r="Y4515" s="9">
        <v>51.970197263128114</v>
      </c>
      <c r="Z4515" s="9">
        <v>57.180133523400194</v>
      </c>
      <c r="AA4515" s="9">
        <v>57.180133523400194</v>
      </c>
      <c r="AB4515" s="9">
        <v>62.205497742174821</v>
      </c>
      <c r="AC4515" s="9">
        <v>62.205497742174821</v>
      </c>
      <c r="AD4515" s="9">
        <v>67.764075150980162</v>
      </c>
      <c r="AE4515" s="9">
        <v>75.345852790378046</v>
      </c>
      <c r="AF4515" s="9">
        <v>81.372396625232085</v>
      </c>
      <c r="AG4515" s="9">
        <v>81.372396625232085</v>
      </c>
      <c r="AH4515" s="9">
        <v>88.045224250123979</v>
      </c>
      <c r="AI4515" s="9">
        <v>94.96907033416484</v>
      </c>
      <c r="AJ4515" s="9">
        <v>3.0428788910505911</v>
      </c>
    </row>
    <row r="4516" spans="1:36" x14ac:dyDescent="0.25">
      <c r="A4516" t="s">
        <v>5411</v>
      </c>
      <c r="B4516" t="s">
        <v>16</v>
      </c>
      <c r="C4516" t="s">
        <v>17</v>
      </c>
      <c r="D4516">
        <v>78335000</v>
      </c>
      <c r="E4516">
        <v>78337999</v>
      </c>
      <c r="F4516" t="s">
        <v>4111</v>
      </c>
      <c r="G4516" t="str">
        <f t="shared" si="140"/>
        <v>MTR</v>
      </c>
      <c r="H4516" t="s">
        <v>4079</v>
      </c>
      <c r="I4516" t="s">
        <v>20</v>
      </c>
      <c r="J4516" t="s">
        <v>77</v>
      </c>
      <c r="K4516" s="6">
        <v>0.03</v>
      </c>
      <c r="L4516" s="7">
        <f t="shared" si="141"/>
        <v>2E-3</v>
      </c>
      <c r="M4516" s="7">
        <v>3.0000000000000001E-3</v>
      </c>
      <c r="N4516">
        <v>17</v>
      </c>
      <c r="O4516" s="8">
        <v>41.207080732056241</v>
      </c>
      <c r="P4516" s="9">
        <v>41.207080732056241</v>
      </c>
      <c r="Q4516" s="9">
        <v>41.207080732056241</v>
      </c>
      <c r="R4516" s="9">
        <v>42.157262509433366</v>
      </c>
      <c r="S4516" s="9">
        <v>44.562650125658905</v>
      </c>
      <c r="T4516" s="9">
        <v>44.774343906619599</v>
      </c>
      <c r="U4516" s="9">
        <v>47.410026125961608</v>
      </c>
      <c r="V4516" s="9">
        <v>47.410026125961608</v>
      </c>
      <c r="W4516" s="9">
        <v>47.410026125961608</v>
      </c>
      <c r="X4516" s="9">
        <v>51.970197263128114</v>
      </c>
      <c r="Y4516" s="9">
        <v>51.970197263128114</v>
      </c>
      <c r="Z4516" s="9">
        <v>57.180133523400194</v>
      </c>
      <c r="AA4516" s="9">
        <v>57.180133523400194</v>
      </c>
      <c r="AB4516" s="9">
        <v>62.205497742174821</v>
      </c>
      <c r="AC4516" s="9">
        <v>62.205497742174821</v>
      </c>
      <c r="AD4516" s="9">
        <v>67.764075150980162</v>
      </c>
      <c r="AE4516" s="9">
        <v>75.345852790378046</v>
      </c>
      <c r="AF4516" s="9">
        <v>81.372396625232085</v>
      </c>
      <c r="AG4516" s="9">
        <v>81.372396625232085</v>
      </c>
      <c r="AH4516" s="9">
        <v>88.045224250123979</v>
      </c>
      <c r="AI4516" s="9">
        <v>94.96907033416484</v>
      </c>
      <c r="AJ4516" s="9">
        <v>3.0428788910505911</v>
      </c>
    </row>
    <row r="4517" spans="1:36" x14ac:dyDescent="0.25">
      <c r="A4517" t="s">
        <v>5411</v>
      </c>
      <c r="B4517" t="s">
        <v>16</v>
      </c>
      <c r="C4517" t="s">
        <v>17</v>
      </c>
      <c r="D4517">
        <v>78338000</v>
      </c>
      <c r="E4517">
        <v>78339999</v>
      </c>
      <c r="F4517" t="s">
        <v>4112</v>
      </c>
      <c r="G4517" t="str">
        <f t="shared" si="140"/>
        <v>MTR</v>
      </c>
      <c r="H4517" t="s">
        <v>4079</v>
      </c>
      <c r="I4517" t="s">
        <v>20</v>
      </c>
      <c r="J4517" t="s">
        <v>77</v>
      </c>
      <c r="K4517" s="6">
        <v>0.03</v>
      </c>
      <c r="L4517" s="7">
        <f t="shared" si="141"/>
        <v>2E-3</v>
      </c>
      <c r="M4517" s="7">
        <v>3.0000000000000001E-3</v>
      </c>
      <c r="N4517">
        <v>17</v>
      </c>
      <c r="O4517" s="8">
        <v>41.207080732056241</v>
      </c>
      <c r="P4517" s="9">
        <v>41.207080732056241</v>
      </c>
      <c r="Q4517" s="9">
        <v>41.207080732056241</v>
      </c>
      <c r="R4517" s="9">
        <v>42.157262509433366</v>
      </c>
      <c r="S4517" s="9">
        <v>44.562650125658905</v>
      </c>
      <c r="T4517" s="9">
        <v>44.774343906619599</v>
      </c>
      <c r="U4517" s="9">
        <v>47.410026125961608</v>
      </c>
      <c r="V4517" s="9">
        <v>47.410026125961608</v>
      </c>
      <c r="W4517" s="9">
        <v>47.410026125961608</v>
      </c>
      <c r="X4517" s="9">
        <v>51.970197263128114</v>
      </c>
      <c r="Y4517" s="9">
        <v>51.970197263128114</v>
      </c>
      <c r="Z4517" s="9">
        <v>57.180133523400194</v>
      </c>
      <c r="AA4517" s="9">
        <v>57.180133523400194</v>
      </c>
      <c r="AB4517" s="9">
        <v>62.205497742174821</v>
      </c>
      <c r="AC4517" s="9">
        <v>62.205497742174821</v>
      </c>
      <c r="AD4517" s="9">
        <v>67.764075150980162</v>
      </c>
      <c r="AE4517" s="9">
        <v>75.345852790378046</v>
      </c>
      <c r="AF4517" s="9">
        <v>81.372396625232085</v>
      </c>
      <c r="AG4517" s="9">
        <v>81.372396625232085</v>
      </c>
      <c r="AH4517" s="9">
        <v>88.045224250123979</v>
      </c>
      <c r="AI4517" s="9">
        <v>94.96907033416484</v>
      </c>
      <c r="AJ4517" s="9">
        <v>3.0428788910505911</v>
      </c>
    </row>
    <row r="4518" spans="1:36" x14ac:dyDescent="0.25">
      <c r="A4518" t="s">
        <v>5411</v>
      </c>
      <c r="B4518" t="s">
        <v>16</v>
      </c>
      <c r="C4518" t="s">
        <v>17</v>
      </c>
      <c r="D4518">
        <v>78340000</v>
      </c>
      <c r="E4518">
        <v>78344999</v>
      </c>
      <c r="F4518" t="s">
        <v>4113</v>
      </c>
      <c r="G4518" t="str">
        <f t="shared" si="140"/>
        <v>MTR</v>
      </c>
      <c r="H4518" t="s">
        <v>4079</v>
      </c>
      <c r="I4518" t="s">
        <v>20</v>
      </c>
      <c r="J4518" t="s">
        <v>77</v>
      </c>
      <c r="K4518" s="6">
        <v>0.03</v>
      </c>
      <c r="L4518" s="7">
        <f t="shared" si="141"/>
        <v>2E-3</v>
      </c>
      <c r="M4518" s="7">
        <v>3.0000000000000001E-3</v>
      </c>
      <c r="N4518">
        <v>17</v>
      </c>
      <c r="O4518" s="8">
        <v>41.207080732056241</v>
      </c>
      <c r="P4518" s="9">
        <v>41.207080732056241</v>
      </c>
      <c r="Q4518" s="9">
        <v>41.207080732056241</v>
      </c>
      <c r="R4518" s="9">
        <v>42.157262509433366</v>
      </c>
      <c r="S4518" s="9">
        <v>44.562650125658905</v>
      </c>
      <c r="T4518" s="9">
        <v>44.774343906619599</v>
      </c>
      <c r="U4518" s="9">
        <v>47.410026125961608</v>
      </c>
      <c r="V4518" s="9">
        <v>47.410026125961608</v>
      </c>
      <c r="W4518" s="9">
        <v>47.410026125961608</v>
      </c>
      <c r="X4518" s="9">
        <v>51.970197263128114</v>
      </c>
      <c r="Y4518" s="9">
        <v>51.970197263128114</v>
      </c>
      <c r="Z4518" s="9">
        <v>57.180133523400194</v>
      </c>
      <c r="AA4518" s="9">
        <v>57.180133523400194</v>
      </c>
      <c r="AB4518" s="9">
        <v>62.205497742174821</v>
      </c>
      <c r="AC4518" s="9">
        <v>62.205497742174821</v>
      </c>
      <c r="AD4518" s="9">
        <v>67.764075150980162</v>
      </c>
      <c r="AE4518" s="9">
        <v>75.345852790378046</v>
      </c>
      <c r="AF4518" s="9">
        <v>81.372396625232085</v>
      </c>
      <c r="AG4518" s="9">
        <v>81.372396625232085</v>
      </c>
      <c r="AH4518" s="9">
        <v>88.045224250123979</v>
      </c>
      <c r="AI4518" s="9">
        <v>94.96907033416484</v>
      </c>
      <c r="AJ4518" s="9">
        <v>3.0428788910505911</v>
      </c>
    </row>
    <row r="4519" spans="1:36" x14ac:dyDescent="0.25">
      <c r="A4519" t="s">
        <v>5411</v>
      </c>
      <c r="B4519" t="s">
        <v>16</v>
      </c>
      <c r="C4519" t="s">
        <v>17</v>
      </c>
      <c r="D4519">
        <v>78345000</v>
      </c>
      <c r="E4519">
        <v>78349999</v>
      </c>
      <c r="F4519" t="s">
        <v>4114</v>
      </c>
      <c r="G4519" t="str">
        <f t="shared" si="140"/>
        <v>MTR</v>
      </c>
      <c r="H4519" t="s">
        <v>4079</v>
      </c>
      <c r="I4519" t="s">
        <v>20</v>
      </c>
      <c r="J4519" t="s">
        <v>77</v>
      </c>
      <c r="K4519" s="6">
        <v>0.03</v>
      </c>
      <c r="L4519" s="7">
        <f t="shared" si="141"/>
        <v>2E-3</v>
      </c>
      <c r="M4519" s="7">
        <v>3.0000000000000001E-3</v>
      </c>
      <c r="N4519">
        <v>17</v>
      </c>
      <c r="O4519" s="8">
        <v>41.207080732056241</v>
      </c>
      <c r="P4519" s="9">
        <v>41.207080732056241</v>
      </c>
      <c r="Q4519" s="9">
        <v>41.207080732056241</v>
      </c>
      <c r="R4519" s="9">
        <v>42.157262509433366</v>
      </c>
      <c r="S4519" s="9">
        <v>44.562650125658905</v>
      </c>
      <c r="T4519" s="9">
        <v>44.774343906619599</v>
      </c>
      <c r="U4519" s="9">
        <v>47.410026125961608</v>
      </c>
      <c r="V4519" s="9">
        <v>47.410026125961608</v>
      </c>
      <c r="W4519" s="9">
        <v>47.410026125961608</v>
      </c>
      <c r="X4519" s="9">
        <v>51.970197263128114</v>
      </c>
      <c r="Y4519" s="9">
        <v>51.970197263128114</v>
      </c>
      <c r="Z4519" s="9">
        <v>57.180133523400194</v>
      </c>
      <c r="AA4519" s="9">
        <v>57.180133523400194</v>
      </c>
      <c r="AB4519" s="9">
        <v>62.205497742174821</v>
      </c>
      <c r="AC4519" s="9">
        <v>62.205497742174821</v>
      </c>
      <c r="AD4519" s="9">
        <v>67.764075150980162</v>
      </c>
      <c r="AE4519" s="9">
        <v>75.345852790378046</v>
      </c>
      <c r="AF4519" s="9">
        <v>81.372396625232085</v>
      </c>
      <c r="AG4519" s="9">
        <v>81.372396625232085</v>
      </c>
      <c r="AH4519" s="9">
        <v>88.045224250123979</v>
      </c>
      <c r="AI4519" s="9">
        <v>94.96907033416484</v>
      </c>
      <c r="AJ4519" s="9">
        <v>3.0428788910505911</v>
      </c>
    </row>
    <row r="4520" spans="1:36" x14ac:dyDescent="0.25">
      <c r="A4520" t="s">
        <v>5411</v>
      </c>
      <c r="B4520" t="s">
        <v>16</v>
      </c>
      <c r="C4520" t="s">
        <v>17</v>
      </c>
      <c r="D4520">
        <v>78350000</v>
      </c>
      <c r="E4520">
        <v>78359999</v>
      </c>
      <c r="F4520" t="s">
        <v>4115</v>
      </c>
      <c r="G4520" t="str">
        <f t="shared" si="140"/>
        <v>MTR</v>
      </c>
      <c r="H4520" t="s">
        <v>4079</v>
      </c>
      <c r="I4520" t="s">
        <v>20</v>
      </c>
      <c r="J4520" t="s">
        <v>77</v>
      </c>
      <c r="K4520" s="6">
        <v>0.03</v>
      </c>
      <c r="L4520" s="7">
        <f t="shared" si="141"/>
        <v>2E-3</v>
      </c>
      <c r="M4520" s="7">
        <v>3.0000000000000001E-3</v>
      </c>
      <c r="N4520">
        <v>17</v>
      </c>
      <c r="O4520" s="8">
        <v>41.207080732056241</v>
      </c>
      <c r="P4520" s="9">
        <v>41.207080732056241</v>
      </c>
      <c r="Q4520" s="9">
        <v>41.207080732056241</v>
      </c>
      <c r="R4520" s="9">
        <v>42.157262509433366</v>
      </c>
      <c r="S4520" s="9">
        <v>44.562650125658905</v>
      </c>
      <c r="T4520" s="9">
        <v>44.774343906619599</v>
      </c>
      <c r="U4520" s="9">
        <v>47.410026125961608</v>
      </c>
      <c r="V4520" s="9">
        <v>47.410026125961608</v>
      </c>
      <c r="W4520" s="9">
        <v>47.410026125961608</v>
      </c>
      <c r="X4520" s="9">
        <v>51.970197263128114</v>
      </c>
      <c r="Y4520" s="9">
        <v>51.970197263128114</v>
      </c>
      <c r="Z4520" s="9">
        <v>57.180133523400194</v>
      </c>
      <c r="AA4520" s="9">
        <v>57.180133523400194</v>
      </c>
      <c r="AB4520" s="9">
        <v>62.205497742174821</v>
      </c>
      <c r="AC4520" s="9">
        <v>62.205497742174821</v>
      </c>
      <c r="AD4520" s="9">
        <v>67.764075150980162</v>
      </c>
      <c r="AE4520" s="9">
        <v>75.345852790378046</v>
      </c>
      <c r="AF4520" s="9">
        <v>81.372396625232085</v>
      </c>
      <c r="AG4520" s="9">
        <v>81.372396625232085</v>
      </c>
      <c r="AH4520" s="9">
        <v>88.045224250123979</v>
      </c>
      <c r="AI4520" s="9">
        <v>94.96907033416484</v>
      </c>
      <c r="AJ4520" s="9">
        <v>3.0428788910505911</v>
      </c>
    </row>
    <row r="4521" spans="1:36" x14ac:dyDescent="0.25">
      <c r="A4521" t="s">
        <v>5411</v>
      </c>
      <c r="B4521" t="s">
        <v>16</v>
      </c>
      <c r="C4521" t="s">
        <v>17</v>
      </c>
      <c r="D4521">
        <v>78360000</v>
      </c>
      <c r="E4521">
        <v>78364999</v>
      </c>
      <c r="F4521" t="s">
        <v>4116</v>
      </c>
      <c r="G4521" t="str">
        <f t="shared" si="140"/>
        <v>MTR</v>
      </c>
      <c r="H4521" t="s">
        <v>4079</v>
      </c>
      <c r="I4521" t="s">
        <v>20</v>
      </c>
      <c r="J4521" t="s">
        <v>77</v>
      </c>
      <c r="K4521" s="6">
        <v>0.03</v>
      </c>
      <c r="L4521" s="7">
        <f t="shared" si="141"/>
        <v>2E-3</v>
      </c>
      <c r="M4521" s="7">
        <v>3.0000000000000001E-3</v>
      </c>
      <c r="N4521">
        <v>17</v>
      </c>
      <c r="O4521" s="8">
        <v>41.207080732056241</v>
      </c>
      <c r="P4521" s="9">
        <v>41.207080732056241</v>
      </c>
      <c r="Q4521" s="9">
        <v>41.207080732056241</v>
      </c>
      <c r="R4521" s="9">
        <v>42.157262509433366</v>
      </c>
      <c r="S4521" s="9">
        <v>44.562650125658905</v>
      </c>
      <c r="T4521" s="9">
        <v>44.774343906619599</v>
      </c>
      <c r="U4521" s="9">
        <v>47.410026125961608</v>
      </c>
      <c r="V4521" s="9">
        <v>47.410026125961608</v>
      </c>
      <c r="W4521" s="9">
        <v>47.410026125961608</v>
      </c>
      <c r="X4521" s="9">
        <v>51.970197263128114</v>
      </c>
      <c r="Y4521" s="9">
        <v>51.970197263128114</v>
      </c>
      <c r="Z4521" s="9">
        <v>57.180133523400194</v>
      </c>
      <c r="AA4521" s="9">
        <v>57.180133523400194</v>
      </c>
      <c r="AB4521" s="9">
        <v>62.205497742174821</v>
      </c>
      <c r="AC4521" s="9">
        <v>62.205497742174821</v>
      </c>
      <c r="AD4521" s="9">
        <v>67.764075150980162</v>
      </c>
      <c r="AE4521" s="9">
        <v>75.345852790378046</v>
      </c>
      <c r="AF4521" s="9">
        <v>81.372396625232085</v>
      </c>
      <c r="AG4521" s="9">
        <v>81.372396625232085</v>
      </c>
      <c r="AH4521" s="9">
        <v>88.045224250123979</v>
      </c>
      <c r="AI4521" s="9">
        <v>94.96907033416484</v>
      </c>
      <c r="AJ4521" s="9">
        <v>3.0428788910505911</v>
      </c>
    </row>
    <row r="4522" spans="1:36" x14ac:dyDescent="0.25">
      <c r="A4522" t="s">
        <v>5411</v>
      </c>
      <c r="B4522" t="s">
        <v>16</v>
      </c>
      <c r="C4522" t="s">
        <v>17</v>
      </c>
      <c r="D4522">
        <v>78365000</v>
      </c>
      <c r="E4522">
        <v>78369999</v>
      </c>
      <c r="F4522" t="s">
        <v>4117</v>
      </c>
      <c r="G4522" t="str">
        <f t="shared" si="140"/>
        <v>MTR</v>
      </c>
      <c r="H4522" t="s">
        <v>4079</v>
      </c>
      <c r="I4522" t="s">
        <v>20</v>
      </c>
      <c r="J4522" t="s">
        <v>77</v>
      </c>
      <c r="K4522" s="6">
        <v>0.03</v>
      </c>
      <c r="L4522" s="7">
        <f t="shared" si="141"/>
        <v>2E-3</v>
      </c>
      <c r="M4522" s="7">
        <v>3.0000000000000001E-3</v>
      </c>
      <c r="N4522">
        <v>17</v>
      </c>
      <c r="O4522" s="8">
        <v>41.207080732056241</v>
      </c>
      <c r="P4522" s="9">
        <v>41.207080732056241</v>
      </c>
      <c r="Q4522" s="9">
        <v>41.207080732056241</v>
      </c>
      <c r="R4522" s="9">
        <v>42.157262509433366</v>
      </c>
      <c r="S4522" s="9">
        <v>44.562650125658905</v>
      </c>
      <c r="T4522" s="9">
        <v>44.774343906619599</v>
      </c>
      <c r="U4522" s="9">
        <v>47.410026125961608</v>
      </c>
      <c r="V4522" s="9">
        <v>47.410026125961608</v>
      </c>
      <c r="W4522" s="9">
        <v>47.410026125961608</v>
      </c>
      <c r="X4522" s="9">
        <v>51.970197263128114</v>
      </c>
      <c r="Y4522" s="9">
        <v>51.970197263128114</v>
      </c>
      <c r="Z4522" s="9">
        <v>57.180133523400194</v>
      </c>
      <c r="AA4522" s="9">
        <v>57.180133523400194</v>
      </c>
      <c r="AB4522" s="9">
        <v>62.205497742174821</v>
      </c>
      <c r="AC4522" s="9">
        <v>62.205497742174821</v>
      </c>
      <c r="AD4522" s="9">
        <v>67.764075150980162</v>
      </c>
      <c r="AE4522" s="9">
        <v>75.345852790378046</v>
      </c>
      <c r="AF4522" s="9">
        <v>81.372396625232085</v>
      </c>
      <c r="AG4522" s="9">
        <v>81.372396625232085</v>
      </c>
      <c r="AH4522" s="9">
        <v>88.045224250123979</v>
      </c>
      <c r="AI4522" s="9">
        <v>94.96907033416484</v>
      </c>
      <c r="AJ4522" s="9">
        <v>3.0428788910505911</v>
      </c>
    </row>
    <row r="4523" spans="1:36" x14ac:dyDescent="0.25">
      <c r="A4523" t="s">
        <v>5411</v>
      </c>
      <c r="B4523" t="s">
        <v>16</v>
      </c>
      <c r="C4523" t="s">
        <v>17</v>
      </c>
      <c r="D4523">
        <v>78370000</v>
      </c>
      <c r="E4523">
        <v>78379999</v>
      </c>
      <c r="F4523" t="s">
        <v>4118</v>
      </c>
      <c r="G4523" t="str">
        <f t="shared" si="140"/>
        <v>MTR</v>
      </c>
      <c r="H4523" t="s">
        <v>4079</v>
      </c>
      <c r="I4523" t="s">
        <v>20</v>
      </c>
      <c r="J4523" t="s">
        <v>77</v>
      </c>
      <c r="K4523" s="6">
        <v>0.03</v>
      </c>
      <c r="L4523" s="7">
        <f t="shared" si="141"/>
        <v>2E-3</v>
      </c>
      <c r="M4523" s="7">
        <v>3.0000000000000001E-3</v>
      </c>
      <c r="N4523">
        <v>17</v>
      </c>
      <c r="O4523" s="8">
        <v>41.207080732056241</v>
      </c>
      <c r="P4523" s="9">
        <v>41.207080732056241</v>
      </c>
      <c r="Q4523" s="9">
        <v>41.207080732056241</v>
      </c>
      <c r="R4523" s="9">
        <v>42.157262509433366</v>
      </c>
      <c r="S4523" s="9">
        <v>44.562650125658905</v>
      </c>
      <c r="T4523" s="9">
        <v>44.774343906619599</v>
      </c>
      <c r="U4523" s="9">
        <v>47.410026125961608</v>
      </c>
      <c r="V4523" s="9">
        <v>47.410026125961608</v>
      </c>
      <c r="W4523" s="9">
        <v>47.410026125961608</v>
      </c>
      <c r="X4523" s="9">
        <v>51.970197263128114</v>
      </c>
      <c r="Y4523" s="9">
        <v>51.970197263128114</v>
      </c>
      <c r="Z4523" s="9">
        <v>57.180133523400194</v>
      </c>
      <c r="AA4523" s="9">
        <v>57.180133523400194</v>
      </c>
      <c r="AB4523" s="9">
        <v>62.205497742174821</v>
      </c>
      <c r="AC4523" s="9">
        <v>62.205497742174821</v>
      </c>
      <c r="AD4523" s="9">
        <v>67.764075150980162</v>
      </c>
      <c r="AE4523" s="9">
        <v>75.345852790378046</v>
      </c>
      <c r="AF4523" s="9">
        <v>81.372396625232085</v>
      </c>
      <c r="AG4523" s="9">
        <v>81.372396625232085</v>
      </c>
      <c r="AH4523" s="9">
        <v>88.045224250123979</v>
      </c>
      <c r="AI4523" s="9">
        <v>94.96907033416484</v>
      </c>
      <c r="AJ4523" s="9">
        <v>3.0428788910505911</v>
      </c>
    </row>
    <row r="4524" spans="1:36" x14ac:dyDescent="0.25">
      <c r="A4524" t="s">
        <v>5411</v>
      </c>
      <c r="B4524" t="s">
        <v>16</v>
      </c>
      <c r="C4524" t="s">
        <v>17</v>
      </c>
      <c r="D4524">
        <v>78380000</v>
      </c>
      <c r="E4524">
        <v>78389999</v>
      </c>
      <c r="F4524" t="s">
        <v>4119</v>
      </c>
      <c r="G4524" t="str">
        <f t="shared" si="140"/>
        <v>MTR</v>
      </c>
      <c r="H4524" t="s">
        <v>4079</v>
      </c>
      <c r="I4524" t="s">
        <v>20</v>
      </c>
      <c r="J4524" t="s">
        <v>77</v>
      </c>
      <c r="K4524" s="6">
        <v>0.03</v>
      </c>
      <c r="L4524" s="7">
        <f t="shared" si="141"/>
        <v>2E-3</v>
      </c>
      <c r="M4524" s="7">
        <v>3.0000000000000001E-3</v>
      </c>
      <c r="N4524">
        <v>17</v>
      </c>
      <c r="O4524" s="8">
        <v>41.207080732056241</v>
      </c>
      <c r="P4524" s="9">
        <v>41.207080732056241</v>
      </c>
      <c r="Q4524" s="9">
        <v>41.207080732056241</v>
      </c>
      <c r="R4524" s="9">
        <v>42.157262509433366</v>
      </c>
      <c r="S4524" s="9">
        <v>44.562650125658905</v>
      </c>
      <c r="T4524" s="9">
        <v>44.774343906619599</v>
      </c>
      <c r="U4524" s="9">
        <v>47.410026125961608</v>
      </c>
      <c r="V4524" s="9">
        <v>47.410026125961608</v>
      </c>
      <c r="W4524" s="9">
        <v>47.410026125961608</v>
      </c>
      <c r="X4524" s="9">
        <v>51.970197263128114</v>
      </c>
      <c r="Y4524" s="9">
        <v>51.970197263128114</v>
      </c>
      <c r="Z4524" s="9">
        <v>57.180133523400194</v>
      </c>
      <c r="AA4524" s="9">
        <v>57.180133523400194</v>
      </c>
      <c r="AB4524" s="9">
        <v>62.205497742174821</v>
      </c>
      <c r="AC4524" s="9">
        <v>62.205497742174821</v>
      </c>
      <c r="AD4524" s="9">
        <v>67.764075150980162</v>
      </c>
      <c r="AE4524" s="9">
        <v>75.345852790378046</v>
      </c>
      <c r="AF4524" s="9">
        <v>81.372396625232085</v>
      </c>
      <c r="AG4524" s="9">
        <v>81.372396625232085</v>
      </c>
      <c r="AH4524" s="9">
        <v>88.045224250123979</v>
      </c>
      <c r="AI4524" s="9">
        <v>94.96907033416484</v>
      </c>
      <c r="AJ4524" s="9">
        <v>3.0428788910505911</v>
      </c>
    </row>
    <row r="4525" spans="1:36" x14ac:dyDescent="0.25">
      <c r="A4525" t="s">
        <v>5411</v>
      </c>
      <c r="B4525" t="s">
        <v>16</v>
      </c>
      <c r="C4525" t="s">
        <v>17</v>
      </c>
      <c r="D4525">
        <v>78390000</v>
      </c>
      <c r="E4525">
        <v>78397999</v>
      </c>
      <c r="F4525" t="s">
        <v>4120</v>
      </c>
      <c r="G4525" t="str">
        <f t="shared" si="140"/>
        <v>MTI II</v>
      </c>
      <c r="H4525" t="s">
        <v>4079</v>
      </c>
      <c r="I4525" t="s">
        <v>20</v>
      </c>
      <c r="J4525" t="s">
        <v>64</v>
      </c>
      <c r="K4525" s="6">
        <v>0.03</v>
      </c>
      <c r="L4525" s="7">
        <f t="shared" si="141"/>
        <v>2E-3</v>
      </c>
      <c r="M4525" s="7">
        <v>3.0000000000000001E-3</v>
      </c>
      <c r="N4525">
        <v>13</v>
      </c>
      <c r="O4525" s="8">
        <v>26.945869944786573</v>
      </c>
      <c r="P4525" s="9">
        <v>26.945869944786573</v>
      </c>
      <c r="Q4525" s="9">
        <v>26.945869944786573</v>
      </c>
      <c r="R4525" s="9">
        <v>27.872426176460309</v>
      </c>
      <c r="S4525" s="9">
        <v>30.114764737466444</v>
      </c>
      <c r="T4525" s="9">
        <v>30.389103773795448</v>
      </c>
      <c r="U4525" s="9">
        <v>32.851592628213609</v>
      </c>
      <c r="V4525" s="9">
        <v>32.851592628213609</v>
      </c>
      <c r="W4525" s="9">
        <v>32.851592628213609</v>
      </c>
      <c r="X4525" s="9">
        <v>35.974003563148294</v>
      </c>
      <c r="Y4525" s="9">
        <v>35.974003563148294</v>
      </c>
      <c r="Z4525" s="9">
        <v>39.583028800026455</v>
      </c>
      <c r="AA4525" s="9">
        <v>39.583028800026455</v>
      </c>
      <c r="AB4525" s="9">
        <v>42.917947459820233</v>
      </c>
      <c r="AC4525" s="9">
        <v>42.917947459820233</v>
      </c>
      <c r="AD4525" s="9">
        <v>48.456144425509514</v>
      </c>
      <c r="AE4525" s="9">
        <v>51.441147415963158</v>
      </c>
      <c r="AF4525" s="9">
        <v>54.652150956017358</v>
      </c>
      <c r="AG4525" s="9">
        <v>54.652150956017358</v>
      </c>
      <c r="AH4525" s="9">
        <v>58.808410228839165</v>
      </c>
      <c r="AI4525" s="9">
        <v>62.34918511933521</v>
      </c>
      <c r="AJ4525" s="9">
        <v>3.0428788910505911</v>
      </c>
    </row>
    <row r="4526" spans="1:36" x14ac:dyDescent="0.25">
      <c r="A4526" t="s">
        <v>5411</v>
      </c>
      <c r="B4526" t="s">
        <v>16</v>
      </c>
      <c r="C4526" t="s">
        <v>17</v>
      </c>
      <c r="D4526">
        <v>78398000</v>
      </c>
      <c r="E4526">
        <v>78399999</v>
      </c>
      <c r="F4526" t="s">
        <v>4121</v>
      </c>
      <c r="G4526" t="str">
        <f t="shared" si="140"/>
        <v>MTR</v>
      </c>
      <c r="H4526" t="s">
        <v>4079</v>
      </c>
      <c r="I4526" t="s">
        <v>20</v>
      </c>
      <c r="J4526" t="s">
        <v>77</v>
      </c>
      <c r="K4526" s="6">
        <v>0.03</v>
      </c>
      <c r="L4526" s="7">
        <f t="shared" si="141"/>
        <v>2E-3</v>
      </c>
      <c r="M4526" s="7">
        <v>3.0000000000000001E-3</v>
      </c>
      <c r="N4526">
        <v>17</v>
      </c>
      <c r="O4526" s="8">
        <v>41.207080732056241</v>
      </c>
      <c r="P4526" s="9">
        <v>41.207080732056241</v>
      </c>
      <c r="Q4526" s="9">
        <v>41.207080732056241</v>
      </c>
      <c r="R4526" s="9">
        <v>42.157262509433366</v>
      </c>
      <c r="S4526" s="9">
        <v>44.562650125658905</v>
      </c>
      <c r="T4526" s="9">
        <v>44.774343906619599</v>
      </c>
      <c r="U4526" s="9">
        <v>47.410026125961608</v>
      </c>
      <c r="V4526" s="9">
        <v>47.410026125961608</v>
      </c>
      <c r="W4526" s="9">
        <v>47.410026125961608</v>
      </c>
      <c r="X4526" s="9">
        <v>51.970197263128114</v>
      </c>
      <c r="Y4526" s="9">
        <v>51.970197263128114</v>
      </c>
      <c r="Z4526" s="9">
        <v>57.180133523400194</v>
      </c>
      <c r="AA4526" s="9">
        <v>57.180133523400194</v>
      </c>
      <c r="AB4526" s="9">
        <v>62.205497742174821</v>
      </c>
      <c r="AC4526" s="9">
        <v>62.205497742174821</v>
      </c>
      <c r="AD4526" s="9">
        <v>67.764075150980162</v>
      </c>
      <c r="AE4526" s="9">
        <v>75.345852790378046</v>
      </c>
      <c r="AF4526" s="9">
        <v>81.372396625232085</v>
      </c>
      <c r="AG4526" s="9">
        <v>81.372396625232085</v>
      </c>
      <c r="AH4526" s="9">
        <v>88.045224250123979</v>
      </c>
      <c r="AI4526" s="9">
        <v>94.96907033416484</v>
      </c>
      <c r="AJ4526" s="9">
        <v>3.0428788910505911</v>
      </c>
    </row>
    <row r="4527" spans="1:36" x14ac:dyDescent="0.25">
      <c r="A4527" t="s">
        <v>5411</v>
      </c>
      <c r="B4527" t="s">
        <v>16</v>
      </c>
      <c r="C4527" t="s">
        <v>17</v>
      </c>
      <c r="D4527">
        <v>78400000</v>
      </c>
      <c r="E4527">
        <v>78409999</v>
      </c>
      <c r="F4527" t="s">
        <v>4122</v>
      </c>
      <c r="G4527" t="str">
        <f t="shared" si="140"/>
        <v>MTR</v>
      </c>
      <c r="H4527" t="s">
        <v>4079</v>
      </c>
      <c r="I4527" t="s">
        <v>20</v>
      </c>
      <c r="J4527" t="s">
        <v>77</v>
      </c>
      <c r="K4527" s="6">
        <v>0.03</v>
      </c>
      <c r="L4527" s="7">
        <f t="shared" si="141"/>
        <v>2E-3</v>
      </c>
      <c r="M4527" s="7">
        <v>3.0000000000000001E-3</v>
      </c>
      <c r="N4527">
        <v>17</v>
      </c>
      <c r="O4527" s="8">
        <v>41.207080732056241</v>
      </c>
      <c r="P4527" s="9">
        <v>41.207080732056241</v>
      </c>
      <c r="Q4527" s="9">
        <v>41.207080732056241</v>
      </c>
      <c r="R4527" s="9">
        <v>42.157262509433366</v>
      </c>
      <c r="S4527" s="9">
        <v>44.562650125658905</v>
      </c>
      <c r="T4527" s="9">
        <v>44.774343906619599</v>
      </c>
      <c r="U4527" s="9">
        <v>47.410026125961608</v>
      </c>
      <c r="V4527" s="9">
        <v>47.410026125961608</v>
      </c>
      <c r="W4527" s="9">
        <v>47.410026125961608</v>
      </c>
      <c r="X4527" s="9">
        <v>51.970197263128114</v>
      </c>
      <c r="Y4527" s="9">
        <v>51.970197263128114</v>
      </c>
      <c r="Z4527" s="9">
        <v>57.180133523400194</v>
      </c>
      <c r="AA4527" s="9">
        <v>57.180133523400194</v>
      </c>
      <c r="AB4527" s="9">
        <v>62.205497742174821</v>
      </c>
      <c r="AC4527" s="9">
        <v>62.205497742174821</v>
      </c>
      <c r="AD4527" s="9">
        <v>67.764075150980162</v>
      </c>
      <c r="AE4527" s="9">
        <v>75.345852790378046</v>
      </c>
      <c r="AF4527" s="9">
        <v>81.372396625232085</v>
      </c>
      <c r="AG4527" s="9">
        <v>81.372396625232085</v>
      </c>
      <c r="AH4527" s="9">
        <v>88.045224250123979</v>
      </c>
      <c r="AI4527" s="9">
        <v>94.96907033416484</v>
      </c>
      <c r="AJ4527" s="9">
        <v>3.0428788910505911</v>
      </c>
    </row>
    <row r="4528" spans="1:36" x14ac:dyDescent="0.25">
      <c r="A4528" t="s">
        <v>5411</v>
      </c>
      <c r="B4528" t="s">
        <v>16</v>
      </c>
      <c r="C4528" t="s">
        <v>17</v>
      </c>
      <c r="D4528">
        <v>78410000</v>
      </c>
      <c r="E4528">
        <v>78414999</v>
      </c>
      <c r="F4528" t="s">
        <v>4123</v>
      </c>
      <c r="G4528" t="str">
        <f t="shared" si="140"/>
        <v>MTR</v>
      </c>
      <c r="H4528" t="s">
        <v>4079</v>
      </c>
      <c r="I4528" t="s">
        <v>20</v>
      </c>
      <c r="J4528" t="s">
        <v>77</v>
      </c>
      <c r="K4528" s="6">
        <v>0.03</v>
      </c>
      <c r="L4528" s="7">
        <f t="shared" si="141"/>
        <v>2E-3</v>
      </c>
      <c r="M4528" s="7">
        <v>3.0000000000000001E-3</v>
      </c>
      <c r="N4528">
        <v>17</v>
      </c>
      <c r="O4528" s="8">
        <v>41.207080732056241</v>
      </c>
      <c r="P4528" s="9">
        <v>41.207080732056241</v>
      </c>
      <c r="Q4528" s="9">
        <v>41.207080732056241</v>
      </c>
      <c r="R4528" s="9">
        <v>42.157262509433366</v>
      </c>
      <c r="S4528" s="9">
        <v>44.562650125658905</v>
      </c>
      <c r="T4528" s="9">
        <v>44.774343906619599</v>
      </c>
      <c r="U4528" s="9">
        <v>47.410026125961608</v>
      </c>
      <c r="V4528" s="9">
        <v>47.410026125961608</v>
      </c>
      <c r="W4528" s="9">
        <v>47.410026125961608</v>
      </c>
      <c r="X4528" s="9">
        <v>51.970197263128114</v>
      </c>
      <c r="Y4528" s="9">
        <v>51.970197263128114</v>
      </c>
      <c r="Z4528" s="9">
        <v>57.180133523400194</v>
      </c>
      <c r="AA4528" s="9">
        <v>57.180133523400194</v>
      </c>
      <c r="AB4528" s="9">
        <v>62.205497742174821</v>
      </c>
      <c r="AC4528" s="9">
        <v>62.205497742174821</v>
      </c>
      <c r="AD4528" s="9">
        <v>67.764075150980162</v>
      </c>
      <c r="AE4528" s="9">
        <v>75.345852790378046</v>
      </c>
      <c r="AF4528" s="9">
        <v>81.372396625232085</v>
      </c>
      <c r="AG4528" s="9">
        <v>81.372396625232085</v>
      </c>
      <c r="AH4528" s="9">
        <v>88.045224250123979</v>
      </c>
      <c r="AI4528" s="9">
        <v>94.96907033416484</v>
      </c>
      <c r="AJ4528" s="9">
        <v>3.0428788910505911</v>
      </c>
    </row>
    <row r="4529" spans="1:36" x14ac:dyDescent="0.25">
      <c r="A4529" t="s">
        <v>5411</v>
      </c>
      <c r="B4529" t="s">
        <v>16</v>
      </c>
      <c r="C4529" t="s">
        <v>17</v>
      </c>
      <c r="D4529">
        <v>78415000</v>
      </c>
      <c r="E4529">
        <v>78419999</v>
      </c>
      <c r="F4529" t="s">
        <v>4124</v>
      </c>
      <c r="G4529" t="str">
        <f t="shared" si="140"/>
        <v>MTR</v>
      </c>
      <c r="H4529" t="s">
        <v>4079</v>
      </c>
      <c r="I4529" t="s">
        <v>20</v>
      </c>
      <c r="J4529" t="s">
        <v>77</v>
      </c>
      <c r="K4529" s="6">
        <v>0.03</v>
      </c>
      <c r="L4529" s="7">
        <f t="shared" si="141"/>
        <v>2E-3</v>
      </c>
      <c r="M4529" s="7">
        <v>3.0000000000000001E-3</v>
      </c>
      <c r="N4529">
        <v>17</v>
      </c>
      <c r="O4529" s="8">
        <v>41.207080732056241</v>
      </c>
      <c r="P4529" s="9">
        <v>41.207080732056241</v>
      </c>
      <c r="Q4529" s="9">
        <v>41.207080732056241</v>
      </c>
      <c r="R4529" s="9">
        <v>42.157262509433366</v>
      </c>
      <c r="S4529" s="9">
        <v>44.562650125658905</v>
      </c>
      <c r="T4529" s="9">
        <v>44.774343906619599</v>
      </c>
      <c r="U4529" s="9">
        <v>47.410026125961608</v>
      </c>
      <c r="V4529" s="9">
        <v>47.410026125961608</v>
      </c>
      <c r="W4529" s="9">
        <v>47.410026125961608</v>
      </c>
      <c r="X4529" s="9">
        <v>51.970197263128114</v>
      </c>
      <c r="Y4529" s="9">
        <v>51.970197263128114</v>
      </c>
      <c r="Z4529" s="9">
        <v>57.180133523400194</v>
      </c>
      <c r="AA4529" s="9">
        <v>57.180133523400194</v>
      </c>
      <c r="AB4529" s="9">
        <v>62.205497742174821</v>
      </c>
      <c r="AC4529" s="9">
        <v>62.205497742174821</v>
      </c>
      <c r="AD4529" s="9">
        <v>67.764075150980162</v>
      </c>
      <c r="AE4529" s="9">
        <v>75.345852790378046</v>
      </c>
      <c r="AF4529" s="9">
        <v>81.372396625232085</v>
      </c>
      <c r="AG4529" s="9">
        <v>81.372396625232085</v>
      </c>
      <c r="AH4529" s="9">
        <v>88.045224250123979</v>
      </c>
      <c r="AI4529" s="9">
        <v>94.96907033416484</v>
      </c>
      <c r="AJ4529" s="9">
        <v>3.0428788910505911</v>
      </c>
    </row>
    <row r="4530" spans="1:36" x14ac:dyDescent="0.25">
      <c r="A4530" t="s">
        <v>5411</v>
      </c>
      <c r="B4530" t="s">
        <v>16</v>
      </c>
      <c r="C4530" t="s">
        <v>17</v>
      </c>
      <c r="D4530">
        <v>78420000</v>
      </c>
      <c r="E4530">
        <v>78424999</v>
      </c>
      <c r="F4530" t="s">
        <v>4125</v>
      </c>
      <c r="G4530" t="str">
        <f t="shared" si="140"/>
        <v>MTR</v>
      </c>
      <c r="H4530" t="s">
        <v>4079</v>
      </c>
      <c r="I4530" t="s">
        <v>20</v>
      </c>
      <c r="J4530" t="s">
        <v>77</v>
      </c>
      <c r="K4530" s="6">
        <v>0.03</v>
      </c>
      <c r="L4530" s="7">
        <f t="shared" si="141"/>
        <v>2E-3</v>
      </c>
      <c r="M4530" s="7">
        <v>3.0000000000000001E-3</v>
      </c>
      <c r="N4530">
        <v>17</v>
      </c>
      <c r="O4530" s="8">
        <v>41.207080732056241</v>
      </c>
      <c r="P4530" s="9">
        <v>41.207080732056241</v>
      </c>
      <c r="Q4530" s="9">
        <v>41.207080732056241</v>
      </c>
      <c r="R4530" s="9">
        <v>42.157262509433366</v>
      </c>
      <c r="S4530" s="9">
        <v>44.562650125658905</v>
      </c>
      <c r="T4530" s="9">
        <v>44.774343906619599</v>
      </c>
      <c r="U4530" s="9">
        <v>47.410026125961608</v>
      </c>
      <c r="V4530" s="9">
        <v>47.410026125961608</v>
      </c>
      <c r="W4530" s="9">
        <v>47.410026125961608</v>
      </c>
      <c r="X4530" s="9">
        <v>51.970197263128114</v>
      </c>
      <c r="Y4530" s="9">
        <v>51.970197263128114</v>
      </c>
      <c r="Z4530" s="9">
        <v>57.180133523400194</v>
      </c>
      <c r="AA4530" s="9">
        <v>57.180133523400194</v>
      </c>
      <c r="AB4530" s="9">
        <v>62.205497742174821</v>
      </c>
      <c r="AC4530" s="9">
        <v>62.205497742174821</v>
      </c>
      <c r="AD4530" s="9">
        <v>67.764075150980162</v>
      </c>
      <c r="AE4530" s="9">
        <v>75.345852790378046</v>
      </c>
      <c r="AF4530" s="9">
        <v>81.372396625232085</v>
      </c>
      <c r="AG4530" s="9">
        <v>81.372396625232085</v>
      </c>
      <c r="AH4530" s="9">
        <v>88.045224250123979</v>
      </c>
      <c r="AI4530" s="9">
        <v>94.96907033416484</v>
      </c>
      <c r="AJ4530" s="9">
        <v>3.0428788910505911</v>
      </c>
    </row>
    <row r="4531" spans="1:36" x14ac:dyDescent="0.25">
      <c r="A4531" t="s">
        <v>5411</v>
      </c>
      <c r="B4531" t="s">
        <v>16</v>
      </c>
      <c r="C4531" t="s">
        <v>17</v>
      </c>
      <c r="D4531">
        <v>78425000</v>
      </c>
      <c r="E4531">
        <v>78429999</v>
      </c>
      <c r="F4531" t="s">
        <v>4126</v>
      </c>
      <c r="G4531" t="str">
        <f t="shared" si="140"/>
        <v>MTR</v>
      </c>
      <c r="H4531" t="s">
        <v>4079</v>
      </c>
      <c r="I4531" t="s">
        <v>20</v>
      </c>
      <c r="J4531" t="s">
        <v>77</v>
      </c>
      <c r="K4531" s="6">
        <v>0.03</v>
      </c>
      <c r="L4531" s="7">
        <f t="shared" si="141"/>
        <v>2E-3</v>
      </c>
      <c r="M4531" s="7">
        <v>3.0000000000000001E-3</v>
      </c>
      <c r="N4531">
        <v>17</v>
      </c>
      <c r="O4531" s="8">
        <v>41.207080732056241</v>
      </c>
      <c r="P4531" s="9">
        <v>41.207080732056241</v>
      </c>
      <c r="Q4531" s="9">
        <v>41.207080732056241</v>
      </c>
      <c r="R4531" s="9">
        <v>42.157262509433366</v>
      </c>
      <c r="S4531" s="9">
        <v>44.562650125658905</v>
      </c>
      <c r="T4531" s="9">
        <v>44.774343906619599</v>
      </c>
      <c r="U4531" s="9">
        <v>47.410026125961608</v>
      </c>
      <c r="V4531" s="9">
        <v>47.410026125961608</v>
      </c>
      <c r="W4531" s="9">
        <v>47.410026125961608</v>
      </c>
      <c r="X4531" s="9">
        <v>51.970197263128114</v>
      </c>
      <c r="Y4531" s="9">
        <v>51.970197263128114</v>
      </c>
      <c r="Z4531" s="9">
        <v>57.180133523400194</v>
      </c>
      <c r="AA4531" s="9">
        <v>57.180133523400194</v>
      </c>
      <c r="AB4531" s="9">
        <v>62.205497742174821</v>
      </c>
      <c r="AC4531" s="9">
        <v>62.205497742174821</v>
      </c>
      <c r="AD4531" s="9">
        <v>67.764075150980162</v>
      </c>
      <c r="AE4531" s="9">
        <v>75.345852790378046</v>
      </c>
      <c r="AF4531" s="9">
        <v>81.372396625232085</v>
      </c>
      <c r="AG4531" s="9">
        <v>81.372396625232085</v>
      </c>
      <c r="AH4531" s="9">
        <v>88.045224250123979</v>
      </c>
      <c r="AI4531" s="9">
        <v>94.96907033416484</v>
      </c>
      <c r="AJ4531" s="9">
        <v>3.0428788910505911</v>
      </c>
    </row>
    <row r="4532" spans="1:36" x14ac:dyDescent="0.25">
      <c r="A4532" t="s">
        <v>5411</v>
      </c>
      <c r="B4532" t="s">
        <v>16</v>
      </c>
      <c r="C4532" t="s">
        <v>17</v>
      </c>
      <c r="D4532">
        <v>78430000</v>
      </c>
      <c r="E4532">
        <v>78434999</v>
      </c>
      <c r="F4532" t="s">
        <v>4127</v>
      </c>
      <c r="G4532" t="str">
        <f t="shared" si="140"/>
        <v>MTR</v>
      </c>
      <c r="H4532" t="s">
        <v>4079</v>
      </c>
      <c r="I4532" t="s">
        <v>20</v>
      </c>
      <c r="J4532" t="s">
        <v>77</v>
      </c>
      <c r="K4532" s="6">
        <v>0.03</v>
      </c>
      <c r="L4532" s="7">
        <f t="shared" si="141"/>
        <v>2E-3</v>
      </c>
      <c r="M4532" s="7">
        <v>3.0000000000000001E-3</v>
      </c>
      <c r="N4532">
        <v>17</v>
      </c>
      <c r="O4532" s="8">
        <v>41.207080732056241</v>
      </c>
      <c r="P4532" s="9">
        <v>41.207080732056241</v>
      </c>
      <c r="Q4532" s="9">
        <v>41.207080732056241</v>
      </c>
      <c r="R4532" s="9">
        <v>42.157262509433366</v>
      </c>
      <c r="S4532" s="9">
        <v>44.562650125658905</v>
      </c>
      <c r="T4532" s="9">
        <v>44.774343906619599</v>
      </c>
      <c r="U4532" s="9">
        <v>47.410026125961608</v>
      </c>
      <c r="V4532" s="9">
        <v>47.410026125961608</v>
      </c>
      <c r="W4532" s="9">
        <v>47.410026125961608</v>
      </c>
      <c r="X4532" s="9">
        <v>51.970197263128114</v>
      </c>
      <c r="Y4532" s="9">
        <v>51.970197263128114</v>
      </c>
      <c r="Z4532" s="9">
        <v>57.180133523400194</v>
      </c>
      <c r="AA4532" s="9">
        <v>57.180133523400194</v>
      </c>
      <c r="AB4532" s="9">
        <v>62.205497742174821</v>
      </c>
      <c r="AC4532" s="9">
        <v>62.205497742174821</v>
      </c>
      <c r="AD4532" s="9">
        <v>67.764075150980162</v>
      </c>
      <c r="AE4532" s="9">
        <v>75.345852790378046</v>
      </c>
      <c r="AF4532" s="9">
        <v>81.372396625232085</v>
      </c>
      <c r="AG4532" s="9">
        <v>81.372396625232085</v>
      </c>
      <c r="AH4532" s="9">
        <v>88.045224250123979</v>
      </c>
      <c r="AI4532" s="9">
        <v>94.96907033416484</v>
      </c>
      <c r="AJ4532" s="9">
        <v>3.0428788910505911</v>
      </c>
    </row>
    <row r="4533" spans="1:36" x14ac:dyDescent="0.25">
      <c r="A4533" t="s">
        <v>5411</v>
      </c>
      <c r="B4533" t="s">
        <v>16</v>
      </c>
      <c r="C4533" t="s">
        <v>17</v>
      </c>
      <c r="D4533">
        <v>78435000</v>
      </c>
      <c r="E4533">
        <v>78444999</v>
      </c>
      <c r="F4533" t="s">
        <v>4128</v>
      </c>
      <c r="G4533" t="str">
        <f t="shared" si="140"/>
        <v>MTR</v>
      </c>
      <c r="H4533" t="s">
        <v>4079</v>
      </c>
      <c r="I4533" t="s">
        <v>20</v>
      </c>
      <c r="J4533" t="s">
        <v>77</v>
      </c>
      <c r="K4533" s="6">
        <v>0.03</v>
      </c>
      <c r="L4533" s="7">
        <f t="shared" si="141"/>
        <v>2E-3</v>
      </c>
      <c r="M4533" s="7">
        <v>3.0000000000000001E-3</v>
      </c>
      <c r="N4533">
        <v>17</v>
      </c>
      <c r="O4533" s="8">
        <v>41.207080732056241</v>
      </c>
      <c r="P4533" s="9">
        <v>41.207080732056241</v>
      </c>
      <c r="Q4533" s="9">
        <v>41.207080732056241</v>
      </c>
      <c r="R4533" s="9">
        <v>42.157262509433366</v>
      </c>
      <c r="S4533" s="9">
        <v>44.562650125658905</v>
      </c>
      <c r="T4533" s="9">
        <v>44.774343906619599</v>
      </c>
      <c r="U4533" s="9">
        <v>47.410026125961608</v>
      </c>
      <c r="V4533" s="9">
        <v>47.410026125961608</v>
      </c>
      <c r="W4533" s="9">
        <v>47.410026125961608</v>
      </c>
      <c r="X4533" s="9">
        <v>51.970197263128114</v>
      </c>
      <c r="Y4533" s="9">
        <v>51.970197263128114</v>
      </c>
      <c r="Z4533" s="9">
        <v>57.180133523400194</v>
      </c>
      <c r="AA4533" s="9">
        <v>57.180133523400194</v>
      </c>
      <c r="AB4533" s="9">
        <v>62.205497742174821</v>
      </c>
      <c r="AC4533" s="9">
        <v>62.205497742174821</v>
      </c>
      <c r="AD4533" s="9">
        <v>67.764075150980162</v>
      </c>
      <c r="AE4533" s="9">
        <v>75.345852790378046</v>
      </c>
      <c r="AF4533" s="9">
        <v>81.372396625232085</v>
      </c>
      <c r="AG4533" s="9">
        <v>81.372396625232085</v>
      </c>
      <c r="AH4533" s="9">
        <v>88.045224250123979</v>
      </c>
      <c r="AI4533" s="9">
        <v>94.96907033416484</v>
      </c>
      <c r="AJ4533" s="9">
        <v>3.0428788910505911</v>
      </c>
    </row>
    <row r="4534" spans="1:36" x14ac:dyDescent="0.25">
      <c r="A4534" t="s">
        <v>5411</v>
      </c>
      <c r="B4534" t="s">
        <v>16</v>
      </c>
      <c r="C4534" t="s">
        <v>17</v>
      </c>
      <c r="D4534">
        <v>78445000</v>
      </c>
      <c r="E4534">
        <v>78449999</v>
      </c>
      <c r="F4534" t="s">
        <v>4129</v>
      </c>
      <c r="G4534" t="str">
        <f t="shared" si="140"/>
        <v>MTR</v>
      </c>
      <c r="H4534" t="s">
        <v>4079</v>
      </c>
      <c r="I4534" t="s">
        <v>20</v>
      </c>
      <c r="J4534" t="s">
        <v>77</v>
      </c>
      <c r="K4534" s="6">
        <v>0.03</v>
      </c>
      <c r="L4534" s="7">
        <f t="shared" si="141"/>
        <v>2E-3</v>
      </c>
      <c r="M4534" s="7">
        <v>3.0000000000000001E-3</v>
      </c>
      <c r="N4534">
        <v>17</v>
      </c>
      <c r="O4534" s="8">
        <v>41.207080732056241</v>
      </c>
      <c r="P4534" s="9">
        <v>41.207080732056241</v>
      </c>
      <c r="Q4534" s="9">
        <v>41.207080732056241</v>
      </c>
      <c r="R4534" s="9">
        <v>42.157262509433366</v>
      </c>
      <c r="S4534" s="9">
        <v>44.562650125658905</v>
      </c>
      <c r="T4534" s="9">
        <v>44.774343906619599</v>
      </c>
      <c r="U4534" s="9">
        <v>47.410026125961608</v>
      </c>
      <c r="V4534" s="9">
        <v>47.410026125961608</v>
      </c>
      <c r="W4534" s="9">
        <v>47.410026125961608</v>
      </c>
      <c r="X4534" s="9">
        <v>51.970197263128114</v>
      </c>
      <c r="Y4534" s="9">
        <v>51.970197263128114</v>
      </c>
      <c r="Z4534" s="9">
        <v>57.180133523400194</v>
      </c>
      <c r="AA4534" s="9">
        <v>57.180133523400194</v>
      </c>
      <c r="AB4534" s="9">
        <v>62.205497742174821</v>
      </c>
      <c r="AC4534" s="9">
        <v>62.205497742174821</v>
      </c>
      <c r="AD4534" s="9">
        <v>67.764075150980162</v>
      </c>
      <c r="AE4534" s="9">
        <v>75.345852790378046</v>
      </c>
      <c r="AF4534" s="9">
        <v>81.372396625232085</v>
      </c>
      <c r="AG4534" s="9">
        <v>81.372396625232085</v>
      </c>
      <c r="AH4534" s="9">
        <v>88.045224250123979</v>
      </c>
      <c r="AI4534" s="9">
        <v>94.96907033416484</v>
      </c>
      <c r="AJ4534" s="9">
        <v>3.0428788910505911</v>
      </c>
    </row>
    <row r="4535" spans="1:36" x14ac:dyDescent="0.25">
      <c r="A4535" t="s">
        <v>5411</v>
      </c>
      <c r="B4535" t="s">
        <v>16</v>
      </c>
      <c r="C4535" t="s">
        <v>17</v>
      </c>
      <c r="D4535">
        <v>78450000</v>
      </c>
      <c r="E4535">
        <v>78452999</v>
      </c>
      <c r="F4535" t="s">
        <v>4130</v>
      </c>
      <c r="G4535" t="str">
        <f t="shared" si="140"/>
        <v>MTI II</v>
      </c>
      <c r="H4535" t="s">
        <v>4079</v>
      </c>
      <c r="I4535" t="s">
        <v>20</v>
      </c>
      <c r="J4535" t="s">
        <v>64</v>
      </c>
      <c r="K4535" s="6">
        <v>0.03</v>
      </c>
      <c r="L4535" s="7">
        <f t="shared" si="141"/>
        <v>2E-3</v>
      </c>
      <c r="M4535" s="7">
        <v>3.0000000000000001E-3</v>
      </c>
      <c r="N4535">
        <v>13</v>
      </c>
      <c r="O4535" s="8">
        <v>26.945869944786573</v>
      </c>
      <c r="P4535" s="9">
        <v>26.945869944786573</v>
      </c>
      <c r="Q4535" s="9">
        <v>26.945869944786573</v>
      </c>
      <c r="R4535" s="9">
        <v>27.872426176460309</v>
      </c>
      <c r="S4535" s="9">
        <v>30.114764737466444</v>
      </c>
      <c r="T4535" s="9">
        <v>30.389103773795448</v>
      </c>
      <c r="U4535" s="9">
        <v>32.851592628213609</v>
      </c>
      <c r="V4535" s="9">
        <v>32.851592628213609</v>
      </c>
      <c r="W4535" s="9">
        <v>32.851592628213609</v>
      </c>
      <c r="X4535" s="9">
        <v>35.974003563148294</v>
      </c>
      <c r="Y4535" s="9">
        <v>35.974003563148294</v>
      </c>
      <c r="Z4535" s="9">
        <v>39.583028800026455</v>
      </c>
      <c r="AA4535" s="9">
        <v>39.583028800026455</v>
      </c>
      <c r="AB4535" s="9">
        <v>42.917947459820233</v>
      </c>
      <c r="AC4535" s="9">
        <v>42.917947459820233</v>
      </c>
      <c r="AD4535" s="9">
        <v>48.456144425509514</v>
      </c>
      <c r="AE4535" s="9">
        <v>51.441147415963158</v>
      </c>
      <c r="AF4535" s="9">
        <v>54.652150956017358</v>
      </c>
      <c r="AG4535" s="9">
        <v>54.652150956017358</v>
      </c>
      <c r="AH4535" s="9">
        <v>58.808410228839165</v>
      </c>
      <c r="AI4535" s="9">
        <v>62.34918511933521</v>
      </c>
      <c r="AJ4535" s="9">
        <v>3.0428788910505911</v>
      </c>
    </row>
    <row r="4536" spans="1:36" x14ac:dyDescent="0.25">
      <c r="A4536" t="s">
        <v>5411</v>
      </c>
      <c r="B4536" t="s">
        <v>16</v>
      </c>
      <c r="C4536" t="s">
        <v>17</v>
      </c>
      <c r="D4536">
        <v>78453000</v>
      </c>
      <c r="E4536">
        <v>78454999</v>
      </c>
      <c r="F4536" t="s">
        <v>4131</v>
      </c>
      <c r="G4536" t="str">
        <f t="shared" si="140"/>
        <v>MTR</v>
      </c>
      <c r="H4536" t="s">
        <v>4079</v>
      </c>
      <c r="I4536" t="s">
        <v>20</v>
      </c>
      <c r="J4536" t="s">
        <v>77</v>
      </c>
      <c r="K4536" s="6">
        <v>0.03</v>
      </c>
      <c r="L4536" s="7">
        <f t="shared" si="141"/>
        <v>2E-3</v>
      </c>
      <c r="M4536" s="7">
        <v>3.0000000000000001E-3</v>
      </c>
      <c r="N4536">
        <v>17</v>
      </c>
      <c r="O4536" s="8">
        <v>41.207080732056241</v>
      </c>
      <c r="P4536" s="9">
        <v>41.207080732056241</v>
      </c>
      <c r="Q4536" s="9">
        <v>41.207080732056241</v>
      </c>
      <c r="R4536" s="9">
        <v>42.157262509433366</v>
      </c>
      <c r="S4536" s="9">
        <v>44.562650125658905</v>
      </c>
      <c r="T4536" s="9">
        <v>44.774343906619599</v>
      </c>
      <c r="U4536" s="9">
        <v>47.410026125961608</v>
      </c>
      <c r="V4536" s="9">
        <v>47.410026125961608</v>
      </c>
      <c r="W4536" s="9">
        <v>47.410026125961608</v>
      </c>
      <c r="X4536" s="9">
        <v>51.970197263128114</v>
      </c>
      <c r="Y4536" s="9">
        <v>51.970197263128114</v>
      </c>
      <c r="Z4536" s="9">
        <v>57.180133523400194</v>
      </c>
      <c r="AA4536" s="9">
        <v>57.180133523400194</v>
      </c>
      <c r="AB4536" s="9">
        <v>62.205497742174821</v>
      </c>
      <c r="AC4536" s="9">
        <v>62.205497742174821</v>
      </c>
      <c r="AD4536" s="9">
        <v>67.764075150980162</v>
      </c>
      <c r="AE4536" s="9">
        <v>75.345852790378046</v>
      </c>
      <c r="AF4536" s="9">
        <v>81.372396625232085</v>
      </c>
      <c r="AG4536" s="9">
        <v>81.372396625232085</v>
      </c>
      <c r="AH4536" s="9">
        <v>88.045224250123979</v>
      </c>
      <c r="AI4536" s="9">
        <v>94.96907033416484</v>
      </c>
      <c r="AJ4536" s="9">
        <v>3.0428788910505911</v>
      </c>
    </row>
    <row r="4537" spans="1:36" x14ac:dyDescent="0.25">
      <c r="A4537" t="s">
        <v>5411</v>
      </c>
      <c r="B4537" t="s">
        <v>16</v>
      </c>
      <c r="C4537" t="s">
        <v>17</v>
      </c>
      <c r="D4537">
        <v>78455000</v>
      </c>
      <c r="E4537">
        <v>78459999</v>
      </c>
      <c r="F4537" t="s">
        <v>4132</v>
      </c>
      <c r="G4537" t="str">
        <f t="shared" si="140"/>
        <v>MTI II</v>
      </c>
      <c r="H4537" t="s">
        <v>4079</v>
      </c>
      <c r="I4537" t="s">
        <v>20</v>
      </c>
      <c r="J4537" t="s">
        <v>64</v>
      </c>
      <c r="K4537" s="6">
        <v>0.03</v>
      </c>
      <c r="L4537" s="7">
        <f t="shared" si="141"/>
        <v>2E-3</v>
      </c>
      <c r="M4537" s="7">
        <v>3.0000000000000001E-3</v>
      </c>
      <c r="N4537">
        <v>13</v>
      </c>
      <c r="O4537" s="8">
        <v>26.945869944786573</v>
      </c>
      <c r="P4537" s="9">
        <v>26.945869944786573</v>
      </c>
      <c r="Q4537" s="9">
        <v>26.945869944786573</v>
      </c>
      <c r="R4537" s="9">
        <v>27.872426176460309</v>
      </c>
      <c r="S4537" s="9">
        <v>30.114764737466444</v>
      </c>
      <c r="T4537" s="9">
        <v>30.389103773795448</v>
      </c>
      <c r="U4537" s="9">
        <v>32.851592628213609</v>
      </c>
      <c r="V4537" s="9">
        <v>32.851592628213609</v>
      </c>
      <c r="W4537" s="9">
        <v>32.851592628213609</v>
      </c>
      <c r="X4537" s="9">
        <v>35.974003563148294</v>
      </c>
      <c r="Y4537" s="9">
        <v>35.974003563148294</v>
      </c>
      <c r="Z4537" s="9">
        <v>39.583028800026455</v>
      </c>
      <c r="AA4537" s="9">
        <v>39.583028800026455</v>
      </c>
      <c r="AB4537" s="9">
        <v>42.917947459820233</v>
      </c>
      <c r="AC4537" s="9">
        <v>42.917947459820233</v>
      </c>
      <c r="AD4537" s="9">
        <v>48.456144425509514</v>
      </c>
      <c r="AE4537" s="9">
        <v>51.441147415963158</v>
      </c>
      <c r="AF4537" s="9">
        <v>54.652150956017358</v>
      </c>
      <c r="AG4537" s="9">
        <v>54.652150956017358</v>
      </c>
      <c r="AH4537" s="9">
        <v>58.808410228839165</v>
      </c>
      <c r="AI4537" s="9">
        <v>62.34918511933521</v>
      </c>
      <c r="AJ4537" s="9">
        <v>3.0428788910505911</v>
      </c>
    </row>
    <row r="4538" spans="1:36" x14ac:dyDescent="0.25">
      <c r="A4538" t="s">
        <v>5411</v>
      </c>
      <c r="B4538" t="s">
        <v>16</v>
      </c>
      <c r="C4538" t="s">
        <v>17</v>
      </c>
      <c r="D4538">
        <v>78460000</v>
      </c>
      <c r="E4538">
        <v>78469999</v>
      </c>
      <c r="F4538" t="s">
        <v>4133</v>
      </c>
      <c r="G4538" t="str">
        <f t="shared" si="140"/>
        <v>MTR</v>
      </c>
      <c r="H4538" t="s">
        <v>4079</v>
      </c>
      <c r="I4538" t="s">
        <v>20</v>
      </c>
      <c r="J4538" t="s">
        <v>77</v>
      </c>
      <c r="K4538" s="6">
        <v>0.03</v>
      </c>
      <c r="L4538" s="7">
        <f t="shared" si="141"/>
        <v>2E-3</v>
      </c>
      <c r="M4538" s="7">
        <v>3.0000000000000001E-3</v>
      </c>
      <c r="N4538">
        <v>17</v>
      </c>
      <c r="O4538" s="8">
        <v>41.207080732056241</v>
      </c>
      <c r="P4538" s="9">
        <v>41.207080732056241</v>
      </c>
      <c r="Q4538" s="9">
        <v>41.207080732056241</v>
      </c>
      <c r="R4538" s="9">
        <v>42.157262509433366</v>
      </c>
      <c r="S4538" s="9">
        <v>44.562650125658905</v>
      </c>
      <c r="T4538" s="9">
        <v>44.774343906619599</v>
      </c>
      <c r="U4538" s="9">
        <v>47.410026125961608</v>
      </c>
      <c r="V4538" s="9">
        <v>47.410026125961608</v>
      </c>
      <c r="W4538" s="9">
        <v>47.410026125961608</v>
      </c>
      <c r="X4538" s="9">
        <v>51.970197263128114</v>
      </c>
      <c r="Y4538" s="9">
        <v>51.970197263128114</v>
      </c>
      <c r="Z4538" s="9">
        <v>57.180133523400194</v>
      </c>
      <c r="AA4538" s="9">
        <v>57.180133523400194</v>
      </c>
      <c r="AB4538" s="9">
        <v>62.205497742174821</v>
      </c>
      <c r="AC4538" s="9">
        <v>62.205497742174821</v>
      </c>
      <c r="AD4538" s="9">
        <v>67.764075150980162</v>
      </c>
      <c r="AE4538" s="9">
        <v>75.345852790378046</v>
      </c>
      <c r="AF4538" s="9">
        <v>81.372396625232085</v>
      </c>
      <c r="AG4538" s="9">
        <v>81.372396625232085</v>
      </c>
      <c r="AH4538" s="9">
        <v>88.045224250123979</v>
      </c>
      <c r="AI4538" s="9">
        <v>94.96907033416484</v>
      </c>
      <c r="AJ4538" s="9">
        <v>3.0428788910505911</v>
      </c>
    </row>
    <row r="4539" spans="1:36" x14ac:dyDescent="0.25">
      <c r="A4539" t="s">
        <v>5411</v>
      </c>
      <c r="B4539" t="s">
        <v>16</v>
      </c>
      <c r="C4539" t="s">
        <v>17</v>
      </c>
      <c r="D4539">
        <v>78470000</v>
      </c>
      <c r="E4539">
        <v>78479999</v>
      </c>
      <c r="F4539" t="s">
        <v>4134</v>
      </c>
      <c r="G4539" t="str">
        <f t="shared" si="140"/>
        <v>MTR</v>
      </c>
      <c r="H4539" t="s">
        <v>4079</v>
      </c>
      <c r="I4539" t="s">
        <v>20</v>
      </c>
      <c r="J4539" t="s">
        <v>77</v>
      </c>
      <c r="K4539" s="6">
        <v>0.03</v>
      </c>
      <c r="L4539" s="7">
        <f t="shared" si="141"/>
        <v>2E-3</v>
      </c>
      <c r="M4539" s="7">
        <v>3.0000000000000001E-3</v>
      </c>
      <c r="N4539">
        <v>17</v>
      </c>
      <c r="O4539" s="8">
        <v>41.207080732056241</v>
      </c>
      <c r="P4539" s="9">
        <v>41.207080732056241</v>
      </c>
      <c r="Q4539" s="9">
        <v>41.207080732056241</v>
      </c>
      <c r="R4539" s="9">
        <v>42.157262509433366</v>
      </c>
      <c r="S4539" s="9">
        <v>44.562650125658905</v>
      </c>
      <c r="T4539" s="9">
        <v>44.774343906619599</v>
      </c>
      <c r="U4539" s="9">
        <v>47.410026125961608</v>
      </c>
      <c r="V4539" s="9">
        <v>47.410026125961608</v>
      </c>
      <c r="W4539" s="9">
        <v>47.410026125961608</v>
      </c>
      <c r="X4539" s="9">
        <v>51.970197263128114</v>
      </c>
      <c r="Y4539" s="9">
        <v>51.970197263128114</v>
      </c>
      <c r="Z4539" s="9">
        <v>57.180133523400194</v>
      </c>
      <c r="AA4539" s="9">
        <v>57.180133523400194</v>
      </c>
      <c r="AB4539" s="9">
        <v>62.205497742174821</v>
      </c>
      <c r="AC4539" s="9">
        <v>62.205497742174821</v>
      </c>
      <c r="AD4539" s="9">
        <v>67.764075150980162</v>
      </c>
      <c r="AE4539" s="9">
        <v>75.345852790378046</v>
      </c>
      <c r="AF4539" s="9">
        <v>81.372396625232085</v>
      </c>
      <c r="AG4539" s="9">
        <v>81.372396625232085</v>
      </c>
      <c r="AH4539" s="9">
        <v>88.045224250123979</v>
      </c>
      <c r="AI4539" s="9">
        <v>94.96907033416484</v>
      </c>
      <c r="AJ4539" s="9">
        <v>3.0428788910505911</v>
      </c>
    </row>
    <row r="4540" spans="1:36" x14ac:dyDescent="0.25">
      <c r="A4540" t="s">
        <v>5411</v>
      </c>
      <c r="B4540" t="s">
        <v>16</v>
      </c>
      <c r="C4540" t="s">
        <v>17</v>
      </c>
      <c r="D4540">
        <v>78480000</v>
      </c>
      <c r="E4540">
        <v>78489999</v>
      </c>
      <c r="F4540" t="s">
        <v>4135</v>
      </c>
      <c r="G4540" t="str">
        <f t="shared" si="140"/>
        <v>MTR</v>
      </c>
      <c r="H4540" t="s">
        <v>4079</v>
      </c>
      <c r="I4540" t="s">
        <v>20</v>
      </c>
      <c r="J4540" t="s">
        <v>77</v>
      </c>
      <c r="K4540" s="6">
        <v>0.03</v>
      </c>
      <c r="L4540" s="7">
        <f t="shared" si="141"/>
        <v>2E-3</v>
      </c>
      <c r="M4540" s="7">
        <v>3.0000000000000001E-3</v>
      </c>
      <c r="N4540">
        <v>17</v>
      </c>
      <c r="O4540" s="8">
        <v>41.207080732056241</v>
      </c>
      <c r="P4540" s="9">
        <v>41.207080732056241</v>
      </c>
      <c r="Q4540" s="9">
        <v>41.207080732056241</v>
      </c>
      <c r="R4540" s="9">
        <v>42.157262509433366</v>
      </c>
      <c r="S4540" s="9">
        <v>44.562650125658905</v>
      </c>
      <c r="T4540" s="9">
        <v>44.774343906619599</v>
      </c>
      <c r="U4540" s="9">
        <v>47.410026125961608</v>
      </c>
      <c r="V4540" s="9">
        <v>47.410026125961608</v>
      </c>
      <c r="W4540" s="9">
        <v>47.410026125961608</v>
      </c>
      <c r="X4540" s="9">
        <v>51.970197263128114</v>
      </c>
      <c r="Y4540" s="9">
        <v>51.970197263128114</v>
      </c>
      <c r="Z4540" s="9">
        <v>57.180133523400194</v>
      </c>
      <c r="AA4540" s="9">
        <v>57.180133523400194</v>
      </c>
      <c r="AB4540" s="9">
        <v>62.205497742174821</v>
      </c>
      <c r="AC4540" s="9">
        <v>62.205497742174821</v>
      </c>
      <c r="AD4540" s="9">
        <v>67.764075150980162</v>
      </c>
      <c r="AE4540" s="9">
        <v>75.345852790378046</v>
      </c>
      <c r="AF4540" s="9">
        <v>81.372396625232085</v>
      </c>
      <c r="AG4540" s="9">
        <v>81.372396625232085</v>
      </c>
      <c r="AH4540" s="9">
        <v>88.045224250123979</v>
      </c>
      <c r="AI4540" s="9">
        <v>94.96907033416484</v>
      </c>
      <c r="AJ4540" s="9">
        <v>3.0428788910505911</v>
      </c>
    </row>
    <row r="4541" spans="1:36" x14ac:dyDescent="0.25">
      <c r="A4541" t="s">
        <v>5411</v>
      </c>
      <c r="B4541" t="s">
        <v>16</v>
      </c>
      <c r="C4541" t="s">
        <v>17</v>
      </c>
      <c r="D4541">
        <v>78490000</v>
      </c>
      <c r="E4541">
        <v>78499999</v>
      </c>
      <c r="F4541" t="s">
        <v>4136</v>
      </c>
      <c r="G4541" t="str">
        <f t="shared" si="140"/>
        <v>MTR</v>
      </c>
      <c r="H4541" t="s">
        <v>4079</v>
      </c>
      <c r="I4541" t="s">
        <v>20</v>
      </c>
      <c r="J4541" t="s">
        <v>77</v>
      </c>
      <c r="K4541" s="6">
        <v>0.03</v>
      </c>
      <c r="L4541" s="7">
        <f t="shared" si="141"/>
        <v>2E-3</v>
      </c>
      <c r="M4541" s="7">
        <v>3.0000000000000001E-3</v>
      </c>
      <c r="N4541">
        <v>17</v>
      </c>
      <c r="O4541" s="8">
        <v>41.207080732056241</v>
      </c>
      <c r="P4541" s="9">
        <v>41.207080732056241</v>
      </c>
      <c r="Q4541" s="9">
        <v>41.207080732056241</v>
      </c>
      <c r="R4541" s="9">
        <v>42.157262509433366</v>
      </c>
      <c r="S4541" s="9">
        <v>44.562650125658905</v>
      </c>
      <c r="T4541" s="9">
        <v>44.774343906619599</v>
      </c>
      <c r="U4541" s="9">
        <v>47.410026125961608</v>
      </c>
      <c r="V4541" s="9">
        <v>47.410026125961608</v>
      </c>
      <c r="W4541" s="9">
        <v>47.410026125961608</v>
      </c>
      <c r="X4541" s="9">
        <v>51.970197263128114</v>
      </c>
      <c r="Y4541" s="9">
        <v>51.970197263128114</v>
      </c>
      <c r="Z4541" s="9">
        <v>57.180133523400194</v>
      </c>
      <c r="AA4541" s="9">
        <v>57.180133523400194</v>
      </c>
      <c r="AB4541" s="9">
        <v>62.205497742174821</v>
      </c>
      <c r="AC4541" s="9">
        <v>62.205497742174821</v>
      </c>
      <c r="AD4541" s="9">
        <v>67.764075150980162</v>
      </c>
      <c r="AE4541" s="9">
        <v>75.345852790378046</v>
      </c>
      <c r="AF4541" s="9">
        <v>81.372396625232085</v>
      </c>
      <c r="AG4541" s="9">
        <v>81.372396625232085</v>
      </c>
      <c r="AH4541" s="9">
        <v>88.045224250123979</v>
      </c>
      <c r="AI4541" s="9">
        <v>94.96907033416484</v>
      </c>
      <c r="AJ4541" s="9">
        <v>3.0428788910505911</v>
      </c>
    </row>
    <row r="4542" spans="1:36" x14ac:dyDescent="0.25">
      <c r="A4542" t="s">
        <v>5411</v>
      </c>
      <c r="B4542" t="s">
        <v>16</v>
      </c>
      <c r="C4542" t="s">
        <v>17</v>
      </c>
      <c r="D4542">
        <v>78500000</v>
      </c>
      <c r="E4542">
        <v>78504999</v>
      </c>
      <c r="F4542" t="s">
        <v>4137</v>
      </c>
      <c r="G4542" t="str">
        <f t="shared" si="140"/>
        <v>MTR</v>
      </c>
      <c r="H4542" t="s">
        <v>4079</v>
      </c>
      <c r="I4542" t="s">
        <v>20</v>
      </c>
      <c r="J4542" t="s">
        <v>77</v>
      </c>
      <c r="K4542" s="6">
        <v>0.03</v>
      </c>
      <c r="L4542" s="7">
        <f t="shared" si="141"/>
        <v>2E-3</v>
      </c>
      <c r="M4542" s="7">
        <v>3.0000000000000001E-3</v>
      </c>
      <c r="N4542">
        <v>17</v>
      </c>
      <c r="O4542" s="8">
        <v>41.207080732056241</v>
      </c>
      <c r="P4542" s="9">
        <v>41.207080732056241</v>
      </c>
      <c r="Q4542" s="9">
        <v>41.207080732056241</v>
      </c>
      <c r="R4542" s="9">
        <v>42.157262509433366</v>
      </c>
      <c r="S4542" s="9">
        <v>44.562650125658905</v>
      </c>
      <c r="T4542" s="9">
        <v>44.774343906619599</v>
      </c>
      <c r="U4542" s="9">
        <v>47.410026125961608</v>
      </c>
      <c r="V4542" s="9">
        <v>47.410026125961608</v>
      </c>
      <c r="W4542" s="9">
        <v>47.410026125961608</v>
      </c>
      <c r="X4542" s="9">
        <v>51.970197263128114</v>
      </c>
      <c r="Y4542" s="9">
        <v>51.970197263128114</v>
      </c>
      <c r="Z4542" s="9">
        <v>57.180133523400194</v>
      </c>
      <c r="AA4542" s="9">
        <v>57.180133523400194</v>
      </c>
      <c r="AB4542" s="9">
        <v>62.205497742174821</v>
      </c>
      <c r="AC4542" s="9">
        <v>62.205497742174821</v>
      </c>
      <c r="AD4542" s="9">
        <v>67.764075150980162</v>
      </c>
      <c r="AE4542" s="9">
        <v>75.345852790378046</v>
      </c>
      <c r="AF4542" s="9">
        <v>81.372396625232085</v>
      </c>
      <c r="AG4542" s="9">
        <v>81.372396625232085</v>
      </c>
      <c r="AH4542" s="9">
        <v>88.045224250123979</v>
      </c>
      <c r="AI4542" s="9">
        <v>94.96907033416484</v>
      </c>
      <c r="AJ4542" s="9">
        <v>3.0428788910505911</v>
      </c>
    </row>
    <row r="4543" spans="1:36" x14ac:dyDescent="0.25">
      <c r="A4543" t="s">
        <v>5411</v>
      </c>
      <c r="B4543" t="s">
        <v>16</v>
      </c>
      <c r="C4543" t="s">
        <v>17</v>
      </c>
      <c r="D4543">
        <v>78505000</v>
      </c>
      <c r="E4543">
        <v>78507999</v>
      </c>
      <c r="F4543" t="s">
        <v>4138</v>
      </c>
      <c r="G4543" t="str">
        <f t="shared" si="140"/>
        <v>MTR</v>
      </c>
      <c r="H4543" t="s">
        <v>4079</v>
      </c>
      <c r="I4543" t="s">
        <v>20</v>
      </c>
      <c r="J4543" t="s">
        <v>77</v>
      </c>
      <c r="K4543" s="6">
        <v>0.03</v>
      </c>
      <c r="L4543" s="7">
        <f t="shared" si="141"/>
        <v>2E-3</v>
      </c>
      <c r="M4543" s="7">
        <v>3.0000000000000001E-3</v>
      </c>
      <c r="N4543">
        <v>17</v>
      </c>
      <c r="O4543" s="8">
        <v>41.207080732056241</v>
      </c>
      <c r="P4543" s="9">
        <v>41.207080732056241</v>
      </c>
      <c r="Q4543" s="9">
        <v>41.207080732056241</v>
      </c>
      <c r="R4543" s="9">
        <v>42.157262509433366</v>
      </c>
      <c r="S4543" s="9">
        <v>44.562650125658905</v>
      </c>
      <c r="T4543" s="9">
        <v>44.774343906619599</v>
      </c>
      <c r="U4543" s="9">
        <v>47.410026125961608</v>
      </c>
      <c r="V4543" s="9">
        <v>47.410026125961608</v>
      </c>
      <c r="W4543" s="9">
        <v>47.410026125961608</v>
      </c>
      <c r="X4543" s="9">
        <v>51.970197263128114</v>
      </c>
      <c r="Y4543" s="9">
        <v>51.970197263128114</v>
      </c>
      <c r="Z4543" s="9">
        <v>57.180133523400194</v>
      </c>
      <c r="AA4543" s="9">
        <v>57.180133523400194</v>
      </c>
      <c r="AB4543" s="9">
        <v>62.205497742174821</v>
      </c>
      <c r="AC4543" s="9">
        <v>62.205497742174821</v>
      </c>
      <c r="AD4543" s="9">
        <v>67.764075150980162</v>
      </c>
      <c r="AE4543" s="9">
        <v>75.345852790378046</v>
      </c>
      <c r="AF4543" s="9">
        <v>81.372396625232085</v>
      </c>
      <c r="AG4543" s="9">
        <v>81.372396625232085</v>
      </c>
      <c r="AH4543" s="9">
        <v>88.045224250123979</v>
      </c>
      <c r="AI4543" s="9">
        <v>94.96907033416484</v>
      </c>
      <c r="AJ4543" s="9">
        <v>3.0428788910505911</v>
      </c>
    </row>
    <row r="4544" spans="1:36" x14ac:dyDescent="0.25">
      <c r="A4544" t="s">
        <v>5411</v>
      </c>
      <c r="B4544" t="s">
        <v>16</v>
      </c>
      <c r="C4544" t="s">
        <v>17</v>
      </c>
      <c r="D4544">
        <v>78508000</v>
      </c>
      <c r="E4544">
        <v>78509999</v>
      </c>
      <c r="F4544" t="s">
        <v>4139</v>
      </c>
      <c r="G4544" t="str">
        <f t="shared" si="140"/>
        <v>MTR</v>
      </c>
      <c r="H4544" t="s">
        <v>4079</v>
      </c>
      <c r="I4544" t="s">
        <v>20</v>
      </c>
      <c r="J4544" t="s">
        <v>77</v>
      </c>
      <c r="K4544" s="6">
        <v>0.03</v>
      </c>
      <c r="L4544" s="7">
        <f t="shared" si="141"/>
        <v>2E-3</v>
      </c>
      <c r="M4544" s="7">
        <v>3.0000000000000001E-3</v>
      </c>
      <c r="N4544">
        <v>17</v>
      </c>
      <c r="O4544" s="8">
        <v>41.207080732056241</v>
      </c>
      <c r="P4544" s="9">
        <v>41.207080732056241</v>
      </c>
      <c r="Q4544" s="9">
        <v>41.207080732056241</v>
      </c>
      <c r="R4544" s="9">
        <v>42.157262509433366</v>
      </c>
      <c r="S4544" s="9">
        <v>44.562650125658905</v>
      </c>
      <c r="T4544" s="9">
        <v>44.774343906619599</v>
      </c>
      <c r="U4544" s="9">
        <v>47.410026125961608</v>
      </c>
      <c r="V4544" s="9">
        <v>47.410026125961608</v>
      </c>
      <c r="W4544" s="9">
        <v>47.410026125961608</v>
      </c>
      <c r="X4544" s="9">
        <v>51.970197263128114</v>
      </c>
      <c r="Y4544" s="9">
        <v>51.970197263128114</v>
      </c>
      <c r="Z4544" s="9">
        <v>57.180133523400194</v>
      </c>
      <c r="AA4544" s="9">
        <v>57.180133523400194</v>
      </c>
      <c r="AB4544" s="9">
        <v>62.205497742174821</v>
      </c>
      <c r="AC4544" s="9">
        <v>62.205497742174821</v>
      </c>
      <c r="AD4544" s="9">
        <v>67.764075150980162</v>
      </c>
      <c r="AE4544" s="9">
        <v>75.345852790378046</v>
      </c>
      <c r="AF4544" s="9">
        <v>81.372396625232085</v>
      </c>
      <c r="AG4544" s="9">
        <v>81.372396625232085</v>
      </c>
      <c r="AH4544" s="9">
        <v>88.045224250123979</v>
      </c>
      <c r="AI4544" s="9">
        <v>94.96907033416484</v>
      </c>
      <c r="AJ4544" s="9">
        <v>3.0428788910505911</v>
      </c>
    </row>
    <row r="4545" spans="1:36" x14ac:dyDescent="0.25">
      <c r="A4545" t="s">
        <v>5411</v>
      </c>
      <c r="B4545" t="s">
        <v>16</v>
      </c>
      <c r="C4545" t="s">
        <v>17</v>
      </c>
      <c r="D4545">
        <v>78510000</v>
      </c>
      <c r="E4545">
        <v>78514999</v>
      </c>
      <c r="F4545" t="s">
        <v>4140</v>
      </c>
      <c r="G4545" t="str">
        <f t="shared" si="140"/>
        <v>MTR</v>
      </c>
      <c r="H4545" t="s">
        <v>4079</v>
      </c>
      <c r="I4545" t="s">
        <v>20</v>
      </c>
      <c r="J4545" t="s">
        <v>77</v>
      </c>
      <c r="K4545" s="6">
        <v>0.03</v>
      </c>
      <c r="L4545" s="7">
        <f t="shared" si="141"/>
        <v>2E-3</v>
      </c>
      <c r="M4545" s="7">
        <v>3.0000000000000001E-3</v>
      </c>
      <c r="N4545">
        <v>17</v>
      </c>
      <c r="O4545" s="8">
        <v>41.207080732056241</v>
      </c>
      <c r="P4545" s="9">
        <v>41.207080732056241</v>
      </c>
      <c r="Q4545" s="9">
        <v>41.207080732056241</v>
      </c>
      <c r="R4545" s="9">
        <v>42.157262509433366</v>
      </c>
      <c r="S4545" s="9">
        <v>44.562650125658905</v>
      </c>
      <c r="T4545" s="9">
        <v>44.774343906619599</v>
      </c>
      <c r="U4545" s="9">
        <v>47.410026125961608</v>
      </c>
      <c r="V4545" s="9">
        <v>47.410026125961608</v>
      </c>
      <c r="W4545" s="9">
        <v>47.410026125961608</v>
      </c>
      <c r="X4545" s="9">
        <v>51.970197263128114</v>
      </c>
      <c r="Y4545" s="9">
        <v>51.970197263128114</v>
      </c>
      <c r="Z4545" s="9">
        <v>57.180133523400194</v>
      </c>
      <c r="AA4545" s="9">
        <v>57.180133523400194</v>
      </c>
      <c r="AB4545" s="9">
        <v>62.205497742174821</v>
      </c>
      <c r="AC4545" s="9">
        <v>62.205497742174821</v>
      </c>
      <c r="AD4545" s="9">
        <v>67.764075150980162</v>
      </c>
      <c r="AE4545" s="9">
        <v>75.345852790378046</v>
      </c>
      <c r="AF4545" s="9">
        <v>81.372396625232085</v>
      </c>
      <c r="AG4545" s="9">
        <v>81.372396625232085</v>
      </c>
      <c r="AH4545" s="9">
        <v>88.045224250123979</v>
      </c>
      <c r="AI4545" s="9">
        <v>94.96907033416484</v>
      </c>
      <c r="AJ4545" s="9">
        <v>3.0428788910505911</v>
      </c>
    </row>
    <row r="4546" spans="1:36" x14ac:dyDescent="0.25">
      <c r="A4546" t="s">
        <v>5411</v>
      </c>
      <c r="B4546" t="s">
        <v>16</v>
      </c>
      <c r="C4546" t="s">
        <v>17</v>
      </c>
      <c r="D4546">
        <v>78515000</v>
      </c>
      <c r="E4546">
        <v>78519999</v>
      </c>
      <c r="F4546" t="s">
        <v>4141</v>
      </c>
      <c r="G4546" t="str">
        <f t="shared" si="140"/>
        <v>MTR</v>
      </c>
      <c r="H4546" t="s">
        <v>4079</v>
      </c>
      <c r="I4546" t="s">
        <v>20</v>
      </c>
      <c r="J4546" t="s">
        <v>77</v>
      </c>
      <c r="K4546" s="6">
        <v>0.03</v>
      </c>
      <c r="L4546" s="7">
        <f t="shared" si="141"/>
        <v>2E-3</v>
      </c>
      <c r="M4546" s="7">
        <v>3.0000000000000001E-3</v>
      </c>
      <c r="N4546">
        <v>17</v>
      </c>
      <c r="O4546" s="8">
        <v>41.207080732056241</v>
      </c>
      <c r="P4546" s="9">
        <v>41.207080732056241</v>
      </c>
      <c r="Q4546" s="9">
        <v>41.207080732056241</v>
      </c>
      <c r="R4546" s="9">
        <v>42.157262509433366</v>
      </c>
      <c r="S4546" s="9">
        <v>44.562650125658905</v>
      </c>
      <c r="T4546" s="9">
        <v>44.774343906619599</v>
      </c>
      <c r="U4546" s="9">
        <v>47.410026125961608</v>
      </c>
      <c r="V4546" s="9">
        <v>47.410026125961608</v>
      </c>
      <c r="W4546" s="9">
        <v>47.410026125961608</v>
      </c>
      <c r="X4546" s="9">
        <v>51.970197263128114</v>
      </c>
      <c r="Y4546" s="9">
        <v>51.970197263128114</v>
      </c>
      <c r="Z4546" s="9">
        <v>57.180133523400194</v>
      </c>
      <c r="AA4546" s="9">
        <v>57.180133523400194</v>
      </c>
      <c r="AB4546" s="9">
        <v>62.205497742174821</v>
      </c>
      <c r="AC4546" s="9">
        <v>62.205497742174821</v>
      </c>
      <c r="AD4546" s="9">
        <v>67.764075150980162</v>
      </c>
      <c r="AE4546" s="9">
        <v>75.345852790378046</v>
      </c>
      <c r="AF4546" s="9">
        <v>81.372396625232085</v>
      </c>
      <c r="AG4546" s="9">
        <v>81.372396625232085</v>
      </c>
      <c r="AH4546" s="9">
        <v>88.045224250123979</v>
      </c>
      <c r="AI4546" s="9">
        <v>94.96907033416484</v>
      </c>
      <c r="AJ4546" s="9">
        <v>3.0428788910505911</v>
      </c>
    </row>
    <row r="4547" spans="1:36" x14ac:dyDescent="0.25">
      <c r="A4547" t="s">
        <v>5411</v>
      </c>
      <c r="B4547" t="s">
        <v>16</v>
      </c>
      <c r="C4547" t="s">
        <v>17</v>
      </c>
      <c r="D4547">
        <v>78520000</v>
      </c>
      <c r="E4547">
        <v>78524999</v>
      </c>
      <c r="F4547" t="s">
        <v>4142</v>
      </c>
      <c r="G4547" t="str">
        <f t="shared" si="140"/>
        <v>MTR</v>
      </c>
      <c r="H4547" t="s">
        <v>4079</v>
      </c>
      <c r="I4547" t="s">
        <v>20</v>
      </c>
      <c r="J4547" t="s">
        <v>77</v>
      </c>
      <c r="K4547" s="6">
        <v>0.03</v>
      </c>
      <c r="L4547" s="7">
        <f t="shared" si="141"/>
        <v>2E-3</v>
      </c>
      <c r="M4547" s="7">
        <v>3.0000000000000001E-3</v>
      </c>
      <c r="N4547">
        <v>17</v>
      </c>
      <c r="O4547" s="8">
        <v>41.207080732056241</v>
      </c>
      <c r="P4547" s="9">
        <v>41.207080732056241</v>
      </c>
      <c r="Q4547" s="9">
        <v>41.207080732056241</v>
      </c>
      <c r="R4547" s="9">
        <v>42.157262509433366</v>
      </c>
      <c r="S4547" s="9">
        <v>44.562650125658905</v>
      </c>
      <c r="T4547" s="9">
        <v>44.774343906619599</v>
      </c>
      <c r="U4547" s="9">
        <v>47.410026125961608</v>
      </c>
      <c r="V4547" s="9">
        <v>47.410026125961608</v>
      </c>
      <c r="W4547" s="9">
        <v>47.410026125961608</v>
      </c>
      <c r="X4547" s="9">
        <v>51.970197263128114</v>
      </c>
      <c r="Y4547" s="9">
        <v>51.970197263128114</v>
      </c>
      <c r="Z4547" s="9">
        <v>57.180133523400194</v>
      </c>
      <c r="AA4547" s="9">
        <v>57.180133523400194</v>
      </c>
      <c r="AB4547" s="9">
        <v>62.205497742174821</v>
      </c>
      <c r="AC4547" s="9">
        <v>62.205497742174821</v>
      </c>
      <c r="AD4547" s="9">
        <v>67.764075150980162</v>
      </c>
      <c r="AE4547" s="9">
        <v>75.345852790378046</v>
      </c>
      <c r="AF4547" s="9">
        <v>81.372396625232085</v>
      </c>
      <c r="AG4547" s="9">
        <v>81.372396625232085</v>
      </c>
      <c r="AH4547" s="9">
        <v>88.045224250123979</v>
      </c>
      <c r="AI4547" s="9">
        <v>94.96907033416484</v>
      </c>
      <c r="AJ4547" s="9">
        <v>3.0428788910505911</v>
      </c>
    </row>
    <row r="4548" spans="1:36" x14ac:dyDescent="0.25">
      <c r="A4548" t="s">
        <v>5411</v>
      </c>
      <c r="B4548" t="s">
        <v>16</v>
      </c>
      <c r="C4548" t="s">
        <v>17</v>
      </c>
      <c r="D4548">
        <v>78525000</v>
      </c>
      <c r="E4548">
        <v>78527999</v>
      </c>
      <c r="F4548" t="s">
        <v>4143</v>
      </c>
      <c r="G4548" t="str">
        <f t="shared" ref="G4548:G4611" si="142">H4548&amp;IF(J4548="CAPITAL","C",IF(J4548="INTERIOR","I",IF(J4548="INTERIOR II","I II","R")))</f>
        <v>MTR</v>
      </c>
      <c r="H4548" t="s">
        <v>4079</v>
      </c>
      <c r="I4548" t="s">
        <v>20</v>
      </c>
      <c r="J4548" t="s">
        <v>77</v>
      </c>
      <c r="K4548" s="6">
        <v>0.03</v>
      </c>
      <c r="L4548" s="7">
        <f t="shared" ref="L4548:L4611" si="143">IF(I4548="(0) Não",0.2%,3%)</f>
        <v>2E-3</v>
      </c>
      <c r="M4548" s="7">
        <v>3.0000000000000001E-3</v>
      </c>
      <c r="N4548">
        <v>17</v>
      </c>
      <c r="O4548" s="8">
        <v>41.207080732056241</v>
      </c>
      <c r="P4548" s="9">
        <v>41.207080732056241</v>
      </c>
      <c r="Q4548" s="9">
        <v>41.207080732056241</v>
      </c>
      <c r="R4548" s="9">
        <v>42.157262509433366</v>
      </c>
      <c r="S4548" s="9">
        <v>44.562650125658905</v>
      </c>
      <c r="T4548" s="9">
        <v>44.774343906619599</v>
      </c>
      <c r="U4548" s="9">
        <v>47.410026125961608</v>
      </c>
      <c r="V4548" s="9">
        <v>47.410026125961608</v>
      </c>
      <c r="W4548" s="9">
        <v>47.410026125961608</v>
      </c>
      <c r="X4548" s="9">
        <v>51.970197263128114</v>
      </c>
      <c r="Y4548" s="9">
        <v>51.970197263128114</v>
      </c>
      <c r="Z4548" s="9">
        <v>57.180133523400194</v>
      </c>
      <c r="AA4548" s="9">
        <v>57.180133523400194</v>
      </c>
      <c r="AB4548" s="9">
        <v>62.205497742174821</v>
      </c>
      <c r="AC4548" s="9">
        <v>62.205497742174821</v>
      </c>
      <c r="AD4548" s="9">
        <v>67.764075150980162</v>
      </c>
      <c r="AE4548" s="9">
        <v>75.345852790378046</v>
      </c>
      <c r="AF4548" s="9">
        <v>81.372396625232085</v>
      </c>
      <c r="AG4548" s="9">
        <v>81.372396625232085</v>
      </c>
      <c r="AH4548" s="9">
        <v>88.045224250123979</v>
      </c>
      <c r="AI4548" s="9">
        <v>94.96907033416484</v>
      </c>
      <c r="AJ4548" s="9">
        <v>3.0428788910505911</v>
      </c>
    </row>
    <row r="4549" spans="1:36" x14ac:dyDescent="0.25">
      <c r="A4549" t="s">
        <v>5411</v>
      </c>
      <c r="B4549" t="s">
        <v>16</v>
      </c>
      <c r="C4549" t="s">
        <v>17</v>
      </c>
      <c r="D4549">
        <v>78528000</v>
      </c>
      <c r="E4549">
        <v>78529999</v>
      </c>
      <c r="F4549" t="s">
        <v>4144</v>
      </c>
      <c r="G4549" t="str">
        <f t="shared" si="142"/>
        <v>MTR</v>
      </c>
      <c r="H4549" t="s">
        <v>4079</v>
      </c>
      <c r="I4549" t="s">
        <v>20</v>
      </c>
      <c r="J4549" t="s">
        <v>77</v>
      </c>
      <c r="K4549" s="6">
        <v>0.03</v>
      </c>
      <c r="L4549" s="7">
        <f t="shared" si="143"/>
        <v>2E-3</v>
      </c>
      <c r="M4549" s="7">
        <v>3.0000000000000001E-3</v>
      </c>
      <c r="N4549">
        <v>17</v>
      </c>
      <c r="O4549" s="8">
        <v>41.207080732056241</v>
      </c>
      <c r="P4549" s="9">
        <v>41.207080732056241</v>
      </c>
      <c r="Q4549" s="9">
        <v>41.207080732056241</v>
      </c>
      <c r="R4549" s="9">
        <v>42.157262509433366</v>
      </c>
      <c r="S4549" s="9">
        <v>44.562650125658905</v>
      </c>
      <c r="T4549" s="9">
        <v>44.774343906619599</v>
      </c>
      <c r="U4549" s="9">
        <v>47.410026125961608</v>
      </c>
      <c r="V4549" s="9">
        <v>47.410026125961608</v>
      </c>
      <c r="W4549" s="9">
        <v>47.410026125961608</v>
      </c>
      <c r="X4549" s="9">
        <v>51.970197263128114</v>
      </c>
      <c r="Y4549" s="9">
        <v>51.970197263128114</v>
      </c>
      <c r="Z4549" s="9">
        <v>57.180133523400194</v>
      </c>
      <c r="AA4549" s="9">
        <v>57.180133523400194</v>
      </c>
      <c r="AB4549" s="9">
        <v>62.205497742174821</v>
      </c>
      <c r="AC4549" s="9">
        <v>62.205497742174821</v>
      </c>
      <c r="AD4549" s="9">
        <v>67.764075150980162</v>
      </c>
      <c r="AE4549" s="9">
        <v>75.345852790378046</v>
      </c>
      <c r="AF4549" s="9">
        <v>81.372396625232085</v>
      </c>
      <c r="AG4549" s="9">
        <v>81.372396625232085</v>
      </c>
      <c r="AH4549" s="9">
        <v>88.045224250123979</v>
      </c>
      <c r="AI4549" s="9">
        <v>94.96907033416484</v>
      </c>
      <c r="AJ4549" s="9">
        <v>3.0428788910505911</v>
      </c>
    </row>
    <row r="4550" spans="1:36" x14ac:dyDescent="0.25">
      <c r="A4550" t="s">
        <v>5411</v>
      </c>
      <c r="B4550" t="s">
        <v>16</v>
      </c>
      <c r="C4550" t="s">
        <v>17</v>
      </c>
      <c r="D4550">
        <v>78530000</v>
      </c>
      <c r="E4550">
        <v>78534999</v>
      </c>
      <c r="F4550" t="s">
        <v>4145</v>
      </c>
      <c r="G4550" t="str">
        <f t="shared" si="142"/>
        <v>MTR</v>
      </c>
      <c r="H4550" t="s">
        <v>4079</v>
      </c>
      <c r="I4550" t="s">
        <v>20</v>
      </c>
      <c r="J4550" t="s">
        <v>77</v>
      </c>
      <c r="K4550" s="6">
        <v>0.03</v>
      </c>
      <c r="L4550" s="7">
        <f t="shared" si="143"/>
        <v>2E-3</v>
      </c>
      <c r="M4550" s="7">
        <v>3.0000000000000001E-3</v>
      </c>
      <c r="N4550">
        <v>17</v>
      </c>
      <c r="O4550" s="8">
        <v>41.207080732056241</v>
      </c>
      <c r="P4550" s="9">
        <v>41.207080732056241</v>
      </c>
      <c r="Q4550" s="9">
        <v>41.207080732056241</v>
      </c>
      <c r="R4550" s="9">
        <v>42.157262509433366</v>
      </c>
      <c r="S4550" s="9">
        <v>44.562650125658905</v>
      </c>
      <c r="T4550" s="9">
        <v>44.774343906619599</v>
      </c>
      <c r="U4550" s="9">
        <v>47.410026125961608</v>
      </c>
      <c r="V4550" s="9">
        <v>47.410026125961608</v>
      </c>
      <c r="W4550" s="9">
        <v>47.410026125961608</v>
      </c>
      <c r="X4550" s="9">
        <v>51.970197263128114</v>
      </c>
      <c r="Y4550" s="9">
        <v>51.970197263128114</v>
      </c>
      <c r="Z4550" s="9">
        <v>57.180133523400194</v>
      </c>
      <c r="AA4550" s="9">
        <v>57.180133523400194</v>
      </c>
      <c r="AB4550" s="9">
        <v>62.205497742174821</v>
      </c>
      <c r="AC4550" s="9">
        <v>62.205497742174821</v>
      </c>
      <c r="AD4550" s="9">
        <v>67.764075150980162</v>
      </c>
      <c r="AE4550" s="9">
        <v>75.345852790378046</v>
      </c>
      <c r="AF4550" s="9">
        <v>81.372396625232085</v>
      </c>
      <c r="AG4550" s="9">
        <v>81.372396625232085</v>
      </c>
      <c r="AH4550" s="9">
        <v>88.045224250123979</v>
      </c>
      <c r="AI4550" s="9">
        <v>94.96907033416484</v>
      </c>
      <c r="AJ4550" s="9">
        <v>3.0428788910505911</v>
      </c>
    </row>
    <row r="4551" spans="1:36" x14ac:dyDescent="0.25">
      <c r="A4551" t="s">
        <v>5411</v>
      </c>
      <c r="B4551" t="s">
        <v>16</v>
      </c>
      <c r="C4551" t="s">
        <v>17</v>
      </c>
      <c r="D4551">
        <v>78535000</v>
      </c>
      <c r="E4551">
        <v>78539999</v>
      </c>
      <c r="F4551" t="s">
        <v>4146</v>
      </c>
      <c r="G4551" t="str">
        <f t="shared" si="142"/>
        <v>MTR</v>
      </c>
      <c r="H4551" t="s">
        <v>4079</v>
      </c>
      <c r="I4551" t="s">
        <v>20</v>
      </c>
      <c r="J4551" t="s">
        <v>77</v>
      </c>
      <c r="K4551" s="6">
        <v>0.03</v>
      </c>
      <c r="L4551" s="7">
        <f t="shared" si="143"/>
        <v>2E-3</v>
      </c>
      <c r="M4551" s="7">
        <v>3.0000000000000001E-3</v>
      </c>
      <c r="N4551">
        <v>17</v>
      </c>
      <c r="O4551" s="8">
        <v>41.207080732056241</v>
      </c>
      <c r="P4551" s="9">
        <v>41.207080732056241</v>
      </c>
      <c r="Q4551" s="9">
        <v>41.207080732056241</v>
      </c>
      <c r="R4551" s="9">
        <v>42.157262509433366</v>
      </c>
      <c r="S4551" s="9">
        <v>44.562650125658905</v>
      </c>
      <c r="T4551" s="9">
        <v>44.774343906619599</v>
      </c>
      <c r="U4551" s="9">
        <v>47.410026125961608</v>
      </c>
      <c r="V4551" s="9">
        <v>47.410026125961608</v>
      </c>
      <c r="W4551" s="9">
        <v>47.410026125961608</v>
      </c>
      <c r="X4551" s="9">
        <v>51.970197263128114</v>
      </c>
      <c r="Y4551" s="9">
        <v>51.970197263128114</v>
      </c>
      <c r="Z4551" s="9">
        <v>57.180133523400194</v>
      </c>
      <c r="AA4551" s="9">
        <v>57.180133523400194</v>
      </c>
      <c r="AB4551" s="9">
        <v>62.205497742174821</v>
      </c>
      <c r="AC4551" s="9">
        <v>62.205497742174821</v>
      </c>
      <c r="AD4551" s="9">
        <v>67.764075150980162</v>
      </c>
      <c r="AE4551" s="9">
        <v>75.345852790378046</v>
      </c>
      <c r="AF4551" s="9">
        <v>81.372396625232085</v>
      </c>
      <c r="AG4551" s="9">
        <v>81.372396625232085</v>
      </c>
      <c r="AH4551" s="9">
        <v>88.045224250123979</v>
      </c>
      <c r="AI4551" s="9">
        <v>94.96907033416484</v>
      </c>
      <c r="AJ4551" s="9">
        <v>3.0428788910505911</v>
      </c>
    </row>
    <row r="4552" spans="1:36" x14ac:dyDescent="0.25">
      <c r="A4552" t="s">
        <v>5411</v>
      </c>
      <c r="B4552" t="s">
        <v>16</v>
      </c>
      <c r="C4552" t="s">
        <v>17</v>
      </c>
      <c r="D4552">
        <v>78540000</v>
      </c>
      <c r="E4552">
        <v>78542999</v>
      </c>
      <c r="F4552" t="s">
        <v>4147</v>
      </c>
      <c r="G4552" t="str">
        <f t="shared" si="142"/>
        <v>MTR</v>
      </c>
      <c r="H4552" t="s">
        <v>4079</v>
      </c>
      <c r="I4552" t="s">
        <v>20</v>
      </c>
      <c r="J4552" t="s">
        <v>77</v>
      </c>
      <c r="K4552" s="6">
        <v>0.03</v>
      </c>
      <c r="L4552" s="7">
        <f t="shared" si="143"/>
        <v>2E-3</v>
      </c>
      <c r="M4552" s="7">
        <v>3.0000000000000001E-3</v>
      </c>
      <c r="N4552">
        <v>17</v>
      </c>
      <c r="O4552" s="8">
        <v>41.207080732056241</v>
      </c>
      <c r="P4552" s="9">
        <v>41.207080732056241</v>
      </c>
      <c r="Q4552" s="9">
        <v>41.207080732056241</v>
      </c>
      <c r="R4552" s="9">
        <v>42.157262509433366</v>
      </c>
      <c r="S4552" s="9">
        <v>44.562650125658905</v>
      </c>
      <c r="T4552" s="9">
        <v>44.774343906619599</v>
      </c>
      <c r="U4552" s="9">
        <v>47.410026125961608</v>
      </c>
      <c r="V4552" s="9">
        <v>47.410026125961608</v>
      </c>
      <c r="W4552" s="9">
        <v>47.410026125961608</v>
      </c>
      <c r="X4552" s="9">
        <v>51.970197263128114</v>
      </c>
      <c r="Y4552" s="9">
        <v>51.970197263128114</v>
      </c>
      <c r="Z4552" s="9">
        <v>57.180133523400194</v>
      </c>
      <c r="AA4552" s="9">
        <v>57.180133523400194</v>
      </c>
      <c r="AB4552" s="9">
        <v>62.205497742174821</v>
      </c>
      <c r="AC4552" s="9">
        <v>62.205497742174821</v>
      </c>
      <c r="AD4552" s="9">
        <v>67.764075150980162</v>
      </c>
      <c r="AE4552" s="9">
        <v>75.345852790378046</v>
      </c>
      <c r="AF4552" s="9">
        <v>81.372396625232085</v>
      </c>
      <c r="AG4552" s="9">
        <v>81.372396625232085</v>
      </c>
      <c r="AH4552" s="9">
        <v>88.045224250123979</v>
      </c>
      <c r="AI4552" s="9">
        <v>94.96907033416484</v>
      </c>
      <c r="AJ4552" s="9">
        <v>3.0428788910505911</v>
      </c>
    </row>
    <row r="4553" spans="1:36" x14ac:dyDescent="0.25">
      <c r="A4553" t="s">
        <v>5411</v>
      </c>
      <c r="B4553" t="s">
        <v>16</v>
      </c>
      <c r="C4553" t="s">
        <v>17</v>
      </c>
      <c r="D4553">
        <v>78543000</v>
      </c>
      <c r="E4553">
        <v>78544999</v>
      </c>
      <c r="F4553" t="s">
        <v>4148</v>
      </c>
      <c r="G4553" t="str">
        <f t="shared" si="142"/>
        <v>MTR</v>
      </c>
      <c r="H4553" t="s">
        <v>4079</v>
      </c>
      <c r="I4553" t="s">
        <v>20</v>
      </c>
      <c r="J4553" t="s">
        <v>77</v>
      </c>
      <c r="K4553" s="6">
        <v>0.03</v>
      </c>
      <c r="L4553" s="7">
        <f t="shared" si="143"/>
        <v>2E-3</v>
      </c>
      <c r="M4553" s="7">
        <v>3.0000000000000001E-3</v>
      </c>
      <c r="N4553">
        <v>17</v>
      </c>
      <c r="O4553" s="8">
        <v>41.207080732056241</v>
      </c>
      <c r="P4553" s="9">
        <v>41.207080732056241</v>
      </c>
      <c r="Q4553" s="9">
        <v>41.207080732056241</v>
      </c>
      <c r="R4553" s="9">
        <v>42.157262509433366</v>
      </c>
      <c r="S4553" s="9">
        <v>44.562650125658905</v>
      </c>
      <c r="T4553" s="9">
        <v>44.774343906619599</v>
      </c>
      <c r="U4553" s="9">
        <v>47.410026125961608</v>
      </c>
      <c r="V4553" s="9">
        <v>47.410026125961608</v>
      </c>
      <c r="W4553" s="9">
        <v>47.410026125961608</v>
      </c>
      <c r="X4553" s="9">
        <v>51.970197263128114</v>
      </c>
      <c r="Y4553" s="9">
        <v>51.970197263128114</v>
      </c>
      <c r="Z4553" s="9">
        <v>57.180133523400194</v>
      </c>
      <c r="AA4553" s="9">
        <v>57.180133523400194</v>
      </c>
      <c r="AB4553" s="9">
        <v>62.205497742174821</v>
      </c>
      <c r="AC4553" s="9">
        <v>62.205497742174821</v>
      </c>
      <c r="AD4553" s="9">
        <v>67.764075150980162</v>
      </c>
      <c r="AE4553" s="9">
        <v>75.345852790378046</v>
      </c>
      <c r="AF4553" s="9">
        <v>81.372396625232085</v>
      </c>
      <c r="AG4553" s="9">
        <v>81.372396625232085</v>
      </c>
      <c r="AH4553" s="9">
        <v>88.045224250123979</v>
      </c>
      <c r="AI4553" s="9">
        <v>94.96907033416484</v>
      </c>
      <c r="AJ4553" s="9">
        <v>3.0428788910505911</v>
      </c>
    </row>
    <row r="4554" spans="1:36" x14ac:dyDescent="0.25">
      <c r="A4554" t="s">
        <v>5411</v>
      </c>
      <c r="B4554" t="s">
        <v>16</v>
      </c>
      <c r="C4554" t="s">
        <v>17</v>
      </c>
      <c r="D4554">
        <v>78545000</v>
      </c>
      <c r="E4554">
        <v>78547999</v>
      </c>
      <c r="F4554" t="s">
        <v>4149</v>
      </c>
      <c r="G4554" t="str">
        <f t="shared" si="142"/>
        <v>MTR</v>
      </c>
      <c r="H4554" t="s">
        <v>4079</v>
      </c>
      <c r="I4554" t="s">
        <v>20</v>
      </c>
      <c r="J4554" t="s">
        <v>77</v>
      </c>
      <c r="K4554" s="6">
        <v>0.03</v>
      </c>
      <c r="L4554" s="7">
        <f t="shared" si="143"/>
        <v>2E-3</v>
      </c>
      <c r="M4554" s="7">
        <v>3.0000000000000001E-3</v>
      </c>
      <c r="N4554">
        <v>17</v>
      </c>
      <c r="O4554" s="8">
        <v>41.207080732056241</v>
      </c>
      <c r="P4554" s="9">
        <v>41.207080732056241</v>
      </c>
      <c r="Q4554" s="9">
        <v>41.207080732056241</v>
      </c>
      <c r="R4554" s="9">
        <v>42.157262509433366</v>
      </c>
      <c r="S4554" s="9">
        <v>44.562650125658905</v>
      </c>
      <c r="T4554" s="9">
        <v>44.774343906619599</v>
      </c>
      <c r="U4554" s="9">
        <v>47.410026125961608</v>
      </c>
      <c r="V4554" s="9">
        <v>47.410026125961608</v>
      </c>
      <c r="W4554" s="9">
        <v>47.410026125961608</v>
      </c>
      <c r="X4554" s="9">
        <v>51.970197263128114</v>
      </c>
      <c r="Y4554" s="9">
        <v>51.970197263128114</v>
      </c>
      <c r="Z4554" s="9">
        <v>57.180133523400194</v>
      </c>
      <c r="AA4554" s="9">
        <v>57.180133523400194</v>
      </c>
      <c r="AB4554" s="9">
        <v>62.205497742174821</v>
      </c>
      <c r="AC4554" s="9">
        <v>62.205497742174821</v>
      </c>
      <c r="AD4554" s="9">
        <v>67.764075150980162</v>
      </c>
      <c r="AE4554" s="9">
        <v>75.345852790378046</v>
      </c>
      <c r="AF4554" s="9">
        <v>81.372396625232085</v>
      </c>
      <c r="AG4554" s="9">
        <v>81.372396625232085</v>
      </c>
      <c r="AH4554" s="9">
        <v>88.045224250123979</v>
      </c>
      <c r="AI4554" s="9">
        <v>94.96907033416484</v>
      </c>
      <c r="AJ4554" s="9">
        <v>3.0428788910505911</v>
      </c>
    </row>
    <row r="4555" spans="1:36" x14ac:dyDescent="0.25">
      <c r="A4555" t="s">
        <v>5411</v>
      </c>
      <c r="B4555" t="s">
        <v>16</v>
      </c>
      <c r="C4555" t="s">
        <v>17</v>
      </c>
      <c r="D4555">
        <v>78548000</v>
      </c>
      <c r="E4555">
        <v>78549999</v>
      </c>
      <c r="F4555" t="s">
        <v>4150</v>
      </c>
      <c r="G4555" t="str">
        <f t="shared" si="142"/>
        <v>MTR</v>
      </c>
      <c r="H4555" t="s">
        <v>4079</v>
      </c>
      <c r="I4555" t="s">
        <v>20</v>
      </c>
      <c r="J4555" t="s">
        <v>77</v>
      </c>
      <c r="K4555" s="6">
        <v>0.03</v>
      </c>
      <c r="L4555" s="7">
        <f t="shared" si="143"/>
        <v>2E-3</v>
      </c>
      <c r="M4555" s="7">
        <v>3.0000000000000001E-3</v>
      </c>
      <c r="N4555">
        <v>17</v>
      </c>
      <c r="O4555" s="8">
        <v>41.207080732056241</v>
      </c>
      <c r="P4555" s="9">
        <v>41.207080732056241</v>
      </c>
      <c r="Q4555" s="9">
        <v>41.207080732056241</v>
      </c>
      <c r="R4555" s="9">
        <v>42.157262509433366</v>
      </c>
      <c r="S4555" s="9">
        <v>44.562650125658905</v>
      </c>
      <c r="T4555" s="9">
        <v>44.774343906619599</v>
      </c>
      <c r="U4555" s="9">
        <v>47.410026125961608</v>
      </c>
      <c r="V4555" s="9">
        <v>47.410026125961608</v>
      </c>
      <c r="W4555" s="9">
        <v>47.410026125961608</v>
      </c>
      <c r="X4555" s="9">
        <v>51.970197263128114</v>
      </c>
      <c r="Y4555" s="9">
        <v>51.970197263128114</v>
      </c>
      <c r="Z4555" s="9">
        <v>57.180133523400194</v>
      </c>
      <c r="AA4555" s="9">
        <v>57.180133523400194</v>
      </c>
      <c r="AB4555" s="9">
        <v>62.205497742174821</v>
      </c>
      <c r="AC4555" s="9">
        <v>62.205497742174821</v>
      </c>
      <c r="AD4555" s="9">
        <v>67.764075150980162</v>
      </c>
      <c r="AE4555" s="9">
        <v>75.345852790378046</v>
      </c>
      <c r="AF4555" s="9">
        <v>81.372396625232085</v>
      </c>
      <c r="AG4555" s="9">
        <v>81.372396625232085</v>
      </c>
      <c r="AH4555" s="9">
        <v>88.045224250123979</v>
      </c>
      <c r="AI4555" s="9">
        <v>94.96907033416484</v>
      </c>
      <c r="AJ4555" s="9">
        <v>3.0428788910505911</v>
      </c>
    </row>
    <row r="4556" spans="1:36" x14ac:dyDescent="0.25">
      <c r="A4556" t="s">
        <v>5411</v>
      </c>
      <c r="B4556" t="s">
        <v>16</v>
      </c>
      <c r="C4556" t="s">
        <v>17</v>
      </c>
      <c r="D4556">
        <v>78550000</v>
      </c>
      <c r="E4556">
        <v>78559999</v>
      </c>
      <c r="F4556" t="s">
        <v>4151</v>
      </c>
      <c r="G4556" t="str">
        <f t="shared" si="142"/>
        <v>MTI II</v>
      </c>
      <c r="H4556" t="s">
        <v>4079</v>
      </c>
      <c r="I4556" t="s">
        <v>20</v>
      </c>
      <c r="J4556" t="s">
        <v>64</v>
      </c>
      <c r="K4556" s="6">
        <v>0.03</v>
      </c>
      <c r="L4556" s="7">
        <f t="shared" si="143"/>
        <v>2E-3</v>
      </c>
      <c r="M4556" s="7">
        <v>3.0000000000000001E-3</v>
      </c>
      <c r="N4556">
        <v>13</v>
      </c>
      <c r="O4556" s="8">
        <v>26.945869944786573</v>
      </c>
      <c r="P4556" s="9">
        <v>26.945869944786573</v>
      </c>
      <c r="Q4556" s="9">
        <v>26.945869944786573</v>
      </c>
      <c r="R4556" s="9">
        <v>27.872426176460309</v>
      </c>
      <c r="S4556" s="9">
        <v>30.114764737466444</v>
      </c>
      <c r="T4556" s="9">
        <v>30.389103773795448</v>
      </c>
      <c r="U4556" s="9">
        <v>32.851592628213609</v>
      </c>
      <c r="V4556" s="9">
        <v>32.851592628213609</v>
      </c>
      <c r="W4556" s="9">
        <v>32.851592628213609</v>
      </c>
      <c r="X4556" s="9">
        <v>35.974003563148294</v>
      </c>
      <c r="Y4556" s="9">
        <v>35.974003563148294</v>
      </c>
      <c r="Z4556" s="9">
        <v>39.583028800026455</v>
      </c>
      <c r="AA4556" s="9">
        <v>39.583028800026455</v>
      </c>
      <c r="AB4556" s="9">
        <v>42.917947459820233</v>
      </c>
      <c r="AC4556" s="9">
        <v>42.917947459820233</v>
      </c>
      <c r="AD4556" s="9">
        <v>48.456144425509514</v>
      </c>
      <c r="AE4556" s="9">
        <v>51.441147415963158</v>
      </c>
      <c r="AF4556" s="9">
        <v>54.652150956017358</v>
      </c>
      <c r="AG4556" s="9">
        <v>54.652150956017358</v>
      </c>
      <c r="AH4556" s="9">
        <v>58.808410228839165</v>
      </c>
      <c r="AI4556" s="9">
        <v>62.34918511933521</v>
      </c>
      <c r="AJ4556" s="9">
        <v>3.0428788910505911</v>
      </c>
    </row>
    <row r="4557" spans="1:36" x14ac:dyDescent="0.25">
      <c r="A4557" t="s">
        <v>5411</v>
      </c>
      <c r="B4557" t="s">
        <v>16</v>
      </c>
      <c r="C4557" t="s">
        <v>17</v>
      </c>
      <c r="D4557">
        <v>78560000</v>
      </c>
      <c r="E4557">
        <v>78562999</v>
      </c>
      <c r="F4557" t="s">
        <v>4152</v>
      </c>
      <c r="G4557" t="str">
        <f t="shared" si="142"/>
        <v>MTR</v>
      </c>
      <c r="H4557" t="s">
        <v>4079</v>
      </c>
      <c r="I4557" t="s">
        <v>20</v>
      </c>
      <c r="J4557" t="s">
        <v>77</v>
      </c>
      <c r="K4557" s="6">
        <v>0.03</v>
      </c>
      <c r="L4557" s="7">
        <f t="shared" si="143"/>
        <v>2E-3</v>
      </c>
      <c r="M4557" s="7">
        <v>3.0000000000000001E-3</v>
      </c>
      <c r="N4557">
        <v>17</v>
      </c>
      <c r="O4557" s="8">
        <v>41.207080732056241</v>
      </c>
      <c r="P4557" s="9">
        <v>41.207080732056241</v>
      </c>
      <c r="Q4557" s="9">
        <v>41.207080732056241</v>
      </c>
      <c r="R4557" s="9">
        <v>42.157262509433366</v>
      </c>
      <c r="S4557" s="9">
        <v>44.562650125658905</v>
      </c>
      <c r="T4557" s="9">
        <v>44.774343906619599</v>
      </c>
      <c r="U4557" s="9">
        <v>47.410026125961608</v>
      </c>
      <c r="V4557" s="9">
        <v>47.410026125961608</v>
      </c>
      <c r="W4557" s="9">
        <v>47.410026125961608</v>
      </c>
      <c r="X4557" s="9">
        <v>51.970197263128114</v>
      </c>
      <c r="Y4557" s="9">
        <v>51.970197263128114</v>
      </c>
      <c r="Z4557" s="9">
        <v>57.180133523400194</v>
      </c>
      <c r="AA4557" s="9">
        <v>57.180133523400194</v>
      </c>
      <c r="AB4557" s="9">
        <v>62.205497742174821</v>
      </c>
      <c r="AC4557" s="9">
        <v>62.205497742174821</v>
      </c>
      <c r="AD4557" s="9">
        <v>67.764075150980162</v>
      </c>
      <c r="AE4557" s="9">
        <v>75.345852790378046</v>
      </c>
      <c r="AF4557" s="9">
        <v>81.372396625232085</v>
      </c>
      <c r="AG4557" s="9">
        <v>81.372396625232085</v>
      </c>
      <c r="AH4557" s="9">
        <v>88.045224250123979</v>
      </c>
      <c r="AI4557" s="9">
        <v>94.96907033416484</v>
      </c>
      <c r="AJ4557" s="9">
        <v>3.0428788910505911</v>
      </c>
    </row>
    <row r="4558" spans="1:36" x14ac:dyDescent="0.25">
      <c r="A4558" t="s">
        <v>5411</v>
      </c>
      <c r="B4558" t="s">
        <v>16</v>
      </c>
      <c r="C4558" t="s">
        <v>17</v>
      </c>
      <c r="D4558">
        <v>78563000</v>
      </c>
      <c r="E4558">
        <v>78564999</v>
      </c>
      <c r="F4558" t="s">
        <v>4153</v>
      </c>
      <c r="G4558" t="str">
        <f t="shared" si="142"/>
        <v>MTR</v>
      </c>
      <c r="H4558" t="s">
        <v>4079</v>
      </c>
      <c r="I4558" t="s">
        <v>20</v>
      </c>
      <c r="J4558" t="s">
        <v>77</v>
      </c>
      <c r="K4558" s="6">
        <v>0.03</v>
      </c>
      <c r="L4558" s="7">
        <f t="shared" si="143"/>
        <v>2E-3</v>
      </c>
      <c r="M4558" s="7">
        <v>3.0000000000000001E-3</v>
      </c>
      <c r="N4558">
        <v>17</v>
      </c>
      <c r="O4558" s="8">
        <v>41.207080732056241</v>
      </c>
      <c r="P4558" s="9">
        <v>41.207080732056241</v>
      </c>
      <c r="Q4558" s="9">
        <v>41.207080732056241</v>
      </c>
      <c r="R4558" s="9">
        <v>42.157262509433366</v>
      </c>
      <c r="S4558" s="9">
        <v>44.562650125658905</v>
      </c>
      <c r="T4558" s="9">
        <v>44.774343906619599</v>
      </c>
      <c r="U4558" s="9">
        <v>47.410026125961608</v>
      </c>
      <c r="V4558" s="9">
        <v>47.410026125961608</v>
      </c>
      <c r="W4558" s="9">
        <v>47.410026125961608</v>
      </c>
      <c r="X4558" s="9">
        <v>51.970197263128114</v>
      </c>
      <c r="Y4558" s="9">
        <v>51.970197263128114</v>
      </c>
      <c r="Z4558" s="9">
        <v>57.180133523400194</v>
      </c>
      <c r="AA4558" s="9">
        <v>57.180133523400194</v>
      </c>
      <c r="AB4558" s="9">
        <v>62.205497742174821</v>
      </c>
      <c r="AC4558" s="9">
        <v>62.205497742174821</v>
      </c>
      <c r="AD4558" s="9">
        <v>67.764075150980162</v>
      </c>
      <c r="AE4558" s="9">
        <v>75.345852790378046</v>
      </c>
      <c r="AF4558" s="9">
        <v>81.372396625232085</v>
      </c>
      <c r="AG4558" s="9">
        <v>81.372396625232085</v>
      </c>
      <c r="AH4558" s="9">
        <v>88.045224250123979</v>
      </c>
      <c r="AI4558" s="9">
        <v>94.96907033416484</v>
      </c>
      <c r="AJ4558" s="9">
        <v>3.0428788910505911</v>
      </c>
    </row>
    <row r="4559" spans="1:36" x14ac:dyDescent="0.25">
      <c r="A4559" t="s">
        <v>5411</v>
      </c>
      <c r="B4559" t="s">
        <v>16</v>
      </c>
      <c r="C4559" t="s">
        <v>17</v>
      </c>
      <c r="D4559">
        <v>78565000</v>
      </c>
      <c r="E4559">
        <v>78569999</v>
      </c>
      <c r="F4559" t="s">
        <v>4154</v>
      </c>
      <c r="G4559" t="str">
        <f t="shared" si="142"/>
        <v>MTR</v>
      </c>
      <c r="H4559" t="s">
        <v>4079</v>
      </c>
      <c r="I4559" t="s">
        <v>20</v>
      </c>
      <c r="J4559" t="s">
        <v>77</v>
      </c>
      <c r="K4559" s="6">
        <v>0.03</v>
      </c>
      <c r="L4559" s="7">
        <f t="shared" si="143"/>
        <v>2E-3</v>
      </c>
      <c r="M4559" s="7">
        <v>3.0000000000000001E-3</v>
      </c>
      <c r="N4559">
        <v>17</v>
      </c>
      <c r="O4559" s="8">
        <v>41.207080732056241</v>
      </c>
      <c r="P4559" s="9">
        <v>41.207080732056241</v>
      </c>
      <c r="Q4559" s="9">
        <v>41.207080732056241</v>
      </c>
      <c r="R4559" s="9">
        <v>42.157262509433366</v>
      </c>
      <c r="S4559" s="9">
        <v>44.562650125658905</v>
      </c>
      <c r="T4559" s="9">
        <v>44.774343906619599</v>
      </c>
      <c r="U4559" s="9">
        <v>47.410026125961608</v>
      </c>
      <c r="V4559" s="9">
        <v>47.410026125961608</v>
      </c>
      <c r="W4559" s="9">
        <v>47.410026125961608</v>
      </c>
      <c r="X4559" s="9">
        <v>51.970197263128114</v>
      </c>
      <c r="Y4559" s="9">
        <v>51.970197263128114</v>
      </c>
      <c r="Z4559" s="9">
        <v>57.180133523400194</v>
      </c>
      <c r="AA4559" s="9">
        <v>57.180133523400194</v>
      </c>
      <c r="AB4559" s="9">
        <v>62.205497742174821</v>
      </c>
      <c r="AC4559" s="9">
        <v>62.205497742174821</v>
      </c>
      <c r="AD4559" s="9">
        <v>67.764075150980162</v>
      </c>
      <c r="AE4559" s="9">
        <v>75.345852790378046</v>
      </c>
      <c r="AF4559" s="9">
        <v>81.372396625232085</v>
      </c>
      <c r="AG4559" s="9">
        <v>81.372396625232085</v>
      </c>
      <c r="AH4559" s="9">
        <v>88.045224250123979</v>
      </c>
      <c r="AI4559" s="9">
        <v>94.96907033416484</v>
      </c>
      <c r="AJ4559" s="9">
        <v>3.0428788910505911</v>
      </c>
    </row>
    <row r="4560" spans="1:36" x14ac:dyDescent="0.25">
      <c r="A4560" t="s">
        <v>5411</v>
      </c>
      <c r="B4560" t="s">
        <v>16</v>
      </c>
      <c r="C4560" t="s">
        <v>17</v>
      </c>
      <c r="D4560">
        <v>78570000</v>
      </c>
      <c r="E4560">
        <v>78572999</v>
      </c>
      <c r="F4560" t="s">
        <v>4155</v>
      </c>
      <c r="G4560" t="str">
        <f t="shared" si="142"/>
        <v>MTR</v>
      </c>
      <c r="H4560" t="s">
        <v>4079</v>
      </c>
      <c r="I4560" t="s">
        <v>20</v>
      </c>
      <c r="J4560" t="s">
        <v>77</v>
      </c>
      <c r="K4560" s="6">
        <v>0.03</v>
      </c>
      <c r="L4560" s="7">
        <f t="shared" si="143"/>
        <v>2E-3</v>
      </c>
      <c r="M4560" s="7">
        <v>3.0000000000000001E-3</v>
      </c>
      <c r="N4560">
        <v>17</v>
      </c>
      <c r="O4560" s="8">
        <v>41.207080732056241</v>
      </c>
      <c r="P4560" s="9">
        <v>41.207080732056241</v>
      </c>
      <c r="Q4560" s="9">
        <v>41.207080732056241</v>
      </c>
      <c r="R4560" s="9">
        <v>42.157262509433366</v>
      </c>
      <c r="S4560" s="9">
        <v>44.562650125658905</v>
      </c>
      <c r="T4560" s="9">
        <v>44.774343906619599</v>
      </c>
      <c r="U4560" s="9">
        <v>47.410026125961608</v>
      </c>
      <c r="V4560" s="9">
        <v>47.410026125961608</v>
      </c>
      <c r="W4560" s="9">
        <v>47.410026125961608</v>
      </c>
      <c r="X4560" s="9">
        <v>51.970197263128114</v>
      </c>
      <c r="Y4560" s="9">
        <v>51.970197263128114</v>
      </c>
      <c r="Z4560" s="9">
        <v>57.180133523400194</v>
      </c>
      <c r="AA4560" s="9">
        <v>57.180133523400194</v>
      </c>
      <c r="AB4560" s="9">
        <v>62.205497742174821</v>
      </c>
      <c r="AC4560" s="9">
        <v>62.205497742174821</v>
      </c>
      <c r="AD4560" s="9">
        <v>67.764075150980162</v>
      </c>
      <c r="AE4560" s="9">
        <v>75.345852790378046</v>
      </c>
      <c r="AF4560" s="9">
        <v>81.372396625232085</v>
      </c>
      <c r="AG4560" s="9">
        <v>81.372396625232085</v>
      </c>
      <c r="AH4560" s="9">
        <v>88.045224250123979</v>
      </c>
      <c r="AI4560" s="9">
        <v>94.96907033416484</v>
      </c>
      <c r="AJ4560" s="9">
        <v>3.0428788910505911</v>
      </c>
    </row>
    <row r="4561" spans="1:36" x14ac:dyDescent="0.25">
      <c r="A4561" t="s">
        <v>5411</v>
      </c>
      <c r="B4561" t="s">
        <v>16</v>
      </c>
      <c r="C4561" t="s">
        <v>17</v>
      </c>
      <c r="D4561">
        <v>78573000</v>
      </c>
      <c r="E4561">
        <v>78574999</v>
      </c>
      <c r="F4561" t="s">
        <v>4156</v>
      </c>
      <c r="G4561" t="str">
        <f t="shared" si="142"/>
        <v>MTR</v>
      </c>
      <c r="H4561" t="s">
        <v>4079</v>
      </c>
      <c r="I4561" t="s">
        <v>20</v>
      </c>
      <c r="J4561" t="s">
        <v>77</v>
      </c>
      <c r="K4561" s="6">
        <v>0.03</v>
      </c>
      <c r="L4561" s="7">
        <f t="shared" si="143"/>
        <v>2E-3</v>
      </c>
      <c r="M4561" s="7">
        <v>3.0000000000000001E-3</v>
      </c>
      <c r="N4561">
        <v>17</v>
      </c>
      <c r="O4561" s="8">
        <v>41.207080732056241</v>
      </c>
      <c r="P4561" s="9">
        <v>41.207080732056241</v>
      </c>
      <c r="Q4561" s="9">
        <v>41.207080732056241</v>
      </c>
      <c r="R4561" s="9">
        <v>42.157262509433366</v>
      </c>
      <c r="S4561" s="9">
        <v>44.562650125658905</v>
      </c>
      <c r="T4561" s="9">
        <v>44.774343906619599</v>
      </c>
      <c r="U4561" s="9">
        <v>47.410026125961608</v>
      </c>
      <c r="V4561" s="9">
        <v>47.410026125961608</v>
      </c>
      <c r="W4561" s="9">
        <v>47.410026125961608</v>
      </c>
      <c r="X4561" s="9">
        <v>51.970197263128114</v>
      </c>
      <c r="Y4561" s="9">
        <v>51.970197263128114</v>
      </c>
      <c r="Z4561" s="9">
        <v>57.180133523400194</v>
      </c>
      <c r="AA4561" s="9">
        <v>57.180133523400194</v>
      </c>
      <c r="AB4561" s="9">
        <v>62.205497742174821</v>
      </c>
      <c r="AC4561" s="9">
        <v>62.205497742174821</v>
      </c>
      <c r="AD4561" s="9">
        <v>67.764075150980162</v>
      </c>
      <c r="AE4561" s="9">
        <v>75.345852790378046</v>
      </c>
      <c r="AF4561" s="9">
        <v>81.372396625232085</v>
      </c>
      <c r="AG4561" s="9">
        <v>81.372396625232085</v>
      </c>
      <c r="AH4561" s="9">
        <v>88.045224250123979</v>
      </c>
      <c r="AI4561" s="9">
        <v>94.96907033416484</v>
      </c>
      <c r="AJ4561" s="9">
        <v>3.0428788910505911</v>
      </c>
    </row>
    <row r="4562" spans="1:36" x14ac:dyDescent="0.25">
      <c r="A4562" t="s">
        <v>5411</v>
      </c>
      <c r="B4562" t="s">
        <v>16</v>
      </c>
      <c r="C4562" t="s">
        <v>17</v>
      </c>
      <c r="D4562">
        <v>78575000</v>
      </c>
      <c r="E4562">
        <v>78577999</v>
      </c>
      <c r="F4562" t="s">
        <v>4157</v>
      </c>
      <c r="G4562" t="str">
        <f t="shared" si="142"/>
        <v>MTR</v>
      </c>
      <c r="H4562" t="s">
        <v>4079</v>
      </c>
      <c r="I4562" t="s">
        <v>20</v>
      </c>
      <c r="J4562" t="s">
        <v>77</v>
      </c>
      <c r="K4562" s="6">
        <v>0.03</v>
      </c>
      <c r="L4562" s="7">
        <f t="shared" si="143"/>
        <v>2E-3</v>
      </c>
      <c r="M4562" s="7">
        <v>3.0000000000000001E-3</v>
      </c>
      <c r="N4562">
        <v>17</v>
      </c>
      <c r="O4562" s="8">
        <v>41.207080732056241</v>
      </c>
      <c r="P4562" s="9">
        <v>41.207080732056241</v>
      </c>
      <c r="Q4562" s="9">
        <v>41.207080732056241</v>
      </c>
      <c r="R4562" s="9">
        <v>42.157262509433366</v>
      </c>
      <c r="S4562" s="9">
        <v>44.562650125658905</v>
      </c>
      <c r="T4562" s="9">
        <v>44.774343906619599</v>
      </c>
      <c r="U4562" s="9">
        <v>47.410026125961608</v>
      </c>
      <c r="V4562" s="9">
        <v>47.410026125961608</v>
      </c>
      <c r="W4562" s="9">
        <v>47.410026125961608</v>
      </c>
      <c r="X4562" s="9">
        <v>51.970197263128114</v>
      </c>
      <c r="Y4562" s="9">
        <v>51.970197263128114</v>
      </c>
      <c r="Z4562" s="9">
        <v>57.180133523400194</v>
      </c>
      <c r="AA4562" s="9">
        <v>57.180133523400194</v>
      </c>
      <c r="AB4562" s="9">
        <v>62.205497742174821</v>
      </c>
      <c r="AC4562" s="9">
        <v>62.205497742174821</v>
      </c>
      <c r="AD4562" s="9">
        <v>67.764075150980162</v>
      </c>
      <c r="AE4562" s="9">
        <v>75.345852790378046</v>
      </c>
      <c r="AF4562" s="9">
        <v>81.372396625232085</v>
      </c>
      <c r="AG4562" s="9">
        <v>81.372396625232085</v>
      </c>
      <c r="AH4562" s="9">
        <v>88.045224250123979</v>
      </c>
      <c r="AI4562" s="9">
        <v>94.96907033416484</v>
      </c>
      <c r="AJ4562" s="9">
        <v>3.0428788910505911</v>
      </c>
    </row>
    <row r="4563" spans="1:36" x14ac:dyDescent="0.25">
      <c r="A4563" t="s">
        <v>5411</v>
      </c>
      <c r="B4563" t="s">
        <v>16</v>
      </c>
      <c r="C4563" t="s">
        <v>17</v>
      </c>
      <c r="D4563">
        <v>78578000</v>
      </c>
      <c r="E4563">
        <v>78578999</v>
      </c>
      <c r="F4563" t="s">
        <v>4158</v>
      </c>
      <c r="G4563" t="str">
        <f t="shared" si="142"/>
        <v>MTR</v>
      </c>
      <c r="H4563" t="s">
        <v>4079</v>
      </c>
      <c r="I4563" t="s">
        <v>20</v>
      </c>
      <c r="J4563" t="s">
        <v>77</v>
      </c>
      <c r="K4563" s="6">
        <v>0.03</v>
      </c>
      <c r="L4563" s="7">
        <f t="shared" si="143"/>
        <v>2E-3</v>
      </c>
      <c r="M4563" s="7">
        <v>3.0000000000000001E-3</v>
      </c>
      <c r="N4563">
        <v>17</v>
      </c>
      <c r="O4563" s="8">
        <v>41.207080732056241</v>
      </c>
      <c r="P4563" s="9">
        <v>41.207080732056241</v>
      </c>
      <c r="Q4563" s="9">
        <v>41.207080732056241</v>
      </c>
      <c r="R4563" s="9">
        <v>42.157262509433366</v>
      </c>
      <c r="S4563" s="9">
        <v>44.562650125658905</v>
      </c>
      <c r="T4563" s="9">
        <v>44.774343906619599</v>
      </c>
      <c r="U4563" s="9">
        <v>47.410026125961608</v>
      </c>
      <c r="V4563" s="9">
        <v>47.410026125961608</v>
      </c>
      <c r="W4563" s="9">
        <v>47.410026125961608</v>
      </c>
      <c r="X4563" s="9">
        <v>51.970197263128114</v>
      </c>
      <c r="Y4563" s="9">
        <v>51.970197263128114</v>
      </c>
      <c r="Z4563" s="9">
        <v>57.180133523400194</v>
      </c>
      <c r="AA4563" s="9">
        <v>57.180133523400194</v>
      </c>
      <c r="AB4563" s="9">
        <v>62.205497742174821</v>
      </c>
      <c r="AC4563" s="9">
        <v>62.205497742174821</v>
      </c>
      <c r="AD4563" s="9">
        <v>67.764075150980162</v>
      </c>
      <c r="AE4563" s="9">
        <v>75.345852790378046</v>
      </c>
      <c r="AF4563" s="9">
        <v>81.372396625232085</v>
      </c>
      <c r="AG4563" s="9">
        <v>81.372396625232085</v>
      </c>
      <c r="AH4563" s="9">
        <v>88.045224250123979</v>
      </c>
      <c r="AI4563" s="9">
        <v>94.96907033416484</v>
      </c>
      <c r="AJ4563" s="9">
        <v>3.0428788910505911</v>
      </c>
    </row>
    <row r="4564" spans="1:36" x14ac:dyDescent="0.25">
      <c r="A4564" t="s">
        <v>5411</v>
      </c>
      <c r="B4564" t="s">
        <v>16</v>
      </c>
      <c r="C4564" t="s">
        <v>17</v>
      </c>
      <c r="D4564">
        <v>78579000</v>
      </c>
      <c r="E4564">
        <v>78579999</v>
      </c>
      <c r="F4564" t="s">
        <v>4159</v>
      </c>
      <c r="G4564" t="str">
        <f t="shared" si="142"/>
        <v>MTR</v>
      </c>
      <c r="H4564" t="s">
        <v>4079</v>
      </c>
      <c r="I4564" t="s">
        <v>20</v>
      </c>
      <c r="J4564" t="s">
        <v>77</v>
      </c>
      <c r="K4564" s="6">
        <v>0.03</v>
      </c>
      <c r="L4564" s="7">
        <f t="shared" si="143"/>
        <v>2E-3</v>
      </c>
      <c r="M4564" s="7">
        <v>3.0000000000000001E-3</v>
      </c>
      <c r="N4564">
        <v>17</v>
      </c>
      <c r="O4564" s="8">
        <v>41.207080732056241</v>
      </c>
      <c r="P4564" s="9">
        <v>41.207080732056241</v>
      </c>
      <c r="Q4564" s="9">
        <v>41.207080732056241</v>
      </c>
      <c r="R4564" s="9">
        <v>42.157262509433366</v>
      </c>
      <c r="S4564" s="9">
        <v>44.562650125658905</v>
      </c>
      <c r="T4564" s="9">
        <v>44.774343906619599</v>
      </c>
      <c r="U4564" s="9">
        <v>47.410026125961608</v>
      </c>
      <c r="V4564" s="9">
        <v>47.410026125961608</v>
      </c>
      <c r="W4564" s="9">
        <v>47.410026125961608</v>
      </c>
      <c r="X4564" s="9">
        <v>51.970197263128114</v>
      </c>
      <c r="Y4564" s="9">
        <v>51.970197263128114</v>
      </c>
      <c r="Z4564" s="9">
        <v>57.180133523400194</v>
      </c>
      <c r="AA4564" s="9">
        <v>57.180133523400194</v>
      </c>
      <c r="AB4564" s="9">
        <v>62.205497742174821</v>
      </c>
      <c r="AC4564" s="9">
        <v>62.205497742174821</v>
      </c>
      <c r="AD4564" s="9">
        <v>67.764075150980162</v>
      </c>
      <c r="AE4564" s="9">
        <v>75.345852790378046</v>
      </c>
      <c r="AF4564" s="9">
        <v>81.372396625232085</v>
      </c>
      <c r="AG4564" s="9">
        <v>81.372396625232085</v>
      </c>
      <c r="AH4564" s="9">
        <v>88.045224250123979</v>
      </c>
      <c r="AI4564" s="9">
        <v>94.96907033416484</v>
      </c>
      <c r="AJ4564" s="9">
        <v>3.0428788910505911</v>
      </c>
    </row>
    <row r="4565" spans="1:36" x14ac:dyDescent="0.25">
      <c r="A4565" t="s">
        <v>5411</v>
      </c>
      <c r="B4565" t="s">
        <v>16</v>
      </c>
      <c r="C4565" t="s">
        <v>17</v>
      </c>
      <c r="D4565">
        <v>78580000</v>
      </c>
      <c r="E4565">
        <v>78586999</v>
      </c>
      <c r="F4565" t="s">
        <v>4160</v>
      </c>
      <c r="G4565" t="str">
        <f t="shared" si="142"/>
        <v>MTR</v>
      </c>
      <c r="H4565" t="s">
        <v>4079</v>
      </c>
      <c r="I4565" t="s">
        <v>20</v>
      </c>
      <c r="J4565" t="s">
        <v>77</v>
      </c>
      <c r="K4565" s="6">
        <v>0.03</v>
      </c>
      <c r="L4565" s="7">
        <f t="shared" si="143"/>
        <v>2E-3</v>
      </c>
      <c r="M4565" s="7">
        <v>3.0000000000000001E-3</v>
      </c>
      <c r="N4565">
        <v>17</v>
      </c>
      <c r="O4565" s="8">
        <v>41.207080732056241</v>
      </c>
      <c r="P4565" s="9">
        <v>41.207080732056241</v>
      </c>
      <c r="Q4565" s="9">
        <v>41.207080732056241</v>
      </c>
      <c r="R4565" s="9">
        <v>42.157262509433366</v>
      </c>
      <c r="S4565" s="9">
        <v>44.562650125658905</v>
      </c>
      <c r="T4565" s="9">
        <v>44.774343906619599</v>
      </c>
      <c r="U4565" s="9">
        <v>47.410026125961608</v>
      </c>
      <c r="V4565" s="9">
        <v>47.410026125961608</v>
      </c>
      <c r="W4565" s="9">
        <v>47.410026125961608</v>
      </c>
      <c r="X4565" s="9">
        <v>51.970197263128114</v>
      </c>
      <c r="Y4565" s="9">
        <v>51.970197263128114</v>
      </c>
      <c r="Z4565" s="9">
        <v>57.180133523400194</v>
      </c>
      <c r="AA4565" s="9">
        <v>57.180133523400194</v>
      </c>
      <c r="AB4565" s="9">
        <v>62.205497742174821</v>
      </c>
      <c r="AC4565" s="9">
        <v>62.205497742174821</v>
      </c>
      <c r="AD4565" s="9">
        <v>67.764075150980162</v>
      </c>
      <c r="AE4565" s="9">
        <v>75.345852790378046</v>
      </c>
      <c r="AF4565" s="9">
        <v>81.372396625232085</v>
      </c>
      <c r="AG4565" s="9">
        <v>81.372396625232085</v>
      </c>
      <c r="AH4565" s="9">
        <v>88.045224250123979</v>
      </c>
      <c r="AI4565" s="9">
        <v>94.96907033416484</v>
      </c>
      <c r="AJ4565" s="9">
        <v>3.0428788910505911</v>
      </c>
    </row>
    <row r="4566" spans="1:36" x14ac:dyDescent="0.25">
      <c r="A4566" t="s">
        <v>5411</v>
      </c>
      <c r="B4566" t="s">
        <v>16</v>
      </c>
      <c r="C4566" t="s">
        <v>17</v>
      </c>
      <c r="D4566">
        <v>78587000</v>
      </c>
      <c r="E4566">
        <v>78589999</v>
      </c>
      <c r="F4566" t="s">
        <v>4161</v>
      </c>
      <c r="G4566" t="str">
        <f t="shared" si="142"/>
        <v>MTR</v>
      </c>
      <c r="H4566" t="s">
        <v>4079</v>
      </c>
      <c r="I4566" t="s">
        <v>20</v>
      </c>
      <c r="J4566" t="s">
        <v>77</v>
      </c>
      <c r="K4566" s="6">
        <v>0.03</v>
      </c>
      <c r="L4566" s="7">
        <f t="shared" si="143"/>
        <v>2E-3</v>
      </c>
      <c r="M4566" s="7">
        <v>3.0000000000000001E-3</v>
      </c>
      <c r="N4566">
        <v>17</v>
      </c>
      <c r="O4566" s="8">
        <v>41.207080732056241</v>
      </c>
      <c r="P4566" s="9">
        <v>41.207080732056241</v>
      </c>
      <c r="Q4566" s="9">
        <v>41.207080732056241</v>
      </c>
      <c r="R4566" s="9">
        <v>42.157262509433366</v>
      </c>
      <c r="S4566" s="9">
        <v>44.562650125658905</v>
      </c>
      <c r="T4566" s="9">
        <v>44.774343906619599</v>
      </c>
      <c r="U4566" s="9">
        <v>47.410026125961608</v>
      </c>
      <c r="V4566" s="9">
        <v>47.410026125961608</v>
      </c>
      <c r="W4566" s="9">
        <v>47.410026125961608</v>
      </c>
      <c r="X4566" s="9">
        <v>51.970197263128114</v>
      </c>
      <c r="Y4566" s="9">
        <v>51.970197263128114</v>
      </c>
      <c r="Z4566" s="9">
        <v>57.180133523400194</v>
      </c>
      <c r="AA4566" s="9">
        <v>57.180133523400194</v>
      </c>
      <c r="AB4566" s="9">
        <v>62.205497742174821</v>
      </c>
      <c r="AC4566" s="9">
        <v>62.205497742174821</v>
      </c>
      <c r="AD4566" s="9">
        <v>67.764075150980162</v>
      </c>
      <c r="AE4566" s="9">
        <v>75.345852790378046</v>
      </c>
      <c r="AF4566" s="9">
        <v>81.372396625232085</v>
      </c>
      <c r="AG4566" s="9">
        <v>81.372396625232085</v>
      </c>
      <c r="AH4566" s="9">
        <v>88.045224250123979</v>
      </c>
      <c r="AI4566" s="9">
        <v>94.96907033416484</v>
      </c>
      <c r="AJ4566" s="9">
        <v>3.0428788910505911</v>
      </c>
    </row>
    <row r="4567" spans="1:36" x14ac:dyDescent="0.25">
      <c r="A4567" t="s">
        <v>5411</v>
      </c>
      <c r="B4567" t="s">
        <v>16</v>
      </c>
      <c r="C4567" t="s">
        <v>17</v>
      </c>
      <c r="D4567">
        <v>78590000</v>
      </c>
      <c r="E4567">
        <v>78592999</v>
      </c>
      <c r="F4567" t="s">
        <v>4162</v>
      </c>
      <c r="G4567" t="str">
        <f t="shared" si="142"/>
        <v>MTR</v>
      </c>
      <c r="H4567" t="s">
        <v>4079</v>
      </c>
      <c r="I4567" t="s">
        <v>20</v>
      </c>
      <c r="J4567" t="s">
        <v>77</v>
      </c>
      <c r="K4567" s="6">
        <v>0.03</v>
      </c>
      <c r="L4567" s="7">
        <f t="shared" si="143"/>
        <v>2E-3</v>
      </c>
      <c r="M4567" s="7">
        <v>3.0000000000000001E-3</v>
      </c>
      <c r="N4567">
        <v>17</v>
      </c>
      <c r="O4567" s="8">
        <v>41.207080732056241</v>
      </c>
      <c r="P4567" s="9">
        <v>41.207080732056241</v>
      </c>
      <c r="Q4567" s="9">
        <v>41.207080732056241</v>
      </c>
      <c r="R4567" s="9">
        <v>42.157262509433366</v>
      </c>
      <c r="S4567" s="9">
        <v>44.562650125658905</v>
      </c>
      <c r="T4567" s="9">
        <v>44.774343906619599</v>
      </c>
      <c r="U4567" s="9">
        <v>47.410026125961608</v>
      </c>
      <c r="V4567" s="9">
        <v>47.410026125961608</v>
      </c>
      <c r="W4567" s="9">
        <v>47.410026125961608</v>
      </c>
      <c r="X4567" s="9">
        <v>51.970197263128114</v>
      </c>
      <c r="Y4567" s="9">
        <v>51.970197263128114</v>
      </c>
      <c r="Z4567" s="9">
        <v>57.180133523400194</v>
      </c>
      <c r="AA4567" s="9">
        <v>57.180133523400194</v>
      </c>
      <c r="AB4567" s="9">
        <v>62.205497742174821</v>
      </c>
      <c r="AC4567" s="9">
        <v>62.205497742174821</v>
      </c>
      <c r="AD4567" s="9">
        <v>67.764075150980162</v>
      </c>
      <c r="AE4567" s="9">
        <v>75.345852790378046</v>
      </c>
      <c r="AF4567" s="9">
        <v>81.372396625232085</v>
      </c>
      <c r="AG4567" s="9">
        <v>81.372396625232085</v>
      </c>
      <c r="AH4567" s="9">
        <v>88.045224250123979</v>
      </c>
      <c r="AI4567" s="9">
        <v>94.96907033416484</v>
      </c>
      <c r="AJ4567" s="9">
        <v>3.0428788910505911</v>
      </c>
    </row>
    <row r="4568" spans="1:36" x14ac:dyDescent="0.25">
      <c r="A4568" t="s">
        <v>5411</v>
      </c>
      <c r="B4568" t="s">
        <v>16</v>
      </c>
      <c r="C4568" t="s">
        <v>17</v>
      </c>
      <c r="D4568">
        <v>78593000</v>
      </c>
      <c r="E4568">
        <v>78594999</v>
      </c>
      <c r="F4568" t="s">
        <v>4163</v>
      </c>
      <c r="G4568" t="str">
        <f t="shared" si="142"/>
        <v>MTR</v>
      </c>
      <c r="H4568" t="s">
        <v>4079</v>
      </c>
      <c r="I4568" t="s">
        <v>20</v>
      </c>
      <c r="J4568" t="s">
        <v>77</v>
      </c>
      <c r="K4568" s="6">
        <v>0.03</v>
      </c>
      <c r="L4568" s="7">
        <f t="shared" si="143"/>
        <v>2E-3</v>
      </c>
      <c r="M4568" s="7">
        <v>3.0000000000000001E-3</v>
      </c>
      <c r="N4568">
        <v>17</v>
      </c>
      <c r="O4568" s="8">
        <v>41.207080732056241</v>
      </c>
      <c r="P4568" s="9">
        <v>41.207080732056241</v>
      </c>
      <c r="Q4568" s="9">
        <v>41.207080732056241</v>
      </c>
      <c r="R4568" s="9">
        <v>42.157262509433366</v>
      </c>
      <c r="S4568" s="9">
        <v>44.562650125658905</v>
      </c>
      <c r="T4568" s="9">
        <v>44.774343906619599</v>
      </c>
      <c r="U4568" s="9">
        <v>47.410026125961608</v>
      </c>
      <c r="V4568" s="9">
        <v>47.410026125961608</v>
      </c>
      <c r="W4568" s="9">
        <v>47.410026125961608</v>
      </c>
      <c r="X4568" s="9">
        <v>51.970197263128114</v>
      </c>
      <c r="Y4568" s="9">
        <v>51.970197263128114</v>
      </c>
      <c r="Z4568" s="9">
        <v>57.180133523400194</v>
      </c>
      <c r="AA4568" s="9">
        <v>57.180133523400194</v>
      </c>
      <c r="AB4568" s="9">
        <v>62.205497742174821</v>
      </c>
      <c r="AC4568" s="9">
        <v>62.205497742174821</v>
      </c>
      <c r="AD4568" s="9">
        <v>67.764075150980162</v>
      </c>
      <c r="AE4568" s="9">
        <v>75.345852790378046</v>
      </c>
      <c r="AF4568" s="9">
        <v>81.372396625232085</v>
      </c>
      <c r="AG4568" s="9">
        <v>81.372396625232085</v>
      </c>
      <c r="AH4568" s="9">
        <v>88.045224250123979</v>
      </c>
      <c r="AI4568" s="9">
        <v>94.96907033416484</v>
      </c>
      <c r="AJ4568" s="9">
        <v>3.0428788910505911</v>
      </c>
    </row>
    <row r="4569" spans="1:36" x14ac:dyDescent="0.25">
      <c r="A4569" t="s">
        <v>5411</v>
      </c>
      <c r="B4569" t="s">
        <v>16</v>
      </c>
      <c r="C4569" t="s">
        <v>17</v>
      </c>
      <c r="D4569">
        <v>78595000</v>
      </c>
      <c r="E4569">
        <v>78599999</v>
      </c>
      <c r="F4569" t="s">
        <v>4164</v>
      </c>
      <c r="G4569" t="str">
        <f t="shared" si="142"/>
        <v>MTR</v>
      </c>
      <c r="H4569" t="s">
        <v>4079</v>
      </c>
      <c r="I4569" t="s">
        <v>20</v>
      </c>
      <c r="J4569" t="s">
        <v>77</v>
      </c>
      <c r="K4569" s="6">
        <v>0.03</v>
      </c>
      <c r="L4569" s="7">
        <f t="shared" si="143"/>
        <v>2E-3</v>
      </c>
      <c r="M4569" s="7">
        <v>3.0000000000000001E-3</v>
      </c>
      <c r="N4569">
        <v>17</v>
      </c>
      <c r="O4569" s="8">
        <v>41.207080732056241</v>
      </c>
      <c r="P4569" s="9">
        <v>41.207080732056241</v>
      </c>
      <c r="Q4569" s="9">
        <v>41.207080732056241</v>
      </c>
      <c r="R4569" s="9">
        <v>42.157262509433366</v>
      </c>
      <c r="S4569" s="9">
        <v>44.562650125658905</v>
      </c>
      <c r="T4569" s="9">
        <v>44.774343906619599</v>
      </c>
      <c r="U4569" s="9">
        <v>47.410026125961608</v>
      </c>
      <c r="V4569" s="9">
        <v>47.410026125961608</v>
      </c>
      <c r="W4569" s="9">
        <v>47.410026125961608</v>
      </c>
      <c r="X4569" s="9">
        <v>51.970197263128114</v>
      </c>
      <c r="Y4569" s="9">
        <v>51.970197263128114</v>
      </c>
      <c r="Z4569" s="9">
        <v>57.180133523400194</v>
      </c>
      <c r="AA4569" s="9">
        <v>57.180133523400194</v>
      </c>
      <c r="AB4569" s="9">
        <v>62.205497742174821</v>
      </c>
      <c r="AC4569" s="9">
        <v>62.205497742174821</v>
      </c>
      <c r="AD4569" s="9">
        <v>67.764075150980162</v>
      </c>
      <c r="AE4569" s="9">
        <v>75.345852790378046</v>
      </c>
      <c r="AF4569" s="9">
        <v>81.372396625232085</v>
      </c>
      <c r="AG4569" s="9">
        <v>81.372396625232085</v>
      </c>
      <c r="AH4569" s="9">
        <v>88.045224250123979</v>
      </c>
      <c r="AI4569" s="9">
        <v>94.96907033416484</v>
      </c>
      <c r="AJ4569" s="9">
        <v>3.0428788910505911</v>
      </c>
    </row>
    <row r="4570" spans="1:36" x14ac:dyDescent="0.25">
      <c r="A4570" t="s">
        <v>5411</v>
      </c>
      <c r="B4570" t="s">
        <v>16</v>
      </c>
      <c r="C4570" t="s">
        <v>17</v>
      </c>
      <c r="D4570">
        <v>78600000</v>
      </c>
      <c r="E4570">
        <v>78609999</v>
      </c>
      <c r="F4570" t="s">
        <v>4165</v>
      </c>
      <c r="G4570" t="str">
        <f t="shared" si="142"/>
        <v>MTR</v>
      </c>
      <c r="H4570" t="s">
        <v>4079</v>
      </c>
      <c r="I4570" t="s">
        <v>20</v>
      </c>
      <c r="J4570" t="s">
        <v>77</v>
      </c>
      <c r="K4570" s="6">
        <v>0.03</v>
      </c>
      <c r="L4570" s="7">
        <f t="shared" si="143"/>
        <v>2E-3</v>
      </c>
      <c r="M4570" s="7">
        <v>3.0000000000000001E-3</v>
      </c>
      <c r="N4570">
        <v>17</v>
      </c>
      <c r="O4570" s="8">
        <v>41.207080732056241</v>
      </c>
      <c r="P4570" s="9">
        <v>41.207080732056241</v>
      </c>
      <c r="Q4570" s="9">
        <v>41.207080732056241</v>
      </c>
      <c r="R4570" s="9">
        <v>42.157262509433366</v>
      </c>
      <c r="S4570" s="9">
        <v>44.562650125658905</v>
      </c>
      <c r="T4570" s="9">
        <v>44.774343906619599</v>
      </c>
      <c r="U4570" s="9">
        <v>47.410026125961608</v>
      </c>
      <c r="V4570" s="9">
        <v>47.410026125961608</v>
      </c>
      <c r="W4570" s="9">
        <v>47.410026125961608</v>
      </c>
      <c r="X4570" s="9">
        <v>51.970197263128114</v>
      </c>
      <c r="Y4570" s="9">
        <v>51.970197263128114</v>
      </c>
      <c r="Z4570" s="9">
        <v>57.180133523400194</v>
      </c>
      <c r="AA4570" s="9">
        <v>57.180133523400194</v>
      </c>
      <c r="AB4570" s="9">
        <v>62.205497742174821</v>
      </c>
      <c r="AC4570" s="9">
        <v>62.205497742174821</v>
      </c>
      <c r="AD4570" s="9">
        <v>67.764075150980162</v>
      </c>
      <c r="AE4570" s="9">
        <v>75.345852790378046</v>
      </c>
      <c r="AF4570" s="9">
        <v>81.372396625232085</v>
      </c>
      <c r="AG4570" s="9">
        <v>81.372396625232085</v>
      </c>
      <c r="AH4570" s="9">
        <v>88.045224250123979</v>
      </c>
      <c r="AI4570" s="9">
        <v>94.96907033416484</v>
      </c>
      <c r="AJ4570" s="9">
        <v>3.0428788910505911</v>
      </c>
    </row>
    <row r="4571" spans="1:36" x14ac:dyDescent="0.25">
      <c r="A4571" t="s">
        <v>5411</v>
      </c>
      <c r="B4571" t="s">
        <v>16</v>
      </c>
      <c r="C4571" t="s">
        <v>17</v>
      </c>
      <c r="D4571">
        <v>78610000</v>
      </c>
      <c r="E4571">
        <v>78612999</v>
      </c>
      <c r="F4571" t="s">
        <v>4166</v>
      </c>
      <c r="G4571" t="str">
        <f t="shared" si="142"/>
        <v>MTR</v>
      </c>
      <c r="H4571" t="s">
        <v>4079</v>
      </c>
      <c r="I4571" t="s">
        <v>20</v>
      </c>
      <c r="J4571" t="s">
        <v>77</v>
      </c>
      <c r="K4571" s="6">
        <v>0.03</v>
      </c>
      <c r="L4571" s="7">
        <f t="shared" si="143"/>
        <v>2E-3</v>
      </c>
      <c r="M4571" s="7">
        <v>3.0000000000000001E-3</v>
      </c>
      <c r="N4571">
        <v>17</v>
      </c>
      <c r="O4571" s="8">
        <v>41.207080732056241</v>
      </c>
      <c r="P4571" s="9">
        <v>41.207080732056241</v>
      </c>
      <c r="Q4571" s="9">
        <v>41.207080732056241</v>
      </c>
      <c r="R4571" s="9">
        <v>42.157262509433366</v>
      </c>
      <c r="S4571" s="9">
        <v>44.562650125658905</v>
      </c>
      <c r="T4571" s="9">
        <v>44.774343906619599</v>
      </c>
      <c r="U4571" s="9">
        <v>47.410026125961608</v>
      </c>
      <c r="V4571" s="9">
        <v>47.410026125961608</v>
      </c>
      <c r="W4571" s="9">
        <v>47.410026125961608</v>
      </c>
      <c r="X4571" s="9">
        <v>51.970197263128114</v>
      </c>
      <c r="Y4571" s="9">
        <v>51.970197263128114</v>
      </c>
      <c r="Z4571" s="9">
        <v>57.180133523400194</v>
      </c>
      <c r="AA4571" s="9">
        <v>57.180133523400194</v>
      </c>
      <c r="AB4571" s="9">
        <v>62.205497742174821</v>
      </c>
      <c r="AC4571" s="9">
        <v>62.205497742174821</v>
      </c>
      <c r="AD4571" s="9">
        <v>67.764075150980162</v>
      </c>
      <c r="AE4571" s="9">
        <v>75.345852790378046</v>
      </c>
      <c r="AF4571" s="9">
        <v>81.372396625232085</v>
      </c>
      <c r="AG4571" s="9">
        <v>81.372396625232085</v>
      </c>
      <c r="AH4571" s="9">
        <v>88.045224250123979</v>
      </c>
      <c r="AI4571" s="9">
        <v>94.96907033416484</v>
      </c>
      <c r="AJ4571" s="9">
        <v>3.0428788910505911</v>
      </c>
    </row>
    <row r="4572" spans="1:36" x14ac:dyDescent="0.25">
      <c r="A4572" t="s">
        <v>5411</v>
      </c>
      <c r="B4572" t="s">
        <v>16</v>
      </c>
      <c r="C4572" t="s">
        <v>17</v>
      </c>
      <c r="D4572">
        <v>78613000</v>
      </c>
      <c r="E4572">
        <v>78614999</v>
      </c>
      <c r="F4572" t="s">
        <v>4167</v>
      </c>
      <c r="G4572" t="str">
        <f t="shared" si="142"/>
        <v>MTR</v>
      </c>
      <c r="H4572" t="s">
        <v>4079</v>
      </c>
      <c r="I4572" t="s">
        <v>20</v>
      </c>
      <c r="J4572" t="s">
        <v>77</v>
      </c>
      <c r="K4572" s="6">
        <v>0.03</v>
      </c>
      <c r="L4572" s="7">
        <f t="shared" si="143"/>
        <v>2E-3</v>
      </c>
      <c r="M4572" s="7">
        <v>3.0000000000000001E-3</v>
      </c>
      <c r="N4572">
        <v>17</v>
      </c>
      <c r="O4572" s="8">
        <v>41.207080732056241</v>
      </c>
      <c r="P4572" s="9">
        <v>41.207080732056241</v>
      </c>
      <c r="Q4572" s="9">
        <v>41.207080732056241</v>
      </c>
      <c r="R4572" s="9">
        <v>42.157262509433366</v>
      </c>
      <c r="S4572" s="9">
        <v>44.562650125658905</v>
      </c>
      <c r="T4572" s="9">
        <v>44.774343906619599</v>
      </c>
      <c r="U4572" s="9">
        <v>47.410026125961608</v>
      </c>
      <c r="V4572" s="9">
        <v>47.410026125961608</v>
      </c>
      <c r="W4572" s="9">
        <v>47.410026125961608</v>
      </c>
      <c r="X4572" s="9">
        <v>51.970197263128114</v>
      </c>
      <c r="Y4572" s="9">
        <v>51.970197263128114</v>
      </c>
      <c r="Z4572" s="9">
        <v>57.180133523400194</v>
      </c>
      <c r="AA4572" s="9">
        <v>57.180133523400194</v>
      </c>
      <c r="AB4572" s="9">
        <v>62.205497742174821</v>
      </c>
      <c r="AC4572" s="9">
        <v>62.205497742174821</v>
      </c>
      <c r="AD4572" s="9">
        <v>67.764075150980162</v>
      </c>
      <c r="AE4572" s="9">
        <v>75.345852790378046</v>
      </c>
      <c r="AF4572" s="9">
        <v>81.372396625232085</v>
      </c>
      <c r="AG4572" s="9">
        <v>81.372396625232085</v>
      </c>
      <c r="AH4572" s="9">
        <v>88.045224250123979</v>
      </c>
      <c r="AI4572" s="9">
        <v>94.96907033416484</v>
      </c>
      <c r="AJ4572" s="9">
        <v>3.0428788910505911</v>
      </c>
    </row>
    <row r="4573" spans="1:36" x14ac:dyDescent="0.25">
      <c r="A4573" t="s">
        <v>5411</v>
      </c>
      <c r="B4573" t="s">
        <v>16</v>
      </c>
      <c r="C4573" t="s">
        <v>17</v>
      </c>
      <c r="D4573">
        <v>78615000</v>
      </c>
      <c r="E4573">
        <v>78619999</v>
      </c>
      <c r="F4573" t="s">
        <v>4168</v>
      </c>
      <c r="G4573" t="str">
        <f t="shared" si="142"/>
        <v>MTR</v>
      </c>
      <c r="H4573" t="s">
        <v>4079</v>
      </c>
      <c r="I4573" t="s">
        <v>20</v>
      </c>
      <c r="J4573" t="s">
        <v>77</v>
      </c>
      <c r="K4573" s="6">
        <v>0.03</v>
      </c>
      <c r="L4573" s="7">
        <f t="shared" si="143"/>
        <v>2E-3</v>
      </c>
      <c r="M4573" s="7">
        <v>3.0000000000000001E-3</v>
      </c>
      <c r="N4573">
        <v>17</v>
      </c>
      <c r="O4573" s="8">
        <v>41.207080732056241</v>
      </c>
      <c r="P4573" s="9">
        <v>41.207080732056241</v>
      </c>
      <c r="Q4573" s="9">
        <v>41.207080732056241</v>
      </c>
      <c r="R4573" s="9">
        <v>42.157262509433366</v>
      </c>
      <c r="S4573" s="9">
        <v>44.562650125658905</v>
      </c>
      <c r="T4573" s="9">
        <v>44.774343906619599</v>
      </c>
      <c r="U4573" s="9">
        <v>47.410026125961608</v>
      </c>
      <c r="V4573" s="9">
        <v>47.410026125961608</v>
      </c>
      <c r="W4573" s="9">
        <v>47.410026125961608</v>
      </c>
      <c r="X4573" s="9">
        <v>51.970197263128114</v>
      </c>
      <c r="Y4573" s="9">
        <v>51.970197263128114</v>
      </c>
      <c r="Z4573" s="9">
        <v>57.180133523400194</v>
      </c>
      <c r="AA4573" s="9">
        <v>57.180133523400194</v>
      </c>
      <c r="AB4573" s="9">
        <v>62.205497742174821</v>
      </c>
      <c r="AC4573" s="9">
        <v>62.205497742174821</v>
      </c>
      <c r="AD4573" s="9">
        <v>67.764075150980162</v>
      </c>
      <c r="AE4573" s="9">
        <v>75.345852790378046</v>
      </c>
      <c r="AF4573" s="9">
        <v>81.372396625232085</v>
      </c>
      <c r="AG4573" s="9">
        <v>81.372396625232085</v>
      </c>
      <c r="AH4573" s="9">
        <v>88.045224250123979</v>
      </c>
      <c r="AI4573" s="9">
        <v>94.96907033416484</v>
      </c>
      <c r="AJ4573" s="9">
        <v>3.0428788910505911</v>
      </c>
    </row>
    <row r="4574" spans="1:36" x14ac:dyDescent="0.25">
      <c r="A4574" t="s">
        <v>5411</v>
      </c>
      <c r="B4574" t="s">
        <v>16</v>
      </c>
      <c r="C4574" t="s">
        <v>17</v>
      </c>
      <c r="D4574">
        <v>78620000</v>
      </c>
      <c r="E4574">
        <v>78624999</v>
      </c>
      <c r="F4574" t="s">
        <v>4169</v>
      </c>
      <c r="G4574" t="str">
        <f t="shared" si="142"/>
        <v>MTR</v>
      </c>
      <c r="H4574" t="s">
        <v>4079</v>
      </c>
      <c r="I4574" t="s">
        <v>20</v>
      </c>
      <c r="J4574" t="s">
        <v>77</v>
      </c>
      <c r="K4574" s="6">
        <v>0.03</v>
      </c>
      <c r="L4574" s="7">
        <f t="shared" si="143"/>
        <v>2E-3</v>
      </c>
      <c r="M4574" s="7">
        <v>3.0000000000000001E-3</v>
      </c>
      <c r="N4574">
        <v>17</v>
      </c>
      <c r="O4574" s="8">
        <v>41.207080732056241</v>
      </c>
      <c r="P4574" s="9">
        <v>41.207080732056241</v>
      </c>
      <c r="Q4574" s="9">
        <v>41.207080732056241</v>
      </c>
      <c r="R4574" s="9">
        <v>42.157262509433366</v>
      </c>
      <c r="S4574" s="9">
        <v>44.562650125658905</v>
      </c>
      <c r="T4574" s="9">
        <v>44.774343906619599</v>
      </c>
      <c r="U4574" s="9">
        <v>47.410026125961608</v>
      </c>
      <c r="V4574" s="9">
        <v>47.410026125961608</v>
      </c>
      <c r="W4574" s="9">
        <v>47.410026125961608</v>
      </c>
      <c r="X4574" s="9">
        <v>51.970197263128114</v>
      </c>
      <c r="Y4574" s="9">
        <v>51.970197263128114</v>
      </c>
      <c r="Z4574" s="9">
        <v>57.180133523400194</v>
      </c>
      <c r="AA4574" s="9">
        <v>57.180133523400194</v>
      </c>
      <c r="AB4574" s="9">
        <v>62.205497742174821</v>
      </c>
      <c r="AC4574" s="9">
        <v>62.205497742174821</v>
      </c>
      <c r="AD4574" s="9">
        <v>67.764075150980162</v>
      </c>
      <c r="AE4574" s="9">
        <v>75.345852790378046</v>
      </c>
      <c r="AF4574" s="9">
        <v>81.372396625232085</v>
      </c>
      <c r="AG4574" s="9">
        <v>81.372396625232085</v>
      </c>
      <c r="AH4574" s="9">
        <v>88.045224250123979</v>
      </c>
      <c r="AI4574" s="9">
        <v>94.96907033416484</v>
      </c>
      <c r="AJ4574" s="9">
        <v>3.0428788910505911</v>
      </c>
    </row>
    <row r="4575" spans="1:36" x14ac:dyDescent="0.25">
      <c r="A4575" t="s">
        <v>5411</v>
      </c>
      <c r="B4575" t="s">
        <v>16</v>
      </c>
      <c r="C4575" t="s">
        <v>17</v>
      </c>
      <c r="D4575">
        <v>78625000</v>
      </c>
      <c r="E4575">
        <v>78627999</v>
      </c>
      <c r="F4575" t="s">
        <v>4170</v>
      </c>
      <c r="G4575" t="str">
        <f t="shared" si="142"/>
        <v>MTR</v>
      </c>
      <c r="H4575" t="s">
        <v>4079</v>
      </c>
      <c r="I4575" t="s">
        <v>20</v>
      </c>
      <c r="J4575" t="s">
        <v>77</v>
      </c>
      <c r="K4575" s="6">
        <v>0.03</v>
      </c>
      <c r="L4575" s="7">
        <f t="shared" si="143"/>
        <v>2E-3</v>
      </c>
      <c r="M4575" s="7">
        <v>3.0000000000000001E-3</v>
      </c>
      <c r="N4575">
        <v>17</v>
      </c>
      <c r="O4575" s="8">
        <v>41.207080732056241</v>
      </c>
      <c r="P4575" s="9">
        <v>41.207080732056241</v>
      </c>
      <c r="Q4575" s="9">
        <v>41.207080732056241</v>
      </c>
      <c r="R4575" s="9">
        <v>42.157262509433366</v>
      </c>
      <c r="S4575" s="9">
        <v>44.562650125658905</v>
      </c>
      <c r="T4575" s="9">
        <v>44.774343906619599</v>
      </c>
      <c r="U4575" s="9">
        <v>47.410026125961608</v>
      </c>
      <c r="V4575" s="9">
        <v>47.410026125961608</v>
      </c>
      <c r="W4575" s="9">
        <v>47.410026125961608</v>
      </c>
      <c r="X4575" s="9">
        <v>51.970197263128114</v>
      </c>
      <c r="Y4575" s="9">
        <v>51.970197263128114</v>
      </c>
      <c r="Z4575" s="9">
        <v>57.180133523400194</v>
      </c>
      <c r="AA4575" s="9">
        <v>57.180133523400194</v>
      </c>
      <c r="AB4575" s="9">
        <v>62.205497742174821</v>
      </c>
      <c r="AC4575" s="9">
        <v>62.205497742174821</v>
      </c>
      <c r="AD4575" s="9">
        <v>67.764075150980162</v>
      </c>
      <c r="AE4575" s="9">
        <v>75.345852790378046</v>
      </c>
      <c r="AF4575" s="9">
        <v>81.372396625232085</v>
      </c>
      <c r="AG4575" s="9">
        <v>81.372396625232085</v>
      </c>
      <c r="AH4575" s="9">
        <v>88.045224250123979</v>
      </c>
      <c r="AI4575" s="9">
        <v>94.96907033416484</v>
      </c>
      <c r="AJ4575" s="9">
        <v>3.0428788910505911</v>
      </c>
    </row>
    <row r="4576" spans="1:36" x14ac:dyDescent="0.25">
      <c r="A4576" t="s">
        <v>5411</v>
      </c>
      <c r="B4576" t="s">
        <v>16</v>
      </c>
      <c r="C4576" t="s">
        <v>17</v>
      </c>
      <c r="D4576">
        <v>78628000</v>
      </c>
      <c r="E4576">
        <v>78629999</v>
      </c>
      <c r="F4576" t="s">
        <v>4171</v>
      </c>
      <c r="G4576" t="str">
        <f t="shared" si="142"/>
        <v>MTR</v>
      </c>
      <c r="H4576" t="s">
        <v>4079</v>
      </c>
      <c r="I4576" t="s">
        <v>20</v>
      </c>
      <c r="J4576" t="s">
        <v>77</v>
      </c>
      <c r="K4576" s="6">
        <v>0.03</v>
      </c>
      <c r="L4576" s="7">
        <f t="shared" si="143"/>
        <v>2E-3</v>
      </c>
      <c r="M4576" s="7">
        <v>3.0000000000000001E-3</v>
      </c>
      <c r="N4576">
        <v>17</v>
      </c>
      <c r="O4576" s="8">
        <v>41.207080732056241</v>
      </c>
      <c r="P4576" s="9">
        <v>41.207080732056241</v>
      </c>
      <c r="Q4576" s="9">
        <v>41.207080732056241</v>
      </c>
      <c r="R4576" s="9">
        <v>42.157262509433366</v>
      </c>
      <c r="S4576" s="9">
        <v>44.562650125658905</v>
      </c>
      <c r="T4576" s="9">
        <v>44.774343906619599</v>
      </c>
      <c r="U4576" s="9">
        <v>47.410026125961608</v>
      </c>
      <c r="V4576" s="9">
        <v>47.410026125961608</v>
      </c>
      <c r="W4576" s="9">
        <v>47.410026125961608</v>
      </c>
      <c r="X4576" s="9">
        <v>51.970197263128114</v>
      </c>
      <c r="Y4576" s="9">
        <v>51.970197263128114</v>
      </c>
      <c r="Z4576" s="9">
        <v>57.180133523400194</v>
      </c>
      <c r="AA4576" s="9">
        <v>57.180133523400194</v>
      </c>
      <c r="AB4576" s="9">
        <v>62.205497742174821</v>
      </c>
      <c r="AC4576" s="9">
        <v>62.205497742174821</v>
      </c>
      <c r="AD4576" s="9">
        <v>67.764075150980162</v>
      </c>
      <c r="AE4576" s="9">
        <v>75.345852790378046</v>
      </c>
      <c r="AF4576" s="9">
        <v>81.372396625232085</v>
      </c>
      <c r="AG4576" s="9">
        <v>81.372396625232085</v>
      </c>
      <c r="AH4576" s="9">
        <v>88.045224250123979</v>
      </c>
      <c r="AI4576" s="9">
        <v>94.96907033416484</v>
      </c>
      <c r="AJ4576" s="9">
        <v>3.0428788910505911</v>
      </c>
    </row>
    <row r="4577" spans="1:36" x14ac:dyDescent="0.25">
      <c r="A4577" t="s">
        <v>5411</v>
      </c>
      <c r="B4577" t="s">
        <v>16</v>
      </c>
      <c r="C4577" t="s">
        <v>17</v>
      </c>
      <c r="D4577">
        <v>78630000</v>
      </c>
      <c r="E4577">
        <v>78634999</v>
      </c>
      <c r="F4577" t="s">
        <v>4172</v>
      </c>
      <c r="G4577" t="str">
        <f t="shared" si="142"/>
        <v>MTR</v>
      </c>
      <c r="H4577" t="s">
        <v>4079</v>
      </c>
      <c r="I4577" t="s">
        <v>20</v>
      </c>
      <c r="J4577" t="s">
        <v>77</v>
      </c>
      <c r="K4577" s="6">
        <v>0.03</v>
      </c>
      <c r="L4577" s="7">
        <f t="shared" si="143"/>
        <v>2E-3</v>
      </c>
      <c r="M4577" s="7">
        <v>3.0000000000000001E-3</v>
      </c>
      <c r="N4577">
        <v>17</v>
      </c>
      <c r="O4577" s="8">
        <v>41.207080732056241</v>
      </c>
      <c r="P4577" s="9">
        <v>41.207080732056241</v>
      </c>
      <c r="Q4577" s="9">
        <v>41.207080732056241</v>
      </c>
      <c r="R4577" s="9">
        <v>42.157262509433366</v>
      </c>
      <c r="S4577" s="9">
        <v>44.562650125658905</v>
      </c>
      <c r="T4577" s="9">
        <v>44.774343906619599</v>
      </c>
      <c r="U4577" s="9">
        <v>47.410026125961608</v>
      </c>
      <c r="V4577" s="9">
        <v>47.410026125961608</v>
      </c>
      <c r="W4577" s="9">
        <v>47.410026125961608</v>
      </c>
      <c r="X4577" s="9">
        <v>51.970197263128114</v>
      </c>
      <c r="Y4577" s="9">
        <v>51.970197263128114</v>
      </c>
      <c r="Z4577" s="9">
        <v>57.180133523400194</v>
      </c>
      <c r="AA4577" s="9">
        <v>57.180133523400194</v>
      </c>
      <c r="AB4577" s="9">
        <v>62.205497742174821</v>
      </c>
      <c r="AC4577" s="9">
        <v>62.205497742174821</v>
      </c>
      <c r="AD4577" s="9">
        <v>67.764075150980162</v>
      </c>
      <c r="AE4577" s="9">
        <v>75.345852790378046</v>
      </c>
      <c r="AF4577" s="9">
        <v>81.372396625232085</v>
      </c>
      <c r="AG4577" s="9">
        <v>81.372396625232085</v>
      </c>
      <c r="AH4577" s="9">
        <v>88.045224250123979</v>
      </c>
      <c r="AI4577" s="9">
        <v>94.96907033416484</v>
      </c>
      <c r="AJ4577" s="9">
        <v>3.0428788910505911</v>
      </c>
    </row>
    <row r="4578" spans="1:36" x14ac:dyDescent="0.25">
      <c r="A4578" t="s">
        <v>5411</v>
      </c>
      <c r="B4578" t="s">
        <v>16</v>
      </c>
      <c r="C4578" t="s">
        <v>17</v>
      </c>
      <c r="D4578">
        <v>78635000</v>
      </c>
      <c r="E4578">
        <v>78637999</v>
      </c>
      <c r="F4578" t="s">
        <v>1650</v>
      </c>
      <c r="G4578" t="str">
        <f t="shared" si="142"/>
        <v>MTR</v>
      </c>
      <c r="H4578" t="s">
        <v>4079</v>
      </c>
      <c r="I4578" t="s">
        <v>20</v>
      </c>
      <c r="J4578" t="s">
        <v>77</v>
      </c>
      <c r="K4578" s="6">
        <v>0.03</v>
      </c>
      <c r="L4578" s="7">
        <f t="shared" si="143"/>
        <v>2E-3</v>
      </c>
      <c r="M4578" s="7">
        <v>3.0000000000000001E-3</v>
      </c>
      <c r="N4578">
        <v>17</v>
      </c>
      <c r="O4578" s="8">
        <v>41.207080732056241</v>
      </c>
      <c r="P4578" s="9">
        <v>41.207080732056241</v>
      </c>
      <c r="Q4578" s="9">
        <v>41.207080732056241</v>
      </c>
      <c r="R4578" s="9">
        <v>42.157262509433366</v>
      </c>
      <c r="S4578" s="9">
        <v>44.562650125658905</v>
      </c>
      <c r="T4578" s="9">
        <v>44.774343906619599</v>
      </c>
      <c r="U4578" s="9">
        <v>47.410026125961608</v>
      </c>
      <c r="V4578" s="9">
        <v>47.410026125961608</v>
      </c>
      <c r="W4578" s="9">
        <v>47.410026125961608</v>
      </c>
      <c r="X4578" s="9">
        <v>51.970197263128114</v>
      </c>
      <c r="Y4578" s="9">
        <v>51.970197263128114</v>
      </c>
      <c r="Z4578" s="9">
        <v>57.180133523400194</v>
      </c>
      <c r="AA4578" s="9">
        <v>57.180133523400194</v>
      </c>
      <c r="AB4578" s="9">
        <v>62.205497742174821</v>
      </c>
      <c r="AC4578" s="9">
        <v>62.205497742174821</v>
      </c>
      <c r="AD4578" s="9">
        <v>67.764075150980162</v>
      </c>
      <c r="AE4578" s="9">
        <v>75.345852790378046</v>
      </c>
      <c r="AF4578" s="9">
        <v>81.372396625232085</v>
      </c>
      <c r="AG4578" s="9">
        <v>81.372396625232085</v>
      </c>
      <c r="AH4578" s="9">
        <v>88.045224250123979</v>
      </c>
      <c r="AI4578" s="9">
        <v>94.96907033416484</v>
      </c>
      <c r="AJ4578" s="9">
        <v>3.0428788910505911</v>
      </c>
    </row>
    <row r="4579" spans="1:36" x14ac:dyDescent="0.25">
      <c r="A4579" t="s">
        <v>5411</v>
      </c>
      <c r="B4579" t="s">
        <v>16</v>
      </c>
      <c r="C4579" t="s">
        <v>17</v>
      </c>
      <c r="D4579">
        <v>78638000</v>
      </c>
      <c r="E4579">
        <v>78639999</v>
      </c>
      <c r="F4579" t="s">
        <v>4173</v>
      </c>
      <c r="G4579" t="str">
        <f t="shared" si="142"/>
        <v>MTR</v>
      </c>
      <c r="H4579" t="s">
        <v>4079</v>
      </c>
      <c r="I4579" t="s">
        <v>20</v>
      </c>
      <c r="J4579" t="s">
        <v>77</v>
      </c>
      <c r="K4579" s="6">
        <v>0.03</v>
      </c>
      <c r="L4579" s="7">
        <f t="shared" si="143"/>
        <v>2E-3</v>
      </c>
      <c r="M4579" s="7">
        <v>3.0000000000000001E-3</v>
      </c>
      <c r="N4579">
        <v>17</v>
      </c>
      <c r="O4579" s="8">
        <v>41.207080732056241</v>
      </c>
      <c r="P4579" s="9">
        <v>41.207080732056241</v>
      </c>
      <c r="Q4579" s="9">
        <v>41.207080732056241</v>
      </c>
      <c r="R4579" s="9">
        <v>42.157262509433366</v>
      </c>
      <c r="S4579" s="9">
        <v>44.562650125658905</v>
      </c>
      <c r="T4579" s="9">
        <v>44.774343906619599</v>
      </c>
      <c r="U4579" s="9">
        <v>47.410026125961608</v>
      </c>
      <c r="V4579" s="9">
        <v>47.410026125961608</v>
      </c>
      <c r="W4579" s="9">
        <v>47.410026125961608</v>
      </c>
      <c r="X4579" s="9">
        <v>51.970197263128114</v>
      </c>
      <c r="Y4579" s="9">
        <v>51.970197263128114</v>
      </c>
      <c r="Z4579" s="9">
        <v>57.180133523400194</v>
      </c>
      <c r="AA4579" s="9">
        <v>57.180133523400194</v>
      </c>
      <c r="AB4579" s="9">
        <v>62.205497742174821</v>
      </c>
      <c r="AC4579" s="9">
        <v>62.205497742174821</v>
      </c>
      <c r="AD4579" s="9">
        <v>67.764075150980162</v>
      </c>
      <c r="AE4579" s="9">
        <v>75.345852790378046</v>
      </c>
      <c r="AF4579" s="9">
        <v>81.372396625232085</v>
      </c>
      <c r="AG4579" s="9">
        <v>81.372396625232085</v>
      </c>
      <c r="AH4579" s="9">
        <v>88.045224250123979</v>
      </c>
      <c r="AI4579" s="9">
        <v>94.96907033416484</v>
      </c>
      <c r="AJ4579" s="9">
        <v>3.0428788910505911</v>
      </c>
    </row>
    <row r="4580" spans="1:36" x14ac:dyDescent="0.25">
      <c r="A4580" t="s">
        <v>5411</v>
      </c>
      <c r="B4580" t="s">
        <v>16</v>
      </c>
      <c r="C4580" t="s">
        <v>17</v>
      </c>
      <c r="D4580">
        <v>78640000</v>
      </c>
      <c r="E4580">
        <v>78642999</v>
      </c>
      <c r="F4580" t="s">
        <v>1785</v>
      </c>
      <c r="G4580" t="str">
        <f t="shared" si="142"/>
        <v>MTR</v>
      </c>
      <c r="H4580" t="s">
        <v>4079</v>
      </c>
      <c r="I4580" t="s">
        <v>20</v>
      </c>
      <c r="J4580" t="s">
        <v>77</v>
      </c>
      <c r="K4580" s="6">
        <v>0.03</v>
      </c>
      <c r="L4580" s="7">
        <f t="shared" si="143"/>
        <v>2E-3</v>
      </c>
      <c r="M4580" s="7">
        <v>3.0000000000000001E-3</v>
      </c>
      <c r="N4580">
        <v>17</v>
      </c>
      <c r="O4580" s="8">
        <v>41.207080732056241</v>
      </c>
      <c r="P4580" s="9">
        <v>41.207080732056241</v>
      </c>
      <c r="Q4580" s="9">
        <v>41.207080732056241</v>
      </c>
      <c r="R4580" s="9">
        <v>42.157262509433366</v>
      </c>
      <c r="S4580" s="9">
        <v>44.562650125658905</v>
      </c>
      <c r="T4580" s="9">
        <v>44.774343906619599</v>
      </c>
      <c r="U4580" s="9">
        <v>47.410026125961608</v>
      </c>
      <c r="V4580" s="9">
        <v>47.410026125961608</v>
      </c>
      <c r="W4580" s="9">
        <v>47.410026125961608</v>
      </c>
      <c r="X4580" s="9">
        <v>51.970197263128114</v>
      </c>
      <c r="Y4580" s="9">
        <v>51.970197263128114</v>
      </c>
      <c r="Z4580" s="9">
        <v>57.180133523400194</v>
      </c>
      <c r="AA4580" s="9">
        <v>57.180133523400194</v>
      </c>
      <c r="AB4580" s="9">
        <v>62.205497742174821</v>
      </c>
      <c r="AC4580" s="9">
        <v>62.205497742174821</v>
      </c>
      <c r="AD4580" s="9">
        <v>67.764075150980162</v>
      </c>
      <c r="AE4580" s="9">
        <v>75.345852790378046</v>
      </c>
      <c r="AF4580" s="9">
        <v>81.372396625232085</v>
      </c>
      <c r="AG4580" s="9">
        <v>81.372396625232085</v>
      </c>
      <c r="AH4580" s="9">
        <v>88.045224250123979</v>
      </c>
      <c r="AI4580" s="9">
        <v>94.96907033416484</v>
      </c>
      <c r="AJ4580" s="9">
        <v>3.0428788910505911</v>
      </c>
    </row>
    <row r="4581" spans="1:36" x14ac:dyDescent="0.25">
      <c r="A4581" t="s">
        <v>5411</v>
      </c>
      <c r="B4581" t="s">
        <v>16</v>
      </c>
      <c r="C4581" t="s">
        <v>17</v>
      </c>
      <c r="D4581">
        <v>78643000</v>
      </c>
      <c r="E4581">
        <v>78644999</v>
      </c>
      <c r="F4581" t="s">
        <v>4174</v>
      </c>
      <c r="G4581" t="str">
        <f t="shared" si="142"/>
        <v>MTR</v>
      </c>
      <c r="H4581" t="s">
        <v>4079</v>
      </c>
      <c r="I4581" t="s">
        <v>20</v>
      </c>
      <c r="J4581" t="s">
        <v>77</v>
      </c>
      <c r="K4581" s="6">
        <v>0.03</v>
      </c>
      <c r="L4581" s="7">
        <f t="shared" si="143"/>
        <v>2E-3</v>
      </c>
      <c r="M4581" s="7">
        <v>3.0000000000000001E-3</v>
      </c>
      <c r="N4581">
        <v>17</v>
      </c>
      <c r="O4581" s="8">
        <v>41.207080732056241</v>
      </c>
      <c r="P4581" s="9">
        <v>41.207080732056241</v>
      </c>
      <c r="Q4581" s="9">
        <v>41.207080732056241</v>
      </c>
      <c r="R4581" s="9">
        <v>42.157262509433366</v>
      </c>
      <c r="S4581" s="9">
        <v>44.562650125658905</v>
      </c>
      <c r="T4581" s="9">
        <v>44.774343906619599</v>
      </c>
      <c r="U4581" s="9">
        <v>47.410026125961608</v>
      </c>
      <c r="V4581" s="9">
        <v>47.410026125961608</v>
      </c>
      <c r="W4581" s="9">
        <v>47.410026125961608</v>
      </c>
      <c r="X4581" s="9">
        <v>51.970197263128114</v>
      </c>
      <c r="Y4581" s="9">
        <v>51.970197263128114</v>
      </c>
      <c r="Z4581" s="9">
        <v>57.180133523400194</v>
      </c>
      <c r="AA4581" s="9">
        <v>57.180133523400194</v>
      </c>
      <c r="AB4581" s="9">
        <v>62.205497742174821</v>
      </c>
      <c r="AC4581" s="9">
        <v>62.205497742174821</v>
      </c>
      <c r="AD4581" s="9">
        <v>67.764075150980162</v>
      </c>
      <c r="AE4581" s="9">
        <v>75.345852790378046</v>
      </c>
      <c r="AF4581" s="9">
        <v>81.372396625232085</v>
      </c>
      <c r="AG4581" s="9">
        <v>81.372396625232085</v>
      </c>
      <c r="AH4581" s="9">
        <v>88.045224250123979</v>
      </c>
      <c r="AI4581" s="9">
        <v>94.96907033416484</v>
      </c>
      <c r="AJ4581" s="9">
        <v>3.0428788910505911</v>
      </c>
    </row>
    <row r="4582" spans="1:36" x14ac:dyDescent="0.25">
      <c r="A4582" t="s">
        <v>5411</v>
      </c>
      <c r="B4582" t="s">
        <v>16</v>
      </c>
      <c r="C4582" t="s">
        <v>17</v>
      </c>
      <c r="D4582">
        <v>78645000</v>
      </c>
      <c r="E4582">
        <v>78649999</v>
      </c>
      <c r="F4582" t="s">
        <v>4175</v>
      </c>
      <c r="G4582" t="str">
        <f t="shared" si="142"/>
        <v>MTR</v>
      </c>
      <c r="H4582" t="s">
        <v>4079</v>
      </c>
      <c r="I4582" t="s">
        <v>20</v>
      </c>
      <c r="J4582" t="s">
        <v>77</v>
      </c>
      <c r="K4582" s="6">
        <v>0.03</v>
      </c>
      <c r="L4582" s="7">
        <f t="shared" si="143"/>
        <v>2E-3</v>
      </c>
      <c r="M4582" s="7">
        <v>3.0000000000000001E-3</v>
      </c>
      <c r="N4582">
        <v>17</v>
      </c>
      <c r="O4582" s="8">
        <v>41.207080732056241</v>
      </c>
      <c r="P4582" s="9">
        <v>41.207080732056241</v>
      </c>
      <c r="Q4582" s="9">
        <v>41.207080732056241</v>
      </c>
      <c r="R4582" s="9">
        <v>42.157262509433366</v>
      </c>
      <c r="S4582" s="9">
        <v>44.562650125658905</v>
      </c>
      <c r="T4582" s="9">
        <v>44.774343906619599</v>
      </c>
      <c r="U4582" s="9">
        <v>47.410026125961608</v>
      </c>
      <c r="V4582" s="9">
        <v>47.410026125961608</v>
      </c>
      <c r="W4582" s="9">
        <v>47.410026125961608</v>
      </c>
      <c r="X4582" s="9">
        <v>51.970197263128114</v>
      </c>
      <c r="Y4582" s="9">
        <v>51.970197263128114</v>
      </c>
      <c r="Z4582" s="9">
        <v>57.180133523400194</v>
      </c>
      <c r="AA4582" s="9">
        <v>57.180133523400194</v>
      </c>
      <c r="AB4582" s="9">
        <v>62.205497742174821</v>
      </c>
      <c r="AC4582" s="9">
        <v>62.205497742174821</v>
      </c>
      <c r="AD4582" s="9">
        <v>67.764075150980162</v>
      </c>
      <c r="AE4582" s="9">
        <v>75.345852790378046</v>
      </c>
      <c r="AF4582" s="9">
        <v>81.372396625232085</v>
      </c>
      <c r="AG4582" s="9">
        <v>81.372396625232085</v>
      </c>
      <c r="AH4582" s="9">
        <v>88.045224250123979</v>
      </c>
      <c r="AI4582" s="9">
        <v>94.96907033416484</v>
      </c>
      <c r="AJ4582" s="9">
        <v>3.0428788910505911</v>
      </c>
    </row>
    <row r="4583" spans="1:36" x14ac:dyDescent="0.25">
      <c r="A4583" t="s">
        <v>5411</v>
      </c>
      <c r="B4583" t="s">
        <v>16</v>
      </c>
      <c r="C4583" t="s">
        <v>17</v>
      </c>
      <c r="D4583">
        <v>78650000</v>
      </c>
      <c r="E4583">
        <v>78651999</v>
      </c>
      <c r="F4583" t="s">
        <v>1746</v>
      </c>
      <c r="G4583" t="str">
        <f t="shared" si="142"/>
        <v>MTR</v>
      </c>
      <c r="H4583" t="s">
        <v>4079</v>
      </c>
      <c r="I4583" t="s">
        <v>20</v>
      </c>
      <c r="J4583" t="s">
        <v>77</v>
      </c>
      <c r="K4583" s="6">
        <v>0.03</v>
      </c>
      <c r="L4583" s="7">
        <f t="shared" si="143"/>
        <v>2E-3</v>
      </c>
      <c r="M4583" s="7">
        <v>3.0000000000000001E-3</v>
      </c>
      <c r="N4583">
        <v>17</v>
      </c>
      <c r="O4583" s="8">
        <v>41.207080732056241</v>
      </c>
      <c r="P4583" s="9">
        <v>41.207080732056241</v>
      </c>
      <c r="Q4583" s="9">
        <v>41.207080732056241</v>
      </c>
      <c r="R4583" s="9">
        <v>42.157262509433366</v>
      </c>
      <c r="S4583" s="9">
        <v>44.562650125658905</v>
      </c>
      <c r="T4583" s="9">
        <v>44.774343906619599</v>
      </c>
      <c r="U4583" s="9">
        <v>47.410026125961608</v>
      </c>
      <c r="V4583" s="9">
        <v>47.410026125961608</v>
      </c>
      <c r="W4583" s="9">
        <v>47.410026125961608</v>
      </c>
      <c r="X4583" s="9">
        <v>51.970197263128114</v>
      </c>
      <c r="Y4583" s="9">
        <v>51.970197263128114</v>
      </c>
      <c r="Z4583" s="9">
        <v>57.180133523400194</v>
      </c>
      <c r="AA4583" s="9">
        <v>57.180133523400194</v>
      </c>
      <c r="AB4583" s="9">
        <v>62.205497742174821</v>
      </c>
      <c r="AC4583" s="9">
        <v>62.205497742174821</v>
      </c>
      <c r="AD4583" s="9">
        <v>67.764075150980162</v>
      </c>
      <c r="AE4583" s="9">
        <v>75.345852790378046</v>
      </c>
      <c r="AF4583" s="9">
        <v>81.372396625232085</v>
      </c>
      <c r="AG4583" s="9">
        <v>81.372396625232085</v>
      </c>
      <c r="AH4583" s="9">
        <v>88.045224250123979</v>
      </c>
      <c r="AI4583" s="9">
        <v>94.96907033416484</v>
      </c>
      <c r="AJ4583" s="9">
        <v>3.0428788910505911</v>
      </c>
    </row>
    <row r="4584" spans="1:36" x14ac:dyDescent="0.25">
      <c r="A4584" t="s">
        <v>5411</v>
      </c>
      <c r="B4584" t="s">
        <v>16</v>
      </c>
      <c r="C4584" t="s">
        <v>17</v>
      </c>
      <c r="D4584">
        <v>78652000</v>
      </c>
      <c r="E4584">
        <v>78654999</v>
      </c>
      <c r="F4584" t="s">
        <v>4176</v>
      </c>
      <c r="G4584" t="str">
        <f t="shared" si="142"/>
        <v>MTR</v>
      </c>
      <c r="H4584" t="s">
        <v>4079</v>
      </c>
      <c r="I4584" t="s">
        <v>20</v>
      </c>
      <c r="J4584" t="s">
        <v>77</v>
      </c>
      <c r="K4584" s="6">
        <v>0.03</v>
      </c>
      <c r="L4584" s="7">
        <f t="shared" si="143"/>
        <v>2E-3</v>
      </c>
      <c r="M4584" s="7">
        <v>3.0000000000000001E-3</v>
      </c>
      <c r="N4584">
        <v>17</v>
      </c>
      <c r="O4584" s="8">
        <v>41.207080732056241</v>
      </c>
      <c r="P4584" s="9">
        <v>41.207080732056241</v>
      </c>
      <c r="Q4584" s="9">
        <v>41.207080732056241</v>
      </c>
      <c r="R4584" s="9">
        <v>42.157262509433366</v>
      </c>
      <c r="S4584" s="9">
        <v>44.562650125658905</v>
      </c>
      <c r="T4584" s="9">
        <v>44.774343906619599</v>
      </c>
      <c r="U4584" s="9">
        <v>47.410026125961608</v>
      </c>
      <c r="V4584" s="9">
        <v>47.410026125961608</v>
      </c>
      <c r="W4584" s="9">
        <v>47.410026125961608</v>
      </c>
      <c r="X4584" s="9">
        <v>51.970197263128114</v>
      </c>
      <c r="Y4584" s="9">
        <v>51.970197263128114</v>
      </c>
      <c r="Z4584" s="9">
        <v>57.180133523400194</v>
      </c>
      <c r="AA4584" s="9">
        <v>57.180133523400194</v>
      </c>
      <c r="AB4584" s="9">
        <v>62.205497742174821</v>
      </c>
      <c r="AC4584" s="9">
        <v>62.205497742174821</v>
      </c>
      <c r="AD4584" s="9">
        <v>67.764075150980162</v>
      </c>
      <c r="AE4584" s="9">
        <v>75.345852790378046</v>
      </c>
      <c r="AF4584" s="9">
        <v>81.372396625232085</v>
      </c>
      <c r="AG4584" s="9">
        <v>81.372396625232085</v>
      </c>
      <c r="AH4584" s="9">
        <v>88.045224250123979</v>
      </c>
      <c r="AI4584" s="9">
        <v>94.96907033416484</v>
      </c>
      <c r="AJ4584" s="9">
        <v>3.0428788910505911</v>
      </c>
    </row>
    <row r="4585" spans="1:36" x14ac:dyDescent="0.25">
      <c r="A4585" t="s">
        <v>5411</v>
      </c>
      <c r="B4585" t="s">
        <v>16</v>
      </c>
      <c r="C4585" t="s">
        <v>17</v>
      </c>
      <c r="D4585">
        <v>78655000</v>
      </c>
      <c r="E4585">
        <v>78657999</v>
      </c>
      <c r="F4585" t="s">
        <v>4177</v>
      </c>
      <c r="G4585" t="str">
        <f t="shared" si="142"/>
        <v>MTR</v>
      </c>
      <c r="H4585" t="s">
        <v>4079</v>
      </c>
      <c r="I4585" t="s">
        <v>20</v>
      </c>
      <c r="J4585" t="s">
        <v>77</v>
      </c>
      <c r="K4585" s="6">
        <v>0.03</v>
      </c>
      <c r="L4585" s="7">
        <f t="shared" si="143"/>
        <v>2E-3</v>
      </c>
      <c r="M4585" s="7">
        <v>3.0000000000000001E-3</v>
      </c>
      <c r="N4585">
        <v>17</v>
      </c>
      <c r="O4585" s="8">
        <v>41.207080732056241</v>
      </c>
      <c r="P4585" s="9">
        <v>41.207080732056241</v>
      </c>
      <c r="Q4585" s="9">
        <v>41.207080732056241</v>
      </c>
      <c r="R4585" s="9">
        <v>42.157262509433366</v>
      </c>
      <c r="S4585" s="9">
        <v>44.562650125658905</v>
      </c>
      <c r="T4585" s="9">
        <v>44.774343906619599</v>
      </c>
      <c r="U4585" s="9">
        <v>47.410026125961608</v>
      </c>
      <c r="V4585" s="9">
        <v>47.410026125961608</v>
      </c>
      <c r="W4585" s="9">
        <v>47.410026125961608</v>
      </c>
      <c r="X4585" s="9">
        <v>51.970197263128114</v>
      </c>
      <c r="Y4585" s="9">
        <v>51.970197263128114</v>
      </c>
      <c r="Z4585" s="9">
        <v>57.180133523400194</v>
      </c>
      <c r="AA4585" s="9">
        <v>57.180133523400194</v>
      </c>
      <c r="AB4585" s="9">
        <v>62.205497742174821</v>
      </c>
      <c r="AC4585" s="9">
        <v>62.205497742174821</v>
      </c>
      <c r="AD4585" s="9">
        <v>67.764075150980162</v>
      </c>
      <c r="AE4585" s="9">
        <v>75.345852790378046</v>
      </c>
      <c r="AF4585" s="9">
        <v>81.372396625232085</v>
      </c>
      <c r="AG4585" s="9">
        <v>81.372396625232085</v>
      </c>
      <c r="AH4585" s="9">
        <v>88.045224250123979</v>
      </c>
      <c r="AI4585" s="9">
        <v>94.96907033416484</v>
      </c>
      <c r="AJ4585" s="9">
        <v>3.0428788910505911</v>
      </c>
    </row>
    <row r="4586" spans="1:36" x14ac:dyDescent="0.25">
      <c r="A4586" t="s">
        <v>5411</v>
      </c>
      <c r="B4586" t="s">
        <v>16</v>
      </c>
      <c r="C4586" t="s">
        <v>17</v>
      </c>
      <c r="D4586">
        <v>78658000</v>
      </c>
      <c r="E4586">
        <v>78659999</v>
      </c>
      <c r="F4586" t="s">
        <v>4178</v>
      </c>
      <c r="G4586" t="str">
        <f t="shared" si="142"/>
        <v>MTR</v>
      </c>
      <c r="H4586" t="s">
        <v>4079</v>
      </c>
      <c r="I4586" t="s">
        <v>20</v>
      </c>
      <c r="J4586" t="s">
        <v>77</v>
      </c>
      <c r="K4586" s="6">
        <v>0.03</v>
      </c>
      <c r="L4586" s="7">
        <f t="shared" si="143"/>
        <v>2E-3</v>
      </c>
      <c r="M4586" s="7">
        <v>3.0000000000000001E-3</v>
      </c>
      <c r="N4586">
        <v>17</v>
      </c>
      <c r="O4586" s="8">
        <v>41.207080732056241</v>
      </c>
      <c r="P4586" s="9">
        <v>41.207080732056241</v>
      </c>
      <c r="Q4586" s="9">
        <v>41.207080732056241</v>
      </c>
      <c r="R4586" s="9">
        <v>42.157262509433366</v>
      </c>
      <c r="S4586" s="9">
        <v>44.562650125658905</v>
      </c>
      <c r="T4586" s="9">
        <v>44.774343906619599</v>
      </c>
      <c r="U4586" s="9">
        <v>47.410026125961608</v>
      </c>
      <c r="V4586" s="9">
        <v>47.410026125961608</v>
      </c>
      <c r="W4586" s="9">
        <v>47.410026125961608</v>
      </c>
      <c r="X4586" s="9">
        <v>51.970197263128114</v>
      </c>
      <c r="Y4586" s="9">
        <v>51.970197263128114</v>
      </c>
      <c r="Z4586" s="9">
        <v>57.180133523400194</v>
      </c>
      <c r="AA4586" s="9">
        <v>57.180133523400194</v>
      </c>
      <c r="AB4586" s="9">
        <v>62.205497742174821</v>
      </c>
      <c r="AC4586" s="9">
        <v>62.205497742174821</v>
      </c>
      <c r="AD4586" s="9">
        <v>67.764075150980162</v>
      </c>
      <c r="AE4586" s="9">
        <v>75.345852790378046</v>
      </c>
      <c r="AF4586" s="9">
        <v>81.372396625232085</v>
      </c>
      <c r="AG4586" s="9">
        <v>81.372396625232085</v>
      </c>
      <c r="AH4586" s="9">
        <v>88.045224250123979</v>
      </c>
      <c r="AI4586" s="9">
        <v>94.96907033416484</v>
      </c>
      <c r="AJ4586" s="9">
        <v>3.0428788910505911</v>
      </c>
    </row>
    <row r="4587" spans="1:36" x14ac:dyDescent="0.25">
      <c r="A4587" t="s">
        <v>5411</v>
      </c>
      <c r="B4587" t="s">
        <v>16</v>
      </c>
      <c r="C4587" t="s">
        <v>17</v>
      </c>
      <c r="D4587">
        <v>78660000</v>
      </c>
      <c r="E4587">
        <v>78662999</v>
      </c>
      <c r="F4587" t="s">
        <v>4179</v>
      </c>
      <c r="G4587" t="str">
        <f t="shared" si="142"/>
        <v>MTR</v>
      </c>
      <c r="H4587" t="s">
        <v>4079</v>
      </c>
      <c r="I4587" t="s">
        <v>20</v>
      </c>
      <c r="J4587" t="s">
        <v>77</v>
      </c>
      <c r="K4587" s="6">
        <v>0.03</v>
      </c>
      <c r="L4587" s="7">
        <f t="shared" si="143"/>
        <v>2E-3</v>
      </c>
      <c r="M4587" s="7">
        <v>3.0000000000000001E-3</v>
      </c>
      <c r="N4587">
        <v>17</v>
      </c>
      <c r="O4587" s="8">
        <v>41.207080732056241</v>
      </c>
      <c r="P4587" s="9">
        <v>41.207080732056241</v>
      </c>
      <c r="Q4587" s="9">
        <v>41.207080732056241</v>
      </c>
      <c r="R4587" s="9">
        <v>42.157262509433366</v>
      </c>
      <c r="S4587" s="9">
        <v>44.562650125658905</v>
      </c>
      <c r="T4587" s="9">
        <v>44.774343906619599</v>
      </c>
      <c r="U4587" s="9">
        <v>47.410026125961608</v>
      </c>
      <c r="V4587" s="9">
        <v>47.410026125961608</v>
      </c>
      <c r="W4587" s="9">
        <v>47.410026125961608</v>
      </c>
      <c r="X4587" s="9">
        <v>51.970197263128114</v>
      </c>
      <c r="Y4587" s="9">
        <v>51.970197263128114</v>
      </c>
      <c r="Z4587" s="9">
        <v>57.180133523400194</v>
      </c>
      <c r="AA4587" s="9">
        <v>57.180133523400194</v>
      </c>
      <c r="AB4587" s="9">
        <v>62.205497742174821</v>
      </c>
      <c r="AC4587" s="9">
        <v>62.205497742174821</v>
      </c>
      <c r="AD4587" s="9">
        <v>67.764075150980162</v>
      </c>
      <c r="AE4587" s="9">
        <v>75.345852790378046</v>
      </c>
      <c r="AF4587" s="9">
        <v>81.372396625232085</v>
      </c>
      <c r="AG4587" s="9">
        <v>81.372396625232085</v>
      </c>
      <c r="AH4587" s="9">
        <v>88.045224250123979</v>
      </c>
      <c r="AI4587" s="9">
        <v>94.96907033416484</v>
      </c>
      <c r="AJ4587" s="9">
        <v>3.0428788910505911</v>
      </c>
    </row>
    <row r="4588" spans="1:36" x14ac:dyDescent="0.25">
      <c r="A4588" t="s">
        <v>5411</v>
      </c>
      <c r="B4588" t="s">
        <v>16</v>
      </c>
      <c r="C4588" t="s">
        <v>17</v>
      </c>
      <c r="D4588">
        <v>78663000</v>
      </c>
      <c r="E4588">
        <v>78663999</v>
      </c>
      <c r="F4588" t="s">
        <v>4180</v>
      </c>
      <c r="G4588" t="str">
        <f t="shared" si="142"/>
        <v>MTR</v>
      </c>
      <c r="H4588" t="s">
        <v>4079</v>
      </c>
      <c r="I4588" t="s">
        <v>20</v>
      </c>
      <c r="J4588" t="s">
        <v>77</v>
      </c>
      <c r="K4588" s="6">
        <v>0.03</v>
      </c>
      <c r="L4588" s="7">
        <f t="shared" si="143"/>
        <v>2E-3</v>
      </c>
      <c r="M4588" s="7">
        <v>3.0000000000000001E-3</v>
      </c>
      <c r="N4588">
        <v>17</v>
      </c>
      <c r="O4588" s="8">
        <v>41.207080732056241</v>
      </c>
      <c r="P4588" s="9">
        <v>41.207080732056241</v>
      </c>
      <c r="Q4588" s="9">
        <v>41.207080732056241</v>
      </c>
      <c r="R4588" s="9">
        <v>42.157262509433366</v>
      </c>
      <c r="S4588" s="9">
        <v>44.562650125658905</v>
      </c>
      <c r="T4588" s="9">
        <v>44.774343906619599</v>
      </c>
      <c r="U4588" s="9">
        <v>47.410026125961608</v>
      </c>
      <c r="V4588" s="9">
        <v>47.410026125961608</v>
      </c>
      <c r="W4588" s="9">
        <v>47.410026125961608</v>
      </c>
      <c r="X4588" s="9">
        <v>51.970197263128114</v>
      </c>
      <c r="Y4588" s="9">
        <v>51.970197263128114</v>
      </c>
      <c r="Z4588" s="9">
        <v>57.180133523400194</v>
      </c>
      <c r="AA4588" s="9">
        <v>57.180133523400194</v>
      </c>
      <c r="AB4588" s="9">
        <v>62.205497742174821</v>
      </c>
      <c r="AC4588" s="9">
        <v>62.205497742174821</v>
      </c>
      <c r="AD4588" s="9">
        <v>67.764075150980162</v>
      </c>
      <c r="AE4588" s="9">
        <v>75.345852790378046</v>
      </c>
      <c r="AF4588" s="9">
        <v>81.372396625232085</v>
      </c>
      <c r="AG4588" s="9">
        <v>81.372396625232085</v>
      </c>
      <c r="AH4588" s="9">
        <v>88.045224250123979</v>
      </c>
      <c r="AI4588" s="9">
        <v>94.96907033416484</v>
      </c>
      <c r="AJ4588" s="9">
        <v>3.0428788910505911</v>
      </c>
    </row>
    <row r="4589" spans="1:36" x14ac:dyDescent="0.25">
      <c r="A4589" t="s">
        <v>5411</v>
      </c>
      <c r="B4589" t="s">
        <v>16</v>
      </c>
      <c r="C4589" t="s">
        <v>17</v>
      </c>
      <c r="D4589">
        <v>78664000</v>
      </c>
      <c r="E4589">
        <v>78664999</v>
      </c>
      <c r="F4589" t="s">
        <v>4181</v>
      </c>
      <c r="G4589" t="str">
        <f t="shared" si="142"/>
        <v>MTR</v>
      </c>
      <c r="H4589" t="s">
        <v>4079</v>
      </c>
      <c r="I4589" t="s">
        <v>20</v>
      </c>
      <c r="J4589" t="s">
        <v>77</v>
      </c>
      <c r="K4589" s="6">
        <v>0.03</v>
      </c>
      <c r="L4589" s="7">
        <f t="shared" si="143"/>
        <v>2E-3</v>
      </c>
      <c r="M4589" s="7">
        <v>3.0000000000000001E-3</v>
      </c>
      <c r="N4589">
        <v>17</v>
      </c>
      <c r="O4589" s="8">
        <v>41.207080732056241</v>
      </c>
      <c r="P4589" s="9">
        <v>41.207080732056241</v>
      </c>
      <c r="Q4589" s="9">
        <v>41.207080732056241</v>
      </c>
      <c r="R4589" s="9">
        <v>42.157262509433366</v>
      </c>
      <c r="S4589" s="9">
        <v>44.562650125658905</v>
      </c>
      <c r="T4589" s="9">
        <v>44.774343906619599</v>
      </c>
      <c r="U4589" s="9">
        <v>47.410026125961608</v>
      </c>
      <c r="V4589" s="9">
        <v>47.410026125961608</v>
      </c>
      <c r="W4589" s="9">
        <v>47.410026125961608</v>
      </c>
      <c r="X4589" s="9">
        <v>51.970197263128114</v>
      </c>
      <c r="Y4589" s="9">
        <v>51.970197263128114</v>
      </c>
      <c r="Z4589" s="9">
        <v>57.180133523400194</v>
      </c>
      <c r="AA4589" s="9">
        <v>57.180133523400194</v>
      </c>
      <c r="AB4589" s="9">
        <v>62.205497742174821</v>
      </c>
      <c r="AC4589" s="9">
        <v>62.205497742174821</v>
      </c>
      <c r="AD4589" s="9">
        <v>67.764075150980162</v>
      </c>
      <c r="AE4589" s="9">
        <v>75.345852790378046</v>
      </c>
      <c r="AF4589" s="9">
        <v>81.372396625232085</v>
      </c>
      <c r="AG4589" s="9">
        <v>81.372396625232085</v>
      </c>
      <c r="AH4589" s="9">
        <v>88.045224250123979</v>
      </c>
      <c r="AI4589" s="9">
        <v>94.96907033416484</v>
      </c>
      <c r="AJ4589" s="9">
        <v>3.0428788910505911</v>
      </c>
    </row>
    <row r="4590" spans="1:36" x14ac:dyDescent="0.25">
      <c r="A4590" t="s">
        <v>5411</v>
      </c>
      <c r="B4590" t="s">
        <v>16</v>
      </c>
      <c r="C4590" t="s">
        <v>17</v>
      </c>
      <c r="D4590">
        <v>78665000</v>
      </c>
      <c r="E4590">
        <v>78667999</v>
      </c>
      <c r="F4590" t="s">
        <v>4182</v>
      </c>
      <c r="G4590" t="str">
        <f t="shared" si="142"/>
        <v>MTR</v>
      </c>
      <c r="H4590" t="s">
        <v>4079</v>
      </c>
      <c r="I4590" t="s">
        <v>20</v>
      </c>
      <c r="J4590" t="s">
        <v>77</v>
      </c>
      <c r="K4590" s="6">
        <v>0.03</v>
      </c>
      <c r="L4590" s="7">
        <f t="shared" si="143"/>
        <v>2E-3</v>
      </c>
      <c r="M4590" s="7">
        <v>3.0000000000000001E-3</v>
      </c>
      <c r="N4590">
        <v>17</v>
      </c>
      <c r="O4590" s="8">
        <v>41.207080732056241</v>
      </c>
      <c r="P4590" s="9">
        <v>41.207080732056241</v>
      </c>
      <c r="Q4590" s="9">
        <v>41.207080732056241</v>
      </c>
      <c r="R4590" s="9">
        <v>42.157262509433366</v>
      </c>
      <c r="S4590" s="9">
        <v>44.562650125658905</v>
      </c>
      <c r="T4590" s="9">
        <v>44.774343906619599</v>
      </c>
      <c r="U4590" s="9">
        <v>47.410026125961608</v>
      </c>
      <c r="V4590" s="9">
        <v>47.410026125961608</v>
      </c>
      <c r="W4590" s="9">
        <v>47.410026125961608</v>
      </c>
      <c r="X4590" s="9">
        <v>51.970197263128114</v>
      </c>
      <c r="Y4590" s="9">
        <v>51.970197263128114</v>
      </c>
      <c r="Z4590" s="9">
        <v>57.180133523400194</v>
      </c>
      <c r="AA4590" s="9">
        <v>57.180133523400194</v>
      </c>
      <c r="AB4590" s="9">
        <v>62.205497742174821</v>
      </c>
      <c r="AC4590" s="9">
        <v>62.205497742174821</v>
      </c>
      <c r="AD4590" s="9">
        <v>67.764075150980162</v>
      </c>
      <c r="AE4590" s="9">
        <v>75.345852790378046</v>
      </c>
      <c r="AF4590" s="9">
        <v>81.372396625232085</v>
      </c>
      <c r="AG4590" s="9">
        <v>81.372396625232085</v>
      </c>
      <c r="AH4590" s="9">
        <v>88.045224250123979</v>
      </c>
      <c r="AI4590" s="9">
        <v>94.96907033416484</v>
      </c>
      <c r="AJ4590" s="9">
        <v>3.0428788910505911</v>
      </c>
    </row>
    <row r="4591" spans="1:36" x14ac:dyDescent="0.25">
      <c r="A4591" t="s">
        <v>5411</v>
      </c>
      <c r="B4591" t="s">
        <v>16</v>
      </c>
      <c r="C4591" t="s">
        <v>17</v>
      </c>
      <c r="D4591">
        <v>78668000</v>
      </c>
      <c r="E4591">
        <v>78669999</v>
      </c>
      <c r="F4591" t="s">
        <v>4183</v>
      </c>
      <c r="G4591" t="str">
        <f t="shared" si="142"/>
        <v>MTR</v>
      </c>
      <c r="H4591" t="s">
        <v>4079</v>
      </c>
      <c r="I4591" t="s">
        <v>20</v>
      </c>
      <c r="J4591" t="s">
        <v>77</v>
      </c>
      <c r="K4591" s="6">
        <v>0.03</v>
      </c>
      <c r="L4591" s="7">
        <f t="shared" si="143"/>
        <v>2E-3</v>
      </c>
      <c r="M4591" s="7">
        <v>3.0000000000000001E-3</v>
      </c>
      <c r="N4591">
        <v>17</v>
      </c>
      <c r="O4591" s="8">
        <v>41.207080732056241</v>
      </c>
      <c r="P4591" s="9">
        <v>41.207080732056241</v>
      </c>
      <c r="Q4591" s="9">
        <v>41.207080732056241</v>
      </c>
      <c r="R4591" s="9">
        <v>42.157262509433366</v>
      </c>
      <c r="S4591" s="9">
        <v>44.562650125658905</v>
      </c>
      <c r="T4591" s="9">
        <v>44.774343906619599</v>
      </c>
      <c r="U4591" s="9">
        <v>47.410026125961608</v>
      </c>
      <c r="V4591" s="9">
        <v>47.410026125961608</v>
      </c>
      <c r="W4591" s="9">
        <v>47.410026125961608</v>
      </c>
      <c r="X4591" s="9">
        <v>51.970197263128114</v>
      </c>
      <c r="Y4591" s="9">
        <v>51.970197263128114</v>
      </c>
      <c r="Z4591" s="9">
        <v>57.180133523400194</v>
      </c>
      <c r="AA4591" s="9">
        <v>57.180133523400194</v>
      </c>
      <c r="AB4591" s="9">
        <v>62.205497742174821</v>
      </c>
      <c r="AC4591" s="9">
        <v>62.205497742174821</v>
      </c>
      <c r="AD4591" s="9">
        <v>67.764075150980162</v>
      </c>
      <c r="AE4591" s="9">
        <v>75.345852790378046</v>
      </c>
      <c r="AF4591" s="9">
        <v>81.372396625232085</v>
      </c>
      <c r="AG4591" s="9">
        <v>81.372396625232085</v>
      </c>
      <c r="AH4591" s="9">
        <v>88.045224250123979</v>
      </c>
      <c r="AI4591" s="9">
        <v>94.96907033416484</v>
      </c>
      <c r="AJ4591" s="9">
        <v>3.0428788910505911</v>
      </c>
    </row>
    <row r="4592" spans="1:36" x14ac:dyDescent="0.25">
      <c r="A4592" t="s">
        <v>5411</v>
      </c>
      <c r="B4592" t="s">
        <v>16</v>
      </c>
      <c r="C4592" t="s">
        <v>17</v>
      </c>
      <c r="D4592">
        <v>78670000</v>
      </c>
      <c r="E4592">
        <v>78673999</v>
      </c>
      <c r="F4592" t="s">
        <v>4184</v>
      </c>
      <c r="G4592" t="str">
        <f t="shared" si="142"/>
        <v>MTR</v>
      </c>
      <c r="H4592" t="s">
        <v>4079</v>
      </c>
      <c r="I4592" t="s">
        <v>20</v>
      </c>
      <c r="J4592" t="s">
        <v>77</v>
      </c>
      <c r="K4592" s="6">
        <v>0.03</v>
      </c>
      <c r="L4592" s="7">
        <f t="shared" si="143"/>
        <v>2E-3</v>
      </c>
      <c r="M4592" s="7">
        <v>3.0000000000000001E-3</v>
      </c>
      <c r="N4592">
        <v>17</v>
      </c>
      <c r="O4592" s="8">
        <v>41.207080732056241</v>
      </c>
      <c r="P4592" s="9">
        <v>41.207080732056241</v>
      </c>
      <c r="Q4592" s="9">
        <v>41.207080732056241</v>
      </c>
      <c r="R4592" s="9">
        <v>42.157262509433366</v>
      </c>
      <c r="S4592" s="9">
        <v>44.562650125658905</v>
      </c>
      <c r="T4592" s="9">
        <v>44.774343906619599</v>
      </c>
      <c r="U4592" s="9">
        <v>47.410026125961608</v>
      </c>
      <c r="V4592" s="9">
        <v>47.410026125961608</v>
      </c>
      <c r="W4592" s="9">
        <v>47.410026125961608</v>
      </c>
      <c r="X4592" s="9">
        <v>51.970197263128114</v>
      </c>
      <c r="Y4592" s="9">
        <v>51.970197263128114</v>
      </c>
      <c r="Z4592" s="9">
        <v>57.180133523400194</v>
      </c>
      <c r="AA4592" s="9">
        <v>57.180133523400194</v>
      </c>
      <c r="AB4592" s="9">
        <v>62.205497742174821</v>
      </c>
      <c r="AC4592" s="9">
        <v>62.205497742174821</v>
      </c>
      <c r="AD4592" s="9">
        <v>67.764075150980162</v>
      </c>
      <c r="AE4592" s="9">
        <v>75.345852790378046</v>
      </c>
      <c r="AF4592" s="9">
        <v>81.372396625232085</v>
      </c>
      <c r="AG4592" s="9">
        <v>81.372396625232085</v>
      </c>
      <c r="AH4592" s="9">
        <v>88.045224250123979</v>
      </c>
      <c r="AI4592" s="9">
        <v>94.96907033416484</v>
      </c>
      <c r="AJ4592" s="9">
        <v>3.0428788910505911</v>
      </c>
    </row>
    <row r="4593" spans="1:36" x14ac:dyDescent="0.25">
      <c r="A4593" t="s">
        <v>5411</v>
      </c>
      <c r="B4593" t="s">
        <v>16</v>
      </c>
      <c r="C4593" t="s">
        <v>17</v>
      </c>
      <c r="D4593">
        <v>78674000</v>
      </c>
      <c r="E4593">
        <v>78674999</v>
      </c>
      <c r="F4593" t="s">
        <v>3056</v>
      </c>
      <c r="G4593" t="str">
        <f t="shared" si="142"/>
        <v>MTR</v>
      </c>
      <c r="H4593" t="s">
        <v>4079</v>
      </c>
      <c r="I4593" t="s">
        <v>20</v>
      </c>
      <c r="J4593" t="s">
        <v>77</v>
      </c>
      <c r="K4593" s="6">
        <v>0.03</v>
      </c>
      <c r="L4593" s="7">
        <f t="shared" si="143"/>
        <v>2E-3</v>
      </c>
      <c r="M4593" s="7">
        <v>3.0000000000000001E-3</v>
      </c>
      <c r="N4593">
        <v>17</v>
      </c>
      <c r="O4593" s="8">
        <v>41.207080732056241</v>
      </c>
      <c r="P4593" s="9">
        <v>41.207080732056241</v>
      </c>
      <c r="Q4593" s="9">
        <v>41.207080732056241</v>
      </c>
      <c r="R4593" s="9">
        <v>42.157262509433366</v>
      </c>
      <c r="S4593" s="9">
        <v>44.562650125658905</v>
      </c>
      <c r="T4593" s="9">
        <v>44.774343906619599</v>
      </c>
      <c r="U4593" s="9">
        <v>47.410026125961608</v>
      </c>
      <c r="V4593" s="9">
        <v>47.410026125961608</v>
      </c>
      <c r="W4593" s="9">
        <v>47.410026125961608</v>
      </c>
      <c r="X4593" s="9">
        <v>51.970197263128114</v>
      </c>
      <c r="Y4593" s="9">
        <v>51.970197263128114</v>
      </c>
      <c r="Z4593" s="9">
        <v>57.180133523400194</v>
      </c>
      <c r="AA4593" s="9">
        <v>57.180133523400194</v>
      </c>
      <c r="AB4593" s="9">
        <v>62.205497742174821</v>
      </c>
      <c r="AC4593" s="9">
        <v>62.205497742174821</v>
      </c>
      <c r="AD4593" s="9">
        <v>67.764075150980162</v>
      </c>
      <c r="AE4593" s="9">
        <v>75.345852790378046</v>
      </c>
      <c r="AF4593" s="9">
        <v>81.372396625232085</v>
      </c>
      <c r="AG4593" s="9">
        <v>81.372396625232085</v>
      </c>
      <c r="AH4593" s="9">
        <v>88.045224250123979</v>
      </c>
      <c r="AI4593" s="9">
        <v>94.96907033416484</v>
      </c>
      <c r="AJ4593" s="9">
        <v>3.0428788910505911</v>
      </c>
    </row>
    <row r="4594" spans="1:36" x14ac:dyDescent="0.25">
      <c r="A4594" t="s">
        <v>5411</v>
      </c>
      <c r="B4594" t="s">
        <v>16</v>
      </c>
      <c r="C4594" t="s">
        <v>17</v>
      </c>
      <c r="D4594">
        <v>78675000</v>
      </c>
      <c r="E4594">
        <v>78677999</v>
      </c>
      <c r="F4594" t="s">
        <v>4185</v>
      </c>
      <c r="G4594" t="str">
        <f t="shared" si="142"/>
        <v>MTR</v>
      </c>
      <c r="H4594" t="s">
        <v>4079</v>
      </c>
      <c r="I4594" t="s">
        <v>20</v>
      </c>
      <c r="J4594" t="s">
        <v>77</v>
      </c>
      <c r="K4594" s="6">
        <v>0.03</v>
      </c>
      <c r="L4594" s="7">
        <f t="shared" si="143"/>
        <v>2E-3</v>
      </c>
      <c r="M4594" s="7">
        <v>3.0000000000000001E-3</v>
      </c>
      <c r="N4594">
        <v>17</v>
      </c>
      <c r="O4594" s="8">
        <v>41.207080732056241</v>
      </c>
      <c r="P4594" s="9">
        <v>41.207080732056241</v>
      </c>
      <c r="Q4594" s="9">
        <v>41.207080732056241</v>
      </c>
      <c r="R4594" s="9">
        <v>42.157262509433366</v>
      </c>
      <c r="S4594" s="9">
        <v>44.562650125658905</v>
      </c>
      <c r="T4594" s="9">
        <v>44.774343906619599</v>
      </c>
      <c r="U4594" s="9">
        <v>47.410026125961608</v>
      </c>
      <c r="V4594" s="9">
        <v>47.410026125961608</v>
      </c>
      <c r="W4594" s="9">
        <v>47.410026125961608</v>
      </c>
      <c r="X4594" s="9">
        <v>51.970197263128114</v>
      </c>
      <c r="Y4594" s="9">
        <v>51.970197263128114</v>
      </c>
      <c r="Z4594" s="9">
        <v>57.180133523400194</v>
      </c>
      <c r="AA4594" s="9">
        <v>57.180133523400194</v>
      </c>
      <c r="AB4594" s="9">
        <v>62.205497742174821</v>
      </c>
      <c r="AC4594" s="9">
        <v>62.205497742174821</v>
      </c>
      <c r="AD4594" s="9">
        <v>67.764075150980162</v>
      </c>
      <c r="AE4594" s="9">
        <v>75.345852790378046</v>
      </c>
      <c r="AF4594" s="9">
        <v>81.372396625232085</v>
      </c>
      <c r="AG4594" s="9">
        <v>81.372396625232085</v>
      </c>
      <c r="AH4594" s="9">
        <v>88.045224250123979</v>
      </c>
      <c r="AI4594" s="9">
        <v>94.96907033416484</v>
      </c>
      <c r="AJ4594" s="9">
        <v>3.0428788910505911</v>
      </c>
    </row>
    <row r="4595" spans="1:36" x14ac:dyDescent="0.25">
      <c r="A4595" t="s">
        <v>5411</v>
      </c>
      <c r="B4595" t="s">
        <v>16</v>
      </c>
      <c r="C4595" t="s">
        <v>17</v>
      </c>
      <c r="D4595">
        <v>78678000</v>
      </c>
      <c r="E4595">
        <v>78679999</v>
      </c>
      <c r="F4595" t="s">
        <v>4186</v>
      </c>
      <c r="G4595" t="str">
        <f t="shared" si="142"/>
        <v>MTR</v>
      </c>
      <c r="H4595" t="s">
        <v>4079</v>
      </c>
      <c r="I4595" t="s">
        <v>20</v>
      </c>
      <c r="J4595" t="s">
        <v>77</v>
      </c>
      <c r="K4595" s="6">
        <v>0.03</v>
      </c>
      <c r="L4595" s="7">
        <f t="shared" si="143"/>
        <v>2E-3</v>
      </c>
      <c r="M4595" s="7">
        <v>3.0000000000000001E-3</v>
      </c>
      <c r="N4595">
        <v>17</v>
      </c>
      <c r="O4595" s="8">
        <v>41.207080732056241</v>
      </c>
      <c r="P4595" s="9">
        <v>41.207080732056241</v>
      </c>
      <c r="Q4595" s="9">
        <v>41.207080732056241</v>
      </c>
      <c r="R4595" s="9">
        <v>42.157262509433366</v>
      </c>
      <c r="S4595" s="9">
        <v>44.562650125658905</v>
      </c>
      <c r="T4595" s="9">
        <v>44.774343906619599</v>
      </c>
      <c r="U4595" s="9">
        <v>47.410026125961608</v>
      </c>
      <c r="V4595" s="9">
        <v>47.410026125961608</v>
      </c>
      <c r="W4595" s="9">
        <v>47.410026125961608</v>
      </c>
      <c r="X4595" s="9">
        <v>51.970197263128114</v>
      </c>
      <c r="Y4595" s="9">
        <v>51.970197263128114</v>
      </c>
      <c r="Z4595" s="9">
        <v>57.180133523400194</v>
      </c>
      <c r="AA4595" s="9">
        <v>57.180133523400194</v>
      </c>
      <c r="AB4595" s="9">
        <v>62.205497742174821</v>
      </c>
      <c r="AC4595" s="9">
        <v>62.205497742174821</v>
      </c>
      <c r="AD4595" s="9">
        <v>67.764075150980162</v>
      </c>
      <c r="AE4595" s="9">
        <v>75.345852790378046</v>
      </c>
      <c r="AF4595" s="9">
        <v>81.372396625232085</v>
      </c>
      <c r="AG4595" s="9">
        <v>81.372396625232085</v>
      </c>
      <c r="AH4595" s="9">
        <v>88.045224250123979</v>
      </c>
      <c r="AI4595" s="9">
        <v>94.96907033416484</v>
      </c>
      <c r="AJ4595" s="9">
        <v>3.0428788910505911</v>
      </c>
    </row>
    <row r="4596" spans="1:36" x14ac:dyDescent="0.25">
      <c r="A4596" t="s">
        <v>5411</v>
      </c>
      <c r="B4596" t="s">
        <v>16</v>
      </c>
      <c r="C4596" t="s">
        <v>17</v>
      </c>
      <c r="D4596">
        <v>78680000</v>
      </c>
      <c r="E4596">
        <v>78684999</v>
      </c>
      <c r="F4596" t="s">
        <v>4187</v>
      </c>
      <c r="G4596" t="str">
        <f t="shared" si="142"/>
        <v>MTR</v>
      </c>
      <c r="H4596" t="s">
        <v>4079</v>
      </c>
      <c r="I4596" t="s">
        <v>20</v>
      </c>
      <c r="J4596" t="s">
        <v>77</v>
      </c>
      <c r="K4596" s="6">
        <v>0.03</v>
      </c>
      <c r="L4596" s="7">
        <f t="shared" si="143"/>
        <v>2E-3</v>
      </c>
      <c r="M4596" s="7">
        <v>3.0000000000000001E-3</v>
      </c>
      <c r="N4596">
        <v>17</v>
      </c>
      <c r="O4596" s="8">
        <v>41.207080732056241</v>
      </c>
      <c r="P4596" s="9">
        <v>41.207080732056241</v>
      </c>
      <c r="Q4596" s="9">
        <v>41.207080732056241</v>
      </c>
      <c r="R4596" s="9">
        <v>42.157262509433366</v>
      </c>
      <c r="S4596" s="9">
        <v>44.562650125658905</v>
      </c>
      <c r="T4596" s="9">
        <v>44.774343906619599</v>
      </c>
      <c r="U4596" s="9">
        <v>47.410026125961608</v>
      </c>
      <c r="V4596" s="9">
        <v>47.410026125961608</v>
      </c>
      <c r="W4596" s="9">
        <v>47.410026125961608</v>
      </c>
      <c r="X4596" s="9">
        <v>51.970197263128114</v>
      </c>
      <c r="Y4596" s="9">
        <v>51.970197263128114</v>
      </c>
      <c r="Z4596" s="9">
        <v>57.180133523400194</v>
      </c>
      <c r="AA4596" s="9">
        <v>57.180133523400194</v>
      </c>
      <c r="AB4596" s="9">
        <v>62.205497742174821</v>
      </c>
      <c r="AC4596" s="9">
        <v>62.205497742174821</v>
      </c>
      <c r="AD4596" s="9">
        <v>67.764075150980162</v>
      </c>
      <c r="AE4596" s="9">
        <v>75.345852790378046</v>
      </c>
      <c r="AF4596" s="9">
        <v>81.372396625232085</v>
      </c>
      <c r="AG4596" s="9">
        <v>81.372396625232085</v>
      </c>
      <c r="AH4596" s="9">
        <v>88.045224250123979</v>
      </c>
      <c r="AI4596" s="9">
        <v>94.96907033416484</v>
      </c>
      <c r="AJ4596" s="9">
        <v>3.0428788910505911</v>
      </c>
    </row>
    <row r="4597" spans="1:36" x14ac:dyDescent="0.25">
      <c r="A4597" t="s">
        <v>5411</v>
      </c>
      <c r="B4597" t="s">
        <v>16</v>
      </c>
      <c r="C4597" t="s">
        <v>17</v>
      </c>
      <c r="D4597">
        <v>78685000</v>
      </c>
      <c r="E4597">
        <v>78689999</v>
      </c>
      <c r="F4597" t="s">
        <v>4188</v>
      </c>
      <c r="G4597" t="str">
        <f t="shared" si="142"/>
        <v>MTR</v>
      </c>
      <c r="H4597" t="s">
        <v>4079</v>
      </c>
      <c r="I4597" t="s">
        <v>20</v>
      </c>
      <c r="J4597" t="s">
        <v>77</v>
      </c>
      <c r="K4597" s="6">
        <v>0.03</v>
      </c>
      <c r="L4597" s="7">
        <f t="shared" si="143"/>
        <v>2E-3</v>
      </c>
      <c r="M4597" s="7">
        <v>3.0000000000000001E-3</v>
      </c>
      <c r="N4597">
        <v>17</v>
      </c>
      <c r="O4597" s="8">
        <v>41.207080732056241</v>
      </c>
      <c r="P4597" s="9">
        <v>41.207080732056241</v>
      </c>
      <c r="Q4597" s="9">
        <v>41.207080732056241</v>
      </c>
      <c r="R4597" s="9">
        <v>42.157262509433366</v>
      </c>
      <c r="S4597" s="9">
        <v>44.562650125658905</v>
      </c>
      <c r="T4597" s="9">
        <v>44.774343906619599</v>
      </c>
      <c r="U4597" s="9">
        <v>47.410026125961608</v>
      </c>
      <c r="V4597" s="9">
        <v>47.410026125961608</v>
      </c>
      <c r="W4597" s="9">
        <v>47.410026125961608</v>
      </c>
      <c r="X4597" s="9">
        <v>51.970197263128114</v>
      </c>
      <c r="Y4597" s="9">
        <v>51.970197263128114</v>
      </c>
      <c r="Z4597" s="9">
        <v>57.180133523400194</v>
      </c>
      <c r="AA4597" s="9">
        <v>57.180133523400194</v>
      </c>
      <c r="AB4597" s="9">
        <v>62.205497742174821</v>
      </c>
      <c r="AC4597" s="9">
        <v>62.205497742174821</v>
      </c>
      <c r="AD4597" s="9">
        <v>67.764075150980162</v>
      </c>
      <c r="AE4597" s="9">
        <v>75.345852790378046</v>
      </c>
      <c r="AF4597" s="9">
        <v>81.372396625232085</v>
      </c>
      <c r="AG4597" s="9">
        <v>81.372396625232085</v>
      </c>
      <c r="AH4597" s="9">
        <v>88.045224250123979</v>
      </c>
      <c r="AI4597" s="9">
        <v>94.96907033416484</v>
      </c>
      <c r="AJ4597" s="9">
        <v>3.0428788910505911</v>
      </c>
    </row>
    <row r="4598" spans="1:36" x14ac:dyDescent="0.25">
      <c r="A4598" t="s">
        <v>5411</v>
      </c>
      <c r="B4598" t="s">
        <v>16</v>
      </c>
      <c r="C4598" t="s">
        <v>17</v>
      </c>
      <c r="D4598">
        <v>78690000</v>
      </c>
      <c r="E4598">
        <v>78694999</v>
      </c>
      <c r="F4598" t="s">
        <v>4189</v>
      </c>
      <c r="G4598" t="str">
        <f t="shared" si="142"/>
        <v>MTR</v>
      </c>
      <c r="H4598" t="s">
        <v>4079</v>
      </c>
      <c r="I4598" t="s">
        <v>20</v>
      </c>
      <c r="J4598" t="s">
        <v>77</v>
      </c>
      <c r="K4598" s="6">
        <v>0.03</v>
      </c>
      <c r="L4598" s="7">
        <f t="shared" si="143"/>
        <v>2E-3</v>
      </c>
      <c r="M4598" s="7">
        <v>3.0000000000000001E-3</v>
      </c>
      <c r="N4598">
        <v>17</v>
      </c>
      <c r="O4598" s="8">
        <v>41.207080732056241</v>
      </c>
      <c r="P4598" s="9">
        <v>41.207080732056241</v>
      </c>
      <c r="Q4598" s="9">
        <v>41.207080732056241</v>
      </c>
      <c r="R4598" s="9">
        <v>42.157262509433366</v>
      </c>
      <c r="S4598" s="9">
        <v>44.562650125658905</v>
      </c>
      <c r="T4598" s="9">
        <v>44.774343906619599</v>
      </c>
      <c r="U4598" s="9">
        <v>47.410026125961608</v>
      </c>
      <c r="V4598" s="9">
        <v>47.410026125961608</v>
      </c>
      <c r="W4598" s="9">
        <v>47.410026125961608</v>
      </c>
      <c r="X4598" s="9">
        <v>51.970197263128114</v>
      </c>
      <c r="Y4598" s="9">
        <v>51.970197263128114</v>
      </c>
      <c r="Z4598" s="9">
        <v>57.180133523400194</v>
      </c>
      <c r="AA4598" s="9">
        <v>57.180133523400194</v>
      </c>
      <c r="AB4598" s="9">
        <v>62.205497742174821</v>
      </c>
      <c r="AC4598" s="9">
        <v>62.205497742174821</v>
      </c>
      <c r="AD4598" s="9">
        <v>67.764075150980162</v>
      </c>
      <c r="AE4598" s="9">
        <v>75.345852790378046</v>
      </c>
      <c r="AF4598" s="9">
        <v>81.372396625232085</v>
      </c>
      <c r="AG4598" s="9">
        <v>81.372396625232085</v>
      </c>
      <c r="AH4598" s="9">
        <v>88.045224250123979</v>
      </c>
      <c r="AI4598" s="9">
        <v>94.96907033416484</v>
      </c>
      <c r="AJ4598" s="9">
        <v>3.0428788910505911</v>
      </c>
    </row>
    <row r="4599" spans="1:36" x14ac:dyDescent="0.25">
      <c r="A4599" t="s">
        <v>5411</v>
      </c>
      <c r="B4599" t="s">
        <v>16</v>
      </c>
      <c r="C4599" t="s">
        <v>17</v>
      </c>
      <c r="D4599">
        <v>78695000</v>
      </c>
      <c r="E4599">
        <v>78697999</v>
      </c>
      <c r="F4599" t="s">
        <v>4190</v>
      </c>
      <c r="G4599" t="str">
        <f t="shared" si="142"/>
        <v>MTR</v>
      </c>
      <c r="H4599" t="s">
        <v>4079</v>
      </c>
      <c r="I4599" t="s">
        <v>20</v>
      </c>
      <c r="J4599" t="s">
        <v>77</v>
      </c>
      <c r="K4599" s="6">
        <v>0.03</v>
      </c>
      <c r="L4599" s="7">
        <f t="shared" si="143"/>
        <v>2E-3</v>
      </c>
      <c r="M4599" s="7">
        <v>3.0000000000000001E-3</v>
      </c>
      <c r="N4599">
        <v>17</v>
      </c>
      <c r="O4599" s="8">
        <v>41.207080732056241</v>
      </c>
      <c r="P4599" s="9">
        <v>41.207080732056241</v>
      </c>
      <c r="Q4599" s="9">
        <v>41.207080732056241</v>
      </c>
      <c r="R4599" s="9">
        <v>42.157262509433366</v>
      </c>
      <c r="S4599" s="9">
        <v>44.562650125658905</v>
      </c>
      <c r="T4599" s="9">
        <v>44.774343906619599</v>
      </c>
      <c r="U4599" s="9">
        <v>47.410026125961608</v>
      </c>
      <c r="V4599" s="9">
        <v>47.410026125961608</v>
      </c>
      <c r="W4599" s="9">
        <v>47.410026125961608</v>
      </c>
      <c r="X4599" s="9">
        <v>51.970197263128114</v>
      </c>
      <c r="Y4599" s="9">
        <v>51.970197263128114</v>
      </c>
      <c r="Z4599" s="9">
        <v>57.180133523400194</v>
      </c>
      <c r="AA4599" s="9">
        <v>57.180133523400194</v>
      </c>
      <c r="AB4599" s="9">
        <v>62.205497742174821</v>
      </c>
      <c r="AC4599" s="9">
        <v>62.205497742174821</v>
      </c>
      <c r="AD4599" s="9">
        <v>67.764075150980162</v>
      </c>
      <c r="AE4599" s="9">
        <v>75.345852790378046</v>
      </c>
      <c r="AF4599" s="9">
        <v>81.372396625232085</v>
      </c>
      <c r="AG4599" s="9">
        <v>81.372396625232085</v>
      </c>
      <c r="AH4599" s="9">
        <v>88.045224250123979</v>
      </c>
      <c r="AI4599" s="9">
        <v>94.96907033416484</v>
      </c>
      <c r="AJ4599" s="9">
        <v>3.0428788910505911</v>
      </c>
    </row>
    <row r="4600" spans="1:36" x14ac:dyDescent="0.25">
      <c r="A4600" t="s">
        <v>5411</v>
      </c>
      <c r="B4600" t="s">
        <v>16</v>
      </c>
      <c r="C4600" t="s">
        <v>17</v>
      </c>
      <c r="D4600">
        <v>78698000</v>
      </c>
      <c r="E4600">
        <v>78699999</v>
      </c>
      <c r="F4600" t="s">
        <v>4191</v>
      </c>
      <c r="G4600" t="str">
        <f t="shared" si="142"/>
        <v>MTR</v>
      </c>
      <c r="H4600" t="s">
        <v>4079</v>
      </c>
      <c r="I4600" t="s">
        <v>20</v>
      </c>
      <c r="J4600" t="s">
        <v>77</v>
      </c>
      <c r="K4600" s="6">
        <v>0.03</v>
      </c>
      <c r="L4600" s="7">
        <f t="shared" si="143"/>
        <v>2E-3</v>
      </c>
      <c r="M4600" s="7">
        <v>3.0000000000000001E-3</v>
      </c>
      <c r="N4600">
        <v>17</v>
      </c>
      <c r="O4600" s="8">
        <v>41.207080732056241</v>
      </c>
      <c r="P4600" s="9">
        <v>41.207080732056241</v>
      </c>
      <c r="Q4600" s="9">
        <v>41.207080732056241</v>
      </c>
      <c r="R4600" s="9">
        <v>42.157262509433366</v>
      </c>
      <c r="S4600" s="9">
        <v>44.562650125658905</v>
      </c>
      <c r="T4600" s="9">
        <v>44.774343906619599</v>
      </c>
      <c r="U4600" s="9">
        <v>47.410026125961608</v>
      </c>
      <c r="V4600" s="9">
        <v>47.410026125961608</v>
      </c>
      <c r="W4600" s="9">
        <v>47.410026125961608</v>
      </c>
      <c r="X4600" s="9">
        <v>51.970197263128114</v>
      </c>
      <c r="Y4600" s="9">
        <v>51.970197263128114</v>
      </c>
      <c r="Z4600" s="9">
        <v>57.180133523400194</v>
      </c>
      <c r="AA4600" s="9">
        <v>57.180133523400194</v>
      </c>
      <c r="AB4600" s="9">
        <v>62.205497742174821</v>
      </c>
      <c r="AC4600" s="9">
        <v>62.205497742174821</v>
      </c>
      <c r="AD4600" s="9">
        <v>67.764075150980162</v>
      </c>
      <c r="AE4600" s="9">
        <v>75.345852790378046</v>
      </c>
      <c r="AF4600" s="9">
        <v>81.372396625232085</v>
      </c>
      <c r="AG4600" s="9">
        <v>81.372396625232085</v>
      </c>
      <c r="AH4600" s="9">
        <v>88.045224250123979</v>
      </c>
      <c r="AI4600" s="9">
        <v>94.96907033416484</v>
      </c>
      <c r="AJ4600" s="9">
        <v>3.0428788910505911</v>
      </c>
    </row>
    <row r="4601" spans="1:36" x14ac:dyDescent="0.25">
      <c r="A4601" t="s">
        <v>5411</v>
      </c>
      <c r="B4601" t="s">
        <v>16</v>
      </c>
      <c r="C4601" t="s">
        <v>17</v>
      </c>
      <c r="D4601">
        <v>78700000</v>
      </c>
      <c r="E4601">
        <v>78759999</v>
      </c>
      <c r="F4601" t="s">
        <v>4192</v>
      </c>
      <c r="G4601" t="str">
        <f t="shared" si="142"/>
        <v>MTI II</v>
      </c>
      <c r="H4601" t="s">
        <v>4079</v>
      </c>
      <c r="I4601" t="s">
        <v>20</v>
      </c>
      <c r="J4601" t="s">
        <v>64</v>
      </c>
      <c r="K4601" s="6">
        <v>0.03</v>
      </c>
      <c r="L4601" s="7">
        <f t="shared" si="143"/>
        <v>2E-3</v>
      </c>
      <c r="M4601" s="7">
        <v>3.0000000000000001E-3</v>
      </c>
      <c r="N4601">
        <v>13</v>
      </c>
      <c r="O4601" s="8">
        <v>26.945869944786573</v>
      </c>
      <c r="P4601" s="9">
        <v>26.945869944786573</v>
      </c>
      <c r="Q4601" s="9">
        <v>26.945869944786573</v>
      </c>
      <c r="R4601" s="9">
        <v>27.872426176460309</v>
      </c>
      <c r="S4601" s="9">
        <v>30.114764737466444</v>
      </c>
      <c r="T4601" s="9">
        <v>30.389103773795448</v>
      </c>
      <c r="U4601" s="9">
        <v>32.851592628213609</v>
      </c>
      <c r="V4601" s="9">
        <v>32.851592628213609</v>
      </c>
      <c r="W4601" s="9">
        <v>32.851592628213609</v>
      </c>
      <c r="X4601" s="9">
        <v>35.974003563148294</v>
      </c>
      <c r="Y4601" s="9">
        <v>35.974003563148294</v>
      </c>
      <c r="Z4601" s="9">
        <v>39.583028800026455</v>
      </c>
      <c r="AA4601" s="9">
        <v>39.583028800026455</v>
      </c>
      <c r="AB4601" s="9">
        <v>42.917947459820233</v>
      </c>
      <c r="AC4601" s="9">
        <v>42.917947459820233</v>
      </c>
      <c r="AD4601" s="9">
        <v>48.456144425509514</v>
      </c>
      <c r="AE4601" s="9">
        <v>51.441147415963158</v>
      </c>
      <c r="AF4601" s="9">
        <v>54.652150956017358</v>
      </c>
      <c r="AG4601" s="9">
        <v>54.652150956017358</v>
      </c>
      <c r="AH4601" s="9">
        <v>58.808410228839165</v>
      </c>
      <c r="AI4601" s="9">
        <v>62.34918511933521</v>
      </c>
      <c r="AJ4601" s="9">
        <v>3.0428788910505911</v>
      </c>
    </row>
    <row r="4602" spans="1:36" x14ac:dyDescent="0.25">
      <c r="A4602" t="s">
        <v>5411</v>
      </c>
      <c r="B4602" t="s">
        <v>16</v>
      </c>
      <c r="C4602" t="s">
        <v>17</v>
      </c>
      <c r="D4602">
        <v>78760000</v>
      </c>
      <c r="E4602">
        <v>78769999</v>
      </c>
      <c r="F4602" t="s">
        <v>4193</v>
      </c>
      <c r="G4602" t="str">
        <f t="shared" si="142"/>
        <v>MTR</v>
      </c>
      <c r="H4602" t="s">
        <v>4079</v>
      </c>
      <c r="I4602" t="s">
        <v>20</v>
      </c>
      <c r="J4602" t="s">
        <v>77</v>
      </c>
      <c r="K4602" s="6">
        <v>0.03</v>
      </c>
      <c r="L4602" s="7">
        <f t="shared" si="143"/>
        <v>2E-3</v>
      </c>
      <c r="M4602" s="7">
        <v>3.0000000000000001E-3</v>
      </c>
      <c r="N4602">
        <v>17</v>
      </c>
      <c r="O4602" s="8">
        <v>41.207080732056241</v>
      </c>
      <c r="P4602" s="9">
        <v>41.207080732056241</v>
      </c>
      <c r="Q4602" s="9">
        <v>41.207080732056241</v>
      </c>
      <c r="R4602" s="9">
        <v>42.157262509433366</v>
      </c>
      <c r="S4602" s="9">
        <v>44.562650125658905</v>
      </c>
      <c r="T4602" s="9">
        <v>44.774343906619599</v>
      </c>
      <c r="U4602" s="9">
        <v>47.410026125961608</v>
      </c>
      <c r="V4602" s="9">
        <v>47.410026125961608</v>
      </c>
      <c r="W4602" s="9">
        <v>47.410026125961608</v>
      </c>
      <c r="X4602" s="9">
        <v>51.970197263128114</v>
      </c>
      <c r="Y4602" s="9">
        <v>51.970197263128114</v>
      </c>
      <c r="Z4602" s="9">
        <v>57.180133523400194</v>
      </c>
      <c r="AA4602" s="9">
        <v>57.180133523400194</v>
      </c>
      <c r="AB4602" s="9">
        <v>62.205497742174821</v>
      </c>
      <c r="AC4602" s="9">
        <v>62.205497742174821</v>
      </c>
      <c r="AD4602" s="9">
        <v>67.764075150980162</v>
      </c>
      <c r="AE4602" s="9">
        <v>75.345852790378046</v>
      </c>
      <c r="AF4602" s="9">
        <v>81.372396625232085</v>
      </c>
      <c r="AG4602" s="9">
        <v>81.372396625232085</v>
      </c>
      <c r="AH4602" s="9">
        <v>88.045224250123979</v>
      </c>
      <c r="AI4602" s="9">
        <v>94.96907033416484</v>
      </c>
      <c r="AJ4602" s="9">
        <v>3.0428788910505911</v>
      </c>
    </row>
    <row r="4603" spans="1:36" x14ac:dyDescent="0.25">
      <c r="A4603" t="s">
        <v>5411</v>
      </c>
      <c r="B4603" t="s">
        <v>16</v>
      </c>
      <c r="C4603" t="s">
        <v>17</v>
      </c>
      <c r="D4603">
        <v>78770000</v>
      </c>
      <c r="E4603">
        <v>78772999</v>
      </c>
      <c r="F4603" t="s">
        <v>4194</v>
      </c>
      <c r="G4603" t="str">
        <f t="shared" si="142"/>
        <v>MTR</v>
      </c>
      <c r="H4603" t="s">
        <v>4079</v>
      </c>
      <c r="I4603" t="s">
        <v>20</v>
      </c>
      <c r="J4603" t="s">
        <v>77</v>
      </c>
      <c r="K4603" s="6">
        <v>0.03</v>
      </c>
      <c r="L4603" s="7">
        <f t="shared" si="143"/>
        <v>2E-3</v>
      </c>
      <c r="M4603" s="7">
        <v>3.0000000000000001E-3</v>
      </c>
      <c r="N4603">
        <v>17</v>
      </c>
      <c r="O4603" s="8">
        <v>41.207080732056241</v>
      </c>
      <c r="P4603" s="9">
        <v>41.207080732056241</v>
      </c>
      <c r="Q4603" s="9">
        <v>41.207080732056241</v>
      </c>
      <c r="R4603" s="9">
        <v>42.157262509433366</v>
      </c>
      <c r="S4603" s="9">
        <v>44.562650125658905</v>
      </c>
      <c r="T4603" s="9">
        <v>44.774343906619599</v>
      </c>
      <c r="U4603" s="9">
        <v>47.410026125961608</v>
      </c>
      <c r="V4603" s="9">
        <v>47.410026125961608</v>
      </c>
      <c r="W4603" s="9">
        <v>47.410026125961608</v>
      </c>
      <c r="X4603" s="9">
        <v>51.970197263128114</v>
      </c>
      <c r="Y4603" s="9">
        <v>51.970197263128114</v>
      </c>
      <c r="Z4603" s="9">
        <v>57.180133523400194</v>
      </c>
      <c r="AA4603" s="9">
        <v>57.180133523400194</v>
      </c>
      <c r="AB4603" s="9">
        <v>62.205497742174821</v>
      </c>
      <c r="AC4603" s="9">
        <v>62.205497742174821</v>
      </c>
      <c r="AD4603" s="9">
        <v>67.764075150980162</v>
      </c>
      <c r="AE4603" s="9">
        <v>75.345852790378046</v>
      </c>
      <c r="AF4603" s="9">
        <v>81.372396625232085</v>
      </c>
      <c r="AG4603" s="9">
        <v>81.372396625232085</v>
      </c>
      <c r="AH4603" s="9">
        <v>88.045224250123979</v>
      </c>
      <c r="AI4603" s="9">
        <v>94.96907033416484</v>
      </c>
      <c r="AJ4603" s="9">
        <v>3.0428788910505911</v>
      </c>
    </row>
    <row r="4604" spans="1:36" x14ac:dyDescent="0.25">
      <c r="A4604" t="s">
        <v>5411</v>
      </c>
      <c r="B4604" t="s">
        <v>16</v>
      </c>
      <c r="C4604" t="s">
        <v>17</v>
      </c>
      <c r="D4604">
        <v>78773000</v>
      </c>
      <c r="E4604">
        <v>78774999</v>
      </c>
      <c r="F4604" t="s">
        <v>4195</v>
      </c>
      <c r="G4604" t="str">
        <f t="shared" si="142"/>
        <v>MTR</v>
      </c>
      <c r="H4604" t="s">
        <v>4079</v>
      </c>
      <c r="I4604" t="s">
        <v>20</v>
      </c>
      <c r="J4604" t="s">
        <v>77</v>
      </c>
      <c r="K4604" s="6">
        <v>0.03</v>
      </c>
      <c r="L4604" s="7">
        <f t="shared" si="143"/>
        <v>2E-3</v>
      </c>
      <c r="M4604" s="7">
        <v>3.0000000000000001E-3</v>
      </c>
      <c r="N4604">
        <v>17</v>
      </c>
      <c r="O4604" s="8">
        <v>41.207080732056241</v>
      </c>
      <c r="P4604" s="9">
        <v>41.207080732056241</v>
      </c>
      <c r="Q4604" s="9">
        <v>41.207080732056241</v>
      </c>
      <c r="R4604" s="9">
        <v>42.157262509433366</v>
      </c>
      <c r="S4604" s="9">
        <v>44.562650125658905</v>
      </c>
      <c r="T4604" s="9">
        <v>44.774343906619599</v>
      </c>
      <c r="U4604" s="9">
        <v>47.410026125961608</v>
      </c>
      <c r="V4604" s="9">
        <v>47.410026125961608</v>
      </c>
      <c r="W4604" s="9">
        <v>47.410026125961608</v>
      </c>
      <c r="X4604" s="9">
        <v>51.970197263128114</v>
      </c>
      <c r="Y4604" s="9">
        <v>51.970197263128114</v>
      </c>
      <c r="Z4604" s="9">
        <v>57.180133523400194</v>
      </c>
      <c r="AA4604" s="9">
        <v>57.180133523400194</v>
      </c>
      <c r="AB4604" s="9">
        <v>62.205497742174821</v>
      </c>
      <c r="AC4604" s="9">
        <v>62.205497742174821</v>
      </c>
      <c r="AD4604" s="9">
        <v>67.764075150980162</v>
      </c>
      <c r="AE4604" s="9">
        <v>75.345852790378046</v>
      </c>
      <c r="AF4604" s="9">
        <v>81.372396625232085</v>
      </c>
      <c r="AG4604" s="9">
        <v>81.372396625232085</v>
      </c>
      <c r="AH4604" s="9">
        <v>88.045224250123979</v>
      </c>
      <c r="AI4604" s="9">
        <v>94.96907033416484</v>
      </c>
      <c r="AJ4604" s="9">
        <v>3.0428788910505911</v>
      </c>
    </row>
    <row r="4605" spans="1:36" x14ac:dyDescent="0.25">
      <c r="A4605" t="s">
        <v>5411</v>
      </c>
      <c r="B4605" t="s">
        <v>16</v>
      </c>
      <c r="C4605" t="s">
        <v>17</v>
      </c>
      <c r="D4605">
        <v>78775000</v>
      </c>
      <c r="E4605">
        <v>78779999</v>
      </c>
      <c r="F4605" t="s">
        <v>4196</v>
      </c>
      <c r="G4605" t="str">
        <f t="shared" si="142"/>
        <v>MTR</v>
      </c>
      <c r="H4605" t="s">
        <v>4079</v>
      </c>
      <c r="I4605" t="s">
        <v>20</v>
      </c>
      <c r="J4605" t="s">
        <v>77</v>
      </c>
      <c r="K4605" s="6">
        <v>0.03</v>
      </c>
      <c r="L4605" s="7">
        <f t="shared" si="143"/>
        <v>2E-3</v>
      </c>
      <c r="M4605" s="7">
        <v>3.0000000000000001E-3</v>
      </c>
      <c r="N4605">
        <v>17</v>
      </c>
      <c r="O4605" s="8">
        <v>41.207080732056241</v>
      </c>
      <c r="P4605" s="9">
        <v>41.207080732056241</v>
      </c>
      <c r="Q4605" s="9">
        <v>41.207080732056241</v>
      </c>
      <c r="R4605" s="9">
        <v>42.157262509433366</v>
      </c>
      <c r="S4605" s="9">
        <v>44.562650125658905</v>
      </c>
      <c r="T4605" s="9">
        <v>44.774343906619599</v>
      </c>
      <c r="U4605" s="9">
        <v>47.410026125961608</v>
      </c>
      <c r="V4605" s="9">
        <v>47.410026125961608</v>
      </c>
      <c r="W4605" s="9">
        <v>47.410026125961608</v>
      </c>
      <c r="X4605" s="9">
        <v>51.970197263128114</v>
      </c>
      <c r="Y4605" s="9">
        <v>51.970197263128114</v>
      </c>
      <c r="Z4605" s="9">
        <v>57.180133523400194</v>
      </c>
      <c r="AA4605" s="9">
        <v>57.180133523400194</v>
      </c>
      <c r="AB4605" s="9">
        <v>62.205497742174821</v>
      </c>
      <c r="AC4605" s="9">
        <v>62.205497742174821</v>
      </c>
      <c r="AD4605" s="9">
        <v>67.764075150980162</v>
      </c>
      <c r="AE4605" s="9">
        <v>75.345852790378046</v>
      </c>
      <c r="AF4605" s="9">
        <v>81.372396625232085</v>
      </c>
      <c r="AG4605" s="9">
        <v>81.372396625232085</v>
      </c>
      <c r="AH4605" s="9">
        <v>88.045224250123979</v>
      </c>
      <c r="AI4605" s="9">
        <v>94.96907033416484</v>
      </c>
      <c r="AJ4605" s="9">
        <v>3.0428788910505911</v>
      </c>
    </row>
    <row r="4606" spans="1:36" x14ac:dyDescent="0.25">
      <c r="A4606" t="s">
        <v>5411</v>
      </c>
      <c r="B4606" t="s">
        <v>16</v>
      </c>
      <c r="C4606" t="s">
        <v>17</v>
      </c>
      <c r="D4606">
        <v>78780000</v>
      </c>
      <c r="E4606">
        <v>78784999</v>
      </c>
      <c r="F4606" t="s">
        <v>4197</v>
      </c>
      <c r="G4606" t="str">
        <f t="shared" si="142"/>
        <v>MTR</v>
      </c>
      <c r="H4606" t="s">
        <v>4079</v>
      </c>
      <c r="I4606" t="s">
        <v>20</v>
      </c>
      <c r="J4606" t="s">
        <v>77</v>
      </c>
      <c r="K4606" s="6">
        <v>0.03</v>
      </c>
      <c r="L4606" s="7">
        <f t="shared" si="143"/>
        <v>2E-3</v>
      </c>
      <c r="M4606" s="7">
        <v>3.0000000000000001E-3</v>
      </c>
      <c r="N4606">
        <v>17</v>
      </c>
      <c r="O4606" s="8">
        <v>41.207080732056241</v>
      </c>
      <c r="P4606" s="9">
        <v>41.207080732056241</v>
      </c>
      <c r="Q4606" s="9">
        <v>41.207080732056241</v>
      </c>
      <c r="R4606" s="9">
        <v>42.157262509433366</v>
      </c>
      <c r="S4606" s="9">
        <v>44.562650125658905</v>
      </c>
      <c r="T4606" s="9">
        <v>44.774343906619599</v>
      </c>
      <c r="U4606" s="9">
        <v>47.410026125961608</v>
      </c>
      <c r="V4606" s="9">
        <v>47.410026125961608</v>
      </c>
      <c r="W4606" s="9">
        <v>47.410026125961608</v>
      </c>
      <c r="X4606" s="9">
        <v>51.970197263128114</v>
      </c>
      <c r="Y4606" s="9">
        <v>51.970197263128114</v>
      </c>
      <c r="Z4606" s="9">
        <v>57.180133523400194</v>
      </c>
      <c r="AA4606" s="9">
        <v>57.180133523400194</v>
      </c>
      <c r="AB4606" s="9">
        <v>62.205497742174821</v>
      </c>
      <c r="AC4606" s="9">
        <v>62.205497742174821</v>
      </c>
      <c r="AD4606" s="9">
        <v>67.764075150980162</v>
      </c>
      <c r="AE4606" s="9">
        <v>75.345852790378046</v>
      </c>
      <c r="AF4606" s="9">
        <v>81.372396625232085</v>
      </c>
      <c r="AG4606" s="9">
        <v>81.372396625232085</v>
      </c>
      <c r="AH4606" s="9">
        <v>88.045224250123979</v>
      </c>
      <c r="AI4606" s="9">
        <v>94.96907033416484</v>
      </c>
      <c r="AJ4606" s="9">
        <v>3.0428788910505911</v>
      </c>
    </row>
    <row r="4607" spans="1:36" x14ac:dyDescent="0.25">
      <c r="A4607" t="s">
        <v>5411</v>
      </c>
      <c r="B4607" t="s">
        <v>16</v>
      </c>
      <c r="C4607" t="s">
        <v>17</v>
      </c>
      <c r="D4607">
        <v>78785000</v>
      </c>
      <c r="E4607">
        <v>78789999</v>
      </c>
      <c r="F4607" t="s">
        <v>4198</v>
      </c>
      <c r="G4607" t="str">
        <f t="shared" si="142"/>
        <v>MTR</v>
      </c>
      <c r="H4607" t="s">
        <v>4079</v>
      </c>
      <c r="I4607" t="s">
        <v>20</v>
      </c>
      <c r="J4607" t="s">
        <v>77</v>
      </c>
      <c r="K4607" s="6">
        <v>0.03</v>
      </c>
      <c r="L4607" s="7">
        <f t="shared" si="143"/>
        <v>2E-3</v>
      </c>
      <c r="M4607" s="7">
        <v>3.0000000000000001E-3</v>
      </c>
      <c r="N4607">
        <v>17</v>
      </c>
      <c r="O4607" s="8">
        <v>41.207080732056241</v>
      </c>
      <c r="P4607" s="9">
        <v>41.207080732056241</v>
      </c>
      <c r="Q4607" s="9">
        <v>41.207080732056241</v>
      </c>
      <c r="R4607" s="9">
        <v>42.157262509433366</v>
      </c>
      <c r="S4607" s="9">
        <v>44.562650125658905</v>
      </c>
      <c r="T4607" s="9">
        <v>44.774343906619599</v>
      </c>
      <c r="U4607" s="9">
        <v>47.410026125961608</v>
      </c>
      <c r="V4607" s="9">
        <v>47.410026125961608</v>
      </c>
      <c r="W4607" s="9">
        <v>47.410026125961608</v>
      </c>
      <c r="X4607" s="9">
        <v>51.970197263128114</v>
      </c>
      <c r="Y4607" s="9">
        <v>51.970197263128114</v>
      </c>
      <c r="Z4607" s="9">
        <v>57.180133523400194</v>
      </c>
      <c r="AA4607" s="9">
        <v>57.180133523400194</v>
      </c>
      <c r="AB4607" s="9">
        <v>62.205497742174821</v>
      </c>
      <c r="AC4607" s="9">
        <v>62.205497742174821</v>
      </c>
      <c r="AD4607" s="9">
        <v>67.764075150980162</v>
      </c>
      <c r="AE4607" s="9">
        <v>75.345852790378046</v>
      </c>
      <c r="AF4607" s="9">
        <v>81.372396625232085</v>
      </c>
      <c r="AG4607" s="9">
        <v>81.372396625232085</v>
      </c>
      <c r="AH4607" s="9">
        <v>88.045224250123979</v>
      </c>
      <c r="AI4607" s="9">
        <v>94.96907033416484</v>
      </c>
      <c r="AJ4607" s="9">
        <v>3.0428788910505911</v>
      </c>
    </row>
    <row r="4608" spans="1:36" x14ac:dyDescent="0.25">
      <c r="A4608" t="s">
        <v>5411</v>
      </c>
      <c r="B4608" t="s">
        <v>16</v>
      </c>
      <c r="C4608" t="s">
        <v>17</v>
      </c>
      <c r="D4608">
        <v>78790000</v>
      </c>
      <c r="E4608">
        <v>78794999</v>
      </c>
      <c r="F4608" t="s">
        <v>4199</v>
      </c>
      <c r="G4608" t="str">
        <f t="shared" si="142"/>
        <v>MTR</v>
      </c>
      <c r="H4608" t="s">
        <v>4079</v>
      </c>
      <c r="I4608" t="s">
        <v>20</v>
      </c>
      <c r="J4608" t="s">
        <v>77</v>
      </c>
      <c r="K4608" s="6">
        <v>0.03</v>
      </c>
      <c r="L4608" s="7">
        <f t="shared" si="143"/>
        <v>2E-3</v>
      </c>
      <c r="M4608" s="7">
        <v>3.0000000000000001E-3</v>
      </c>
      <c r="N4608">
        <v>17</v>
      </c>
      <c r="O4608" s="8">
        <v>41.207080732056241</v>
      </c>
      <c r="P4608" s="9">
        <v>41.207080732056241</v>
      </c>
      <c r="Q4608" s="9">
        <v>41.207080732056241</v>
      </c>
      <c r="R4608" s="9">
        <v>42.157262509433366</v>
      </c>
      <c r="S4608" s="9">
        <v>44.562650125658905</v>
      </c>
      <c r="T4608" s="9">
        <v>44.774343906619599</v>
      </c>
      <c r="U4608" s="9">
        <v>47.410026125961608</v>
      </c>
      <c r="V4608" s="9">
        <v>47.410026125961608</v>
      </c>
      <c r="W4608" s="9">
        <v>47.410026125961608</v>
      </c>
      <c r="X4608" s="9">
        <v>51.970197263128114</v>
      </c>
      <c r="Y4608" s="9">
        <v>51.970197263128114</v>
      </c>
      <c r="Z4608" s="9">
        <v>57.180133523400194</v>
      </c>
      <c r="AA4608" s="9">
        <v>57.180133523400194</v>
      </c>
      <c r="AB4608" s="9">
        <v>62.205497742174821</v>
      </c>
      <c r="AC4608" s="9">
        <v>62.205497742174821</v>
      </c>
      <c r="AD4608" s="9">
        <v>67.764075150980162</v>
      </c>
      <c r="AE4608" s="9">
        <v>75.345852790378046</v>
      </c>
      <c r="AF4608" s="9">
        <v>81.372396625232085</v>
      </c>
      <c r="AG4608" s="9">
        <v>81.372396625232085</v>
      </c>
      <c r="AH4608" s="9">
        <v>88.045224250123979</v>
      </c>
      <c r="AI4608" s="9">
        <v>94.96907033416484</v>
      </c>
      <c r="AJ4608" s="9">
        <v>3.0428788910505911</v>
      </c>
    </row>
    <row r="4609" spans="1:36" x14ac:dyDescent="0.25">
      <c r="A4609" t="s">
        <v>5411</v>
      </c>
      <c r="B4609" t="s">
        <v>16</v>
      </c>
      <c r="C4609" t="s">
        <v>17</v>
      </c>
      <c r="D4609">
        <v>78795000</v>
      </c>
      <c r="E4609">
        <v>78799999</v>
      </c>
      <c r="F4609" t="s">
        <v>2746</v>
      </c>
      <c r="G4609" t="str">
        <f t="shared" si="142"/>
        <v>MTR</v>
      </c>
      <c r="H4609" t="s">
        <v>4079</v>
      </c>
      <c r="I4609" t="s">
        <v>20</v>
      </c>
      <c r="J4609" t="s">
        <v>77</v>
      </c>
      <c r="K4609" s="6">
        <v>0.03</v>
      </c>
      <c r="L4609" s="7">
        <f t="shared" si="143"/>
        <v>2E-3</v>
      </c>
      <c r="M4609" s="7">
        <v>3.0000000000000001E-3</v>
      </c>
      <c r="N4609">
        <v>17</v>
      </c>
      <c r="O4609" s="8">
        <v>41.207080732056241</v>
      </c>
      <c r="P4609" s="9">
        <v>41.207080732056241</v>
      </c>
      <c r="Q4609" s="9">
        <v>41.207080732056241</v>
      </c>
      <c r="R4609" s="9">
        <v>42.157262509433366</v>
      </c>
      <c r="S4609" s="9">
        <v>44.562650125658905</v>
      </c>
      <c r="T4609" s="9">
        <v>44.774343906619599</v>
      </c>
      <c r="U4609" s="9">
        <v>47.410026125961608</v>
      </c>
      <c r="V4609" s="9">
        <v>47.410026125961608</v>
      </c>
      <c r="W4609" s="9">
        <v>47.410026125961608</v>
      </c>
      <c r="X4609" s="9">
        <v>51.970197263128114</v>
      </c>
      <c r="Y4609" s="9">
        <v>51.970197263128114</v>
      </c>
      <c r="Z4609" s="9">
        <v>57.180133523400194</v>
      </c>
      <c r="AA4609" s="9">
        <v>57.180133523400194</v>
      </c>
      <c r="AB4609" s="9">
        <v>62.205497742174821</v>
      </c>
      <c r="AC4609" s="9">
        <v>62.205497742174821</v>
      </c>
      <c r="AD4609" s="9">
        <v>67.764075150980162</v>
      </c>
      <c r="AE4609" s="9">
        <v>75.345852790378046</v>
      </c>
      <c r="AF4609" s="9">
        <v>81.372396625232085</v>
      </c>
      <c r="AG4609" s="9">
        <v>81.372396625232085</v>
      </c>
      <c r="AH4609" s="9">
        <v>88.045224250123979</v>
      </c>
      <c r="AI4609" s="9">
        <v>94.96907033416484</v>
      </c>
      <c r="AJ4609" s="9">
        <v>3.0428788910505911</v>
      </c>
    </row>
    <row r="4610" spans="1:36" x14ac:dyDescent="0.25">
      <c r="A4610" t="s">
        <v>5411</v>
      </c>
      <c r="B4610" t="s">
        <v>16</v>
      </c>
      <c r="C4610" t="s">
        <v>17</v>
      </c>
      <c r="D4610">
        <v>78800000</v>
      </c>
      <c r="E4610">
        <v>78809999</v>
      </c>
      <c r="F4610" t="s">
        <v>4200</v>
      </c>
      <c r="G4610" t="str">
        <f t="shared" si="142"/>
        <v>MTR</v>
      </c>
      <c r="H4610" t="s">
        <v>4079</v>
      </c>
      <c r="I4610" t="s">
        <v>20</v>
      </c>
      <c r="J4610" t="s">
        <v>77</v>
      </c>
      <c r="K4610" s="6">
        <v>0.03</v>
      </c>
      <c r="L4610" s="7">
        <f t="shared" si="143"/>
        <v>2E-3</v>
      </c>
      <c r="M4610" s="7">
        <v>3.0000000000000001E-3</v>
      </c>
      <c r="N4610">
        <v>17</v>
      </c>
      <c r="O4610" s="8">
        <v>41.207080732056241</v>
      </c>
      <c r="P4610" s="9">
        <v>41.207080732056241</v>
      </c>
      <c r="Q4610" s="9">
        <v>41.207080732056241</v>
      </c>
      <c r="R4610" s="9">
        <v>42.157262509433366</v>
      </c>
      <c r="S4610" s="9">
        <v>44.562650125658905</v>
      </c>
      <c r="T4610" s="9">
        <v>44.774343906619599</v>
      </c>
      <c r="U4610" s="9">
        <v>47.410026125961608</v>
      </c>
      <c r="V4610" s="9">
        <v>47.410026125961608</v>
      </c>
      <c r="W4610" s="9">
        <v>47.410026125961608</v>
      </c>
      <c r="X4610" s="9">
        <v>51.970197263128114</v>
      </c>
      <c r="Y4610" s="9">
        <v>51.970197263128114</v>
      </c>
      <c r="Z4610" s="9">
        <v>57.180133523400194</v>
      </c>
      <c r="AA4610" s="9">
        <v>57.180133523400194</v>
      </c>
      <c r="AB4610" s="9">
        <v>62.205497742174821</v>
      </c>
      <c r="AC4610" s="9">
        <v>62.205497742174821</v>
      </c>
      <c r="AD4610" s="9">
        <v>67.764075150980162</v>
      </c>
      <c r="AE4610" s="9">
        <v>75.345852790378046</v>
      </c>
      <c r="AF4610" s="9">
        <v>81.372396625232085</v>
      </c>
      <c r="AG4610" s="9">
        <v>81.372396625232085</v>
      </c>
      <c r="AH4610" s="9">
        <v>88.045224250123979</v>
      </c>
      <c r="AI4610" s="9">
        <v>94.96907033416484</v>
      </c>
      <c r="AJ4610" s="9">
        <v>3.0428788910505911</v>
      </c>
    </row>
    <row r="4611" spans="1:36" x14ac:dyDescent="0.25">
      <c r="A4611" t="s">
        <v>5411</v>
      </c>
      <c r="B4611" t="s">
        <v>16</v>
      </c>
      <c r="C4611" t="s">
        <v>17</v>
      </c>
      <c r="D4611">
        <v>78810000</v>
      </c>
      <c r="E4611">
        <v>78819999</v>
      </c>
      <c r="F4611" t="s">
        <v>4201</v>
      </c>
      <c r="G4611" t="str">
        <f t="shared" si="142"/>
        <v>MTR</v>
      </c>
      <c r="H4611" t="s">
        <v>4079</v>
      </c>
      <c r="I4611" t="s">
        <v>20</v>
      </c>
      <c r="J4611" t="s">
        <v>77</v>
      </c>
      <c r="K4611" s="6">
        <v>0.03</v>
      </c>
      <c r="L4611" s="7">
        <f t="shared" si="143"/>
        <v>2E-3</v>
      </c>
      <c r="M4611" s="7">
        <v>3.0000000000000001E-3</v>
      </c>
      <c r="N4611">
        <v>17</v>
      </c>
      <c r="O4611" s="8">
        <v>41.207080732056241</v>
      </c>
      <c r="P4611" s="9">
        <v>41.207080732056241</v>
      </c>
      <c r="Q4611" s="9">
        <v>41.207080732056241</v>
      </c>
      <c r="R4611" s="9">
        <v>42.157262509433366</v>
      </c>
      <c r="S4611" s="9">
        <v>44.562650125658905</v>
      </c>
      <c r="T4611" s="9">
        <v>44.774343906619599</v>
      </c>
      <c r="U4611" s="9">
        <v>47.410026125961608</v>
      </c>
      <c r="V4611" s="9">
        <v>47.410026125961608</v>
      </c>
      <c r="W4611" s="9">
        <v>47.410026125961608</v>
      </c>
      <c r="X4611" s="9">
        <v>51.970197263128114</v>
      </c>
      <c r="Y4611" s="9">
        <v>51.970197263128114</v>
      </c>
      <c r="Z4611" s="9">
        <v>57.180133523400194</v>
      </c>
      <c r="AA4611" s="9">
        <v>57.180133523400194</v>
      </c>
      <c r="AB4611" s="9">
        <v>62.205497742174821</v>
      </c>
      <c r="AC4611" s="9">
        <v>62.205497742174821</v>
      </c>
      <c r="AD4611" s="9">
        <v>67.764075150980162</v>
      </c>
      <c r="AE4611" s="9">
        <v>75.345852790378046</v>
      </c>
      <c r="AF4611" s="9">
        <v>81.372396625232085</v>
      </c>
      <c r="AG4611" s="9">
        <v>81.372396625232085</v>
      </c>
      <c r="AH4611" s="9">
        <v>88.045224250123979</v>
      </c>
      <c r="AI4611" s="9">
        <v>94.96907033416484</v>
      </c>
      <c r="AJ4611" s="9">
        <v>3.0428788910505911</v>
      </c>
    </row>
    <row r="4612" spans="1:36" x14ac:dyDescent="0.25">
      <c r="A4612" t="s">
        <v>5411</v>
      </c>
      <c r="B4612" t="s">
        <v>16</v>
      </c>
      <c r="C4612" t="s">
        <v>17</v>
      </c>
      <c r="D4612">
        <v>78820000</v>
      </c>
      <c r="E4612">
        <v>78829999</v>
      </c>
      <c r="F4612" t="s">
        <v>4202</v>
      </c>
      <c r="G4612" t="str">
        <f t="shared" ref="G4612:G4675" si="144">H4612&amp;IF(J4612="CAPITAL","C",IF(J4612="INTERIOR","I",IF(J4612="INTERIOR II","I II","R")))</f>
        <v>MTR</v>
      </c>
      <c r="H4612" t="s">
        <v>4079</v>
      </c>
      <c r="I4612" t="s">
        <v>20</v>
      </c>
      <c r="J4612" t="s">
        <v>77</v>
      </c>
      <c r="K4612" s="6">
        <v>0.03</v>
      </c>
      <c r="L4612" s="7">
        <f t="shared" ref="L4612:L4675" si="145">IF(I4612="(0) Não",0.2%,3%)</f>
        <v>2E-3</v>
      </c>
      <c r="M4612" s="7">
        <v>3.0000000000000001E-3</v>
      </c>
      <c r="N4612">
        <v>17</v>
      </c>
      <c r="O4612" s="8">
        <v>41.207080732056241</v>
      </c>
      <c r="P4612" s="9">
        <v>41.207080732056241</v>
      </c>
      <c r="Q4612" s="9">
        <v>41.207080732056241</v>
      </c>
      <c r="R4612" s="9">
        <v>42.157262509433366</v>
      </c>
      <c r="S4612" s="9">
        <v>44.562650125658905</v>
      </c>
      <c r="T4612" s="9">
        <v>44.774343906619599</v>
      </c>
      <c r="U4612" s="9">
        <v>47.410026125961608</v>
      </c>
      <c r="V4612" s="9">
        <v>47.410026125961608</v>
      </c>
      <c r="W4612" s="9">
        <v>47.410026125961608</v>
      </c>
      <c r="X4612" s="9">
        <v>51.970197263128114</v>
      </c>
      <c r="Y4612" s="9">
        <v>51.970197263128114</v>
      </c>
      <c r="Z4612" s="9">
        <v>57.180133523400194</v>
      </c>
      <c r="AA4612" s="9">
        <v>57.180133523400194</v>
      </c>
      <c r="AB4612" s="9">
        <v>62.205497742174821</v>
      </c>
      <c r="AC4612" s="9">
        <v>62.205497742174821</v>
      </c>
      <c r="AD4612" s="9">
        <v>67.764075150980162</v>
      </c>
      <c r="AE4612" s="9">
        <v>75.345852790378046</v>
      </c>
      <c r="AF4612" s="9">
        <v>81.372396625232085</v>
      </c>
      <c r="AG4612" s="9">
        <v>81.372396625232085</v>
      </c>
      <c r="AH4612" s="9">
        <v>88.045224250123979</v>
      </c>
      <c r="AI4612" s="9">
        <v>94.96907033416484</v>
      </c>
      <c r="AJ4612" s="9">
        <v>3.0428788910505911</v>
      </c>
    </row>
    <row r="4613" spans="1:36" x14ac:dyDescent="0.25">
      <c r="A4613" t="s">
        <v>5411</v>
      </c>
      <c r="B4613" t="s">
        <v>16</v>
      </c>
      <c r="C4613" t="s">
        <v>17</v>
      </c>
      <c r="D4613">
        <v>78830000</v>
      </c>
      <c r="E4613">
        <v>78834999</v>
      </c>
      <c r="F4613" t="s">
        <v>4203</v>
      </c>
      <c r="G4613" t="str">
        <f t="shared" si="144"/>
        <v>MTR</v>
      </c>
      <c r="H4613" t="s">
        <v>4079</v>
      </c>
      <c r="I4613" t="s">
        <v>20</v>
      </c>
      <c r="J4613" t="s">
        <v>77</v>
      </c>
      <c r="K4613" s="6">
        <v>0.03</v>
      </c>
      <c r="L4613" s="7">
        <f t="shared" si="145"/>
        <v>2E-3</v>
      </c>
      <c r="M4613" s="7">
        <v>3.0000000000000001E-3</v>
      </c>
      <c r="N4613">
        <v>17</v>
      </c>
      <c r="O4613" s="8">
        <v>41.207080732056241</v>
      </c>
      <c r="P4613" s="9">
        <v>41.207080732056241</v>
      </c>
      <c r="Q4613" s="9">
        <v>41.207080732056241</v>
      </c>
      <c r="R4613" s="9">
        <v>42.157262509433366</v>
      </c>
      <c r="S4613" s="9">
        <v>44.562650125658905</v>
      </c>
      <c r="T4613" s="9">
        <v>44.774343906619599</v>
      </c>
      <c r="U4613" s="9">
        <v>47.410026125961608</v>
      </c>
      <c r="V4613" s="9">
        <v>47.410026125961608</v>
      </c>
      <c r="W4613" s="9">
        <v>47.410026125961608</v>
      </c>
      <c r="X4613" s="9">
        <v>51.970197263128114</v>
      </c>
      <c r="Y4613" s="9">
        <v>51.970197263128114</v>
      </c>
      <c r="Z4613" s="9">
        <v>57.180133523400194</v>
      </c>
      <c r="AA4613" s="9">
        <v>57.180133523400194</v>
      </c>
      <c r="AB4613" s="9">
        <v>62.205497742174821</v>
      </c>
      <c r="AC4613" s="9">
        <v>62.205497742174821</v>
      </c>
      <c r="AD4613" s="9">
        <v>67.764075150980162</v>
      </c>
      <c r="AE4613" s="9">
        <v>75.345852790378046</v>
      </c>
      <c r="AF4613" s="9">
        <v>81.372396625232085</v>
      </c>
      <c r="AG4613" s="9">
        <v>81.372396625232085</v>
      </c>
      <c r="AH4613" s="9">
        <v>88.045224250123979</v>
      </c>
      <c r="AI4613" s="9">
        <v>94.96907033416484</v>
      </c>
      <c r="AJ4613" s="9">
        <v>3.0428788910505911</v>
      </c>
    </row>
    <row r="4614" spans="1:36" x14ac:dyDescent="0.25">
      <c r="A4614" t="s">
        <v>5411</v>
      </c>
      <c r="B4614" t="s">
        <v>16</v>
      </c>
      <c r="C4614" t="s">
        <v>17</v>
      </c>
      <c r="D4614">
        <v>78835000</v>
      </c>
      <c r="E4614">
        <v>78839999</v>
      </c>
      <c r="F4614" t="s">
        <v>4204</v>
      </c>
      <c r="G4614" t="str">
        <f t="shared" si="144"/>
        <v>MTR</v>
      </c>
      <c r="H4614" t="s">
        <v>4079</v>
      </c>
      <c r="I4614" t="s">
        <v>20</v>
      </c>
      <c r="J4614" t="s">
        <v>77</v>
      </c>
      <c r="K4614" s="6">
        <v>0.03</v>
      </c>
      <c r="L4614" s="7">
        <f t="shared" si="145"/>
        <v>2E-3</v>
      </c>
      <c r="M4614" s="7">
        <v>3.0000000000000001E-3</v>
      </c>
      <c r="N4614">
        <v>17</v>
      </c>
      <c r="O4614" s="8">
        <v>41.207080732056241</v>
      </c>
      <c r="P4614" s="9">
        <v>41.207080732056241</v>
      </c>
      <c r="Q4614" s="9">
        <v>41.207080732056241</v>
      </c>
      <c r="R4614" s="9">
        <v>42.157262509433366</v>
      </c>
      <c r="S4614" s="9">
        <v>44.562650125658905</v>
      </c>
      <c r="T4614" s="9">
        <v>44.774343906619599</v>
      </c>
      <c r="U4614" s="9">
        <v>47.410026125961608</v>
      </c>
      <c r="V4614" s="9">
        <v>47.410026125961608</v>
      </c>
      <c r="W4614" s="9">
        <v>47.410026125961608</v>
      </c>
      <c r="X4614" s="9">
        <v>51.970197263128114</v>
      </c>
      <c r="Y4614" s="9">
        <v>51.970197263128114</v>
      </c>
      <c r="Z4614" s="9">
        <v>57.180133523400194</v>
      </c>
      <c r="AA4614" s="9">
        <v>57.180133523400194</v>
      </c>
      <c r="AB4614" s="9">
        <v>62.205497742174821</v>
      </c>
      <c r="AC4614" s="9">
        <v>62.205497742174821</v>
      </c>
      <c r="AD4614" s="9">
        <v>67.764075150980162</v>
      </c>
      <c r="AE4614" s="9">
        <v>75.345852790378046</v>
      </c>
      <c r="AF4614" s="9">
        <v>81.372396625232085</v>
      </c>
      <c r="AG4614" s="9">
        <v>81.372396625232085</v>
      </c>
      <c r="AH4614" s="9">
        <v>88.045224250123979</v>
      </c>
      <c r="AI4614" s="9">
        <v>94.96907033416484</v>
      </c>
      <c r="AJ4614" s="9">
        <v>3.0428788910505911</v>
      </c>
    </row>
    <row r="4615" spans="1:36" x14ac:dyDescent="0.25">
      <c r="A4615" t="s">
        <v>5411</v>
      </c>
      <c r="B4615" t="s">
        <v>16</v>
      </c>
      <c r="C4615" t="s">
        <v>17</v>
      </c>
      <c r="D4615">
        <v>78840000</v>
      </c>
      <c r="E4615">
        <v>78849999</v>
      </c>
      <c r="F4615" t="s">
        <v>4205</v>
      </c>
      <c r="G4615" t="str">
        <f t="shared" si="144"/>
        <v>MTR</v>
      </c>
      <c r="H4615" t="s">
        <v>4079</v>
      </c>
      <c r="I4615" t="s">
        <v>20</v>
      </c>
      <c r="J4615" t="s">
        <v>77</v>
      </c>
      <c r="K4615" s="6">
        <v>0.03</v>
      </c>
      <c r="L4615" s="7">
        <f t="shared" si="145"/>
        <v>2E-3</v>
      </c>
      <c r="M4615" s="7">
        <v>3.0000000000000001E-3</v>
      </c>
      <c r="N4615">
        <v>17</v>
      </c>
      <c r="O4615" s="8">
        <v>41.207080732056241</v>
      </c>
      <c r="P4615" s="9">
        <v>41.207080732056241</v>
      </c>
      <c r="Q4615" s="9">
        <v>41.207080732056241</v>
      </c>
      <c r="R4615" s="9">
        <v>42.157262509433366</v>
      </c>
      <c r="S4615" s="9">
        <v>44.562650125658905</v>
      </c>
      <c r="T4615" s="9">
        <v>44.774343906619599</v>
      </c>
      <c r="U4615" s="9">
        <v>47.410026125961608</v>
      </c>
      <c r="V4615" s="9">
        <v>47.410026125961608</v>
      </c>
      <c r="W4615" s="9">
        <v>47.410026125961608</v>
      </c>
      <c r="X4615" s="9">
        <v>51.970197263128114</v>
      </c>
      <c r="Y4615" s="9">
        <v>51.970197263128114</v>
      </c>
      <c r="Z4615" s="9">
        <v>57.180133523400194</v>
      </c>
      <c r="AA4615" s="9">
        <v>57.180133523400194</v>
      </c>
      <c r="AB4615" s="9">
        <v>62.205497742174821</v>
      </c>
      <c r="AC4615" s="9">
        <v>62.205497742174821</v>
      </c>
      <c r="AD4615" s="9">
        <v>67.764075150980162</v>
      </c>
      <c r="AE4615" s="9">
        <v>75.345852790378046</v>
      </c>
      <c r="AF4615" s="9">
        <v>81.372396625232085</v>
      </c>
      <c r="AG4615" s="9">
        <v>81.372396625232085</v>
      </c>
      <c r="AH4615" s="9">
        <v>88.045224250123979</v>
      </c>
      <c r="AI4615" s="9">
        <v>94.96907033416484</v>
      </c>
      <c r="AJ4615" s="9">
        <v>3.0428788910505911</v>
      </c>
    </row>
    <row r="4616" spans="1:36" x14ac:dyDescent="0.25">
      <c r="A4616" t="s">
        <v>5411</v>
      </c>
      <c r="B4616" t="s">
        <v>16</v>
      </c>
      <c r="C4616" t="s">
        <v>17</v>
      </c>
      <c r="D4616">
        <v>78850000</v>
      </c>
      <c r="E4616">
        <v>78854999</v>
      </c>
      <c r="F4616" t="s">
        <v>4206</v>
      </c>
      <c r="G4616" t="str">
        <f t="shared" si="144"/>
        <v>MTI II</v>
      </c>
      <c r="H4616" t="s">
        <v>4079</v>
      </c>
      <c r="I4616" t="s">
        <v>20</v>
      </c>
      <c r="J4616" t="s">
        <v>64</v>
      </c>
      <c r="K4616" s="6">
        <v>0.03</v>
      </c>
      <c r="L4616" s="7">
        <f t="shared" si="145"/>
        <v>2E-3</v>
      </c>
      <c r="M4616" s="7">
        <v>3.0000000000000001E-3</v>
      </c>
      <c r="N4616">
        <v>13</v>
      </c>
      <c r="O4616" s="8">
        <v>26.945869944786573</v>
      </c>
      <c r="P4616" s="9">
        <v>26.945869944786573</v>
      </c>
      <c r="Q4616" s="9">
        <v>26.945869944786573</v>
      </c>
      <c r="R4616" s="9">
        <v>27.872426176460309</v>
      </c>
      <c r="S4616" s="9">
        <v>30.114764737466444</v>
      </c>
      <c r="T4616" s="9">
        <v>30.389103773795448</v>
      </c>
      <c r="U4616" s="9">
        <v>32.851592628213609</v>
      </c>
      <c r="V4616" s="9">
        <v>32.851592628213609</v>
      </c>
      <c r="W4616" s="9">
        <v>32.851592628213609</v>
      </c>
      <c r="X4616" s="9">
        <v>35.974003563148294</v>
      </c>
      <c r="Y4616" s="9">
        <v>35.974003563148294</v>
      </c>
      <c r="Z4616" s="9">
        <v>39.583028800026455</v>
      </c>
      <c r="AA4616" s="9">
        <v>39.583028800026455</v>
      </c>
      <c r="AB4616" s="9">
        <v>42.917947459820233</v>
      </c>
      <c r="AC4616" s="9">
        <v>42.917947459820233</v>
      </c>
      <c r="AD4616" s="9">
        <v>48.456144425509514</v>
      </c>
      <c r="AE4616" s="9">
        <v>51.441147415963158</v>
      </c>
      <c r="AF4616" s="9">
        <v>54.652150956017358</v>
      </c>
      <c r="AG4616" s="9">
        <v>54.652150956017358</v>
      </c>
      <c r="AH4616" s="9">
        <v>58.808410228839165</v>
      </c>
      <c r="AI4616" s="9">
        <v>62.34918511933521</v>
      </c>
      <c r="AJ4616" s="9">
        <v>3.0428788910505911</v>
      </c>
    </row>
    <row r="4617" spans="1:36" x14ac:dyDescent="0.25">
      <c r="A4617" t="s">
        <v>5411</v>
      </c>
      <c r="B4617" t="s">
        <v>16</v>
      </c>
      <c r="C4617" t="s">
        <v>17</v>
      </c>
      <c r="D4617">
        <v>78855000</v>
      </c>
      <c r="E4617">
        <v>78859999</v>
      </c>
      <c r="F4617" t="s">
        <v>4207</v>
      </c>
      <c r="G4617" t="str">
        <f t="shared" si="144"/>
        <v>MTR</v>
      </c>
      <c r="H4617" t="s">
        <v>4079</v>
      </c>
      <c r="I4617" t="s">
        <v>20</v>
      </c>
      <c r="J4617" t="s">
        <v>77</v>
      </c>
      <c r="K4617" s="6">
        <v>0.03</v>
      </c>
      <c r="L4617" s="7">
        <f t="shared" si="145"/>
        <v>2E-3</v>
      </c>
      <c r="M4617" s="7">
        <v>3.0000000000000001E-3</v>
      </c>
      <c r="N4617">
        <v>17</v>
      </c>
      <c r="O4617" s="8">
        <v>41.207080732056241</v>
      </c>
      <c r="P4617" s="9">
        <v>41.207080732056241</v>
      </c>
      <c r="Q4617" s="9">
        <v>41.207080732056241</v>
      </c>
      <c r="R4617" s="9">
        <v>42.157262509433366</v>
      </c>
      <c r="S4617" s="9">
        <v>44.562650125658905</v>
      </c>
      <c r="T4617" s="9">
        <v>44.774343906619599</v>
      </c>
      <c r="U4617" s="9">
        <v>47.410026125961608</v>
      </c>
      <c r="V4617" s="9">
        <v>47.410026125961608</v>
      </c>
      <c r="W4617" s="9">
        <v>47.410026125961608</v>
      </c>
      <c r="X4617" s="9">
        <v>51.970197263128114</v>
      </c>
      <c r="Y4617" s="9">
        <v>51.970197263128114</v>
      </c>
      <c r="Z4617" s="9">
        <v>57.180133523400194</v>
      </c>
      <c r="AA4617" s="9">
        <v>57.180133523400194</v>
      </c>
      <c r="AB4617" s="9">
        <v>62.205497742174821</v>
      </c>
      <c r="AC4617" s="9">
        <v>62.205497742174821</v>
      </c>
      <c r="AD4617" s="9">
        <v>67.764075150980162</v>
      </c>
      <c r="AE4617" s="9">
        <v>75.345852790378046</v>
      </c>
      <c r="AF4617" s="9">
        <v>81.372396625232085</v>
      </c>
      <c r="AG4617" s="9">
        <v>81.372396625232085</v>
      </c>
      <c r="AH4617" s="9">
        <v>88.045224250123979</v>
      </c>
      <c r="AI4617" s="9">
        <v>94.96907033416484</v>
      </c>
      <c r="AJ4617" s="9">
        <v>3.0428788910505911</v>
      </c>
    </row>
    <row r="4618" spans="1:36" x14ac:dyDescent="0.25">
      <c r="A4618" t="s">
        <v>5411</v>
      </c>
      <c r="B4618" t="s">
        <v>16</v>
      </c>
      <c r="C4618" t="s">
        <v>17</v>
      </c>
      <c r="D4618">
        <v>78860000</v>
      </c>
      <c r="E4618">
        <v>78869999</v>
      </c>
      <c r="F4618" t="s">
        <v>4208</v>
      </c>
      <c r="G4618" t="str">
        <f t="shared" si="144"/>
        <v>MTR</v>
      </c>
      <c r="H4618" t="s">
        <v>4079</v>
      </c>
      <c r="I4618" t="s">
        <v>20</v>
      </c>
      <c r="J4618" t="s">
        <v>77</v>
      </c>
      <c r="K4618" s="6">
        <v>0.03</v>
      </c>
      <c r="L4618" s="7">
        <f t="shared" si="145"/>
        <v>2E-3</v>
      </c>
      <c r="M4618" s="7">
        <v>3.0000000000000001E-3</v>
      </c>
      <c r="N4618">
        <v>17</v>
      </c>
      <c r="O4618" s="8">
        <v>41.207080732056241</v>
      </c>
      <c r="P4618" s="9">
        <v>41.207080732056241</v>
      </c>
      <c r="Q4618" s="9">
        <v>41.207080732056241</v>
      </c>
      <c r="R4618" s="9">
        <v>42.157262509433366</v>
      </c>
      <c r="S4618" s="9">
        <v>44.562650125658905</v>
      </c>
      <c r="T4618" s="9">
        <v>44.774343906619599</v>
      </c>
      <c r="U4618" s="9">
        <v>47.410026125961608</v>
      </c>
      <c r="V4618" s="9">
        <v>47.410026125961608</v>
      </c>
      <c r="W4618" s="9">
        <v>47.410026125961608</v>
      </c>
      <c r="X4618" s="9">
        <v>51.970197263128114</v>
      </c>
      <c r="Y4618" s="9">
        <v>51.970197263128114</v>
      </c>
      <c r="Z4618" s="9">
        <v>57.180133523400194</v>
      </c>
      <c r="AA4618" s="9">
        <v>57.180133523400194</v>
      </c>
      <c r="AB4618" s="9">
        <v>62.205497742174821</v>
      </c>
      <c r="AC4618" s="9">
        <v>62.205497742174821</v>
      </c>
      <c r="AD4618" s="9">
        <v>67.764075150980162</v>
      </c>
      <c r="AE4618" s="9">
        <v>75.345852790378046</v>
      </c>
      <c r="AF4618" s="9">
        <v>81.372396625232085</v>
      </c>
      <c r="AG4618" s="9">
        <v>81.372396625232085</v>
      </c>
      <c r="AH4618" s="9">
        <v>88.045224250123979</v>
      </c>
      <c r="AI4618" s="9">
        <v>94.96907033416484</v>
      </c>
      <c r="AJ4618" s="9">
        <v>3.0428788910505911</v>
      </c>
    </row>
    <row r="4619" spans="1:36" x14ac:dyDescent="0.25">
      <c r="A4619" t="s">
        <v>5411</v>
      </c>
      <c r="B4619" t="s">
        <v>16</v>
      </c>
      <c r="C4619" t="s">
        <v>17</v>
      </c>
      <c r="D4619">
        <v>78870000</v>
      </c>
      <c r="E4619">
        <v>78874999</v>
      </c>
      <c r="F4619" t="s">
        <v>4209</v>
      </c>
      <c r="G4619" t="str">
        <f t="shared" si="144"/>
        <v>MTR</v>
      </c>
      <c r="H4619" t="s">
        <v>4079</v>
      </c>
      <c r="I4619" t="s">
        <v>20</v>
      </c>
      <c r="J4619" t="s">
        <v>77</v>
      </c>
      <c r="K4619" s="6">
        <v>0.03</v>
      </c>
      <c r="L4619" s="7">
        <f t="shared" si="145"/>
        <v>2E-3</v>
      </c>
      <c r="M4619" s="7">
        <v>3.0000000000000001E-3</v>
      </c>
      <c r="N4619">
        <v>17</v>
      </c>
      <c r="O4619" s="8">
        <v>41.207080732056241</v>
      </c>
      <c r="P4619" s="9">
        <v>41.207080732056241</v>
      </c>
      <c r="Q4619" s="9">
        <v>41.207080732056241</v>
      </c>
      <c r="R4619" s="9">
        <v>42.157262509433366</v>
      </c>
      <c r="S4619" s="9">
        <v>44.562650125658905</v>
      </c>
      <c r="T4619" s="9">
        <v>44.774343906619599</v>
      </c>
      <c r="U4619" s="9">
        <v>47.410026125961608</v>
      </c>
      <c r="V4619" s="9">
        <v>47.410026125961608</v>
      </c>
      <c r="W4619" s="9">
        <v>47.410026125961608</v>
      </c>
      <c r="X4619" s="9">
        <v>51.970197263128114</v>
      </c>
      <c r="Y4619" s="9">
        <v>51.970197263128114</v>
      </c>
      <c r="Z4619" s="9">
        <v>57.180133523400194</v>
      </c>
      <c r="AA4619" s="9">
        <v>57.180133523400194</v>
      </c>
      <c r="AB4619" s="9">
        <v>62.205497742174821</v>
      </c>
      <c r="AC4619" s="9">
        <v>62.205497742174821</v>
      </c>
      <c r="AD4619" s="9">
        <v>67.764075150980162</v>
      </c>
      <c r="AE4619" s="9">
        <v>75.345852790378046</v>
      </c>
      <c r="AF4619" s="9">
        <v>81.372396625232085</v>
      </c>
      <c r="AG4619" s="9">
        <v>81.372396625232085</v>
      </c>
      <c r="AH4619" s="9">
        <v>88.045224250123979</v>
      </c>
      <c r="AI4619" s="9">
        <v>94.96907033416484</v>
      </c>
      <c r="AJ4619" s="9">
        <v>3.0428788910505911</v>
      </c>
    </row>
    <row r="4620" spans="1:36" x14ac:dyDescent="0.25">
      <c r="A4620" t="s">
        <v>5411</v>
      </c>
      <c r="B4620" t="s">
        <v>16</v>
      </c>
      <c r="C4620" t="s">
        <v>17</v>
      </c>
      <c r="D4620">
        <v>78875000</v>
      </c>
      <c r="E4620">
        <v>78879999</v>
      </c>
      <c r="F4620" t="s">
        <v>4210</v>
      </c>
      <c r="G4620" t="str">
        <f t="shared" si="144"/>
        <v>MTR</v>
      </c>
      <c r="H4620" t="s">
        <v>4079</v>
      </c>
      <c r="I4620" t="s">
        <v>20</v>
      </c>
      <c r="J4620" t="s">
        <v>77</v>
      </c>
      <c r="K4620" s="6">
        <v>0.03</v>
      </c>
      <c r="L4620" s="7">
        <f t="shared" si="145"/>
        <v>2E-3</v>
      </c>
      <c r="M4620" s="7">
        <v>3.0000000000000001E-3</v>
      </c>
      <c r="N4620">
        <v>17</v>
      </c>
      <c r="O4620" s="8">
        <v>41.207080732056241</v>
      </c>
      <c r="P4620" s="9">
        <v>41.207080732056241</v>
      </c>
      <c r="Q4620" s="9">
        <v>41.207080732056241</v>
      </c>
      <c r="R4620" s="9">
        <v>42.157262509433366</v>
      </c>
      <c r="S4620" s="9">
        <v>44.562650125658905</v>
      </c>
      <c r="T4620" s="9">
        <v>44.774343906619599</v>
      </c>
      <c r="U4620" s="9">
        <v>47.410026125961608</v>
      </c>
      <c r="V4620" s="9">
        <v>47.410026125961608</v>
      </c>
      <c r="W4620" s="9">
        <v>47.410026125961608</v>
      </c>
      <c r="X4620" s="9">
        <v>51.970197263128114</v>
      </c>
      <c r="Y4620" s="9">
        <v>51.970197263128114</v>
      </c>
      <c r="Z4620" s="9">
        <v>57.180133523400194</v>
      </c>
      <c r="AA4620" s="9">
        <v>57.180133523400194</v>
      </c>
      <c r="AB4620" s="9">
        <v>62.205497742174821</v>
      </c>
      <c r="AC4620" s="9">
        <v>62.205497742174821</v>
      </c>
      <c r="AD4620" s="9">
        <v>67.764075150980162</v>
      </c>
      <c r="AE4620" s="9">
        <v>75.345852790378046</v>
      </c>
      <c r="AF4620" s="9">
        <v>81.372396625232085</v>
      </c>
      <c r="AG4620" s="9">
        <v>81.372396625232085</v>
      </c>
      <c r="AH4620" s="9">
        <v>88.045224250123979</v>
      </c>
      <c r="AI4620" s="9">
        <v>94.96907033416484</v>
      </c>
      <c r="AJ4620" s="9">
        <v>3.0428788910505911</v>
      </c>
    </row>
    <row r="4621" spans="1:36" x14ac:dyDescent="0.25">
      <c r="A4621" t="s">
        <v>5411</v>
      </c>
      <c r="B4621" t="s">
        <v>16</v>
      </c>
      <c r="C4621" t="s">
        <v>17</v>
      </c>
      <c r="D4621">
        <v>78880000</v>
      </c>
      <c r="E4621">
        <v>78884999</v>
      </c>
      <c r="F4621" t="s">
        <v>4211</v>
      </c>
      <c r="G4621" t="str">
        <f t="shared" si="144"/>
        <v>MTR</v>
      </c>
      <c r="H4621" t="s">
        <v>4079</v>
      </c>
      <c r="I4621" t="s">
        <v>20</v>
      </c>
      <c r="J4621" t="s">
        <v>77</v>
      </c>
      <c r="K4621" s="6">
        <v>0.03</v>
      </c>
      <c r="L4621" s="7">
        <f t="shared" si="145"/>
        <v>2E-3</v>
      </c>
      <c r="M4621" s="7">
        <v>3.0000000000000001E-3</v>
      </c>
      <c r="N4621">
        <v>17</v>
      </c>
      <c r="O4621" s="8">
        <v>41.207080732056241</v>
      </c>
      <c r="P4621" s="9">
        <v>41.207080732056241</v>
      </c>
      <c r="Q4621" s="9">
        <v>41.207080732056241</v>
      </c>
      <c r="R4621" s="9">
        <v>42.157262509433366</v>
      </c>
      <c r="S4621" s="9">
        <v>44.562650125658905</v>
      </c>
      <c r="T4621" s="9">
        <v>44.774343906619599</v>
      </c>
      <c r="U4621" s="9">
        <v>47.410026125961608</v>
      </c>
      <c r="V4621" s="9">
        <v>47.410026125961608</v>
      </c>
      <c r="W4621" s="9">
        <v>47.410026125961608</v>
      </c>
      <c r="X4621" s="9">
        <v>51.970197263128114</v>
      </c>
      <c r="Y4621" s="9">
        <v>51.970197263128114</v>
      </c>
      <c r="Z4621" s="9">
        <v>57.180133523400194</v>
      </c>
      <c r="AA4621" s="9">
        <v>57.180133523400194</v>
      </c>
      <c r="AB4621" s="9">
        <v>62.205497742174821</v>
      </c>
      <c r="AC4621" s="9">
        <v>62.205497742174821</v>
      </c>
      <c r="AD4621" s="9">
        <v>67.764075150980162</v>
      </c>
      <c r="AE4621" s="9">
        <v>75.345852790378046</v>
      </c>
      <c r="AF4621" s="9">
        <v>81.372396625232085</v>
      </c>
      <c r="AG4621" s="9">
        <v>81.372396625232085</v>
      </c>
      <c r="AH4621" s="9">
        <v>88.045224250123979</v>
      </c>
      <c r="AI4621" s="9">
        <v>94.96907033416484</v>
      </c>
      <c r="AJ4621" s="9">
        <v>3.0428788910505911</v>
      </c>
    </row>
    <row r="4622" spans="1:36" x14ac:dyDescent="0.25">
      <c r="A4622" t="s">
        <v>5411</v>
      </c>
      <c r="B4622" t="s">
        <v>16</v>
      </c>
      <c r="C4622" t="s">
        <v>17</v>
      </c>
      <c r="D4622">
        <v>78885000</v>
      </c>
      <c r="E4622">
        <v>78887999</v>
      </c>
      <c r="F4622" t="s">
        <v>4212</v>
      </c>
      <c r="G4622" t="str">
        <f t="shared" si="144"/>
        <v>MTR</v>
      </c>
      <c r="H4622" t="s">
        <v>4079</v>
      </c>
      <c r="I4622" t="s">
        <v>20</v>
      </c>
      <c r="J4622" t="s">
        <v>77</v>
      </c>
      <c r="K4622" s="6">
        <v>0.03</v>
      </c>
      <c r="L4622" s="7">
        <f t="shared" si="145"/>
        <v>2E-3</v>
      </c>
      <c r="M4622" s="7">
        <v>3.0000000000000001E-3</v>
      </c>
      <c r="N4622">
        <v>17</v>
      </c>
      <c r="O4622" s="8">
        <v>41.207080732056241</v>
      </c>
      <c r="P4622" s="9">
        <v>41.207080732056241</v>
      </c>
      <c r="Q4622" s="9">
        <v>41.207080732056241</v>
      </c>
      <c r="R4622" s="9">
        <v>42.157262509433366</v>
      </c>
      <c r="S4622" s="9">
        <v>44.562650125658905</v>
      </c>
      <c r="T4622" s="9">
        <v>44.774343906619599</v>
      </c>
      <c r="U4622" s="9">
        <v>47.410026125961608</v>
      </c>
      <c r="V4622" s="9">
        <v>47.410026125961608</v>
      </c>
      <c r="W4622" s="9">
        <v>47.410026125961608</v>
      </c>
      <c r="X4622" s="9">
        <v>51.970197263128114</v>
      </c>
      <c r="Y4622" s="9">
        <v>51.970197263128114</v>
      </c>
      <c r="Z4622" s="9">
        <v>57.180133523400194</v>
      </c>
      <c r="AA4622" s="9">
        <v>57.180133523400194</v>
      </c>
      <c r="AB4622" s="9">
        <v>62.205497742174821</v>
      </c>
      <c r="AC4622" s="9">
        <v>62.205497742174821</v>
      </c>
      <c r="AD4622" s="9">
        <v>67.764075150980162</v>
      </c>
      <c r="AE4622" s="9">
        <v>75.345852790378046</v>
      </c>
      <c r="AF4622" s="9">
        <v>81.372396625232085</v>
      </c>
      <c r="AG4622" s="9">
        <v>81.372396625232085</v>
      </c>
      <c r="AH4622" s="9">
        <v>88.045224250123979</v>
      </c>
      <c r="AI4622" s="9">
        <v>94.96907033416484</v>
      </c>
      <c r="AJ4622" s="9">
        <v>3.0428788910505911</v>
      </c>
    </row>
    <row r="4623" spans="1:36" x14ac:dyDescent="0.25">
      <c r="A4623" t="s">
        <v>5411</v>
      </c>
      <c r="B4623" t="s">
        <v>16</v>
      </c>
      <c r="C4623" t="s">
        <v>17</v>
      </c>
      <c r="D4623">
        <v>78888000</v>
      </c>
      <c r="E4623">
        <v>78889999</v>
      </c>
      <c r="F4623" t="s">
        <v>4213</v>
      </c>
      <c r="G4623" t="str">
        <f t="shared" si="144"/>
        <v>MTR</v>
      </c>
      <c r="H4623" t="s">
        <v>4079</v>
      </c>
      <c r="I4623" t="s">
        <v>20</v>
      </c>
      <c r="J4623" t="s">
        <v>77</v>
      </c>
      <c r="K4623" s="6">
        <v>0.03</v>
      </c>
      <c r="L4623" s="7">
        <f t="shared" si="145"/>
        <v>2E-3</v>
      </c>
      <c r="M4623" s="7">
        <v>3.0000000000000001E-3</v>
      </c>
      <c r="N4623">
        <v>17</v>
      </c>
      <c r="O4623" s="8">
        <v>41.207080732056241</v>
      </c>
      <c r="P4623" s="9">
        <v>41.207080732056241</v>
      </c>
      <c r="Q4623" s="9">
        <v>41.207080732056241</v>
      </c>
      <c r="R4623" s="9">
        <v>42.157262509433366</v>
      </c>
      <c r="S4623" s="9">
        <v>44.562650125658905</v>
      </c>
      <c r="T4623" s="9">
        <v>44.774343906619599</v>
      </c>
      <c r="U4623" s="9">
        <v>47.410026125961608</v>
      </c>
      <c r="V4623" s="9">
        <v>47.410026125961608</v>
      </c>
      <c r="W4623" s="9">
        <v>47.410026125961608</v>
      </c>
      <c r="X4623" s="9">
        <v>51.970197263128114</v>
      </c>
      <c r="Y4623" s="9">
        <v>51.970197263128114</v>
      </c>
      <c r="Z4623" s="9">
        <v>57.180133523400194</v>
      </c>
      <c r="AA4623" s="9">
        <v>57.180133523400194</v>
      </c>
      <c r="AB4623" s="9">
        <v>62.205497742174821</v>
      </c>
      <c r="AC4623" s="9">
        <v>62.205497742174821</v>
      </c>
      <c r="AD4623" s="9">
        <v>67.764075150980162</v>
      </c>
      <c r="AE4623" s="9">
        <v>75.345852790378046</v>
      </c>
      <c r="AF4623" s="9">
        <v>81.372396625232085</v>
      </c>
      <c r="AG4623" s="9">
        <v>81.372396625232085</v>
      </c>
      <c r="AH4623" s="9">
        <v>88.045224250123979</v>
      </c>
      <c r="AI4623" s="9">
        <v>94.96907033416484</v>
      </c>
      <c r="AJ4623" s="9">
        <v>3.0428788910505911</v>
      </c>
    </row>
    <row r="4624" spans="1:36" x14ac:dyDescent="0.25">
      <c r="A4624" t="s">
        <v>5411</v>
      </c>
      <c r="B4624" t="s">
        <v>16</v>
      </c>
      <c r="C4624" t="s">
        <v>17</v>
      </c>
      <c r="D4624">
        <v>78890000</v>
      </c>
      <c r="E4624">
        <v>78895999</v>
      </c>
      <c r="F4624" t="s">
        <v>4214</v>
      </c>
      <c r="G4624" t="str">
        <f t="shared" si="144"/>
        <v>MTI II</v>
      </c>
      <c r="H4624" t="s">
        <v>4079</v>
      </c>
      <c r="I4624" t="s">
        <v>20</v>
      </c>
      <c r="J4624" t="s">
        <v>64</v>
      </c>
      <c r="K4624" s="6">
        <v>0.03</v>
      </c>
      <c r="L4624" s="7">
        <f t="shared" si="145"/>
        <v>2E-3</v>
      </c>
      <c r="M4624" s="7">
        <v>3.0000000000000001E-3</v>
      </c>
      <c r="N4624">
        <v>13</v>
      </c>
      <c r="O4624" s="8">
        <v>26.945869944786573</v>
      </c>
      <c r="P4624" s="9">
        <v>26.945869944786573</v>
      </c>
      <c r="Q4624" s="9">
        <v>26.945869944786573</v>
      </c>
      <c r="R4624" s="9">
        <v>27.872426176460309</v>
      </c>
      <c r="S4624" s="9">
        <v>30.114764737466444</v>
      </c>
      <c r="T4624" s="9">
        <v>30.389103773795448</v>
      </c>
      <c r="U4624" s="9">
        <v>32.851592628213609</v>
      </c>
      <c r="V4624" s="9">
        <v>32.851592628213609</v>
      </c>
      <c r="W4624" s="9">
        <v>32.851592628213609</v>
      </c>
      <c r="X4624" s="9">
        <v>35.974003563148294</v>
      </c>
      <c r="Y4624" s="9">
        <v>35.974003563148294</v>
      </c>
      <c r="Z4624" s="9">
        <v>39.583028800026455</v>
      </c>
      <c r="AA4624" s="9">
        <v>39.583028800026455</v>
      </c>
      <c r="AB4624" s="9">
        <v>42.917947459820233</v>
      </c>
      <c r="AC4624" s="9">
        <v>42.917947459820233</v>
      </c>
      <c r="AD4624" s="9">
        <v>48.456144425509514</v>
      </c>
      <c r="AE4624" s="9">
        <v>51.441147415963158</v>
      </c>
      <c r="AF4624" s="9">
        <v>54.652150956017358</v>
      </c>
      <c r="AG4624" s="9">
        <v>54.652150956017358</v>
      </c>
      <c r="AH4624" s="9">
        <v>58.808410228839165</v>
      </c>
      <c r="AI4624" s="9">
        <v>62.34918511933521</v>
      </c>
      <c r="AJ4624" s="9">
        <v>3.0428788910505911</v>
      </c>
    </row>
    <row r="4625" spans="1:36" x14ac:dyDescent="0.25">
      <c r="A4625" t="s">
        <v>5411</v>
      </c>
      <c r="B4625" t="s">
        <v>16</v>
      </c>
      <c r="C4625" t="s">
        <v>17</v>
      </c>
      <c r="D4625">
        <v>78896000</v>
      </c>
      <c r="E4625">
        <v>78899999</v>
      </c>
      <c r="F4625" t="s">
        <v>4215</v>
      </c>
      <c r="G4625" t="str">
        <f t="shared" si="144"/>
        <v>MTI II</v>
      </c>
      <c r="H4625" t="s">
        <v>4079</v>
      </c>
      <c r="I4625" t="s">
        <v>20</v>
      </c>
      <c r="J4625" t="s">
        <v>64</v>
      </c>
      <c r="K4625" s="6">
        <v>0.03</v>
      </c>
      <c r="L4625" s="7">
        <f t="shared" si="145"/>
        <v>2E-3</v>
      </c>
      <c r="M4625" s="7">
        <v>3.0000000000000001E-3</v>
      </c>
      <c r="N4625">
        <v>14</v>
      </c>
      <c r="O4625" s="8">
        <v>26.945869944786573</v>
      </c>
      <c r="P4625" s="9">
        <v>26.945869944786573</v>
      </c>
      <c r="Q4625" s="9">
        <v>26.945869944786573</v>
      </c>
      <c r="R4625" s="9">
        <v>27.872426176460309</v>
      </c>
      <c r="S4625" s="9">
        <v>30.114764737466444</v>
      </c>
      <c r="T4625" s="9">
        <v>30.389103773795448</v>
      </c>
      <c r="U4625" s="9">
        <v>32.851592628213609</v>
      </c>
      <c r="V4625" s="9">
        <v>32.851592628213609</v>
      </c>
      <c r="W4625" s="9">
        <v>32.851592628213609</v>
      </c>
      <c r="X4625" s="9">
        <v>35.974003563148294</v>
      </c>
      <c r="Y4625" s="9">
        <v>35.974003563148294</v>
      </c>
      <c r="Z4625" s="9">
        <v>39.583028800026455</v>
      </c>
      <c r="AA4625" s="9">
        <v>39.583028800026455</v>
      </c>
      <c r="AB4625" s="9">
        <v>42.917947459820233</v>
      </c>
      <c r="AC4625" s="9">
        <v>42.917947459820233</v>
      </c>
      <c r="AD4625" s="9">
        <v>48.456144425509514</v>
      </c>
      <c r="AE4625" s="9">
        <v>51.441147415963158</v>
      </c>
      <c r="AF4625" s="9">
        <v>54.652150956017358</v>
      </c>
      <c r="AG4625" s="9">
        <v>54.652150956017358</v>
      </c>
      <c r="AH4625" s="9">
        <v>58.808410228839165</v>
      </c>
      <c r="AI4625" s="9">
        <v>62.34918511933521</v>
      </c>
      <c r="AJ4625" s="9">
        <v>3.0428788910505911</v>
      </c>
    </row>
    <row r="4626" spans="1:36" x14ac:dyDescent="0.25">
      <c r="A4626" t="s">
        <v>5411</v>
      </c>
      <c r="B4626" t="s">
        <v>16</v>
      </c>
      <c r="C4626" t="s">
        <v>17</v>
      </c>
      <c r="D4626">
        <v>78900000</v>
      </c>
      <c r="E4626">
        <v>78999999</v>
      </c>
      <c r="F4626" t="s">
        <v>4216</v>
      </c>
      <c r="G4626" t="str">
        <f t="shared" si="144"/>
        <v>ROR</v>
      </c>
      <c r="H4626" t="s">
        <v>3902</v>
      </c>
      <c r="I4626" t="s">
        <v>20</v>
      </c>
      <c r="J4626" t="s">
        <v>77</v>
      </c>
      <c r="K4626" s="6">
        <v>0.03</v>
      </c>
      <c r="L4626" s="7">
        <f t="shared" si="145"/>
        <v>2E-3</v>
      </c>
      <c r="M4626" s="7">
        <v>3.0000000000000001E-3</v>
      </c>
      <c r="N4626">
        <v>17</v>
      </c>
      <c r="O4626" s="8">
        <v>52.356470025188507</v>
      </c>
      <c r="P4626" s="9">
        <v>52.356470025188507</v>
      </c>
      <c r="Q4626" s="9">
        <v>52.356470025188507</v>
      </c>
      <c r="R4626" s="9">
        <v>53.760206005810289</v>
      </c>
      <c r="S4626" s="9">
        <v>54.225347430867238</v>
      </c>
      <c r="T4626" s="9">
        <v>54.610644522460483</v>
      </c>
      <c r="U4626" s="9">
        <v>69.025126971275171</v>
      </c>
      <c r="V4626" s="9">
        <v>69.025126971275171</v>
      </c>
      <c r="W4626" s="9">
        <v>69.025126971275171</v>
      </c>
      <c r="X4626" s="9">
        <v>84.82781936027213</v>
      </c>
      <c r="Y4626" s="9">
        <v>84.82781936027213</v>
      </c>
      <c r="Z4626" s="9">
        <v>100.7364947991155</v>
      </c>
      <c r="AA4626" s="9">
        <v>100.7364947991155</v>
      </c>
      <c r="AB4626" s="9">
        <v>117.02508837332475</v>
      </c>
      <c r="AC4626" s="9">
        <v>117.02508837332475</v>
      </c>
      <c r="AD4626" s="9">
        <v>133.59992350616912</v>
      </c>
      <c r="AE4626" s="9">
        <v>150.48962435351206</v>
      </c>
      <c r="AF4626" s="9">
        <v>169.31808477390766</v>
      </c>
      <c r="AG4626" s="9">
        <v>169.31808477390766</v>
      </c>
      <c r="AH4626" s="9">
        <v>187.09436615045269</v>
      </c>
      <c r="AI4626" s="9">
        <v>204.90277882222901</v>
      </c>
      <c r="AJ4626" s="9">
        <v>3.0428788910505911</v>
      </c>
    </row>
    <row r="4627" spans="1:36" x14ac:dyDescent="0.25">
      <c r="A4627" t="s">
        <v>5411</v>
      </c>
      <c r="B4627" t="s">
        <v>16</v>
      </c>
      <c r="C4627" t="s">
        <v>17</v>
      </c>
      <c r="D4627">
        <v>79000000</v>
      </c>
      <c r="E4627">
        <v>79124999</v>
      </c>
      <c r="F4627" t="s">
        <v>2400</v>
      </c>
      <c r="G4627" t="str">
        <f t="shared" si="144"/>
        <v>MSC</v>
      </c>
      <c r="H4627" t="s">
        <v>4217</v>
      </c>
      <c r="I4627" t="s">
        <v>20</v>
      </c>
      <c r="J4627" t="s">
        <v>21</v>
      </c>
      <c r="K4627" s="6">
        <v>0.03</v>
      </c>
      <c r="L4627" s="7">
        <f t="shared" si="145"/>
        <v>2E-3</v>
      </c>
      <c r="M4627" s="7">
        <v>3.0000000000000001E-3</v>
      </c>
      <c r="N4627">
        <v>12</v>
      </c>
      <c r="O4627" s="8">
        <v>12.845399830259842</v>
      </c>
      <c r="P4627" s="9">
        <v>12.845399830259842</v>
      </c>
      <c r="Q4627" s="9">
        <v>12.845399830259842</v>
      </c>
      <c r="R4627" s="9">
        <v>14.637086074346472</v>
      </c>
      <c r="S4627" s="9">
        <v>15.099786239863915</v>
      </c>
      <c r="T4627" s="9">
        <v>15.665970043501744</v>
      </c>
      <c r="U4627" s="9">
        <v>17.834890626325379</v>
      </c>
      <c r="V4627" s="9">
        <v>17.834890626325379</v>
      </c>
      <c r="W4627" s="9">
        <v>17.834890626325379</v>
      </c>
      <c r="X4627" s="9">
        <v>21.718205724069655</v>
      </c>
      <c r="Y4627" s="9">
        <v>21.718205724069655</v>
      </c>
      <c r="Z4627" s="9">
        <v>26.150474129480138</v>
      </c>
      <c r="AA4627" s="9">
        <v>26.150474129480138</v>
      </c>
      <c r="AB4627" s="9">
        <v>30.41528017191748</v>
      </c>
      <c r="AC4627" s="9">
        <v>30.41528017191748</v>
      </c>
      <c r="AD4627" s="9">
        <v>34.44285385357388</v>
      </c>
      <c r="AE4627" s="9">
        <v>38.946000245387211</v>
      </c>
      <c r="AF4627" s="9">
        <v>43.140358591123089</v>
      </c>
      <c r="AG4627" s="9">
        <v>43.140358591123089</v>
      </c>
      <c r="AH4627" s="9">
        <v>47.430816671876173</v>
      </c>
      <c r="AI4627" s="9">
        <v>51.674955557090485</v>
      </c>
      <c r="AJ4627" s="9">
        <v>3.0428788910505911</v>
      </c>
    </row>
    <row r="4628" spans="1:36" x14ac:dyDescent="0.25">
      <c r="A4628" t="s">
        <v>5411</v>
      </c>
      <c r="B4628" t="s">
        <v>16</v>
      </c>
      <c r="C4628" t="s">
        <v>17</v>
      </c>
      <c r="D4628">
        <v>79125000</v>
      </c>
      <c r="E4628">
        <v>79129999</v>
      </c>
      <c r="F4628" t="s">
        <v>4218</v>
      </c>
      <c r="G4628" t="str">
        <f t="shared" si="144"/>
        <v>MSI</v>
      </c>
      <c r="H4628" t="s">
        <v>4217</v>
      </c>
      <c r="I4628" t="s">
        <v>20</v>
      </c>
      <c r="J4628" t="s">
        <v>62</v>
      </c>
      <c r="K4628" s="6">
        <v>0.03</v>
      </c>
      <c r="L4628" s="7">
        <f t="shared" si="145"/>
        <v>2E-3</v>
      </c>
      <c r="M4628" s="7">
        <v>3.0000000000000001E-3</v>
      </c>
      <c r="N4628">
        <v>13</v>
      </c>
      <c r="O4628" s="8">
        <v>25.033849295600621</v>
      </c>
      <c r="P4628" s="9">
        <v>25.033849295600621</v>
      </c>
      <c r="Q4628" s="9">
        <v>25.033849295600621</v>
      </c>
      <c r="R4628" s="9">
        <v>25.928714274850051</v>
      </c>
      <c r="S4628" s="9">
        <v>28.296327615221198</v>
      </c>
      <c r="T4628" s="9">
        <v>28.918651419383917</v>
      </c>
      <c r="U4628" s="9">
        <v>31.326806633788035</v>
      </c>
      <c r="V4628" s="9">
        <v>31.326806633788035</v>
      </c>
      <c r="W4628" s="9">
        <v>31.326806633788035</v>
      </c>
      <c r="X4628" s="9">
        <v>34.20077546080158</v>
      </c>
      <c r="Y4628" s="9">
        <v>34.20077546080158</v>
      </c>
      <c r="Z4628" s="9">
        <v>37.632514403152896</v>
      </c>
      <c r="AA4628" s="9">
        <v>37.632514403152896</v>
      </c>
      <c r="AB4628" s="9">
        <v>40.938192220202652</v>
      </c>
      <c r="AC4628" s="9">
        <v>40.938192220202652</v>
      </c>
      <c r="AD4628" s="9">
        <v>44.602837773275155</v>
      </c>
      <c r="AE4628" s="9">
        <v>48.339768029372692</v>
      </c>
      <c r="AF4628" s="9">
        <v>52.38729469521013</v>
      </c>
      <c r="AG4628" s="9">
        <v>52.38729469521013</v>
      </c>
      <c r="AH4628" s="9">
        <v>56.136175093160965</v>
      </c>
      <c r="AI4628" s="9">
        <v>60.050707132634813</v>
      </c>
      <c r="AJ4628" s="9">
        <v>3.0428788910505911</v>
      </c>
    </row>
    <row r="4629" spans="1:36" x14ac:dyDescent="0.25">
      <c r="A4629" t="s">
        <v>5411</v>
      </c>
      <c r="B4629" t="s">
        <v>16</v>
      </c>
      <c r="C4629" t="s">
        <v>17</v>
      </c>
      <c r="D4629">
        <v>79130000</v>
      </c>
      <c r="E4629">
        <v>79139999</v>
      </c>
      <c r="F4629" t="s">
        <v>4219</v>
      </c>
      <c r="G4629" t="str">
        <f t="shared" si="144"/>
        <v>MSR</v>
      </c>
      <c r="H4629" t="s">
        <v>4217</v>
      </c>
      <c r="I4629" t="s">
        <v>20</v>
      </c>
      <c r="J4629" t="s">
        <v>77</v>
      </c>
      <c r="K4629" s="6">
        <v>0.03</v>
      </c>
      <c r="L4629" s="7">
        <f t="shared" si="145"/>
        <v>2E-3</v>
      </c>
      <c r="M4629" s="7">
        <v>3.0000000000000001E-3</v>
      </c>
      <c r="N4629">
        <v>17</v>
      </c>
      <c r="O4629" s="8">
        <v>37.805832567895507</v>
      </c>
      <c r="P4629" s="9">
        <v>37.805832567895507</v>
      </c>
      <c r="Q4629" s="9">
        <v>37.805832567895507</v>
      </c>
      <c r="R4629" s="9">
        <v>39.372205384609224</v>
      </c>
      <c r="S4629" s="9">
        <v>41.954009946473661</v>
      </c>
      <c r="T4629" s="9">
        <v>42.765400727434375</v>
      </c>
      <c r="U4629" s="9">
        <v>45.367254324781861</v>
      </c>
      <c r="V4629" s="9">
        <v>45.367254324781861</v>
      </c>
      <c r="W4629" s="9">
        <v>45.367254324781861</v>
      </c>
      <c r="X4629" s="9">
        <v>49.734450249044727</v>
      </c>
      <c r="Y4629" s="9">
        <v>49.734450249044727</v>
      </c>
      <c r="Z4629" s="9">
        <v>54.717582674418672</v>
      </c>
      <c r="AA4629" s="9">
        <v>54.717582674418672</v>
      </c>
      <c r="AB4629" s="9">
        <v>59.512837475744206</v>
      </c>
      <c r="AC4629" s="9">
        <v>59.512837475744206</v>
      </c>
      <c r="AD4629" s="9">
        <v>64.787617757202327</v>
      </c>
      <c r="AE4629" s="9">
        <v>70.226598549201981</v>
      </c>
      <c r="AF4629" s="9">
        <v>76.098072315003037</v>
      </c>
      <c r="AG4629" s="9">
        <v>76.098072315003037</v>
      </c>
      <c r="AH4629" s="9">
        <v>82.253154909341504</v>
      </c>
      <c r="AI4629" s="9">
        <v>89.04634969754251</v>
      </c>
      <c r="AJ4629" s="9">
        <v>3.0428788910505911</v>
      </c>
    </row>
    <row r="4630" spans="1:36" x14ac:dyDescent="0.25">
      <c r="A4630" t="s">
        <v>5411</v>
      </c>
      <c r="B4630" t="s">
        <v>16</v>
      </c>
      <c r="C4630" t="s">
        <v>17</v>
      </c>
      <c r="D4630">
        <v>79140000</v>
      </c>
      <c r="E4630">
        <v>79149999</v>
      </c>
      <c r="F4630" t="s">
        <v>4220</v>
      </c>
      <c r="G4630" t="str">
        <f t="shared" si="144"/>
        <v>MSR</v>
      </c>
      <c r="H4630" t="s">
        <v>4217</v>
      </c>
      <c r="I4630" t="s">
        <v>20</v>
      </c>
      <c r="J4630" t="s">
        <v>77</v>
      </c>
      <c r="K4630" s="6">
        <v>0.03</v>
      </c>
      <c r="L4630" s="7">
        <f t="shared" si="145"/>
        <v>2E-3</v>
      </c>
      <c r="M4630" s="7">
        <v>3.0000000000000001E-3</v>
      </c>
      <c r="N4630">
        <v>17</v>
      </c>
      <c r="O4630" s="8">
        <v>37.805832567895507</v>
      </c>
      <c r="P4630" s="9">
        <v>37.805832567895507</v>
      </c>
      <c r="Q4630" s="9">
        <v>37.805832567895507</v>
      </c>
      <c r="R4630" s="9">
        <v>39.372205384609224</v>
      </c>
      <c r="S4630" s="9">
        <v>41.954009946473661</v>
      </c>
      <c r="T4630" s="9">
        <v>42.765400727434375</v>
      </c>
      <c r="U4630" s="9">
        <v>45.367254324781861</v>
      </c>
      <c r="V4630" s="9">
        <v>45.367254324781861</v>
      </c>
      <c r="W4630" s="9">
        <v>45.367254324781861</v>
      </c>
      <c r="X4630" s="9">
        <v>49.734450249044727</v>
      </c>
      <c r="Y4630" s="9">
        <v>49.734450249044727</v>
      </c>
      <c r="Z4630" s="9">
        <v>54.717582674418672</v>
      </c>
      <c r="AA4630" s="9">
        <v>54.717582674418672</v>
      </c>
      <c r="AB4630" s="9">
        <v>59.512837475744206</v>
      </c>
      <c r="AC4630" s="9">
        <v>59.512837475744206</v>
      </c>
      <c r="AD4630" s="9">
        <v>64.787617757202327</v>
      </c>
      <c r="AE4630" s="9">
        <v>70.226598549201981</v>
      </c>
      <c r="AF4630" s="9">
        <v>76.098072315003037</v>
      </c>
      <c r="AG4630" s="9">
        <v>76.098072315003037</v>
      </c>
      <c r="AH4630" s="9">
        <v>82.253154909341504</v>
      </c>
      <c r="AI4630" s="9">
        <v>89.04634969754251</v>
      </c>
      <c r="AJ4630" s="9">
        <v>3.0428788910505911</v>
      </c>
    </row>
    <row r="4631" spans="1:36" x14ac:dyDescent="0.25">
      <c r="A4631" t="s">
        <v>5411</v>
      </c>
      <c r="B4631" t="s">
        <v>16</v>
      </c>
      <c r="C4631" t="s">
        <v>17</v>
      </c>
      <c r="D4631">
        <v>79150000</v>
      </c>
      <c r="E4631">
        <v>79169999</v>
      </c>
      <c r="F4631" t="s">
        <v>4221</v>
      </c>
      <c r="G4631" t="str">
        <f t="shared" si="144"/>
        <v>MSR</v>
      </c>
      <c r="H4631" t="s">
        <v>4217</v>
      </c>
      <c r="I4631" t="s">
        <v>20</v>
      </c>
      <c r="J4631" t="s">
        <v>77</v>
      </c>
      <c r="K4631" s="6">
        <v>0.03</v>
      </c>
      <c r="L4631" s="7">
        <f t="shared" si="145"/>
        <v>2E-3</v>
      </c>
      <c r="M4631" s="7">
        <v>3.0000000000000001E-3</v>
      </c>
      <c r="N4631">
        <v>17</v>
      </c>
      <c r="O4631" s="8">
        <v>37.805832567895507</v>
      </c>
      <c r="P4631" s="9">
        <v>37.805832567895507</v>
      </c>
      <c r="Q4631" s="9">
        <v>37.805832567895507</v>
      </c>
      <c r="R4631" s="9">
        <v>39.372205384609224</v>
      </c>
      <c r="S4631" s="9">
        <v>41.954009946473661</v>
      </c>
      <c r="T4631" s="9">
        <v>42.765400727434375</v>
      </c>
      <c r="U4631" s="9">
        <v>45.367254324781861</v>
      </c>
      <c r="V4631" s="9">
        <v>45.367254324781861</v>
      </c>
      <c r="W4631" s="9">
        <v>45.367254324781861</v>
      </c>
      <c r="X4631" s="9">
        <v>49.734450249044727</v>
      </c>
      <c r="Y4631" s="9">
        <v>49.734450249044727</v>
      </c>
      <c r="Z4631" s="9">
        <v>54.717582674418672</v>
      </c>
      <c r="AA4631" s="9">
        <v>54.717582674418672</v>
      </c>
      <c r="AB4631" s="9">
        <v>59.512837475744206</v>
      </c>
      <c r="AC4631" s="9">
        <v>59.512837475744206</v>
      </c>
      <c r="AD4631" s="9">
        <v>64.787617757202327</v>
      </c>
      <c r="AE4631" s="9">
        <v>70.226598549201981</v>
      </c>
      <c r="AF4631" s="9">
        <v>76.098072315003037</v>
      </c>
      <c r="AG4631" s="9">
        <v>76.098072315003037</v>
      </c>
      <c r="AH4631" s="9">
        <v>82.253154909341504</v>
      </c>
      <c r="AI4631" s="9">
        <v>89.04634969754251</v>
      </c>
      <c r="AJ4631" s="9">
        <v>3.0428788910505911</v>
      </c>
    </row>
    <row r="4632" spans="1:36" x14ac:dyDescent="0.25">
      <c r="A4632" t="s">
        <v>5411</v>
      </c>
      <c r="B4632" t="s">
        <v>16</v>
      </c>
      <c r="C4632" t="s">
        <v>17</v>
      </c>
      <c r="D4632">
        <v>79170000</v>
      </c>
      <c r="E4632">
        <v>79179999</v>
      </c>
      <c r="F4632" t="s">
        <v>4222</v>
      </c>
      <c r="G4632" t="str">
        <f t="shared" si="144"/>
        <v>MSR</v>
      </c>
      <c r="H4632" t="s">
        <v>4217</v>
      </c>
      <c r="I4632" t="s">
        <v>20</v>
      </c>
      <c r="J4632" t="s">
        <v>77</v>
      </c>
      <c r="K4632" s="6">
        <v>0.03</v>
      </c>
      <c r="L4632" s="7">
        <f t="shared" si="145"/>
        <v>2E-3</v>
      </c>
      <c r="M4632" s="7">
        <v>3.0000000000000001E-3</v>
      </c>
      <c r="N4632">
        <v>17</v>
      </c>
      <c r="O4632" s="8">
        <v>37.805832567895507</v>
      </c>
      <c r="P4632" s="9">
        <v>37.805832567895507</v>
      </c>
      <c r="Q4632" s="9">
        <v>37.805832567895507</v>
      </c>
      <c r="R4632" s="9">
        <v>39.372205384609224</v>
      </c>
      <c r="S4632" s="9">
        <v>41.954009946473661</v>
      </c>
      <c r="T4632" s="9">
        <v>42.765400727434375</v>
      </c>
      <c r="U4632" s="9">
        <v>45.367254324781861</v>
      </c>
      <c r="V4632" s="9">
        <v>45.367254324781861</v>
      </c>
      <c r="W4632" s="9">
        <v>45.367254324781861</v>
      </c>
      <c r="X4632" s="9">
        <v>49.734450249044727</v>
      </c>
      <c r="Y4632" s="9">
        <v>49.734450249044727</v>
      </c>
      <c r="Z4632" s="9">
        <v>54.717582674418672</v>
      </c>
      <c r="AA4632" s="9">
        <v>54.717582674418672</v>
      </c>
      <c r="AB4632" s="9">
        <v>59.512837475744206</v>
      </c>
      <c r="AC4632" s="9">
        <v>59.512837475744206</v>
      </c>
      <c r="AD4632" s="9">
        <v>64.787617757202327</v>
      </c>
      <c r="AE4632" s="9">
        <v>70.226598549201981</v>
      </c>
      <c r="AF4632" s="9">
        <v>76.098072315003037</v>
      </c>
      <c r="AG4632" s="9">
        <v>76.098072315003037</v>
      </c>
      <c r="AH4632" s="9">
        <v>82.253154909341504</v>
      </c>
      <c r="AI4632" s="9">
        <v>89.04634969754251</v>
      </c>
      <c r="AJ4632" s="9">
        <v>3.0428788910505911</v>
      </c>
    </row>
    <row r="4633" spans="1:36" x14ac:dyDescent="0.25">
      <c r="A4633" t="s">
        <v>5411</v>
      </c>
      <c r="B4633" t="s">
        <v>16</v>
      </c>
      <c r="C4633" t="s">
        <v>17</v>
      </c>
      <c r="D4633">
        <v>79180000</v>
      </c>
      <c r="E4633">
        <v>79189999</v>
      </c>
      <c r="F4633" t="s">
        <v>4223</v>
      </c>
      <c r="G4633" t="str">
        <f t="shared" si="144"/>
        <v>MSR</v>
      </c>
      <c r="H4633" t="s">
        <v>4217</v>
      </c>
      <c r="I4633" t="s">
        <v>20</v>
      </c>
      <c r="J4633" t="s">
        <v>77</v>
      </c>
      <c r="K4633" s="6">
        <v>0.03</v>
      </c>
      <c r="L4633" s="7">
        <f t="shared" si="145"/>
        <v>2E-3</v>
      </c>
      <c r="M4633" s="7">
        <v>3.0000000000000001E-3</v>
      </c>
      <c r="N4633">
        <v>17</v>
      </c>
      <c r="O4633" s="8">
        <v>37.805832567895507</v>
      </c>
      <c r="P4633" s="9">
        <v>37.805832567895507</v>
      </c>
      <c r="Q4633" s="9">
        <v>37.805832567895507</v>
      </c>
      <c r="R4633" s="9">
        <v>39.372205384609224</v>
      </c>
      <c r="S4633" s="9">
        <v>41.954009946473661</v>
      </c>
      <c r="T4633" s="9">
        <v>42.765400727434375</v>
      </c>
      <c r="U4633" s="9">
        <v>45.367254324781861</v>
      </c>
      <c r="V4633" s="9">
        <v>45.367254324781861</v>
      </c>
      <c r="W4633" s="9">
        <v>45.367254324781861</v>
      </c>
      <c r="X4633" s="9">
        <v>49.734450249044727</v>
      </c>
      <c r="Y4633" s="9">
        <v>49.734450249044727</v>
      </c>
      <c r="Z4633" s="9">
        <v>54.717582674418672</v>
      </c>
      <c r="AA4633" s="9">
        <v>54.717582674418672</v>
      </c>
      <c r="AB4633" s="9">
        <v>59.512837475744206</v>
      </c>
      <c r="AC4633" s="9">
        <v>59.512837475744206</v>
      </c>
      <c r="AD4633" s="9">
        <v>64.787617757202327</v>
      </c>
      <c r="AE4633" s="9">
        <v>70.226598549201981</v>
      </c>
      <c r="AF4633" s="9">
        <v>76.098072315003037</v>
      </c>
      <c r="AG4633" s="9">
        <v>76.098072315003037</v>
      </c>
      <c r="AH4633" s="9">
        <v>82.253154909341504</v>
      </c>
      <c r="AI4633" s="9">
        <v>89.04634969754251</v>
      </c>
      <c r="AJ4633" s="9">
        <v>3.0428788910505911</v>
      </c>
    </row>
    <row r="4634" spans="1:36" x14ac:dyDescent="0.25">
      <c r="A4634" t="s">
        <v>5411</v>
      </c>
      <c r="B4634" t="s">
        <v>16</v>
      </c>
      <c r="C4634" t="s">
        <v>17</v>
      </c>
      <c r="D4634">
        <v>79190000</v>
      </c>
      <c r="E4634">
        <v>79199999</v>
      </c>
      <c r="F4634" t="s">
        <v>4224</v>
      </c>
      <c r="G4634" t="str">
        <f t="shared" si="144"/>
        <v>MSR</v>
      </c>
      <c r="H4634" t="s">
        <v>4217</v>
      </c>
      <c r="I4634" t="s">
        <v>20</v>
      </c>
      <c r="J4634" t="s">
        <v>77</v>
      </c>
      <c r="K4634" s="6">
        <v>0.03</v>
      </c>
      <c r="L4634" s="7">
        <f t="shared" si="145"/>
        <v>2E-3</v>
      </c>
      <c r="M4634" s="7">
        <v>3.0000000000000001E-3</v>
      </c>
      <c r="N4634">
        <v>17</v>
      </c>
      <c r="O4634" s="8">
        <v>37.805832567895507</v>
      </c>
      <c r="P4634" s="9">
        <v>37.805832567895507</v>
      </c>
      <c r="Q4634" s="9">
        <v>37.805832567895507</v>
      </c>
      <c r="R4634" s="9">
        <v>39.372205384609224</v>
      </c>
      <c r="S4634" s="9">
        <v>41.954009946473661</v>
      </c>
      <c r="T4634" s="9">
        <v>42.765400727434375</v>
      </c>
      <c r="U4634" s="9">
        <v>45.367254324781861</v>
      </c>
      <c r="V4634" s="9">
        <v>45.367254324781861</v>
      </c>
      <c r="W4634" s="9">
        <v>45.367254324781861</v>
      </c>
      <c r="X4634" s="9">
        <v>49.734450249044727</v>
      </c>
      <c r="Y4634" s="9">
        <v>49.734450249044727</v>
      </c>
      <c r="Z4634" s="9">
        <v>54.717582674418672</v>
      </c>
      <c r="AA4634" s="9">
        <v>54.717582674418672</v>
      </c>
      <c r="AB4634" s="9">
        <v>59.512837475744206</v>
      </c>
      <c r="AC4634" s="9">
        <v>59.512837475744206</v>
      </c>
      <c r="AD4634" s="9">
        <v>64.787617757202327</v>
      </c>
      <c r="AE4634" s="9">
        <v>70.226598549201981</v>
      </c>
      <c r="AF4634" s="9">
        <v>76.098072315003037</v>
      </c>
      <c r="AG4634" s="9">
        <v>76.098072315003037</v>
      </c>
      <c r="AH4634" s="9">
        <v>82.253154909341504</v>
      </c>
      <c r="AI4634" s="9">
        <v>89.04634969754251</v>
      </c>
      <c r="AJ4634" s="9">
        <v>3.0428788910505911</v>
      </c>
    </row>
    <row r="4635" spans="1:36" x14ac:dyDescent="0.25">
      <c r="A4635" t="s">
        <v>5411</v>
      </c>
      <c r="B4635" t="s">
        <v>16</v>
      </c>
      <c r="C4635" t="s">
        <v>17</v>
      </c>
      <c r="D4635">
        <v>79200000</v>
      </c>
      <c r="E4635">
        <v>79209999</v>
      </c>
      <c r="F4635" t="s">
        <v>4225</v>
      </c>
      <c r="G4635" t="str">
        <f t="shared" si="144"/>
        <v>MSR</v>
      </c>
      <c r="H4635" t="s">
        <v>4217</v>
      </c>
      <c r="I4635" t="s">
        <v>20</v>
      </c>
      <c r="J4635" t="s">
        <v>77</v>
      </c>
      <c r="K4635" s="6">
        <v>0.03</v>
      </c>
      <c r="L4635" s="7">
        <f t="shared" si="145"/>
        <v>2E-3</v>
      </c>
      <c r="M4635" s="7">
        <v>3.0000000000000001E-3</v>
      </c>
      <c r="N4635">
        <v>17</v>
      </c>
      <c r="O4635" s="8">
        <v>37.805832567895507</v>
      </c>
      <c r="P4635" s="9">
        <v>37.805832567895507</v>
      </c>
      <c r="Q4635" s="9">
        <v>37.805832567895507</v>
      </c>
      <c r="R4635" s="9">
        <v>39.372205384609224</v>
      </c>
      <c r="S4635" s="9">
        <v>41.954009946473661</v>
      </c>
      <c r="T4635" s="9">
        <v>42.765400727434375</v>
      </c>
      <c r="U4635" s="9">
        <v>45.367254324781861</v>
      </c>
      <c r="V4635" s="9">
        <v>45.367254324781861</v>
      </c>
      <c r="W4635" s="9">
        <v>45.367254324781861</v>
      </c>
      <c r="X4635" s="9">
        <v>49.734450249044727</v>
      </c>
      <c r="Y4635" s="9">
        <v>49.734450249044727</v>
      </c>
      <c r="Z4635" s="9">
        <v>54.717582674418672</v>
      </c>
      <c r="AA4635" s="9">
        <v>54.717582674418672</v>
      </c>
      <c r="AB4635" s="9">
        <v>59.512837475744206</v>
      </c>
      <c r="AC4635" s="9">
        <v>59.512837475744206</v>
      </c>
      <c r="AD4635" s="9">
        <v>64.787617757202327</v>
      </c>
      <c r="AE4635" s="9">
        <v>70.226598549201981</v>
      </c>
      <c r="AF4635" s="9">
        <v>76.098072315003037</v>
      </c>
      <c r="AG4635" s="9">
        <v>76.098072315003037</v>
      </c>
      <c r="AH4635" s="9">
        <v>82.253154909341504</v>
      </c>
      <c r="AI4635" s="9">
        <v>89.04634969754251</v>
      </c>
      <c r="AJ4635" s="9">
        <v>3.0428788910505911</v>
      </c>
    </row>
    <row r="4636" spans="1:36" x14ac:dyDescent="0.25">
      <c r="A4636" t="s">
        <v>5411</v>
      </c>
      <c r="B4636" t="s">
        <v>16</v>
      </c>
      <c r="C4636" t="s">
        <v>17</v>
      </c>
      <c r="D4636">
        <v>79210000</v>
      </c>
      <c r="E4636">
        <v>79214999</v>
      </c>
      <c r="F4636" t="s">
        <v>4226</v>
      </c>
      <c r="G4636" t="str">
        <f t="shared" si="144"/>
        <v>MSR</v>
      </c>
      <c r="H4636" t="s">
        <v>4217</v>
      </c>
      <c r="I4636" t="s">
        <v>20</v>
      </c>
      <c r="J4636" t="s">
        <v>77</v>
      </c>
      <c r="K4636" s="6">
        <v>0.03</v>
      </c>
      <c r="L4636" s="7">
        <f t="shared" si="145"/>
        <v>2E-3</v>
      </c>
      <c r="M4636" s="7">
        <v>3.0000000000000001E-3</v>
      </c>
      <c r="N4636">
        <v>17</v>
      </c>
      <c r="O4636" s="8">
        <v>37.805832567895507</v>
      </c>
      <c r="P4636" s="9">
        <v>37.805832567895507</v>
      </c>
      <c r="Q4636" s="9">
        <v>37.805832567895507</v>
      </c>
      <c r="R4636" s="9">
        <v>39.372205384609224</v>
      </c>
      <c r="S4636" s="9">
        <v>41.954009946473661</v>
      </c>
      <c r="T4636" s="9">
        <v>42.765400727434375</v>
      </c>
      <c r="U4636" s="9">
        <v>45.367254324781861</v>
      </c>
      <c r="V4636" s="9">
        <v>45.367254324781861</v>
      </c>
      <c r="W4636" s="9">
        <v>45.367254324781861</v>
      </c>
      <c r="X4636" s="9">
        <v>49.734450249044727</v>
      </c>
      <c r="Y4636" s="9">
        <v>49.734450249044727</v>
      </c>
      <c r="Z4636" s="9">
        <v>54.717582674418672</v>
      </c>
      <c r="AA4636" s="9">
        <v>54.717582674418672</v>
      </c>
      <c r="AB4636" s="9">
        <v>59.512837475744206</v>
      </c>
      <c r="AC4636" s="9">
        <v>59.512837475744206</v>
      </c>
      <c r="AD4636" s="9">
        <v>64.787617757202327</v>
      </c>
      <c r="AE4636" s="9">
        <v>70.226598549201981</v>
      </c>
      <c r="AF4636" s="9">
        <v>76.098072315003037</v>
      </c>
      <c r="AG4636" s="9">
        <v>76.098072315003037</v>
      </c>
      <c r="AH4636" s="9">
        <v>82.253154909341504</v>
      </c>
      <c r="AI4636" s="9">
        <v>89.04634969754251</v>
      </c>
      <c r="AJ4636" s="9">
        <v>3.0428788910505911</v>
      </c>
    </row>
    <row r="4637" spans="1:36" x14ac:dyDescent="0.25">
      <c r="A4637" t="s">
        <v>5411</v>
      </c>
      <c r="B4637" t="s">
        <v>16</v>
      </c>
      <c r="C4637" t="s">
        <v>17</v>
      </c>
      <c r="D4637">
        <v>79215000</v>
      </c>
      <c r="E4637">
        <v>79219999</v>
      </c>
      <c r="F4637" t="s">
        <v>4227</v>
      </c>
      <c r="G4637" t="str">
        <f t="shared" si="144"/>
        <v>MSR</v>
      </c>
      <c r="H4637" t="s">
        <v>4217</v>
      </c>
      <c r="I4637" t="s">
        <v>20</v>
      </c>
      <c r="J4637" t="s">
        <v>77</v>
      </c>
      <c r="K4637" s="6">
        <v>0.03</v>
      </c>
      <c r="L4637" s="7">
        <f t="shared" si="145"/>
        <v>2E-3</v>
      </c>
      <c r="M4637" s="7">
        <v>3.0000000000000001E-3</v>
      </c>
      <c r="N4637">
        <v>17</v>
      </c>
      <c r="O4637" s="8">
        <v>37.805832567895507</v>
      </c>
      <c r="P4637" s="9">
        <v>37.805832567895507</v>
      </c>
      <c r="Q4637" s="9">
        <v>37.805832567895507</v>
      </c>
      <c r="R4637" s="9">
        <v>39.372205384609224</v>
      </c>
      <c r="S4637" s="9">
        <v>41.954009946473661</v>
      </c>
      <c r="T4637" s="9">
        <v>42.765400727434375</v>
      </c>
      <c r="U4637" s="9">
        <v>45.367254324781861</v>
      </c>
      <c r="V4637" s="9">
        <v>45.367254324781861</v>
      </c>
      <c r="W4637" s="9">
        <v>45.367254324781861</v>
      </c>
      <c r="X4637" s="9">
        <v>49.734450249044727</v>
      </c>
      <c r="Y4637" s="9">
        <v>49.734450249044727</v>
      </c>
      <c r="Z4637" s="9">
        <v>54.717582674418672</v>
      </c>
      <c r="AA4637" s="9">
        <v>54.717582674418672</v>
      </c>
      <c r="AB4637" s="9">
        <v>59.512837475744206</v>
      </c>
      <c r="AC4637" s="9">
        <v>59.512837475744206</v>
      </c>
      <c r="AD4637" s="9">
        <v>64.787617757202327</v>
      </c>
      <c r="AE4637" s="9">
        <v>70.226598549201981</v>
      </c>
      <c r="AF4637" s="9">
        <v>76.098072315003037</v>
      </c>
      <c r="AG4637" s="9">
        <v>76.098072315003037</v>
      </c>
      <c r="AH4637" s="9">
        <v>82.253154909341504</v>
      </c>
      <c r="AI4637" s="9">
        <v>89.04634969754251</v>
      </c>
      <c r="AJ4637" s="9">
        <v>3.0428788910505911</v>
      </c>
    </row>
    <row r="4638" spans="1:36" x14ac:dyDescent="0.25">
      <c r="A4638" t="s">
        <v>5411</v>
      </c>
      <c r="B4638" t="s">
        <v>16</v>
      </c>
      <c r="C4638" t="s">
        <v>17</v>
      </c>
      <c r="D4638">
        <v>79220000</v>
      </c>
      <c r="E4638">
        <v>79229999</v>
      </c>
      <c r="F4638" t="s">
        <v>4228</v>
      </c>
      <c r="G4638" t="str">
        <f t="shared" si="144"/>
        <v>MSR</v>
      </c>
      <c r="H4638" t="s">
        <v>4217</v>
      </c>
      <c r="I4638" t="s">
        <v>20</v>
      </c>
      <c r="J4638" t="s">
        <v>77</v>
      </c>
      <c r="K4638" s="6">
        <v>0.03</v>
      </c>
      <c r="L4638" s="7">
        <f t="shared" si="145"/>
        <v>2E-3</v>
      </c>
      <c r="M4638" s="7">
        <v>3.0000000000000001E-3</v>
      </c>
      <c r="N4638">
        <v>17</v>
      </c>
      <c r="O4638" s="8">
        <v>37.805832567895507</v>
      </c>
      <c r="P4638" s="9">
        <v>37.805832567895507</v>
      </c>
      <c r="Q4638" s="9">
        <v>37.805832567895507</v>
      </c>
      <c r="R4638" s="9">
        <v>39.372205384609224</v>
      </c>
      <c r="S4638" s="9">
        <v>41.954009946473661</v>
      </c>
      <c r="T4638" s="9">
        <v>42.765400727434375</v>
      </c>
      <c r="U4638" s="9">
        <v>45.367254324781861</v>
      </c>
      <c r="V4638" s="9">
        <v>45.367254324781861</v>
      </c>
      <c r="W4638" s="9">
        <v>45.367254324781861</v>
      </c>
      <c r="X4638" s="9">
        <v>49.734450249044727</v>
      </c>
      <c r="Y4638" s="9">
        <v>49.734450249044727</v>
      </c>
      <c r="Z4638" s="9">
        <v>54.717582674418672</v>
      </c>
      <c r="AA4638" s="9">
        <v>54.717582674418672</v>
      </c>
      <c r="AB4638" s="9">
        <v>59.512837475744206</v>
      </c>
      <c r="AC4638" s="9">
        <v>59.512837475744206</v>
      </c>
      <c r="AD4638" s="9">
        <v>64.787617757202327</v>
      </c>
      <c r="AE4638" s="9">
        <v>70.226598549201981</v>
      </c>
      <c r="AF4638" s="9">
        <v>76.098072315003037</v>
      </c>
      <c r="AG4638" s="9">
        <v>76.098072315003037</v>
      </c>
      <c r="AH4638" s="9">
        <v>82.253154909341504</v>
      </c>
      <c r="AI4638" s="9">
        <v>89.04634969754251</v>
      </c>
      <c r="AJ4638" s="9">
        <v>3.0428788910505911</v>
      </c>
    </row>
    <row r="4639" spans="1:36" x14ac:dyDescent="0.25">
      <c r="A4639" t="s">
        <v>5411</v>
      </c>
      <c r="B4639" t="s">
        <v>16</v>
      </c>
      <c r="C4639" t="s">
        <v>17</v>
      </c>
      <c r="D4639">
        <v>79230000</v>
      </c>
      <c r="E4639">
        <v>79239999</v>
      </c>
      <c r="F4639" t="s">
        <v>4229</v>
      </c>
      <c r="G4639" t="str">
        <f t="shared" si="144"/>
        <v>MSR</v>
      </c>
      <c r="H4639" t="s">
        <v>4217</v>
      </c>
      <c r="I4639" t="s">
        <v>20</v>
      </c>
      <c r="J4639" t="s">
        <v>77</v>
      </c>
      <c r="K4639" s="6">
        <v>0.03</v>
      </c>
      <c r="L4639" s="7">
        <f t="shared" si="145"/>
        <v>2E-3</v>
      </c>
      <c r="M4639" s="7">
        <v>3.0000000000000001E-3</v>
      </c>
      <c r="N4639">
        <v>17</v>
      </c>
      <c r="O4639" s="8">
        <v>37.805832567895507</v>
      </c>
      <c r="P4639" s="9">
        <v>37.805832567895507</v>
      </c>
      <c r="Q4639" s="9">
        <v>37.805832567895507</v>
      </c>
      <c r="R4639" s="9">
        <v>39.372205384609224</v>
      </c>
      <c r="S4639" s="9">
        <v>41.954009946473661</v>
      </c>
      <c r="T4639" s="9">
        <v>42.765400727434375</v>
      </c>
      <c r="U4639" s="9">
        <v>45.367254324781861</v>
      </c>
      <c r="V4639" s="9">
        <v>45.367254324781861</v>
      </c>
      <c r="W4639" s="9">
        <v>45.367254324781861</v>
      </c>
      <c r="X4639" s="9">
        <v>49.734450249044727</v>
      </c>
      <c r="Y4639" s="9">
        <v>49.734450249044727</v>
      </c>
      <c r="Z4639" s="9">
        <v>54.717582674418672</v>
      </c>
      <c r="AA4639" s="9">
        <v>54.717582674418672</v>
      </c>
      <c r="AB4639" s="9">
        <v>59.512837475744206</v>
      </c>
      <c r="AC4639" s="9">
        <v>59.512837475744206</v>
      </c>
      <c r="AD4639" s="9">
        <v>64.787617757202327</v>
      </c>
      <c r="AE4639" s="9">
        <v>70.226598549201981</v>
      </c>
      <c r="AF4639" s="9">
        <v>76.098072315003037</v>
      </c>
      <c r="AG4639" s="9">
        <v>76.098072315003037</v>
      </c>
      <c r="AH4639" s="9">
        <v>82.253154909341504</v>
      </c>
      <c r="AI4639" s="9">
        <v>89.04634969754251</v>
      </c>
      <c r="AJ4639" s="9">
        <v>3.0428788910505911</v>
      </c>
    </row>
    <row r="4640" spans="1:36" x14ac:dyDescent="0.25">
      <c r="A4640" t="s">
        <v>5411</v>
      </c>
      <c r="B4640" t="s">
        <v>16</v>
      </c>
      <c r="C4640" t="s">
        <v>17</v>
      </c>
      <c r="D4640">
        <v>79240000</v>
      </c>
      <c r="E4640">
        <v>79259999</v>
      </c>
      <c r="F4640" t="s">
        <v>2948</v>
      </c>
      <c r="G4640" t="str">
        <f t="shared" si="144"/>
        <v>MSR</v>
      </c>
      <c r="H4640" t="s">
        <v>4217</v>
      </c>
      <c r="I4640" t="s">
        <v>20</v>
      </c>
      <c r="J4640" t="s">
        <v>77</v>
      </c>
      <c r="K4640" s="6">
        <v>0.03</v>
      </c>
      <c r="L4640" s="7">
        <f t="shared" si="145"/>
        <v>2E-3</v>
      </c>
      <c r="M4640" s="7">
        <v>3.0000000000000001E-3</v>
      </c>
      <c r="N4640">
        <v>17</v>
      </c>
      <c r="O4640" s="8">
        <v>37.805832567895507</v>
      </c>
      <c r="P4640" s="9">
        <v>37.805832567895507</v>
      </c>
      <c r="Q4640" s="9">
        <v>37.805832567895507</v>
      </c>
      <c r="R4640" s="9">
        <v>39.372205384609224</v>
      </c>
      <c r="S4640" s="9">
        <v>41.954009946473661</v>
      </c>
      <c r="T4640" s="9">
        <v>42.765400727434375</v>
      </c>
      <c r="U4640" s="9">
        <v>45.367254324781861</v>
      </c>
      <c r="V4640" s="9">
        <v>45.367254324781861</v>
      </c>
      <c r="W4640" s="9">
        <v>45.367254324781861</v>
      </c>
      <c r="X4640" s="9">
        <v>49.734450249044727</v>
      </c>
      <c r="Y4640" s="9">
        <v>49.734450249044727</v>
      </c>
      <c r="Z4640" s="9">
        <v>54.717582674418672</v>
      </c>
      <c r="AA4640" s="9">
        <v>54.717582674418672</v>
      </c>
      <c r="AB4640" s="9">
        <v>59.512837475744206</v>
      </c>
      <c r="AC4640" s="9">
        <v>59.512837475744206</v>
      </c>
      <c r="AD4640" s="9">
        <v>64.787617757202327</v>
      </c>
      <c r="AE4640" s="9">
        <v>70.226598549201981</v>
      </c>
      <c r="AF4640" s="9">
        <v>76.098072315003037</v>
      </c>
      <c r="AG4640" s="9">
        <v>76.098072315003037</v>
      </c>
      <c r="AH4640" s="9">
        <v>82.253154909341504</v>
      </c>
      <c r="AI4640" s="9">
        <v>89.04634969754251</v>
      </c>
      <c r="AJ4640" s="9">
        <v>3.0428788910505911</v>
      </c>
    </row>
    <row r="4641" spans="1:36" x14ac:dyDescent="0.25">
      <c r="A4641" t="s">
        <v>5411</v>
      </c>
      <c r="B4641" t="s">
        <v>16</v>
      </c>
      <c r="C4641" t="s">
        <v>17</v>
      </c>
      <c r="D4641">
        <v>79260000</v>
      </c>
      <c r="E4641">
        <v>79269999</v>
      </c>
      <c r="F4641" t="s">
        <v>4230</v>
      </c>
      <c r="G4641" t="str">
        <f t="shared" si="144"/>
        <v>MSR</v>
      </c>
      <c r="H4641" t="s">
        <v>4217</v>
      </c>
      <c r="I4641" t="s">
        <v>20</v>
      </c>
      <c r="J4641" t="s">
        <v>77</v>
      </c>
      <c r="K4641" s="6">
        <v>0.03</v>
      </c>
      <c r="L4641" s="7">
        <f t="shared" si="145"/>
        <v>2E-3</v>
      </c>
      <c r="M4641" s="7">
        <v>3.0000000000000001E-3</v>
      </c>
      <c r="N4641">
        <v>17</v>
      </c>
      <c r="O4641" s="8">
        <v>37.805832567895507</v>
      </c>
      <c r="P4641" s="9">
        <v>37.805832567895507</v>
      </c>
      <c r="Q4641" s="9">
        <v>37.805832567895507</v>
      </c>
      <c r="R4641" s="9">
        <v>39.372205384609224</v>
      </c>
      <c r="S4641" s="9">
        <v>41.954009946473661</v>
      </c>
      <c r="T4641" s="9">
        <v>42.765400727434375</v>
      </c>
      <c r="U4641" s="9">
        <v>45.367254324781861</v>
      </c>
      <c r="V4641" s="9">
        <v>45.367254324781861</v>
      </c>
      <c r="W4641" s="9">
        <v>45.367254324781861</v>
      </c>
      <c r="X4641" s="9">
        <v>49.734450249044727</v>
      </c>
      <c r="Y4641" s="9">
        <v>49.734450249044727</v>
      </c>
      <c r="Z4641" s="9">
        <v>54.717582674418672</v>
      </c>
      <c r="AA4641" s="9">
        <v>54.717582674418672</v>
      </c>
      <c r="AB4641" s="9">
        <v>59.512837475744206</v>
      </c>
      <c r="AC4641" s="9">
        <v>59.512837475744206</v>
      </c>
      <c r="AD4641" s="9">
        <v>64.787617757202327</v>
      </c>
      <c r="AE4641" s="9">
        <v>70.226598549201981</v>
      </c>
      <c r="AF4641" s="9">
        <v>76.098072315003037</v>
      </c>
      <c r="AG4641" s="9">
        <v>76.098072315003037</v>
      </c>
      <c r="AH4641" s="9">
        <v>82.253154909341504</v>
      </c>
      <c r="AI4641" s="9">
        <v>89.04634969754251</v>
      </c>
      <c r="AJ4641" s="9">
        <v>3.0428788910505911</v>
      </c>
    </row>
    <row r="4642" spans="1:36" x14ac:dyDescent="0.25">
      <c r="A4642" t="s">
        <v>5411</v>
      </c>
      <c r="B4642" t="s">
        <v>16</v>
      </c>
      <c r="C4642" t="s">
        <v>17</v>
      </c>
      <c r="D4642">
        <v>79270000</v>
      </c>
      <c r="E4642">
        <v>79279999</v>
      </c>
      <c r="F4642" t="s">
        <v>3166</v>
      </c>
      <c r="G4642" t="str">
        <f t="shared" si="144"/>
        <v>MSR</v>
      </c>
      <c r="H4642" t="s">
        <v>4217</v>
      </c>
      <c r="I4642" t="s">
        <v>20</v>
      </c>
      <c r="J4642" t="s">
        <v>77</v>
      </c>
      <c r="K4642" s="6">
        <v>0.03</v>
      </c>
      <c r="L4642" s="7">
        <f t="shared" si="145"/>
        <v>2E-3</v>
      </c>
      <c r="M4642" s="7">
        <v>3.0000000000000001E-3</v>
      </c>
      <c r="N4642">
        <v>17</v>
      </c>
      <c r="O4642" s="8">
        <v>37.805832567895507</v>
      </c>
      <c r="P4642" s="9">
        <v>37.805832567895507</v>
      </c>
      <c r="Q4642" s="9">
        <v>37.805832567895507</v>
      </c>
      <c r="R4642" s="9">
        <v>39.372205384609224</v>
      </c>
      <c r="S4642" s="9">
        <v>41.954009946473661</v>
      </c>
      <c r="T4642" s="9">
        <v>42.765400727434375</v>
      </c>
      <c r="U4642" s="9">
        <v>45.367254324781861</v>
      </c>
      <c r="V4642" s="9">
        <v>45.367254324781861</v>
      </c>
      <c r="W4642" s="9">
        <v>45.367254324781861</v>
      </c>
      <c r="X4642" s="9">
        <v>49.734450249044727</v>
      </c>
      <c r="Y4642" s="9">
        <v>49.734450249044727</v>
      </c>
      <c r="Z4642" s="9">
        <v>54.717582674418672</v>
      </c>
      <c r="AA4642" s="9">
        <v>54.717582674418672</v>
      </c>
      <c r="AB4642" s="9">
        <v>59.512837475744206</v>
      </c>
      <c r="AC4642" s="9">
        <v>59.512837475744206</v>
      </c>
      <c r="AD4642" s="9">
        <v>64.787617757202327</v>
      </c>
      <c r="AE4642" s="9">
        <v>70.226598549201981</v>
      </c>
      <c r="AF4642" s="9">
        <v>76.098072315003037</v>
      </c>
      <c r="AG4642" s="9">
        <v>76.098072315003037</v>
      </c>
      <c r="AH4642" s="9">
        <v>82.253154909341504</v>
      </c>
      <c r="AI4642" s="9">
        <v>89.04634969754251</v>
      </c>
      <c r="AJ4642" s="9">
        <v>3.0428788910505911</v>
      </c>
    </row>
    <row r="4643" spans="1:36" x14ac:dyDescent="0.25">
      <c r="A4643" t="s">
        <v>5411</v>
      </c>
      <c r="B4643" t="s">
        <v>16</v>
      </c>
      <c r="C4643" t="s">
        <v>17</v>
      </c>
      <c r="D4643">
        <v>79280000</v>
      </c>
      <c r="E4643">
        <v>79289999</v>
      </c>
      <c r="F4643" t="s">
        <v>4231</v>
      </c>
      <c r="G4643" t="str">
        <f t="shared" si="144"/>
        <v>MSR</v>
      </c>
      <c r="H4643" t="s">
        <v>4217</v>
      </c>
      <c r="I4643" t="s">
        <v>20</v>
      </c>
      <c r="J4643" t="s">
        <v>77</v>
      </c>
      <c r="K4643" s="6">
        <v>0.03</v>
      </c>
      <c r="L4643" s="7">
        <f t="shared" si="145"/>
        <v>2E-3</v>
      </c>
      <c r="M4643" s="7">
        <v>3.0000000000000001E-3</v>
      </c>
      <c r="N4643">
        <v>17</v>
      </c>
      <c r="O4643" s="8">
        <v>37.805832567895507</v>
      </c>
      <c r="P4643" s="9">
        <v>37.805832567895507</v>
      </c>
      <c r="Q4643" s="9">
        <v>37.805832567895507</v>
      </c>
      <c r="R4643" s="9">
        <v>39.372205384609224</v>
      </c>
      <c r="S4643" s="9">
        <v>41.954009946473661</v>
      </c>
      <c r="T4643" s="9">
        <v>42.765400727434375</v>
      </c>
      <c r="U4643" s="9">
        <v>45.367254324781861</v>
      </c>
      <c r="V4643" s="9">
        <v>45.367254324781861</v>
      </c>
      <c r="W4643" s="9">
        <v>45.367254324781861</v>
      </c>
      <c r="X4643" s="9">
        <v>49.734450249044727</v>
      </c>
      <c r="Y4643" s="9">
        <v>49.734450249044727</v>
      </c>
      <c r="Z4643" s="9">
        <v>54.717582674418672</v>
      </c>
      <c r="AA4643" s="9">
        <v>54.717582674418672</v>
      </c>
      <c r="AB4643" s="9">
        <v>59.512837475744206</v>
      </c>
      <c r="AC4643" s="9">
        <v>59.512837475744206</v>
      </c>
      <c r="AD4643" s="9">
        <v>64.787617757202327</v>
      </c>
      <c r="AE4643" s="9">
        <v>70.226598549201981</v>
      </c>
      <c r="AF4643" s="9">
        <v>76.098072315003037</v>
      </c>
      <c r="AG4643" s="9">
        <v>76.098072315003037</v>
      </c>
      <c r="AH4643" s="9">
        <v>82.253154909341504</v>
      </c>
      <c r="AI4643" s="9">
        <v>89.04634969754251</v>
      </c>
      <c r="AJ4643" s="9">
        <v>3.0428788910505911</v>
      </c>
    </row>
    <row r="4644" spans="1:36" x14ac:dyDescent="0.25">
      <c r="A4644" t="s">
        <v>5411</v>
      </c>
      <c r="B4644" t="s">
        <v>16</v>
      </c>
      <c r="C4644" t="s">
        <v>17</v>
      </c>
      <c r="D4644">
        <v>79290000</v>
      </c>
      <c r="E4644">
        <v>79299999</v>
      </c>
      <c r="F4644" t="s">
        <v>1986</v>
      </c>
      <c r="G4644" t="str">
        <f t="shared" si="144"/>
        <v>MSR</v>
      </c>
      <c r="H4644" t="s">
        <v>4217</v>
      </c>
      <c r="I4644" t="s">
        <v>20</v>
      </c>
      <c r="J4644" t="s">
        <v>77</v>
      </c>
      <c r="K4644" s="6">
        <v>0.03</v>
      </c>
      <c r="L4644" s="7">
        <f t="shared" si="145"/>
        <v>2E-3</v>
      </c>
      <c r="M4644" s="7">
        <v>3.0000000000000001E-3</v>
      </c>
      <c r="N4644">
        <v>17</v>
      </c>
      <c r="O4644" s="8">
        <v>37.805832567895507</v>
      </c>
      <c r="P4644" s="9">
        <v>37.805832567895507</v>
      </c>
      <c r="Q4644" s="9">
        <v>37.805832567895507</v>
      </c>
      <c r="R4644" s="9">
        <v>39.372205384609224</v>
      </c>
      <c r="S4644" s="9">
        <v>41.954009946473661</v>
      </c>
      <c r="T4644" s="9">
        <v>42.765400727434375</v>
      </c>
      <c r="U4644" s="9">
        <v>45.367254324781861</v>
      </c>
      <c r="V4644" s="9">
        <v>45.367254324781861</v>
      </c>
      <c r="W4644" s="9">
        <v>45.367254324781861</v>
      </c>
      <c r="X4644" s="9">
        <v>49.734450249044727</v>
      </c>
      <c r="Y4644" s="9">
        <v>49.734450249044727</v>
      </c>
      <c r="Z4644" s="9">
        <v>54.717582674418672</v>
      </c>
      <c r="AA4644" s="9">
        <v>54.717582674418672</v>
      </c>
      <c r="AB4644" s="9">
        <v>59.512837475744206</v>
      </c>
      <c r="AC4644" s="9">
        <v>59.512837475744206</v>
      </c>
      <c r="AD4644" s="9">
        <v>64.787617757202327</v>
      </c>
      <c r="AE4644" s="9">
        <v>70.226598549201981</v>
      </c>
      <c r="AF4644" s="9">
        <v>76.098072315003037</v>
      </c>
      <c r="AG4644" s="9">
        <v>76.098072315003037</v>
      </c>
      <c r="AH4644" s="9">
        <v>82.253154909341504</v>
      </c>
      <c r="AI4644" s="9">
        <v>89.04634969754251</v>
      </c>
      <c r="AJ4644" s="9">
        <v>3.0428788910505911</v>
      </c>
    </row>
    <row r="4645" spans="1:36" x14ac:dyDescent="0.25">
      <c r="A4645" t="s">
        <v>5411</v>
      </c>
      <c r="B4645" t="s">
        <v>16</v>
      </c>
      <c r="C4645" t="s">
        <v>17</v>
      </c>
      <c r="D4645">
        <v>79300000</v>
      </c>
      <c r="E4645">
        <v>79369999</v>
      </c>
      <c r="F4645" t="s">
        <v>4232</v>
      </c>
      <c r="G4645" t="str">
        <f t="shared" si="144"/>
        <v>MSR</v>
      </c>
      <c r="H4645" t="s">
        <v>4217</v>
      </c>
      <c r="I4645" t="s">
        <v>20</v>
      </c>
      <c r="J4645" t="s">
        <v>77</v>
      </c>
      <c r="K4645" s="6">
        <v>0.03</v>
      </c>
      <c r="L4645" s="7">
        <f t="shared" si="145"/>
        <v>2E-3</v>
      </c>
      <c r="M4645" s="7">
        <v>3.0000000000000001E-3</v>
      </c>
      <c r="N4645">
        <v>17</v>
      </c>
      <c r="O4645" s="8">
        <v>37.805832567895507</v>
      </c>
      <c r="P4645" s="9">
        <v>37.805832567895507</v>
      </c>
      <c r="Q4645" s="9">
        <v>37.805832567895507</v>
      </c>
      <c r="R4645" s="9">
        <v>39.372205384609224</v>
      </c>
      <c r="S4645" s="9">
        <v>41.954009946473661</v>
      </c>
      <c r="T4645" s="9">
        <v>42.765400727434375</v>
      </c>
      <c r="U4645" s="9">
        <v>45.367254324781861</v>
      </c>
      <c r="V4645" s="9">
        <v>45.367254324781861</v>
      </c>
      <c r="W4645" s="9">
        <v>45.367254324781861</v>
      </c>
      <c r="X4645" s="9">
        <v>49.734450249044727</v>
      </c>
      <c r="Y4645" s="9">
        <v>49.734450249044727</v>
      </c>
      <c r="Z4645" s="9">
        <v>54.717582674418672</v>
      </c>
      <c r="AA4645" s="9">
        <v>54.717582674418672</v>
      </c>
      <c r="AB4645" s="9">
        <v>59.512837475744206</v>
      </c>
      <c r="AC4645" s="9">
        <v>59.512837475744206</v>
      </c>
      <c r="AD4645" s="9">
        <v>64.787617757202327</v>
      </c>
      <c r="AE4645" s="9">
        <v>70.226598549201981</v>
      </c>
      <c r="AF4645" s="9">
        <v>76.098072315003037</v>
      </c>
      <c r="AG4645" s="9">
        <v>76.098072315003037</v>
      </c>
      <c r="AH4645" s="9">
        <v>82.253154909341504</v>
      </c>
      <c r="AI4645" s="9">
        <v>89.04634969754251</v>
      </c>
      <c r="AJ4645" s="9">
        <v>3.0428788910505911</v>
      </c>
    </row>
    <row r="4646" spans="1:36" x14ac:dyDescent="0.25">
      <c r="A4646" t="s">
        <v>5411</v>
      </c>
      <c r="B4646" t="s">
        <v>16</v>
      </c>
      <c r="C4646" t="s">
        <v>17</v>
      </c>
      <c r="D4646">
        <v>79370000</v>
      </c>
      <c r="E4646">
        <v>79379999</v>
      </c>
      <c r="F4646" t="s">
        <v>4233</v>
      </c>
      <c r="G4646" t="str">
        <f t="shared" si="144"/>
        <v>MSR</v>
      </c>
      <c r="H4646" t="s">
        <v>4217</v>
      </c>
      <c r="I4646" t="s">
        <v>20</v>
      </c>
      <c r="J4646" t="s">
        <v>77</v>
      </c>
      <c r="K4646" s="6">
        <v>0.03</v>
      </c>
      <c r="L4646" s="7">
        <f t="shared" si="145"/>
        <v>2E-3</v>
      </c>
      <c r="M4646" s="7">
        <v>3.0000000000000001E-3</v>
      </c>
      <c r="N4646">
        <v>17</v>
      </c>
      <c r="O4646" s="8">
        <v>37.805832567895507</v>
      </c>
      <c r="P4646" s="9">
        <v>37.805832567895507</v>
      </c>
      <c r="Q4646" s="9">
        <v>37.805832567895507</v>
      </c>
      <c r="R4646" s="9">
        <v>39.372205384609224</v>
      </c>
      <c r="S4646" s="9">
        <v>41.954009946473661</v>
      </c>
      <c r="T4646" s="9">
        <v>42.765400727434375</v>
      </c>
      <c r="U4646" s="9">
        <v>45.367254324781861</v>
      </c>
      <c r="V4646" s="9">
        <v>45.367254324781861</v>
      </c>
      <c r="W4646" s="9">
        <v>45.367254324781861</v>
      </c>
      <c r="X4646" s="9">
        <v>49.734450249044727</v>
      </c>
      <c r="Y4646" s="9">
        <v>49.734450249044727</v>
      </c>
      <c r="Z4646" s="9">
        <v>54.717582674418672</v>
      </c>
      <c r="AA4646" s="9">
        <v>54.717582674418672</v>
      </c>
      <c r="AB4646" s="9">
        <v>59.512837475744206</v>
      </c>
      <c r="AC4646" s="9">
        <v>59.512837475744206</v>
      </c>
      <c r="AD4646" s="9">
        <v>64.787617757202327</v>
      </c>
      <c r="AE4646" s="9">
        <v>70.226598549201981</v>
      </c>
      <c r="AF4646" s="9">
        <v>76.098072315003037</v>
      </c>
      <c r="AG4646" s="9">
        <v>76.098072315003037</v>
      </c>
      <c r="AH4646" s="9">
        <v>82.253154909341504</v>
      </c>
      <c r="AI4646" s="9">
        <v>89.04634969754251</v>
      </c>
      <c r="AJ4646" s="9">
        <v>3.0428788910505911</v>
      </c>
    </row>
    <row r="4647" spans="1:36" x14ac:dyDescent="0.25">
      <c r="A4647" t="s">
        <v>5411</v>
      </c>
      <c r="B4647" t="s">
        <v>16</v>
      </c>
      <c r="C4647" t="s">
        <v>17</v>
      </c>
      <c r="D4647">
        <v>79380000</v>
      </c>
      <c r="E4647">
        <v>79389999</v>
      </c>
      <c r="F4647" t="s">
        <v>4234</v>
      </c>
      <c r="G4647" t="str">
        <f t="shared" si="144"/>
        <v>MSR</v>
      </c>
      <c r="H4647" t="s">
        <v>4217</v>
      </c>
      <c r="I4647" t="s">
        <v>20</v>
      </c>
      <c r="J4647" t="s">
        <v>77</v>
      </c>
      <c r="K4647" s="6">
        <v>0.03</v>
      </c>
      <c r="L4647" s="7">
        <f t="shared" si="145"/>
        <v>2E-3</v>
      </c>
      <c r="M4647" s="7">
        <v>3.0000000000000001E-3</v>
      </c>
      <c r="N4647">
        <v>17</v>
      </c>
      <c r="O4647" s="8">
        <v>37.805832567895507</v>
      </c>
      <c r="P4647" s="9">
        <v>37.805832567895507</v>
      </c>
      <c r="Q4647" s="9">
        <v>37.805832567895507</v>
      </c>
      <c r="R4647" s="9">
        <v>39.372205384609224</v>
      </c>
      <c r="S4647" s="9">
        <v>41.954009946473661</v>
      </c>
      <c r="T4647" s="9">
        <v>42.765400727434375</v>
      </c>
      <c r="U4647" s="9">
        <v>45.367254324781861</v>
      </c>
      <c r="V4647" s="9">
        <v>45.367254324781861</v>
      </c>
      <c r="W4647" s="9">
        <v>45.367254324781861</v>
      </c>
      <c r="X4647" s="9">
        <v>49.734450249044727</v>
      </c>
      <c r="Y4647" s="9">
        <v>49.734450249044727</v>
      </c>
      <c r="Z4647" s="9">
        <v>54.717582674418672</v>
      </c>
      <c r="AA4647" s="9">
        <v>54.717582674418672</v>
      </c>
      <c r="AB4647" s="9">
        <v>59.512837475744206</v>
      </c>
      <c r="AC4647" s="9">
        <v>59.512837475744206</v>
      </c>
      <c r="AD4647" s="9">
        <v>64.787617757202327</v>
      </c>
      <c r="AE4647" s="9">
        <v>70.226598549201981</v>
      </c>
      <c r="AF4647" s="9">
        <v>76.098072315003037</v>
      </c>
      <c r="AG4647" s="9">
        <v>76.098072315003037</v>
      </c>
      <c r="AH4647" s="9">
        <v>82.253154909341504</v>
      </c>
      <c r="AI4647" s="9">
        <v>89.04634969754251</v>
      </c>
      <c r="AJ4647" s="9">
        <v>3.0428788910505911</v>
      </c>
    </row>
    <row r="4648" spans="1:36" x14ac:dyDescent="0.25">
      <c r="A4648" t="s">
        <v>5411</v>
      </c>
      <c r="B4648" t="s">
        <v>16</v>
      </c>
      <c r="C4648" t="s">
        <v>17</v>
      </c>
      <c r="D4648">
        <v>79390000</v>
      </c>
      <c r="E4648">
        <v>79399999</v>
      </c>
      <c r="F4648" t="s">
        <v>4235</v>
      </c>
      <c r="G4648" t="str">
        <f t="shared" si="144"/>
        <v>MSR</v>
      </c>
      <c r="H4648" t="s">
        <v>4217</v>
      </c>
      <c r="I4648" t="s">
        <v>20</v>
      </c>
      <c r="J4648" t="s">
        <v>77</v>
      </c>
      <c r="K4648" s="6">
        <v>0.03</v>
      </c>
      <c r="L4648" s="7">
        <f t="shared" si="145"/>
        <v>2E-3</v>
      </c>
      <c r="M4648" s="7">
        <v>3.0000000000000001E-3</v>
      </c>
      <c r="N4648">
        <v>17</v>
      </c>
      <c r="O4648" s="8">
        <v>37.805832567895507</v>
      </c>
      <c r="P4648" s="9">
        <v>37.805832567895507</v>
      </c>
      <c r="Q4648" s="9">
        <v>37.805832567895507</v>
      </c>
      <c r="R4648" s="9">
        <v>39.372205384609224</v>
      </c>
      <c r="S4648" s="9">
        <v>41.954009946473661</v>
      </c>
      <c r="T4648" s="9">
        <v>42.765400727434375</v>
      </c>
      <c r="U4648" s="9">
        <v>45.367254324781861</v>
      </c>
      <c r="V4648" s="9">
        <v>45.367254324781861</v>
      </c>
      <c r="W4648" s="9">
        <v>45.367254324781861</v>
      </c>
      <c r="X4648" s="9">
        <v>49.734450249044727</v>
      </c>
      <c r="Y4648" s="9">
        <v>49.734450249044727</v>
      </c>
      <c r="Z4648" s="9">
        <v>54.717582674418672</v>
      </c>
      <c r="AA4648" s="9">
        <v>54.717582674418672</v>
      </c>
      <c r="AB4648" s="9">
        <v>59.512837475744206</v>
      </c>
      <c r="AC4648" s="9">
        <v>59.512837475744206</v>
      </c>
      <c r="AD4648" s="9">
        <v>64.787617757202327</v>
      </c>
      <c r="AE4648" s="9">
        <v>70.226598549201981</v>
      </c>
      <c r="AF4648" s="9">
        <v>76.098072315003037</v>
      </c>
      <c r="AG4648" s="9">
        <v>76.098072315003037</v>
      </c>
      <c r="AH4648" s="9">
        <v>82.253154909341504</v>
      </c>
      <c r="AI4648" s="9">
        <v>89.04634969754251</v>
      </c>
      <c r="AJ4648" s="9">
        <v>3.0428788910505911</v>
      </c>
    </row>
    <row r="4649" spans="1:36" x14ac:dyDescent="0.25">
      <c r="A4649" t="s">
        <v>5411</v>
      </c>
      <c r="B4649" t="s">
        <v>16</v>
      </c>
      <c r="C4649" t="s">
        <v>17</v>
      </c>
      <c r="D4649">
        <v>79400000</v>
      </c>
      <c r="E4649">
        <v>79409999</v>
      </c>
      <c r="F4649" t="s">
        <v>4236</v>
      </c>
      <c r="G4649" t="str">
        <f t="shared" si="144"/>
        <v>MSR</v>
      </c>
      <c r="H4649" t="s">
        <v>4217</v>
      </c>
      <c r="I4649" t="s">
        <v>20</v>
      </c>
      <c r="J4649" t="s">
        <v>77</v>
      </c>
      <c r="K4649" s="6">
        <v>0.03</v>
      </c>
      <c r="L4649" s="7">
        <f t="shared" si="145"/>
        <v>2E-3</v>
      </c>
      <c r="M4649" s="7">
        <v>3.0000000000000001E-3</v>
      </c>
      <c r="N4649">
        <v>17</v>
      </c>
      <c r="O4649" s="8">
        <v>37.805832567895507</v>
      </c>
      <c r="P4649" s="9">
        <v>37.805832567895507</v>
      </c>
      <c r="Q4649" s="9">
        <v>37.805832567895507</v>
      </c>
      <c r="R4649" s="9">
        <v>39.372205384609224</v>
      </c>
      <c r="S4649" s="9">
        <v>41.954009946473661</v>
      </c>
      <c r="T4649" s="9">
        <v>42.765400727434375</v>
      </c>
      <c r="U4649" s="9">
        <v>45.367254324781861</v>
      </c>
      <c r="V4649" s="9">
        <v>45.367254324781861</v>
      </c>
      <c r="W4649" s="9">
        <v>45.367254324781861</v>
      </c>
      <c r="X4649" s="9">
        <v>49.734450249044727</v>
      </c>
      <c r="Y4649" s="9">
        <v>49.734450249044727</v>
      </c>
      <c r="Z4649" s="9">
        <v>54.717582674418672</v>
      </c>
      <c r="AA4649" s="9">
        <v>54.717582674418672</v>
      </c>
      <c r="AB4649" s="9">
        <v>59.512837475744206</v>
      </c>
      <c r="AC4649" s="9">
        <v>59.512837475744206</v>
      </c>
      <c r="AD4649" s="9">
        <v>64.787617757202327</v>
      </c>
      <c r="AE4649" s="9">
        <v>70.226598549201981</v>
      </c>
      <c r="AF4649" s="9">
        <v>76.098072315003037</v>
      </c>
      <c r="AG4649" s="9">
        <v>76.098072315003037</v>
      </c>
      <c r="AH4649" s="9">
        <v>82.253154909341504</v>
      </c>
      <c r="AI4649" s="9">
        <v>89.04634969754251</v>
      </c>
      <c r="AJ4649" s="9">
        <v>3.0428788910505911</v>
      </c>
    </row>
    <row r="4650" spans="1:36" x14ac:dyDescent="0.25">
      <c r="A4650" t="s">
        <v>5411</v>
      </c>
      <c r="B4650" t="s">
        <v>16</v>
      </c>
      <c r="C4650" t="s">
        <v>17</v>
      </c>
      <c r="D4650">
        <v>79410000</v>
      </c>
      <c r="E4650">
        <v>79414999</v>
      </c>
      <c r="F4650" t="s">
        <v>4237</v>
      </c>
      <c r="G4650" t="str">
        <f t="shared" si="144"/>
        <v>MSR</v>
      </c>
      <c r="H4650" t="s">
        <v>4217</v>
      </c>
      <c r="I4650" t="s">
        <v>20</v>
      </c>
      <c r="J4650" t="s">
        <v>77</v>
      </c>
      <c r="K4650" s="6">
        <v>0.03</v>
      </c>
      <c r="L4650" s="7">
        <f t="shared" si="145"/>
        <v>2E-3</v>
      </c>
      <c r="M4650" s="7">
        <v>3.0000000000000001E-3</v>
      </c>
      <c r="N4650">
        <v>17</v>
      </c>
      <c r="O4650" s="8">
        <v>37.805832567895507</v>
      </c>
      <c r="P4650" s="9">
        <v>37.805832567895507</v>
      </c>
      <c r="Q4650" s="9">
        <v>37.805832567895507</v>
      </c>
      <c r="R4650" s="9">
        <v>39.372205384609224</v>
      </c>
      <c r="S4650" s="9">
        <v>41.954009946473661</v>
      </c>
      <c r="T4650" s="9">
        <v>42.765400727434375</v>
      </c>
      <c r="U4650" s="9">
        <v>45.367254324781861</v>
      </c>
      <c r="V4650" s="9">
        <v>45.367254324781861</v>
      </c>
      <c r="W4650" s="9">
        <v>45.367254324781861</v>
      </c>
      <c r="X4650" s="9">
        <v>49.734450249044727</v>
      </c>
      <c r="Y4650" s="9">
        <v>49.734450249044727</v>
      </c>
      <c r="Z4650" s="9">
        <v>54.717582674418672</v>
      </c>
      <c r="AA4650" s="9">
        <v>54.717582674418672</v>
      </c>
      <c r="AB4650" s="9">
        <v>59.512837475744206</v>
      </c>
      <c r="AC4650" s="9">
        <v>59.512837475744206</v>
      </c>
      <c r="AD4650" s="9">
        <v>64.787617757202327</v>
      </c>
      <c r="AE4650" s="9">
        <v>70.226598549201981</v>
      </c>
      <c r="AF4650" s="9">
        <v>76.098072315003037</v>
      </c>
      <c r="AG4650" s="9">
        <v>76.098072315003037</v>
      </c>
      <c r="AH4650" s="9">
        <v>82.253154909341504</v>
      </c>
      <c r="AI4650" s="9">
        <v>89.04634969754251</v>
      </c>
      <c r="AJ4650" s="9">
        <v>3.0428788910505911</v>
      </c>
    </row>
    <row r="4651" spans="1:36" x14ac:dyDescent="0.25">
      <c r="A4651" t="s">
        <v>5411</v>
      </c>
      <c r="B4651" t="s">
        <v>16</v>
      </c>
      <c r="C4651" t="s">
        <v>17</v>
      </c>
      <c r="D4651">
        <v>79415000</v>
      </c>
      <c r="E4651">
        <v>79419999</v>
      </c>
      <c r="F4651" t="s">
        <v>4238</v>
      </c>
      <c r="G4651" t="str">
        <f t="shared" si="144"/>
        <v>MSR</v>
      </c>
      <c r="H4651" t="s">
        <v>4217</v>
      </c>
      <c r="I4651" t="s">
        <v>20</v>
      </c>
      <c r="J4651" t="s">
        <v>77</v>
      </c>
      <c r="K4651" s="6">
        <v>0.03</v>
      </c>
      <c r="L4651" s="7">
        <f t="shared" si="145"/>
        <v>2E-3</v>
      </c>
      <c r="M4651" s="7">
        <v>3.0000000000000001E-3</v>
      </c>
      <c r="N4651">
        <v>17</v>
      </c>
      <c r="O4651" s="8">
        <v>37.805832567895507</v>
      </c>
      <c r="P4651" s="9">
        <v>37.805832567895507</v>
      </c>
      <c r="Q4651" s="9">
        <v>37.805832567895507</v>
      </c>
      <c r="R4651" s="9">
        <v>39.372205384609224</v>
      </c>
      <c r="S4651" s="9">
        <v>41.954009946473661</v>
      </c>
      <c r="T4651" s="9">
        <v>42.765400727434375</v>
      </c>
      <c r="U4651" s="9">
        <v>45.367254324781861</v>
      </c>
      <c r="V4651" s="9">
        <v>45.367254324781861</v>
      </c>
      <c r="W4651" s="9">
        <v>45.367254324781861</v>
      </c>
      <c r="X4651" s="9">
        <v>49.734450249044727</v>
      </c>
      <c r="Y4651" s="9">
        <v>49.734450249044727</v>
      </c>
      <c r="Z4651" s="9">
        <v>54.717582674418672</v>
      </c>
      <c r="AA4651" s="9">
        <v>54.717582674418672</v>
      </c>
      <c r="AB4651" s="9">
        <v>59.512837475744206</v>
      </c>
      <c r="AC4651" s="9">
        <v>59.512837475744206</v>
      </c>
      <c r="AD4651" s="9">
        <v>64.787617757202327</v>
      </c>
      <c r="AE4651" s="9">
        <v>70.226598549201981</v>
      </c>
      <c r="AF4651" s="9">
        <v>76.098072315003037</v>
      </c>
      <c r="AG4651" s="9">
        <v>76.098072315003037</v>
      </c>
      <c r="AH4651" s="9">
        <v>82.253154909341504</v>
      </c>
      <c r="AI4651" s="9">
        <v>89.04634969754251</v>
      </c>
      <c r="AJ4651" s="9">
        <v>3.0428788910505911</v>
      </c>
    </row>
    <row r="4652" spans="1:36" x14ac:dyDescent="0.25">
      <c r="A4652" t="s">
        <v>5411</v>
      </c>
      <c r="B4652" t="s">
        <v>16</v>
      </c>
      <c r="C4652" t="s">
        <v>17</v>
      </c>
      <c r="D4652">
        <v>79420000</v>
      </c>
      <c r="E4652">
        <v>79427999</v>
      </c>
      <c r="F4652" t="s">
        <v>4239</v>
      </c>
      <c r="G4652" t="str">
        <f t="shared" si="144"/>
        <v>MSR</v>
      </c>
      <c r="H4652" t="s">
        <v>4217</v>
      </c>
      <c r="I4652" t="s">
        <v>20</v>
      </c>
      <c r="J4652" t="s">
        <v>77</v>
      </c>
      <c r="K4652" s="6">
        <v>0.03</v>
      </c>
      <c r="L4652" s="7">
        <f t="shared" si="145"/>
        <v>2E-3</v>
      </c>
      <c r="M4652" s="7">
        <v>3.0000000000000001E-3</v>
      </c>
      <c r="N4652">
        <v>17</v>
      </c>
      <c r="O4652" s="8">
        <v>37.805832567895507</v>
      </c>
      <c r="P4652" s="9">
        <v>37.805832567895507</v>
      </c>
      <c r="Q4652" s="9">
        <v>37.805832567895507</v>
      </c>
      <c r="R4652" s="9">
        <v>39.372205384609224</v>
      </c>
      <c r="S4652" s="9">
        <v>41.954009946473661</v>
      </c>
      <c r="T4652" s="9">
        <v>42.765400727434375</v>
      </c>
      <c r="U4652" s="9">
        <v>45.367254324781861</v>
      </c>
      <c r="V4652" s="9">
        <v>45.367254324781861</v>
      </c>
      <c r="W4652" s="9">
        <v>45.367254324781861</v>
      </c>
      <c r="X4652" s="9">
        <v>49.734450249044727</v>
      </c>
      <c r="Y4652" s="9">
        <v>49.734450249044727</v>
      </c>
      <c r="Z4652" s="9">
        <v>54.717582674418672</v>
      </c>
      <c r="AA4652" s="9">
        <v>54.717582674418672</v>
      </c>
      <c r="AB4652" s="9">
        <v>59.512837475744206</v>
      </c>
      <c r="AC4652" s="9">
        <v>59.512837475744206</v>
      </c>
      <c r="AD4652" s="9">
        <v>64.787617757202327</v>
      </c>
      <c r="AE4652" s="9">
        <v>70.226598549201981</v>
      </c>
      <c r="AF4652" s="9">
        <v>76.098072315003037</v>
      </c>
      <c r="AG4652" s="9">
        <v>76.098072315003037</v>
      </c>
      <c r="AH4652" s="9">
        <v>82.253154909341504</v>
      </c>
      <c r="AI4652" s="9">
        <v>89.04634969754251</v>
      </c>
      <c r="AJ4652" s="9">
        <v>3.0428788910505911</v>
      </c>
    </row>
    <row r="4653" spans="1:36" x14ac:dyDescent="0.25">
      <c r="A4653" t="s">
        <v>5411</v>
      </c>
      <c r="B4653" t="s">
        <v>16</v>
      </c>
      <c r="C4653" t="s">
        <v>17</v>
      </c>
      <c r="D4653">
        <v>79428000</v>
      </c>
      <c r="E4653">
        <v>79429999</v>
      </c>
      <c r="F4653" t="s">
        <v>4240</v>
      </c>
      <c r="G4653" t="str">
        <f t="shared" si="144"/>
        <v>MSR</v>
      </c>
      <c r="H4653" t="s">
        <v>4217</v>
      </c>
      <c r="I4653" t="s">
        <v>20</v>
      </c>
      <c r="J4653" t="s">
        <v>77</v>
      </c>
      <c r="K4653" s="6">
        <v>0.03</v>
      </c>
      <c r="L4653" s="7">
        <f t="shared" si="145"/>
        <v>2E-3</v>
      </c>
      <c r="M4653" s="7">
        <v>3.0000000000000001E-3</v>
      </c>
      <c r="N4653">
        <v>17</v>
      </c>
      <c r="O4653" s="8">
        <v>37.805832567895507</v>
      </c>
      <c r="P4653" s="9">
        <v>37.805832567895507</v>
      </c>
      <c r="Q4653" s="9">
        <v>37.805832567895507</v>
      </c>
      <c r="R4653" s="9">
        <v>39.372205384609224</v>
      </c>
      <c r="S4653" s="9">
        <v>41.954009946473661</v>
      </c>
      <c r="T4653" s="9">
        <v>42.765400727434375</v>
      </c>
      <c r="U4653" s="9">
        <v>45.367254324781861</v>
      </c>
      <c r="V4653" s="9">
        <v>45.367254324781861</v>
      </c>
      <c r="W4653" s="9">
        <v>45.367254324781861</v>
      </c>
      <c r="X4653" s="9">
        <v>49.734450249044727</v>
      </c>
      <c r="Y4653" s="9">
        <v>49.734450249044727</v>
      </c>
      <c r="Z4653" s="9">
        <v>54.717582674418672</v>
      </c>
      <c r="AA4653" s="9">
        <v>54.717582674418672</v>
      </c>
      <c r="AB4653" s="9">
        <v>59.512837475744206</v>
      </c>
      <c r="AC4653" s="9">
        <v>59.512837475744206</v>
      </c>
      <c r="AD4653" s="9">
        <v>64.787617757202327</v>
      </c>
      <c r="AE4653" s="9">
        <v>70.226598549201981</v>
      </c>
      <c r="AF4653" s="9">
        <v>76.098072315003037</v>
      </c>
      <c r="AG4653" s="9">
        <v>76.098072315003037</v>
      </c>
      <c r="AH4653" s="9">
        <v>82.253154909341504</v>
      </c>
      <c r="AI4653" s="9">
        <v>89.04634969754251</v>
      </c>
      <c r="AJ4653" s="9">
        <v>3.0428788910505911</v>
      </c>
    </row>
    <row r="4654" spans="1:36" x14ac:dyDescent="0.25">
      <c r="A4654" t="s">
        <v>5411</v>
      </c>
      <c r="B4654" t="s">
        <v>16</v>
      </c>
      <c r="C4654" t="s">
        <v>17</v>
      </c>
      <c r="D4654">
        <v>79430000</v>
      </c>
      <c r="E4654">
        <v>79439999</v>
      </c>
      <c r="F4654" t="s">
        <v>4241</v>
      </c>
      <c r="G4654" t="str">
        <f t="shared" si="144"/>
        <v>MSR</v>
      </c>
      <c r="H4654" t="s">
        <v>4217</v>
      </c>
      <c r="I4654" t="s">
        <v>20</v>
      </c>
      <c r="J4654" t="s">
        <v>77</v>
      </c>
      <c r="K4654" s="6">
        <v>0.03</v>
      </c>
      <c r="L4654" s="7">
        <f t="shared" si="145"/>
        <v>2E-3</v>
      </c>
      <c r="M4654" s="7">
        <v>3.0000000000000001E-3</v>
      </c>
      <c r="N4654">
        <v>17</v>
      </c>
      <c r="O4654" s="8">
        <v>37.805832567895507</v>
      </c>
      <c r="P4654" s="9">
        <v>37.805832567895507</v>
      </c>
      <c r="Q4654" s="9">
        <v>37.805832567895507</v>
      </c>
      <c r="R4654" s="9">
        <v>39.372205384609224</v>
      </c>
      <c r="S4654" s="9">
        <v>41.954009946473661</v>
      </c>
      <c r="T4654" s="9">
        <v>42.765400727434375</v>
      </c>
      <c r="U4654" s="9">
        <v>45.367254324781861</v>
      </c>
      <c r="V4654" s="9">
        <v>45.367254324781861</v>
      </c>
      <c r="W4654" s="9">
        <v>45.367254324781861</v>
      </c>
      <c r="X4654" s="9">
        <v>49.734450249044727</v>
      </c>
      <c r="Y4654" s="9">
        <v>49.734450249044727</v>
      </c>
      <c r="Z4654" s="9">
        <v>54.717582674418672</v>
      </c>
      <c r="AA4654" s="9">
        <v>54.717582674418672</v>
      </c>
      <c r="AB4654" s="9">
        <v>59.512837475744206</v>
      </c>
      <c r="AC4654" s="9">
        <v>59.512837475744206</v>
      </c>
      <c r="AD4654" s="9">
        <v>64.787617757202327</v>
      </c>
      <c r="AE4654" s="9">
        <v>70.226598549201981</v>
      </c>
      <c r="AF4654" s="9">
        <v>76.098072315003037</v>
      </c>
      <c r="AG4654" s="9">
        <v>76.098072315003037</v>
      </c>
      <c r="AH4654" s="9">
        <v>82.253154909341504</v>
      </c>
      <c r="AI4654" s="9">
        <v>89.04634969754251</v>
      </c>
      <c r="AJ4654" s="9">
        <v>3.0428788910505911</v>
      </c>
    </row>
    <row r="4655" spans="1:36" x14ac:dyDescent="0.25">
      <c r="A4655" t="s">
        <v>5411</v>
      </c>
      <c r="B4655" t="s">
        <v>16</v>
      </c>
      <c r="C4655" t="s">
        <v>17</v>
      </c>
      <c r="D4655">
        <v>79440000</v>
      </c>
      <c r="E4655">
        <v>79449999</v>
      </c>
      <c r="F4655" t="s">
        <v>4242</v>
      </c>
      <c r="G4655" t="str">
        <f t="shared" si="144"/>
        <v>MSR</v>
      </c>
      <c r="H4655" t="s">
        <v>4217</v>
      </c>
      <c r="I4655" t="s">
        <v>20</v>
      </c>
      <c r="J4655" t="s">
        <v>77</v>
      </c>
      <c r="K4655" s="6">
        <v>0.03</v>
      </c>
      <c r="L4655" s="7">
        <f t="shared" si="145"/>
        <v>2E-3</v>
      </c>
      <c r="M4655" s="7">
        <v>3.0000000000000001E-3</v>
      </c>
      <c r="N4655">
        <v>17</v>
      </c>
      <c r="O4655" s="8">
        <v>37.805832567895507</v>
      </c>
      <c r="P4655" s="9">
        <v>37.805832567895507</v>
      </c>
      <c r="Q4655" s="9">
        <v>37.805832567895507</v>
      </c>
      <c r="R4655" s="9">
        <v>39.372205384609224</v>
      </c>
      <c r="S4655" s="9">
        <v>41.954009946473661</v>
      </c>
      <c r="T4655" s="9">
        <v>42.765400727434375</v>
      </c>
      <c r="U4655" s="9">
        <v>45.367254324781861</v>
      </c>
      <c r="V4655" s="9">
        <v>45.367254324781861</v>
      </c>
      <c r="W4655" s="9">
        <v>45.367254324781861</v>
      </c>
      <c r="X4655" s="9">
        <v>49.734450249044727</v>
      </c>
      <c r="Y4655" s="9">
        <v>49.734450249044727</v>
      </c>
      <c r="Z4655" s="9">
        <v>54.717582674418672</v>
      </c>
      <c r="AA4655" s="9">
        <v>54.717582674418672</v>
      </c>
      <c r="AB4655" s="9">
        <v>59.512837475744206</v>
      </c>
      <c r="AC4655" s="9">
        <v>59.512837475744206</v>
      </c>
      <c r="AD4655" s="9">
        <v>64.787617757202327</v>
      </c>
      <c r="AE4655" s="9">
        <v>70.226598549201981</v>
      </c>
      <c r="AF4655" s="9">
        <v>76.098072315003037</v>
      </c>
      <c r="AG4655" s="9">
        <v>76.098072315003037</v>
      </c>
      <c r="AH4655" s="9">
        <v>82.253154909341504</v>
      </c>
      <c r="AI4655" s="9">
        <v>89.04634969754251</v>
      </c>
      <c r="AJ4655" s="9">
        <v>3.0428788910505911</v>
      </c>
    </row>
    <row r="4656" spans="1:36" x14ac:dyDescent="0.25">
      <c r="A4656" t="s">
        <v>5411</v>
      </c>
      <c r="B4656" t="s">
        <v>16</v>
      </c>
      <c r="C4656" t="s">
        <v>17</v>
      </c>
      <c r="D4656">
        <v>79450000</v>
      </c>
      <c r="E4656">
        <v>79459999</v>
      </c>
      <c r="F4656" t="s">
        <v>4243</v>
      </c>
      <c r="G4656" t="str">
        <f t="shared" si="144"/>
        <v>MSR</v>
      </c>
      <c r="H4656" t="s">
        <v>4217</v>
      </c>
      <c r="I4656" t="s">
        <v>20</v>
      </c>
      <c r="J4656" t="s">
        <v>77</v>
      </c>
      <c r="K4656" s="6">
        <v>0.03</v>
      </c>
      <c r="L4656" s="7">
        <f t="shared" si="145"/>
        <v>2E-3</v>
      </c>
      <c r="M4656" s="7">
        <v>3.0000000000000001E-3</v>
      </c>
      <c r="N4656">
        <v>17</v>
      </c>
      <c r="O4656" s="8">
        <v>37.805832567895507</v>
      </c>
      <c r="P4656" s="9">
        <v>37.805832567895507</v>
      </c>
      <c r="Q4656" s="9">
        <v>37.805832567895507</v>
      </c>
      <c r="R4656" s="9">
        <v>39.372205384609224</v>
      </c>
      <c r="S4656" s="9">
        <v>41.954009946473661</v>
      </c>
      <c r="T4656" s="9">
        <v>42.765400727434375</v>
      </c>
      <c r="U4656" s="9">
        <v>45.367254324781861</v>
      </c>
      <c r="V4656" s="9">
        <v>45.367254324781861</v>
      </c>
      <c r="W4656" s="9">
        <v>45.367254324781861</v>
      </c>
      <c r="X4656" s="9">
        <v>49.734450249044727</v>
      </c>
      <c r="Y4656" s="9">
        <v>49.734450249044727</v>
      </c>
      <c r="Z4656" s="9">
        <v>54.717582674418672</v>
      </c>
      <c r="AA4656" s="9">
        <v>54.717582674418672</v>
      </c>
      <c r="AB4656" s="9">
        <v>59.512837475744206</v>
      </c>
      <c r="AC4656" s="9">
        <v>59.512837475744206</v>
      </c>
      <c r="AD4656" s="9">
        <v>64.787617757202327</v>
      </c>
      <c r="AE4656" s="9">
        <v>70.226598549201981</v>
      </c>
      <c r="AF4656" s="9">
        <v>76.098072315003037</v>
      </c>
      <c r="AG4656" s="9">
        <v>76.098072315003037</v>
      </c>
      <c r="AH4656" s="9">
        <v>82.253154909341504</v>
      </c>
      <c r="AI4656" s="9">
        <v>89.04634969754251</v>
      </c>
      <c r="AJ4656" s="9">
        <v>3.0428788910505911</v>
      </c>
    </row>
    <row r="4657" spans="1:36" x14ac:dyDescent="0.25">
      <c r="A4657" t="s">
        <v>5411</v>
      </c>
      <c r="B4657" t="s">
        <v>16</v>
      </c>
      <c r="C4657" t="s">
        <v>17</v>
      </c>
      <c r="D4657">
        <v>79460000</v>
      </c>
      <c r="E4657">
        <v>79469999</v>
      </c>
      <c r="F4657" t="s">
        <v>4244</v>
      </c>
      <c r="G4657" t="str">
        <f t="shared" si="144"/>
        <v>MSR</v>
      </c>
      <c r="H4657" t="s">
        <v>4217</v>
      </c>
      <c r="I4657" t="s">
        <v>20</v>
      </c>
      <c r="J4657" t="s">
        <v>77</v>
      </c>
      <c r="K4657" s="6">
        <v>0.03</v>
      </c>
      <c r="L4657" s="7">
        <f t="shared" si="145"/>
        <v>2E-3</v>
      </c>
      <c r="M4657" s="7">
        <v>3.0000000000000001E-3</v>
      </c>
      <c r="N4657">
        <v>17</v>
      </c>
      <c r="O4657" s="8">
        <v>37.805832567895507</v>
      </c>
      <c r="P4657" s="9">
        <v>37.805832567895507</v>
      </c>
      <c r="Q4657" s="9">
        <v>37.805832567895507</v>
      </c>
      <c r="R4657" s="9">
        <v>39.372205384609224</v>
      </c>
      <c r="S4657" s="9">
        <v>41.954009946473661</v>
      </c>
      <c r="T4657" s="9">
        <v>42.765400727434375</v>
      </c>
      <c r="U4657" s="9">
        <v>45.367254324781861</v>
      </c>
      <c r="V4657" s="9">
        <v>45.367254324781861</v>
      </c>
      <c r="W4657" s="9">
        <v>45.367254324781861</v>
      </c>
      <c r="X4657" s="9">
        <v>49.734450249044727</v>
      </c>
      <c r="Y4657" s="9">
        <v>49.734450249044727</v>
      </c>
      <c r="Z4657" s="9">
        <v>54.717582674418672</v>
      </c>
      <c r="AA4657" s="9">
        <v>54.717582674418672</v>
      </c>
      <c r="AB4657" s="9">
        <v>59.512837475744206</v>
      </c>
      <c r="AC4657" s="9">
        <v>59.512837475744206</v>
      </c>
      <c r="AD4657" s="9">
        <v>64.787617757202327</v>
      </c>
      <c r="AE4657" s="9">
        <v>70.226598549201981</v>
      </c>
      <c r="AF4657" s="9">
        <v>76.098072315003037</v>
      </c>
      <c r="AG4657" s="9">
        <v>76.098072315003037</v>
      </c>
      <c r="AH4657" s="9">
        <v>82.253154909341504</v>
      </c>
      <c r="AI4657" s="9">
        <v>89.04634969754251</v>
      </c>
      <c r="AJ4657" s="9">
        <v>3.0428788910505911</v>
      </c>
    </row>
    <row r="4658" spans="1:36" x14ac:dyDescent="0.25">
      <c r="A4658" t="s">
        <v>5411</v>
      </c>
      <c r="B4658" t="s">
        <v>16</v>
      </c>
      <c r="C4658" t="s">
        <v>17</v>
      </c>
      <c r="D4658">
        <v>79470000</v>
      </c>
      <c r="E4658">
        <v>79479999</v>
      </c>
      <c r="F4658" t="s">
        <v>4245</v>
      </c>
      <c r="G4658" t="str">
        <f t="shared" si="144"/>
        <v>MSR</v>
      </c>
      <c r="H4658" t="s">
        <v>4217</v>
      </c>
      <c r="I4658" t="s">
        <v>20</v>
      </c>
      <c r="J4658" t="s">
        <v>77</v>
      </c>
      <c r="K4658" s="6">
        <v>0.03</v>
      </c>
      <c r="L4658" s="7">
        <f t="shared" si="145"/>
        <v>2E-3</v>
      </c>
      <c r="M4658" s="7">
        <v>3.0000000000000001E-3</v>
      </c>
      <c r="N4658">
        <v>17</v>
      </c>
      <c r="O4658" s="8">
        <v>37.805832567895507</v>
      </c>
      <c r="P4658" s="9">
        <v>37.805832567895507</v>
      </c>
      <c r="Q4658" s="9">
        <v>37.805832567895507</v>
      </c>
      <c r="R4658" s="9">
        <v>39.372205384609224</v>
      </c>
      <c r="S4658" s="9">
        <v>41.954009946473661</v>
      </c>
      <c r="T4658" s="9">
        <v>42.765400727434375</v>
      </c>
      <c r="U4658" s="9">
        <v>45.367254324781861</v>
      </c>
      <c r="V4658" s="9">
        <v>45.367254324781861</v>
      </c>
      <c r="W4658" s="9">
        <v>45.367254324781861</v>
      </c>
      <c r="X4658" s="9">
        <v>49.734450249044727</v>
      </c>
      <c r="Y4658" s="9">
        <v>49.734450249044727</v>
      </c>
      <c r="Z4658" s="9">
        <v>54.717582674418672</v>
      </c>
      <c r="AA4658" s="9">
        <v>54.717582674418672</v>
      </c>
      <c r="AB4658" s="9">
        <v>59.512837475744206</v>
      </c>
      <c r="AC4658" s="9">
        <v>59.512837475744206</v>
      </c>
      <c r="AD4658" s="9">
        <v>64.787617757202327</v>
      </c>
      <c r="AE4658" s="9">
        <v>70.226598549201981</v>
      </c>
      <c r="AF4658" s="9">
        <v>76.098072315003037</v>
      </c>
      <c r="AG4658" s="9">
        <v>76.098072315003037</v>
      </c>
      <c r="AH4658" s="9">
        <v>82.253154909341504</v>
      </c>
      <c r="AI4658" s="9">
        <v>89.04634969754251</v>
      </c>
      <c r="AJ4658" s="9">
        <v>3.0428788910505911</v>
      </c>
    </row>
    <row r="4659" spans="1:36" x14ac:dyDescent="0.25">
      <c r="A4659" t="s">
        <v>5411</v>
      </c>
      <c r="B4659" t="s">
        <v>16</v>
      </c>
      <c r="C4659" t="s">
        <v>17</v>
      </c>
      <c r="D4659">
        <v>79480000</v>
      </c>
      <c r="E4659">
        <v>79489999</v>
      </c>
      <c r="F4659" t="s">
        <v>4246</v>
      </c>
      <c r="G4659" t="str">
        <f t="shared" si="144"/>
        <v>MSR</v>
      </c>
      <c r="H4659" t="s">
        <v>4217</v>
      </c>
      <c r="I4659" t="s">
        <v>20</v>
      </c>
      <c r="J4659" t="s">
        <v>77</v>
      </c>
      <c r="K4659" s="6">
        <v>0.03</v>
      </c>
      <c r="L4659" s="7">
        <f t="shared" si="145"/>
        <v>2E-3</v>
      </c>
      <c r="M4659" s="7">
        <v>3.0000000000000001E-3</v>
      </c>
      <c r="N4659">
        <v>17</v>
      </c>
      <c r="O4659" s="8">
        <v>37.805832567895507</v>
      </c>
      <c r="P4659" s="9">
        <v>37.805832567895507</v>
      </c>
      <c r="Q4659" s="9">
        <v>37.805832567895507</v>
      </c>
      <c r="R4659" s="9">
        <v>39.372205384609224</v>
      </c>
      <c r="S4659" s="9">
        <v>41.954009946473661</v>
      </c>
      <c r="T4659" s="9">
        <v>42.765400727434375</v>
      </c>
      <c r="U4659" s="9">
        <v>45.367254324781861</v>
      </c>
      <c r="V4659" s="9">
        <v>45.367254324781861</v>
      </c>
      <c r="W4659" s="9">
        <v>45.367254324781861</v>
      </c>
      <c r="X4659" s="9">
        <v>49.734450249044727</v>
      </c>
      <c r="Y4659" s="9">
        <v>49.734450249044727</v>
      </c>
      <c r="Z4659" s="9">
        <v>54.717582674418672</v>
      </c>
      <c r="AA4659" s="9">
        <v>54.717582674418672</v>
      </c>
      <c r="AB4659" s="9">
        <v>59.512837475744206</v>
      </c>
      <c r="AC4659" s="9">
        <v>59.512837475744206</v>
      </c>
      <c r="AD4659" s="9">
        <v>64.787617757202327</v>
      </c>
      <c r="AE4659" s="9">
        <v>70.226598549201981</v>
      </c>
      <c r="AF4659" s="9">
        <v>76.098072315003037</v>
      </c>
      <c r="AG4659" s="9">
        <v>76.098072315003037</v>
      </c>
      <c r="AH4659" s="9">
        <v>82.253154909341504</v>
      </c>
      <c r="AI4659" s="9">
        <v>89.04634969754251</v>
      </c>
      <c r="AJ4659" s="9">
        <v>3.0428788910505911</v>
      </c>
    </row>
    <row r="4660" spans="1:36" x14ac:dyDescent="0.25">
      <c r="A4660" t="s">
        <v>5411</v>
      </c>
      <c r="B4660" t="s">
        <v>16</v>
      </c>
      <c r="C4660" t="s">
        <v>17</v>
      </c>
      <c r="D4660">
        <v>79490000</v>
      </c>
      <c r="E4660">
        <v>79499999</v>
      </c>
      <c r="F4660" t="s">
        <v>4247</v>
      </c>
      <c r="G4660" t="str">
        <f t="shared" si="144"/>
        <v>MSR</v>
      </c>
      <c r="H4660" t="s">
        <v>4217</v>
      </c>
      <c r="I4660" t="s">
        <v>20</v>
      </c>
      <c r="J4660" t="s">
        <v>77</v>
      </c>
      <c r="K4660" s="6">
        <v>0.03</v>
      </c>
      <c r="L4660" s="7">
        <f t="shared" si="145"/>
        <v>2E-3</v>
      </c>
      <c r="M4660" s="7">
        <v>3.0000000000000001E-3</v>
      </c>
      <c r="N4660">
        <v>17</v>
      </c>
      <c r="O4660" s="8">
        <v>37.805832567895507</v>
      </c>
      <c r="P4660" s="9">
        <v>37.805832567895507</v>
      </c>
      <c r="Q4660" s="9">
        <v>37.805832567895507</v>
      </c>
      <c r="R4660" s="9">
        <v>39.372205384609224</v>
      </c>
      <c r="S4660" s="9">
        <v>41.954009946473661</v>
      </c>
      <c r="T4660" s="9">
        <v>42.765400727434375</v>
      </c>
      <c r="U4660" s="9">
        <v>45.367254324781861</v>
      </c>
      <c r="V4660" s="9">
        <v>45.367254324781861</v>
      </c>
      <c r="W4660" s="9">
        <v>45.367254324781861</v>
      </c>
      <c r="X4660" s="9">
        <v>49.734450249044727</v>
      </c>
      <c r="Y4660" s="9">
        <v>49.734450249044727</v>
      </c>
      <c r="Z4660" s="9">
        <v>54.717582674418672</v>
      </c>
      <c r="AA4660" s="9">
        <v>54.717582674418672</v>
      </c>
      <c r="AB4660" s="9">
        <v>59.512837475744206</v>
      </c>
      <c r="AC4660" s="9">
        <v>59.512837475744206</v>
      </c>
      <c r="AD4660" s="9">
        <v>64.787617757202327</v>
      </c>
      <c r="AE4660" s="9">
        <v>70.226598549201981</v>
      </c>
      <c r="AF4660" s="9">
        <v>76.098072315003037</v>
      </c>
      <c r="AG4660" s="9">
        <v>76.098072315003037</v>
      </c>
      <c r="AH4660" s="9">
        <v>82.253154909341504</v>
      </c>
      <c r="AI4660" s="9">
        <v>89.04634969754251</v>
      </c>
      <c r="AJ4660" s="9">
        <v>3.0428788910505911</v>
      </c>
    </row>
    <row r="4661" spans="1:36" x14ac:dyDescent="0.25">
      <c r="A4661" t="s">
        <v>5411</v>
      </c>
      <c r="B4661" t="s">
        <v>16</v>
      </c>
      <c r="C4661" t="s">
        <v>17</v>
      </c>
      <c r="D4661">
        <v>79500000</v>
      </c>
      <c r="E4661">
        <v>79529999</v>
      </c>
      <c r="F4661" t="s">
        <v>4248</v>
      </c>
      <c r="G4661" t="str">
        <f t="shared" si="144"/>
        <v>MSR</v>
      </c>
      <c r="H4661" t="s">
        <v>4217</v>
      </c>
      <c r="I4661" t="s">
        <v>20</v>
      </c>
      <c r="J4661" t="s">
        <v>77</v>
      </c>
      <c r="K4661" s="6">
        <v>0.03</v>
      </c>
      <c r="L4661" s="7">
        <f t="shared" si="145"/>
        <v>2E-3</v>
      </c>
      <c r="M4661" s="7">
        <v>3.0000000000000001E-3</v>
      </c>
      <c r="N4661">
        <v>17</v>
      </c>
      <c r="O4661" s="8">
        <v>37.805832567895507</v>
      </c>
      <c r="P4661" s="9">
        <v>37.805832567895507</v>
      </c>
      <c r="Q4661" s="9">
        <v>37.805832567895507</v>
      </c>
      <c r="R4661" s="9">
        <v>39.372205384609224</v>
      </c>
      <c r="S4661" s="9">
        <v>41.954009946473661</v>
      </c>
      <c r="T4661" s="9">
        <v>42.765400727434375</v>
      </c>
      <c r="U4661" s="9">
        <v>45.367254324781861</v>
      </c>
      <c r="V4661" s="9">
        <v>45.367254324781861</v>
      </c>
      <c r="W4661" s="9">
        <v>45.367254324781861</v>
      </c>
      <c r="X4661" s="9">
        <v>49.734450249044727</v>
      </c>
      <c r="Y4661" s="9">
        <v>49.734450249044727</v>
      </c>
      <c r="Z4661" s="9">
        <v>54.717582674418672</v>
      </c>
      <c r="AA4661" s="9">
        <v>54.717582674418672</v>
      </c>
      <c r="AB4661" s="9">
        <v>59.512837475744206</v>
      </c>
      <c r="AC4661" s="9">
        <v>59.512837475744206</v>
      </c>
      <c r="AD4661" s="9">
        <v>64.787617757202327</v>
      </c>
      <c r="AE4661" s="9">
        <v>70.226598549201981</v>
      </c>
      <c r="AF4661" s="9">
        <v>76.098072315003037</v>
      </c>
      <c r="AG4661" s="9">
        <v>76.098072315003037</v>
      </c>
      <c r="AH4661" s="9">
        <v>82.253154909341504</v>
      </c>
      <c r="AI4661" s="9">
        <v>89.04634969754251</v>
      </c>
      <c r="AJ4661" s="9">
        <v>3.0428788910505911</v>
      </c>
    </row>
    <row r="4662" spans="1:36" x14ac:dyDescent="0.25">
      <c r="A4662" t="s">
        <v>5411</v>
      </c>
      <c r="B4662" t="s">
        <v>16</v>
      </c>
      <c r="C4662" t="s">
        <v>17</v>
      </c>
      <c r="D4662">
        <v>79530000</v>
      </c>
      <c r="E4662">
        <v>79539999</v>
      </c>
      <c r="F4662" t="s">
        <v>4249</v>
      </c>
      <c r="G4662" t="str">
        <f t="shared" si="144"/>
        <v>MSR</v>
      </c>
      <c r="H4662" t="s">
        <v>4217</v>
      </c>
      <c r="I4662" t="s">
        <v>20</v>
      </c>
      <c r="J4662" t="s">
        <v>77</v>
      </c>
      <c r="K4662" s="6">
        <v>0.03</v>
      </c>
      <c r="L4662" s="7">
        <f t="shared" si="145"/>
        <v>2E-3</v>
      </c>
      <c r="M4662" s="7">
        <v>3.0000000000000001E-3</v>
      </c>
      <c r="N4662">
        <v>17</v>
      </c>
      <c r="O4662" s="8">
        <v>37.805832567895507</v>
      </c>
      <c r="P4662" s="9">
        <v>37.805832567895507</v>
      </c>
      <c r="Q4662" s="9">
        <v>37.805832567895507</v>
      </c>
      <c r="R4662" s="9">
        <v>39.372205384609224</v>
      </c>
      <c r="S4662" s="9">
        <v>41.954009946473661</v>
      </c>
      <c r="T4662" s="9">
        <v>42.765400727434375</v>
      </c>
      <c r="U4662" s="9">
        <v>45.367254324781861</v>
      </c>
      <c r="V4662" s="9">
        <v>45.367254324781861</v>
      </c>
      <c r="W4662" s="9">
        <v>45.367254324781861</v>
      </c>
      <c r="X4662" s="9">
        <v>49.734450249044727</v>
      </c>
      <c r="Y4662" s="9">
        <v>49.734450249044727</v>
      </c>
      <c r="Z4662" s="9">
        <v>54.717582674418672</v>
      </c>
      <c r="AA4662" s="9">
        <v>54.717582674418672</v>
      </c>
      <c r="AB4662" s="9">
        <v>59.512837475744206</v>
      </c>
      <c r="AC4662" s="9">
        <v>59.512837475744206</v>
      </c>
      <c r="AD4662" s="9">
        <v>64.787617757202327</v>
      </c>
      <c r="AE4662" s="9">
        <v>70.226598549201981</v>
      </c>
      <c r="AF4662" s="9">
        <v>76.098072315003037</v>
      </c>
      <c r="AG4662" s="9">
        <v>76.098072315003037</v>
      </c>
      <c r="AH4662" s="9">
        <v>82.253154909341504</v>
      </c>
      <c r="AI4662" s="9">
        <v>89.04634969754251</v>
      </c>
      <c r="AJ4662" s="9">
        <v>3.0428788910505911</v>
      </c>
    </row>
    <row r="4663" spans="1:36" x14ac:dyDescent="0.25">
      <c r="A4663" t="s">
        <v>5411</v>
      </c>
      <c r="B4663" t="s">
        <v>16</v>
      </c>
      <c r="C4663" t="s">
        <v>17</v>
      </c>
      <c r="D4663">
        <v>79540000</v>
      </c>
      <c r="E4663">
        <v>79549999</v>
      </c>
      <c r="F4663" t="s">
        <v>4250</v>
      </c>
      <c r="G4663" t="str">
        <f t="shared" si="144"/>
        <v>MSR</v>
      </c>
      <c r="H4663" t="s">
        <v>4217</v>
      </c>
      <c r="I4663" t="s">
        <v>20</v>
      </c>
      <c r="J4663" t="s">
        <v>77</v>
      </c>
      <c r="K4663" s="6">
        <v>0.03</v>
      </c>
      <c r="L4663" s="7">
        <f t="shared" si="145"/>
        <v>2E-3</v>
      </c>
      <c r="M4663" s="7">
        <v>3.0000000000000001E-3</v>
      </c>
      <c r="N4663">
        <v>17</v>
      </c>
      <c r="O4663" s="8">
        <v>37.805832567895507</v>
      </c>
      <c r="P4663" s="9">
        <v>37.805832567895507</v>
      </c>
      <c r="Q4663" s="9">
        <v>37.805832567895507</v>
      </c>
      <c r="R4663" s="9">
        <v>39.372205384609224</v>
      </c>
      <c r="S4663" s="9">
        <v>41.954009946473661</v>
      </c>
      <c r="T4663" s="9">
        <v>42.765400727434375</v>
      </c>
      <c r="U4663" s="9">
        <v>45.367254324781861</v>
      </c>
      <c r="V4663" s="9">
        <v>45.367254324781861</v>
      </c>
      <c r="W4663" s="9">
        <v>45.367254324781861</v>
      </c>
      <c r="X4663" s="9">
        <v>49.734450249044727</v>
      </c>
      <c r="Y4663" s="9">
        <v>49.734450249044727</v>
      </c>
      <c r="Z4663" s="9">
        <v>54.717582674418672</v>
      </c>
      <c r="AA4663" s="9">
        <v>54.717582674418672</v>
      </c>
      <c r="AB4663" s="9">
        <v>59.512837475744206</v>
      </c>
      <c r="AC4663" s="9">
        <v>59.512837475744206</v>
      </c>
      <c r="AD4663" s="9">
        <v>64.787617757202327</v>
      </c>
      <c r="AE4663" s="9">
        <v>70.226598549201981</v>
      </c>
      <c r="AF4663" s="9">
        <v>76.098072315003037</v>
      </c>
      <c r="AG4663" s="9">
        <v>76.098072315003037</v>
      </c>
      <c r="AH4663" s="9">
        <v>82.253154909341504</v>
      </c>
      <c r="AI4663" s="9">
        <v>89.04634969754251</v>
      </c>
      <c r="AJ4663" s="9">
        <v>3.0428788910505911</v>
      </c>
    </row>
    <row r="4664" spans="1:36" x14ac:dyDescent="0.25">
      <c r="A4664" t="s">
        <v>5411</v>
      </c>
      <c r="B4664" t="s">
        <v>16</v>
      </c>
      <c r="C4664" t="s">
        <v>17</v>
      </c>
      <c r="D4664">
        <v>79550000</v>
      </c>
      <c r="E4664">
        <v>79555999</v>
      </c>
      <c r="F4664" t="s">
        <v>4251</v>
      </c>
      <c r="G4664" t="str">
        <f t="shared" si="144"/>
        <v>MSR</v>
      </c>
      <c r="H4664" t="s">
        <v>4217</v>
      </c>
      <c r="I4664" t="s">
        <v>20</v>
      </c>
      <c r="J4664" t="s">
        <v>77</v>
      </c>
      <c r="K4664" s="6">
        <v>0.03</v>
      </c>
      <c r="L4664" s="7">
        <f t="shared" si="145"/>
        <v>2E-3</v>
      </c>
      <c r="M4664" s="7">
        <v>3.0000000000000001E-3</v>
      </c>
      <c r="N4664">
        <v>17</v>
      </c>
      <c r="O4664" s="8">
        <v>37.805832567895507</v>
      </c>
      <c r="P4664" s="9">
        <v>37.805832567895507</v>
      </c>
      <c r="Q4664" s="9">
        <v>37.805832567895507</v>
      </c>
      <c r="R4664" s="9">
        <v>39.372205384609224</v>
      </c>
      <c r="S4664" s="9">
        <v>41.954009946473661</v>
      </c>
      <c r="T4664" s="9">
        <v>42.765400727434375</v>
      </c>
      <c r="U4664" s="9">
        <v>45.367254324781861</v>
      </c>
      <c r="V4664" s="9">
        <v>45.367254324781861</v>
      </c>
      <c r="W4664" s="9">
        <v>45.367254324781861</v>
      </c>
      <c r="X4664" s="9">
        <v>49.734450249044727</v>
      </c>
      <c r="Y4664" s="9">
        <v>49.734450249044727</v>
      </c>
      <c r="Z4664" s="9">
        <v>54.717582674418672</v>
      </c>
      <c r="AA4664" s="9">
        <v>54.717582674418672</v>
      </c>
      <c r="AB4664" s="9">
        <v>59.512837475744206</v>
      </c>
      <c r="AC4664" s="9">
        <v>59.512837475744206</v>
      </c>
      <c r="AD4664" s="9">
        <v>64.787617757202327</v>
      </c>
      <c r="AE4664" s="9">
        <v>70.226598549201981</v>
      </c>
      <c r="AF4664" s="9">
        <v>76.098072315003037</v>
      </c>
      <c r="AG4664" s="9">
        <v>76.098072315003037</v>
      </c>
      <c r="AH4664" s="9">
        <v>82.253154909341504</v>
      </c>
      <c r="AI4664" s="9">
        <v>89.04634969754251</v>
      </c>
      <c r="AJ4664" s="9">
        <v>3.0428788910505911</v>
      </c>
    </row>
    <row r="4665" spans="1:36" x14ac:dyDescent="0.25">
      <c r="A4665" t="s">
        <v>5411</v>
      </c>
      <c r="B4665" t="s">
        <v>16</v>
      </c>
      <c r="C4665" t="s">
        <v>17</v>
      </c>
      <c r="D4665">
        <v>79556000</v>
      </c>
      <c r="E4665">
        <v>79559999</v>
      </c>
      <c r="F4665" t="s">
        <v>4252</v>
      </c>
      <c r="G4665" t="str">
        <f t="shared" si="144"/>
        <v>MSR</v>
      </c>
      <c r="H4665" t="s">
        <v>4217</v>
      </c>
      <c r="I4665" t="s">
        <v>20</v>
      </c>
      <c r="J4665" t="s">
        <v>77</v>
      </c>
      <c r="K4665" s="6">
        <v>0.03</v>
      </c>
      <c r="L4665" s="7">
        <f t="shared" si="145"/>
        <v>2E-3</v>
      </c>
      <c r="M4665" s="7">
        <v>3.0000000000000001E-3</v>
      </c>
      <c r="N4665">
        <v>17</v>
      </c>
      <c r="O4665" s="8">
        <v>37.805832567895507</v>
      </c>
      <c r="P4665" s="9">
        <v>37.805832567895507</v>
      </c>
      <c r="Q4665" s="9">
        <v>37.805832567895507</v>
      </c>
      <c r="R4665" s="9">
        <v>39.372205384609224</v>
      </c>
      <c r="S4665" s="9">
        <v>41.954009946473661</v>
      </c>
      <c r="T4665" s="9">
        <v>42.765400727434375</v>
      </c>
      <c r="U4665" s="9">
        <v>45.367254324781861</v>
      </c>
      <c r="V4665" s="9">
        <v>45.367254324781861</v>
      </c>
      <c r="W4665" s="9">
        <v>45.367254324781861</v>
      </c>
      <c r="X4665" s="9">
        <v>49.734450249044727</v>
      </c>
      <c r="Y4665" s="9">
        <v>49.734450249044727</v>
      </c>
      <c r="Z4665" s="9">
        <v>54.717582674418672</v>
      </c>
      <c r="AA4665" s="9">
        <v>54.717582674418672</v>
      </c>
      <c r="AB4665" s="9">
        <v>59.512837475744206</v>
      </c>
      <c r="AC4665" s="9">
        <v>59.512837475744206</v>
      </c>
      <c r="AD4665" s="9">
        <v>64.787617757202327</v>
      </c>
      <c r="AE4665" s="9">
        <v>70.226598549201981</v>
      </c>
      <c r="AF4665" s="9">
        <v>76.098072315003037</v>
      </c>
      <c r="AG4665" s="9">
        <v>76.098072315003037</v>
      </c>
      <c r="AH4665" s="9">
        <v>82.253154909341504</v>
      </c>
      <c r="AI4665" s="9">
        <v>89.04634969754251</v>
      </c>
      <c r="AJ4665" s="9">
        <v>3.0428788910505911</v>
      </c>
    </row>
    <row r="4666" spans="1:36" x14ac:dyDescent="0.25">
      <c r="A4666" t="s">
        <v>5411</v>
      </c>
      <c r="B4666" t="s">
        <v>16</v>
      </c>
      <c r="C4666" t="s">
        <v>17</v>
      </c>
      <c r="D4666">
        <v>79560000</v>
      </c>
      <c r="E4666">
        <v>79569999</v>
      </c>
      <c r="F4666" t="s">
        <v>4253</v>
      </c>
      <c r="G4666" t="str">
        <f t="shared" si="144"/>
        <v>MSR</v>
      </c>
      <c r="H4666" t="s">
        <v>4217</v>
      </c>
      <c r="I4666" t="s">
        <v>20</v>
      </c>
      <c r="J4666" t="s">
        <v>77</v>
      </c>
      <c r="K4666" s="6">
        <v>0.03</v>
      </c>
      <c r="L4666" s="7">
        <f t="shared" si="145"/>
        <v>2E-3</v>
      </c>
      <c r="M4666" s="7">
        <v>3.0000000000000001E-3</v>
      </c>
      <c r="N4666">
        <v>17</v>
      </c>
      <c r="O4666" s="8">
        <v>37.805832567895507</v>
      </c>
      <c r="P4666" s="9">
        <v>37.805832567895507</v>
      </c>
      <c r="Q4666" s="9">
        <v>37.805832567895507</v>
      </c>
      <c r="R4666" s="9">
        <v>39.372205384609224</v>
      </c>
      <c r="S4666" s="9">
        <v>41.954009946473661</v>
      </c>
      <c r="T4666" s="9">
        <v>42.765400727434375</v>
      </c>
      <c r="U4666" s="9">
        <v>45.367254324781861</v>
      </c>
      <c r="V4666" s="9">
        <v>45.367254324781861</v>
      </c>
      <c r="W4666" s="9">
        <v>45.367254324781861</v>
      </c>
      <c r="X4666" s="9">
        <v>49.734450249044727</v>
      </c>
      <c r="Y4666" s="9">
        <v>49.734450249044727</v>
      </c>
      <c r="Z4666" s="9">
        <v>54.717582674418672</v>
      </c>
      <c r="AA4666" s="9">
        <v>54.717582674418672</v>
      </c>
      <c r="AB4666" s="9">
        <v>59.512837475744206</v>
      </c>
      <c r="AC4666" s="9">
        <v>59.512837475744206</v>
      </c>
      <c r="AD4666" s="9">
        <v>64.787617757202327</v>
      </c>
      <c r="AE4666" s="9">
        <v>70.226598549201981</v>
      </c>
      <c r="AF4666" s="9">
        <v>76.098072315003037</v>
      </c>
      <c r="AG4666" s="9">
        <v>76.098072315003037</v>
      </c>
      <c r="AH4666" s="9">
        <v>82.253154909341504</v>
      </c>
      <c r="AI4666" s="9">
        <v>89.04634969754251</v>
      </c>
      <c r="AJ4666" s="9">
        <v>3.0428788910505911</v>
      </c>
    </row>
    <row r="4667" spans="1:36" x14ac:dyDescent="0.25">
      <c r="A4667" t="s">
        <v>5411</v>
      </c>
      <c r="B4667" t="s">
        <v>16</v>
      </c>
      <c r="C4667" t="s">
        <v>17</v>
      </c>
      <c r="D4667">
        <v>79570000</v>
      </c>
      <c r="E4667">
        <v>79579999</v>
      </c>
      <c r="F4667" t="s">
        <v>4254</v>
      </c>
      <c r="G4667" t="str">
        <f t="shared" si="144"/>
        <v>MSR</v>
      </c>
      <c r="H4667" t="s">
        <v>4217</v>
      </c>
      <c r="I4667" t="s">
        <v>20</v>
      </c>
      <c r="J4667" t="s">
        <v>77</v>
      </c>
      <c r="K4667" s="6">
        <v>0.03</v>
      </c>
      <c r="L4667" s="7">
        <f t="shared" si="145"/>
        <v>2E-3</v>
      </c>
      <c r="M4667" s="7">
        <v>3.0000000000000001E-3</v>
      </c>
      <c r="N4667">
        <v>17</v>
      </c>
      <c r="O4667" s="8">
        <v>37.805832567895507</v>
      </c>
      <c r="P4667" s="9">
        <v>37.805832567895507</v>
      </c>
      <c r="Q4667" s="9">
        <v>37.805832567895507</v>
      </c>
      <c r="R4667" s="9">
        <v>39.372205384609224</v>
      </c>
      <c r="S4667" s="9">
        <v>41.954009946473661</v>
      </c>
      <c r="T4667" s="9">
        <v>42.765400727434375</v>
      </c>
      <c r="U4667" s="9">
        <v>45.367254324781861</v>
      </c>
      <c r="V4667" s="9">
        <v>45.367254324781861</v>
      </c>
      <c r="W4667" s="9">
        <v>45.367254324781861</v>
      </c>
      <c r="X4667" s="9">
        <v>49.734450249044727</v>
      </c>
      <c r="Y4667" s="9">
        <v>49.734450249044727</v>
      </c>
      <c r="Z4667" s="9">
        <v>54.717582674418672</v>
      </c>
      <c r="AA4667" s="9">
        <v>54.717582674418672</v>
      </c>
      <c r="AB4667" s="9">
        <v>59.512837475744206</v>
      </c>
      <c r="AC4667" s="9">
        <v>59.512837475744206</v>
      </c>
      <c r="AD4667" s="9">
        <v>64.787617757202327</v>
      </c>
      <c r="AE4667" s="9">
        <v>70.226598549201981</v>
      </c>
      <c r="AF4667" s="9">
        <v>76.098072315003037</v>
      </c>
      <c r="AG4667" s="9">
        <v>76.098072315003037</v>
      </c>
      <c r="AH4667" s="9">
        <v>82.253154909341504</v>
      </c>
      <c r="AI4667" s="9">
        <v>89.04634969754251</v>
      </c>
      <c r="AJ4667" s="9">
        <v>3.0428788910505911</v>
      </c>
    </row>
    <row r="4668" spans="1:36" x14ac:dyDescent="0.25">
      <c r="A4668" t="s">
        <v>5411</v>
      </c>
      <c r="B4668" t="s">
        <v>16</v>
      </c>
      <c r="C4668" t="s">
        <v>17</v>
      </c>
      <c r="D4668">
        <v>79580000</v>
      </c>
      <c r="E4668">
        <v>79589999</v>
      </c>
      <c r="F4668" t="s">
        <v>4255</v>
      </c>
      <c r="G4668" t="str">
        <f t="shared" si="144"/>
        <v>MSR</v>
      </c>
      <c r="H4668" t="s">
        <v>4217</v>
      </c>
      <c r="I4668" t="s">
        <v>20</v>
      </c>
      <c r="J4668" t="s">
        <v>77</v>
      </c>
      <c r="K4668" s="6">
        <v>0.03</v>
      </c>
      <c r="L4668" s="7">
        <f t="shared" si="145"/>
        <v>2E-3</v>
      </c>
      <c r="M4668" s="7">
        <v>3.0000000000000001E-3</v>
      </c>
      <c r="N4668">
        <v>17</v>
      </c>
      <c r="O4668" s="8">
        <v>37.805832567895507</v>
      </c>
      <c r="P4668" s="9">
        <v>37.805832567895507</v>
      </c>
      <c r="Q4668" s="9">
        <v>37.805832567895507</v>
      </c>
      <c r="R4668" s="9">
        <v>39.372205384609224</v>
      </c>
      <c r="S4668" s="9">
        <v>41.954009946473661</v>
      </c>
      <c r="T4668" s="9">
        <v>42.765400727434375</v>
      </c>
      <c r="U4668" s="9">
        <v>45.367254324781861</v>
      </c>
      <c r="V4668" s="9">
        <v>45.367254324781861</v>
      </c>
      <c r="W4668" s="9">
        <v>45.367254324781861</v>
      </c>
      <c r="X4668" s="9">
        <v>49.734450249044727</v>
      </c>
      <c r="Y4668" s="9">
        <v>49.734450249044727</v>
      </c>
      <c r="Z4668" s="9">
        <v>54.717582674418672</v>
      </c>
      <c r="AA4668" s="9">
        <v>54.717582674418672</v>
      </c>
      <c r="AB4668" s="9">
        <v>59.512837475744206</v>
      </c>
      <c r="AC4668" s="9">
        <v>59.512837475744206</v>
      </c>
      <c r="AD4668" s="9">
        <v>64.787617757202327</v>
      </c>
      <c r="AE4668" s="9">
        <v>70.226598549201981</v>
      </c>
      <c r="AF4668" s="9">
        <v>76.098072315003037</v>
      </c>
      <c r="AG4668" s="9">
        <v>76.098072315003037</v>
      </c>
      <c r="AH4668" s="9">
        <v>82.253154909341504</v>
      </c>
      <c r="AI4668" s="9">
        <v>89.04634969754251</v>
      </c>
      <c r="AJ4668" s="9">
        <v>3.0428788910505911</v>
      </c>
    </row>
    <row r="4669" spans="1:36" x14ac:dyDescent="0.25">
      <c r="A4669" t="s">
        <v>5411</v>
      </c>
      <c r="B4669" t="s">
        <v>16</v>
      </c>
      <c r="C4669" t="s">
        <v>17</v>
      </c>
      <c r="D4669">
        <v>79590000</v>
      </c>
      <c r="E4669">
        <v>79599999</v>
      </c>
      <c r="F4669" t="s">
        <v>4256</v>
      </c>
      <c r="G4669" t="str">
        <f t="shared" si="144"/>
        <v>MSR</v>
      </c>
      <c r="H4669" t="s">
        <v>4217</v>
      </c>
      <c r="I4669" t="s">
        <v>20</v>
      </c>
      <c r="J4669" t="s">
        <v>77</v>
      </c>
      <c r="K4669" s="6">
        <v>0.03</v>
      </c>
      <c r="L4669" s="7">
        <f t="shared" si="145"/>
        <v>2E-3</v>
      </c>
      <c r="M4669" s="7">
        <v>3.0000000000000001E-3</v>
      </c>
      <c r="N4669">
        <v>17</v>
      </c>
      <c r="O4669" s="8">
        <v>37.805832567895507</v>
      </c>
      <c r="P4669" s="9">
        <v>37.805832567895507</v>
      </c>
      <c r="Q4669" s="9">
        <v>37.805832567895507</v>
      </c>
      <c r="R4669" s="9">
        <v>39.372205384609224</v>
      </c>
      <c r="S4669" s="9">
        <v>41.954009946473661</v>
      </c>
      <c r="T4669" s="9">
        <v>42.765400727434375</v>
      </c>
      <c r="U4669" s="9">
        <v>45.367254324781861</v>
      </c>
      <c r="V4669" s="9">
        <v>45.367254324781861</v>
      </c>
      <c r="W4669" s="9">
        <v>45.367254324781861</v>
      </c>
      <c r="X4669" s="9">
        <v>49.734450249044727</v>
      </c>
      <c r="Y4669" s="9">
        <v>49.734450249044727</v>
      </c>
      <c r="Z4669" s="9">
        <v>54.717582674418672</v>
      </c>
      <c r="AA4669" s="9">
        <v>54.717582674418672</v>
      </c>
      <c r="AB4669" s="9">
        <v>59.512837475744206</v>
      </c>
      <c r="AC4669" s="9">
        <v>59.512837475744206</v>
      </c>
      <c r="AD4669" s="9">
        <v>64.787617757202327</v>
      </c>
      <c r="AE4669" s="9">
        <v>70.226598549201981</v>
      </c>
      <c r="AF4669" s="9">
        <v>76.098072315003037</v>
      </c>
      <c r="AG4669" s="9">
        <v>76.098072315003037</v>
      </c>
      <c r="AH4669" s="9">
        <v>82.253154909341504</v>
      </c>
      <c r="AI4669" s="9">
        <v>89.04634969754251</v>
      </c>
      <c r="AJ4669" s="9">
        <v>3.0428788910505911</v>
      </c>
    </row>
    <row r="4670" spans="1:36" x14ac:dyDescent="0.25">
      <c r="A4670" t="s">
        <v>5411</v>
      </c>
      <c r="B4670" t="s">
        <v>16</v>
      </c>
      <c r="C4670" t="s">
        <v>17</v>
      </c>
      <c r="D4670">
        <v>79600000</v>
      </c>
      <c r="E4670">
        <v>79669999</v>
      </c>
      <c r="F4670" t="s">
        <v>4257</v>
      </c>
      <c r="G4670" t="str">
        <f t="shared" si="144"/>
        <v>MSR</v>
      </c>
      <c r="H4670" t="s">
        <v>4217</v>
      </c>
      <c r="I4670" t="s">
        <v>20</v>
      </c>
      <c r="J4670" t="s">
        <v>77</v>
      </c>
      <c r="K4670" s="6">
        <v>0.03</v>
      </c>
      <c r="L4670" s="7">
        <f t="shared" si="145"/>
        <v>2E-3</v>
      </c>
      <c r="M4670" s="7">
        <v>3.0000000000000001E-3</v>
      </c>
      <c r="N4670">
        <v>17</v>
      </c>
      <c r="O4670" s="8">
        <v>37.805832567895507</v>
      </c>
      <c r="P4670" s="9">
        <v>37.805832567895507</v>
      </c>
      <c r="Q4670" s="9">
        <v>37.805832567895507</v>
      </c>
      <c r="R4670" s="9">
        <v>39.372205384609224</v>
      </c>
      <c r="S4670" s="9">
        <v>41.954009946473661</v>
      </c>
      <c r="T4670" s="9">
        <v>42.765400727434375</v>
      </c>
      <c r="U4670" s="9">
        <v>45.367254324781861</v>
      </c>
      <c r="V4670" s="9">
        <v>45.367254324781861</v>
      </c>
      <c r="W4670" s="9">
        <v>45.367254324781861</v>
      </c>
      <c r="X4670" s="9">
        <v>49.734450249044727</v>
      </c>
      <c r="Y4670" s="9">
        <v>49.734450249044727</v>
      </c>
      <c r="Z4670" s="9">
        <v>54.717582674418672</v>
      </c>
      <c r="AA4670" s="9">
        <v>54.717582674418672</v>
      </c>
      <c r="AB4670" s="9">
        <v>59.512837475744206</v>
      </c>
      <c r="AC4670" s="9">
        <v>59.512837475744206</v>
      </c>
      <c r="AD4670" s="9">
        <v>64.787617757202327</v>
      </c>
      <c r="AE4670" s="9">
        <v>70.226598549201981</v>
      </c>
      <c r="AF4670" s="9">
        <v>76.098072315003037</v>
      </c>
      <c r="AG4670" s="9">
        <v>76.098072315003037</v>
      </c>
      <c r="AH4670" s="9">
        <v>82.253154909341504</v>
      </c>
      <c r="AI4670" s="9">
        <v>89.04634969754251</v>
      </c>
      <c r="AJ4670" s="9">
        <v>3.0428788910505911</v>
      </c>
    </row>
    <row r="4671" spans="1:36" x14ac:dyDescent="0.25">
      <c r="A4671" t="s">
        <v>5411</v>
      </c>
      <c r="B4671" t="s">
        <v>16</v>
      </c>
      <c r="C4671" t="s">
        <v>17</v>
      </c>
      <c r="D4671">
        <v>79670000</v>
      </c>
      <c r="E4671">
        <v>79679999</v>
      </c>
      <c r="F4671" t="s">
        <v>4258</v>
      </c>
      <c r="G4671" t="str">
        <f t="shared" si="144"/>
        <v>MSR</v>
      </c>
      <c r="H4671" t="s">
        <v>4217</v>
      </c>
      <c r="I4671" t="s">
        <v>20</v>
      </c>
      <c r="J4671" t="s">
        <v>77</v>
      </c>
      <c r="K4671" s="6">
        <v>0.03</v>
      </c>
      <c r="L4671" s="7">
        <f t="shared" si="145"/>
        <v>2E-3</v>
      </c>
      <c r="M4671" s="7">
        <v>3.0000000000000001E-3</v>
      </c>
      <c r="N4671">
        <v>17</v>
      </c>
      <c r="O4671" s="8">
        <v>37.805832567895507</v>
      </c>
      <c r="P4671" s="9">
        <v>37.805832567895507</v>
      </c>
      <c r="Q4671" s="9">
        <v>37.805832567895507</v>
      </c>
      <c r="R4671" s="9">
        <v>39.372205384609224</v>
      </c>
      <c r="S4671" s="9">
        <v>41.954009946473661</v>
      </c>
      <c r="T4671" s="9">
        <v>42.765400727434375</v>
      </c>
      <c r="U4671" s="9">
        <v>45.367254324781861</v>
      </c>
      <c r="V4671" s="9">
        <v>45.367254324781861</v>
      </c>
      <c r="W4671" s="9">
        <v>45.367254324781861</v>
      </c>
      <c r="X4671" s="9">
        <v>49.734450249044727</v>
      </c>
      <c r="Y4671" s="9">
        <v>49.734450249044727</v>
      </c>
      <c r="Z4671" s="9">
        <v>54.717582674418672</v>
      </c>
      <c r="AA4671" s="9">
        <v>54.717582674418672</v>
      </c>
      <c r="AB4671" s="9">
        <v>59.512837475744206</v>
      </c>
      <c r="AC4671" s="9">
        <v>59.512837475744206</v>
      </c>
      <c r="AD4671" s="9">
        <v>64.787617757202327</v>
      </c>
      <c r="AE4671" s="9">
        <v>70.226598549201981</v>
      </c>
      <c r="AF4671" s="9">
        <v>76.098072315003037</v>
      </c>
      <c r="AG4671" s="9">
        <v>76.098072315003037</v>
      </c>
      <c r="AH4671" s="9">
        <v>82.253154909341504</v>
      </c>
      <c r="AI4671" s="9">
        <v>89.04634969754251</v>
      </c>
      <c r="AJ4671" s="9">
        <v>3.0428788910505911</v>
      </c>
    </row>
    <row r="4672" spans="1:36" x14ac:dyDescent="0.25">
      <c r="A4672" t="s">
        <v>5411</v>
      </c>
      <c r="B4672" t="s">
        <v>16</v>
      </c>
      <c r="C4672" t="s">
        <v>17</v>
      </c>
      <c r="D4672">
        <v>79680000</v>
      </c>
      <c r="E4672">
        <v>79689999</v>
      </c>
      <c r="F4672" t="s">
        <v>4259</v>
      </c>
      <c r="G4672" t="str">
        <f t="shared" si="144"/>
        <v>MSR</v>
      </c>
      <c r="H4672" t="s">
        <v>4217</v>
      </c>
      <c r="I4672" t="s">
        <v>20</v>
      </c>
      <c r="J4672" t="s">
        <v>77</v>
      </c>
      <c r="K4672" s="6">
        <v>0.03</v>
      </c>
      <c r="L4672" s="7">
        <f t="shared" si="145"/>
        <v>2E-3</v>
      </c>
      <c r="M4672" s="7">
        <v>3.0000000000000001E-3</v>
      </c>
      <c r="N4672">
        <v>17</v>
      </c>
      <c r="O4672" s="8">
        <v>37.805832567895507</v>
      </c>
      <c r="P4672" s="9">
        <v>37.805832567895507</v>
      </c>
      <c r="Q4672" s="9">
        <v>37.805832567895507</v>
      </c>
      <c r="R4672" s="9">
        <v>39.372205384609224</v>
      </c>
      <c r="S4672" s="9">
        <v>41.954009946473661</v>
      </c>
      <c r="T4672" s="9">
        <v>42.765400727434375</v>
      </c>
      <c r="U4672" s="9">
        <v>45.367254324781861</v>
      </c>
      <c r="V4672" s="9">
        <v>45.367254324781861</v>
      </c>
      <c r="W4672" s="9">
        <v>45.367254324781861</v>
      </c>
      <c r="X4672" s="9">
        <v>49.734450249044727</v>
      </c>
      <c r="Y4672" s="9">
        <v>49.734450249044727</v>
      </c>
      <c r="Z4672" s="9">
        <v>54.717582674418672</v>
      </c>
      <c r="AA4672" s="9">
        <v>54.717582674418672</v>
      </c>
      <c r="AB4672" s="9">
        <v>59.512837475744206</v>
      </c>
      <c r="AC4672" s="9">
        <v>59.512837475744206</v>
      </c>
      <c r="AD4672" s="9">
        <v>64.787617757202327</v>
      </c>
      <c r="AE4672" s="9">
        <v>70.226598549201981</v>
      </c>
      <c r="AF4672" s="9">
        <v>76.098072315003037</v>
      </c>
      <c r="AG4672" s="9">
        <v>76.098072315003037</v>
      </c>
      <c r="AH4672" s="9">
        <v>82.253154909341504</v>
      </c>
      <c r="AI4672" s="9">
        <v>89.04634969754251</v>
      </c>
      <c r="AJ4672" s="9">
        <v>3.0428788910505911</v>
      </c>
    </row>
    <row r="4673" spans="1:36" x14ac:dyDescent="0.25">
      <c r="A4673" t="s">
        <v>5411</v>
      </c>
      <c r="B4673" t="s">
        <v>16</v>
      </c>
      <c r="C4673" t="s">
        <v>17</v>
      </c>
      <c r="D4673">
        <v>79690000</v>
      </c>
      <c r="E4673">
        <v>79699999</v>
      </c>
      <c r="F4673" t="s">
        <v>4260</v>
      </c>
      <c r="G4673" t="str">
        <f t="shared" si="144"/>
        <v>MSR</v>
      </c>
      <c r="H4673" t="s">
        <v>4217</v>
      </c>
      <c r="I4673" t="s">
        <v>20</v>
      </c>
      <c r="J4673" t="s">
        <v>77</v>
      </c>
      <c r="K4673" s="6">
        <v>0.03</v>
      </c>
      <c r="L4673" s="7">
        <f t="shared" si="145"/>
        <v>2E-3</v>
      </c>
      <c r="M4673" s="7">
        <v>3.0000000000000001E-3</v>
      </c>
      <c r="N4673">
        <v>17</v>
      </c>
      <c r="O4673" s="8">
        <v>37.805832567895507</v>
      </c>
      <c r="P4673" s="9">
        <v>37.805832567895507</v>
      </c>
      <c r="Q4673" s="9">
        <v>37.805832567895507</v>
      </c>
      <c r="R4673" s="9">
        <v>39.372205384609224</v>
      </c>
      <c r="S4673" s="9">
        <v>41.954009946473661</v>
      </c>
      <c r="T4673" s="9">
        <v>42.765400727434375</v>
      </c>
      <c r="U4673" s="9">
        <v>45.367254324781861</v>
      </c>
      <c r="V4673" s="9">
        <v>45.367254324781861</v>
      </c>
      <c r="W4673" s="9">
        <v>45.367254324781861</v>
      </c>
      <c r="X4673" s="9">
        <v>49.734450249044727</v>
      </c>
      <c r="Y4673" s="9">
        <v>49.734450249044727</v>
      </c>
      <c r="Z4673" s="9">
        <v>54.717582674418672</v>
      </c>
      <c r="AA4673" s="9">
        <v>54.717582674418672</v>
      </c>
      <c r="AB4673" s="9">
        <v>59.512837475744206</v>
      </c>
      <c r="AC4673" s="9">
        <v>59.512837475744206</v>
      </c>
      <c r="AD4673" s="9">
        <v>64.787617757202327</v>
      </c>
      <c r="AE4673" s="9">
        <v>70.226598549201981</v>
      </c>
      <c r="AF4673" s="9">
        <v>76.098072315003037</v>
      </c>
      <c r="AG4673" s="9">
        <v>76.098072315003037</v>
      </c>
      <c r="AH4673" s="9">
        <v>82.253154909341504</v>
      </c>
      <c r="AI4673" s="9">
        <v>89.04634969754251</v>
      </c>
      <c r="AJ4673" s="9">
        <v>3.0428788910505911</v>
      </c>
    </row>
    <row r="4674" spans="1:36" x14ac:dyDescent="0.25">
      <c r="A4674" t="s">
        <v>5411</v>
      </c>
      <c r="B4674" t="s">
        <v>16</v>
      </c>
      <c r="C4674" t="s">
        <v>17</v>
      </c>
      <c r="D4674">
        <v>79700000</v>
      </c>
      <c r="E4674">
        <v>79709999</v>
      </c>
      <c r="F4674" t="s">
        <v>4261</v>
      </c>
      <c r="G4674" t="str">
        <f t="shared" si="144"/>
        <v>MSR</v>
      </c>
      <c r="H4674" t="s">
        <v>4217</v>
      </c>
      <c r="I4674" t="s">
        <v>20</v>
      </c>
      <c r="J4674" t="s">
        <v>77</v>
      </c>
      <c r="K4674" s="6">
        <v>0.03</v>
      </c>
      <c r="L4674" s="7">
        <f t="shared" si="145"/>
        <v>2E-3</v>
      </c>
      <c r="M4674" s="7">
        <v>3.0000000000000001E-3</v>
      </c>
      <c r="N4674">
        <v>17</v>
      </c>
      <c r="O4674" s="8">
        <v>37.805832567895507</v>
      </c>
      <c r="P4674" s="9">
        <v>37.805832567895507</v>
      </c>
      <c r="Q4674" s="9">
        <v>37.805832567895507</v>
      </c>
      <c r="R4674" s="9">
        <v>39.372205384609224</v>
      </c>
      <c r="S4674" s="9">
        <v>41.954009946473661</v>
      </c>
      <c r="T4674" s="9">
        <v>42.765400727434375</v>
      </c>
      <c r="U4674" s="9">
        <v>45.367254324781861</v>
      </c>
      <c r="V4674" s="9">
        <v>45.367254324781861</v>
      </c>
      <c r="W4674" s="9">
        <v>45.367254324781861</v>
      </c>
      <c r="X4674" s="9">
        <v>49.734450249044727</v>
      </c>
      <c r="Y4674" s="9">
        <v>49.734450249044727</v>
      </c>
      <c r="Z4674" s="9">
        <v>54.717582674418672</v>
      </c>
      <c r="AA4674" s="9">
        <v>54.717582674418672</v>
      </c>
      <c r="AB4674" s="9">
        <v>59.512837475744206</v>
      </c>
      <c r="AC4674" s="9">
        <v>59.512837475744206</v>
      </c>
      <c r="AD4674" s="9">
        <v>64.787617757202327</v>
      </c>
      <c r="AE4674" s="9">
        <v>70.226598549201981</v>
      </c>
      <c r="AF4674" s="9">
        <v>76.098072315003037</v>
      </c>
      <c r="AG4674" s="9">
        <v>76.098072315003037</v>
      </c>
      <c r="AH4674" s="9">
        <v>82.253154909341504</v>
      </c>
      <c r="AI4674" s="9">
        <v>89.04634969754251</v>
      </c>
      <c r="AJ4674" s="9">
        <v>3.0428788910505911</v>
      </c>
    </row>
    <row r="4675" spans="1:36" x14ac:dyDescent="0.25">
      <c r="A4675" t="s">
        <v>5411</v>
      </c>
      <c r="B4675" t="s">
        <v>16</v>
      </c>
      <c r="C4675" t="s">
        <v>17</v>
      </c>
      <c r="D4675">
        <v>79710000</v>
      </c>
      <c r="E4675">
        <v>79719999</v>
      </c>
      <c r="F4675" t="s">
        <v>4262</v>
      </c>
      <c r="G4675" t="str">
        <f t="shared" si="144"/>
        <v>MSR</v>
      </c>
      <c r="H4675" t="s">
        <v>4217</v>
      </c>
      <c r="I4675" t="s">
        <v>20</v>
      </c>
      <c r="J4675" t="s">
        <v>77</v>
      </c>
      <c r="K4675" s="6">
        <v>0.03</v>
      </c>
      <c r="L4675" s="7">
        <f t="shared" si="145"/>
        <v>2E-3</v>
      </c>
      <c r="M4675" s="7">
        <v>3.0000000000000001E-3</v>
      </c>
      <c r="N4675">
        <v>17</v>
      </c>
      <c r="O4675" s="8">
        <v>37.805832567895507</v>
      </c>
      <c r="P4675" s="9">
        <v>37.805832567895507</v>
      </c>
      <c r="Q4675" s="9">
        <v>37.805832567895507</v>
      </c>
      <c r="R4675" s="9">
        <v>39.372205384609224</v>
      </c>
      <c r="S4675" s="9">
        <v>41.954009946473661</v>
      </c>
      <c r="T4675" s="9">
        <v>42.765400727434375</v>
      </c>
      <c r="U4675" s="9">
        <v>45.367254324781861</v>
      </c>
      <c r="V4675" s="9">
        <v>45.367254324781861</v>
      </c>
      <c r="W4675" s="9">
        <v>45.367254324781861</v>
      </c>
      <c r="X4675" s="9">
        <v>49.734450249044727</v>
      </c>
      <c r="Y4675" s="9">
        <v>49.734450249044727</v>
      </c>
      <c r="Z4675" s="9">
        <v>54.717582674418672</v>
      </c>
      <c r="AA4675" s="9">
        <v>54.717582674418672</v>
      </c>
      <c r="AB4675" s="9">
        <v>59.512837475744206</v>
      </c>
      <c r="AC4675" s="9">
        <v>59.512837475744206</v>
      </c>
      <c r="AD4675" s="9">
        <v>64.787617757202327</v>
      </c>
      <c r="AE4675" s="9">
        <v>70.226598549201981</v>
      </c>
      <c r="AF4675" s="9">
        <v>76.098072315003037</v>
      </c>
      <c r="AG4675" s="9">
        <v>76.098072315003037</v>
      </c>
      <c r="AH4675" s="9">
        <v>82.253154909341504</v>
      </c>
      <c r="AI4675" s="9">
        <v>89.04634969754251</v>
      </c>
      <c r="AJ4675" s="9">
        <v>3.0428788910505911</v>
      </c>
    </row>
    <row r="4676" spans="1:36" x14ac:dyDescent="0.25">
      <c r="A4676" t="s">
        <v>5411</v>
      </c>
      <c r="B4676" t="s">
        <v>16</v>
      </c>
      <c r="C4676" t="s">
        <v>17</v>
      </c>
      <c r="D4676">
        <v>79720000</v>
      </c>
      <c r="E4676">
        <v>79729999</v>
      </c>
      <c r="F4676" t="s">
        <v>4263</v>
      </c>
      <c r="G4676" t="str">
        <f t="shared" ref="G4676:G4739" si="146">H4676&amp;IF(J4676="CAPITAL","C",IF(J4676="INTERIOR","I",IF(J4676="INTERIOR II","I II","R")))</f>
        <v>MSR</v>
      </c>
      <c r="H4676" t="s">
        <v>4217</v>
      </c>
      <c r="I4676" t="s">
        <v>20</v>
      </c>
      <c r="J4676" t="s">
        <v>77</v>
      </c>
      <c r="K4676" s="6">
        <v>0.03</v>
      </c>
      <c r="L4676" s="7">
        <f t="shared" ref="L4676:L4739" si="147">IF(I4676="(0) Não",0.2%,3%)</f>
        <v>2E-3</v>
      </c>
      <c r="M4676" s="7">
        <v>3.0000000000000001E-3</v>
      </c>
      <c r="N4676">
        <v>17</v>
      </c>
      <c r="O4676" s="8">
        <v>37.805832567895507</v>
      </c>
      <c r="P4676" s="9">
        <v>37.805832567895507</v>
      </c>
      <c r="Q4676" s="9">
        <v>37.805832567895507</v>
      </c>
      <c r="R4676" s="9">
        <v>39.372205384609224</v>
      </c>
      <c r="S4676" s="9">
        <v>41.954009946473661</v>
      </c>
      <c r="T4676" s="9">
        <v>42.765400727434375</v>
      </c>
      <c r="U4676" s="9">
        <v>45.367254324781861</v>
      </c>
      <c r="V4676" s="9">
        <v>45.367254324781861</v>
      </c>
      <c r="W4676" s="9">
        <v>45.367254324781861</v>
      </c>
      <c r="X4676" s="9">
        <v>49.734450249044727</v>
      </c>
      <c r="Y4676" s="9">
        <v>49.734450249044727</v>
      </c>
      <c r="Z4676" s="9">
        <v>54.717582674418672</v>
      </c>
      <c r="AA4676" s="9">
        <v>54.717582674418672</v>
      </c>
      <c r="AB4676" s="9">
        <v>59.512837475744206</v>
      </c>
      <c r="AC4676" s="9">
        <v>59.512837475744206</v>
      </c>
      <c r="AD4676" s="9">
        <v>64.787617757202327</v>
      </c>
      <c r="AE4676" s="9">
        <v>70.226598549201981</v>
      </c>
      <c r="AF4676" s="9">
        <v>76.098072315003037</v>
      </c>
      <c r="AG4676" s="9">
        <v>76.098072315003037</v>
      </c>
      <c r="AH4676" s="9">
        <v>82.253154909341504</v>
      </c>
      <c r="AI4676" s="9">
        <v>89.04634969754251</v>
      </c>
      <c r="AJ4676" s="9">
        <v>3.0428788910505911</v>
      </c>
    </row>
    <row r="4677" spans="1:36" x14ac:dyDescent="0.25">
      <c r="A4677" t="s">
        <v>5411</v>
      </c>
      <c r="B4677" t="s">
        <v>16</v>
      </c>
      <c r="C4677" t="s">
        <v>17</v>
      </c>
      <c r="D4677">
        <v>79730000</v>
      </c>
      <c r="E4677">
        <v>79739999</v>
      </c>
      <c r="F4677" t="s">
        <v>4264</v>
      </c>
      <c r="G4677" t="str">
        <f t="shared" si="146"/>
        <v>MSR</v>
      </c>
      <c r="H4677" t="s">
        <v>4217</v>
      </c>
      <c r="I4677" t="s">
        <v>20</v>
      </c>
      <c r="J4677" t="s">
        <v>77</v>
      </c>
      <c r="K4677" s="6">
        <v>0.03</v>
      </c>
      <c r="L4677" s="7">
        <f t="shared" si="147"/>
        <v>2E-3</v>
      </c>
      <c r="M4677" s="7">
        <v>3.0000000000000001E-3</v>
      </c>
      <c r="N4677">
        <v>17</v>
      </c>
      <c r="O4677" s="8">
        <v>37.805832567895507</v>
      </c>
      <c r="P4677" s="9">
        <v>37.805832567895507</v>
      </c>
      <c r="Q4677" s="9">
        <v>37.805832567895507</v>
      </c>
      <c r="R4677" s="9">
        <v>39.372205384609224</v>
      </c>
      <c r="S4677" s="9">
        <v>41.954009946473661</v>
      </c>
      <c r="T4677" s="9">
        <v>42.765400727434375</v>
      </c>
      <c r="U4677" s="9">
        <v>45.367254324781861</v>
      </c>
      <c r="V4677" s="9">
        <v>45.367254324781861</v>
      </c>
      <c r="W4677" s="9">
        <v>45.367254324781861</v>
      </c>
      <c r="X4677" s="9">
        <v>49.734450249044727</v>
      </c>
      <c r="Y4677" s="9">
        <v>49.734450249044727</v>
      </c>
      <c r="Z4677" s="9">
        <v>54.717582674418672</v>
      </c>
      <c r="AA4677" s="9">
        <v>54.717582674418672</v>
      </c>
      <c r="AB4677" s="9">
        <v>59.512837475744206</v>
      </c>
      <c r="AC4677" s="9">
        <v>59.512837475744206</v>
      </c>
      <c r="AD4677" s="9">
        <v>64.787617757202327</v>
      </c>
      <c r="AE4677" s="9">
        <v>70.226598549201981</v>
      </c>
      <c r="AF4677" s="9">
        <v>76.098072315003037</v>
      </c>
      <c r="AG4677" s="9">
        <v>76.098072315003037</v>
      </c>
      <c r="AH4677" s="9">
        <v>82.253154909341504</v>
      </c>
      <c r="AI4677" s="9">
        <v>89.04634969754251</v>
      </c>
      <c r="AJ4677" s="9">
        <v>3.0428788910505911</v>
      </c>
    </row>
    <row r="4678" spans="1:36" x14ac:dyDescent="0.25">
      <c r="A4678" t="s">
        <v>5411</v>
      </c>
      <c r="B4678" t="s">
        <v>16</v>
      </c>
      <c r="C4678" t="s">
        <v>17</v>
      </c>
      <c r="D4678">
        <v>79740000</v>
      </c>
      <c r="E4678">
        <v>79744999</v>
      </c>
      <c r="F4678" t="s">
        <v>4265</v>
      </c>
      <c r="G4678" t="str">
        <f t="shared" si="146"/>
        <v>MSR</v>
      </c>
      <c r="H4678" t="s">
        <v>4217</v>
      </c>
      <c r="I4678" t="s">
        <v>20</v>
      </c>
      <c r="J4678" t="s">
        <v>77</v>
      </c>
      <c r="K4678" s="6">
        <v>0.03</v>
      </c>
      <c r="L4678" s="7">
        <f t="shared" si="147"/>
        <v>2E-3</v>
      </c>
      <c r="M4678" s="7">
        <v>3.0000000000000001E-3</v>
      </c>
      <c r="N4678">
        <v>17</v>
      </c>
      <c r="O4678" s="8">
        <v>37.805832567895507</v>
      </c>
      <c r="P4678" s="9">
        <v>37.805832567895507</v>
      </c>
      <c r="Q4678" s="9">
        <v>37.805832567895507</v>
      </c>
      <c r="R4678" s="9">
        <v>39.372205384609224</v>
      </c>
      <c r="S4678" s="9">
        <v>41.954009946473661</v>
      </c>
      <c r="T4678" s="9">
        <v>42.765400727434375</v>
      </c>
      <c r="U4678" s="9">
        <v>45.367254324781861</v>
      </c>
      <c r="V4678" s="9">
        <v>45.367254324781861</v>
      </c>
      <c r="W4678" s="9">
        <v>45.367254324781861</v>
      </c>
      <c r="X4678" s="9">
        <v>49.734450249044727</v>
      </c>
      <c r="Y4678" s="9">
        <v>49.734450249044727</v>
      </c>
      <c r="Z4678" s="9">
        <v>54.717582674418672</v>
      </c>
      <c r="AA4678" s="9">
        <v>54.717582674418672</v>
      </c>
      <c r="AB4678" s="9">
        <v>59.512837475744206</v>
      </c>
      <c r="AC4678" s="9">
        <v>59.512837475744206</v>
      </c>
      <c r="AD4678" s="9">
        <v>64.787617757202327</v>
      </c>
      <c r="AE4678" s="9">
        <v>70.226598549201981</v>
      </c>
      <c r="AF4678" s="9">
        <v>76.098072315003037</v>
      </c>
      <c r="AG4678" s="9">
        <v>76.098072315003037</v>
      </c>
      <c r="AH4678" s="9">
        <v>82.253154909341504</v>
      </c>
      <c r="AI4678" s="9">
        <v>89.04634969754251</v>
      </c>
      <c r="AJ4678" s="9">
        <v>3.0428788910505911</v>
      </c>
    </row>
    <row r="4679" spans="1:36" x14ac:dyDescent="0.25">
      <c r="A4679" t="s">
        <v>5411</v>
      </c>
      <c r="B4679" t="s">
        <v>16</v>
      </c>
      <c r="C4679" t="s">
        <v>17</v>
      </c>
      <c r="D4679">
        <v>79745000</v>
      </c>
      <c r="E4679">
        <v>79749999</v>
      </c>
      <c r="F4679" t="s">
        <v>4266</v>
      </c>
      <c r="G4679" t="str">
        <f t="shared" si="146"/>
        <v>MSR</v>
      </c>
      <c r="H4679" t="s">
        <v>4217</v>
      </c>
      <c r="I4679" t="s">
        <v>20</v>
      </c>
      <c r="J4679" t="s">
        <v>77</v>
      </c>
      <c r="K4679" s="6">
        <v>0.03</v>
      </c>
      <c r="L4679" s="7">
        <f t="shared" si="147"/>
        <v>2E-3</v>
      </c>
      <c r="M4679" s="7">
        <v>3.0000000000000001E-3</v>
      </c>
      <c r="N4679">
        <v>17</v>
      </c>
      <c r="O4679" s="8">
        <v>37.805832567895507</v>
      </c>
      <c r="P4679" s="9">
        <v>37.805832567895507</v>
      </c>
      <c r="Q4679" s="9">
        <v>37.805832567895507</v>
      </c>
      <c r="R4679" s="9">
        <v>39.372205384609224</v>
      </c>
      <c r="S4679" s="9">
        <v>41.954009946473661</v>
      </c>
      <c r="T4679" s="9">
        <v>42.765400727434375</v>
      </c>
      <c r="U4679" s="9">
        <v>45.367254324781861</v>
      </c>
      <c r="V4679" s="9">
        <v>45.367254324781861</v>
      </c>
      <c r="W4679" s="9">
        <v>45.367254324781861</v>
      </c>
      <c r="X4679" s="9">
        <v>49.734450249044727</v>
      </c>
      <c r="Y4679" s="9">
        <v>49.734450249044727</v>
      </c>
      <c r="Z4679" s="9">
        <v>54.717582674418672</v>
      </c>
      <c r="AA4679" s="9">
        <v>54.717582674418672</v>
      </c>
      <c r="AB4679" s="9">
        <v>59.512837475744206</v>
      </c>
      <c r="AC4679" s="9">
        <v>59.512837475744206</v>
      </c>
      <c r="AD4679" s="9">
        <v>64.787617757202327</v>
      </c>
      <c r="AE4679" s="9">
        <v>70.226598549201981</v>
      </c>
      <c r="AF4679" s="9">
        <v>76.098072315003037</v>
      </c>
      <c r="AG4679" s="9">
        <v>76.098072315003037</v>
      </c>
      <c r="AH4679" s="9">
        <v>82.253154909341504</v>
      </c>
      <c r="AI4679" s="9">
        <v>89.04634969754251</v>
      </c>
      <c r="AJ4679" s="9">
        <v>3.0428788910505911</v>
      </c>
    </row>
    <row r="4680" spans="1:36" x14ac:dyDescent="0.25">
      <c r="A4680" t="s">
        <v>5411</v>
      </c>
      <c r="B4680" t="s">
        <v>16</v>
      </c>
      <c r="C4680" t="s">
        <v>17</v>
      </c>
      <c r="D4680">
        <v>79750000</v>
      </c>
      <c r="E4680">
        <v>79759999</v>
      </c>
      <c r="F4680" t="s">
        <v>4267</v>
      </c>
      <c r="G4680" t="str">
        <f t="shared" si="146"/>
        <v>MSR</v>
      </c>
      <c r="H4680" t="s">
        <v>4217</v>
      </c>
      <c r="I4680" t="s">
        <v>20</v>
      </c>
      <c r="J4680" t="s">
        <v>77</v>
      </c>
      <c r="K4680" s="6">
        <v>0.03</v>
      </c>
      <c r="L4680" s="7">
        <f t="shared" si="147"/>
        <v>2E-3</v>
      </c>
      <c r="M4680" s="7">
        <v>3.0000000000000001E-3</v>
      </c>
      <c r="N4680">
        <v>17</v>
      </c>
      <c r="O4680" s="8">
        <v>37.805832567895507</v>
      </c>
      <c r="P4680" s="9">
        <v>37.805832567895507</v>
      </c>
      <c r="Q4680" s="9">
        <v>37.805832567895507</v>
      </c>
      <c r="R4680" s="9">
        <v>39.372205384609224</v>
      </c>
      <c r="S4680" s="9">
        <v>41.954009946473661</v>
      </c>
      <c r="T4680" s="9">
        <v>42.765400727434375</v>
      </c>
      <c r="U4680" s="9">
        <v>45.367254324781861</v>
      </c>
      <c r="V4680" s="9">
        <v>45.367254324781861</v>
      </c>
      <c r="W4680" s="9">
        <v>45.367254324781861</v>
      </c>
      <c r="X4680" s="9">
        <v>49.734450249044727</v>
      </c>
      <c r="Y4680" s="9">
        <v>49.734450249044727</v>
      </c>
      <c r="Z4680" s="9">
        <v>54.717582674418672</v>
      </c>
      <c r="AA4680" s="9">
        <v>54.717582674418672</v>
      </c>
      <c r="AB4680" s="9">
        <v>59.512837475744206</v>
      </c>
      <c r="AC4680" s="9">
        <v>59.512837475744206</v>
      </c>
      <c r="AD4680" s="9">
        <v>64.787617757202327</v>
      </c>
      <c r="AE4680" s="9">
        <v>70.226598549201981</v>
      </c>
      <c r="AF4680" s="9">
        <v>76.098072315003037</v>
      </c>
      <c r="AG4680" s="9">
        <v>76.098072315003037</v>
      </c>
      <c r="AH4680" s="9">
        <v>82.253154909341504</v>
      </c>
      <c r="AI4680" s="9">
        <v>89.04634969754251</v>
      </c>
      <c r="AJ4680" s="9">
        <v>3.0428788910505911</v>
      </c>
    </row>
    <row r="4681" spans="1:36" x14ac:dyDescent="0.25">
      <c r="A4681" t="s">
        <v>5411</v>
      </c>
      <c r="B4681" t="s">
        <v>16</v>
      </c>
      <c r="C4681" t="s">
        <v>17</v>
      </c>
      <c r="D4681">
        <v>79760000</v>
      </c>
      <c r="E4681">
        <v>79764999</v>
      </c>
      <c r="F4681" t="s">
        <v>4268</v>
      </c>
      <c r="G4681" t="str">
        <f t="shared" si="146"/>
        <v>MSR</v>
      </c>
      <c r="H4681" t="s">
        <v>4217</v>
      </c>
      <c r="I4681" t="s">
        <v>20</v>
      </c>
      <c r="J4681" t="s">
        <v>77</v>
      </c>
      <c r="K4681" s="6">
        <v>0.03</v>
      </c>
      <c r="L4681" s="7">
        <f t="shared" si="147"/>
        <v>2E-3</v>
      </c>
      <c r="M4681" s="7">
        <v>3.0000000000000001E-3</v>
      </c>
      <c r="N4681">
        <v>17</v>
      </c>
      <c r="O4681" s="8">
        <v>37.805832567895507</v>
      </c>
      <c r="P4681" s="9">
        <v>37.805832567895507</v>
      </c>
      <c r="Q4681" s="9">
        <v>37.805832567895507</v>
      </c>
      <c r="R4681" s="9">
        <v>39.372205384609224</v>
      </c>
      <c r="S4681" s="9">
        <v>41.954009946473661</v>
      </c>
      <c r="T4681" s="9">
        <v>42.765400727434375</v>
      </c>
      <c r="U4681" s="9">
        <v>45.367254324781861</v>
      </c>
      <c r="V4681" s="9">
        <v>45.367254324781861</v>
      </c>
      <c r="W4681" s="9">
        <v>45.367254324781861</v>
      </c>
      <c r="X4681" s="9">
        <v>49.734450249044727</v>
      </c>
      <c r="Y4681" s="9">
        <v>49.734450249044727</v>
      </c>
      <c r="Z4681" s="9">
        <v>54.717582674418672</v>
      </c>
      <c r="AA4681" s="9">
        <v>54.717582674418672</v>
      </c>
      <c r="AB4681" s="9">
        <v>59.512837475744206</v>
      </c>
      <c r="AC4681" s="9">
        <v>59.512837475744206</v>
      </c>
      <c r="AD4681" s="9">
        <v>64.787617757202327</v>
      </c>
      <c r="AE4681" s="9">
        <v>70.226598549201981</v>
      </c>
      <c r="AF4681" s="9">
        <v>76.098072315003037</v>
      </c>
      <c r="AG4681" s="9">
        <v>76.098072315003037</v>
      </c>
      <c r="AH4681" s="9">
        <v>82.253154909341504</v>
      </c>
      <c r="AI4681" s="9">
        <v>89.04634969754251</v>
      </c>
      <c r="AJ4681" s="9">
        <v>3.0428788910505911</v>
      </c>
    </row>
    <row r="4682" spans="1:36" x14ac:dyDescent="0.25">
      <c r="A4682" t="s">
        <v>5411</v>
      </c>
      <c r="B4682" t="s">
        <v>16</v>
      </c>
      <c r="C4682" t="s">
        <v>17</v>
      </c>
      <c r="D4682">
        <v>79765000</v>
      </c>
      <c r="E4682">
        <v>79769999</v>
      </c>
      <c r="F4682" t="s">
        <v>4269</v>
      </c>
      <c r="G4682" t="str">
        <f t="shared" si="146"/>
        <v>MSR</v>
      </c>
      <c r="H4682" t="s">
        <v>4217</v>
      </c>
      <c r="I4682" t="s">
        <v>20</v>
      </c>
      <c r="J4682" t="s">
        <v>77</v>
      </c>
      <c r="K4682" s="6">
        <v>0.03</v>
      </c>
      <c r="L4682" s="7">
        <f t="shared" si="147"/>
        <v>2E-3</v>
      </c>
      <c r="M4682" s="7">
        <v>3.0000000000000001E-3</v>
      </c>
      <c r="N4682">
        <v>17</v>
      </c>
      <c r="O4682" s="8">
        <v>37.805832567895507</v>
      </c>
      <c r="P4682" s="9">
        <v>37.805832567895507</v>
      </c>
      <c r="Q4682" s="9">
        <v>37.805832567895507</v>
      </c>
      <c r="R4682" s="9">
        <v>39.372205384609224</v>
      </c>
      <c r="S4682" s="9">
        <v>41.954009946473661</v>
      </c>
      <c r="T4682" s="9">
        <v>42.765400727434375</v>
      </c>
      <c r="U4682" s="9">
        <v>45.367254324781861</v>
      </c>
      <c r="V4682" s="9">
        <v>45.367254324781861</v>
      </c>
      <c r="W4682" s="9">
        <v>45.367254324781861</v>
      </c>
      <c r="X4682" s="9">
        <v>49.734450249044727</v>
      </c>
      <c r="Y4682" s="9">
        <v>49.734450249044727</v>
      </c>
      <c r="Z4682" s="9">
        <v>54.717582674418672</v>
      </c>
      <c r="AA4682" s="9">
        <v>54.717582674418672</v>
      </c>
      <c r="AB4682" s="9">
        <v>59.512837475744206</v>
      </c>
      <c r="AC4682" s="9">
        <v>59.512837475744206</v>
      </c>
      <c r="AD4682" s="9">
        <v>64.787617757202327</v>
      </c>
      <c r="AE4682" s="9">
        <v>70.226598549201981</v>
      </c>
      <c r="AF4682" s="9">
        <v>76.098072315003037</v>
      </c>
      <c r="AG4682" s="9">
        <v>76.098072315003037</v>
      </c>
      <c r="AH4682" s="9">
        <v>82.253154909341504</v>
      </c>
      <c r="AI4682" s="9">
        <v>89.04634969754251</v>
      </c>
      <c r="AJ4682" s="9">
        <v>3.0428788910505911</v>
      </c>
    </row>
    <row r="4683" spans="1:36" x14ac:dyDescent="0.25">
      <c r="A4683" t="s">
        <v>5411</v>
      </c>
      <c r="B4683" t="s">
        <v>16</v>
      </c>
      <c r="C4683" t="s">
        <v>17</v>
      </c>
      <c r="D4683">
        <v>79770000</v>
      </c>
      <c r="E4683">
        <v>79779999</v>
      </c>
      <c r="F4683" t="s">
        <v>4270</v>
      </c>
      <c r="G4683" t="str">
        <f t="shared" si="146"/>
        <v>MSR</v>
      </c>
      <c r="H4683" t="s">
        <v>4217</v>
      </c>
      <c r="I4683" t="s">
        <v>20</v>
      </c>
      <c r="J4683" t="s">
        <v>77</v>
      </c>
      <c r="K4683" s="6">
        <v>0.03</v>
      </c>
      <c r="L4683" s="7">
        <f t="shared" si="147"/>
        <v>2E-3</v>
      </c>
      <c r="M4683" s="7">
        <v>3.0000000000000001E-3</v>
      </c>
      <c r="N4683">
        <v>17</v>
      </c>
      <c r="O4683" s="8">
        <v>37.805832567895507</v>
      </c>
      <c r="P4683" s="9">
        <v>37.805832567895507</v>
      </c>
      <c r="Q4683" s="9">
        <v>37.805832567895507</v>
      </c>
      <c r="R4683" s="9">
        <v>39.372205384609224</v>
      </c>
      <c r="S4683" s="9">
        <v>41.954009946473661</v>
      </c>
      <c r="T4683" s="9">
        <v>42.765400727434375</v>
      </c>
      <c r="U4683" s="9">
        <v>45.367254324781861</v>
      </c>
      <c r="V4683" s="9">
        <v>45.367254324781861</v>
      </c>
      <c r="W4683" s="9">
        <v>45.367254324781861</v>
      </c>
      <c r="X4683" s="9">
        <v>49.734450249044727</v>
      </c>
      <c r="Y4683" s="9">
        <v>49.734450249044727</v>
      </c>
      <c r="Z4683" s="9">
        <v>54.717582674418672</v>
      </c>
      <c r="AA4683" s="9">
        <v>54.717582674418672</v>
      </c>
      <c r="AB4683" s="9">
        <v>59.512837475744206</v>
      </c>
      <c r="AC4683" s="9">
        <v>59.512837475744206</v>
      </c>
      <c r="AD4683" s="9">
        <v>64.787617757202327</v>
      </c>
      <c r="AE4683" s="9">
        <v>70.226598549201981</v>
      </c>
      <c r="AF4683" s="9">
        <v>76.098072315003037</v>
      </c>
      <c r="AG4683" s="9">
        <v>76.098072315003037</v>
      </c>
      <c r="AH4683" s="9">
        <v>82.253154909341504</v>
      </c>
      <c r="AI4683" s="9">
        <v>89.04634969754251</v>
      </c>
      <c r="AJ4683" s="9">
        <v>3.0428788910505911</v>
      </c>
    </row>
    <row r="4684" spans="1:36" x14ac:dyDescent="0.25">
      <c r="A4684" t="s">
        <v>5411</v>
      </c>
      <c r="B4684" t="s">
        <v>16</v>
      </c>
      <c r="C4684" t="s">
        <v>17</v>
      </c>
      <c r="D4684">
        <v>79780000</v>
      </c>
      <c r="E4684">
        <v>79784999</v>
      </c>
      <c r="F4684" t="s">
        <v>4271</v>
      </c>
      <c r="G4684" t="str">
        <f t="shared" si="146"/>
        <v>MSR</v>
      </c>
      <c r="H4684" t="s">
        <v>4217</v>
      </c>
      <c r="I4684" t="s">
        <v>20</v>
      </c>
      <c r="J4684" t="s">
        <v>77</v>
      </c>
      <c r="K4684" s="6">
        <v>0.03</v>
      </c>
      <c r="L4684" s="7">
        <f t="shared" si="147"/>
        <v>2E-3</v>
      </c>
      <c r="M4684" s="7">
        <v>3.0000000000000001E-3</v>
      </c>
      <c r="N4684">
        <v>17</v>
      </c>
      <c r="O4684" s="8">
        <v>37.805832567895507</v>
      </c>
      <c r="P4684" s="9">
        <v>37.805832567895507</v>
      </c>
      <c r="Q4684" s="9">
        <v>37.805832567895507</v>
      </c>
      <c r="R4684" s="9">
        <v>39.372205384609224</v>
      </c>
      <c r="S4684" s="9">
        <v>41.954009946473661</v>
      </c>
      <c r="T4684" s="9">
        <v>42.765400727434375</v>
      </c>
      <c r="U4684" s="9">
        <v>45.367254324781861</v>
      </c>
      <c r="V4684" s="9">
        <v>45.367254324781861</v>
      </c>
      <c r="W4684" s="9">
        <v>45.367254324781861</v>
      </c>
      <c r="X4684" s="9">
        <v>49.734450249044727</v>
      </c>
      <c r="Y4684" s="9">
        <v>49.734450249044727</v>
      </c>
      <c r="Z4684" s="9">
        <v>54.717582674418672</v>
      </c>
      <c r="AA4684" s="9">
        <v>54.717582674418672</v>
      </c>
      <c r="AB4684" s="9">
        <v>59.512837475744206</v>
      </c>
      <c r="AC4684" s="9">
        <v>59.512837475744206</v>
      </c>
      <c r="AD4684" s="9">
        <v>64.787617757202327</v>
      </c>
      <c r="AE4684" s="9">
        <v>70.226598549201981</v>
      </c>
      <c r="AF4684" s="9">
        <v>76.098072315003037</v>
      </c>
      <c r="AG4684" s="9">
        <v>76.098072315003037</v>
      </c>
      <c r="AH4684" s="9">
        <v>82.253154909341504</v>
      </c>
      <c r="AI4684" s="9">
        <v>89.04634969754251</v>
      </c>
      <c r="AJ4684" s="9">
        <v>3.0428788910505911</v>
      </c>
    </row>
    <row r="4685" spans="1:36" x14ac:dyDescent="0.25">
      <c r="A4685" t="s">
        <v>5411</v>
      </c>
      <c r="B4685" t="s">
        <v>16</v>
      </c>
      <c r="C4685" t="s">
        <v>17</v>
      </c>
      <c r="D4685">
        <v>79785000</v>
      </c>
      <c r="E4685">
        <v>79789999</v>
      </c>
      <c r="F4685" t="s">
        <v>4272</v>
      </c>
      <c r="G4685" t="str">
        <f t="shared" si="146"/>
        <v>MSR</v>
      </c>
      <c r="H4685" t="s">
        <v>4217</v>
      </c>
      <c r="I4685" t="s">
        <v>20</v>
      </c>
      <c r="J4685" t="s">
        <v>77</v>
      </c>
      <c r="K4685" s="6">
        <v>0.03</v>
      </c>
      <c r="L4685" s="7">
        <f t="shared" si="147"/>
        <v>2E-3</v>
      </c>
      <c r="M4685" s="7">
        <v>3.0000000000000001E-3</v>
      </c>
      <c r="N4685">
        <v>17</v>
      </c>
      <c r="O4685" s="8">
        <v>37.805832567895507</v>
      </c>
      <c r="P4685" s="9">
        <v>37.805832567895507</v>
      </c>
      <c r="Q4685" s="9">
        <v>37.805832567895507</v>
      </c>
      <c r="R4685" s="9">
        <v>39.372205384609224</v>
      </c>
      <c r="S4685" s="9">
        <v>41.954009946473661</v>
      </c>
      <c r="T4685" s="9">
        <v>42.765400727434375</v>
      </c>
      <c r="U4685" s="9">
        <v>45.367254324781861</v>
      </c>
      <c r="V4685" s="9">
        <v>45.367254324781861</v>
      </c>
      <c r="W4685" s="9">
        <v>45.367254324781861</v>
      </c>
      <c r="X4685" s="9">
        <v>49.734450249044727</v>
      </c>
      <c r="Y4685" s="9">
        <v>49.734450249044727</v>
      </c>
      <c r="Z4685" s="9">
        <v>54.717582674418672</v>
      </c>
      <c r="AA4685" s="9">
        <v>54.717582674418672</v>
      </c>
      <c r="AB4685" s="9">
        <v>59.512837475744206</v>
      </c>
      <c r="AC4685" s="9">
        <v>59.512837475744206</v>
      </c>
      <c r="AD4685" s="9">
        <v>64.787617757202327</v>
      </c>
      <c r="AE4685" s="9">
        <v>70.226598549201981</v>
      </c>
      <c r="AF4685" s="9">
        <v>76.098072315003037</v>
      </c>
      <c r="AG4685" s="9">
        <v>76.098072315003037</v>
      </c>
      <c r="AH4685" s="9">
        <v>82.253154909341504</v>
      </c>
      <c r="AI4685" s="9">
        <v>89.04634969754251</v>
      </c>
      <c r="AJ4685" s="9">
        <v>3.0428788910505911</v>
      </c>
    </row>
    <row r="4686" spans="1:36" x14ac:dyDescent="0.25">
      <c r="A4686" t="s">
        <v>5411</v>
      </c>
      <c r="B4686" t="s">
        <v>16</v>
      </c>
      <c r="C4686" t="s">
        <v>17</v>
      </c>
      <c r="D4686">
        <v>79790000</v>
      </c>
      <c r="E4686">
        <v>79799999</v>
      </c>
      <c r="F4686" t="s">
        <v>4273</v>
      </c>
      <c r="G4686" t="str">
        <f t="shared" si="146"/>
        <v>MSR</v>
      </c>
      <c r="H4686" t="s">
        <v>4217</v>
      </c>
      <c r="I4686" t="s">
        <v>20</v>
      </c>
      <c r="J4686" t="s">
        <v>77</v>
      </c>
      <c r="K4686" s="6">
        <v>0.03</v>
      </c>
      <c r="L4686" s="7">
        <f t="shared" si="147"/>
        <v>2E-3</v>
      </c>
      <c r="M4686" s="7">
        <v>3.0000000000000001E-3</v>
      </c>
      <c r="N4686">
        <v>17</v>
      </c>
      <c r="O4686" s="8">
        <v>37.805832567895507</v>
      </c>
      <c r="P4686" s="9">
        <v>37.805832567895507</v>
      </c>
      <c r="Q4686" s="9">
        <v>37.805832567895507</v>
      </c>
      <c r="R4686" s="9">
        <v>39.372205384609224</v>
      </c>
      <c r="S4686" s="9">
        <v>41.954009946473661</v>
      </c>
      <c r="T4686" s="9">
        <v>42.765400727434375</v>
      </c>
      <c r="U4686" s="9">
        <v>45.367254324781861</v>
      </c>
      <c r="V4686" s="9">
        <v>45.367254324781861</v>
      </c>
      <c r="W4686" s="9">
        <v>45.367254324781861</v>
      </c>
      <c r="X4686" s="9">
        <v>49.734450249044727</v>
      </c>
      <c r="Y4686" s="9">
        <v>49.734450249044727</v>
      </c>
      <c r="Z4686" s="9">
        <v>54.717582674418672</v>
      </c>
      <c r="AA4686" s="9">
        <v>54.717582674418672</v>
      </c>
      <c r="AB4686" s="9">
        <v>59.512837475744206</v>
      </c>
      <c r="AC4686" s="9">
        <v>59.512837475744206</v>
      </c>
      <c r="AD4686" s="9">
        <v>64.787617757202327</v>
      </c>
      <c r="AE4686" s="9">
        <v>70.226598549201981</v>
      </c>
      <c r="AF4686" s="9">
        <v>76.098072315003037</v>
      </c>
      <c r="AG4686" s="9">
        <v>76.098072315003037</v>
      </c>
      <c r="AH4686" s="9">
        <v>82.253154909341504</v>
      </c>
      <c r="AI4686" s="9">
        <v>89.04634969754251</v>
      </c>
      <c r="AJ4686" s="9">
        <v>3.0428788910505911</v>
      </c>
    </row>
    <row r="4687" spans="1:36" x14ac:dyDescent="0.25">
      <c r="A4687" t="s">
        <v>5411</v>
      </c>
      <c r="B4687" t="s">
        <v>16</v>
      </c>
      <c r="C4687" t="s">
        <v>17</v>
      </c>
      <c r="D4687">
        <v>79800000</v>
      </c>
      <c r="E4687">
        <v>79849999</v>
      </c>
      <c r="F4687" t="s">
        <v>4274</v>
      </c>
      <c r="G4687" t="str">
        <f t="shared" si="146"/>
        <v>MSI</v>
      </c>
      <c r="H4687" t="s">
        <v>4217</v>
      </c>
      <c r="I4687" t="s">
        <v>20</v>
      </c>
      <c r="J4687" t="s">
        <v>62</v>
      </c>
      <c r="K4687" s="6">
        <v>0.03</v>
      </c>
      <c r="L4687" s="7">
        <f t="shared" si="147"/>
        <v>2E-3</v>
      </c>
      <c r="M4687" s="7">
        <v>3.0000000000000001E-3</v>
      </c>
      <c r="N4687">
        <v>13</v>
      </c>
      <c r="O4687" s="8">
        <v>25.033849295600621</v>
      </c>
      <c r="P4687" s="9">
        <v>25.033849295600621</v>
      </c>
      <c r="Q4687" s="9">
        <v>25.033849295600621</v>
      </c>
      <c r="R4687" s="9">
        <v>25.928714274850051</v>
      </c>
      <c r="S4687" s="9">
        <v>28.296327615221198</v>
      </c>
      <c r="T4687" s="9">
        <v>28.918651419383917</v>
      </c>
      <c r="U4687" s="9">
        <v>31.326806633788035</v>
      </c>
      <c r="V4687" s="9">
        <v>31.326806633788035</v>
      </c>
      <c r="W4687" s="9">
        <v>31.326806633788035</v>
      </c>
      <c r="X4687" s="9">
        <v>34.20077546080158</v>
      </c>
      <c r="Y4687" s="9">
        <v>34.20077546080158</v>
      </c>
      <c r="Z4687" s="9">
        <v>37.632514403152896</v>
      </c>
      <c r="AA4687" s="9">
        <v>37.632514403152896</v>
      </c>
      <c r="AB4687" s="9">
        <v>40.938192220202652</v>
      </c>
      <c r="AC4687" s="9">
        <v>40.938192220202652</v>
      </c>
      <c r="AD4687" s="9">
        <v>44.602837773275155</v>
      </c>
      <c r="AE4687" s="9">
        <v>48.339768029372692</v>
      </c>
      <c r="AF4687" s="9">
        <v>52.38729469521013</v>
      </c>
      <c r="AG4687" s="9">
        <v>52.38729469521013</v>
      </c>
      <c r="AH4687" s="9">
        <v>56.136175093160965</v>
      </c>
      <c r="AI4687" s="9">
        <v>60.050707132634813</v>
      </c>
      <c r="AJ4687" s="9">
        <v>3.0428788910505911</v>
      </c>
    </row>
    <row r="4688" spans="1:36" x14ac:dyDescent="0.25">
      <c r="A4688" t="s">
        <v>5411</v>
      </c>
      <c r="B4688" t="s">
        <v>16</v>
      </c>
      <c r="C4688" t="s">
        <v>17</v>
      </c>
      <c r="D4688">
        <v>79850000</v>
      </c>
      <c r="E4688">
        <v>79879999</v>
      </c>
      <c r="F4688" t="s">
        <v>4275</v>
      </c>
      <c r="G4688" t="str">
        <f t="shared" si="146"/>
        <v>MSI II</v>
      </c>
      <c r="H4688" t="s">
        <v>4217</v>
      </c>
      <c r="I4688" t="s">
        <v>20</v>
      </c>
      <c r="J4688" t="s">
        <v>64</v>
      </c>
      <c r="K4688" s="6">
        <v>0.03</v>
      </c>
      <c r="L4688" s="7">
        <f t="shared" si="147"/>
        <v>2E-3</v>
      </c>
      <c r="M4688" s="7">
        <v>3.0000000000000001E-3</v>
      </c>
      <c r="N4688">
        <v>14</v>
      </c>
      <c r="O4688" s="8">
        <v>25.790014652542062</v>
      </c>
      <c r="P4688" s="9">
        <v>25.790014652542062</v>
      </c>
      <c r="Q4688" s="9">
        <v>25.790014652542062</v>
      </c>
      <c r="R4688" s="9">
        <v>26.70838693218316</v>
      </c>
      <c r="S4688" s="9">
        <v>29.101681121498284</v>
      </c>
      <c r="T4688" s="9">
        <v>29.351878322630331</v>
      </c>
      <c r="U4688" s="9">
        <v>31.774947586450565</v>
      </c>
      <c r="V4688" s="9">
        <v>31.774947586450565</v>
      </c>
      <c r="W4688" s="9">
        <v>31.774947586450565</v>
      </c>
      <c r="X4688" s="9">
        <v>34.799865787701847</v>
      </c>
      <c r="Y4688" s="9">
        <v>34.799865787701847</v>
      </c>
      <c r="Z4688" s="9">
        <v>38.28857102689453</v>
      </c>
      <c r="AA4688" s="9">
        <v>38.28857102689453</v>
      </c>
      <c r="AB4688" s="9">
        <v>41.508575010079298</v>
      </c>
      <c r="AC4688" s="9">
        <v>41.508575010079298</v>
      </c>
      <c r="AD4688" s="9">
        <v>46.730645133485858</v>
      </c>
      <c r="AE4688" s="9">
        <v>49.629782294147901</v>
      </c>
      <c r="AF4688" s="9">
        <v>52.773045315487778</v>
      </c>
      <c r="AG4688" s="9">
        <v>52.773045315487778</v>
      </c>
      <c r="AH4688" s="9">
        <v>56.749319363703371</v>
      </c>
      <c r="AI4688" s="9">
        <v>60.187288918753246</v>
      </c>
      <c r="AJ4688" s="9">
        <v>3.0428788910505911</v>
      </c>
    </row>
    <row r="4689" spans="1:36" x14ac:dyDescent="0.25">
      <c r="A4689" t="s">
        <v>5411</v>
      </c>
      <c r="B4689" t="s">
        <v>16</v>
      </c>
      <c r="C4689" t="s">
        <v>17</v>
      </c>
      <c r="D4689">
        <v>79880000</v>
      </c>
      <c r="E4689">
        <v>79889999</v>
      </c>
      <c r="F4689" t="s">
        <v>4276</v>
      </c>
      <c r="G4689" t="str">
        <f t="shared" si="146"/>
        <v>MSR</v>
      </c>
      <c r="H4689" t="s">
        <v>4217</v>
      </c>
      <c r="I4689" t="s">
        <v>20</v>
      </c>
      <c r="J4689" t="s">
        <v>77</v>
      </c>
      <c r="K4689" s="6">
        <v>0.03</v>
      </c>
      <c r="L4689" s="7">
        <f t="shared" si="147"/>
        <v>2E-3</v>
      </c>
      <c r="M4689" s="7">
        <v>3.0000000000000001E-3</v>
      </c>
      <c r="N4689">
        <v>17</v>
      </c>
      <c r="O4689" s="8">
        <v>37.805832567895507</v>
      </c>
      <c r="P4689" s="9">
        <v>37.805832567895507</v>
      </c>
      <c r="Q4689" s="9">
        <v>37.805832567895507</v>
      </c>
      <c r="R4689" s="9">
        <v>39.372205384609224</v>
      </c>
      <c r="S4689" s="9">
        <v>41.954009946473661</v>
      </c>
      <c r="T4689" s="9">
        <v>42.765400727434375</v>
      </c>
      <c r="U4689" s="9">
        <v>45.367254324781861</v>
      </c>
      <c r="V4689" s="9">
        <v>45.367254324781861</v>
      </c>
      <c r="W4689" s="9">
        <v>45.367254324781861</v>
      </c>
      <c r="X4689" s="9">
        <v>49.734450249044727</v>
      </c>
      <c r="Y4689" s="9">
        <v>49.734450249044727</v>
      </c>
      <c r="Z4689" s="9">
        <v>54.717582674418672</v>
      </c>
      <c r="AA4689" s="9">
        <v>54.717582674418672</v>
      </c>
      <c r="AB4689" s="9">
        <v>59.512837475744206</v>
      </c>
      <c r="AC4689" s="9">
        <v>59.512837475744206</v>
      </c>
      <c r="AD4689" s="9">
        <v>64.787617757202327</v>
      </c>
      <c r="AE4689" s="9">
        <v>70.226598549201981</v>
      </c>
      <c r="AF4689" s="9">
        <v>76.098072315003037</v>
      </c>
      <c r="AG4689" s="9">
        <v>76.098072315003037</v>
      </c>
      <c r="AH4689" s="9">
        <v>82.253154909341504</v>
      </c>
      <c r="AI4689" s="9">
        <v>89.04634969754251</v>
      </c>
      <c r="AJ4689" s="9">
        <v>3.0428788910505911</v>
      </c>
    </row>
    <row r="4690" spans="1:36" x14ac:dyDescent="0.25">
      <c r="A4690" t="s">
        <v>5411</v>
      </c>
      <c r="B4690" t="s">
        <v>16</v>
      </c>
      <c r="C4690" t="s">
        <v>17</v>
      </c>
      <c r="D4690">
        <v>79890000</v>
      </c>
      <c r="E4690">
        <v>79899999</v>
      </c>
      <c r="F4690" t="s">
        <v>4277</v>
      </c>
      <c r="G4690" t="str">
        <f t="shared" si="146"/>
        <v>MSR</v>
      </c>
      <c r="H4690" t="s">
        <v>4217</v>
      </c>
      <c r="I4690" t="s">
        <v>20</v>
      </c>
      <c r="J4690" t="s">
        <v>77</v>
      </c>
      <c r="K4690" s="6">
        <v>0.03</v>
      </c>
      <c r="L4690" s="7">
        <f t="shared" si="147"/>
        <v>2E-3</v>
      </c>
      <c r="M4690" s="7">
        <v>3.0000000000000001E-3</v>
      </c>
      <c r="N4690">
        <v>17</v>
      </c>
      <c r="O4690" s="8">
        <v>37.805832567895507</v>
      </c>
      <c r="P4690" s="9">
        <v>37.805832567895507</v>
      </c>
      <c r="Q4690" s="9">
        <v>37.805832567895507</v>
      </c>
      <c r="R4690" s="9">
        <v>39.372205384609224</v>
      </c>
      <c r="S4690" s="9">
        <v>41.954009946473661</v>
      </c>
      <c r="T4690" s="9">
        <v>42.765400727434375</v>
      </c>
      <c r="U4690" s="9">
        <v>45.367254324781861</v>
      </c>
      <c r="V4690" s="9">
        <v>45.367254324781861</v>
      </c>
      <c r="W4690" s="9">
        <v>45.367254324781861</v>
      </c>
      <c r="X4690" s="9">
        <v>49.734450249044727</v>
      </c>
      <c r="Y4690" s="9">
        <v>49.734450249044727</v>
      </c>
      <c r="Z4690" s="9">
        <v>54.717582674418672</v>
      </c>
      <c r="AA4690" s="9">
        <v>54.717582674418672</v>
      </c>
      <c r="AB4690" s="9">
        <v>59.512837475744206</v>
      </c>
      <c r="AC4690" s="9">
        <v>59.512837475744206</v>
      </c>
      <c r="AD4690" s="9">
        <v>64.787617757202327</v>
      </c>
      <c r="AE4690" s="9">
        <v>70.226598549201981</v>
      </c>
      <c r="AF4690" s="9">
        <v>76.098072315003037</v>
      </c>
      <c r="AG4690" s="9">
        <v>76.098072315003037</v>
      </c>
      <c r="AH4690" s="9">
        <v>82.253154909341504</v>
      </c>
      <c r="AI4690" s="9">
        <v>89.04634969754251</v>
      </c>
      <c r="AJ4690" s="9">
        <v>3.0428788910505911</v>
      </c>
    </row>
    <row r="4691" spans="1:36" x14ac:dyDescent="0.25">
      <c r="A4691" t="s">
        <v>5411</v>
      </c>
      <c r="B4691" t="s">
        <v>16</v>
      </c>
      <c r="C4691" t="s">
        <v>17</v>
      </c>
      <c r="D4691">
        <v>79900000</v>
      </c>
      <c r="E4691">
        <v>79909999</v>
      </c>
      <c r="F4691" t="s">
        <v>4278</v>
      </c>
      <c r="G4691" t="str">
        <f t="shared" si="146"/>
        <v>MSR</v>
      </c>
      <c r="H4691" t="s">
        <v>4217</v>
      </c>
      <c r="I4691" t="s">
        <v>20</v>
      </c>
      <c r="J4691" t="s">
        <v>77</v>
      </c>
      <c r="K4691" s="6">
        <v>0.03</v>
      </c>
      <c r="L4691" s="7">
        <f t="shared" si="147"/>
        <v>2E-3</v>
      </c>
      <c r="M4691" s="7">
        <v>3.0000000000000001E-3</v>
      </c>
      <c r="N4691">
        <v>17</v>
      </c>
      <c r="O4691" s="8">
        <v>37.805832567895507</v>
      </c>
      <c r="P4691" s="9">
        <v>37.805832567895507</v>
      </c>
      <c r="Q4691" s="9">
        <v>37.805832567895507</v>
      </c>
      <c r="R4691" s="9">
        <v>39.372205384609224</v>
      </c>
      <c r="S4691" s="9">
        <v>41.954009946473661</v>
      </c>
      <c r="T4691" s="9">
        <v>42.765400727434375</v>
      </c>
      <c r="U4691" s="9">
        <v>45.367254324781861</v>
      </c>
      <c r="V4691" s="9">
        <v>45.367254324781861</v>
      </c>
      <c r="W4691" s="9">
        <v>45.367254324781861</v>
      </c>
      <c r="X4691" s="9">
        <v>49.734450249044727</v>
      </c>
      <c r="Y4691" s="9">
        <v>49.734450249044727</v>
      </c>
      <c r="Z4691" s="9">
        <v>54.717582674418672</v>
      </c>
      <c r="AA4691" s="9">
        <v>54.717582674418672</v>
      </c>
      <c r="AB4691" s="9">
        <v>59.512837475744206</v>
      </c>
      <c r="AC4691" s="9">
        <v>59.512837475744206</v>
      </c>
      <c r="AD4691" s="9">
        <v>64.787617757202327</v>
      </c>
      <c r="AE4691" s="9">
        <v>70.226598549201981</v>
      </c>
      <c r="AF4691" s="9">
        <v>76.098072315003037</v>
      </c>
      <c r="AG4691" s="9">
        <v>76.098072315003037</v>
      </c>
      <c r="AH4691" s="9">
        <v>82.253154909341504</v>
      </c>
      <c r="AI4691" s="9">
        <v>89.04634969754251</v>
      </c>
      <c r="AJ4691" s="9">
        <v>3.0428788910505911</v>
      </c>
    </row>
    <row r="4692" spans="1:36" x14ac:dyDescent="0.25">
      <c r="A4692" t="s">
        <v>5411</v>
      </c>
      <c r="B4692" t="s">
        <v>16</v>
      </c>
      <c r="C4692" t="s">
        <v>17</v>
      </c>
      <c r="D4692">
        <v>79910000</v>
      </c>
      <c r="E4692">
        <v>79919999</v>
      </c>
      <c r="F4692" t="s">
        <v>4279</v>
      </c>
      <c r="G4692" t="str">
        <f t="shared" si="146"/>
        <v>MSR</v>
      </c>
      <c r="H4692" t="s">
        <v>4217</v>
      </c>
      <c r="I4692" t="s">
        <v>20</v>
      </c>
      <c r="J4692" t="s">
        <v>77</v>
      </c>
      <c r="K4692" s="6">
        <v>0.03</v>
      </c>
      <c r="L4692" s="7">
        <f t="shared" si="147"/>
        <v>2E-3</v>
      </c>
      <c r="M4692" s="7">
        <v>3.0000000000000001E-3</v>
      </c>
      <c r="N4692">
        <v>17</v>
      </c>
      <c r="O4692" s="8">
        <v>37.805832567895507</v>
      </c>
      <c r="P4692" s="9">
        <v>37.805832567895507</v>
      </c>
      <c r="Q4692" s="9">
        <v>37.805832567895507</v>
      </c>
      <c r="R4692" s="9">
        <v>39.372205384609224</v>
      </c>
      <c r="S4692" s="9">
        <v>41.954009946473661</v>
      </c>
      <c r="T4692" s="9">
        <v>42.765400727434375</v>
      </c>
      <c r="U4692" s="9">
        <v>45.367254324781861</v>
      </c>
      <c r="V4692" s="9">
        <v>45.367254324781861</v>
      </c>
      <c r="W4692" s="9">
        <v>45.367254324781861</v>
      </c>
      <c r="X4692" s="9">
        <v>49.734450249044727</v>
      </c>
      <c r="Y4692" s="9">
        <v>49.734450249044727</v>
      </c>
      <c r="Z4692" s="9">
        <v>54.717582674418672</v>
      </c>
      <c r="AA4692" s="9">
        <v>54.717582674418672</v>
      </c>
      <c r="AB4692" s="9">
        <v>59.512837475744206</v>
      </c>
      <c r="AC4692" s="9">
        <v>59.512837475744206</v>
      </c>
      <c r="AD4692" s="9">
        <v>64.787617757202327</v>
      </c>
      <c r="AE4692" s="9">
        <v>70.226598549201981</v>
      </c>
      <c r="AF4692" s="9">
        <v>76.098072315003037</v>
      </c>
      <c r="AG4692" s="9">
        <v>76.098072315003037</v>
      </c>
      <c r="AH4692" s="9">
        <v>82.253154909341504</v>
      </c>
      <c r="AI4692" s="9">
        <v>89.04634969754251</v>
      </c>
      <c r="AJ4692" s="9">
        <v>3.0428788910505911</v>
      </c>
    </row>
    <row r="4693" spans="1:36" x14ac:dyDescent="0.25">
      <c r="A4693" t="s">
        <v>5411</v>
      </c>
      <c r="B4693" t="s">
        <v>16</v>
      </c>
      <c r="C4693" t="s">
        <v>17</v>
      </c>
      <c r="D4693">
        <v>79920000</v>
      </c>
      <c r="E4693">
        <v>79924999</v>
      </c>
      <c r="F4693" t="s">
        <v>4280</v>
      </c>
      <c r="G4693" t="str">
        <f t="shared" si="146"/>
        <v>MSR</v>
      </c>
      <c r="H4693" t="s">
        <v>4217</v>
      </c>
      <c r="I4693" t="s">
        <v>20</v>
      </c>
      <c r="J4693" t="s">
        <v>77</v>
      </c>
      <c r="K4693" s="6">
        <v>0.03</v>
      </c>
      <c r="L4693" s="7">
        <f t="shared" si="147"/>
        <v>2E-3</v>
      </c>
      <c r="M4693" s="7">
        <v>3.0000000000000001E-3</v>
      </c>
      <c r="N4693">
        <v>17</v>
      </c>
      <c r="O4693" s="8">
        <v>37.805832567895507</v>
      </c>
      <c r="P4693" s="9">
        <v>37.805832567895507</v>
      </c>
      <c r="Q4693" s="9">
        <v>37.805832567895507</v>
      </c>
      <c r="R4693" s="9">
        <v>39.372205384609224</v>
      </c>
      <c r="S4693" s="9">
        <v>41.954009946473661</v>
      </c>
      <c r="T4693" s="9">
        <v>42.765400727434375</v>
      </c>
      <c r="U4693" s="9">
        <v>45.367254324781861</v>
      </c>
      <c r="V4693" s="9">
        <v>45.367254324781861</v>
      </c>
      <c r="W4693" s="9">
        <v>45.367254324781861</v>
      </c>
      <c r="X4693" s="9">
        <v>49.734450249044727</v>
      </c>
      <c r="Y4693" s="9">
        <v>49.734450249044727</v>
      </c>
      <c r="Z4693" s="9">
        <v>54.717582674418672</v>
      </c>
      <c r="AA4693" s="9">
        <v>54.717582674418672</v>
      </c>
      <c r="AB4693" s="9">
        <v>59.512837475744206</v>
      </c>
      <c r="AC4693" s="9">
        <v>59.512837475744206</v>
      </c>
      <c r="AD4693" s="9">
        <v>64.787617757202327</v>
      </c>
      <c r="AE4693" s="9">
        <v>70.226598549201981</v>
      </c>
      <c r="AF4693" s="9">
        <v>76.098072315003037</v>
      </c>
      <c r="AG4693" s="9">
        <v>76.098072315003037</v>
      </c>
      <c r="AH4693" s="9">
        <v>82.253154909341504</v>
      </c>
      <c r="AI4693" s="9">
        <v>89.04634969754251</v>
      </c>
      <c r="AJ4693" s="9">
        <v>3.0428788910505911</v>
      </c>
    </row>
    <row r="4694" spans="1:36" x14ac:dyDescent="0.25">
      <c r="A4694" t="s">
        <v>5411</v>
      </c>
      <c r="B4694" t="s">
        <v>16</v>
      </c>
      <c r="C4694" t="s">
        <v>17</v>
      </c>
      <c r="D4694">
        <v>79925000</v>
      </c>
      <c r="E4694">
        <v>79929999</v>
      </c>
      <c r="F4694" t="s">
        <v>4281</v>
      </c>
      <c r="G4694" t="str">
        <f t="shared" si="146"/>
        <v>MSR</v>
      </c>
      <c r="H4694" t="s">
        <v>4217</v>
      </c>
      <c r="I4694" t="s">
        <v>20</v>
      </c>
      <c r="J4694" t="s">
        <v>77</v>
      </c>
      <c r="K4694" s="6">
        <v>0.03</v>
      </c>
      <c r="L4694" s="7">
        <f t="shared" si="147"/>
        <v>2E-3</v>
      </c>
      <c r="M4694" s="7">
        <v>3.0000000000000001E-3</v>
      </c>
      <c r="N4694">
        <v>17</v>
      </c>
      <c r="O4694" s="8">
        <v>37.805832567895507</v>
      </c>
      <c r="P4694" s="9">
        <v>37.805832567895507</v>
      </c>
      <c r="Q4694" s="9">
        <v>37.805832567895507</v>
      </c>
      <c r="R4694" s="9">
        <v>39.372205384609224</v>
      </c>
      <c r="S4694" s="9">
        <v>41.954009946473661</v>
      </c>
      <c r="T4694" s="9">
        <v>42.765400727434375</v>
      </c>
      <c r="U4694" s="9">
        <v>45.367254324781861</v>
      </c>
      <c r="V4694" s="9">
        <v>45.367254324781861</v>
      </c>
      <c r="W4694" s="9">
        <v>45.367254324781861</v>
      </c>
      <c r="X4694" s="9">
        <v>49.734450249044727</v>
      </c>
      <c r="Y4694" s="9">
        <v>49.734450249044727</v>
      </c>
      <c r="Z4694" s="9">
        <v>54.717582674418672</v>
      </c>
      <c r="AA4694" s="9">
        <v>54.717582674418672</v>
      </c>
      <c r="AB4694" s="9">
        <v>59.512837475744206</v>
      </c>
      <c r="AC4694" s="9">
        <v>59.512837475744206</v>
      </c>
      <c r="AD4694" s="9">
        <v>64.787617757202327</v>
      </c>
      <c r="AE4694" s="9">
        <v>70.226598549201981</v>
      </c>
      <c r="AF4694" s="9">
        <v>76.098072315003037</v>
      </c>
      <c r="AG4694" s="9">
        <v>76.098072315003037</v>
      </c>
      <c r="AH4694" s="9">
        <v>82.253154909341504</v>
      </c>
      <c r="AI4694" s="9">
        <v>89.04634969754251</v>
      </c>
      <c r="AJ4694" s="9">
        <v>3.0428788910505911</v>
      </c>
    </row>
    <row r="4695" spans="1:36" x14ac:dyDescent="0.25">
      <c r="A4695" t="s">
        <v>5411</v>
      </c>
      <c r="B4695" t="s">
        <v>16</v>
      </c>
      <c r="C4695" t="s">
        <v>17</v>
      </c>
      <c r="D4695">
        <v>79930000</v>
      </c>
      <c r="E4695">
        <v>79934999</v>
      </c>
      <c r="F4695" t="s">
        <v>4282</v>
      </c>
      <c r="G4695" t="str">
        <f t="shared" si="146"/>
        <v>MSR</v>
      </c>
      <c r="H4695" t="s">
        <v>4217</v>
      </c>
      <c r="I4695" t="s">
        <v>20</v>
      </c>
      <c r="J4695" t="s">
        <v>77</v>
      </c>
      <c r="K4695" s="6">
        <v>0.03</v>
      </c>
      <c r="L4695" s="7">
        <f t="shared" si="147"/>
        <v>2E-3</v>
      </c>
      <c r="M4695" s="7">
        <v>3.0000000000000001E-3</v>
      </c>
      <c r="N4695">
        <v>17</v>
      </c>
      <c r="O4695" s="8">
        <v>37.805832567895507</v>
      </c>
      <c r="P4695" s="9">
        <v>37.805832567895507</v>
      </c>
      <c r="Q4695" s="9">
        <v>37.805832567895507</v>
      </c>
      <c r="R4695" s="9">
        <v>39.372205384609224</v>
      </c>
      <c r="S4695" s="9">
        <v>41.954009946473661</v>
      </c>
      <c r="T4695" s="9">
        <v>42.765400727434375</v>
      </c>
      <c r="U4695" s="9">
        <v>45.367254324781861</v>
      </c>
      <c r="V4695" s="9">
        <v>45.367254324781861</v>
      </c>
      <c r="W4695" s="9">
        <v>45.367254324781861</v>
      </c>
      <c r="X4695" s="9">
        <v>49.734450249044727</v>
      </c>
      <c r="Y4695" s="9">
        <v>49.734450249044727</v>
      </c>
      <c r="Z4695" s="9">
        <v>54.717582674418672</v>
      </c>
      <c r="AA4695" s="9">
        <v>54.717582674418672</v>
      </c>
      <c r="AB4695" s="9">
        <v>59.512837475744206</v>
      </c>
      <c r="AC4695" s="9">
        <v>59.512837475744206</v>
      </c>
      <c r="AD4695" s="9">
        <v>64.787617757202327</v>
      </c>
      <c r="AE4695" s="9">
        <v>70.226598549201981</v>
      </c>
      <c r="AF4695" s="9">
        <v>76.098072315003037</v>
      </c>
      <c r="AG4695" s="9">
        <v>76.098072315003037</v>
      </c>
      <c r="AH4695" s="9">
        <v>82.253154909341504</v>
      </c>
      <c r="AI4695" s="9">
        <v>89.04634969754251</v>
      </c>
      <c r="AJ4695" s="9">
        <v>3.0428788910505911</v>
      </c>
    </row>
    <row r="4696" spans="1:36" x14ac:dyDescent="0.25">
      <c r="A4696" t="s">
        <v>5411</v>
      </c>
      <c r="B4696" t="s">
        <v>16</v>
      </c>
      <c r="C4696" t="s">
        <v>17</v>
      </c>
      <c r="D4696">
        <v>79935000</v>
      </c>
      <c r="E4696">
        <v>79939999</v>
      </c>
      <c r="F4696" t="s">
        <v>4283</v>
      </c>
      <c r="G4696" t="str">
        <f t="shared" si="146"/>
        <v>MSR</v>
      </c>
      <c r="H4696" t="s">
        <v>4217</v>
      </c>
      <c r="I4696" t="s">
        <v>20</v>
      </c>
      <c r="J4696" t="s">
        <v>77</v>
      </c>
      <c r="K4696" s="6">
        <v>0.03</v>
      </c>
      <c r="L4696" s="7">
        <f t="shared" si="147"/>
        <v>2E-3</v>
      </c>
      <c r="M4696" s="7">
        <v>3.0000000000000001E-3</v>
      </c>
      <c r="N4696">
        <v>17</v>
      </c>
      <c r="O4696" s="8">
        <v>37.805832567895507</v>
      </c>
      <c r="P4696" s="9">
        <v>37.805832567895507</v>
      </c>
      <c r="Q4696" s="9">
        <v>37.805832567895507</v>
      </c>
      <c r="R4696" s="9">
        <v>39.372205384609224</v>
      </c>
      <c r="S4696" s="9">
        <v>41.954009946473661</v>
      </c>
      <c r="T4696" s="9">
        <v>42.765400727434375</v>
      </c>
      <c r="U4696" s="9">
        <v>45.367254324781861</v>
      </c>
      <c r="V4696" s="9">
        <v>45.367254324781861</v>
      </c>
      <c r="W4696" s="9">
        <v>45.367254324781861</v>
      </c>
      <c r="X4696" s="9">
        <v>49.734450249044727</v>
      </c>
      <c r="Y4696" s="9">
        <v>49.734450249044727</v>
      </c>
      <c r="Z4696" s="9">
        <v>54.717582674418672</v>
      </c>
      <c r="AA4696" s="9">
        <v>54.717582674418672</v>
      </c>
      <c r="AB4696" s="9">
        <v>59.512837475744206</v>
      </c>
      <c r="AC4696" s="9">
        <v>59.512837475744206</v>
      </c>
      <c r="AD4696" s="9">
        <v>64.787617757202327</v>
      </c>
      <c r="AE4696" s="9">
        <v>70.226598549201981</v>
      </c>
      <c r="AF4696" s="9">
        <v>76.098072315003037</v>
      </c>
      <c r="AG4696" s="9">
        <v>76.098072315003037</v>
      </c>
      <c r="AH4696" s="9">
        <v>82.253154909341504</v>
      </c>
      <c r="AI4696" s="9">
        <v>89.04634969754251</v>
      </c>
      <c r="AJ4696" s="9">
        <v>3.0428788910505911</v>
      </c>
    </row>
    <row r="4697" spans="1:36" x14ac:dyDescent="0.25">
      <c r="A4697" t="s">
        <v>5411</v>
      </c>
      <c r="B4697" t="s">
        <v>16</v>
      </c>
      <c r="C4697" t="s">
        <v>17</v>
      </c>
      <c r="D4697">
        <v>79940000</v>
      </c>
      <c r="E4697">
        <v>79949999</v>
      </c>
      <c r="F4697" t="s">
        <v>4284</v>
      </c>
      <c r="G4697" t="str">
        <f t="shared" si="146"/>
        <v>MSR</v>
      </c>
      <c r="H4697" t="s">
        <v>4217</v>
      </c>
      <c r="I4697" t="s">
        <v>20</v>
      </c>
      <c r="J4697" t="s">
        <v>77</v>
      </c>
      <c r="K4697" s="6">
        <v>0.03</v>
      </c>
      <c r="L4697" s="7">
        <f t="shared" si="147"/>
        <v>2E-3</v>
      </c>
      <c r="M4697" s="7">
        <v>3.0000000000000001E-3</v>
      </c>
      <c r="N4697">
        <v>17</v>
      </c>
      <c r="O4697" s="8">
        <v>37.805832567895507</v>
      </c>
      <c r="P4697" s="9">
        <v>37.805832567895507</v>
      </c>
      <c r="Q4697" s="9">
        <v>37.805832567895507</v>
      </c>
      <c r="R4697" s="9">
        <v>39.372205384609224</v>
      </c>
      <c r="S4697" s="9">
        <v>41.954009946473661</v>
      </c>
      <c r="T4697" s="9">
        <v>42.765400727434375</v>
      </c>
      <c r="U4697" s="9">
        <v>45.367254324781861</v>
      </c>
      <c r="V4697" s="9">
        <v>45.367254324781861</v>
      </c>
      <c r="W4697" s="9">
        <v>45.367254324781861</v>
      </c>
      <c r="X4697" s="9">
        <v>49.734450249044727</v>
      </c>
      <c r="Y4697" s="9">
        <v>49.734450249044727</v>
      </c>
      <c r="Z4697" s="9">
        <v>54.717582674418672</v>
      </c>
      <c r="AA4697" s="9">
        <v>54.717582674418672</v>
      </c>
      <c r="AB4697" s="9">
        <v>59.512837475744206</v>
      </c>
      <c r="AC4697" s="9">
        <v>59.512837475744206</v>
      </c>
      <c r="AD4697" s="9">
        <v>64.787617757202327</v>
      </c>
      <c r="AE4697" s="9">
        <v>70.226598549201981</v>
      </c>
      <c r="AF4697" s="9">
        <v>76.098072315003037</v>
      </c>
      <c r="AG4697" s="9">
        <v>76.098072315003037</v>
      </c>
      <c r="AH4697" s="9">
        <v>82.253154909341504</v>
      </c>
      <c r="AI4697" s="9">
        <v>89.04634969754251</v>
      </c>
      <c r="AJ4697" s="9">
        <v>3.0428788910505911</v>
      </c>
    </row>
    <row r="4698" spans="1:36" x14ac:dyDescent="0.25">
      <c r="A4698" t="s">
        <v>5411</v>
      </c>
      <c r="B4698" t="s">
        <v>16</v>
      </c>
      <c r="C4698" t="s">
        <v>17</v>
      </c>
      <c r="D4698">
        <v>79950000</v>
      </c>
      <c r="E4698">
        <v>79954999</v>
      </c>
      <c r="F4698" t="s">
        <v>4285</v>
      </c>
      <c r="G4698" t="str">
        <f t="shared" si="146"/>
        <v>MSR</v>
      </c>
      <c r="H4698" t="s">
        <v>4217</v>
      </c>
      <c r="I4698" t="s">
        <v>20</v>
      </c>
      <c r="J4698" t="s">
        <v>77</v>
      </c>
      <c r="K4698" s="6">
        <v>0.03</v>
      </c>
      <c r="L4698" s="7">
        <f t="shared" si="147"/>
        <v>2E-3</v>
      </c>
      <c r="M4698" s="7">
        <v>3.0000000000000001E-3</v>
      </c>
      <c r="N4698">
        <v>17</v>
      </c>
      <c r="O4698" s="8">
        <v>37.805832567895507</v>
      </c>
      <c r="P4698" s="9">
        <v>37.805832567895507</v>
      </c>
      <c r="Q4698" s="9">
        <v>37.805832567895507</v>
      </c>
      <c r="R4698" s="9">
        <v>39.372205384609224</v>
      </c>
      <c r="S4698" s="9">
        <v>41.954009946473661</v>
      </c>
      <c r="T4698" s="9">
        <v>42.765400727434375</v>
      </c>
      <c r="U4698" s="9">
        <v>45.367254324781861</v>
      </c>
      <c r="V4698" s="9">
        <v>45.367254324781861</v>
      </c>
      <c r="W4698" s="9">
        <v>45.367254324781861</v>
      </c>
      <c r="X4698" s="9">
        <v>49.734450249044727</v>
      </c>
      <c r="Y4698" s="9">
        <v>49.734450249044727</v>
      </c>
      <c r="Z4698" s="9">
        <v>54.717582674418672</v>
      </c>
      <c r="AA4698" s="9">
        <v>54.717582674418672</v>
      </c>
      <c r="AB4698" s="9">
        <v>59.512837475744206</v>
      </c>
      <c r="AC4698" s="9">
        <v>59.512837475744206</v>
      </c>
      <c r="AD4698" s="9">
        <v>64.787617757202327</v>
      </c>
      <c r="AE4698" s="9">
        <v>70.226598549201981</v>
      </c>
      <c r="AF4698" s="9">
        <v>76.098072315003037</v>
      </c>
      <c r="AG4698" s="9">
        <v>76.098072315003037</v>
      </c>
      <c r="AH4698" s="9">
        <v>82.253154909341504</v>
      </c>
      <c r="AI4698" s="9">
        <v>89.04634969754251</v>
      </c>
      <c r="AJ4698" s="9">
        <v>3.0428788910505911</v>
      </c>
    </row>
    <row r="4699" spans="1:36" x14ac:dyDescent="0.25">
      <c r="A4699" t="s">
        <v>5411</v>
      </c>
      <c r="B4699" t="s">
        <v>16</v>
      </c>
      <c r="C4699" t="s">
        <v>17</v>
      </c>
      <c r="D4699">
        <v>79955000</v>
      </c>
      <c r="E4699">
        <v>79959999</v>
      </c>
      <c r="F4699" t="s">
        <v>4286</v>
      </c>
      <c r="G4699" t="str">
        <f t="shared" si="146"/>
        <v>MSR</v>
      </c>
      <c r="H4699" t="s">
        <v>4217</v>
      </c>
      <c r="I4699" t="s">
        <v>20</v>
      </c>
      <c r="J4699" t="s">
        <v>77</v>
      </c>
      <c r="K4699" s="6">
        <v>0.03</v>
      </c>
      <c r="L4699" s="7">
        <f t="shared" si="147"/>
        <v>2E-3</v>
      </c>
      <c r="M4699" s="7">
        <v>3.0000000000000001E-3</v>
      </c>
      <c r="N4699">
        <v>17</v>
      </c>
      <c r="O4699" s="8">
        <v>37.805832567895507</v>
      </c>
      <c r="P4699" s="9">
        <v>37.805832567895507</v>
      </c>
      <c r="Q4699" s="9">
        <v>37.805832567895507</v>
      </c>
      <c r="R4699" s="9">
        <v>39.372205384609224</v>
      </c>
      <c r="S4699" s="9">
        <v>41.954009946473661</v>
      </c>
      <c r="T4699" s="9">
        <v>42.765400727434375</v>
      </c>
      <c r="U4699" s="9">
        <v>45.367254324781861</v>
      </c>
      <c r="V4699" s="9">
        <v>45.367254324781861</v>
      </c>
      <c r="W4699" s="9">
        <v>45.367254324781861</v>
      </c>
      <c r="X4699" s="9">
        <v>49.734450249044727</v>
      </c>
      <c r="Y4699" s="9">
        <v>49.734450249044727</v>
      </c>
      <c r="Z4699" s="9">
        <v>54.717582674418672</v>
      </c>
      <c r="AA4699" s="9">
        <v>54.717582674418672</v>
      </c>
      <c r="AB4699" s="9">
        <v>59.512837475744206</v>
      </c>
      <c r="AC4699" s="9">
        <v>59.512837475744206</v>
      </c>
      <c r="AD4699" s="9">
        <v>64.787617757202327</v>
      </c>
      <c r="AE4699" s="9">
        <v>70.226598549201981</v>
      </c>
      <c r="AF4699" s="9">
        <v>76.098072315003037</v>
      </c>
      <c r="AG4699" s="9">
        <v>76.098072315003037</v>
      </c>
      <c r="AH4699" s="9">
        <v>82.253154909341504</v>
      </c>
      <c r="AI4699" s="9">
        <v>89.04634969754251</v>
      </c>
      <c r="AJ4699" s="9">
        <v>3.0428788910505911</v>
      </c>
    </row>
    <row r="4700" spans="1:36" x14ac:dyDescent="0.25">
      <c r="A4700" t="s">
        <v>5411</v>
      </c>
      <c r="B4700" t="s">
        <v>16</v>
      </c>
      <c r="C4700" t="s">
        <v>17</v>
      </c>
      <c r="D4700">
        <v>79960000</v>
      </c>
      <c r="E4700">
        <v>79964999</v>
      </c>
      <c r="F4700" t="s">
        <v>4287</v>
      </c>
      <c r="G4700" t="str">
        <f t="shared" si="146"/>
        <v>MSR</v>
      </c>
      <c r="H4700" t="s">
        <v>4217</v>
      </c>
      <c r="I4700" t="s">
        <v>20</v>
      </c>
      <c r="J4700" t="s">
        <v>77</v>
      </c>
      <c r="K4700" s="6">
        <v>0.03</v>
      </c>
      <c r="L4700" s="7">
        <f t="shared" si="147"/>
        <v>2E-3</v>
      </c>
      <c r="M4700" s="7">
        <v>3.0000000000000001E-3</v>
      </c>
      <c r="N4700">
        <v>17</v>
      </c>
      <c r="O4700" s="8">
        <v>37.805832567895507</v>
      </c>
      <c r="P4700" s="9">
        <v>37.805832567895507</v>
      </c>
      <c r="Q4700" s="9">
        <v>37.805832567895507</v>
      </c>
      <c r="R4700" s="9">
        <v>39.372205384609224</v>
      </c>
      <c r="S4700" s="9">
        <v>41.954009946473661</v>
      </c>
      <c r="T4700" s="9">
        <v>42.765400727434375</v>
      </c>
      <c r="U4700" s="9">
        <v>45.367254324781861</v>
      </c>
      <c r="V4700" s="9">
        <v>45.367254324781861</v>
      </c>
      <c r="W4700" s="9">
        <v>45.367254324781861</v>
      </c>
      <c r="X4700" s="9">
        <v>49.734450249044727</v>
      </c>
      <c r="Y4700" s="9">
        <v>49.734450249044727</v>
      </c>
      <c r="Z4700" s="9">
        <v>54.717582674418672</v>
      </c>
      <c r="AA4700" s="9">
        <v>54.717582674418672</v>
      </c>
      <c r="AB4700" s="9">
        <v>59.512837475744206</v>
      </c>
      <c r="AC4700" s="9">
        <v>59.512837475744206</v>
      </c>
      <c r="AD4700" s="9">
        <v>64.787617757202327</v>
      </c>
      <c r="AE4700" s="9">
        <v>70.226598549201981</v>
      </c>
      <c r="AF4700" s="9">
        <v>76.098072315003037</v>
      </c>
      <c r="AG4700" s="9">
        <v>76.098072315003037</v>
      </c>
      <c r="AH4700" s="9">
        <v>82.253154909341504</v>
      </c>
      <c r="AI4700" s="9">
        <v>89.04634969754251</v>
      </c>
      <c r="AJ4700" s="9">
        <v>3.0428788910505911</v>
      </c>
    </row>
    <row r="4701" spans="1:36" x14ac:dyDescent="0.25">
      <c r="A4701" t="s">
        <v>5411</v>
      </c>
      <c r="B4701" t="s">
        <v>16</v>
      </c>
      <c r="C4701" t="s">
        <v>17</v>
      </c>
      <c r="D4701">
        <v>79965000</v>
      </c>
      <c r="E4701">
        <v>79969999</v>
      </c>
      <c r="F4701" t="s">
        <v>4288</v>
      </c>
      <c r="G4701" t="str">
        <f t="shared" si="146"/>
        <v>MSR</v>
      </c>
      <c r="H4701" t="s">
        <v>4217</v>
      </c>
      <c r="I4701" t="s">
        <v>20</v>
      </c>
      <c r="J4701" t="s">
        <v>77</v>
      </c>
      <c r="K4701" s="6">
        <v>0.03</v>
      </c>
      <c r="L4701" s="7">
        <f t="shared" si="147"/>
        <v>2E-3</v>
      </c>
      <c r="M4701" s="7">
        <v>3.0000000000000001E-3</v>
      </c>
      <c r="N4701">
        <v>17</v>
      </c>
      <c r="O4701" s="8">
        <v>37.805832567895507</v>
      </c>
      <c r="P4701" s="9">
        <v>37.805832567895507</v>
      </c>
      <c r="Q4701" s="9">
        <v>37.805832567895507</v>
      </c>
      <c r="R4701" s="9">
        <v>39.372205384609224</v>
      </c>
      <c r="S4701" s="9">
        <v>41.954009946473661</v>
      </c>
      <c r="T4701" s="9">
        <v>42.765400727434375</v>
      </c>
      <c r="U4701" s="9">
        <v>45.367254324781861</v>
      </c>
      <c r="V4701" s="9">
        <v>45.367254324781861</v>
      </c>
      <c r="W4701" s="9">
        <v>45.367254324781861</v>
      </c>
      <c r="X4701" s="9">
        <v>49.734450249044727</v>
      </c>
      <c r="Y4701" s="9">
        <v>49.734450249044727</v>
      </c>
      <c r="Z4701" s="9">
        <v>54.717582674418672</v>
      </c>
      <c r="AA4701" s="9">
        <v>54.717582674418672</v>
      </c>
      <c r="AB4701" s="9">
        <v>59.512837475744206</v>
      </c>
      <c r="AC4701" s="9">
        <v>59.512837475744206</v>
      </c>
      <c r="AD4701" s="9">
        <v>64.787617757202327</v>
      </c>
      <c r="AE4701" s="9">
        <v>70.226598549201981</v>
      </c>
      <c r="AF4701" s="9">
        <v>76.098072315003037</v>
      </c>
      <c r="AG4701" s="9">
        <v>76.098072315003037</v>
      </c>
      <c r="AH4701" s="9">
        <v>82.253154909341504</v>
      </c>
      <c r="AI4701" s="9">
        <v>89.04634969754251</v>
      </c>
      <c r="AJ4701" s="9">
        <v>3.0428788910505911</v>
      </c>
    </row>
    <row r="4702" spans="1:36" x14ac:dyDescent="0.25">
      <c r="A4702" t="s">
        <v>5411</v>
      </c>
      <c r="B4702" t="s">
        <v>16</v>
      </c>
      <c r="C4702" t="s">
        <v>17</v>
      </c>
      <c r="D4702">
        <v>79970000</v>
      </c>
      <c r="E4702">
        <v>79974999</v>
      </c>
      <c r="F4702" t="s">
        <v>89</v>
      </c>
      <c r="G4702" t="str">
        <f t="shared" si="146"/>
        <v>MSR</v>
      </c>
      <c r="H4702" t="s">
        <v>4217</v>
      </c>
      <c r="I4702" t="s">
        <v>20</v>
      </c>
      <c r="J4702" t="s">
        <v>77</v>
      </c>
      <c r="K4702" s="6">
        <v>0.03</v>
      </c>
      <c r="L4702" s="7">
        <f t="shared" si="147"/>
        <v>2E-3</v>
      </c>
      <c r="M4702" s="7">
        <v>3.0000000000000001E-3</v>
      </c>
      <c r="N4702">
        <v>17</v>
      </c>
      <c r="O4702" s="8">
        <v>37.805832567895507</v>
      </c>
      <c r="P4702" s="9">
        <v>37.805832567895507</v>
      </c>
      <c r="Q4702" s="9">
        <v>37.805832567895507</v>
      </c>
      <c r="R4702" s="9">
        <v>39.372205384609224</v>
      </c>
      <c r="S4702" s="9">
        <v>41.954009946473661</v>
      </c>
      <c r="T4702" s="9">
        <v>42.765400727434375</v>
      </c>
      <c r="U4702" s="9">
        <v>45.367254324781861</v>
      </c>
      <c r="V4702" s="9">
        <v>45.367254324781861</v>
      </c>
      <c r="W4702" s="9">
        <v>45.367254324781861</v>
      </c>
      <c r="X4702" s="9">
        <v>49.734450249044727</v>
      </c>
      <c r="Y4702" s="9">
        <v>49.734450249044727</v>
      </c>
      <c r="Z4702" s="9">
        <v>54.717582674418672</v>
      </c>
      <c r="AA4702" s="9">
        <v>54.717582674418672</v>
      </c>
      <c r="AB4702" s="9">
        <v>59.512837475744206</v>
      </c>
      <c r="AC4702" s="9">
        <v>59.512837475744206</v>
      </c>
      <c r="AD4702" s="9">
        <v>64.787617757202327</v>
      </c>
      <c r="AE4702" s="9">
        <v>70.226598549201981</v>
      </c>
      <c r="AF4702" s="9">
        <v>76.098072315003037</v>
      </c>
      <c r="AG4702" s="9">
        <v>76.098072315003037</v>
      </c>
      <c r="AH4702" s="9">
        <v>82.253154909341504</v>
      </c>
      <c r="AI4702" s="9">
        <v>89.04634969754251</v>
      </c>
      <c r="AJ4702" s="9">
        <v>3.0428788910505911</v>
      </c>
    </row>
    <row r="4703" spans="1:36" x14ac:dyDescent="0.25">
      <c r="A4703" t="s">
        <v>5411</v>
      </c>
      <c r="B4703" t="s">
        <v>16</v>
      </c>
      <c r="C4703" t="s">
        <v>17</v>
      </c>
      <c r="D4703">
        <v>79975000</v>
      </c>
      <c r="E4703">
        <v>79979999</v>
      </c>
      <c r="F4703" t="s">
        <v>4289</v>
      </c>
      <c r="G4703" t="str">
        <f t="shared" si="146"/>
        <v>MSR</v>
      </c>
      <c r="H4703" t="s">
        <v>4217</v>
      </c>
      <c r="I4703" t="s">
        <v>20</v>
      </c>
      <c r="J4703" t="s">
        <v>77</v>
      </c>
      <c r="K4703" s="6">
        <v>0.03</v>
      </c>
      <c r="L4703" s="7">
        <f t="shared" si="147"/>
        <v>2E-3</v>
      </c>
      <c r="M4703" s="7">
        <v>3.0000000000000001E-3</v>
      </c>
      <c r="N4703">
        <v>17</v>
      </c>
      <c r="O4703" s="8">
        <v>37.805832567895507</v>
      </c>
      <c r="P4703" s="9">
        <v>37.805832567895507</v>
      </c>
      <c r="Q4703" s="9">
        <v>37.805832567895507</v>
      </c>
      <c r="R4703" s="9">
        <v>39.372205384609224</v>
      </c>
      <c r="S4703" s="9">
        <v>41.954009946473661</v>
      </c>
      <c r="T4703" s="9">
        <v>42.765400727434375</v>
      </c>
      <c r="U4703" s="9">
        <v>45.367254324781861</v>
      </c>
      <c r="V4703" s="9">
        <v>45.367254324781861</v>
      </c>
      <c r="W4703" s="9">
        <v>45.367254324781861</v>
      </c>
      <c r="X4703" s="9">
        <v>49.734450249044727</v>
      </c>
      <c r="Y4703" s="9">
        <v>49.734450249044727</v>
      </c>
      <c r="Z4703" s="9">
        <v>54.717582674418672</v>
      </c>
      <c r="AA4703" s="9">
        <v>54.717582674418672</v>
      </c>
      <c r="AB4703" s="9">
        <v>59.512837475744206</v>
      </c>
      <c r="AC4703" s="9">
        <v>59.512837475744206</v>
      </c>
      <c r="AD4703" s="9">
        <v>64.787617757202327</v>
      </c>
      <c r="AE4703" s="9">
        <v>70.226598549201981</v>
      </c>
      <c r="AF4703" s="9">
        <v>76.098072315003037</v>
      </c>
      <c r="AG4703" s="9">
        <v>76.098072315003037</v>
      </c>
      <c r="AH4703" s="9">
        <v>82.253154909341504</v>
      </c>
      <c r="AI4703" s="9">
        <v>89.04634969754251</v>
      </c>
      <c r="AJ4703" s="9">
        <v>3.0428788910505911</v>
      </c>
    </row>
    <row r="4704" spans="1:36" x14ac:dyDescent="0.25">
      <c r="A4704" t="s">
        <v>5411</v>
      </c>
      <c r="B4704" t="s">
        <v>16</v>
      </c>
      <c r="C4704" t="s">
        <v>17</v>
      </c>
      <c r="D4704">
        <v>79980000</v>
      </c>
      <c r="E4704">
        <v>79984999</v>
      </c>
      <c r="F4704" t="s">
        <v>1779</v>
      </c>
      <c r="G4704" t="str">
        <f t="shared" si="146"/>
        <v>MSR</v>
      </c>
      <c r="H4704" t="s">
        <v>4217</v>
      </c>
      <c r="I4704" t="s">
        <v>20</v>
      </c>
      <c r="J4704" t="s">
        <v>77</v>
      </c>
      <c r="K4704" s="6">
        <v>0.03</v>
      </c>
      <c r="L4704" s="7">
        <f t="shared" si="147"/>
        <v>2E-3</v>
      </c>
      <c r="M4704" s="7">
        <v>3.0000000000000001E-3</v>
      </c>
      <c r="N4704">
        <v>17</v>
      </c>
      <c r="O4704" s="8">
        <v>37.805832567895507</v>
      </c>
      <c r="P4704" s="9">
        <v>37.805832567895507</v>
      </c>
      <c r="Q4704" s="9">
        <v>37.805832567895507</v>
      </c>
      <c r="R4704" s="9">
        <v>39.372205384609224</v>
      </c>
      <c r="S4704" s="9">
        <v>41.954009946473661</v>
      </c>
      <c r="T4704" s="9">
        <v>42.765400727434375</v>
      </c>
      <c r="U4704" s="9">
        <v>45.367254324781861</v>
      </c>
      <c r="V4704" s="9">
        <v>45.367254324781861</v>
      </c>
      <c r="W4704" s="9">
        <v>45.367254324781861</v>
      </c>
      <c r="X4704" s="9">
        <v>49.734450249044727</v>
      </c>
      <c r="Y4704" s="9">
        <v>49.734450249044727</v>
      </c>
      <c r="Z4704" s="9">
        <v>54.717582674418672</v>
      </c>
      <c r="AA4704" s="9">
        <v>54.717582674418672</v>
      </c>
      <c r="AB4704" s="9">
        <v>59.512837475744206</v>
      </c>
      <c r="AC4704" s="9">
        <v>59.512837475744206</v>
      </c>
      <c r="AD4704" s="9">
        <v>64.787617757202327</v>
      </c>
      <c r="AE4704" s="9">
        <v>70.226598549201981</v>
      </c>
      <c r="AF4704" s="9">
        <v>76.098072315003037</v>
      </c>
      <c r="AG4704" s="9">
        <v>76.098072315003037</v>
      </c>
      <c r="AH4704" s="9">
        <v>82.253154909341504</v>
      </c>
      <c r="AI4704" s="9">
        <v>89.04634969754251</v>
      </c>
      <c r="AJ4704" s="9">
        <v>3.0428788910505911</v>
      </c>
    </row>
    <row r="4705" spans="1:36" x14ac:dyDescent="0.25">
      <c r="A4705" t="s">
        <v>5411</v>
      </c>
      <c r="B4705" t="s">
        <v>16</v>
      </c>
      <c r="C4705" t="s">
        <v>17</v>
      </c>
      <c r="D4705">
        <v>79985000</v>
      </c>
      <c r="E4705">
        <v>79989999</v>
      </c>
      <c r="F4705" t="s">
        <v>4290</v>
      </c>
      <c r="G4705" t="str">
        <f t="shared" si="146"/>
        <v>MSR</v>
      </c>
      <c r="H4705" t="s">
        <v>4217</v>
      </c>
      <c r="I4705" t="s">
        <v>20</v>
      </c>
      <c r="J4705" t="s">
        <v>77</v>
      </c>
      <c r="K4705" s="6">
        <v>0.03</v>
      </c>
      <c r="L4705" s="7">
        <f t="shared" si="147"/>
        <v>2E-3</v>
      </c>
      <c r="M4705" s="7">
        <v>3.0000000000000001E-3</v>
      </c>
      <c r="N4705">
        <v>17</v>
      </c>
      <c r="O4705" s="8">
        <v>37.805832567895507</v>
      </c>
      <c r="P4705" s="9">
        <v>37.805832567895507</v>
      </c>
      <c r="Q4705" s="9">
        <v>37.805832567895507</v>
      </c>
      <c r="R4705" s="9">
        <v>39.372205384609224</v>
      </c>
      <c r="S4705" s="9">
        <v>41.954009946473661</v>
      </c>
      <c r="T4705" s="9">
        <v>42.765400727434375</v>
      </c>
      <c r="U4705" s="9">
        <v>45.367254324781861</v>
      </c>
      <c r="V4705" s="9">
        <v>45.367254324781861</v>
      </c>
      <c r="W4705" s="9">
        <v>45.367254324781861</v>
      </c>
      <c r="X4705" s="9">
        <v>49.734450249044727</v>
      </c>
      <c r="Y4705" s="9">
        <v>49.734450249044727</v>
      </c>
      <c r="Z4705" s="9">
        <v>54.717582674418672</v>
      </c>
      <c r="AA4705" s="9">
        <v>54.717582674418672</v>
      </c>
      <c r="AB4705" s="9">
        <v>59.512837475744206</v>
      </c>
      <c r="AC4705" s="9">
        <v>59.512837475744206</v>
      </c>
      <c r="AD4705" s="9">
        <v>64.787617757202327</v>
      </c>
      <c r="AE4705" s="9">
        <v>70.226598549201981</v>
      </c>
      <c r="AF4705" s="9">
        <v>76.098072315003037</v>
      </c>
      <c r="AG4705" s="9">
        <v>76.098072315003037</v>
      </c>
      <c r="AH4705" s="9">
        <v>82.253154909341504</v>
      </c>
      <c r="AI4705" s="9">
        <v>89.04634969754251</v>
      </c>
      <c r="AJ4705" s="9">
        <v>3.0428788910505911</v>
      </c>
    </row>
    <row r="4706" spans="1:36" x14ac:dyDescent="0.25">
      <c r="A4706" t="s">
        <v>5411</v>
      </c>
      <c r="B4706" t="s">
        <v>16</v>
      </c>
      <c r="C4706" t="s">
        <v>17</v>
      </c>
      <c r="D4706">
        <v>79990000</v>
      </c>
      <c r="E4706">
        <v>79994999</v>
      </c>
      <c r="F4706" t="s">
        <v>4291</v>
      </c>
      <c r="G4706" t="str">
        <f t="shared" si="146"/>
        <v>MSR</v>
      </c>
      <c r="H4706" t="s">
        <v>4217</v>
      </c>
      <c r="I4706" t="s">
        <v>20</v>
      </c>
      <c r="J4706" t="s">
        <v>77</v>
      </c>
      <c r="K4706" s="6">
        <v>0.03</v>
      </c>
      <c r="L4706" s="7">
        <f t="shared" si="147"/>
        <v>2E-3</v>
      </c>
      <c r="M4706" s="7">
        <v>3.0000000000000001E-3</v>
      </c>
      <c r="N4706">
        <v>17</v>
      </c>
      <c r="O4706" s="8">
        <v>37.805832567895507</v>
      </c>
      <c r="P4706" s="9">
        <v>37.805832567895507</v>
      </c>
      <c r="Q4706" s="9">
        <v>37.805832567895507</v>
      </c>
      <c r="R4706" s="9">
        <v>39.372205384609224</v>
      </c>
      <c r="S4706" s="9">
        <v>41.954009946473661</v>
      </c>
      <c r="T4706" s="9">
        <v>42.765400727434375</v>
      </c>
      <c r="U4706" s="9">
        <v>45.367254324781861</v>
      </c>
      <c r="V4706" s="9">
        <v>45.367254324781861</v>
      </c>
      <c r="W4706" s="9">
        <v>45.367254324781861</v>
      </c>
      <c r="X4706" s="9">
        <v>49.734450249044727</v>
      </c>
      <c r="Y4706" s="9">
        <v>49.734450249044727</v>
      </c>
      <c r="Z4706" s="9">
        <v>54.717582674418672</v>
      </c>
      <c r="AA4706" s="9">
        <v>54.717582674418672</v>
      </c>
      <c r="AB4706" s="9">
        <v>59.512837475744206</v>
      </c>
      <c r="AC4706" s="9">
        <v>59.512837475744206</v>
      </c>
      <c r="AD4706" s="9">
        <v>64.787617757202327</v>
      </c>
      <c r="AE4706" s="9">
        <v>70.226598549201981</v>
      </c>
      <c r="AF4706" s="9">
        <v>76.098072315003037</v>
      </c>
      <c r="AG4706" s="9">
        <v>76.098072315003037</v>
      </c>
      <c r="AH4706" s="9">
        <v>82.253154909341504</v>
      </c>
      <c r="AI4706" s="9">
        <v>89.04634969754251</v>
      </c>
      <c r="AJ4706" s="9">
        <v>3.0428788910505911</v>
      </c>
    </row>
    <row r="4707" spans="1:36" x14ac:dyDescent="0.25">
      <c r="A4707" t="s">
        <v>5411</v>
      </c>
      <c r="B4707" t="s">
        <v>16</v>
      </c>
      <c r="C4707" t="s">
        <v>17</v>
      </c>
      <c r="D4707">
        <v>79995000</v>
      </c>
      <c r="E4707">
        <v>79999999</v>
      </c>
      <c r="F4707" t="s">
        <v>4292</v>
      </c>
      <c r="G4707" t="str">
        <f t="shared" si="146"/>
        <v>MSR</v>
      </c>
      <c r="H4707" t="s">
        <v>4217</v>
      </c>
      <c r="I4707" t="s">
        <v>20</v>
      </c>
      <c r="J4707" t="s">
        <v>77</v>
      </c>
      <c r="K4707" s="6">
        <v>0.03</v>
      </c>
      <c r="L4707" s="7">
        <f t="shared" si="147"/>
        <v>2E-3</v>
      </c>
      <c r="M4707" s="7">
        <v>3.0000000000000001E-3</v>
      </c>
      <c r="N4707">
        <v>17</v>
      </c>
      <c r="O4707" s="8">
        <v>37.805832567895507</v>
      </c>
      <c r="P4707" s="9">
        <v>37.805832567895507</v>
      </c>
      <c r="Q4707" s="9">
        <v>37.805832567895507</v>
      </c>
      <c r="R4707" s="9">
        <v>39.372205384609224</v>
      </c>
      <c r="S4707" s="9">
        <v>41.954009946473661</v>
      </c>
      <c r="T4707" s="9">
        <v>42.765400727434375</v>
      </c>
      <c r="U4707" s="9">
        <v>45.367254324781861</v>
      </c>
      <c r="V4707" s="9">
        <v>45.367254324781861</v>
      </c>
      <c r="W4707" s="9">
        <v>45.367254324781861</v>
      </c>
      <c r="X4707" s="9">
        <v>49.734450249044727</v>
      </c>
      <c r="Y4707" s="9">
        <v>49.734450249044727</v>
      </c>
      <c r="Z4707" s="9">
        <v>54.717582674418672</v>
      </c>
      <c r="AA4707" s="9">
        <v>54.717582674418672</v>
      </c>
      <c r="AB4707" s="9">
        <v>59.512837475744206</v>
      </c>
      <c r="AC4707" s="9">
        <v>59.512837475744206</v>
      </c>
      <c r="AD4707" s="9">
        <v>64.787617757202327</v>
      </c>
      <c r="AE4707" s="9">
        <v>70.226598549201981</v>
      </c>
      <c r="AF4707" s="9">
        <v>76.098072315003037</v>
      </c>
      <c r="AG4707" s="9">
        <v>76.098072315003037</v>
      </c>
      <c r="AH4707" s="9">
        <v>82.253154909341504</v>
      </c>
      <c r="AI4707" s="9">
        <v>89.04634969754251</v>
      </c>
      <c r="AJ4707" s="9">
        <v>3.0428788910505911</v>
      </c>
    </row>
    <row r="4708" spans="1:36" x14ac:dyDescent="0.25">
      <c r="A4708" t="s">
        <v>5411</v>
      </c>
      <c r="B4708" t="s">
        <v>16</v>
      </c>
      <c r="C4708" t="s">
        <v>17</v>
      </c>
      <c r="D4708">
        <v>80000000</v>
      </c>
      <c r="E4708">
        <v>80209999</v>
      </c>
      <c r="F4708" t="s">
        <v>4293</v>
      </c>
      <c r="G4708" t="str">
        <f t="shared" si="146"/>
        <v>PRC</v>
      </c>
      <c r="H4708" t="s">
        <v>4294</v>
      </c>
      <c r="I4708" t="s">
        <v>20</v>
      </c>
      <c r="J4708" t="s">
        <v>21</v>
      </c>
      <c r="K4708" s="6">
        <v>0.03</v>
      </c>
      <c r="L4708" s="7">
        <f t="shared" si="147"/>
        <v>2E-3</v>
      </c>
      <c r="M4708" s="7">
        <v>3.0000000000000001E-3</v>
      </c>
      <c r="N4708">
        <v>7</v>
      </c>
      <c r="O4708" s="8">
        <v>11.709693885402361</v>
      </c>
      <c r="P4708" s="9">
        <v>11.709693885402361</v>
      </c>
      <c r="Q4708" s="9">
        <v>11.709693885402361</v>
      </c>
      <c r="R4708" s="9">
        <v>12.006591397949746</v>
      </c>
      <c r="S4708" s="9">
        <v>12.863489046972891</v>
      </c>
      <c r="T4708" s="9">
        <v>13.222921898642833</v>
      </c>
      <c r="U4708" s="9">
        <v>15.268530836889617</v>
      </c>
      <c r="V4708" s="9">
        <v>15.268530836889617</v>
      </c>
      <c r="W4708" s="9">
        <v>15.268530836889617</v>
      </c>
      <c r="X4708" s="9">
        <v>17.155999719448005</v>
      </c>
      <c r="Y4708" s="9">
        <v>17.155999719448005</v>
      </c>
      <c r="Z4708" s="9">
        <v>19.198027373699794</v>
      </c>
      <c r="AA4708" s="9">
        <v>19.198027373699794</v>
      </c>
      <c r="AB4708" s="9">
        <v>22.870088818994869</v>
      </c>
      <c r="AC4708" s="9">
        <v>22.870088818994869</v>
      </c>
      <c r="AD4708" s="9">
        <v>24.903474960956302</v>
      </c>
      <c r="AE4708" s="9">
        <v>27.017195551929351</v>
      </c>
      <c r="AF4708" s="9">
        <v>29.2192840368152</v>
      </c>
      <c r="AG4708" s="9">
        <v>29.2192840368152</v>
      </c>
      <c r="AH4708" s="9">
        <v>31.518577205005123</v>
      </c>
      <c r="AI4708" s="9">
        <v>33.370312238496417</v>
      </c>
      <c r="AJ4708" s="9">
        <v>3.0428788910505911</v>
      </c>
    </row>
    <row r="4709" spans="1:36" x14ac:dyDescent="0.25">
      <c r="A4709" t="s">
        <v>5411</v>
      </c>
      <c r="B4709" t="s">
        <v>16</v>
      </c>
      <c r="C4709" t="s">
        <v>17</v>
      </c>
      <c r="D4709">
        <v>80210000</v>
      </c>
      <c r="E4709">
        <v>80309999</v>
      </c>
      <c r="F4709" t="s">
        <v>4293</v>
      </c>
      <c r="G4709" t="str">
        <f t="shared" si="146"/>
        <v>PRC</v>
      </c>
      <c r="H4709" t="s">
        <v>4294</v>
      </c>
      <c r="I4709" t="s">
        <v>20</v>
      </c>
      <c r="J4709" t="s">
        <v>21</v>
      </c>
      <c r="K4709" s="6">
        <v>0.03</v>
      </c>
      <c r="L4709" s="7">
        <f t="shared" si="147"/>
        <v>2E-3</v>
      </c>
      <c r="M4709" s="7">
        <v>3.0000000000000001E-3</v>
      </c>
      <c r="N4709">
        <v>7</v>
      </c>
      <c r="O4709" s="8">
        <v>11.709693885402361</v>
      </c>
      <c r="P4709" s="9">
        <v>11.709693885402361</v>
      </c>
      <c r="Q4709" s="9">
        <v>11.709693885402361</v>
      </c>
      <c r="R4709" s="9">
        <v>12.006591397949746</v>
      </c>
      <c r="S4709" s="9">
        <v>12.863489046972891</v>
      </c>
      <c r="T4709" s="9">
        <v>13.222921898642833</v>
      </c>
      <c r="U4709" s="9">
        <v>15.268530836889617</v>
      </c>
      <c r="V4709" s="9">
        <v>15.268530836889617</v>
      </c>
      <c r="W4709" s="9">
        <v>15.268530836889617</v>
      </c>
      <c r="X4709" s="9">
        <v>17.155999719448005</v>
      </c>
      <c r="Y4709" s="9">
        <v>17.155999719448005</v>
      </c>
      <c r="Z4709" s="9">
        <v>19.198027373699794</v>
      </c>
      <c r="AA4709" s="9">
        <v>19.198027373699794</v>
      </c>
      <c r="AB4709" s="9">
        <v>22.870088818994869</v>
      </c>
      <c r="AC4709" s="9">
        <v>22.870088818994869</v>
      </c>
      <c r="AD4709" s="9">
        <v>24.903474960956302</v>
      </c>
      <c r="AE4709" s="9">
        <v>27.017195551929351</v>
      </c>
      <c r="AF4709" s="9">
        <v>29.2192840368152</v>
      </c>
      <c r="AG4709" s="9">
        <v>29.2192840368152</v>
      </c>
      <c r="AH4709" s="9">
        <v>31.518577205005123</v>
      </c>
      <c r="AI4709" s="9">
        <v>33.370312238496417</v>
      </c>
      <c r="AJ4709" s="9">
        <v>3.0428788910505911</v>
      </c>
    </row>
    <row r="4710" spans="1:36" x14ac:dyDescent="0.25">
      <c r="A4710" t="s">
        <v>5411</v>
      </c>
      <c r="B4710" t="s">
        <v>16</v>
      </c>
      <c r="C4710" t="s">
        <v>17</v>
      </c>
      <c r="D4710">
        <v>80310000</v>
      </c>
      <c r="E4710">
        <v>80409999</v>
      </c>
      <c r="F4710" t="s">
        <v>4293</v>
      </c>
      <c r="G4710" t="str">
        <f t="shared" si="146"/>
        <v>PRC</v>
      </c>
      <c r="H4710" t="s">
        <v>4294</v>
      </c>
      <c r="I4710" t="s">
        <v>20</v>
      </c>
      <c r="J4710" t="s">
        <v>21</v>
      </c>
      <c r="K4710" s="6">
        <v>0.03</v>
      </c>
      <c r="L4710" s="7">
        <f t="shared" si="147"/>
        <v>2E-3</v>
      </c>
      <c r="M4710" s="7">
        <v>3.0000000000000001E-3</v>
      </c>
      <c r="N4710">
        <v>7</v>
      </c>
      <c r="O4710" s="8">
        <v>11.709693885402361</v>
      </c>
      <c r="P4710" s="9">
        <v>11.709693885402361</v>
      </c>
      <c r="Q4710" s="9">
        <v>11.709693885402361</v>
      </c>
      <c r="R4710" s="9">
        <v>12.006591397949746</v>
      </c>
      <c r="S4710" s="9">
        <v>12.863489046972891</v>
      </c>
      <c r="T4710" s="9">
        <v>13.222921898642833</v>
      </c>
      <c r="U4710" s="9">
        <v>15.268530836889617</v>
      </c>
      <c r="V4710" s="9">
        <v>15.268530836889617</v>
      </c>
      <c r="W4710" s="9">
        <v>15.268530836889617</v>
      </c>
      <c r="X4710" s="9">
        <v>17.155999719448005</v>
      </c>
      <c r="Y4710" s="9">
        <v>17.155999719448005</v>
      </c>
      <c r="Z4710" s="9">
        <v>19.198027373699794</v>
      </c>
      <c r="AA4710" s="9">
        <v>19.198027373699794</v>
      </c>
      <c r="AB4710" s="9">
        <v>22.870088818994869</v>
      </c>
      <c r="AC4710" s="9">
        <v>22.870088818994869</v>
      </c>
      <c r="AD4710" s="9">
        <v>24.903474960956302</v>
      </c>
      <c r="AE4710" s="9">
        <v>27.017195551929351</v>
      </c>
      <c r="AF4710" s="9">
        <v>29.2192840368152</v>
      </c>
      <c r="AG4710" s="9">
        <v>29.2192840368152</v>
      </c>
      <c r="AH4710" s="9">
        <v>31.518577205005123</v>
      </c>
      <c r="AI4710" s="9">
        <v>33.370312238496417</v>
      </c>
      <c r="AJ4710" s="9">
        <v>3.0428788910505911</v>
      </c>
    </row>
    <row r="4711" spans="1:36" x14ac:dyDescent="0.25">
      <c r="A4711" t="s">
        <v>5411</v>
      </c>
      <c r="B4711" t="s">
        <v>16</v>
      </c>
      <c r="C4711" t="s">
        <v>17</v>
      </c>
      <c r="D4711">
        <v>80410000</v>
      </c>
      <c r="E4711">
        <v>80509999</v>
      </c>
      <c r="F4711" t="s">
        <v>4293</v>
      </c>
      <c r="G4711" t="str">
        <f t="shared" si="146"/>
        <v>PRC</v>
      </c>
      <c r="H4711" t="s">
        <v>4294</v>
      </c>
      <c r="I4711" t="s">
        <v>20</v>
      </c>
      <c r="J4711" t="s">
        <v>21</v>
      </c>
      <c r="K4711" s="6">
        <v>0.03</v>
      </c>
      <c r="L4711" s="7">
        <f t="shared" si="147"/>
        <v>2E-3</v>
      </c>
      <c r="M4711" s="7">
        <v>3.0000000000000001E-3</v>
      </c>
      <c r="N4711">
        <v>7</v>
      </c>
      <c r="O4711" s="8">
        <v>11.709693885402361</v>
      </c>
      <c r="P4711" s="9">
        <v>11.709693885402361</v>
      </c>
      <c r="Q4711" s="9">
        <v>11.709693885402361</v>
      </c>
      <c r="R4711" s="9">
        <v>12.006591397949746</v>
      </c>
      <c r="S4711" s="9">
        <v>12.863489046972891</v>
      </c>
      <c r="T4711" s="9">
        <v>13.222921898642833</v>
      </c>
      <c r="U4711" s="9">
        <v>15.268530836889617</v>
      </c>
      <c r="V4711" s="9">
        <v>15.268530836889617</v>
      </c>
      <c r="W4711" s="9">
        <v>15.268530836889617</v>
      </c>
      <c r="X4711" s="9">
        <v>17.155999719448005</v>
      </c>
      <c r="Y4711" s="9">
        <v>17.155999719448005</v>
      </c>
      <c r="Z4711" s="9">
        <v>19.198027373699794</v>
      </c>
      <c r="AA4711" s="9">
        <v>19.198027373699794</v>
      </c>
      <c r="AB4711" s="9">
        <v>22.870088818994869</v>
      </c>
      <c r="AC4711" s="9">
        <v>22.870088818994869</v>
      </c>
      <c r="AD4711" s="9">
        <v>24.903474960956302</v>
      </c>
      <c r="AE4711" s="9">
        <v>27.017195551929351</v>
      </c>
      <c r="AF4711" s="9">
        <v>29.2192840368152</v>
      </c>
      <c r="AG4711" s="9">
        <v>29.2192840368152</v>
      </c>
      <c r="AH4711" s="9">
        <v>31.518577205005123</v>
      </c>
      <c r="AI4711" s="9">
        <v>33.370312238496417</v>
      </c>
      <c r="AJ4711" s="9">
        <v>3.0428788910505911</v>
      </c>
    </row>
    <row r="4712" spans="1:36" x14ac:dyDescent="0.25">
      <c r="A4712" t="s">
        <v>5411</v>
      </c>
      <c r="B4712" t="s">
        <v>16</v>
      </c>
      <c r="C4712" t="s">
        <v>17</v>
      </c>
      <c r="D4712">
        <v>80510000</v>
      </c>
      <c r="E4712">
        <v>80619999</v>
      </c>
      <c r="F4712" t="s">
        <v>4293</v>
      </c>
      <c r="G4712" t="str">
        <f t="shared" si="146"/>
        <v>PRC</v>
      </c>
      <c r="H4712" t="s">
        <v>4294</v>
      </c>
      <c r="I4712" t="s">
        <v>20</v>
      </c>
      <c r="J4712" t="s">
        <v>21</v>
      </c>
      <c r="K4712" s="6">
        <v>0.03</v>
      </c>
      <c r="L4712" s="7">
        <f t="shared" si="147"/>
        <v>2E-3</v>
      </c>
      <c r="M4712" s="7">
        <v>3.0000000000000001E-3</v>
      </c>
      <c r="N4712">
        <v>7</v>
      </c>
      <c r="O4712" s="8">
        <v>11.709693885402361</v>
      </c>
      <c r="P4712" s="9">
        <v>11.709693885402361</v>
      </c>
      <c r="Q4712" s="9">
        <v>11.709693885402361</v>
      </c>
      <c r="R4712" s="9">
        <v>12.006591397949746</v>
      </c>
      <c r="S4712" s="9">
        <v>12.863489046972891</v>
      </c>
      <c r="T4712" s="9">
        <v>13.222921898642833</v>
      </c>
      <c r="U4712" s="9">
        <v>15.268530836889617</v>
      </c>
      <c r="V4712" s="9">
        <v>15.268530836889617</v>
      </c>
      <c r="W4712" s="9">
        <v>15.268530836889617</v>
      </c>
      <c r="X4712" s="9">
        <v>17.155999719448005</v>
      </c>
      <c r="Y4712" s="9">
        <v>17.155999719448005</v>
      </c>
      <c r="Z4712" s="9">
        <v>19.198027373699794</v>
      </c>
      <c r="AA4712" s="9">
        <v>19.198027373699794</v>
      </c>
      <c r="AB4712" s="9">
        <v>22.870088818994869</v>
      </c>
      <c r="AC4712" s="9">
        <v>22.870088818994869</v>
      </c>
      <c r="AD4712" s="9">
        <v>24.903474960956302</v>
      </c>
      <c r="AE4712" s="9">
        <v>27.017195551929351</v>
      </c>
      <c r="AF4712" s="9">
        <v>29.2192840368152</v>
      </c>
      <c r="AG4712" s="9">
        <v>29.2192840368152</v>
      </c>
      <c r="AH4712" s="9">
        <v>31.518577205005123</v>
      </c>
      <c r="AI4712" s="9">
        <v>33.370312238496417</v>
      </c>
      <c r="AJ4712" s="9">
        <v>3.0428788910505911</v>
      </c>
    </row>
    <row r="4713" spans="1:36" x14ac:dyDescent="0.25">
      <c r="A4713" t="s">
        <v>5411</v>
      </c>
      <c r="B4713" t="s">
        <v>16</v>
      </c>
      <c r="C4713" t="s">
        <v>17</v>
      </c>
      <c r="D4713">
        <v>80620000</v>
      </c>
      <c r="E4713">
        <v>80739999</v>
      </c>
      <c r="F4713" t="s">
        <v>4293</v>
      </c>
      <c r="G4713" t="str">
        <f t="shared" si="146"/>
        <v>PRC</v>
      </c>
      <c r="H4713" t="s">
        <v>4294</v>
      </c>
      <c r="I4713" t="s">
        <v>20</v>
      </c>
      <c r="J4713" t="s">
        <v>21</v>
      </c>
      <c r="K4713" s="6">
        <v>0.03</v>
      </c>
      <c r="L4713" s="7">
        <f t="shared" si="147"/>
        <v>2E-3</v>
      </c>
      <c r="M4713" s="7">
        <v>3.0000000000000001E-3</v>
      </c>
      <c r="N4713">
        <v>7</v>
      </c>
      <c r="O4713" s="8">
        <v>11.709693885402361</v>
      </c>
      <c r="P4713" s="9">
        <v>11.709693885402361</v>
      </c>
      <c r="Q4713" s="9">
        <v>11.709693885402361</v>
      </c>
      <c r="R4713" s="9">
        <v>12.006591397949746</v>
      </c>
      <c r="S4713" s="9">
        <v>12.863489046972891</v>
      </c>
      <c r="T4713" s="9">
        <v>13.222921898642833</v>
      </c>
      <c r="U4713" s="9">
        <v>15.268530836889617</v>
      </c>
      <c r="V4713" s="9">
        <v>15.268530836889617</v>
      </c>
      <c r="W4713" s="9">
        <v>15.268530836889617</v>
      </c>
      <c r="X4713" s="9">
        <v>17.155999719448005</v>
      </c>
      <c r="Y4713" s="9">
        <v>17.155999719448005</v>
      </c>
      <c r="Z4713" s="9">
        <v>19.198027373699794</v>
      </c>
      <c r="AA4713" s="9">
        <v>19.198027373699794</v>
      </c>
      <c r="AB4713" s="9">
        <v>22.870088818994869</v>
      </c>
      <c r="AC4713" s="9">
        <v>22.870088818994869</v>
      </c>
      <c r="AD4713" s="9">
        <v>24.903474960956302</v>
      </c>
      <c r="AE4713" s="9">
        <v>27.017195551929351</v>
      </c>
      <c r="AF4713" s="9">
        <v>29.2192840368152</v>
      </c>
      <c r="AG4713" s="9">
        <v>29.2192840368152</v>
      </c>
      <c r="AH4713" s="9">
        <v>31.518577205005123</v>
      </c>
      <c r="AI4713" s="9">
        <v>33.370312238496417</v>
      </c>
      <c r="AJ4713" s="9">
        <v>3.0428788910505911</v>
      </c>
    </row>
    <row r="4714" spans="1:36" x14ac:dyDescent="0.25">
      <c r="A4714" t="s">
        <v>5411</v>
      </c>
      <c r="B4714" t="s">
        <v>16</v>
      </c>
      <c r="C4714" t="s">
        <v>17</v>
      </c>
      <c r="D4714">
        <v>80740000</v>
      </c>
      <c r="E4714">
        <v>80819999</v>
      </c>
      <c r="F4714" t="s">
        <v>4293</v>
      </c>
      <c r="G4714" t="str">
        <f t="shared" si="146"/>
        <v>PRC</v>
      </c>
      <c r="H4714" t="s">
        <v>4294</v>
      </c>
      <c r="I4714" t="s">
        <v>20</v>
      </c>
      <c r="J4714" t="s">
        <v>21</v>
      </c>
      <c r="K4714" s="6">
        <v>0.03</v>
      </c>
      <c r="L4714" s="7">
        <f t="shared" si="147"/>
        <v>2E-3</v>
      </c>
      <c r="M4714" s="7">
        <v>3.0000000000000001E-3</v>
      </c>
      <c r="N4714">
        <v>7</v>
      </c>
      <c r="O4714" s="8">
        <v>11.709693885402361</v>
      </c>
      <c r="P4714" s="9">
        <v>11.709693885402361</v>
      </c>
      <c r="Q4714" s="9">
        <v>11.709693885402361</v>
      </c>
      <c r="R4714" s="9">
        <v>12.006591397949746</v>
      </c>
      <c r="S4714" s="9">
        <v>12.863489046972891</v>
      </c>
      <c r="T4714" s="9">
        <v>13.222921898642833</v>
      </c>
      <c r="U4714" s="9">
        <v>15.268530836889617</v>
      </c>
      <c r="V4714" s="9">
        <v>15.268530836889617</v>
      </c>
      <c r="W4714" s="9">
        <v>15.268530836889617</v>
      </c>
      <c r="X4714" s="9">
        <v>17.155999719448005</v>
      </c>
      <c r="Y4714" s="9">
        <v>17.155999719448005</v>
      </c>
      <c r="Z4714" s="9">
        <v>19.198027373699794</v>
      </c>
      <c r="AA4714" s="9">
        <v>19.198027373699794</v>
      </c>
      <c r="AB4714" s="9">
        <v>22.870088818994869</v>
      </c>
      <c r="AC4714" s="9">
        <v>22.870088818994869</v>
      </c>
      <c r="AD4714" s="9">
        <v>24.903474960956302</v>
      </c>
      <c r="AE4714" s="9">
        <v>27.017195551929351</v>
      </c>
      <c r="AF4714" s="9">
        <v>29.2192840368152</v>
      </c>
      <c r="AG4714" s="9">
        <v>29.2192840368152</v>
      </c>
      <c r="AH4714" s="9">
        <v>31.518577205005123</v>
      </c>
      <c r="AI4714" s="9">
        <v>33.370312238496417</v>
      </c>
      <c r="AJ4714" s="9">
        <v>3.0428788910505911</v>
      </c>
    </row>
    <row r="4715" spans="1:36" x14ac:dyDescent="0.25">
      <c r="A4715" t="s">
        <v>5411</v>
      </c>
      <c r="B4715" t="s">
        <v>16</v>
      </c>
      <c r="C4715" t="s">
        <v>17</v>
      </c>
      <c r="D4715">
        <v>80820000</v>
      </c>
      <c r="E4715">
        <v>80999999</v>
      </c>
      <c r="F4715" t="s">
        <v>4293</v>
      </c>
      <c r="G4715" t="str">
        <f t="shared" si="146"/>
        <v>PRC</v>
      </c>
      <c r="H4715" t="s">
        <v>4294</v>
      </c>
      <c r="I4715" t="s">
        <v>20</v>
      </c>
      <c r="J4715" t="s">
        <v>21</v>
      </c>
      <c r="K4715" s="6">
        <v>0.03</v>
      </c>
      <c r="L4715" s="7">
        <f t="shared" si="147"/>
        <v>2E-3</v>
      </c>
      <c r="M4715" s="7">
        <v>3.0000000000000001E-3</v>
      </c>
      <c r="N4715">
        <v>7</v>
      </c>
      <c r="O4715" s="8">
        <v>11.709693885402361</v>
      </c>
      <c r="P4715" s="9">
        <v>11.709693885402361</v>
      </c>
      <c r="Q4715" s="9">
        <v>11.709693885402361</v>
      </c>
      <c r="R4715" s="9">
        <v>12.006591397949746</v>
      </c>
      <c r="S4715" s="9">
        <v>12.863489046972891</v>
      </c>
      <c r="T4715" s="9">
        <v>13.222921898642833</v>
      </c>
      <c r="U4715" s="9">
        <v>15.268530836889617</v>
      </c>
      <c r="V4715" s="9">
        <v>15.268530836889617</v>
      </c>
      <c r="W4715" s="9">
        <v>15.268530836889617</v>
      </c>
      <c r="X4715" s="9">
        <v>17.155999719448005</v>
      </c>
      <c r="Y4715" s="9">
        <v>17.155999719448005</v>
      </c>
      <c r="Z4715" s="9">
        <v>19.198027373699794</v>
      </c>
      <c r="AA4715" s="9">
        <v>19.198027373699794</v>
      </c>
      <c r="AB4715" s="9">
        <v>22.870088818994869</v>
      </c>
      <c r="AC4715" s="9">
        <v>22.870088818994869</v>
      </c>
      <c r="AD4715" s="9">
        <v>24.903474960956302</v>
      </c>
      <c r="AE4715" s="9">
        <v>27.017195551929351</v>
      </c>
      <c r="AF4715" s="9">
        <v>29.2192840368152</v>
      </c>
      <c r="AG4715" s="9">
        <v>29.2192840368152</v>
      </c>
      <c r="AH4715" s="9">
        <v>31.518577205005123</v>
      </c>
      <c r="AI4715" s="9">
        <v>33.370312238496417</v>
      </c>
      <c r="AJ4715" s="9">
        <v>3.0428788910505911</v>
      </c>
    </row>
    <row r="4716" spans="1:36" x14ac:dyDescent="0.25">
      <c r="A4716" t="s">
        <v>5411</v>
      </c>
      <c r="B4716" t="s">
        <v>16</v>
      </c>
      <c r="C4716" t="s">
        <v>17</v>
      </c>
      <c r="D4716">
        <v>81000000</v>
      </c>
      <c r="E4716">
        <v>81109999</v>
      </c>
      <c r="F4716" t="s">
        <v>4293</v>
      </c>
      <c r="G4716" t="str">
        <f t="shared" si="146"/>
        <v>PRC</v>
      </c>
      <c r="H4716" t="s">
        <v>4294</v>
      </c>
      <c r="I4716" t="s">
        <v>20</v>
      </c>
      <c r="J4716" t="s">
        <v>21</v>
      </c>
      <c r="K4716" s="6">
        <v>0.03</v>
      </c>
      <c r="L4716" s="7">
        <f t="shared" si="147"/>
        <v>2E-3</v>
      </c>
      <c r="M4716" s="7">
        <v>3.0000000000000001E-3</v>
      </c>
      <c r="N4716">
        <v>7</v>
      </c>
      <c r="O4716" s="8">
        <v>11.709693885402361</v>
      </c>
      <c r="P4716" s="9">
        <v>11.709693885402361</v>
      </c>
      <c r="Q4716" s="9">
        <v>11.709693885402361</v>
      </c>
      <c r="R4716" s="9">
        <v>12.006591397949746</v>
      </c>
      <c r="S4716" s="9">
        <v>12.863489046972891</v>
      </c>
      <c r="T4716" s="9">
        <v>13.222921898642833</v>
      </c>
      <c r="U4716" s="9">
        <v>15.268530836889617</v>
      </c>
      <c r="V4716" s="9">
        <v>15.268530836889617</v>
      </c>
      <c r="W4716" s="9">
        <v>15.268530836889617</v>
      </c>
      <c r="X4716" s="9">
        <v>17.155999719448005</v>
      </c>
      <c r="Y4716" s="9">
        <v>17.155999719448005</v>
      </c>
      <c r="Z4716" s="9">
        <v>19.198027373699794</v>
      </c>
      <c r="AA4716" s="9">
        <v>19.198027373699794</v>
      </c>
      <c r="AB4716" s="9">
        <v>22.870088818994869</v>
      </c>
      <c r="AC4716" s="9">
        <v>22.870088818994869</v>
      </c>
      <c r="AD4716" s="9">
        <v>24.903474960956302</v>
      </c>
      <c r="AE4716" s="9">
        <v>27.017195551929351</v>
      </c>
      <c r="AF4716" s="9">
        <v>29.2192840368152</v>
      </c>
      <c r="AG4716" s="9">
        <v>29.2192840368152</v>
      </c>
      <c r="AH4716" s="9">
        <v>31.518577205005123</v>
      </c>
      <c r="AI4716" s="9">
        <v>33.370312238496417</v>
      </c>
      <c r="AJ4716" s="9">
        <v>3.0428788910505911</v>
      </c>
    </row>
    <row r="4717" spans="1:36" x14ac:dyDescent="0.25">
      <c r="A4717" t="s">
        <v>5411</v>
      </c>
      <c r="B4717" t="s">
        <v>16</v>
      </c>
      <c r="C4717" t="s">
        <v>17</v>
      </c>
      <c r="D4717">
        <v>81110000</v>
      </c>
      <c r="E4717">
        <v>81199999</v>
      </c>
      <c r="F4717" t="s">
        <v>4293</v>
      </c>
      <c r="G4717" t="str">
        <f t="shared" si="146"/>
        <v>PRC</v>
      </c>
      <c r="H4717" t="s">
        <v>4294</v>
      </c>
      <c r="I4717" t="s">
        <v>20</v>
      </c>
      <c r="J4717" t="s">
        <v>21</v>
      </c>
      <c r="K4717" s="6">
        <v>0.03</v>
      </c>
      <c r="L4717" s="7">
        <f t="shared" si="147"/>
        <v>2E-3</v>
      </c>
      <c r="M4717" s="7">
        <v>3.0000000000000001E-3</v>
      </c>
      <c r="N4717">
        <v>7</v>
      </c>
      <c r="O4717" s="8">
        <v>11.709693885402361</v>
      </c>
      <c r="P4717" s="9">
        <v>11.709693885402361</v>
      </c>
      <c r="Q4717" s="9">
        <v>11.709693885402361</v>
      </c>
      <c r="R4717" s="9">
        <v>12.006591397949746</v>
      </c>
      <c r="S4717" s="9">
        <v>12.863489046972891</v>
      </c>
      <c r="T4717" s="9">
        <v>13.222921898642833</v>
      </c>
      <c r="U4717" s="9">
        <v>15.268530836889617</v>
      </c>
      <c r="V4717" s="9">
        <v>15.268530836889617</v>
      </c>
      <c r="W4717" s="9">
        <v>15.268530836889617</v>
      </c>
      <c r="X4717" s="9">
        <v>17.155999719448005</v>
      </c>
      <c r="Y4717" s="9">
        <v>17.155999719448005</v>
      </c>
      <c r="Z4717" s="9">
        <v>19.198027373699794</v>
      </c>
      <c r="AA4717" s="9">
        <v>19.198027373699794</v>
      </c>
      <c r="AB4717" s="9">
        <v>22.870088818994869</v>
      </c>
      <c r="AC4717" s="9">
        <v>22.870088818994869</v>
      </c>
      <c r="AD4717" s="9">
        <v>24.903474960956302</v>
      </c>
      <c r="AE4717" s="9">
        <v>27.017195551929351</v>
      </c>
      <c r="AF4717" s="9">
        <v>29.2192840368152</v>
      </c>
      <c r="AG4717" s="9">
        <v>29.2192840368152</v>
      </c>
      <c r="AH4717" s="9">
        <v>31.518577205005123</v>
      </c>
      <c r="AI4717" s="9">
        <v>33.370312238496417</v>
      </c>
      <c r="AJ4717" s="9">
        <v>3.0428788910505911</v>
      </c>
    </row>
    <row r="4718" spans="1:36" x14ac:dyDescent="0.25">
      <c r="A4718" t="s">
        <v>5411</v>
      </c>
      <c r="B4718" t="s">
        <v>16</v>
      </c>
      <c r="C4718" t="s">
        <v>17</v>
      </c>
      <c r="D4718">
        <v>81200000</v>
      </c>
      <c r="E4718">
        <v>81329999</v>
      </c>
      <c r="F4718" t="s">
        <v>4293</v>
      </c>
      <c r="G4718" t="str">
        <f t="shared" si="146"/>
        <v>PRC</v>
      </c>
      <c r="H4718" t="s">
        <v>4294</v>
      </c>
      <c r="I4718" t="s">
        <v>20</v>
      </c>
      <c r="J4718" t="s">
        <v>21</v>
      </c>
      <c r="K4718" s="6">
        <v>0.03</v>
      </c>
      <c r="L4718" s="7">
        <f t="shared" si="147"/>
        <v>2E-3</v>
      </c>
      <c r="M4718" s="7">
        <v>3.0000000000000001E-3</v>
      </c>
      <c r="N4718">
        <v>7</v>
      </c>
      <c r="O4718" s="8">
        <v>11.709693885402361</v>
      </c>
      <c r="P4718" s="9">
        <v>11.709693885402361</v>
      </c>
      <c r="Q4718" s="9">
        <v>11.709693885402361</v>
      </c>
      <c r="R4718" s="9">
        <v>12.006591397949746</v>
      </c>
      <c r="S4718" s="9">
        <v>12.863489046972891</v>
      </c>
      <c r="T4718" s="9">
        <v>13.222921898642833</v>
      </c>
      <c r="U4718" s="9">
        <v>15.268530836889617</v>
      </c>
      <c r="V4718" s="9">
        <v>15.268530836889617</v>
      </c>
      <c r="W4718" s="9">
        <v>15.268530836889617</v>
      </c>
      <c r="X4718" s="9">
        <v>17.155999719448005</v>
      </c>
      <c r="Y4718" s="9">
        <v>17.155999719448005</v>
      </c>
      <c r="Z4718" s="9">
        <v>19.198027373699794</v>
      </c>
      <c r="AA4718" s="9">
        <v>19.198027373699794</v>
      </c>
      <c r="AB4718" s="9">
        <v>22.870088818994869</v>
      </c>
      <c r="AC4718" s="9">
        <v>22.870088818994869</v>
      </c>
      <c r="AD4718" s="9">
        <v>24.903474960956302</v>
      </c>
      <c r="AE4718" s="9">
        <v>27.017195551929351</v>
      </c>
      <c r="AF4718" s="9">
        <v>29.2192840368152</v>
      </c>
      <c r="AG4718" s="9">
        <v>29.2192840368152</v>
      </c>
      <c r="AH4718" s="9">
        <v>31.518577205005123</v>
      </c>
      <c r="AI4718" s="9">
        <v>33.370312238496417</v>
      </c>
      <c r="AJ4718" s="9">
        <v>3.0428788910505911</v>
      </c>
    </row>
    <row r="4719" spans="1:36" x14ac:dyDescent="0.25">
      <c r="A4719" t="s">
        <v>5411</v>
      </c>
      <c r="B4719" t="s">
        <v>16</v>
      </c>
      <c r="C4719" t="s">
        <v>17</v>
      </c>
      <c r="D4719">
        <v>81330000</v>
      </c>
      <c r="E4719">
        <v>81449999</v>
      </c>
      <c r="F4719" t="s">
        <v>4293</v>
      </c>
      <c r="G4719" t="str">
        <f t="shared" si="146"/>
        <v>PRC</v>
      </c>
      <c r="H4719" t="s">
        <v>4294</v>
      </c>
      <c r="I4719" t="s">
        <v>20</v>
      </c>
      <c r="J4719" t="s">
        <v>21</v>
      </c>
      <c r="K4719" s="6">
        <v>0.03</v>
      </c>
      <c r="L4719" s="7">
        <f t="shared" si="147"/>
        <v>2E-3</v>
      </c>
      <c r="M4719" s="7">
        <v>3.0000000000000001E-3</v>
      </c>
      <c r="N4719">
        <v>7</v>
      </c>
      <c r="O4719" s="8">
        <v>11.709693885402361</v>
      </c>
      <c r="P4719" s="9">
        <v>11.709693885402361</v>
      </c>
      <c r="Q4719" s="9">
        <v>11.709693885402361</v>
      </c>
      <c r="R4719" s="9">
        <v>12.006591397949746</v>
      </c>
      <c r="S4719" s="9">
        <v>12.863489046972891</v>
      </c>
      <c r="T4719" s="9">
        <v>13.222921898642833</v>
      </c>
      <c r="U4719" s="9">
        <v>15.268530836889617</v>
      </c>
      <c r="V4719" s="9">
        <v>15.268530836889617</v>
      </c>
      <c r="W4719" s="9">
        <v>15.268530836889617</v>
      </c>
      <c r="X4719" s="9">
        <v>17.155999719448005</v>
      </c>
      <c r="Y4719" s="9">
        <v>17.155999719448005</v>
      </c>
      <c r="Z4719" s="9">
        <v>19.198027373699794</v>
      </c>
      <c r="AA4719" s="9">
        <v>19.198027373699794</v>
      </c>
      <c r="AB4719" s="9">
        <v>22.870088818994869</v>
      </c>
      <c r="AC4719" s="9">
        <v>22.870088818994869</v>
      </c>
      <c r="AD4719" s="9">
        <v>24.903474960956302</v>
      </c>
      <c r="AE4719" s="9">
        <v>27.017195551929351</v>
      </c>
      <c r="AF4719" s="9">
        <v>29.2192840368152</v>
      </c>
      <c r="AG4719" s="9">
        <v>29.2192840368152</v>
      </c>
      <c r="AH4719" s="9">
        <v>31.518577205005123</v>
      </c>
      <c r="AI4719" s="9">
        <v>33.370312238496417</v>
      </c>
      <c r="AJ4719" s="9">
        <v>3.0428788910505911</v>
      </c>
    </row>
    <row r="4720" spans="1:36" x14ac:dyDescent="0.25">
      <c r="A4720" t="s">
        <v>5411</v>
      </c>
      <c r="B4720" t="s">
        <v>16</v>
      </c>
      <c r="C4720" t="s">
        <v>17</v>
      </c>
      <c r="D4720">
        <v>81450000</v>
      </c>
      <c r="E4720">
        <v>81509999</v>
      </c>
      <c r="F4720" t="s">
        <v>4293</v>
      </c>
      <c r="G4720" t="str">
        <f t="shared" si="146"/>
        <v>PRC</v>
      </c>
      <c r="H4720" t="s">
        <v>4294</v>
      </c>
      <c r="I4720" t="s">
        <v>20</v>
      </c>
      <c r="J4720" t="s">
        <v>21</v>
      </c>
      <c r="K4720" s="6">
        <v>0.03</v>
      </c>
      <c r="L4720" s="7">
        <f t="shared" si="147"/>
        <v>2E-3</v>
      </c>
      <c r="M4720" s="7">
        <v>3.0000000000000001E-3</v>
      </c>
      <c r="N4720">
        <v>7</v>
      </c>
      <c r="O4720" s="8">
        <v>11.709693885402361</v>
      </c>
      <c r="P4720" s="9">
        <v>11.709693885402361</v>
      </c>
      <c r="Q4720" s="9">
        <v>11.709693885402361</v>
      </c>
      <c r="R4720" s="9">
        <v>12.006591397949746</v>
      </c>
      <c r="S4720" s="9">
        <v>12.863489046972891</v>
      </c>
      <c r="T4720" s="9">
        <v>13.222921898642833</v>
      </c>
      <c r="U4720" s="9">
        <v>15.268530836889617</v>
      </c>
      <c r="V4720" s="9">
        <v>15.268530836889617</v>
      </c>
      <c r="W4720" s="9">
        <v>15.268530836889617</v>
      </c>
      <c r="X4720" s="9">
        <v>17.155999719448005</v>
      </c>
      <c r="Y4720" s="9">
        <v>17.155999719448005</v>
      </c>
      <c r="Z4720" s="9">
        <v>19.198027373699794</v>
      </c>
      <c r="AA4720" s="9">
        <v>19.198027373699794</v>
      </c>
      <c r="AB4720" s="9">
        <v>22.870088818994869</v>
      </c>
      <c r="AC4720" s="9">
        <v>22.870088818994869</v>
      </c>
      <c r="AD4720" s="9">
        <v>24.903474960956302</v>
      </c>
      <c r="AE4720" s="9">
        <v>27.017195551929351</v>
      </c>
      <c r="AF4720" s="9">
        <v>29.2192840368152</v>
      </c>
      <c r="AG4720" s="9">
        <v>29.2192840368152</v>
      </c>
      <c r="AH4720" s="9">
        <v>31.518577205005123</v>
      </c>
      <c r="AI4720" s="9">
        <v>33.370312238496417</v>
      </c>
      <c r="AJ4720" s="9">
        <v>3.0428788910505911</v>
      </c>
    </row>
    <row r="4721" spans="1:36" x14ac:dyDescent="0.25">
      <c r="A4721" t="s">
        <v>5411</v>
      </c>
      <c r="B4721" t="s">
        <v>16</v>
      </c>
      <c r="C4721" t="s">
        <v>17</v>
      </c>
      <c r="D4721">
        <v>81510000</v>
      </c>
      <c r="E4721">
        <v>81609999</v>
      </c>
      <c r="F4721" t="s">
        <v>4293</v>
      </c>
      <c r="G4721" t="str">
        <f t="shared" si="146"/>
        <v>PRC</v>
      </c>
      <c r="H4721" t="s">
        <v>4294</v>
      </c>
      <c r="I4721" t="s">
        <v>20</v>
      </c>
      <c r="J4721" t="s">
        <v>21</v>
      </c>
      <c r="K4721" s="6">
        <v>0.03</v>
      </c>
      <c r="L4721" s="7">
        <f t="shared" si="147"/>
        <v>2E-3</v>
      </c>
      <c r="M4721" s="7">
        <v>3.0000000000000001E-3</v>
      </c>
      <c r="N4721">
        <v>7</v>
      </c>
      <c r="O4721" s="8">
        <v>11.709693885402361</v>
      </c>
      <c r="P4721" s="9">
        <v>11.709693885402361</v>
      </c>
      <c r="Q4721" s="9">
        <v>11.709693885402361</v>
      </c>
      <c r="R4721" s="9">
        <v>12.006591397949746</v>
      </c>
      <c r="S4721" s="9">
        <v>12.863489046972891</v>
      </c>
      <c r="T4721" s="9">
        <v>13.222921898642833</v>
      </c>
      <c r="U4721" s="9">
        <v>15.268530836889617</v>
      </c>
      <c r="V4721" s="9">
        <v>15.268530836889617</v>
      </c>
      <c r="W4721" s="9">
        <v>15.268530836889617</v>
      </c>
      <c r="X4721" s="9">
        <v>17.155999719448005</v>
      </c>
      <c r="Y4721" s="9">
        <v>17.155999719448005</v>
      </c>
      <c r="Z4721" s="9">
        <v>19.198027373699794</v>
      </c>
      <c r="AA4721" s="9">
        <v>19.198027373699794</v>
      </c>
      <c r="AB4721" s="9">
        <v>22.870088818994869</v>
      </c>
      <c r="AC4721" s="9">
        <v>22.870088818994869</v>
      </c>
      <c r="AD4721" s="9">
        <v>24.903474960956302</v>
      </c>
      <c r="AE4721" s="9">
        <v>27.017195551929351</v>
      </c>
      <c r="AF4721" s="9">
        <v>29.2192840368152</v>
      </c>
      <c r="AG4721" s="9">
        <v>29.2192840368152</v>
      </c>
      <c r="AH4721" s="9">
        <v>31.518577205005123</v>
      </c>
      <c r="AI4721" s="9">
        <v>33.370312238496417</v>
      </c>
      <c r="AJ4721" s="9">
        <v>3.0428788910505911</v>
      </c>
    </row>
    <row r="4722" spans="1:36" x14ac:dyDescent="0.25">
      <c r="A4722" t="s">
        <v>5411</v>
      </c>
      <c r="B4722" t="s">
        <v>16</v>
      </c>
      <c r="C4722" t="s">
        <v>17</v>
      </c>
      <c r="D4722">
        <v>81610000</v>
      </c>
      <c r="E4722">
        <v>81709999</v>
      </c>
      <c r="F4722" t="s">
        <v>4293</v>
      </c>
      <c r="G4722" t="str">
        <f t="shared" si="146"/>
        <v>PRC</v>
      </c>
      <c r="H4722" t="s">
        <v>4294</v>
      </c>
      <c r="I4722" t="s">
        <v>20</v>
      </c>
      <c r="J4722" t="s">
        <v>21</v>
      </c>
      <c r="K4722" s="6">
        <v>0.03</v>
      </c>
      <c r="L4722" s="7">
        <f t="shared" si="147"/>
        <v>2E-3</v>
      </c>
      <c r="M4722" s="7">
        <v>3.0000000000000001E-3</v>
      </c>
      <c r="N4722">
        <v>7</v>
      </c>
      <c r="O4722" s="8">
        <v>11.709693885402361</v>
      </c>
      <c r="P4722" s="9">
        <v>11.709693885402361</v>
      </c>
      <c r="Q4722" s="9">
        <v>11.709693885402361</v>
      </c>
      <c r="R4722" s="9">
        <v>12.006591397949746</v>
      </c>
      <c r="S4722" s="9">
        <v>12.863489046972891</v>
      </c>
      <c r="T4722" s="9">
        <v>13.222921898642833</v>
      </c>
      <c r="U4722" s="9">
        <v>15.268530836889617</v>
      </c>
      <c r="V4722" s="9">
        <v>15.268530836889617</v>
      </c>
      <c r="W4722" s="9">
        <v>15.268530836889617</v>
      </c>
      <c r="X4722" s="9">
        <v>17.155999719448005</v>
      </c>
      <c r="Y4722" s="9">
        <v>17.155999719448005</v>
      </c>
      <c r="Z4722" s="9">
        <v>19.198027373699794</v>
      </c>
      <c r="AA4722" s="9">
        <v>19.198027373699794</v>
      </c>
      <c r="AB4722" s="9">
        <v>22.870088818994869</v>
      </c>
      <c r="AC4722" s="9">
        <v>22.870088818994869</v>
      </c>
      <c r="AD4722" s="9">
        <v>24.903474960956302</v>
      </c>
      <c r="AE4722" s="9">
        <v>27.017195551929351</v>
      </c>
      <c r="AF4722" s="9">
        <v>29.2192840368152</v>
      </c>
      <c r="AG4722" s="9">
        <v>29.2192840368152</v>
      </c>
      <c r="AH4722" s="9">
        <v>31.518577205005123</v>
      </c>
      <c r="AI4722" s="9">
        <v>33.370312238496417</v>
      </c>
      <c r="AJ4722" s="9">
        <v>3.0428788910505911</v>
      </c>
    </row>
    <row r="4723" spans="1:36" x14ac:dyDescent="0.25">
      <c r="A4723" t="s">
        <v>5411</v>
      </c>
      <c r="B4723" t="s">
        <v>16</v>
      </c>
      <c r="C4723" t="s">
        <v>17</v>
      </c>
      <c r="D4723">
        <v>81710000</v>
      </c>
      <c r="E4723">
        <v>81819999</v>
      </c>
      <c r="F4723" t="s">
        <v>4293</v>
      </c>
      <c r="G4723" t="str">
        <f t="shared" si="146"/>
        <v>PRC</v>
      </c>
      <c r="H4723" t="s">
        <v>4294</v>
      </c>
      <c r="I4723" t="s">
        <v>20</v>
      </c>
      <c r="J4723" t="s">
        <v>21</v>
      </c>
      <c r="K4723" s="6">
        <v>0.03</v>
      </c>
      <c r="L4723" s="7">
        <f t="shared" si="147"/>
        <v>2E-3</v>
      </c>
      <c r="M4723" s="7">
        <v>3.0000000000000001E-3</v>
      </c>
      <c r="N4723">
        <v>7</v>
      </c>
      <c r="O4723" s="8">
        <v>11.709693885402361</v>
      </c>
      <c r="P4723" s="9">
        <v>11.709693885402361</v>
      </c>
      <c r="Q4723" s="9">
        <v>11.709693885402361</v>
      </c>
      <c r="R4723" s="9">
        <v>12.006591397949746</v>
      </c>
      <c r="S4723" s="9">
        <v>12.863489046972891</v>
      </c>
      <c r="T4723" s="9">
        <v>13.222921898642833</v>
      </c>
      <c r="U4723" s="9">
        <v>15.268530836889617</v>
      </c>
      <c r="V4723" s="9">
        <v>15.268530836889617</v>
      </c>
      <c r="W4723" s="9">
        <v>15.268530836889617</v>
      </c>
      <c r="X4723" s="9">
        <v>17.155999719448005</v>
      </c>
      <c r="Y4723" s="9">
        <v>17.155999719448005</v>
      </c>
      <c r="Z4723" s="9">
        <v>19.198027373699794</v>
      </c>
      <c r="AA4723" s="9">
        <v>19.198027373699794</v>
      </c>
      <c r="AB4723" s="9">
        <v>22.870088818994869</v>
      </c>
      <c r="AC4723" s="9">
        <v>22.870088818994869</v>
      </c>
      <c r="AD4723" s="9">
        <v>24.903474960956302</v>
      </c>
      <c r="AE4723" s="9">
        <v>27.017195551929351</v>
      </c>
      <c r="AF4723" s="9">
        <v>29.2192840368152</v>
      </c>
      <c r="AG4723" s="9">
        <v>29.2192840368152</v>
      </c>
      <c r="AH4723" s="9">
        <v>31.518577205005123</v>
      </c>
      <c r="AI4723" s="9">
        <v>33.370312238496417</v>
      </c>
      <c r="AJ4723" s="9">
        <v>3.0428788910505911</v>
      </c>
    </row>
    <row r="4724" spans="1:36" x14ac:dyDescent="0.25">
      <c r="A4724" t="s">
        <v>5411</v>
      </c>
      <c r="B4724" t="s">
        <v>16</v>
      </c>
      <c r="C4724" t="s">
        <v>17</v>
      </c>
      <c r="D4724">
        <v>81820000</v>
      </c>
      <c r="E4724">
        <v>81909999</v>
      </c>
      <c r="F4724" t="s">
        <v>4293</v>
      </c>
      <c r="G4724" t="str">
        <f t="shared" si="146"/>
        <v>PRC</v>
      </c>
      <c r="H4724" t="s">
        <v>4294</v>
      </c>
      <c r="I4724" t="s">
        <v>20</v>
      </c>
      <c r="J4724" t="s">
        <v>21</v>
      </c>
      <c r="K4724" s="6">
        <v>0.03</v>
      </c>
      <c r="L4724" s="7">
        <f t="shared" si="147"/>
        <v>2E-3</v>
      </c>
      <c r="M4724" s="7">
        <v>3.0000000000000001E-3</v>
      </c>
      <c r="N4724">
        <v>7</v>
      </c>
      <c r="O4724" s="8">
        <v>11.709693885402361</v>
      </c>
      <c r="P4724" s="9">
        <v>11.709693885402361</v>
      </c>
      <c r="Q4724" s="9">
        <v>11.709693885402361</v>
      </c>
      <c r="R4724" s="9">
        <v>12.006591397949746</v>
      </c>
      <c r="S4724" s="9">
        <v>12.863489046972891</v>
      </c>
      <c r="T4724" s="9">
        <v>13.222921898642833</v>
      </c>
      <c r="U4724" s="9">
        <v>15.268530836889617</v>
      </c>
      <c r="V4724" s="9">
        <v>15.268530836889617</v>
      </c>
      <c r="W4724" s="9">
        <v>15.268530836889617</v>
      </c>
      <c r="X4724" s="9">
        <v>17.155999719448005</v>
      </c>
      <c r="Y4724" s="9">
        <v>17.155999719448005</v>
      </c>
      <c r="Z4724" s="9">
        <v>19.198027373699794</v>
      </c>
      <c r="AA4724" s="9">
        <v>19.198027373699794</v>
      </c>
      <c r="AB4724" s="9">
        <v>22.870088818994869</v>
      </c>
      <c r="AC4724" s="9">
        <v>22.870088818994869</v>
      </c>
      <c r="AD4724" s="9">
        <v>24.903474960956302</v>
      </c>
      <c r="AE4724" s="9">
        <v>27.017195551929351</v>
      </c>
      <c r="AF4724" s="9">
        <v>29.2192840368152</v>
      </c>
      <c r="AG4724" s="9">
        <v>29.2192840368152</v>
      </c>
      <c r="AH4724" s="9">
        <v>31.518577205005123</v>
      </c>
      <c r="AI4724" s="9">
        <v>33.370312238496417</v>
      </c>
      <c r="AJ4724" s="9">
        <v>3.0428788910505911</v>
      </c>
    </row>
    <row r="4725" spans="1:36" x14ac:dyDescent="0.25">
      <c r="A4725" t="s">
        <v>5411</v>
      </c>
      <c r="B4725" t="s">
        <v>16</v>
      </c>
      <c r="C4725" t="s">
        <v>17</v>
      </c>
      <c r="D4725">
        <v>81910000</v>
      </c>
      <c r="E4725">
        <v>81999999</v>
      </c>
      <c r="F4725" t="s">
        <v>4293</v>
      </c>
      <c r="G4725" t="str">
        <f t="shared" si="146"/>
        <v>PRC</v>
      </c>
      <c r="H4725" t="s">
        <v>4294</v>
      </c>
      <c r="I4725" t="s">
        <v>20</v>
      </c>
      <c r="J4725" t="s">
        <v>21</v>
      </c>
      <c r="K4725" s="6">
        <v>0.03</v>
      </c>
      <c r="L4725" s="7">
        <f t="shared" si="147"/>
        <v>2E-3</v>
      </c>
      <c r="M4725" s="7">
        <v>3.0000000000000001E-3</v>
      </c>
      <c r="N4725">
        <v>7</v>
      </c>
      <c r="O4725" s="8">
        <v>11.709693885402361</v>
      </c>
      <c r="P4725" s="9">
        <v>11.709693885402361</v>
      </c>
      <c r="Q4725" s="9">
        <v>11.709693885402361</v>
      </c>
      <c r="R4725" s="9">
        <v>12.006591397949746</v>
      </c>
      <c r="S4725" s="9">
        <v>12.863489046972891</v>
      </c>
      <c r="T4725" s="9">
        <v>13.222921898642833</v>
      </c>
      <c r="U4725" s="9">
        <v>15.268530836889617</v>
      </c>
      <c r="V4725" s="9">
        <v>15.268530836889617</v>
      </c>
      <c r="W4725" s="9">
        <v>15.268530836889617</v>
      </c>
      <c r="X4725" s="9">
        <v>17.155999719448005</v>
      </c>
      <c r="Y4725" s="9">
        <v>17.155999719448005</v>
      </c>
      <c r="Z4725" s="9">
        <v>19.198027373699794</v>
      </c>
      <c r="AA4725" s="9">
        <v>19.198027373699794</v>
      </c>
      <c r="AB4725" s="9">
        <v>22.870088818994869</v>
      </c>
      <c r="AC4725" s="9">
        <v>22.870088818994869</v>
      </c>
      <c r="AD4725" s="9">
        <v>24.903474960956302</v>
      </c>
      <c r="AE4725" s="9">
        <v>27.017195551929351</v>
      </c>
      <c r="AF4725" s="9">
        <v>29.2192840368152</v>
      </c>
      <c r="AG4725" s="9">
        <v>29.2192840368152</v>
      </c>
      <c r="AH4725" s="9">
        <v>31.518577205005123</v>
      </c>
      <c r="AI4725" s="9">
        <v>33.370312238496417</v>
      </c>
      <c r="AJ4725" s="9">
        <v>3.0428788910505911</v>
      </c>
    </row>
    <row r="4726" spans="1:36" x14ac:dyDescent="0.25">
      <c r="A4726" t="s">
        <v>5411</v>
      </c>
      <c r="B4726" t="s">
        <v>16</v>
      </c>
      <c r="C4726" t="s">
        <v>17</v>
      </c>
      <c r="D4726">
        <v>82000000</v>
      </c>
      <c r="E4726">
        <v>82114999</v>
      </c>
      <c r="F4726" t="s">
        <v>4293</v>
      </c>
      <c r="G4726" t="str">
        <f t="shared" si="146"/>
        <v>PRC</v>
      </c>
      <c r="H4726" t="s">
        <v>4294</v>
      </c>
      <c r="I4726" t="s">
        <v>20</v>
      </c>
      <c r="J4726" t="s">
        <v>21</v>
      </c>
      <c r="K4726" s="6">
        <v>0.03</v>
      </c>
      <c r="L4726" s="7">
        <f t="shared" si="147"/>
        <v>2E-3</v>
      </c>
      <c r="M4726" s="7">
        <v>3.0000000000000001E-3</v>
      </c>
      <c r="N4726">
        <v>7</v>
      </c>
      <c r="O4726" s="8">
        <v>11.709693885402361</v>
      </c>
      <c r="P4726" s="9">
        <v>11.709693885402361</v>
      </c>
      <c r="Q4726" s="9">
        <v>11.709693885402361</v>
      </c>
      <c r="R4726" s="9">
        <v>12.006591397949746</v>
      </c>
      <c r="S4726" s="9">
        <v>12.863489046972891</v>
      </c>
      <c r="T4726" s="9">
        <v>13.222921898642833</v>
      </c>
      <c r="U4726" s="9">
        <v>15.268530836889617</v>
      </c>
      <c r="V4726" s="9">
        <v>15.268530836889617</v>
      </c>
      <c r="W4726" s="9">
        <v>15.268530836889617</v>
      </c>
      <c r="X4726" s="9">
        <v>17.155999719448005</v>
      </c>
      <c r="Y4726" s="9">
        <v>17.155999719448005</v>
      </c>
      <c r="Z4726" s="9">
        <v>19.198027373699794</v>
      </c>
      <c r="AA4726" s="9">
        <v>19.198027373699794</v>
      </c>
      <c r="AB4726" s="9">
        <v>22.870088818994869</v>
      </c>
      <c r="AC4726" s="9">
        <v>22.870088818994869</v>
      </c>
      <c r="AD4726" s="9">
        <v>24.903474960956302</v>
      </c>
      <c r="AE4726" s="9">
        <v>27.017195551929351</v>
      </c>
      <c r="AF4726" s="9">
        <v>29.2192840368152</v>
      </c>
      <c r="AG4726" s="9">
        <v>29.2192840368152</v>
      </c>
      <c r="AH4726" s="9">
        <v>31.518577205005123</v>
      </c>
      <c r="AI4726" s="9">
        <v>33.370312238496417</v>
      </c>
      <c r="AJ4726" s="9">
        <v>3.0428788910505911</v>
      </c>
    </row>
    <row r="4727" spans="1:36" x14ac:dyDescent="0.25">
      <c r="A4727" t="s">
        <v>5411</v>
      </c>
      <c r="B4727" t="s">
        <v>16</v>
      </c>
      <c r="C4727" t="s">
        <v>17</v>
      </c>
      <c r="D4727">
        <v>82115000</v>
      </c>
      <c r="E4727">
        <v>82199999</v>
      </c>
      <c r="F4727" t="s">
        <v>4293</v>
      </c>
      <c r="G4727" t="str">
        <f t="shared" si="146"/>
        <v>PRC</v>
      </c>
      <c r="H4727" t="s">
        <v>4294</v>
      </c>
      <c r="I4727" t="s">
        <v>20</v>
      </c>
      <c r="J4727" t="s">
        <v>21</v>
      </c>
      <c r="K4727" s="6">
        <v>0.03</v>
      </c>
      <c r="L4727" s="7">
        <f t="shared" si="147"/>
        <v>2E-3</v>
      </c>
      <c r="M4727" s="7">
        <v>3.0000000000000001E-3</v>
      </c>
      <c r="N4727">
        <v>7</v>
      </c>
      <c r="O4727" s="8">
        <v>11.709693885402361</v>
      </c>
      <c r="P4727" s="9">
        <v>11.709693885402361</v>
      </c>
      <c r="Q4727" s="9">
        <v>11.709693885402361</v>
      </c>
      <c r="R4727" s="9">
        <v>12.006591397949746</v>
      </c>
      <c r="S4727" s="9">
        <v>12.863489046972891</v>
      </c>
      <c r="T4727" s="9">
        <v>13.222921898642833</v>
      </c>
      <c r="U4727" s="9">
        <v>15.268530836889617</v>
      </c>
      <c r="V4727" s="9">
        <v>15.268530836889617</v>
      </c>
      <c r="W4727" s="9">
        <v>15.268530836889617</v>
      </c>
      <c r="X4727" s="9">
        <v>17.155999719448005</v>
      </c>
      <c r="Y4727" s="9">
        <v>17.155999719448005</v>
      </c>
      <c r="Z4727" s="9">
        <v>19.198027373699794</v>
      </c>
      <c r="AA4727" s="9">
        <v>19.198027373699794</v>
      </c>
      <c r="AB4727" s="9">
        <v>22.870088818994869</v>
      </c>
      <c r="AC4727" s="9">
        <v>22.870088818994869</v>
      </c>
      <c r="AD4727" s="9">
        <v>24.903474960956302</v>
      </c>
      <c r="AE4727" s="9">
        <v>27.017195551929351</v>
      </c>
      <c r="AF4727" s="9">
        <v>29.2192840368152</v>
      </c>
      <c r="AG4727" s="9">
        <v>29.2192840368152</v>
      </c>
      <c r="AH4727" s="9">
        <v>31.518577205005123</v>
      </c>
      <c r="AI4727" s="9">
        <v>33.370312238496417</v>
      </c>
      <c r="AJ4727" s="9">
        <v>3.0428788910505911</v>
      </c>
    </row>
    <row r="4728" spans="1:36" x14ac:dyDescent="0.25">
      <c r="A4728" t="s">
        <v>5411</v>
      </c>
      <c r="B4728" t="s">
        <v>16</v>
      </c>
      <c r="C4728" t="s">
        <v>17</v>
      </c>
      <c r="D4728">
        <v>82200000</v>
      </c>
      <c r="E4728">
        <v>82299999</v>
      </c>
      <c r="F4728" t="s">
        <v>4293</v>
      </c>
      <c r="G4728" t="str">
        <f t="shared" si="146"/>
        <v>PRC</v>
      </c>
      <c r="H4728" t="s">
        <v>4294</v>
      </c>
      <c r="I4728" t="s">
        <v>20</v>
      </c>
      <c r="J4728" t="s">
        <v>21</v>
      </c>
      <c r="K4728" s="6">
        <v>0.03</v>
      </c>
      <c r="L4728" s="7">
        <f t="shared" si="147"/>
        <v>2E-3</v>
      </c>
      <c r="M4728" s="7">
        <v>3.0000000000000001E-3</v>
      </c>
      <c r="N4728">
        <v>7</v>
      </c>
      <c r="O4728" s="8">
        <v>11.709693885402361</v>
      </c>
      <c r="P4728" s="9">
        <v>11.709693885402361</v>
      </c>
      <c r="Q4728" s="9">
        <v>11.709693885402361</v>
      </c>
      <c r="R4728" s="9">
        <v>12.006591397949746</v>
      </c>
      <c r="S4728" s="9">
        <v>12.863489046972891</v>
      </c>
      <c r="T4728" s="9">
        <v>13.222921898642833</v>
      </c>
      <c r="U4728" s="9">
        <v>15.268530836889617</v>
      </c>
      <c r="V4728" s="9">
        <v>15.268530836889617</v>
      </c>
      <c r="W4728" s="9">
        <v>15.268530836889617</v>
      </c>
      <c r="X4728" s="9">
        <v>17.155999719448005</v>
      </c>
      <c r="Y4728" s="9">
        <v>17.155999719448005</v>
      </c>
      <c r="Z4728" s="9">
        <v>19.198027373699794</v>
      </c>
      <c r="AA4728" s="9">
        <v>19.198027373699794</v>
      </c>
      <c r="AB4728" s="9">
        <v>22.870088818994869</v>
      </c>
      <c r="AC4728" s="9">
        <v>22.870088818994869</v>
      </c>
      <c r="AD4728" s="9">
        <v>24.903474960956302</v>
      </c>
      <c r="AE4728" s="9">
        <v>27.017195551929351</v>
      </c>
      <c r="AF4728" s="9">
        <v>29.2192840368152</v>
      </c>
      <c r="AG4728" s="9">
        <v>29.2192840368152</v>
      </c>
      <c r="AH4728" s="9">
        <v>31.518577205005123</v>
      </c>
      <c r="AI4728" s="9">
        <v>33.370312238496417</v>
      </c>
      <c r="AJ4728" s="9">
        <v>3.0428788910505911</v>
      </c>
    </row>
    <row r="4729" spans="1:36" x14ac:dyDescent="0.25">
      <c r="A4729" t="s">
        <v>5411</v>
      </c>
      <c r="B4729" t="s">
        <v>16</v>
      </c>
      <c r="C4729" t="s">
        <v>17</v>
      </c>
      <c r="D4729">
        <v>82300000</v>
      </c>
      <c r="E4729">
        <v>82399999</v>
      </c>
      <c r="F4729" t="s">
        <v>4293</v>
      </c>
      <c r="G4729" t="str">
        <f t="shared" si="146"/>
        <v>PRC</v>
      </c>
      <c r="H4729" t="s">
        <v>4294</v>
      </c>
      <c r="I4729" t="s">
        <v>20</v>
      </c>
      <c r="J4729" t="s">
        <v>21</v>
      </c>
      <c r="K4729" s="6">
        <v>0.03</v>
      </c>
      <c r="L4729" s="7">
        <f t="shared" si="147"/>
        <v>2E-3</v>
      </c>
      <c r="M4729" s="7">
        <v>3.0000000000000001E-3</v>
      </c>
      <c r="N4729">
        <v>7</v>
      </c>
      <c r="O4729" s="8">
        <v>11.709693885402361</v>
      </c>
      <c r="P4729" s="9">
        <v>11.709693885402361</v>
      </c>
      <c r="Q4729" s="9">
        <v>11.709693885402361</v>
      </c>
      <c r="R4729" s="9">
        <v>12.006591397949746</v>
      </c>
      <c r="S4729" s="9">
        <v>12.863489046972891</v>
      </c>
      <c r="T4729" s="9">
        <v>13.222921898642833</v>
      </c>
      <c r="U4729" s="9">
        <v>15.268530836889617</v>
      </c>
      <c r="V4729" s="9">
        <v>15.268530836889617</v>
      </c>
      <c r="W4729" s="9">
        <v>15.268530836889617</v>
      </c>
      <c r="X4729" s="9">
        <v>17.155999719448005</v>
      </c>
      <c r="Y4729" s="9">
        <v>17.155999719448005</v>
      </c>
      <c r="Z4729" s="9">
        <v>19.198027373699794</v>
      </c>
      <c r="AA4729" s="9">
        <v>19.198027373699794</v>
      </c>
      <c r="AB4729" s="9">
        <v>22.870088818994869</v>
      </c>
      <c r="AC4729" s="9">
        <v>22.870088818994869</v>
      </c>
      <c r="AD4729" s="9">
        <v>24.903474960956302</v>
      </c>
      <c r="AE4729" s="9">
        <v>27.017195551929351</v>
      </c>
      <c r="AF4729" s="9">
        <v>29.2192840368152</v>
      </c>
      <c r="AG4729" s="9">
        <v>29.2192840368152</v>
      </c>
      <c r="AH4729" s="9">
        <v>31.518577205005123</v>
      </c>
      <c r="AI4729" s="9">
        <v>33.370312238496417</v>
      </c>
      <c r="AJ4729" s="9">
        <v>3.0428788910505911</v>
      </c>
    </row>
    <row r="4730" spans="1:36" x14ac:dyDescent="0.25">
      <c r="A4730" t="s">
        <v>5411</v>
      </c>
      <c r="B4730" t="s">
        <v>16</v>
      </c>
      <c r="C4730" t="s">
        <v>17</v>
      </c>
      <c r="D4730">
        <v>82400000</v>
      </c>
      <c r="E4730">
        <v>82509999</v>
      </c>
      <c r="F4730" t="s">
        <v>4293</v>
      </c>
      <c r="G4730" t="str">
        <f t="shared" si="146"/>
        <v>PRC</v>
      </c>
      <c r="H4730" t="s">
        <v>4294</v>
      </c>
      <c r="I4730" t="s">
        <v>20</v>
      </c>
      <c r="J4730" t="s">
        <v>21</v>
      </c>
      <c r="K4730" s="6">
        <v>0.03</v>
      </c>
      <c r="L4730" s="7">
        <f t="shared" si="147"/>
        <v>2E-3</v>
      </c>
      <c r="M4730" s="7">
        <v>3.0000000000000001E-3</v>
      </c>
      <c r="N4730">
        <v>7</v>
      </c>
      <c r="O4730" s="8">
        <v>11.709693885402361</v>
      </c>
      <c r="P4730" s="9">
        <v>11.709693885402361</v>
      </c>
      <c r="Q4730" s="9">
        <v>11.709693885402361</v>
      </c>
      <c r="R4730" s="9">
        <v>12.006591397949746</v>
      </c>
      <c r="S4730" s="9">
        <v>12.863489046972891</v>
      </c>
      <c r="T4730" s="9">
        <v>13.222921898642833</v>
      </c>
      <c r="U4730" s="9">
        <v>15.268530836889617</v>
      </c>
      <c r="V4730" s="9">
        <v>15.268530836889617</v>
      </c>
      <c r="W4730" s="9">
        <v>15.268530836889617</v>
      </c>
      <c r="X4730" s="9">
        <v>17.155999719448005</v>
      </c>
      <c r="Y4730" s="9">
        <v>17.155999719448005</v>
      </c>
      <c r="Z4730" s="9">
        <v>19.198027373699794</v>
      </c>
      <c r="AA4730" s="9">
        <v>19.198027373699794</v>
      </c>
      <c r="AB4730" s="9">
        <v>22.870088818994869</v>
      </c>
      <c r="AC4730" s="9">
        <v>22.870088818994869</v>
      </c>
      <c r="AD4730" s="9">
        <v>24.903474960956302</v>
      </c>
      <c r="AE4730" s="9">
        <v>27.017195551929351</v>
      </c>
      <c r="AF4730" s="9">
        <v>29.2192840368152</v>
      </c>
      <c r="AG4730" s="9">
        <v>29.2192840368152</v>
      </c>
      <c r="AH4730" s="9">
        <v>31.518577205005123</v>
      </c>
      <c r="AI4730" s="9">
        <v>33.370312238496417</v>
      </c>
      <c r="AJ4730" s="9">
        <v>3.0428788910505911</v>
      </c>
    </row>
    <row r="4731" spans="1:36" x14ac:dyDescent="0.25">
      <c r="A4731" t="s">
        <v>5411</v>
      </c>
      <c r="B4731" t="s">
        <v>16</v>
      </c>
      <c r="C4731" t="s">
        <v>17</v>
      </c>
      <c r="D4731">
        <v>82510000</v>
      </c>
      <c r="E4731">
        <v>82629999</v>
      </c>
      <c r="F4731" t="s">
        <v>4293</v>
      </c>
      <c r="G4731" t="str">
        <f t="shared" si="146"/>
        <v>PRC</v>
      </c>
      <c r="H4731" t="s">
        <v>4294</v>
      </c>
      <c r="I4731" t="s">
        <v>20</v>
      </c>
      <c r="J4731" t="s">
        <v>21</v>
      </c>
      <c r="K4731" s="6">
        <v>0.03</v>
      </c>
      <c r="L4731" s="7">
        <f t="shared" si="147"/>
        <v>2E-3</v>
      </c>
      <c r="M4731" s="7">
        <v>3.0000000000000001E-3</v>
      </c>
      <c r="N4731">
        <v>7</v>
      </c>
      <c r="O4731" s="8">
        <v>11.709693885402361</v>
      </c>
      <c r="P4731" s="9">
        <v>11.709693885402361</v>
      </c>
      <c r="Q4731" s="9">
        <v>11.709693885402361</v>
      </c>
      <c r="R4731" s="9">
        <v>12.006591397949746</v>
      </c>
      <c r="S4731" s="9">
        <v>12.863489046972891</v>
      </c>
      <c r="T4731" s="9">
        <v>13.222921898642833</v>
      </c>
      <c r="U4731" s="9">
        <v>15.268530836889617</v>
      </c>
      <c r="V4731" s="9">
        <v>15.268530836889617</v>
      </c>
      <c r="W4731" s="9">
        <v>15.268530836889617</v>
      </c>
      <c r="X4731" s="9">
        <v>17.155999719448005</v>
      </c>
      <c r="Y4731" s="9">
        <v>17.155999719448005</v>
      </c>
      <c r="Z4731" s="9">
        <v>19.198027373699794</v>
      </c>
      <c r="AA4731" s="9">
        <v>19.198027373699794</v>
      </c>
      <c r="AB4731" s="9">
        <v>22.870088818994869</v>
      </c>
      <c r="AC4731" s="9">
        <v>22.870088818994869</v>
      </c>
      <c r="AD4731" s="9">
        <v>24.903474960956302</v>
      </c>
      <c r="AE4731" s="9">
        <v>27.017195551929351</v>
      </c>
      <c r="AF4731" s="9">
        <v>29.2192840368152</v>
      </c>
      <c r="AG4731" s="9">
        <v>29.2192840368152</v>
      </c>
      <c r="AH4731" s="9">
        <v>31.518577205005123</v>
      </c>
      <c r="AI4731" s="9">
        <v>33.370312238496417</v>
      </c>
      <c r="AJ4731" s="9">
        <v>3.0428788910505911</v>
      </c>
    </row>
    <row r="4732" spans="1:36" x14ac:dyDescent="0.25">
      <c r="A4732" t="s">
        <v>5411</v>
      </c>
      <c r="B4732" t="s">
        <v>16</v>
      </c>
      <c r="C4732" t="s">
        <v>17</v>
      </c>
      <c r="D4732">
        <v>82630000</v>
      </c>
      <c r="E4732">
        <v>82719999</v>
      </c>
      <c r="F4732" t="s">
        <v>4293</v>
      </c>
      <c r="G4732" t="str">
        <f t="shared" si="146"/>
        <v>PRC</v>
      </c>
      <c r="H4732" t="s">
        <v>4294</v>
      </c>
      <c r="I4732" t="s">
        <v>20</v>
      </c>
      <c r="J4732" t="s">
        <v>21</v>
      </c>
      <c r="K4732" s="6">
        <v>0.03</v>
      </c>
      <c r="L4732" s="7">
        <f t="shared" si="147"/>
        <v>2E-3</v>
      </c>
      <c r="M4732" s="7">
        <v>3.0000000000000001E-3</v>
      </c>
      <c r="N4732">
        <v>7</v>
      </c>
      <c r="O4732" s="8">
        <v>11.709693885402361</v>
      </c>
      <c r="P4732" s="9">
        <v>11.709693885402361</v>
      </c>
      <c r="Q4732" s="9">
        <v>11.709693885402361</v>
      </c>
      <c r="R4732" s="9">
        <v>12.006591397949746</v>
      </c>
      <c r="S4732" s="9">
        <v>12.863489046972891</v>
      </c>
      <c r="T4732" s="9">
        <v>13.222921898642833</v>
      </c>
      <c r="U4732" s="9">
        <v>15.268530836889617</v>
      </c>
      <c r="V4732" s="9">
        <v>15.268530836889617</v>
      </c>
      <c r="W4732" s="9">
        <v>15.268530836889617</v>
      </c>
      <c r="X4732" s="9">
        <v>17.155999719448005</v>
      </c>
      <c r="Y4732" s="9">
        <v>17.155999719448005</v>
      </c>
      <c r="Z4732" s="9">
        <v>19.198027373699794</v>
      </c>
      <c r="AA4732" s="9">
        <v>19.198027373699794</v>
      </c>
      <c r="AB4732" s="9">
        <v>22.870088818994869</v>
      </c>
      <c r="AC4732" s="9">
        <v>22.870088818994869</v>
      </c>
      <c r="AD4732" s="9">
        <v>24.903474960956302</v>
      </c>
      <c r="AE4732" s="9">
        <v>27.017195551929351</v>
      </c>
      <c r="AF4732" s="9">
        <v>29.2192840368152</v>
      </c>
      <c r="AG4732" s="9">
        <v>29.2192840368152</v>
      </c>
      <c r="AH4732" s="9">
        <v>31.518577205005123</v>
      </c>
      <c r="AI4732" s="9">
        <v>33.370312238496417</v>
      </c>
      <c r="AJ4732" s="9">
        <v>3.0428788910505911</v>
      </c>
    </row>
    <row r="4733" spans="1:36" x14ac:dyDescent="0.25">
      <c r="A4733" t="s">
        <v>5411</v>
      </c>
      <c r="B4733" t="s">
        <v>16</v>
      </c>
      <c r="C4733" t="s">
        <v>17</v>
      </c>
      <c r="D4733">
        <v>82720000</v>
      </c>
      <c r="E4733">
        <v>82809999</v>
      </c>
      <c r="F4733" t="s">
        <v>4293</v>
      </c>
      <c r="G4733" t="str">
        <f t="shared" si="146"/>
        <v>PRC</v>
      </c>
      <c r="H4733" t="s">
        <v>4294</v>
      </c>
      <c r="I4733" t="s">
        <v>20</v>
      </c>
      <c r="J4733" t="s">
        <v>21</v>
      </c>
      <c r="K4733" s="6">
        <v>0.03</v>
      </c>
      <c r="L4733" s="7">
        <f t="shared" si="147"/>
        <v>2E-3</v>
      </c>
      <c r="M4733" s="7">
        <v>3.0000000000000001E-3</v>
      </c>
      <c r="N4733">
        <v>7</v>
      </c>
      <c r="O4733" s="8">
        <v>11.709693885402361</v>
      </c>
      <c r="P4733" s="9">
        <v>11.709693885402361</v>
      </c>
      <c r="Q4733" s="9">
        <v>11.709693885402361</v>
      </c>
      <c r="R4733" s="9">
        <v>12.006591397949746</v>
      </c>
      <c r="S4733" s="9">
        <v>12.863489046972891</v>
      </c>
      <c r="T4733" s="9">
        <v>13.222921898642833</v>
      </c>
      <c r="U4733" s="9">
        <v>15.268530836889617</v>
      </c>
      <c r="V4733" s="9">
        <v>15.268530836889617</v>
      </c>
      <c r="W4733" s="9">
        <v>15.268530836889617</v>
      </c>
      <c r="X4733" s="9">
        <v>17.155999719448005</v>
      </c>
      <c r="Y4733" s="9">
        <v>17.155999719448005</v>
      </c>
      <c r="Z4733" s="9">
        <v>19.198027373699794</v>
      </c>
      <c r="AA4733" s="9">
        <v>19.198027373699794</v>
      </c>
      <c r="AB4733" s="9">
        <v>22.870088818994869</v>
      </c>
      <c r="AC4733" s="9">
        <v>22.870088818994869</v>
      </c>
      <c r="AD4733" s="9">
        <v>24.903474960956302</v>
      </c>
      <c r="AE4733" s="9">
        <v>27.017195551929351</v>
      </c>
      <c r="AF4733" s="9">
        <v>29.2192840368152</v>
      </c>
      <c r="AG4733" s="9">
        <v>29.2192840368152</v>
      </c>
      <c r="AH4733" s="9">
        <v>31.518577205005123</v>
      </c>
      <c r="AI4733" s="9">
        <v>33.370312238496417</v>
      </c>
      <c r="AJ4733" s="9">
        <v>3.0428788910505911</v>
      </c>
    </row>
    <row r="4734" spans="1:36" x14ac:dyDescent="0.25">
      <c r="A4734" t="s">
        <v>5411</v>
      </c>
      <c r="B4734" t="s">
        <v>16</v>
      </c>
      <c r="C4734" t="s">
        <v>17</v>
      </c>
      <c r="D4734">
        <v>82810000</v>
      </c>
      <c r="E4734">
        <v>82999999</v>
      </c>
      <c r="F4734" t="s">
        <v>4293</v>
      </c>
      <c r="G4734" t="str">
        <f t="shared" si="146"/>
        <v>PRC</v>
      </c>
      <c r="H4734" t="s">
        <v>4294</v>
      </c>
      <c r="I4734" t="s">
        <v>20</v>
      </c>
      <c r="J4734" t="s">
        <v>21</v>
      </c>
      <c r="K4734" s="6">
        <v>0.03</v>
      </c>
      <c r="L4734" s="7">
        <f t="shared" si="147"/>
        <v>2E-3</v>
      </c>
      <c r="M4734" s="7">
        <v>3.0000000000000001E-3</v>
      </c>
      <c r="N4734">
        <v>7</v>
      </c>
      <c r="O4734" s="8">
        <v>11.709693885402361</v>
      </c>
      <c r="P4734" s="9">
        <v>11.709693885402361</v>
      </c>
      <c r="Q4734" s="9">
        <v>11.709693885402361</v>
      </c>
      <c r="R4734" s="9">
        <v>12.006591397949746</v>
      </c>
      <c r="S4734" s="9">
        <v>12.863489046972891</v>
      </c>
      <c r="T4734" s="9">
        <v>13.222921898642833</v>
      </c>
      <c r="U4734" s="9">
        <v>15.268530836889617</v>
      </c>
      <c r="V4734" s="9">
        <v>15.268530836889617</v>
      </c>
      <c r="W4734" s="9">
        <v>15.268530836889617</v>
      </c>
      <c r="X4734" s="9">
        <v>17.155999719448005</v>
      </c>
      <c r="Y4734" s="9">
        <v>17.155999719448005</v>
      </c>
      <c r="Z4734" s="9">
        <v>19.198027373699794</v>
      </c>
      <c r="AA4734" s="9">
        <v>19.198027373699794</v>
      </c>
      <c r="AB4734" s="9">
        <v>22.870088818994869</v>
      </c>
      <c r="AC4734" s="9">
        <v>22.870088818994869</v>
      </c>
      <c r="AD4734" s="9">
        <v>24.903474960956302</v>
      </c>
      <c r="AE4734" s="9">
        <v>27.017195551929351</v>
      </c>
      <c r="AF4734" s="9">
        <v>29.2192840368152</v>
      </c>
      <c r="AG4734" s="9">
        <v>29.2192840368152</v>
      </c>
      <c r="AH4734" s="9">
        <v>31.518577205005123</v>
      </c>
      <c r="AI4734" s="9">
        <v>33.370312238496417</v>
      </c>
      <c r="AJ4734" s="9">
        <v>3.0428788910505911</v>
      </c>
    </row>
    <row r="4735" spans="1:36" x14ac:dyDescent="0.25">
      <c r="A4735" t="s">
        <v>5411</v>
      </c>
      <c r="B4735" t="s">
        <v>16</v>
      </c>
      <c r="C4735" t="s">
        <v>17</v>
      </c>
      <c r="D4735">
        <v>83000000</v>
      </c>
      <c r="E4735">
        <v>83115999</v>
      </c>
      <c r="F4735" t="s">
        <v>4295</v>
      </c>
      <c r="G4735" t="str">
        <f t="shared" si="146"/>
        <v>PRI</v>
      </c>
      <c r="H4735" t="s">
        <v>4294</v>
      </c>
      <c r="I4735" t="s">
        <v>20</v>
      </c>
      <c r="J4735" t="s">
        <v>62</v>
      </c>
      <c r="K4735" s="6">
        <v>0.03</v>
      </c>
      <c r="L4735" s="7">
        <f t="shared" si="147"/>
        <v>2E-3</v>
      </c>
      <c r="M4735" s="7">
        <v>3.0000000000000001E-3</v>
      </c>
      <c r="N4735">
        <v>8</v>
      </c>
      <c r="O4735" s="8">
        <v>16.344178346561137</v>
      </c>
      <c r="P4735" s="9">
        <v>16.344178346561137</v>
      </c>
      <c r="Q4735" s="9">
        <v>16.344178346561137</v>
      </c>
      <c r="R4735" s="9">
        <v>16.766533722582309</v>
      </c>
      <c r="S4735" s="9">
        <v>17.709108795625173</v>
      </c>
      <c r="T4735" s="9">
        <v>18.545760454647645</v>
      </c>
      <c r="U4735" s="9">
        <v>20.10723313448154</v>
      </c>
      <c r="V4735" s="9">
        <v>20.10723313448154</v>
      </c>
      <c r="W4735" s="9">
        <v>20.10723313448154</v>
      </c>
      <c r="X4735" s="9">
        <v>21.240951506551678</v>
      </c>
      <c r="Y4735" s="9">
        <v>21.240951506551678</v>
      </c>
      <c r="Z4735" s="9">
        <v>22.557015615717738</v>
      </c>
      <c r="AA4735" s="9">
        <v>22.557015615717738</v>
      </c>
      <c r="AB4735" s="9">
        <v>26.056112270527457</v>
      </c>
      <c r="AC4735" s="9">
        <v>26.056112270527457</v>
      </c>
      <c r="AD4735" s="9">
        <v>30.142276170369946</v>
      </c>
      <c r="AE4735" s="9">
        <v>32.940531048263779</v>
      </c>
      <c r="AF4735" s="9">
        <v>35.920735279325392</v>
      </c>
      <c r="AG4735" s="9">
        <v>35.920735279325392</v>
      </c>
      <c r="AH4735" s="9">
        <v>38.62832670141978</v>
      </c>
      <c r="AI4735" s="9">
        <v>41.239207360528972</v>
      </c>
      <c r="AJ4735" s="9">
        <v>3.0428788910505911</v>
      </c>
    </row>
    <row r="4736" spans="1:36" x14ac:dyDescent="0.25">
      <c r="A4736" t="s">
        <v>5411</v>
      </c>
      <c r="B4736" t="s">
        <v>16</v>
      </c>
      <c r="C4736" t="s">
        <v>17</v>
      </c>
      <c r="D4736">
        <v>83116000</v>
      </c>
      <c r="E4736">
        <v>83189999</v>
      </c>
      <c r="F4736" t="s">
        <v>4295</v>
      </c>
      <c r="G4736" t="str">
        <f t="shared" si="146"/>
        <v>PRI</v>
      </c>
      <c r="H4736" t="s">
        <v>4294</v>
      </c>
      <c r="I4736" t="s">
        <v>20</v>
      </c>
      <c r="J4736" t="s">
        <v>62</v>
      </c>
      <c r="K4736" s="6">
        <v>0.03</v>
      </c>
      <c r="L4736" s="7">
        <f t="shared" si="147"/>
        <v>2E-3</v>
      </c>
      <c r="M4736" s="7">
        <v>3.0000000000000001E-3</v>
      </c>
      <c r="N4736">
        <v>8</v>
      </c>
      <c r="O4736" s="8">
        <v>16.344178346561137</v>
      </c>
      <c r="P4736" s="9">
        <v>16.344178346561137</v>
      </c>
      <c r="Q4736" s="9">
        <v>16.344178346561137</v>
      </c>
      <c r="R4736" s="9">
        <v>16.766533722582309</v>
      </c>
      <c r="S4736" s="9">
        <v>17.709108795625173</v>
      </c>
      <c r="T4736" s="9">
        <v>18.545760454647645</v>
      </c>
      <c r="U4736" s="9">
        <v>20.10723313448154</v>
      </c>
      <c r="V4736" s="9">
        <v>20.10723313448154</v>
      </c>
      <c r="W4736" s="9">
        <v>20.10723313448154</v>
      </c>
      <c r="X4736" s="9">
        <v>21.240951506551678</v>
      </c>
      <c r="Y4736" s="9">
        <v>21.240951506551678</v>
      </c>
      <c r="Z4736" s="9">
        <v>22.557015615717738</v>
      </c>
      <c r="AA4736" s="9">
        <v>22.557015615717738</v>
      </c>
      <c r="AB4736" s="9">
        <v>26.056112270527457</v>
      </c>
      <c r="AC4736" s="9">
        <v>26.056112270527457</v>
      </c>
      <c r="AD4736" s="9">
        <v>30.142276170369946</v>
      </c>
      <c r="AE4736" s="9">
        <v>32.940531048263779</v>
      </c>
      <c r="AF4736" s="9">
        <v>35.920735279325392</v>
      </c>
      <c r="AG4736" s="9">
        <v>35.920735279325392</v>
      </c>
      <c r="AH4736" s="9">
        <v>38.62832670141978</v>
      </c>
      <c r="AI4736" s="9">
        <v>41.239207360528972</v>
      </c>
      <c r="AJ4736" s="9">
        <v>3.0428788910505911</v>
      </c>
    </row>
    <row r="4737" spans="1:36" x14ac:dyDescent="0.25">
      <c r="A4737" t="s">
        <v>5411</v>
      </c>
      <c r="B4737" t="s">
        <v>16</v>
      </c>
      <c r="C4737" t="s">
        <v>17</v>
      </c>
      <c r="D4737">
        <v>83190000</v>
      </c>
      <c r="E4737">
        <v>83199999</v>
      </c>
      <c r="F4737" t="s">
        <v>4296</v>
      </c>
      <c r="G4737" t="str">
        <f t="shared" si="146"/>
        <v>PRI II</v>
      </c>
      <c r="H4737" t="s">
        <v>4294</v>
      </c>
      <c r="I4737" t="s">
        <v>20</v>
      </c>
      <c r="J4737" t="s">
        <v>64</v>
      </c>
      <c r="K4737" s="6">
        <v>0.03</v>
      </c>
      <c r="L4737" s="7">
        <f t="shared" si="147"/>
        <v>2E-3</v>
      </c>
      <c r="M4737" s="7">
        <v>3.0000000000000001E-3</v>
      </c>
      <c r="N4737">
        <v>10</v>
      </c>
      <c r="O4737" s="8">
        <v>19.127752698369598</v>
      </c>
      <c r="P4737" s="9">
        <v>19.127752698369598</v>
      </c>
      <c r="Q4737" s="9">
        <v>19.127752698369598</v>
      </c>
      <c r="R4737" s="9">
        <v>19.588754687607715</v>
      </c>
      <c r="S4737" s="9">
        <v>19.892211826137899</v>
      </c>
      <c r="T4737" s="9">
        <v>20.64455772606674</v>
      </c>
      <c r="U4737" s="9">
        <v>22.020224218035128</v>
      </c>
      <c r="V4737" s="9">
        <v>22.020224218035128</v>
      </c>
      <c r="W4737" s="9">
        <v>22.020224218035128</v>
      </c>
      <c r="X4737" s="9">
        <v>24.004435739730138</v>
      </c>
      <c r="Y4737" s="9">
        <v>24.004435739730138</v>
      </c>
      <c r="Z4737" s="9">
        <v>26.075582265671787</v>
      </c>
      <c r="AA4737" s="9">
        <v>26.075582265671787</v>
      </c>
      <c r="AB4737" s="9">
        <v>28.242357296284759</v>
      </c>
      <c r="AC4737" s="9">
        <v>28.242357296284759</v>
      </c>
      <c r="AD4737" s="9">
        <v>32.278785457330969</v>
      </c>
      <c r="AE4737" s="9">
        <v>34.228944830548365</v>
      </c>
      <c r="AF4737" s="9">
        <v>36.293711230319367</v>
      </c>
      <c r="AG4737" s="9">
        <v>36.293711230319367</v>
      </c>
      <c r="AH4737" s="9">
        <v>39.230142171980006</v>
      </c>
      <c r="AI4737" s="9">
        <v>41.357809622501556</v>
      </c>
      <c r="AJ4737" s="9">
        <v>3.0428788910505911</v>
      </c>
    </row>
    <row r="4738" spans="1:36" x14ac:dyDescent="0.25">
      <c r="A4738" t="s">
        <v>5411</v>
      </c>
      <c r="B4738" t="s">
        <v>16</v>
      </c>
      <c r="C4738" t="s">
        <v>17</v>
      </c>
      <c r="D4738">
        <v>83200000</v>
      </c>
      <c r="E4738">
        <v>83254999</v>
      </c>
      <c r="F4738" t="s">
        <v>4297</v>
      </c>
      <c r="G4738" t="str">
        <f t="shared" si="146"/>
        <v>PRI</v>
      </c>
      <c r="H4738" t="s">
        <v>4294</v>
      </c>
      <c r="I4738" t="s">
        <v>20</v>
      </c>
      <c r="J4738" t="s">
        <v>62</v>
      </c>
      <c r="K4738" s="6">
        <v>0.03</v>
      </c>
      <c r="L4738" s="7">
        <f t="shared" si="147"/>
        <v>2E-3</v>
      </c>
      <c r="M4738" s="7">
        <v>3.0000000000000001E-3</v>
      </c>
      <c r="N4738">
        <v>9</v>
      </c>
      <c r="O4738" s="8">
        <v>16.344178346561137</v>
      </c>
      <c r="P4738" s="9">
        <v>16.344178346561137</v>
      </c>
      <c r="Q4738" s="9">
        <v>16.344178346561137</v>
      </c>
      <c r="R4738" s="9">
        <v>16.766533722582309</v>
      </c>
      <c r="S4738" s="9">
        <v>17.709108795625173</v>
      </c>
      <c r="T4738" s="9">
        <v>18.545760454647645</v>
      </c>
      <c r="U4738" s="9">
        <v>20.10723313448154</v>
      </c>
      <c r="V4738" s="9">
        <v>20.10723313448154</v>
      </c>
      <c r="W4738" s="9">
        <v>20.10723313448154</v>
      </c>
      <c r="X4738" s="9">
        <v>21.240951506551678</v>
      </c>
      <c r="Y4738" s="9">
        <v>21.240951506551678</v>
      </c>
      <c r="Z4738" s="9">
        <v>22.557015615717738</v>
      </c>
      <c r="AA4738" s="9">
        <v>22.557015615717738</v>
      </c>
      <c r="AB4738" s="9">
        <v>26.056112270527457</v>
      </c>
      <c r="AC4738" s="9">
        <v>26.056112270527457</v>
      </c>
      <c r="AD4738" s="9">
        <v>30.142276170369946</v>
      </c>
      <c r="AE4738" s="9">
        <v>32.940531048263779</v>
      </c>
      <c r="AF4738" s="9">
        <v>35.920735279325392</v>
      </c>
      <c r="AG4738" s="9">
        <v>35.920735279325392</v>
      </c>
      <c r="AH4738" s="9">
        <v>38.62832670141978</v>
      </c>
      <c r="AI4738" s="9">
        <v>41.239207360528972</v>
      </c>
      <c r="AJ4738" s="9">
        <v>3.0428788910505911</v>
      </c>
    </row>
    <row r="4739" spans="1:36" x14ac:dyDescent="0.25">
      <c r="A4739" t="s">
        <v>5411</v>
      </c>
      <c r="B4739" t="s">
        <v>16</v>
      </c>
      <c r="C4739" t="s">
        <v>17</v>
      </c>
      <c r="D4739">
        <v>83255000</v>
      </c>
      <c r="E4739">
        <v>83259999</v>
      </c>
      <c r="F4739" t="s">
        <v>4298</v>
      </c>
      <c r="G4739" t="str">
        <f t="shared" si="146"/>
        <v>PRI II</v>
      </c>
      <c r="H4739" t="s">
        <v>4294</v>
      </c>
      <c r="I4739" t="s">
        <v>20</v>
      </c>
      <c r="J4739" t="s">
        <v>64</v>
      </c>
      <c r="K4739" s="6">
        <v>0.03</v>
      </c>
      <c r="L4739" s="7">
        <f t="shared" si="147"/>
        <v>2E-3</v>
      </c>
      <c r="M4739" s="7">
        <v>3.0000000000000001E-3</v>
      </c>
      <c r="N4739">
        <v>10</v>
      </c>
      <c r="O4739" s="8">
        <v>19.127752698369598</v>
      </c>
      <c r="P4739" s="9">
        <v>19.127752698369598</v>
      </c>
      <c r="Q4739" s="9">
        <v>19.127752698369598</v>
      </c>
      <c r="R4739" s="9">
        <v>19.588754687607715</v>
      </c>
      <c r="S4739" s="9">
        <v>19.892211826137899</v>
      </c>
      <c r="T4739" s="9">
        <v>20.64455772606674</v>
      </c>
      <c r="U4739" s="9">
        <v>22.020224218035128</v>
      </c>
      <c r="V4739" s="9">
        <v>22.020224218035128</v>
      </c>
      <c r="W4739" s="9">
        <v>22.020224218035128</v>
      </c>
      <c r="X4739" s="9">
        <v>24.004435739730138</v>
      </c>
      <c r="Y4739" s="9">
        <v>24.004435739730138</v>
      </c>
      <c r="Z4739" s="9">
        <v>26.075582265671787</v>
      </c>
      <c r="AA4739" s="9">
        <v>26.075582265671787</v>
      </c>
      <c r="AB4739" s="9">
        <v>28.242357296284759</v>
      </c>
      <c r="AC4739" s="9">
        <v>28.242357296284759</v>
      </c>
      <c r="AD4739" s="9">
        <v>32.278785457330969</v>
      </c>
      <c r="AE4739" s="9">
        <v>34.228944830548365</v>
      </c>
      <c r="AF4739" s="9">
        <v>36.293711230319367</v>
      </c>
      <c r="AG4739" s="9">
        <v>36.293711230319367</v>
      </c>
      <c r="AH4739" s="9">
        <v>39.230142171980006</v>
      </c>
      <c r="AI4739" s="9">
        <v>41.357809622501556</v>
      </c>
      <c r="AJ4739" s="9">
        <v>3.0428788910505911</v>
      </c>
    </row>
    <row r="4740" spans="1:36" x14ac:dyDescent="0.25">
      <c r="A4740" t="s">
        <v>5411</v>
      </c>
      <c r="B4740" t="s">
        <v>16</v>
      </c>
      <c r="C4740" t="s">
        <v>17</v>
      </c>
      <c r="D4740">
        <v>83260000</v>
      </c>
      <c r="E4740">
        <v>83279999</v>
      </c>
      <c r="F4740" t="s">
        <v>4299</v>
      </c>
      <c r="G4740" t="str">
        <f t="shared" ref="G4740:G4803" si="148">H4740&amp;IF(J4740="CAPITAL","C",IF(J4740="INTERIOR","I",IF(J4740="INTERIOR II","I II","R")))</f>
        <v>PRI</v>
      </c>
      <c r="H4740" t="s">
        <v>4294</v>
      </c>
      <c r="I4740" t="s">
        <v>20</v>
      </c>
      <c r="J4740" t="s">
        <v>62</v>
      </c>
      <c r="K4740" s="6">
        <v>0.03</v>
      </c>
      <c r="L4740" s="7">
        <f t="shared" ref="L4740:L4803" si="149">IF(I4740="(0) Não",0.2%,3%)</f>
        <v>2E-3</v>
      </c>
      <c r="M4740" s="7">
        <v>3.0000000000000001E-3</v>
      </c>
      <c r="N4740">
        <v>10</v>
      </c>
      <c r="O4740" s="8">
        <v>16.344178346561137</v>
      </c>
      <c r="P4740" s="9">
        <v>16.344178346561137</v>
      </c>
      <c r="Q4740" s="9">
        <v>16.344178346561137</v>
      </c>
      <c r="R4740" s="9">
        <v>16.766533722582309</v>
      </c>
      <c r="S4740" s="9">
        <v>17.709108795625173</v>
      </c>
      <c r="T4740" s="9">
        <v>18.545760454647645</v>
      </c>
      <c r="U4740" s="9">
        <v>20.10723313448154</v>
      </c>
      <c r="V4740" s="9">
        <v>20.10723313448154</v>
      </c>
      <c r="W4740" s="9">
        <v>20.10723313448154</v>
      </c>
      <c r="X4740" s="9">
        <v>21.240951506551678</v>
      </c>
      <c r="Y4740" s="9">
        <v>21.240951506551678</v>
      </c>
      <c r="Z4740" s="9">
        <v>22.557015615717738</v>
      </c>
      <c r="AA4740" s="9">
        <v>22.557015615717738</v>
      </c>
      <c r="AB4740" s="9">
        <v>26.056112270527457</v>
      </c>
      <c r="AC4740" s="9">
        <v>26.056112270527457</v>
      </c>
      <c r="AD4740" s="9">
        <v>30.142276170369946</v>
      </c>
      <c r="AE4740" s="9">
        <v>32.940531048263779</v>
      </c>
      <c r="AF4740" s="9">
        <v>35.920735279325392</v>
      </c>
      <c r="AG4740" s="9">
        <v>35.920735279325392</v>
      </c>
      <c r="AH4740" s="9">
        <v>38.62832670141978</v>
      </c>
      <c r="AI4740" s="9">
        <v>41.239207360528972</v>
      </c>
      <c r="AJ4740" s="9">
        <v>3.0428788910505911</v>
      </c>
    </row>
    <row r="4741" spans="1:36" x14ac:dyDescent="0.25">
      <c r="A4741" t="s">
        <v>5411</v>
      </c>
      <c r="B4741" t="s">
        <v>16</v>
      </c>
      <c r="C4741" t="s">
        <v>17</v>
      </c>
      <c r="D4741">
        <v>83280000</v>
      </c>
      <c r="E4741">
        <v>83299999</v>
      </c>
      <c r="F4741" t="s">
        <v>4300</v>
      </c>
      <c r="G4741" t="str">
        <f t="shared" si="148"/>
        <v>PRI</v>
      </c>
      <c r="H4741" t="s">
        <v>4294</v>
      </c>
      <c r="I4741" t="s">
        <v>20</v>
      </c>
      <c r="J4741" t="s">
        <v>62</v>
      </c>
      <c r="K4741" s="6">
        <v>0.03</v>
      </c>
      <c r="L4741" s="7">
        <f t="shared" si="149"/>
        <v>2E-3</v>
      </c>
      <c r="M4741" s="7">
        <v>3.0000000000000001E-3</v>
      </c>
      <c r="N4741">
        <v>10</v>
      </c>
      <c r="O4741" s="8">
        <v>16.344178346561137</v>
      </c>
      <c r="P4741" s="9">
        <v>16.344178346561137</v>
      </c>
      <c r="Q4741" s="9">
        <v>16.344178346561137</v>
      </c>
      <c r="R4741" s="9">
        <v>16.766533722582309</v>
      </c>
      <c r="S4741" s="9">
        <v>17.709108795625173</v>
      </c>
      <c r="T4741" s="9">
        <v>18.545760454647645</v>
      </c>
      <c r="U4741" s="9">
        <v>20.10723313448154</v>
      </c>
      <c r="V4741" s="9">
        <v>20.10723313448154</v>
      </c>
      <c r="W4741" s="9">
        <v>20.10723313448154</v>
      </c>
      <c r="X4741" s="9">
        <v>21.240951506551678</v>
      </c>
      <c r="Y4741" s="9">
        <v>21.240951506551678</v>
      </c>
      <c r="Z4741" s="9">
        <v>22.557015615717738</v>
      </c>
      <c r="AA4741" s="9">
        <v>22.557015615717738</v>
      </c>
      <c r="AB4741" s="9">
        <v>26.056112270527457</v>
      </c>
      <c r="AC4741" s="9">
        <v>26.056112270527457</v>
      </c>
      <c r="AD4741" s="9">
        <v>30.142276170369946</v>
      </c>
      <c r="AE4741" s="9">
        <v>32.940531048263779</v>
      </c>
      <c r="AF4741" s="9">
        <v>35.920735279325392</v>
      </c>
      <c r="AG4741" s="9">
        <v>35.920735279325392</v>
      </c>
      <c r="AH4741" s="9">
        <v>38.62832670141978</v>
      </c>
      <c r="AI4741" s="9">
        <v>41.239207360528972</v>
      </c>
      <c r="AJ4741" s="9">
        <v>3.0428788910505911</v>
      </c>
    </row>
    <row r="4742" spans="1:36" x14ac:dyDescent="0.25">
      <c r="A4742" t="s">
        <v>5411</v>
      </c>
      <c r="B4742" t="s">
        <v>16</v>
      </c>
      <c r="C4742" t="s">
        <v>17</v>
      </c>
      <c r="D4742">
        <v>83300000</v>
      </c>
      <c r="E4742">
        <v>83319999</v>
      </c>
      <c r="F4742" t="s">
        <v>4301</v>
      </c>
      <c r="G4742" t="str">
        <f t="shared" si="148"/>
        <v>PRI</v>
      </c>
      <c r="H4742" t="s">
        <v>4294</v>
      </c>
      <c r="I4742" t="s">
        <v>20</v>
      </c>
      <c r="J4742" t="s">
        <v>62</v>
      </c>
      <c r="K4742" s="6">
        <v>0.03</v>
      </c>
      <c r="L4742" s="7">
        <f t="shared" si="149"/>
        <v>2E-3</v>
      </c>
      <c r="M4742" s="7">
        <v>3.0000000000000001E-3</v>
      </c>
      <c r="N4742">
        <v>9</v>
      </c>
      <c r="O4742" s="8">
        <v>16.344178346561137</v>
      </c>
      <c r="P4742" s="9">
        <v>16.344178346561137</v>
      </c>
      <c r="Q4742" s="9">
        <v>16.344178346561137</v>
      </c>
      <c r="R4742" s="9">
        <v>16.766533722582309</v>
      </c>
      <c r="S4742" s="9">
        <v>17.709108795625173</v>
      </c>
      <c r="T4742" s="9">
        <v>18.545760454647645</v>
      </c>
      <c r="U4742" s="9">
        <v>20.10723313448154</v>
      </c>
      <c r="V4742" s="9">
        <v>20.10723313448154</v>
      </c>
      <c r="W4742" s="9">
        <v>20.10723313448154</v>
      </c>
      <c r="X4742" s="9">
        <v>21.240951506551678</v>
      </c>
      <c r="Y4742" s="9">
        <v>21.240951506551678</v>
      </c>
      <c r="Z4742" s="9">
        <v>22.557015615717738</v>
      </c>
      <c r="AA4742" s="9">
        <v>22.557015615717738</v>
      </c>
      <c r="AB4742" s="9">
        <v>26.056112270527457</v>
      </c>
      <c r="AC4742" s="9">
        <v>26.056112270527457</v>
      </c>
      <c r="AD4742" s="9">
        <v>30.142276170369946</v>
      </c>
      <c r="AE4742" s="9">
        <v>32.940531048263779</v>
      </c>
      <c r="AF4742" s="9">
        <v>35.920735279325392</v>
      </c>
      <c r="AG4742" s="9">
        <v>35.920735279325392</v>
      </c>
      <c r="AH4742" s="9">
        <v>38.62832670141978</v>
      </c>
      <c r="AI4742" s="9">
        <v>41.239207360528972</v>
      </c>
      <c r="AJ4742" s="9">
        <v>3.0428788910505911</v>
      </c>
    </row>
    <row r="4743" spans="1:36" x14ac:dyDescent="0.25">
      <c r="A4743" t="s">
        <v>5411</v>
      </c>
      <c r="B4743" t="s">
        <v>16</v>
      </c>
      <c r="C4743" t="s">
        <v>17</v>
      </c>
      <c r="D4743">
        <v>83320000</v>
      </c>
      <c r="E4743">
        <v>83349999</v>
      </c>
      <c r="F4743" t="s">
        <v>4295</v>
      </c>
      <c r="G4743" t="str">
        <f t="shared" si="148"/>
        <v>PRI</v>
      </c>
      <c r="H4743" t="s">
        <v>4294</v>
      </c>
      <c r="I4743" t="s">
        <v>20</v>
      </c>
      <c r="J4743" t="s">
        <v>62</v>
      </c>
      <c r="K4743" s="6">
        <v>0.03</v>
      </c>
      <c r="L4743" s="7">
        <f t="shared" si="149"/>
        <v>2E-3</v>
      </c>
      <c r="M4743" s="7">
        <v>3.0000000000000001E-3</v>
      </c>
      <c r="N4743">
        <v>8</v>
      </c>
      <c r="O4743" s="8">
        <v>16.344178346561137</v>
      </c>
      <c r="P4743" s="9">
        <v>16.344178346561137</v>
      </c>
      <c r="Q4743" s="9">
        <v>16.344178346561137</v>
      </c>
      <c r="R4743" s="9">
        <v>16.766533722582309</v>
      </c>
      <c r="S4743" s="9">
        <v>17.709108795625173</v>
      </c>
      <c r="T4743" s="9">
        <v>18.545760454647645</v>
      </c>
      <c r="U4743" s="9">
        <v>20.10723313448154</v>
      </c>
      <c r="V4743" s="9">
        <v>20.10723313448154</v>
      </c>
      <c r="W4743" s="9">
        <v>20.10723313448154</v>
      </c>
      <c r="X4743" s="9">
        <v>21.240951506551678</v>
      </c>
      <c r="Y4743" s="9">
        <v>21.240951506551678</v>
      </c>
      <c r="Z4743" s="9">
        <v>22.557015615717738</v>
      </c>
      <c r="AA4743" s="9">
        <v>22.557015615717738</v>
      </c>
      <c r="AB4743" s="9">
        <v>26.056112270527457</v>
      </c>
      <c r="AC4743" s="9">
        <v>26.056112270527457</v>
      </c>
      <c r="AD4743" s="9">
        <v>30.142276170369946</v>
      </c>
      <c r="AE4743" s="9">
        <v>32.940531048263779</v>
      </c>
      <c r="AF4743" s="9">
        <v>35.920735279325392</v>
      </c>
      <c r="AG4743" s="9">
        <v>35.920735279325392</v>
      </c>
      <c r="AH4743" s="9">
        <v>38.62832670141978</v>
      </c>
      <c r="AI4743" s="9">
        <v>41.239207360528972</v>
      </c>
      <c r="AJ4743" s="9">
        <v>3.0428788910505911</v>
      </c>
    </row>
    <row r="4744" spans="1:36" x14ac:dyDescent="0.25">
      <c r="A4744" t="s">
        <v>5411</v>
      </c>
      <c r="B4744" t="s">
        <v>16</v>
      </c>
      <c r="C4744" t="s">
        <v>17</v>
      </c>
      <c r="D4744">
        <v>83350000</v>
      </c>
      <c r="E4744">
        <v>83369999</v>
      </c>
      <c r="F4744" t="s">
        <v>4302</v>
      </c>
      <c r="G4744" t="str">
        <f t="shared" si="148"/>
        <v>PRI II</v>
      </c>
      <c r="H4744" t="s">
        <v>4294</v>
      </c>
      <c r="I4744" t="s">
        <v>20</v>
      </c>
      <c r="J4744" t="s">
        <v>64</v>
      </c>
      <c r="K4744" s="6">
        <v>0.03</v>
      </c>
      <c r="L4744" s="7">
        <f t="shared" si="149"/>
        <v>2E-3</v>
      </c>
      <c r="M4744" s="7">
        <v>3.0000000000000001E-3</v>
      </c>
      <c r="N4744">
        <v>10</v>
      </c>
      <c r="O4744" s="8">
        <v>19.127752698369598</v>
      </c>
      <c r="P4744" s="9">
        <v>19.127752698369598</v>
      </c>
      <c r="Q4744" s="9">
        <v>19.127752698369598</v>
      </c>
      <c r="R4744" s="9">
        <v>19.588754687607715</v>
      </c>
      <c r="S4744" s="9">
        <v>19.892211826137899</v>
      </c>
      <c r="T4744" s="9">
        <v>20.64455772606674</v>
      </c>
      <c r="U4744" s="9">
        <v>22.020224218035128</v>
      </c>
      <c r="V4744" s="9">
        <v>22.020224218035128</v>
      </c>
      <c r="W4744" s="9">
        <v>22.020224218035128</v>
      </c>
      <c r="X4744" s="9">
        <v>24.004435739730138</v>
      </c>
      <c r="Y4744" s="9">
        <v>24.004435739730138</v>
      </c>
      <c r="Z4744" s="9">
        <v>26.075582265671787</v>
      </c>
      <c r="AA4744" s="9">
        <v>26.075582265671787</v>
      </c>
      <c r="AB4744" s="9">
        <v>28.242357296284759</v>
      </c>
      <c r="AC4744" s="9">
        <v>28.242357296284759</v>
      </c>
      <c r="AD4744" s="9">
        <v>32.278785457330969</v>
      </c>
      <c r="AE4744" s="9">
        <v>34.228944830548365</v>
      </c>
      <c r="AF4744" s="9">
        <v>36.293711230319367</v>
      </c>
      <c r="AG4744" s="9">
        <v>36.293711230319367</v>
      </c>
      <c r="AH4744" s="9">
        <v>39.230142171980006</v>
      </c>
      <c r="AI4744" s="9">
        <v>41.357809622501556</v>
      </c>
      <c r="AJ4744" s="9">
        <v>3.0428788910505911</v>
      </c>
    </row>
    <row r="4745" spans="1:36" x14ac:dyDescent="0.25">
      <c r="A4745" t="s">
        <v>5411</v>
      </c>
      <c r="B4745" t="s">
        <v>16</v>
      </c>
      <c r="C4745" t="s">
        <v>17</v>
      </c>
      <c r="D4745">
        <v>83370000</v>
      </c>
      <c r="E4745">
        <v>83389999</v>
      </c>
      <c r="F4745" t="s">
        <v>4303</v>
      </c>
      <c r="G4745" t="str">
        <f t="shared" si="148"/>
        <v>PRI II</v>
      </c>
      <c r="H4745" t="s">
        <v>4294</v>
      </c>
      <c r="I4745" t="s">
        <v>20</v>
      </c>
      <c r="J4745" t="s">
        <v>64</v>
      </c>
      <c r="K4745" s="6">
        <v>0.03</v>
      </c>
      <c r="L4745" s="7">
        <f t="shared" si="149"/>
        <v>2E-3</v>
      </c>
      <c r="M4745" s="7">
        <v>3.0000000000000001E-3</v>
      </c>
      <c r="N4745">
        <v>10</v>
      </c>
      <c r="O4745" s="8">
        <v>19.127752698369598</v>
      </c>
      <c r="P4745" s="9">
        <v>19.127752698369598</v>
      </c>
      <c r="Q4745" s="9">
        <v>19.127752698369598</v>
      </c>
      <c r="R4745" s="9">
        <v>19.588754687607715</v>
      </c>
      <c r="S4745" s="9">
        <v>19.892211826137899</v>
      </c>
      <c r="T4745" s="9">
        <v>20.64455772606674</v>
      </c>
      <c r="U4745" s="9">
        <v>22.020224218035128</v>
      </c>
      <c r="V4745" s="9">
        <v>22.020224218035128</v>
      </c>
      <c r="W4745" s="9">
        <v>22.020224218035128</v>
      </c>
      <c r="X4745" s="9">
        <v>24.004435739730138</v>
      </c>
      <c r="Y4745" s="9">
        <v>24.004435739730138</v>
      </c>
      <c r="Z4745" s="9">
        <v>26.075582265671787</v>
      </c>
      <c r="AA4745" s="9">
        <v>26.075582265671787</v>
      </c>
      <c r="AB4745" s="9">
        <v>28.242357296284759</v>
      </c>
      <c r="AC4745" s="9">
        <v>28.242357296284759</v>
      </c>
      <c r="AD4745" s="9">
        <v>32.278785457330969</v>
      </c>
      <c r="AE4745" s="9">
        <v>34.228944830548365</v>
      </c>
      <c r="AF4745" s="9">
        <v>36.293711230319367</v>
      </c>
      <c r="AG4745" s="9">
        <v>36.293711230319367</v>
      </c>
      <c r="AH4745" s="9">
        <v>39.230142171980006</v>
      </c>
      <c r="AI4745" s="9">
        <v>41.357809622501556</v>
      </c>
      <c r="AJ4745" s="9">
        <v>3.0428788910505911</v>
      </c>
    </row>
    <row r="4746" spans="1:36" x14ac:dyDescent="0.25">
      <c r="A4746" t="s">
        <v>5411</v>
      </c>
      <c r="B4746" t="s">
        <v>16</v>
      </c>
      <c r="C4746" t="s">
        <v>17</v>
      </c>
      <c r="D4746">
        <v>83390000</v>
      </c>
      <c r="E4746">
        <v>83399999</v>
      </c>
      <c r="F4746" t="s">
        <v>4304</v>
      </c>
      <c r="G4746" t="str">
        <f t="shared" si="148"/>
        <v>PRI II</v>
      </c>
      <c r="H4746" t="s">
        <v>4294</v>
      </c>
      <c r="I4746" t="s">
        <v>20</v>
      </c>
      <c r="J4746" t="s">
        <v>64</v>
      </c>
      <c r="K4746" s="6">
        <v>0.03</v>
      </c>
      <c r="L4746" s="7">
        <f t="shared" si="149"/>
        <v>2E-3</v>
      </c>
      <c r="M4746" s="7">
        <v>3.0000000000000001E-3</v>
      </c>
      <c r="N4746">
        <v>10</v>
      </c>
      <c r="O4746" s="8">
        <v>19.127752698369598</v>
      </c>
      <c r="P4746" s="9">
        <v>19.127752698369598</v>
      </c>
      <c r="Q4746" s="9">
        <v>19.127752698369598</v>
      </c>
      <c r="R4746" s="9">
        <v>19.588754687607715</v>
      </c>
      <c r="S4746" s="9">
        <v>19.892211826137899</v>
      </c>
      <c r="T4746" s="9">
        <v>20.64455772606674</v>
      </c>
      <c r="U4746" s="9">
        <v>22.020224218035128</v>
      </c>
      <c r="V4746" s="9">
        <v>22.020224218035128</v>
      </c>
      <c r="W4746" s="9">
        <v>22.020224218035128</v>
      </c>
      <c r="X4746" s="9">
        <v>24.004435739730138</v>
      </c>
      <c r="Y4746" s="9">
        <v>24.004435739730138</v>
      </c>
      <c r="Z4746" s="9">
        <v>26.075582265671787</v>
      </c>
      <c r="AA4746" s="9">
        <v>26.075582265671787</v>
      </c>
      <c r="AB4746" s="9">
        <v>28.242357296284759</v>
      </c>
      <c r="AC4746" s="9">
        <v>28.242357296284759</v>
      </c>
      <c r="AD4746" s="9">
        <v>32.278785457330969</v>
      </c>
      <c r="AE4746" s="9">
        <v>34.228944830548365</v>
      </c>
      <c r="AF4746" s="9">
        <v>36.293711230319367</v>
      </c>
      <c r="AG4746" s="9">
        <v>36.293711230319367</v>
      </c>
      <c r="AH4746" s="9">
        <v>39.230142171980006</v>
      </c>
      <c r="AI4746" s="9">
        <v>41.357809622501556</v>
      </c>
      <c r="AJ4746" s="9">
        <v>3.0428788910505911</v>
      </c>
    </row>
    <row r="4747" spans="1:36" x14ac:dyDescent="0.25">
      <c r="A4747" t="s">
        <v>5411</v>
      </c>
      <c r="B4747" t="s">
        <v>16</v>
      </c>
      <c r="C4747" t="s">
        <v>17</v>
      </c>
      <c r="D4747">
        <v>83400000</v>
      </c>
      <c r="E4747">
        <v>83419999</v>
      </c>
      <c r="F4747" t="s">
        <v>4305</v>
      </c>
      <c r="G4747" t="str">
        <f t="shared" si="148"/>
        <v>PRI</v>
      </c>
      <c r="H4747" t="s">
        <v>4294</v>
      </c>
      <c r="I4747" t="s">
        <v>20</v>
      </c>
      <c r="J4747" t="s">
        <v>62</v>
      </c>
      <c r="K4747" s="6">
        <v>0.03</v>
      </c>
      <c r="L4747" s="7">
        <f t="shared" si="149"/>
        <v>2E-3</v>
      </c>
      <c r="M4747" s="7">
        <v>3.0000000000000001E-3</v>
      </c>
      <c r="N4747">
        <v>9</v>
      </c>
      <c r="O4747" s="8">
        <v>16.344178346561137</v>
      </c>
      <c r="P4747" s="9">
        <v>16.344178346561137</v>
      </c>
      <c r="Q4747" s="9">
        <v>16.344178346561137</v>
      </c>
      <c r="R4747" s="9">
        <v>16.766533722582309</v>
      </c>
      <c r="S4747" s="9">
        <v>17.709108795625173</v>
      </c>
      <c r="T4747" s="9">
        <v>18.545760454647645</v>
      </c>
      <c r="U4747" s="9">
        <v>20.10723313448154</v>
      </c>
      <c r="V4747" s="9">
        <v>20.10723313448154</v>
      </c>
      <c r="W4747" s="9">
        <v>20.10723313448154</v>
      </c>
      <c r="X4747" s="9">
        <v>21.240951506551678</v>
      </c>
      <c r="Y4747" s="9">
        <v>21.240951506551678</v>
      </c>
      <c r="Z4747" s="9">
        <v>22.557015615717738</v>
      </c>
      <c r="AA4747" s="9">
        <v>22.557015615717738</v>
      </c>
      <c r="AB4747" s="9">
        <v>26.056112270527457</v>
      </c>
      <c r="AC4747" s="9">
        <v>26.056112270527457</v>
      </c>
      <c r="AD4747" s="9">
        <v>30.142276170369946</v>
      </c>
      <c r="AE4747" s="9">
        <v>32.940531048263779</v>
      </c>
      <c r="AF4747" s="9">
        <v>35.920735279325392</v>
      </c>
      <c r="AG4747" s="9">
        <v>35.920735279325392</v>
      </c>
      <c r="AH4747" s="9">
        <v>38.62832670141978</v>
      </c>
      <c r="AI4747" s="9">
        <v>41.239207360528972</v>
      </c>
      <c r="AJ4747" s="9">
        <v>3.0428788910505911</v>
      </c>
    </row>
    <row r="4748" spans="1:36" x14ac:dyDescent="0.25">
      <c r="A4748" t="s">
        <v>5411</v>
      </c>
      <c r="B4748" t="s">
        <v>16</v>
      </c>
      <c r="C4748" t="s">
        <v>17</v>
      </c>
      <c r="D4748">
        <v>83420000</v>
      </c>
      <c r="E4748">
        <v>83429999</v>
      </c>
      <c r="F4748" t="s">
        <v>4306</v>
      </c>
      <c r="G4748" t="str">
        <f t="shared" si="148"/>
        <v>PRI II</v>
      </c>
      <c r="H4748" t="s">
        <v>4294</v>
      </c>
      <c r="I4748" t="s">
        <v>20</v>
      </c>
      <c r="J4748" t="s">
        <v>64</v>
      </c>
      <c r="K4748" s="6">
        <v>0.03</v>
      </c>
      <c r="L4748" s="7">
        <f t="shared" si="149"/>
        <v>2E-3</v>
      </c>
      <c r="M4748" s="7">
        <v>3.0000000000000001E-3</v>
      </c>
      <c r="N4748">
        <v>10</v>
      </c>
      <c r="O4748" s="8">
        <v>19.127752698369598</v>
      </c>
      <c r="P4748" s="9">
        <v>19.127752698369598</v>
      </c>
      <c r="Q4748" s="9">
        <v>19.127752698369598</v>
      </c>
      <c r="R4748" s="9">
        <v>19.588754687607715</v>
      </c>
      <c r="S4748" s="9">
        <v>19.892211826137899</v>
      </c>
      <c r="T4748" s="9">
        <v>20.64455772606674</v>
      </c>
      <c r="U4748" s="9">
        <v>22.020224218035128</v>
      </c>
      <c r="V4748" s="9">
        <v>22.020224218035128</v>
      </c>
      <c r="W4748" s="9">
        <v>22.020224218035128</v>
      </c>
      <c r="X4748" s="9">
        <v>24.004435739730138</v>
      </c>
      <c r="Y4748" s="9">
        <v>24.004435739730138</v>
      </c>
      <c r="Z4748" s="9">
        <v>26.075582265671787</v>
      </c>
      <c r="AA4748" s="9">
        <v>26.075582265671787</v>
      </c>
      <c r="AB4748" s="9">
        <v>28.242357296284759</v>
      </c>
      <c r="AC4748" s="9">
        <v>28.242357296284759</v>
      </c>
      <c r="AD4748" s="9">
        <v>32.278785457330969</v>
      </c>
      <c r="AE4748" s="9">
        <v>34.228944830548365</v>
      </c>
      <c r="AF4748" s="9">
        <v>36.293711230319367</v>
      </c>
      <c r="AG4748" s="9">
        <v>36.293711230319367</v>
      </c>
      <c r="AH4748" s="9">
        <v>39.230142171980006</v>
      </c>
      <c r="AI4748" s="9">
        <v>41.357809622501556</v>
      </c>
      <c r="AJ4748" s="9">
        <v>3.0428788910505911</v>
      </c>
    </row>
    <row r="4749" spans="1:36" x14ac:dyDescent="0.25">
      <c r="A4749" t="s">
        <v>5411</v>
      </c>
      <c r="B4749" t="s">
        <v>16</v>
      </c>
      <c r="C4749" t="s">
        <v>17</v>
      </c>
      <c r="D4749">
        <v>83430000</v>
      </c>
      <c r="E4749">
        <v>83449999</v>
      </c>
      <c r="F4749" t="s">
        <v>4307</v>
      </c>
      <c r="G4749" t="str">
        <f t="shared" si="148"/>
        <v>PRI II</v>
      </c>
      <c r="H4749" t="s">
        <v>4294</v>
      </c>
      <c r="I4749" t="s">
        <v>20</v>
      </c>
      <c r="J4749" t="s">
        <v>64</v>
      </c>
      <c r="K4749" s="6">
        <v>0.03</v>
      </c>
      <c r="L4749" s="7">
        <f t="shared" si="149"/>
        <v>2E-3</v>
      </c>
      <c r="M4749" s="7">
        <v>3.0000000000000001E-3</v>
      </c>
      <c r="N4749">
        <v>10</v>
      </c>
      <c r="O4749" s="8">
        <v>19.127752698369598</v>
      </c>
      <c r="P4749" s="9">
        <v>19.127752698369598</v>
      </c>
      <c r="Q4749" s="9">
        <v>19.127752698369598</v>
      </c>
      <c r="R4749" s="9">
        <v>19.588754687607715</v>
      </c>
      <c r="S4749" s="9">
        <v>19.892211826137899</v>
      </c>
      <c r="T4749" s="9">
        <v>20.64455772606674</v>
      </c>
      <c r="U4749" s="9">
        <v>22.020224218035128</v>
      </c>
      <c r="V4749" s="9">
        <v>22.020224218035128</v>
      </c>
      <c r="W4749" s="9">
        <v>22.020224218035128</v>
      </c>
      <c r="X4749" s="9">
        <v>24.004435739730138</v>
      </c>
      <c r="Y4749" s="9">
        <v>24.004435739730138</v>
      </c>
      <c r="Z4749" s="9">
        <v>26.075582265671787</v>
      </c>
      <c r="AA4749" s="9">
        <v>26.075582265671787</v>
      </c>
      <c r="AB4749" s="9">
        <v>28.242357296284759</v>
      </c>
      <c r="AC4749" s="9">
        <v>28.242357296284759</v>
      </c>
      <c r="AD4749" s="9">
        <v>32.278785457330969</v>
      </c>
      <c r="AE4749" s="9">
        <v>34.228944830548365</v>
      </c>
      <c r="AF4749" s="9">
        <v>36.293711230319367</v>
      </c>
      <c r="AG4749" s="9">
        <v>36.293711230319367</v>
      </c>
      <c r="AH4749" s="9">
        <v>39.230142171980006</v>
      </c>
      <c r="AI4749" s="9">
        <v>41.357809622501556</v>
      </c>
      <c r="AJ4749" s="9">
        <v>3.0428788910505911</v>
      </c>
    </row>
    <row r="4750" spans="1:36" x14ac:dyDescent="0.25">
      <c r="A4750" t="s">
        <v>5411</v>
      </c>
      <c r="B4750" t="s">
        <v>16</v>
      </c>
      <c r="C4750" t="s">
        <v>17</v>
      </c>
      <c r="D4750">
        <v>83450000</v>
      </c>
      <c r="E4750">
        <v>83479999</v>
      </c>
      <c r="F4750" t="s">
        <v>4308</v>
      </c>
      <c r="G4750" t="str">
        <f t="shared" si="148"/>
        <v>PRI II</v>
      </c>
      <c r="H4750" t="s">
        <v>4294</v>
      </c>
      <c r="I4750" t="s">
        <v>20</v>
      </c>
      <c r="J4750" t="s">
        <v>64</v>
      </c>
      <c r="K4750" s="6">
        <v>0.03</v>
      </c>
      <c r="L4750" s="7">
        <f t="shared" si="149"/>
        <v>2E-3</v>
      </c>
      <c r="M4750" s="7">
        <v>3.0000000000000001E-3</v>
      </c>
      <c r="N4750">
        <v>10</v>
      </c>
      <c r="O4750" s="8">
        <v>19.127752698369598</v>
      </c>
      <c r="P4750" s="9">
        <v>19.127752698369598</v>
      </c>
      <c r="Q4750" s="9">
        <v>19.127752698369598</v>
      </c>
      <c r="R4750" s="9">
        <v>19.588754687607715</v>
      </c>
      <c r="S4750" s="9">
        <v>19.892211826137899</v>
      </c>
      <c r="T4750" s="9">
        <v>20.64455772606674</v>
      </c>
      <c r="U4750" s="9">
        <v>22.020224218035128</v>
      </c>
      <c r="V4750" s="9">
        <v>22.020224218035128</v>
      </c>
      <c r="W4750" s="9">
        <v>22.020224218035128</v>
      </c>
      <c r="X4750" s="9">
        <v>24.004435739730138</v>
      </c>
      <c r="Y4750" s="9">
        <v>24.004435739730138</v>
      </c>
      <c r="Z4750" s="9">
        <v>26.075582265671787</v>
      </c>
      <c r="AA4750" s="9">
        <v>26.075582265671787</v>
      </c>
      <c r="AB4750" s="9">
        <v>28.242357296284759</v>
      </c>
      <c r="AC4750" s="9">
        <v>28.242357296284759</v>
      </c>
      <c r="AD4750" s="9">
        <v>32.278785457330969</v>
      </c>
      <c r="AE4750" s="9">
        <v>34.228944830548365</v>
      </c>
      <c r="AF4750" s="9">
        <v>36.293711230319367</v>
      </c>
      <c r="AG4750" s="9">
        <v>36.293711230319367</v>
      </c>
      <c r="AH4750" s="9">
        <v>39.230142171980006</v>
      </c>
      <c r="AI4750" s="9">
        <v>41.357809622501556</v>
      </c>
      <c r="AJ4750" s="9">
        <v>3.0428788910505911</v>
      </c>
    </row>
    <row r="4751" spans="1:36" x14ac:dyDescent="0.25">
      <c r="A4751" t="s">
        <v>5411</v>
      </c>
      <c r="B4751" t="s">
        <v>16</v>
      </c>
      <c r="C4751" t="s">
        <v>17</v>
      </c>
      <c r="D4751">
        <v>83480000</v>
      </c>
      <c r="E4751">
        <v>83489999</v>
      </c>
      <c r="F4751" t="s">
        <v>4309</v>
      </c>
      <c r="G4751" t="str">
        <f t="shared" si="148"/>
        <v>PRI II</v>
      </c>
      <c r="H4751" t="s">
        <v>4294</v>
      </c>
      <c r="I4751" t="s">
        <v>20</v>
      </c>
      <c r="J4751" t="s">
        <v>64</v>
      </c>
      <c r="K4751" s="6">
        <v>0.03</v>
      </c>
      <c r="L4751" s="7">
        <f t="shared" si="149"/>
        <v>2E-3</v>
      </c>
      <c r="M4751" s="7">
        <v>3.0000000000000001E-3</v>
      </c>
      <c r="N4751">
        <v>10</v>
      </c>
      <c r="O4751" s="8">
        <v>19.127752698369598</v>
      </c>
      <c r="P4751" s="9">
        <v>19.127752698369598</v>
      </c>
      <c r="Q4751" s="9">
        <v>19.127752698369598</v>
      </c>
      <c r="R4751" s="9">
        <v>19.588754687607715</v>
      </c>
      <c r="S4751" s="9">
        <v>19.892211826137899</v>
      </c>
      <c r="T4751" s="9">
        <v>20.64455772606674</v>
      </c>
      <c r="U4751" s="9">
        <v>22.020224218035128</v>
      </c>
      <c r="V4751" s="9">
        <v>22.020224218035128</v>
      </c>
      <c r="W4751" s="9">
        <v>22.020224218035128</v>
      </c>
      <c r="X4751" s="9">
        <v>24.004435739730138</v>
      </c>
      <c r="Y4751" s="9">
        <v>24.004435739730138</v>
      </c>
      <c r="Z4751" s="9">
        <v>26.075582265671787</v>
      </c>
      <c r="AA4751" s="9">
        <v>26.075582265671787</v>
      </c>
      <c r="AB4751" s="9">
        <v>28.242357296284759</v>
      </c>
      <c r="AC4751" s="9">
        <v>28.242357296284759</v>
      </c>
      <c r="AD4751" s="9">
        <v>32.278785457330969</v>
      </c>
      <c r="AE4751" s="9">
        <v>34.228944830548365</v>
      </c>
      <c r="AF4751" s="9">
        <v>36.293711230319367</v>
      </c>
      <c r="AG4751" s="9">
        <v>36.293711230319367</v>
      </c>
      <c r="AH4751" s="9">
        <v>39.230142171980006</v>
      </c>
      <c r="AI4751" s="9">
        <v>41.357809622501556</v>
      </c>
      <c r="AJ4751" s="9">
        <v>3.0428788910505911</v>
      </c>
    </row>
    <row r="4752" spans="1:36" x14ac:dyDescent="0.25">
      <c r="A4752" t="s">
        <v>5411</v>
      </c>
      <c r="B4752" t="s">
        <v>16</v>
      </c>
      <c r="C4752" t="s">
        <v>17</v>
      </c>
      <c r="D4752">
        <v>83490000</v>
      </c>
      <c r="E4752">
        <v>83499999</v>
      </c>
      <c r="F4752" t="s">
        <v>4310</v>
      </c>
      <c r="G4752" t="str">
        <f t="shared" si="148"/>
        <v>PRI II</v>
      </c>
      <c r="H4752" t="s">
        <v>4294</v>
      </c>
      <c r="I4752" t="s">
        <v>20</v>
      </c>
      <c r="J4752" t="s">
        <v>64</v>
      </c>
      <c r="K4752" s="6">
        <v>0.03</v>
      </c>
      <c r="L4752" s="7">
        <f t="shared" si="149"/>
        <v>2E-3</v>
      </c>
      <c r="M4752" s="7">
        <v>3.0000000000000001E-3</v>
      </c>
      <c r="N4752">
        <v>10</v>
      </c>
      <c r="O4752" s="8">
        <v>19.127752698369598</v>
      </c>
      <c r="P4752" s="9">
        <v>19.127752698369598</v>
      </c>
      <c r="Q4752" s="9">
        <v>19.127752698369598</v>
      </c>
      <c r="R4752" s="9">
        <v>19.588754687607715</v>
      </c>
      <c r="S4752" s="9">
        <v>19.892211826137899</v>
      </c>
      <c r="T4752" s="9">
        <v>20.64455772606674</v>
      </c>
      <c r="U4752" s="9">
        <v>22.020224218035128</v>
      </c>
      <c r="V4752" s="9">
        <v>22.020224218035128</v>
      </c>
      <c r="W4752" s="9">
        <v>22.020224218035128</v>
      </c>
      <c r="X4752" s="9">
        <v>24.004435739730138</v>
      </c>
      <c r="Y4752" s="9">
        <v>24.004435739730138</v>
      </c>
      <c r="Z4752" s="9">
        <v>26.075582265671787</v>
      </c>
      <c r="AA4752" s="9">
        <v>26.075582265671787</v>
      </c>
      <c r="AB4752" s="9">
        <v>28.242357296284759</v>
      </c>
      <c r="AC4752" s="9">
        <v>28.242357296284759</v>
      </c>
      <c r="AD4752" s="9">
        <v>32.278785457330969</v>
      </c>
      <c r="AE4752" s="9">
        <v>34.228944830548365</v>
      </c>
      <c r="AF4752" s="9">
        <v>36.293711230319367</v>
      </c>
      <c r="AG4752" s="9">
        <v>36.293711230319367</v>
      </c>
      <c r="AH4752" s="9">
        <v>39.230142171980006</v>
      </c>
      <c r="AI4752" s="9">
        <v>41.357809622501556</v>
      </c>
      <c r="AJ4752" s="9">
        <v>3.0428788910505911</v>
      </c>
    </row>
    <row r="4753" spans="1:36" x14ac:dyDescent="0.25">
      <c r="A4753" t="s">
        <v>5411</v>
      </c>
      <c r="B4753" t="s">
        <v>16</v>
      </c>
      <c r="C4753" t="s">
        <v>17</v>
      </c>
      <c r="D4753">
        <v>83500000</v>
      </c>
      <c r="E4753">
        <v>83534999</v>
      </c>
      <c r="F4753" t="s">
        <v>4311</v>
      </c>
      <c r="G4753" t="str">
        <f t="shared" si="148"/>
        <v>PRI</v>
      </c>
      <c r="H4753" t="s">
        <v>4294</v>
      </c>
      <c r="I4753" t="s">
        <v>20</v>
      </c>
      <c r="J4753" t="s">
        <v>62</v>
      </c>
      <c r="K4753" s="6">
        <v>0.03</v>
      </c>
      <c r="L4753" s="7">
        <f t="shared" si="149"/>
        <v>2E-3</v>
      </c>
      <c r="M4753" s="7">
        <v>3.0000000000000001E-3</v>
      </c>
      <c r="N4753">
        <v>9</v>
      </c>
      <c r="O4753" s="8">
        <v>16.344178346561137</v>
      </c>
      <c r="P4753" s="9">
        <v>16.344178346561137</v>
      </c>
      <c r="Q4753" s="9">
        <v>16.344178346561137</v>
      </c>
      <c r="R4753" s="9">
        <v>16.766533722582309</v>
      </c>
      <c r="S4753" s="9">
        <v>17.709108795625173</v>
      </c>
      <c r="T4753" s="9">
        <v>18.545760454647645</v>
      </c>
      <c r="U4753" s="9">
        <v>20.10723313448154</v>
      </c>
      <c r="V4753" s="9">
        <v>20.10723313448154</v>
      </c>
      <c r="W4753" s="9">
        <v>20.10723313448154</v>
      </c>
      <c r="X4753" s="9">
        <v>21.240951506551678</v>
      </c>
      <c r="Y4753" s="9">
        <v>21.240951506551678</v>
      </c>
      <c r="Z4753" s="9">
        <v>22.557015615717738</v>
      </c>
      <c r="AA4753" s="9">
        <v>22.557015615717738</v>
      </c>
      <c r="AB4753" s="9">
        <v>26.056112270527457</v>
      </c>
      <c r="AC4753" s="9">
        <v>26.056112270527457</v>
      </c>
      <c r="AD4753" s="9">
        <v>30.142276170369946</v>
      </c>
      <c r="AE4753" s="9">
        <v>32.940531048263779</v>
      </c>
      <c r="AF4753" s="9">
        <v>35.920735279325392</v>
      </c>
      <c r="AG4753" s="9">
        <v>35.920735279325392</v>
      </c>
      <c r="AH4753" s="9">
        <v>38.62832670141978</v>
      </c>
      <c r="AI4753" s="9">
        <v>41.239207360528972</v>
      </c>
      <c r="AJ4753" s="9">
        <v>3.0428788910505911</v>
      </c>
    </row>
    <row r="4754" spans="1:36" x14ac:dyDescent="0.25">
      <c r="A4754" t="s">
        <v>5411</v>
      </c>
      <c r="B4754" t="s">
        <v>16</v>
      </c>
      <c r="C4754" t="s">
        <v>17</v>
      </c>
      <c r="D4754">
        <v>83535000</v>
      </c>
      <c r="E4754">
        <v>83539999</v>
      </c>
      <c r="F4754" t="s">
        <v>4312</v>
      </c>
      <c r="G4754" t="str">
        <f t="shared" si="148"/>
        <v>PRI II</v>
      </c>
      <c r="H4754" t="s">
        <v>4294</v>
      </c>
      <c r="I4754" t="s">
        <v>20</v>
      </c>
      <c r="J4754" t="s">
        <v>64</v>
      </c>
      <c r="K4754" s="6">
        <v>0.03</v>
      </c>
      <c r="L4754" s="7">
        <f t="shared" si="149"/>
        <v>2E-3</v>
      </c>
      <c r="M4754" s="7">
        <v>3.0000000000000001E-3</v>
      </c>
      <c r="N4754">
        <v>10</v>
      </c>
      <c r="O4754" s="8">
        <v>19.127752698369598</v>
      </c>
      <c r="P4754" s="9">
        <v>19.127752698369598</v>
      </c>
      <c r="Q4754" s="9">
        <v>19.127752698369598</v>
      </c>
      <c r="R4754" s="9">
        <v>19.588754687607715</v>
      </c>
      <c r="S4754" s="9">
        <v>19.892211826137899</v>
      </c>
      <c r="T4754" s="9">
        <v>20.64455772606674</v>
      </c>
      <c r="U4754" s="9">
        <v>22.020224218035128</v>
      </c>
      <c r="V4754" s="9">
        <v>22.020224218035128</v>
      </c>
      <c r="W4754" s="9">
        <v>22.020224218035128</v>
      </c>
      <c r="X4754" s="9">
        <v>24.004435739730138</v>
      </c>
      <c r="Y4754" s="9">
        <v>24.004435739730138</v>
      </c>
      <c r="Z4754" s="9">
        <v>26.075582265671787</v>
      </c>
      <c r="AA4754" s="9">
        <v>26.075582265671787</v>
      </c>
      <c r="AB4754" s="9">
        <v>28.242357296284759</v>
      </c>
      <c r="AC4754" s="9">
        <v>28.242357296284759</v>
      </c>
      <c r="AD4754" s="9">
        <v>32.278785457330969</v>
      </c>
      <c r="AE4754" s="9">
        <v>34.228944830548365</v>
      </c>
      <c r="AF4754" s="9">
        <v>36.293711230319367</v>
      </c>
      <c r="AG4754" s="9">
        <v>36.293711230319367</v>
      </c>
      <c r="AH4754" s="9">
        <v>39.230142171980006</v>
      </c>
      <c r="AI4754" s="9">
        <v>41.357809622501556</v>
      </c>
      <c r="AJ4754" s="9">
        <v>3.0428788910505911</v>
      </c>
    </row>
    <row r="4755" spans="1:36" x14ac:dyDescent="0.25">
      <c r="A4755" t="s">
        <v>5411</v>
      </c>
      <c r="B4755" t="s">
        <v>16</v>
      </c>
      <c r="C4755" t="s">
        <v>17</v>
      </c>
      <c r="D4755">
        <v>83540000</v>
      </c>
      <c r="E4755">
        <v>83559999</v>
      </c>
      <c r="F4755" t="s">
        <v>4313</v>
      </c>
      <c r="G4755" t="str">
        <f t="shared" si="148"/>
        <v>PRI II</v>
      </c>
      <c r="H4755" t="s">
        <v>4294</v>
      </c>
      <c r="I4755" t="s">
        <v>20</v>
      </c>
      <c r="J4755" t="s">
        <v>64</v>
      </c>
      <c r="K4755" s="6">
        <v>0.03</v>
      </c>
      <c r="L4755" s="7">
        <f t="shared" si="149"/>
        <v>2E-3</v>
      </c>
      <c r="M4755" s="7">
        <v>3.0000000000000001E-3</v>
      </c>
      <c r="N4755">
        <v>10</v>
      </c>
      <c r="O4755" s="8">
        <v>19.127752698369598</v>
      </c>
      <c r="P4755" s="9">
        <v>19.127752698369598</v>
      </c>
      <c r="Q4755" s="9">
        <v>19.127752698369598</v>
      </c>
      <c r="R4755" s="9">
        <v>19.588754687607715</v>
      </c>
      <c r="S4755" s="9">
        <v>19.892211826137899</v>
      </c>
      <c r="T4755" s="9">
        <v>20.64455772606674</v>
      </c>
      <c r="U4755" s="9">
        <v>22.020224218035128</v>
      </c>
      <c r="V4755" s="9">
        <v>22.020224218035128</v>
      </c>
      <c r="W4755" s="9">
        <v>22.020224218035128</v>
      </c>
      <c r="X4755" s="9">
        <v>24.004435739730138</v>
      </c>
      <c r="Y4755" s="9">
        <v>24.004435739730138</v>
      </c>
      <c r="Z4755" s="9">
        <v>26.075582265671787</v>
      </c>
      <c r="AA4755" s="9">
        <v>26.075582265671787</v>
      </c>
      <c r="AB4755" s="9">
        <v>28.242357296284759</v>
      </c>
      <c r="AC4755" s="9">
        <v>28.242357296284759</v>
      </c>
      <c r="AD4755" s="9">
        <v>32.278785457330969</v>
      </c>
      <c r="AE4755" s="9">
        <v>34.228944830548365</v>
      </c>
      <c r="AF4755" s="9">
        <v>36.293711230319367</v>
      </c>
      <c r="AG4755" s="9">
        <v>36.293711230319367</v>
      </c>
      <c r="AH4755" s="9">
        <v>39.230142171980006</v>
      </c>
      <c r="AI4755" s="9">
        <v>41.357809622501556</v>
      </c>
      <c r="AJ4755" s="9">
        <v>3.0428788910505911</v>
      </c>
    </row>
    <row r="4756" spans="1:36" x14ac:dyDescent="0.25">
      <c r="A4756" t="s">
        <v>5411</v>
      </c>
      <c r="B4756" t="s">
        <v>16</v>
      </c>
      <c r="C4756" t="s">
        <v>17</v>
      </c>
      <c r="D4756">
        <v>83560000</v>
      </c>
      <c r="E4756">
        <v>83569999</v>
      </c>
      <c r="F4756" t="s">
        <v>4314</v>
      </c>
      <c r="G4756" t="str">
        <f t="shared" si="148"/>
        <v>PRI II</v>
      </c>
      <c r="H4756" t="s">
        <v>4294</v>
      </c>
      <c r="I4756" t="s">
        <v>20</v>
      </c>
      <c r="J4756" t="s">
        <v>64</v>
      </c>
      <c r="K4756" s="6">
        <v>0.03</v>
      </c>
      <c r="L4756" s="7">
        <f t="shared" si="149"/>
        <v>2E-3</v>
      </c>
      <c r="M4756" s="7">
        <v>3.0000000000000001E-3</v>
      </c>
      <c r="N4756">
        <v>10</v>
      </c>
      <c r="O4756" s="8">
        <v>19.127752698369598</v>
      </c>
      <c r="P4756" s="9">
        <v>19.127752698369598</v>
      </c>
      <c r="Q4756" s="9">
        <v>19.127752698369598</v>
      </c>
      <c r="R4756" s="9">
        <v>19.588754687607715</v>
      </c>
      <c r="S4756" s="9">
        <v>19.892211826137899</v>
      </c>
      <c r="T4756" s="9">
        <v>20.64455772606674</v>
      </c>
      <c r="U4756" s="9">
        <v>22.020224218035128</v>
      </c>
      <c r="V4756" s="9">
        <v>22.020224218035128</v>
      </c>
      <c r="W4756" s="9">
        <v>22.020224218035128</v>
      </c>
      <c r="X4756" s="9">
        <v>24.004435739730138</v>
      </c>
      <c r="Y4756" s="9">
        <v>24.004435739730138</v>
      </c>
      <c r="Z4756" s="9">
        <v>26.075582265671787</v>
      </c>
      <c r="AA4756" s="9">
        <v>26.075582265671787</v>
      </c>
      <c r="AB4756" s="9">
        <v>28.242357296284759</v>
      </c>
      <c r="AC4756" s="9">
        <v>28.242357296284759</v>
      </c>
      <c r="AD4756" s="9">
        <v>32.278785457330969</v>
      </c>
      <c r="AE4756" s="9">
        <v>34.228944830548365</v>
      </c>
      <c r="AF4756" s="9">
        <v>36.293711230319367</v>
      </c>
      <c r="AG4756" s="9">
        <v>36.293711230319367</v>
      </c>
      <c r="AH4756" s="9">
        <v>39.230142171980006</v>
      </c>
      <c r="AI4756" s="9">
        <v>41.357809622501556</v>
      </c>
      <c r="AJ4756" s="9">
        <v>3.0428788910505911</v>
      </c>
    </row>
    <row r="4757" spans="1:36" x14ac:dyDescent="0.25">
      <c r="A4757" t="s">
        <v>5411</v>
      </c>
      <c r="B4757" t="s">
        <v>16</v>
      </c>
      <c r="C4757" t="s">
        <v>17</v>
      </c>
      <c r="D4757">
        <v>83570000</v>
      </c>
      <c r="E4757">
        <v>83589999</v>
      </c>
      <c r="F4757" t="s">
        <v>4315</v>
      </c>
      <c r="G4757" t="str">
        <f t="shared" si="148"/>
        <v>PRI II</v>
      </c>
      <c r="H4757" t="s">
        <v>4294</v>
      </c>
      <c r="I4757" t="s">
        <v>20</v>
      </c>
      <c r="J4757" t="s">
        <v>64</v>
      </c>
      <c r="K4757" s="6">
        <v>0.03</v>
      </c>
      <c r="L4757" s="7">
        <f t="shared" si="149"/>
        <v>2E-3</v>
      </c>
      <c r="M4757" s="7">
        <v>3.0000000000000001E-3</v>
      </c>
      <c r="N4757">
        <v>10</v>
      </c>
      <c r="O4757" s="8">
        <v>19.127752698369598</v>
      </c>
      <c r="P4757" s="9">
        <v>19.127752698369598</v>
      </c>
      <c r="Q4757" s="9">
        <v>19.127752698369598</v>
      </c>
      <c r="R4757" s="9">
        <v>19.588754687607715</v>
      </c>
      <c r="S4757" s="9">
        <v>19.892211826137899</v>
      </c>
      <c r="T4757" s="9">
        <v>20.64455772606674</v>
      </c>
      <c r="U4757" s="9">
        <v>22.020224218035128</v>
      </c>
      <c r="V4757" s="9">
        <v>22.020224218035128</v>
      </c>
      <c r="W4757" s="9">
        <v>22.020224218035128</v>
      </c>
      <c r="X4757" s="9">
        <v>24.004435739730138</v>
      </c>
      <c r="Y4757" s="9">
        <v>24.004435739730138</v>
      </c>
      <c r="Z4757" s="9">
        <v>26.075582265671787</v>
      </c>
      <c r="AA4757" s="9">
        <v>26.075582265671787</v>
      </c>
      <c r="AB4757" s="9">
        <v>28.242357296284759</v>
      </c>
      <c r="AC4757" s="9">
        <v>28.242357296284759</v>
      </c>
      <c r="AD4757" s="9">
        <v>32.278785457330969</v>
      </c>
      <c r="AE4757" s="9">
        <v>34.228944830548365</v>
      </c>
      <c r="AF4757" s="9">
        <v>36.293711230319367</v>
      </c>
      <c r="AG4757" s="9">
        <v>36.293711230319367</v>
      </c>
      <c r="AH4757" s="9">
        <v>39.230142171980006</v>
      </c>
      <c r="AI4757" s="9">
        <v>41.357809622501556</v>
      </c>
      <c r="AJ4757" s="9">
        <v>3.0428788910505911</v>
      </c>
    </row>
    <row r="4758" spans="1:36" x14ac:dyDescent="0.25">
      <c r="A4758" t="s">
        <v>5411</v>
      </c>
      <c r="B4758" t="s">
        <v>16</v>
      </c>
      <c r="C4758" t="s">
        <v>17</v>
      </c>
      <c r="D4758">
        <v>83590000</v>
      </c>
      <c r="E4758">
        <v>83599999</v>
      </c>
      <c r="F4758" t="s">
        <v>4316</v>
      </c>
      <c r="G4758" t="str">
        <f t="shared" si="148"/>
        <v>PRI II</v>
      </c>
      <c r="H4758" t="s">
        <v>4294</v>
      </c>
      <c r="I4758" t="s">
        <v>20</v>
      </c>
      <c r="J4758" t="s">
        <v>64</v>
      </c>
      <c r="K4758" s="6">
        <v>0.03</v>
      </c>
      <c r="L4758" s="7">
        <f t="shared" si="149"/>
        <v>2E-3</v>
      </c>
      <c r="M4758" s="7">
        <v>3.0000000000000001E-3</v>
      </c>
      <c r="N4758">
        <v>10</v>
      </c>
      <c r="O4758" s="8">
        <v>19.127752698369598</v>
      </c>
      <c r="P4758" s="9">
        <v>19.127752698369598</v>
      </c>
      <c r="Q4758" s="9">
        <v>19.127752698369598</v>
      </c>
      <c r="R4758" s="9">
        <v>19.588754687607715</v>
      </c>
      <c r="S4758" s="9">
        <v>19.892211826137899</v>
      </c>
      <c r="T4758" s="9">
        <v>20.64455772606674</v>
      </c>
      <c r="U4758" s="9">
        <v>22.020224218035128</v>
      </c>
      <c r="V4758" s="9">
        <v>22.020224218035128</v>
      </c>
      <c r="W4758" s="9">
        <v>22.020224218035128</v>
      </c>
      <c r="X4758" s="9">
        <v>24.004435739730138</v>
      </c>
      <c r="Y4758" s="9">
        <v>24.004435739730138</v>
      </c>
      <c r="Z4758" s="9">
        <v>26.075582265671787</v>
      </c>
      <c r="AA4758" s="9">
        <v>26.075582265671787</v>
      </c>
      <c r="AB4758" s="9">
        <v>28.242357296284759</v>
      </c>
      <c r="AC4758" s="9">
        <v>28.242357296284759</v>
      </c>
      <c r="AD4758" s="9">
        <v>32.278785457330969</v>
      </c>
      <c r="AE4758" s="9">
        <v>34.228944830548365</v>
      </c>
      <c r="AF4758" s="9">
        <v>36.293711230319367</v>
      </c>
      <c r="AG4758" s="9">
        <v>36.293711230319367</v>
      </c>
      <c r="AH4758" s="9">
        <v>39.230142171980006</v>
      </c>
      <c r="AI4758" s="9">
        <v>41.357809622501556</v>
      </c>
      <c r="AJ4758" s="9">
        <v>3.0428788910505911</v>
      </c>
    </row>
    <row r="4759" spans="1:36" x14ac:dyDescent="0.25">
      <c r="A4759" t="s">
        <v>5411</v>
      </c>
      <c r="B4759" t="s">
        <v>16</v>
      </c>
      <c r="C4759" t="s">
        <v>17</v>
      </c>
      <c r="D4759">
        <v>83600000</v>
      </c>
      <c r="E4759">
        <v>83649999</v>
      </c>
      <c r="F4759" t="s">
        <v>4317</v>
      </c>
      <c r="G4759" t="str">
        <f t="shared" si="148"/>
        <v>PRI</v>
      </c>
      <c r="H4759" t="s">
        <v>4294</v>
      </c>
      <c r="I4759" t="s">
        <v>20</v>
      </c>
      <c r="J4759" t="s">
        <v>62</v>
      </c>
      <c r="K4759" s="6">
        <v>0.03</v>
      </c>
      <c r="L4759" s="7">
        <f t="shared" si="149"/>
        <v>2E-3</v>
      </c>
      <c r="M4759" s="7">
        <v>3.0000000000000001E-3</v>
      </c>
      <c r="N4759">
        <v>9</v>
      </c>
      <c r="O4759" s="8">
        <v>16.344178346561137</v>
      </c>
      <c r="P4759" s="9">
        <v>16.344178346561137</v>
      </c>
      <c r="Q4759" s="9">
        <v>16.344178346561137</v>
      </c>
      <c r="R4759" s="9">
        <v>16.766533722582309</v>
      </c>
      <c r="S4759" s="9">
        <v>17.709108795625173</v>
      </c>
      <c r="T4759" s="9">
        <v>18.545760454647645</v>
      </c>
      <c r="U4759" s="9">
        <v>20.10723313448154</v>
      </c>
      <c r="V4759" s="9">
        <v>20.10723313448154</v>
      </c>
      <c r="W4759" s="9">
        <v>20.10723313448154</v>
      </c>
      <c r="X4759" s="9">
        <v>21.240951506551678</v>
      </c>
      <c r="Y4759" s="9">
        <v>21.240951506551678</v>
      </c>
      <c r="Z4759" s="9">
        <v>22.557015615717738</v>
      </c>
      <c r="AA4759" s="9">
        <v>22.557015615717738</v>
      </c>
      <c r="AB4759" s="9">
        <v>26.056112270527457</v>
      </c>
      <c r="AC4759" s="9">
        <v>26.056112270527457</v>
      </c>
      <c r="AD4759" s="9">
        <v>30.142276170369946</v>
      </c>
      <c r="AE4759" s="9">
        <v>32.940531048263779</v>
      </c>
      <c r="AF4759" s="9">
        <v>35.920735279325392</v>
      </c>
      <c r="AG4759" s="9">
        <v>35.920735279325392</v>
      </c>
      <c r="AH4759" s="9">
        <v>38.62832670141978</v>
      </c>
      <c r="AI4759" s="9">
        <v>41.239207360528972</v>
      </c>
      <c r="AJ4759" s="9">
        <v>3.0428788910505911</v>
      </c>
    </row>
    <row r="4760" spans="1:36" x14ac:dyDescent="0.25">
      <c r="A4760" t="s">
        <v>5411</v>
      </c>
      <c r="B4760" t="s">
        <v>16</v>
      </c>
      <c r="C4760" t="s">
        <v>17</v>
      </c>
      <c r="D4760">
        <v>83650000</v>
      </c>
      <c r="E4760">
        <v>83699999</v>
      </c>
      <c r="F4760" t="s">
        <v>4318</v>
      </c>
      <c r="G4760" t="str">
        <f t="shared" si="148"/>
        <v>PRI II</v>
      </c>
      <c r="H4760" t="s">
        <v>4294</v>
      </c>
      <c r="I4760" t="s">
        <v>20</v>
      </c>
      <c r="J4760" t="s">
        <v>64</v>
      </c>
      <c r="K4760" s="6">
        <v>0.03</v>
      </c>
      <c r="L4760" s="7">
        <f t="shared" si="149"/>
        <v>2E-3</v>
      </c>
      <c r="M4760" s="7">
        <v>3.0000000000000001E-3</v>
      </c>
      <c r="N4760">
        <v>10</v>
      </c>
      <c r="O4760" s="8">
        <v>19.127752698369598</v>
      </c>
      <c r="P4760" s="9">
        <v>19.127752698369598</v>
      </c>
      <c r="Q4760" s="9">
        <v>19.127752698369598</v>
      </c>
      <c r="R4760" s="9">
        <v>19.588754687607715</v>
      </c>
      <c r="S4760" s="9">
        <v>19.892211826137899</v>
      </c>
      <c r="T4760" s="9">
        <v>20.64455772606674</v>
      </c>
      <c r="U4760" s="9">
        <v>22.020224218035128</v>
      </c>
      <c r="V4760" s="9">
        <v>22.020224218035128</v>
      </c>
      <c r="W4760" s="9">
        <v>22.020224218035128</v>
      </c>
      <c r="X4760" s="9">
        <v>24.004435739730138</v>
      </c>
      <c r="Y4760" s="9">
        <v>24.004435739730138</v>
      </c>
      <c r="Z4760" s="9">
        <v>26.075582265671787</v>
      </c>
      <c r="AA4760" s="9">
        <v>26.075582265671787</v>
      </c>
      <c r="AB4760" s="9">
        <v>28.242357296284759</v>
      </c>
      <c r="AC4760" s="9">
        <v>28.242357296284759</v>
      </c>
      <c r="AD4760" s="9">
        <v>32.278785457330969</v>
      </c>
      <c r="AE4760" s="9">
        <v>34.228944830548365</v>
      </c>
      <c r="AF4760" s="9">
        <v>36.293711230319367</v>
      </c>
      <c r="AG4760" s="9">
        <v>36.293711230319367</v>
      </c>
      <c r="AH4760" s="9">
        <v>39.230142171980006</v>
      </c>
      <c r="AI4760" s="9">
        <v>41.357809622501556</v>
      </c>
      <c r="AJ4760" s="9">
        <v>3.0428788910505911</v>
      </c>
    </row>
    <row r="4761" spans="1:36" x14ac:dyDescent="0.25">
      <c r="A4761" t="s">
        <v>5411</v>
      </c>
      <c r="B4761" t="s">
        <v>16</v>
      </c>
      <c r="C4761" t="s">
        <v>17</v>
      </c>
      <c r="D4761">
        <v>83700000</v>
      </c>
      <c r="E4761">
        <v>83729999</v>
      </c>
      <c r="F4761" t="s">
        <v>4319</v>
      </c>
      <c r="G4761" t="str">
        <f t="shared" si="148"/>
        <v>PRI</v>
      </c>
      <c r="H4761" t="s">
        <v>4294</v>
      </c>
      <c r="I4761" t="s">
        <v>20</v>
      </c>
      <c r="J4761" t="s">
        <v>62</v>
      </c>
      <c r="K4761" s="6">
        <v>0.03</v>
      </c>
      <c r="L4761" s="7">
        <f t="shared" si="149"/>
        <v>2E-3</v>
      </c>
      <c r="M4761" s="7">
        <v>3.0000000000000001E-3</v>
      </c>
      <c r="N4761">
        <v>9</v>
      </c>
      <c r="O4761" s="8">
        <v>16.344178346561137</v>
      </c>
      <c r="P4761" s="9">
        <v>16.344178346561137</v>
      </c>
      <c r="Q4761" s="9">
        <v>16.344178346561137</v>
      </c>
      <c r="R4761" s="9">
        <v>16.766533722582309</v>
      </c>
      <c r="S4761" s="9">
        <v>17.709108795625173</v>
      </c>
      <c r="T4761" s="9">
        <v>18.545760454647645</v>
      </c>
      <c r="U4761" s="9">
        <v>20.10723313448154</v>
      </c>
      <c r="V4761" s="9">
        <v>20.10723313448154</v>
      </c>
      <c r="W4761" s="9">
        <v>20.10723313448154</v>
      </c>
      <c r="X4761" s="9">
        <v>21.240951506551678</v>
      </c>
      <c r="Y4761" s="9">
        <v>21.240951506551678</v>
      </c>
      <c r="Z4761" s="9">
        <v>22.557015615717738</v>
      </c>
      <c r="AA4761" s="9">
        <v>22.557015615717738</v>
      </c>
      <c r="AB4761" s="9">
        <v>26.056112270527457</v>
      </c>
      <c r="AC4761" s="9">
        <v>26.056112270527457</v>
      </c>
      <c r="AD4761" s="9">
        <v>30.142276170369946</v>
      </c>
      <c r="AE4761" s="9">
        <v>32.940531048263779</v>
      </c>
      <c r="AF4761" s="9">
        <v>35.920735279325392</v>
      </c>
      <c r="AG4761" s="9">
        <v>35.920735279325392</v>
      </c>
      <c r="AH4761" s="9">
        <v>38.62832670141978</v>
      </c>
      <c r="AI4761" s="9">
        <v>41.239207360528972</v>
      </c>
      <c r="AJ4761" s="9">
        <v>3.0428788910505911</v>
      </c>
    </row>
    <row r="4762" spans="1:36" x14ac:dyDescent="0.25">
      <c r="A4762" t="s">
        <v>5411</v>
      </c>
      <c r="B4762" t="s">
        <v>16</v>
      </c>
      <c r="C4762" t="s">
        <v>17</v>
      </c>
      <c r="D4762">
        <v>83730000</v>
      </c>
      <c r="E4762">
        <v>83749999</v>
      </c>
      <c r="F4762" t="s">
        <v>4320</v>
      </c>
      <c r="G4762" t="str">
        <f t="shared" si="148"/>
        <v>PRI II</v>
      </c>
      <c r="H4762" t="s">
        <v>4294</v>
      </c>
      <c r="I4762" t="s">
        <v>20</v>
      </c>
      <c r="J4762" t="s">
        <v>64</v>
      </c>
      <c r="K4762" s="6">
        <v>0.03</v>
      </c>
      <c r="L4762" s="7">
        <f t="shared" si="149"/>
        <v>2E-3</v>
      </c>
      <c r="M4762" s="7">
        <v>3.0000000000000001E-3</v>
      </c>
      <c r="N4762">
        <v>10</v>
      </c>
      <c r="O4762" s="8">
        <v>19.127752698369598</v>
      </c>
      <c r="P4762" s="9">
        <v>19.127752698369598</v>
      </c>
      <c r="Q4762" s="9">
        <v>19.127752698369598</v>
      </c>
      <c r="R4762" s="9">
        <v>19.588754687607715</v>
      </c>
      <c r="S4762" s="9">
        <v>19.892211826137899</v>
      </c>
      <c r="T4762" s="9">
        <v>20.64455772606674</v>
      </c>
      <c r="U4762" s="9">
        <v>22.020224218035128</v>
      </c>
      <c r="V4762" s="9">
        <v>22.020224218035128</v>
      </c>
      <c r="W4762" s="9">
        <v>22.020224218035128</v>
      </c>
      <c r="X4762" s="9">
        <v>24.004435739730138</v>
      </c>
      <c r="Y4762" s="9">
        <v>24.004435739730138</v>
      </c>
      <c r="Z4762" s="9">
        <v>26.075582265671787</v>
      </c>
      <c r="AA4762" s="9">
        <v>26.075582265671787</v>
      </c>
      <c r="AB4762" s="9">
        <v>28.242357296284759</v>
      </c>
      <c r="AC4762" s="9">
        <v>28.242357296284759</v>
      </c>
      <c r="AD4762" s="9">
        <v>32.278785457330969</v>
      </c>
      <c r="AE4762" s="9">
        <v>34.228944830548365</v>
      </c>
      <c r="AF4762" s="9">
        <v>36.293711230319367</v>
      </c>
      <c r="AG4762" s="9">
        <v>36.293711230319367</v>
      </c>
      <c r="AH4762" s="9">
        <v>39.230142171980006</v>
      </c>
      <c r="AI4762" s="9">
        <v>41.357809622501556</v>
      </c>
      <c r="AJ4762" s="9">
        <v>3.0428788910505911</v>
      </c>
    </row>
    <row r="4763" spans="1:36" x14ac:dyDescent="0.25">
      <c r="A4763" t="s">
        <v>5411</v>
      </c>
      <c r="B4763" t="s">
        <v>16</v>
      </c>
      <c r="C4763" t="s">
        <v>17</v>
      </c>
      <c r="D4763">
        <v>83750000</v>
      </c>
      <c r="E4763">
        <v>83799999</v>
      </c>
      <c r="F4763" t="s">
        <v>4321</v>
      </c>
      <c r="G4763" t="str">
        <f t="shared" si="148"/>
        <v>PRI II</v>
      </c>
      <c r="H4763" t="s">
        <v>4294</v>
      </c>
      <c r="I4763" t="s">
        <v>20</v>
      </c>
      <c r="J4763" t="s">
        <v>64</v>
      </c>
      <c r="K4763" s="6">
        <v>0.03</v>
      </c>
      <c r="L4763" s="7">
        <f t="shared" si="149"/>
        <v>2E-3</v>
      </c>
      <c r="M4763" s="7">
        <v>3.0000000000000001E-3</v>
      </c>
      <c r="N4763">
        <v>10</v>
      </c>
      <c r="O4763" s="8">
        <v>19.127752698369598</v>
      </c>
      <c r="P4763" s="9">
        <v>19.127752698369598</v>
      </c>
      <c r="Q4763" s="9">
        <v>19.127752698369598</v>
      </c>
      <c r="R4763" s="9">
        <v>19.588754687607715</v>
      </c>
      <c r="S4763" s="9">
        <v>19.892211826137899</v>
      </c>
      <c r="T4763" s="9">
        <v>20.64455772606674</v>
      </c>
      <c r="U4763" s="9">
        <v>22.020224218035128</v>
      </c>
      <c r="V4763" s="9">
        <v>22.020224218035128</v>
      </c>
      <c r="W4763" s="9">
        <v>22.020224218035128</v>
      </c>
      <c r="X4763" s="9">
        <v>24.004435739730138</v>
      </c>
      <c r="Y4763" s="9">
        <v>24.004435739730138</v>
      </c>
      <c r="Z4763" s="9">
        <v>26.075582265671787</v>
      </c>
      <c r="AA4763" s="9">
        <v>26.075582265671787</v>
      </c>
      <c r="AB4763" s="9">
        <v>28.242357296284759</v>
      </c>
      <c r="AC4763" s="9">
        <v>28.242357296284759</v>
      </c>
      <c r="AD4763" s="9">
        <v>32.278785457330969</v>
      </c>
      <c r="AE4763" s="9">
        <v>34.228944830548365</v>
      </c>
      <c r="AF4763" s="9">
        <v>36.293711230319367</v>
      </c>
      <c r="AG4763" s="9">
        <v>36.293711230319367</v>
      </c>
      <c r="AH4763" s="9">
        <v>39.230142171980006</v>
      </c>
      <c r="AI4763" s="9">
        <v>41.357809622501556</v>
      </c>
      <c r="AJ4763" s="9">
        <v>3.0428788910505911</v>
      </c>
    </row>
    <row r="4764" spans="1:36" x14ac:dyDescent="0.25">
      <c r="A4764" t="s">
        <v>5411</v>
      </c>
      <c r="B4764" t="s">
        <v>16</v>
      </c>
      <c r="C4764" t="s">
        <v>17</v>
      </c>
      <c r="D4764">
        <v>83800000</v>
      </c>
      <c r="E4764">
        <v>83819999</v>
      </c>
      <c r="F4764" t="s">
        <v>4322</v>
      </c>
      <c r="G4764" t="str">
        <f t="shared" si="148"/>
        <v>PRI II</v>
      </c>
      <c r="H4764" t="s">
        <v>4294</v>
      </c>
      <c r="I4764" t="s">
        <v>20</v>
      </c>
      <c r="J4764" t="s">
        <v>64</v>
      </c>
      <c r="K4764" s="6">
        <v>0.03</v>
      </c>
      <c r="L4764" s="7">
        <f t="shared" si="149"/>
        <v>2E-3</v>
      </c>
      <c r="M4764" s="7">
        <v>3.0000000000000001E-3</v>
      </c>
      <c r="N4764">
        <v>10</v>
      </c>
      <c r="O4764" s="8">
        <v>19.127752698369598</v>
      </c>
      <c r="P4764" s="9">
        <v>19.127752698369598</v>
      </c>
      <c r="Q4764" s="9">
        <v>19.127752698369598</v>
      </c>
      <c r="R4764" s="9">
        <v>19.588754687607715</v>
      </c>
      <c r="S4764" s="9">
        <v>19.892211826137899</v>
      </c>
      <c r="T4764" s="9">
        <v>20.64455772606674</v>
      </c>
      <c r="U4764" s="9">
        <v>22.020224218035128</v>
      </c>
      <c r="V4764" s="9">
        <v>22.020224218035128</v>
      </c>
      <c r="W4764" s="9">
        <v>22.020224218035128</v>
      </c>
      <c r="X4764" s="9">
        <v>24.004435739730138</v>
      </c>
      <c r="Y4764" s="9">
        <v>24.004435739730138</v>
      </c>
      <c r="Z4764" s="9">
        <v>26.075582265671787</v>
      </c>
      <c r="AA4764" s="9">
        <v>26.075582265671787</v>
      </c>
      <c r="AB4764" s="9">
        <v>28.242357296284759</v>
      </c>
      <c r="AC4764" s="9">
        <v>28.242357296284759</v>
      </c>
      <c r="AD4764" s="9">
        <v>32.278785457330969</v>
      </c>
      <c r="AE4764" s="9">
        <v>34.228944830548365</v>
      </c>
      <c r="AF4764" s="9">
        <v>36.293711230319367</v>
      </c>
      <c r="AG4764" s="9">
        <v>36.293711230319367</v>
      </c>
      <c r="AH4764" s="9">
        <v>39.230142171980006</v>
      </c>
      <c r="AI4764" s="9">
        <v>41.357809622501556</v>
      </c>
      <c r="AJ4764" s="9">
        <v>3.0428788910505911</v>
      </c>
    </row>
    <row r="4765" spans="1:36" x14ac:dyDescent="0.25">
      <c r="A4765" t="s">
        <v>5411</v>
      </c>
      <c r="B4765" t="s">
        <v>16</v>
      </c>
      <c r="C4765" t="s">
        <v>17</v>
      </c>
      <c r="D4765">
        <v>83820000</v>
      </c>
      <c r="E4765">
        <v>83839999</v>
      </c>
      <c r="F4765" t="s">
        <v>4323</v>
      </c>
      <c r="G4765" t="str">
        <f t="shared" si="148"/>
        <v>PRI</v>
      </c>
      <c r="H4765" t="s">
        <v>4294</v>
      </c>
      <c r="I4765" t="s">
        <v>20</v>
      </c>
      <c r="J4765" t="s">
        <v>62</v>
      </c>
      <c r="K4765" s="6">
        <v>0.03</v>
      </c>
      <c r="L4765" s="7">
        <f t="shared" si="149"/>
        <v>2E-3</v>
      </c>
      <c r="M4765" s="7">
        <v>3.0000000000000001E-3</v>
      </c>
      <c r="N4765">
        <v>9</v>
      </c>
      <c r="O4765" s="8">
        <v>16.344178346561137</v>
      </c>
      <c r="P4765" s="9">
        <v>16.344178346561137</v>
      </c>
      <c r="Q4765" s="9">
        <v>16.344178346561137</v>
      </c>
      <c r="R4765" s="9">
        <v>16.766533722582309</v>
      </c>
      <c r="S4765" s="9">
        <v>17.709108795625173</v>
      </c>
      <c r="T4765" s="9">
        <v>18.545760454647645</v>
      </c>
      <c r="U4765" s="9">
        <v>20.10723313448154</v>
      </c>
      <c r="V4765" s="9">
        <v>20.10723313448154</v>
      </c>
      <c r="W4765" s="9">
        <v>20.10723313448154</v>
      </c>
      <c r="X4765" s="9">
        <v>21.240951506551678</v>
      </c>
      <c r="Y4765" s="9">
        <v>21.240951506551678</v>
      </c>
      <c r="Z4765" s="9">
        <v>22.557015615717738</v>
      </c>
      <c r="AA4765" s="9">
        <v>22.557015615717738</v>
      </c>
      <c r="AB4765" s="9">
        <v>26.056112270527457</v>
      </c>
      <c r="AC4765" s="9">
        <v>26.056112270527457</v>
      </c>
      <c r="AD4765" s="9">
        <v>30.142276170369946</v>
      </c>
      <c r="AE4765" s="9">
        <v>32.940531048263779</v>
      </c>
      <c r="AF4765" s="9">
        <v>35.920735279325392</v>
      </c>
      <c r="AG4765" s="9">
        <v>35.920735279325392</v>
      </c>
      <c r="AH4765" s="9">
        <v>38.62832670141978</v>
      </c>
      <c r="AI4765" s="9">
        <v>41.239207360528972</v>
      </c>
      <c r="AJ4765" s="9">
        <v>3.0428788910505911</v>
      </c>
    </row>
    <row r="4766" spans="1:36" x14ac:dyDescent="0.25">
      <c r="A4766" t="s">
        <v>5411</v>
      </c>
      <c r="B4766" t="s">
        <v>16</v>
      </c>
      <c r="C4766" t="s">
        <v>17</v>
      </c>
      <c r="D4766">
        <v>83840000</v>
      </c>
      <c r="E4766">
        <v>83849999</v>
      </c>
      <c r="F4766" t="s">
        <v>4324</v>
      </c>
      <c r="G4766" t="str">
        <f t="shared" si="148"/>
        <v>PRI II</v>
      </c>
      <c r="H4766" t="s">
        <v>4294</v>
      </c>
      <c r="I4766" t="s">
        <v>20</v>
      </c>
      <c r="J4766" t="s">
        <v>64</v>
      </c>
      <c r="K4766" s="6">
        <v>0.03</v>
      </c>
      <c r="L4766" s="7">
        <f t="shared" si="149"/>
        <v>2E-3</v>
      </c>
      <c r="M4766" s="7">
        <v>3.0000000000000001E-3</v>
      </c>
      <c r="N4766">
        <v>10</v>
      </c>
      <c r="O4766" s="8">
        <v>19.127752698369598</v>
      </c>
      <c r="P4766" s="9">
        <v>19.127752698369598</v>
      </c>
      <c r="Q4766" s="9">
        <v>19.127752698369598</v>
      </c>
      <c r="R4766" s="9">
        <v>19.588754687607715</v>
      </c>
      <c r="S4766" s="9">
        <v>19.892211826137899</v>
      </c>
      <c r="T4766" s="9">
        <v>20.64455772606674</v>
      </c>
      <c r="U4766" s="9">
        <v>22.020224218035128</v>
      </c>
      <c r="V4766" s="9">
        <v>22.020224218035128</v>
      </c>
      <c r="W4766" s="9">
        <v>22.020224218035128</v>
      </c>
      <c r="X4766" s="9">
        <v>24.004435739730138</v>
      </c>
      <c r="Y4766" s="9">
        <v>24.004435739730138</v>
      </c>
      <c r="Z4766" s="9">
        <v>26.075582265671787</v>
      </c>
      <c r="AA4766" s="9">
        <v>26.075582265671787</v>
      </c>
      <c r="AB4766" s="9">
        <v>28.242357296284759</v>
      </c>
      <c r="AC4766" s="9">
        <v>28.242357296284759</v>
      </c>
      <c r="AD4766" s="9">
        <v>32.278785457330969</v>
      </c>
      <c r="AE4766" s="9">
        <v>34.228944830548365</v>
      </c>
      <c r="AF4766" s="9">
        <v>36.293711230319367</v>
      </c>
      <c r="AG4766" s="9">
        <v>36.293711230319367</v>
      </c>
      <c r="AH4766" s="9">
        <v>39.230142171980006</v>
      </c>
      <c r="AI4766" s="9">
        <v>41.357809622501556</v>
      </c>
      <c r="AJ4766" s="9">
        <v>3.0428788910505911</v>
      </c>
    </row>
    <row r="4767" spans="1:36" x14ac:dyDescent="0.25">
      <c r="A4767" t="s">
        <v>5411</v>
      </c>
      <c r="B4767" t="s">
        <v>16</v>
      </c>
      <c r="C4767" t="s">
        <v>17</v>
      </c>
      <c r="D4767">
        <v>83850000</v>
      </c>
      <c r="E4767">
        <v>83859999</v>
      </c>
      <c r="F4767" t="s">
        <v>4325</v>
      </c>
      <c r="G4767" t="str">
        <f t="shared" si="148"/>
        <v>PRI II</v>
      </c>
      <c r="H4767" t="s">
        <v>4294</v>
      </c>
      <c r="I4767" t="s">
        <v>20</v>
      </c>
      <c r="J4767" t="s">
        <v>64</v>
      </c>
      <c r="K4767" s="6">
        <v>0.03</v>
      </c>
      <c r="L4767" s="7">
        <f t="shared" si="149"/>
        <v>2E-3</v>
      </c>
      <c r="M4767" s="7">
        <v>3.0000000000000001E-3</v>
      </c>
      <c r="N4767">
        <v>10</v>
      </c>
      <c r="O4767" s="8">
        <v>19.127752698369598</v>
      </c>
      <c r="P4767" s="9">
        <v>19.127752698369598</v>
      </c>
      <c r="Q4767" s="9">
        <v>19.127752698369598</v>
      </c>
      <c r="R4767" s="9">
        <v>19.588754687607715</v>
      </c>
      <c r="S4767" s="9">
        <v>19.892211826137899</v>
      </c>
      <c r="T4767" s="9">
        <v>20.64455772606674</v>
      </c>
      <c r="U4767" s="9">
        <v>22.020224218035128</v>
      </c>
      <c r="V4767" s="9">
        <v>22.020224218035128</v>
      </c>
      <c r="W4767" s="9">
        <v>22.020224218035128</v>
      </c>
      <c r="X4767" s="9">
        <v>24.004435739730138</v>
      </c>
      <c r="Y4767" s="9">
        <v>24.004435739730138</v>
      </c>
      <c r="Z4767" s="9">
        <v>26.075582265671787</v>
      </c>
      <c r="AA4767" s="9">
        <v>26.075582265671787</v>
      </c>
      <c r="AB4767" s="9">
        <v>28.242357296284759</v>
      </c>
      <c r="AC4767" s="9">
        <v>28.242357296284759</v>
      </c>
      <c r="AD4767" s="9">
        <v>32.278785457330969</v>
      </c>
      <c r="AE4767" s="9">
        <v>34.228944830548365</v>
      </c>
      <c r="AF4767" s="9">
        <v>36.293711230319367</v>
      </c>
      <c r="AG4767" s="9">
        <v>36.293711230319367</v>
      </c>
      <c r="AH4767" s="9">
        <v>39.230142171980006</v>
      </c>
      <c r="AI4767" s="9">
        <v>41.357809622501556</v>
      </c>
      <c r="AJ4767" s="9">
        <v>3.0428788910505911</v>
      </c>
    </row>
    <row r="4768" spans="1:36" x14ac:dyDescent="0.25">
      <c r="A4768" t="s">
        <v>5411</v>
      </c>
      <c r="B4768" t="s">
        <v>16</v>
      </c>
      <c r="C4768" t="s">
        <v>17</v>
      </c>
      <c r="D4768">
        <v>83860000</v>
      </c>
      <c r="E4768">
        <v>83869999</v>
      </c>
      <c r="F4768" t="s">
        <v>4326</v>
      </c>
      <c r="G4768" t="str">
        <f t="shared" si="148"/>
        <v>PRI II</v>
      </c>
      <c r="H4768" t="s">
        <v>4294</v>
      </c>
      <c r="I4768" t="s">
        <v>20</v>
      </c>
      <c r="J4768" t="s">
        <v>64</v>
      </c>
      <c r="K4768" s="6">
        <v>0.03</v>
      </c>
      <c r="L4768" s="7">
        <f t="shared" si="149"/>
        <v>2E-3</v>
      </c>
      <c r="M4768" s="7">
        <v>3.0000000000000001E-3</v>
      </c>
      <c r="N4768">
        <v>10</v>
      </c>
      <c r="O4768" s="8">
        <v>19.127752698369598</v>
      </c>
      <c r="P4768" s="9">
        <v>19.127752698369598</v>
      </c>
      <c r="Q4768" s="9">
        <v>19.127752698369598</v>
      </c>
      <c r="R4768" s="9">
        <v>19.588754687607715</v>
      </c>
      <c r="S4768" s="9">
        <v>19.892211826137899</v>
      </c>
      <c r="T4768" s="9">
        <v>20.64455772606674</v>
      </c>
      <c r="U4768" s="9">
        <v>22.020224218035128</v>
      </c>
      <c r="V4768" s="9">
        <v>22.020224218035128</v>
      </c>
      <c r="W4768" s="9">
        <v>22.020224218035128</v>
      </c>
      <c r="X4768" s="9">
        <v>24.004435739730138</v>
      </c>
      <c r="Y4768" s="9">
        <v>24.004435739730138</v>
      </c>
      <c r="Z4768" s="9">
        <v>26.075582265671787</v>
      </c>
      <c r="AA4768" s="9">
        <v>26.075582265671787</v>
      </c>
      <c r="AB4768" s="9">
        <v>28.242357296284759</v>
      </c>
      <c r="AC4768" s="9">
        <v>28.242357296284759</v>
      </c>
      <c r="AD4768" s="9">
        <v>32.278785457330969</v>
      </c>
      <c r="AE4768" s="9">
        <v>34.228944830548365</v>
      </c>
      <c r="AF4768" s="9">
        <v>36.293711230319367</v>
      </c>
      <c r="AG4768" s="9">
        <v>36.293711230319367</v>
      </c>
      <c r="AH4768" s="9">
        <v>39.230142171980006</v>
      </c>
      <c r="AI4768" s="9">
        <v>41.357809622501556</v>
      </c>
      <c r="AJ4768" s="9">
        <v>3.0428788910505911</v>
      </c>
    </row>
    <row r="4769" spans="1:36" x14ac:dyDescent="0.25">
      <c r="A4769" t="s">
        <v>5411</v>
      </c>
      <c r="B4769" t="s">
        <v>16</v>
      </c>
      <c r="C4769" t="s">
        <v>17</v>
      </c>
      <c r="D4769">
        <v>83870000</v>
      </c>
      <c r="E4769">
        <v>83879999</v>
      </c>
      <c r="F4769" t="s">
        <v>4327</v>
      </c>
      <c r="G4769" t="str">
        <f t="shared" si="148"/>
        <v>PRI II</v>
      </c>
      <c r="H4769" t="s">
        <v>4294</v>
      </c>
      <c r="I4769" t="s">
        <v>20</v>
      </c>
      <c r="J4769" t="s">
        <v>64</v>
      </c>
      <c r="K4769" s="6">
        <v>0.03</v>
      </c>
      <c r="L4769" s="7">
        <f t="shared" si="149"/>
        <v>2E-3</v>
      </c>
      <c r="M4769" s="7">
        <v>3.0000000000000001E-3</v>
      </c>
      <c r="N4769">
        <v>10</v>
      </c>
      <c r="O4769" s="8">
        <v>19.127752698369598</v>
      </c>
      <c r="P4769" s="9">
        <v>19.127752698369598</v>
      </c>
      <c r="Q4769" s="9">
        <v>19.127752698369598</v>
      </c>
      <c r="R4769" s="9">
        <v>19.588754687607715</v>
      </c>
      <c r="S4769" s="9">
        <v>19.892211826137899</v>
      </c>
      <c r="T4769" s="9">
        <v>20.64455772606674</v>
      </c>
      <c r="U4769" s="9">
        <v>22.020224218035128</v>
      </c>
      <c r="V4769" s="9">
        <v>22.020224218035128</v>
      </c>
      <c r="W4769" s="9">
        <v>22.020224218035128</v>
      </c>
      <c r="X4769" s="9">
        <v>24.004435739730138</v>
      </c>
      <c r="Y4769" s="9">
        <v>24.004435739730138</v>
      </c>
      <c r="Z4769" s="9">
        <v>26.075582265671787</v>
      </c>
      <c r="AA4769" s="9">
        <v>26.075582265671787</v>
      </c>
      <c r="AB4769" s="9">
        <v>28.242357296284759</v>
      </c>
      <c r="AC4769" s="9">
        <v>28.242357296284759</v>
      </c>
      <c r="AD4769" s="9">
        <v>32.278785457330969</v>
      </c>
      <c r="AE4769" s="9">
        <v>34.228944830548365</v>
      </c>
      <c r="AF4769" s="9">
        <v>36.293711230319367</v>
      </c>
      <c r="AG4769" s="9">
        <v>36.293711230319367</v>
      </c>
      <c r="AH4769" s="9">
        <v>39.230142171980006</v>
      </c>
      <c r="AI4769" s="9">
        <v>41.357809622501556</v>
      </c>
      <c r="AJ4769" s="9">
        <v>3.0428788910505911</v>
      </c>
    </row>
    <row r="4770" spans="1:36" x14ac:dyDescent="0.25">
      <c r="A4770" t="s">
        <v>5411</v>
      </c>
      <c r="B4770" t="s">
        <v>16</v>
      </c>
      <c r="C4770" t="s">
        <v>17</v>
      </c>
      <c r="D4770">
        <v>83880000</v>
      </c>
      <c r="E4770">
        <v>83899999</v>
      </c>
      <c r="F4770" t="s">
        <v>4245</v>
      </c>
      <c r="G4770" t="str">
        <f t="shared" si="148"/>
        <v>PRI</v>
      </c>
      <c r="H4770" t="s">
        <v>4294</v>
      </c>
      <c r="I4770" t="s">
        <v>20</v>
      </c>
      <c r="J4770" t="s">
        <v>62</v>
      </c>
      <c r="K4770" s="6">
        <v>0.03</v>
      </c>
      <c r="L4770" s="7">
        <f t="shared" si="149"/>
        <v>2E-3</v>
      </c>
      <c r="M4770" s="7">
        <v>3.0000000000000001E-3</v>
      </c>
      <c r="N4770">
        <v>10</v>
      </c>
      <c r="O4770" s="8">
        <v>16.344178346561137</v>
      </c>
      <c r="P4770" s="9">
        <v>16.344178346561137</v>
      </c>
      <c r="Q4770" s="9">
        <v>16.344178346561137</v>
      </c>
      <c r="R4770" s="9">
        <v>16.766533722582309</v>
      </c>
      <c r="S4770" s="9">
        <v>17.709108795625173</v>
      </c>
      <c r="T4770" s="9">
        <v>18.545760454647645</v>
      </c>
      <c r="U4770" s="9">
        <v>20.10723313448154</v>
      </c>
      <c r="V4770" s="9">
        <v>20.10723313448154</v>
      </c>
      <c r="W4770" s="9">
        <v>20.10723313448154</v>
      </c>
      <c r="X4770" s="9">
        <v>21.240951506551678</v>
      </c>
      <c r="Y4770" s="9">
        <v>21.240951506551678</v>
      </c>
      <c r="Z4770" s="9">
        <v>22.557015615717738</v>
      </c>
      <c r="AA4770" s="9">
        <v>22.557015615717738</v>
      </c>
      <c r="AB4770" s="9">
        <v>26.056112270527457</v>
      </c>
      <c r="AC4770" s="9">
        <v>26.056112270527457</v>
      </c>
      <c r="AD4770" s="9">
        <v>30.142276170369946</v>
      </c>
      <c r="AE4770" s="9">
        <v>32.940531048263779</v>
      </c>
      <c r="AF4770" s="9">
        <v>35.920735279325392</v>
      </c>
      <c r="AG4770" s="9">
        <v>35.920735279325392</v>
      </c>
      <c r="AH4770" s="9">
        <v>38.62832670141978</v>
      </c>
      <c r="AI4770" s="9">
        <v>41.239207360528972</v>
      </c>
      <c r="AJ4770" s="9">
        <v>3.0428788910505911</v>
      </c>
    </row>
    <row r="4771" spans="1:36" x14ac:dyDescent="0.25">
      <c r="A4771" t="s">
        <v>5411</v>
      </c>
      <c r="B4771" t="s">
        <v>16</v>
      </c>
      <c r="C4771" t="s">
        <v>17</v>
      </c>
      <c r="D4771">
        <v>83900000</v>
      </c>
      <c r="E4771">
        <v>83979999</v>
      </c>
      <c r="F4771" t="s">
        <v>4328</v>
      </c>
      <c r="G4771" t="str">
        <f t="shared" si="148"/>
        <v>PRI</v>
      </c>
      <c r="H4771" t="s">
        <v>4294</v>
      </c>
      <c r="I4771" t="s">
        <v>20</v>
      </c>
      <c r="J4771" t="s">
        <v>62</v>
      </c>
      <c r="K4771" s="6">
        <v>0.03</v>
      </c>
      <c r="L4771" s="7">
        <f t="shared" si="149"/>
        <v>2E-3</v>
      </c>
      <c r="M4771" s="7">
        <v>3.0000000000000001E-3</v>
      </c>
      <c r="N4771">
        <v>9</v>
      </c>
      <c r="O4771" s="8">
        <v>16.344178346561137</v>
      </c>
      <c r="P4771" s="9">
        <v>16.344178346561137</v>
      </c>
      <c r="Q4771" s="9">
        <v>16.344178346561137</v>
      </c>
      <c r="R4771" s="9">
        <v>16.766533722582309</v>
      </c>
      <c r="S4771" s="9">
        <v>17.709108795625173</v>
      </c>
      <c r="T4771" s="9">
        <v>18.545760454647645</v>
      </c>
      <c r="U4771" s="9">
        <v>20.10723313448154</v>
      </c>
      <c r="V4771" s="9">
        <v>20.10723313448154</v>
      </c>
      <c r="W4771" s="9">
        <v>20.10723313448154</v>
      </c>
      <c r="X4771" s="9">
        <v>21.240951506551678</v>
      </c>
      <c r="Y4771" s="9">
        <v>21.240951506551678</v>
      </c>
      <c r="Z4771" s="9">
        <v>22.557015615717738</v>
      </c>
      <c r="AA4771" s="9">
        <v>22.557015615717738</v>
      </c>
      <c r="AB4771" s="9">
        <v>26.056112270527457</v>
      </c>
      <c r="AC4771" s="9">
        <v>26.056112270527457</v>
      </c>
      <c r="AD4771" s="9">
        <v>30.142276170369946</v>
      </c>
      <c r="AE4771" s="9">
        <v>32.940531048263779</v>
      </c>
      <c r="AF4771" s="9">
        <v>35.920735279325392</v>
      </c>
      <c r="AG4771" s="9">
        <v>35.920735279325392</v>
      </c>
      <c r="AH4771" s="9">
        <v>38.62832670141978</v>
      </c>
      <c r="AI4771" s="9">
        <v>41.239207360528972</v>
      </c>
      <c r="AJ4771" s="9">
        <v>3.0428788910505911</v>
      </c>
    </row>
    <row r="4772" spans="1:36" x14ac:dyDescent="0.25">
      <c r="A4772" t="s">
        <v>5411</v>
      </c>
      <c r="B4772" t="s">
        <v>16</v>
      </c>
      <c r="C4772" t="s">
        <v>17</v>
      </c>
      <c r="D4772">
        <v>83980000</v>
      </c>
      <c r="E4772">
        <v>83999999</v>
      </c>
      <c r="F4772" t="s">
        <v>4329</v>
      </c>
      <c r="G4772" t="str">
        <f t="shared" si="148"/>
        <v>PRI II</v>
      </c>
      <c r="H4772" t="s">
        <v>4294</v>
      </c>
      <c r="I4772" t="s">
        <v>20</v>
      </c>
      <c r="J4772" t="s">
        <v>64</v>
      </c>
      <c r="K4772" s="6">
        <v>0.03</v>
      </c>
      <c r="L4772" s="7">
        <f t="shared" si="149"/>
        <v>2E-3</v>
      </c>
      <c r="M4772" s="7">
        <v>3.0000000000000001E-3</v>
      </c>
      <c r="N4772">
        <v>10</v>
      </c>
      <c r="O4772" s="8">
        <v>19.127752698369598</v>
      </c>
      <c r="P4772" s="9">
        <v>19.127752698369598</v>
      </c>
      <c r="Q4772" s="9">
        <v>19.127752698369598</v>
      </c>
      <c r="R4772" s="9">
        <v>19.588754687607715</v>
      </c>
      <c r="S4772" s="9">
        <v>19.892211826137899</v>
      </c>
      <c r="T4772" s="9">
        <v>20.64455772606674</v>
      </c>
      <c r="U4772" s="9">
        <v>22.020224218035128</v>
      </c>
      <c r="V4772" s="9">
        <v>22.020224218035128</v>
      </c>
      <c r="W4772" s="9">
        <v>22.020224218035128</v>
      </c>
      <c r="X4772" s="9">
        <v>24.004435739730138</v>
      </c>
      <c r="Y4772" s="9">
        <v>24.004435739730138</v>
      </c>
      <c r="Z4772" s="9">
        <v>26.075582265671787</v>
      </c>
      <c r="AA4772" s="9">
        <v>26.075582265671787</v>
      </c>
      <c r="AB4772" s="9">
        <v>28.242357296284759</v>
      </c>
      <c r="AC4772" s="9">
        <v>28.242357296284759</v>
      </c>
      <c r="AD4772" s="9">
        <v>32.278785457330969</v>
      </c>
      <c r="AE4772" s="9">
        <v>34.228944830548365</v>
      </c>
      <c r="AF4772" s="9">
        <v>36.293711230319367</v>
      </c>
      <c r="AG4772" s="9">
        <v>36.293711230319367</v>
      </c>
      <c r="AH4772" s="9">
        <v>39.230142171980006</v>
      </c>
      <c r="AI4772" s="9">
        <v>41.357809622501556</v>
      </c>
      <c r="AJ4772" s="9">
        <v>3.0428788910505911</v>
      </c>
    </row>
    <row r="4773" spans="1:36" x14ac:dyDescent="0.25">
      <c r="A4773" t="s">
        <v>5411</v>
      </c>
      <c r="B4773" t="s">
        <v>16</v>
      </c>
      <c r="C4773" t="s">
        <v>17</v>
      </c>
      <c r="D4773">
        <v>84000000</v>
      </c>
      <c r="E4773">
        <v>84129999</v>
      </c>
      <c r="F4773" t="s">
        <v>4330</v>
      </c>
      <c r="G4773" t="str">
        <f t="shared" si="148"/>
        <v>PRI</v>
      </c>
      <c r="H4773" t="s">
        <v>4294</v>
      </c>
      <c r="I4773" t="s">
        <v>20</v>
      </c>
      <c r="J4773" t="s">
        <v>62</v>
      </c>
      <c r="K4773" s="6">
        <v>0.03</v>
      </c>
      <c r="L4773" s="7">
        <f t="shared" si="149"/>
        <v>2E-3</v>
      </c>
      <c r="M4773" s="7">
        <v>3.0000000000000001E-3</v>
      </c>
      <c r="N4773">
        <v>8</v>
      </c>
      <c r="O4773" s="8">
        <v>16.344178346561137</v>
      </c>
      <c r="P4773" s="9">
        <v>16.344178346561137</v>
      </c>
      <c r="Q4773" s="9">
        <v>16.344178346561137</v>
      </c>
      <c r="R4773" s="9">
        <v>16.766533722582309</v>
      </c>
      <c r="S4773" s="9">
        <v>17.709108795625173</v>
      </c>
      <c r="T4773" s="9">
        <v>18.545760454647645</v>
      </c>
      <c r="U4773" s="9">
        <v>20.10723313448154</v>
      </c>
      <c r="V4773" s="9">
        <v>20.10723313448154</v>
      </c>
      <c r="W4773" s="9">
        <v>20.10723313448154</v>
      </c>
      <c r="X4773" s="9">
        <v>21.240951506551678</v>
      </c>
      <c r="Y4773" s="9">
        <v>21.240951506551678</v>
      </c>
      <c r="Z4773" s="9">
        <v>22.557015615717738</v>
      </c>
      <c r="AA4773" s="9">
        <v>22.557015615717738</v>
      </c>
      <c r="AB4773" s="9">
        <v>26.056112270527457</v>
      </c>
      <c r="AC4773" s="9">
        <v>26.056112270527457</v>
      </c>
      <c r="AD4773" s="9">
        <v>30.142276170369946</v>
      </c>
      <c r="AE4773" s="9">
        <v>32.940531048263779</v>
      </c>
      <c r="AF4773" s="9">
        <v>35.920735279325392</v>
      </c>
      <c r="AG4773" s="9">
        <v>35.920735279325392</v>
      </c>
      <c r="AH4773" s="9">
        <v>38.62832670141978</v>
      </c>
      <c r="AI4773" s="9">
        <v>41.239207360528972</v>
      </c>
      <c r="AJ4773" s="9">
        <v>3.0428788910505911</v>
      </c>
    </row>
    <row r="4774" spans="1:36" x14ac:dyDescent="0.25">
      <c r="A4774" t="s">
        <v>5411</v>
      </c>
      <c r="B4774" t="s">
        <v>16</v>
      </c>
      <c r="C4774" t="s">
        <v>17</v>
      </c>
      <c r="D4774">
        <v>84130000</v>
      </c>
      <c r="E4774">
        <v>84139999</v>
      </c>
      <c r="F4774" t="s">
        <v>4331</v>
      </c>
      <c r="G4774" t="str">
        <f t="shared" si="148"/>
        <v>PRI II</v>
      </c>
      <c r="H4774" t="s">
        <v>4294</v>
      </c>
      <c r="I4774" t="s">
        <v>20</v>
      </c>
      <c r="J4774" t="s">
        <v>64</v>
      </c>
      <c r="K4774" s="6">
        <v>0.03</v>
      </c>
      <c r="L4774" s="7">
        <f t="shared" si="149"/>
        <v>2E-3</v>
      </c>
      <c r="M4774" s="7">
        <v>3.0000000000000001E-3</v>
      </c>
      <c r="N4774">
        <v>11</v>
      </c>
      <c r="O4774" s="8">
        <v>19.127752698369598</v>
      </c>
      <c r="P4774" s="9">
        <v>19.127752698369598</v>
      </c>
      <c r="Q4774" s="9">
        <v>19.127752698369598</v>
      </c>
      <c r="R4774" s="9">
        <v>19.588754687607715</v>
      </c>
      <c r="S4774" s="9">
        <v>19.892211826137899</v>
      </c>
      <c r="T4774" s="9">
        <v>20.64455772606674</v>
      </c>
      <c r="U4774" s="9">
        <v>22.020224218035128</v>
      </c>
      <c r="V4774" s="9">
        <v>22.020224218035128</v>
      </c>
      <c r="W4774" s="9">
        <v>22.020224218035128</v>
      </c>
      <c r="X4774" s="9">
        <v>24.004435739730138</v>
      </c>
      <c r="Y4774" s="9">
        <v>24.004435739730138</v>
      </c>
      <c r="Z4774" s="9">
        <v>26.075582265671787</v>
      </c>
      <c r="AA4774" s="9">
        <v>26.075582265671787</v>
      </c>
      <c r="AB4774" s="9">
        <v>28.242357296284759</v>
      </c>
      <c r="AC4774" s="9">
        <v>28.242357296284759</v>
      </c>
      <c r="AD4774" s="9">
        <v>32.278785457330969</v>
      </c>
      <c r="AE4774" s="9">
        <v>34.228944830548365</v>
      </c>
      <c r="AF4774" s="9">
        <v>36.293711230319367</v>
      </c>
      <c r="AG4774" s="9">
        <v>36.293711230319367</v>
      </c>
      <c r="AH4774" s="9">
        <v>39.230142171980006</v>
      </c>
      <c r="AI4774" s="9">
        <v>41.357809622501556</v>
      </c>
      <c r="AJ4774" s="9">
        <v>3.0428788910505911</v>
      </c>
    </row>
    <row r="4775" spans="1:36" x14ac:dyDescent="0.25">
      <c r="A4775" t="s">
        <v>5411</v>
      </c>
      <c r="B4775" t="s">
        <v>16</v>
      </c>
      <c r="C4775" t="s">
        <v>17</v>
      </c>
      <c r="D4775">
        <v>84140000</v>
      </c>
      <c r="E4775">
        <v>84144999</v>
      </c>
      <c r="F4775" t="s">
        <v>4332</v>
      </c>
      <c r="G4775" t="str">
        <f t="shared" si="148"/>
        <v>PRI II</v>
      </c>
      <c r="H4775" t="s">
        <v>4294</v>
      </c>
      <c r="I4775" t="s">
        <v>20</v>
      </c>
      <c r="J4775" t="s">
        <v>64</v>
      </c>
      <c r="K4775" s="6">
        <v>0.03</v>
      </c>
      <c r="L4775" s="7">
        <f t="shared" si="149"/>
        <v>2E-3</v>
      </c>
      <c r="M4775" s="7">
        <v>3.0000000000000001E-3</v>
      </c>
      <c r="N4775">
        <v>11</v>
      </c>
      <c r="O4775" s="8">
        <v>19.127752698369598</v>
      </c>
      <c r="P4775" s="9">
        <v>19.127752698369598</v>
      </c>
      <c r="Q4775" s="9">
        <v>19.127752698369598</v>
      </c>
      <c r="R4775" s="9">
        <v>19.588754687607715</v>
      </c>
      <c r="S4775" s="9">
        <v>19.892211826137899</v>
      </c>
      <c r="T4775" s="9">
        <v>20.64455772606674</v>
      </c>
      <c r="U4775" s="9">
        <v>22.020224218035128</v>
      </c>
      <c r="V4775" s="9">
        <v>22.020224218035128</v>
      </c>
      <c r="W4775" s="9">
        <v>22.020224218035128</v>
      </c>
      <c r="X4775" s="9">
        <v>24.004435739730138</v>
      </c>
      <c r="Y4775" s="9">
        <v>24.004435739730138</v>
      </c>
      <c r="Z4775" s="9">
        <v>26.075582265671787</v>
      </c>
      <c r="AA4775" s="9">
        <v>26.075582265671787</v>
      </c>
      <c r="AB4775" s="9">
        <v>28.242357296284759</v>
      </c>
      <c r="AC4775" s="9">
        <v>28.242357296284759</v>
      </c>
      <c r="AD4775" s="9">
        <v>32.278785457330969</v>
      </c>
      <c r="AE4775" s="9">
        <v>34.228944830548365</v>
      </c>
      <c r="AF4775" s="9">
        <v>36.293711230319367</v>
      </c>
      <c r="AG4775" s="9">
        <v>36.293711230319367</v>
      </c>
      <c r="AH4775" s="9">
        <v>39.230142171980006</v>
      </c>
      <c r="AI4775" s="9">
        <v>41.357809622501556</v>
      </c>
      <c r="AJ4775" s="9">
        <v>3.0428788910505911</v>
      </c>
    </row>
    <row r="4776" spans="1:36" x14ac:dyDescent="0.25">
      <c r="A4776" t="s">
        <v>5411</v>
      </c>
      <c r="B4776" t="s">
        <v>16</v>
      </c>
      <c r="C4776" t="s">
        <v>17</v>
      </c>
      <c r="D4776">
        <v>84145000</v>
      </c>
      <c r="E4776">
        <v>84149999</v>
      </c>
      <c r="F4776" t="s">
        <v>4333</v>
      </c>
      <c r="G4776" t="str">
        <f t="shared" si="148"/>
        <v>PRI II</v>
      </c>
      <c r="H4776" t="s">
        <v>4294</v>
      </c>
      <c r="I4776" t="s">
        <v>20</v>
      </c>
      <c r="J4776" t="s">
        <v>64</v>
      </c>
      <c r="K4776" s="6">
        <v>0.03</v>
      </c>
      <c r="L4776" s="7">
        <f t="shared" si="149"/>
        <v>2E-3</v>
      </c>
      <c r="M4776" s="7">
        <v>3.0000000000000001E-3</v>
      </c>
      <c r="N4776">
        <v>11</v>
      </c>
      <c r="O4776" s="8">
        <v>19.127752698369598</v>
      </c>
      <c r="P4776" s="9">
        <v>19.127752698369598</v>
      </c>
      <c r="Q4776" s="9">
        <v>19.127752698369598</v>
      </c>
      <c r="R4776" s="9">
        <v>19.588754687607715</v>
      </c>
      <c r="S4776" s="9">
        <v>19.892211826137899</v>
      </c>
      <c r="T4776" s="9">
        <v>20.64455772606674</v>
      </c>
      <c r="U4776" s="9">
        <v>22.020224218035128</v>
      </c>
      <c r="V4776" s="9">
        <v>22.020224218035128</v>
      </c>
      <c r="W4776" s="9">
        <v>22.020224218035128</v>
      </c>
      <c r="X4776" s="9">
        <v>24.004435739730138</v>
      </c>
      <c r="Y4776" s="9">
        <v>24.004435739730138</v>
      </c>
      <c r="Z4776" s="9">
        <v>26.075582265671787</v>
      </c>
      <c r="AA4776" s="9">
        <v>26.075582265671787</v>
      </c>
      <c r="AB4776" s="9">
        <v>28.242357296284759</v>
      </c>
      <c r="AC4776" s="9">
        <v>28.242357296284759</v>
      </c>
      <c r="AD4776" s="9">
        <v>32.278785457330969</v>
      </c>
      <c r="AE4776" s="9">
        <v>34.228944830548365</v>
      </c>
      <c r="AF4776" s="9">
        <v>36.293711230319367</v>
      </c>
      <c r="AG4776" s="9">
        <v>36.293711230319367</v>
      </c>
      <c r="AH4776" s="9">
        <v>39.230142171980006</v>
      </c>
      <c r="AI4776" s="9">
        <v>41.357809622501556</v>
      </c>
      <c r="AJ4776" s="9">
        <v>3.0428788910505911</v>
      </c>
    </row>
    <row r="4777" spans="1:36" x14ac:dyDescent="0.25">
      <c r="A4777" t="s">
        <v>5411</v>
      </c>
      <c r="B4777" t="s">
        <v>16</v>
      </c>
      <c r="C4777" t="s">
        <v>17</v>
      </c>
      <c r="D4777">
        <v>84150000</v>
      </c>
      <c r="E4777">
        <v>84159999</v>
      </c>
      <c r="F4777" t="s">
        <v>4334</v>
      </c>
      <c r="G4777" t="str">
        <f t="shared" si="148"/>
        <v>PRI II</v>
      </c>
      <c r="H4777" t="s">
        <v>4294</v>
      </c>
      <c r="I4777" t="s">
        <v>20</v>
      </c>
      <c r="J4777" t="s">
        <v>64</v>
      </c>
      <c r="K4777" s="6">
        <v>0.03</v>
      </c>
      <c r="L4777" s="7">
        <f t="shared" si="149"/>
        <v>2E-3</v>
      </c>
      <c r="M4777" s="7">
        <v>3.0000000000000001E-3</v>
      </c>
      <c r="N4777">
        <v>11</v>
      </c>
      <c r="O4777" s="8">
        <v>19.127752698369598</v>
      </c>
      <c r="P4777" s="9">
        <v>19.127752698369598</v>
      </c>
      <c r="Q4777" s="9">
        <v>19.127752698369598</v>
      </c>
      <c r="R4777" s="9">
        <v>19.588754687607715</v>
      </c>
      <c r="S4777" s="9">
        <v>19.892211826137899</v>
      </c>
      <c r="T4777" s="9">
        <v>20.64455772606674</v>
      </c>
      <c r="U4777" s="9">
        <v>22.020224218035128</v>
      </c>
      <c r="V4777" s="9">
        <v>22.020224218035128</v>
      </c>
      <c r="W4777" s="9">
        <v>22.020224218035128</v>
      </c>
      <c r="X4777" s="9">
        <v>24.004435739730138</v>
      </c>
      <c r="Y4777" s="9">
        <v>24.004435739730138</v>
      </c>
      <c r="Z4777" s="9">
        <v>26.075582265671787</v>
      </c>
      <c r="AA4777" s="9">
        <v>26.075582265671787</v>
      </c>
      <c r="AB4777" s="9">
        <v>28.242357296284759</v>
      </c>
      <c r="AC4777" s="9">
        <v>28.242357296284759</v>
      </c>
      <c r="AD4777" s="9">
        <v>32.278785457330969</v>
      </c>
      <c r="AE4777" s="9">
        <v>34.228944830548365</v>
      </c>
      <c r="AF4777" s="9">
        <v>36.293711230319367</v>
      </c>
      <c r="AG4777" s="9">
        <v>36.293711230319367</v>
      </c>
      <c r="AH4777" s="9">
        <v>39.230142171980006</v>
      </c>
      <c r="AI4777" s="9">
        <v>41.357809622501556</v>
      </c>
      <c r="AJ4777" s="9">
        <v>3.0428788910505911</v>
      </c>
    </row>
    <row r="4778" spans="1:36" x14ac:dyDescent="0.25">
      <c r="A4778" t="s">
        <v>5411</v>
      </c>
      <c r="B4778" t="s">
        <v>16</v>
      </c>
      <c r="C4778" t="s">
        <v>17</v>
      </c>
      <c r="D4778">
        <v>84160000</v>
      </c>
      <c r="E4778">
        <v>84199999</v>
      </c>
      <c r="F4778" t="s">
        <v>4335</v>
      </c>
      <c r="G4778" t="str">
        <f t="shared" si="148"/>
        <v>PRI</v>
      </c>
      <c r="H4778" t="s">
        <v>4294</v>
      </c>
      <c r="I4778" t="s">
        <v>20</v>
      </c>
      <c r="J4778" t="s">
        <v>62</v>
      </c>
      <c r="K4778" s="6">
        <v>0.03</v>
      </c>
      <c r="L4778" s="7">
        <f t="shared" si="149"/>
        <v>2E-3</v>
      </c>
      <c r="M4778" s="7">
        <v>3.0000000000000001E-3</v>
      </c>
      <c r="N4778">
        <v>9</v>
      </c>
      <c r="O4778" s="8">
        <v>16.344178346561137</v>
      </c>
      <c r="P4778" s="9">
        <v>16.344178346561137</v>
      </c>
      <c r="Q4778" s="9">
        <v>16.344178346561137</v>
      </c>
      <c r="R4778" s="9">
        <v>16.766533722582309</v>
      </c>
      <c r="S4778" s="9">
        <v>17.709108795625173</v>
      </c>
      <c r="T4778" s="9">
        <v>18.545760454647645</v>
      </c>
      <c r="U4778" s="9">
        <v>20.10723313448154</v>
      </c>
      <c r="V4778" s="9">
        <v>20.10723313448154</v>
      </c>
      <c r="W4778" s="9">
        <v>20.10723313448154</v>
      </c>
      <c r="X4778" s="9">
        <v>21.240951506551678</v>
      </c>
      <c r="Y4778" s="9">
        <v>21.240951506551678</v>
      </c>
      <c r="Z4778" s="9">
        <v>22.557015615717738</v>
      </c>
      <c r="AA4778" s="9">
        <v>22.557015615717738</v>
      </c>
      <c r="AB4778" s="9">
        <v>26.056112270527457</v>
      </c>
      <c r="AC4778" s="9">
        <v>26.056112270527457</v>
      </c>
      <c r="AD4778" s="9">
        <v>30.142276170369946</v>
      </c>
      <c r="AE4778" s="9">
        <v>32.940531048263779</v>
      </c>
      <c r="AF4778" s="9">
        <v>35.920735279325392</v>
      </c>
      <c r="AG4778" s="9">
        <v>35.920735279325392</v>
      </c>
      <c r="AH4778" s="9">
        <v>38.62832670141978</v>
      </c>
      <c r="AI4778" s="9">
        <v>41.239207360528972</v>
      </c>
      <c r="AJ4778" s="9">
        <v>3.0428788910505911</v>
      </c>
    </row>
    <row r="4779" spans="1:36" x14ac:dyDescent="0.25">
      <c r="A4779" t="s">
        <v>5411</v>
      </c>
      <c r="B4779" t="s">
        <v>16</v>
      </c>
      <c r="C4779" t="s">
        <v>17</v>
      </c>
      <c r="D4779">
        <v>84200000</v>
      </c>
      <c r="E4779">
        <v>84219999</v>
      </c>
      <c r="F4779" t="s">
        <v>4336</v>
      </c>
      <c r="G4779" t="str">
        <f t="shared" si="148"/>
        <v>PRI</v>
      </c>
      <c r="H4779" t="s">
        <v>4294</v>
      </c>
      <c r="I4779" t="s">
        <v>20</v>
      </c>
      <c r="J4779" t="s">
        <v>62</v>
      </c>
      <c r="K4779" s="6">
        <v>0.03</v>
      </c>
      <c r="L4779" s="7">
        <f t="shared" si="149"/>
        <v>2E-3</v>
      </c>
      <c r="M4779" s="7">
        <v>3.0000000000000001E-3</v>
      </c>
      <c r="N4779">
        <v>10</v>
      </c>
      <c r="O4779" s="8">
        <v>16.344178346561137</v>
      </c>
      <c r="P4779" s="9">
        <v>16.344178346561137</v>
      </c>
      <c r="Q4779" s="9">
        <v>16.344178346561137</v>
      </c>
      <c r="R4779" s="9">
        <v>16.766533722582309</v>
      </c>
      <c r="S4779" s="9">
        <v>17.709108795625173</v>
      </c>
      <c r="T4779" s="9">
        <v>18.545760454647645</v>
      </c>
      <c r="U4779" s="9">
        <v>20.10723313448154</v>
      </c>
      <c r="V4779" s="9">
        <v>20.10723313448154</v>
      </c>
      <c r="W4779" s="9">
        <v>20.10723313448154</v>
      </c>
      <c r="X4779" s="9">
        <v>21.240951506551678</v>
      </c>
      <c r="Y4779" s="9">
        <v>21.240951506551678</v>
      </c>
      <c r="Z4779" s="9">
        <v>22.557015615717738</v>
      </c>
      <c r="AA4779" s="9">
        <v>22.557015615717738</v>
      </c>
      <c r="AB4779" s="9">
        <v>26.056112270527457</v>
      </c>
      <c r="AC4779" s="9">
        <v>26.056112270527457</v>
      </c>
      <c r="AD4779" s="9">
        <v>30.142276170369946</v>
      </c>
      <c r="AE4779" s="9">
        <v>32.940531048263779</v>
      </c>
      <c r="AF4779" s="9">
        <v>35.920735279325392</v>
      </c>
      <c r="AG4779" s="9">
        <v>35.920735279325392</v>
      </c>
      <c r="AH4779" s="9">
        <v>38.62832670141978</v>
      </c>
      <c r="AI4779" s="9">
        <v>41.239207360528972</v>
      </c>
      <c r="AJ4779" s="9">
        <v>3.0428788910505911</v>
      </c>
    </row>
    <row r="4780" spans="1:36" x14ac:dyDescent="0.25">
      <c r="A4780" t="s">
        <v>5411</v>
      </c>
      <c r="B4780" t="s">
        <v>16</v>
      </c>
      <c r="C4780" t="s">
        <v>17</v>
      </c>
      <c r="D4780">
        <v>84220000</v>
      </c>
      <c r="E4780">
        <v>84239999</v>
      </c>
      <c r="F4780" t="s">
        <v>4337</v>
      </c>
      <c r="G4780" t="str">
        <f t="shared" si="148"/>
        <v>PRI II</v>
      </c>
      <c r="H4780" t="s">
        <v>4294</v>
      </c>
      <c r="I4780" t="s">
        <v>20</v>
      </c>
      <c r="J4780" t="s">
        <v>64</v>
      </c>
      <c r="K4780" s="6">
        <v>0.03</v>
      </c>
      <c r="L4780" s="7">
        <f t="shared" si="149"/>
        <v>2E-3</v>
      </c>
      <c r="M4780" s="7">
        <v>3.0000000000000001E-3</v>
      </c>
      <c r="N4780">
        <v>11</v>
      </c>
      <c r="O4780" s="8">
        <v>19.127752698369598</v>
      </c>
      <c r="P4780" s="9">
        <v>19.127752698369598</v>
      </c>
      <c r="Q4780" s="9">
        <v>19.127752698369598</v>
      </c>
      <c r="R4780" s="9">
        <v>19.588754687607715</v>
      </c>
      <c r="S4780" s="9">
        <v>19.892211826137899</v>
      </c>
      <c r="T4780" s="9">
        <v>20.64455772606674</v>
      </c>
      <c r="U4780" s="9">
        <v>22.020224218035128</v>
      </c>
      <c r="V4780" s="9">
        <v>22.020224218035128</v>
      </c>
      <c r="W4780" s="9">
        <v>22.020224218035128</v>
      </c>
      <c r="X4780" s="9">
        <v>24.004435739730138</v>
      </c>
      <c r="Y4780" s="9">
        <v>24.004435739730138</v>
      </c>
      <c r="Z4780" s="9">
        <v>26.075582265671787</v>
      </c>
      <c r="AA4780" s="9">
        <v>26.075582265671787</v>
      </c>
      <c r="AB4780" s="9">
        <v>28.242357296284759</v>
      </c>
      <c r="AC4780" s="9">
        <v>28.242357296284759</v>
      </c>
      <c r="AD4780" s="9">
        <v>32.278785457330969</v>
      </c>
      <c r="AE4780" s="9">
        <v>34.228944830548365</v>
      </c>
      <c r="AF4780" s="9">
        <v>36.293711230319367</v>
      </c>
      <c r="AG4780" s="9">
        <v>36.293711230319367</v>
      </c>
      <c r="AH4780" s="9">
        <v>39.230142171980006</v>
      </c>
      <c r="AI4780" s="9">
        <v>41.357809622501556</v>
      </c>
      <c r="AJ4780" s="9">
        <v>3.0428788910505911</v>
      </c>
    </row>
    <row r="4781" spans="1:36" x14ac:dyDescent="0.25">
      <c r="A4781" t="s">
        <v>5411</v>
      </c>
      <c r="B4781" t="s">
        <v>16</v>
      </c>
      <c r="C4781" t="s">
        <v>17</v>
      </c>
      <c r="D4781">
        <v>84240000</v>
      </c>
      <c r="E4781">
        <v>84249999</v>
      </c>
      <c r="F4781" t="s">
        <v>4338</v>
      </c>
      <c r="G4781" t="str">
        <f t="shared" si="148"/>
        <v>PRI II</v>
      </c>
      <c r="H4781" t="s">
        <v>4294</v>
      </c>
      <c r="I4781" t="s">
        <v>20</v>
      </c>
      <c r="J4781" t="s">
        <v>64</v>
      </c>
      <c r="K4781" s="6">
        <v>0.03</v>
      </c>
      <c r="L4781" s="7">
        <f t="shared" si="149"/>
        <v>2E-3</v>
      </c>
      <c r="M4781" s="7">
        <v>3.0000000000000001E-3</v>
      </c>
      <c r="N4781">
        <v>11</v>
      </c>
      <c r="O4781" s="8">
        <v>19.127752698369598</v>
      </c>
      <c r="P4781" s="9">
        <v>19.127752698369598</v>
      </c>
      <c r="Q4781" s="9">
        <v>19.127752698369598</v>
      </c>
      <c r="R4781" s="9">
        <v>19.588754687607715</v>
      </c>
      <c r="S4781" s="9">
        <v>19.892211826137899</v>
      </c>
      <c r="T4781" s="9">
        <v>20.64455772606674</v>
      </c>
      <c r="U4781" s="9">
        <v>22.020224218035128</v>
      </c>
      <c r="V4781" s="9">
        <v>22.020224218035128</v>
      </c>
      <c r="W4781" s="9">
        <v>22.020224218035128</v>
      </c>
      <c r="X4781" s="9">
        <v>24.004435739730138</v>
      </c>
      <c r="Y4781" s="9">
        <v>24.004435739730138</v>
      </c>
      <c r="Z4781" s="9">
        <v>26.075582265671787</v>
      </c>
      <c r="AA4781" s="9">
        <v>26.075582265671787</v>
      </c>
      <c r="AB4781" s="9">
        <v>28.242357296284759</v>
      </c>
      <c r="AC4781" s="9">
        <v>28.242357296284759</v>
      </c>
      <c r="AD4781" s="9">
        <v>32.278785457330969</v>
      </c>
      <c r="AE4781" s="9">
        <v>34.228944830548365</v>
      </c>
      <c r="AF4781" s="9">
        <v>36.293711230319367</v>
      </c>
      <c r="AG4781" s="9">
        <v>36.293711230319367</v>
      </c>
      <c r="AH4781" s="9">
        <v>39.230142171980006</v>
      </c>
      <c r="AI4781" s="9">
        <v>41.357809622501556</v>
      </c>
      <c r="AJ4781" s="9">
        <v>3.0428788910505911</v>
      </c>
    </row>
    <row r="4782" spans="1:36" x14ac:dyDescent="0.25">
      <c r="A4782" t="s">
        <v>5411</v>
      </c>
      <c r="B4782" t="s">
        <v>16</v>
      </c>
      <c r="C4782" t="s">
        <v>17</v>
      </c>
      <c r="D4782">
        <v>84250000</v>
      </c>
      <c r="E4782">
        <v>84259999</v>
      </c>
      <c r="F4782" t="s">
        <v>4339</v>
      </c>
      <c r="G4782" t="str">
        <f t="shared" si="148"/>
        <v>PRI II</v>
      </c>
      <c r="H4782" t="s">
        <v>4294</v>
      </c>
      <c r="I4782" t="s">
        <v>20</v>
      </c>
      <c r="J4782" t="s">
        <v>64</v>
      </c>
      <c r="K4782" s="6">
        <v>0.03</v>
      </c>
      <c r="L4782" s="7">
        <f t="shared" si="149"/>
        <v>2E-3</v>
      </c>
      <c r="M4782" s="7">
        <v>3.0000000000000001E-3</v>
      </c>
      <c r="N4782">
        <v>11</v>
      </c>
      <c r="O4782" s="8">
        <v>19.127752698369598</v>
      </c>
      <c r="P4782" s="9">
        <v>19.127752698369598</v>
      </c>
      <c r="Q4782" s="9">
        <v>19.127752698369598</v>
      </c>
      <c r="R4782" s="9">
        <v>19.588754687607715</v>
      </c>
      <c r="S4782" s="9">
        <v>19.892211826137899</v>
      </c>
      <c r="T4782" s="9">
        <v>20.64455772606674</v>
      </c>
      <c r="U4782" s="9">
        <v>22.020224218035128</v>
      </c>
      <c r="V4782" s="9">
        <v>22.020224218035128</v>
      </c>
      <c r="W4782" s="9">
        <v>22.020224218035128</v>
      </c>
      <c r="X4782" s="9">
        <v>24.004435739730138</v>
      </c>
      <c r="Y4782" s="9">
        <v>24.004435739730138</v>
      </c>
      <c r="Z4782" s="9">
        <v>26.075582265671787</v>
      </c>
      <c r="AA4782" s="9">
        <v>26.075582265671787</v>
      </c>
      <c r="AB4782" s="9">
        <v>28.242357296284759</v>
      </c>
      <c r="AC4782" s="9">
        <v>28.242357296284759</v>
      </c>
      <c r="AD4782" s="9">
        <v>32.278785457330969</v>
      </c>
      <c r="AE4782" s="9">
        <v>34.228944830548365</v>
      </c>
      <c r="AF4782" s="9">
        <v>36.293711230319367</v>
      </c>
      <c r="AG4782" s="9">
        <v>36.293711230319367</v>
      </c>
      <c r="AH4782" s="9">
        <v>39.230142171980006</v>
      </c>
      <c r="AI4782" s="9">
        <v>41.357809622501556</v>
      </c>
      <c r="AJ4782" s="9">
        <v>3.0428788910505911</v>
      </c>
    </row>
    <row r="4783" spans="1:36" x14ac:dyDescent="0.25">
      <c r="A4783" t="s">
        <v>5411</v>
      </c>
      <c r="B4783" t="s">
        <v>16</v>
      </c>
      <c r="C4783" t="s">
        <v>17</v>
      </c>
      <c r="D4783">
        <v>84260000</v>
      </c>
      <c r="E4783">
        <v>84279999</v>
      </c>
      <c r="F4783" t="s">
        <v>4340</v>
      </c>
      <c r="G4783" t="str">
        <f t="shared" si="148"/>
        <v>PRI</v>
      </c>
      <c r="H4783" t="s">
        <v>4294</v>
      </c>
      <c r="I4783" t="s">
        <v>20</v>
      </c>
      <c r="J4783" t="s">
        <v>62</v>
      </c>
      <c r="K4783" s="6">
        <v>0.03</v>
      </c>
      <c r="L4783" s="7">
        <f t="shared" si="149"/>
        <v>2E-3</v>
      </c>
      <c r="M4783" s="7">
        <v>3.0000000000000001E-3</v>
      </c>
      <c r="N4783">
        <v>9</v>
      </c>
      <c r="O4783" s="8">
        <v>16.344178346561137</v>
      </c>
      <c r="P4783" s="9">
        <v>16.344178346561137</v>
      </c>
      <c r="Q4783" s="9">
        <v>16.344178346561137</v>
      </c>
      <c r="R4783" s="9">
        <v>16.766533722582309</v>
      </c>
      <c r="S4783" s="9">
        <v>17.709108795625173</v>
      </c>
      <c r="T4783" s="9">
        <v>18.545760454647645</v>
      </c>
      <c r="U4783" s="9">
        <v>20.10723313448154</v>
      </c>
      <c r="V4783" s="9">
        <v>20.10723313448154</v>
      </c>
      <c r="W4783" s="9">
        <v>20.10723313448154</v>
      </c>
      <c r="X4783" s="9">
        <v>21.240951506551678</v>
      </c>
      <c r="Y4783" s="9">
        <v>21.240951506551678</v>
      </c>
      <c r="Z4783" s="9">
        <v>22.557015615717738</v>
      </c>
      <c r="AA4783" s="9">
        <v>22.557015615717738</v>
      </c>
      <c r="AB4783" s="9">
        <v>26.056112270527457</v>
      </c>
      <c r="AC4783" s="9">
        <v>26.056112270527457</v>
      </c>
      <c r="AD4783" s="9">
        <v>30.142276170369946</v>
      </c>
      <c r="AE4783" s="9">
        <v>32.940531048263779</v>
      </c>
      <c r="AF4783" s="9">
        <v>35.920735279325392</v>
      </c>
      <c r="AG4783" s="9">
        <v>35.920735279325392</v>
      </c>
      <c r="AH4783" s="9">
        <v>38.62832670141978</v>
      </c>
      <c r="AI4783" s="9">
        <v>41.239207360528972</v>
      </c>
      <c r="AJ4783" s="9">
        <v>3.0428788910505911</v>
      </c>
    </row>
    <row r="4784" spans="1:36" x14ac:dyDescent="0.25">
      <c r="A4784" t="s">
        <v>5411</v>
      </c>
      <c r="B4784" t="s">
        <v>16</v>
      </c>
      <c r="C4784" t="s">
        <v>17</v>
      </c>
      <c r="D4784">
        <v>84280000</v>
      </c>
      <c r="E4784">
        <v>84284999</v>
      </c>
      <c r="F4784" t="s">
        <v>4341</v>
      </c>
      <c r="G4784" t="str">
        <f t="shared" si="148"/>
        <v>PRI II</v>
      </c>
      <c r="H4784" t="s">
        <v>4294</v>
      </c>
      <c r="I4784" t="s">
        <v>20</v>
      </c>
      <c r="J4784" t="s">
        <v>64</v>
      </c>
      <c r="K4784" s="6">
        <v>0.03</v>
      </c>
      <c r="L4784" s="7">
        <f t="shared" si="149"/>
        <v>2E-3</v>
      </c>
      <c r="M4784" s="7">
        <v>3.0000000000000001E-3</v>
      </c>
      <c r="N4784">
        <v>11</v>
      </c>
      <c r="O4784" s="8">
        <v>19.127752698369598</v>
      </c>
      <c r="P4784" s="9">
        <v>19.127752698369598</v>
      </c>
      <c r="Q4784" s="9">
        <v>19.127752698369598</v>
      </c>
      <c r="R4784" s="9">
        <v>19.588754687607715</v>
      </c>
      <c r="S4784" s="9">
        <v>19.892211826137899</v>
      </c>
      <c r="T4784" s="9">
        <v>20.64455772606674</v>
      </c>
      <c r="U4784" s="9">
        <v>22.020224218035128</v>
      </c>
      <c r="V4784" s="9">
        <v>22.020224218035128</v>
      </c>
      <c r="W4784" s="9">
        <v>22.020224218035128</v>
      </c>
      <c r="X4784" s="9">
        <v>24.004435739730138</v>
      </c>
      <c r="Y4784" s="9">
        <v>24.004435739730138</v>
      </c>
      <c r="Z4784" s="9">
        <v>26.075582265671787</v>
      </c>
      <c r="AA4784" s="9">
        <v>26.075582265671787</v>
      </c>
      <c r="AB4784" s="9">
        <v>28.242357296284759</v>
      </c>
      <c r="AC4784" s="9">
        <v>28.242357296284759</v>
      </c>
      <c r="AD4784" s="9">
        <v>32.278785457330969</v>
      </c>
      <c r="AE4784" s="9">
        <v>34.228944830548365</v>
      </c>
      <c r="AF4784" s="9">
        <v>36.293711230319367</v>
      </c>
      <c r="AG4784" s="9">
        <v>36.293711230319367</v>
      </c>
      <c r="AH4784" s="9">
        <v>39.230142171980006</v>
      </c>
      <c r="AI4784" s="9">
        <v>41.357809622501556</v>
      </c>
      <c r="AJ4784" s="9">
        <v>3.0428788910505911</v>
      </c>
    </row>
    <row r="4785" spans="1:36" x14ac:dyDescent="0.25">
      <c r="A4785" t="s">
        <v>5411</v>
      </c>
      <c r="B4785" t="s">
        <v>16</v>
      </c>
      <c r="C4785" t="s">
        <v>17</v>
      </c>
      <c r="D4785">
        <v>84285000</v>
      </c>
      <c r="E4785">
        <v>84289999</v>
      </c>
      <c r="F4785" t="s">
        <v>4342</v>
      </c>
      <c r="G4785" t="str">
        <f t="shared" si="148"/>
        <v>PRI II</v>
      </c>
      <c r="H4785" t="s">
        <v>4294</v>
      </c>
      <c r="I4785" t="s">
        <v>20</v>
      </c>
      <c r="J4785" t="s">
        <v>64</v>
      </c>
      <c r="K4785" s="6">
        <v>0.03</v>
      </c>
      <c r="L4785" s="7">
        <f t="shared" si="149"/>
        <v>2E-3</v>
      </c>
      <c r="M4785" s="7">
        <v>3.0000000000000001E-3</v>
      </c>
      <c r="N4785">
        <v>11</v>
      </c>
      <c r="O4785" s="8">
        <v>19.127752698369598</v>
      </c>
      <c r="P4785" s="9">
        <v>19.127752698369598</v>
      </c>
      <c r="Q4785" s="9">
        <v>19.127752698369598</v>
      </c>
      <c r="R4785" s="9">
        <v>19.588754687607715</v>
      </c>
      <c r="S4785" s="9">
        <v>19.892211826137899</v>
      </c>
      <c r="T4785" s="9">
        <v>20.64455772606674</v>
      </c>
      <c r="U4785" s="9">
        <v>22.020224218035128</v>
      </c>
      <c r="V4785" s="9">
        <v>22.020224218035128</v>
      </c>
      <c r="W4785" s="9">
        <v>22.020224218035128</v>
      </c>
      <c r="X4785" s="9">
        <v>24.004435739730138</v>
      </c>
      <c r="Y4785" s="9">
        <v>24.004435739730138</v>
      </c>
      <c r="Z4785" s="9">
        <v>26.075582265671787</v>
      </c>
      <c r="AA4785" s="9">
        <v>26.075582265671787</v>
      </c>
      <c r="AB4785" s="9">
        <v>28.242357296284759</v>
      </c>
      <c r="AC4785" s="9">
        <v>28.242357296284759</v>
      </c>
      <c r="AD4785" s="9">
        <v>32.278785457330969</v>
      </c>
      <c r="AE4785" s="9">
        <v>34.228944830548365</v>
      </c>
      <c r="AF4785" s="9">
        <v>36.293711230319367</v>
      </c>
      <c r="AG4785" s="9">
        <v>36.293711230319367</v>
      </c>
      <c r="AH4785" s="9">
        <v>39.230142171980006</v>
      </c>
      <c r="AI4785" s="9">
        <v>41.357809622501556</v>
      </c>
      <c r="AJ4785" s="9">
        <v>3.0428788910505911</v>
      </c>
    </row>
    <row r="4786" spans="1:36" x14ac:dyDescent="0.25">
      <c r="A4786" t="s">
        <v>5411</v>
      </c>
      <c r="B4786" t="s">
        <v>16</v>
      </c>
      <c r="C4786" t="s">
        <v>17</v>
      </c>
      <c r="D4786">
        <v>84290000</v>
      </c>
      <c r="E4786">
        <v>84299999</v>
      </c>
      <c r="F4786" t="s">
        <v>4343</v>
      </c>
      <c r="G4786" t="str">
        <f t="shared" si="148"/>
        <v>PRI II</v>
      </c>
      <c r="H4786" t="s">
        <v>4294</v>
      </c>
      <c r="I4786" t="s">
        <v>20</v>
      </c>
      <c r="J4786" t="s">
        <v>64</v>
      </c>
      <c r="K4786" s="6">
        <v>0.03</v>
      </c>
      <c r="L4786" s="7">
        <f t="shared" si="149"/>
        <v>2E-3</v>
      </c>
      <c r="M4786" s="7">
        <v>3.0000000000000001E-3</v>
      </c>
      <c r="N4786">
        <v>11</v>
      </c>
      <c r="O4786" s="8">
        <v>19.127752698369598</v>
      </c>
      <c r="P4786" s="9">
        <v>19.127752698369598</v>
      </c>
      <c r="Q4786" s="9">
        <v>19.127752698369598</v>
      </c>
      <c r="R4786" s="9">
        <v>19.588754687607715</v>
      </c>
      <c r="S4786" s="9">
        <v>19.892211826137899</v>
      </c>
      <c r="T4786" s="9">
        <v>20.64455772606674</v>
      </c>
      <c r="U4786" s="9">
        <v>22.020224218035128</v>
      </c>
      <c r="V4786" s="9">
        <v>22.020224218035128</v>
      </c>
      <c r="W4786" s="9">
        <v>22.020224218035128</v>
      </c>
      <c r="X4786" s="9">
        <v>24.004435739730138</v>
      </c>
      <c r="Y4786" s="9">
        <v>24.004435739730138</v>
      </c>
      <c r="Z4786" s="9">
        <v>26.075582265671787</v>
      </c>
      <c r="AA4786" s="9">
        <v>26.075582265671787</v>
      </c>
      <c r="AB4786" s="9">
        <v>28.242357296284759</v>
      </c>
      <c r="AC4786" s="9">
        <v>28.242357296284759</v>
      </c>
      <c r="AD4786" s="9">
        <v>32.278785457330969</v>
      </c>
      <c r="AE4786" s="9">
        <v>34.228944830548365</v>
      </c>
      <c r="AF4786" s="9">
        <v>36.293711230319367</v>
      </c>
      <c r="AG4786" s="9">
        <v>36.293711230319367</v>
      </c>
      <c r="AH4786" s="9">
        <v>39.230142171980006</v>
      </c>
      <c r="AI4786" s="9">
        <v>41.357809622501556</v>
      </c>
      <c r="AJ4786" s="9">
        <v>3.0428788910505911</v>
      </c>
    </row>
    <row r="4787" spans="1:36" x14ac:dyDescent="0.25">
      <c r="A4787" t="s">
        <v>5411</v>
      </c>
      <c r="B4787" t="s">
        <v>16</v>
      </c>
      <c r="C4787" t="s">
        <v>17</v>
      </c>
      <c r="D4787">
        <v>84300000</v>
      </c>
      <c r="E4787">
        <v>84319999</v>
      </c>
      <c r="F4787" t="s">
        <v>4344</v>
      </c>
      <c r="G4787" t="str">
        <f t="shared" si="148"/>
        <v>PRI II</v>
      </c>
      <c r="H4787" t="s">
        <v>4294</v>
      </c>
      <c r="I4787" t="s">
        <v>20</v>
      </c>
      <c r="J4787" t="s">
        <v>64</v>
      </c>
      <c r="K4787" s="6">
        <v>0.03</v>
      </c>
      <c r="L4787" s="7">
        <f t="shared" si="149"/>
        <v>2E-3</v>
      </c>
      <c r="M4787" s="7">
        <v>3.0000000000000001E-3</v>
      </c>
      <c r="N4787">
        <v>11</v>
      </c>
      <c r="O4787" s="8">
        <v>19.127752698369598</v>
      </c>
      <c r="P4787" s="9">
        <v>19.127752698369598</v>
      </c>
      <c r="Q4787" s="9">
        <v>19.127752698369598</v>
      </c>
      <c r="R4787" s="9">
        <v>19.588754687607715</v>
      </c>
      <c r="S4787" s="9">
        <v>19.892211826137899</v>
      </c>
      <c r="T4787" s="9">
        <v>20.64455772606674</v>
      </c>
      <c r="U4787" s="9">
        <v>22.020224218035128</v>
      </c>
      <c r="V4787" s="9">
        <v>22.020224218035128</v>
      </c>
      <c r="W4787" s="9">
        <v>22.020224218035128</v>
      </c>
      <c r="X4787" s="9">
        <v>24.004435739730138</v>
      </c>
      <c r="Y4787" s="9">
        <v>24.004435739730138</v>
      </c>
      <c r="Z4787" s="9">
        <v>26.075582265671787</v>
      </c>
      <c r="AA4787" s="9">
        <v>26.075582265671787</v>
      </c>
      <c r="AB4787" s="9">
        <v>28.242357296284759</v>
      </c>
      <c r="AC4787" s="9">
        <v>28.242357296284759</v>
      </c>
      <c r="AD4787" s="9">
        <v>32.278785457330969</v>
      </c>
      <c r="AE4787" s="9">
        <v>34.228944830548365</v>
      </c>
      <c r="AF4787" s="9">
        <v>36.293711230319367</v>
      </c>
      <c r="AG4787" s="9">
        <v>36.293711230319367</v>
      </c>
      <c r="AH4787" s="9">
        <v>39.230142171980006</v>
      </c>
      <c r="AI4787" s="9">
        <v>41.357809622501556</v>
      </c>
      <c r="AJ4787" s="9">
        <v>3.0428788910505911</v>
      </c>
    </row>
    <row r="4788" spans="1:36" x14ac:dyDescent="0.25">
      <c r="A4788" t="s">
        <v>5411</v>
      </c>
      <c r="B4788" t="s">
        <v>16</v>
      </c>
      <c r="C4788" t="s">
        <v>17</v>
      </c>
      <c r="D4788">
        <v>84320000</v>
      </c>
      <c r="E4788">
        <v>84344999</v>
      </c>
      <c r="F4788" t="s">
        <v>4345</v>
      </c>
      <c r="G4788" t="str">
        <f t="shared" si="148"/>
        <v>PRI II</v>
      </c>
      <c r="H4788" t="s">
        <v>4294</v>
      </c>
      <c r="I4788" t="s">
        <v>20</v>
      </c>
      <c r="J4788" t="s">
        <v>64</v>
      </c>
      <c r="K4788" s="6">
        <v>0.03</v>
      </c>
      <c r="L4788" s="7">
        <f t="shared" si="149"/>
        <v>2E-3</v>
      </c>
      <c r="M4788" s="7">
        <v>3.0000000000000001E-3</v>
      </c>
      <c r="N4788">
        <v>11</v>
      </c>
      <c r="O4788" s="8">
        <v>19.127752698369598</v>
      </c>
      <c r="P4788" s="9">
        <v>19.127752698369598</v>
      </c>
      <c r="Q4788" s="9">
        <v>19.127752698369598</v>
      </c>
      <c r="R4788" s="9">
        <v>19.588754687607715</v>
      </c>
      <c r="S4788" s="9">
        <v>19.892211826137899</v>
      </c>
      <c r="T4788" s="9">
        <v>20.64455772606674</v>
      </c>
      <c r="U4788" s="9">
        <v>22.020224218035128</v>
      </c>
      <c r="V4788" s="9">
        <v>22.020224218035128</v>
      </c>
      <c r="W4788" s="9">
        <v>22.020224218035128</v>
      </c>
      <c r="X4788" s="9">
        <v>24.004435739730138</v>
      </c>
      <c r="Y4788" s="9">
        <v>24.004435739730138</v>
      </c>
      <c r="Z4788" s="9">
        <v>26.075582265671787</v>
      </c>
      <c r="AA4788" s="9">
        <v>26.075582265671787</v>
      </c>
      <c r="AB4788" s="9">
        <v>28.242357296284759</v>
      </c>
      <c r="AC4788" s="9">
        <v>28.242357296284759</v>
      </c>
      <c r="AD4788" s="9">
        <v>32.278785457330969</v>
      </c>
      <c r="AE4788" s="9">
        <v>34.228944830548365</v>
      </c>
      <c r="AF4788" s="9">
        <v>36.293711230319367</v>
      </c>
      <c r="AG4788" s="9">
        <v>36.293711230319367</v>
      </c>
      <c r="AH4788" s="9">
        <v>39.230142171980006</v>
      </c>
      <c r="AI4788" s="9">
        <v>41.357809622501556</v>
      </c>
      <c r="AJ4788" s="9">
        <v>3.0428788910505911</v>
      </c>
    </row>
    <row r="4789" spans="1:36" x14ac:dyDescent="0.25">
      <c r="A4789" t="s">
        <v>5411</v>
      </c>
      <c r="B4789" t="s">
        <v>16</v>
      </c>
      <c r="C4789" t="s">
        <v>17</v>
      </c>
      <c r="D4789">
        <v>84345000</v>
      </c>
      <c r="E4789">
        <v>84349999</v>
      </c>
      <c r="F4789" t="s">
        <v>4346</v>
      </c>
      <c r="G4789" t="str">
        <f t="shared" si="148"/>
        <v>PRI II</v>
      </c>
      <c r="H4789" t="s">
        <v>4294</v>
      </c>
      <c r="I4789" t="s">
        <v>20</v>
      </c>
      <c r="J4789" t="s">
        <v>64</v>
      </c>
      <c r="K4789" s="6">
        <v>0.03</v>
      </c>
      <c r="L4789" s="7">
        <f t="shared" si="149"/>
        <v>2E-3</v>
      </c>
      <c r="M4789" s="7">
        <v>3.0000000000000001E-3</v>
      </c>
      <c r="N4789">
        <v>11</v>
      </c>
      <c r="O4789" s="8">
        <v>19.127752698369598</v>
      </c>
      <c r="P4789" s="9">
        <v>19.127752698369598</v>
      </c>
      <c r="Q4789" s="9">
        <v>19.127752698369598</v>
      </c>
      <c r="R4789" s="9">
        <v>19.588754687607715</v>
      </c>
      <c r="S4789" s="9">
        <v>19.892211826137899</v>
      </c>
      <c r="T4789" s="9">
        <v>20.64455772606674</v>
      </c>
      <c r="U4789" s="9">
        <v>22.020224218035128</v>
      </c>
      <c r="V4789" s="9">
        <v>22.020224218035128</v>
      </c>
      <c r="W4789" s="9">
        <v>22.020224218035128</v>
      </c>
      <c r="X4789" s="9">
        <v>24.004435739730138</v>
      </c>
      <c r="Y4789" s="9">
        <v>24.004435739730138</v>
      </c>
      <c r="Z4789" s="9">
        <v>26.075582265671787</v>
      </c>
      <c r="AA4789" s="9">
        <v>26.075582265671787</v>
      </c>
      <c r="AB4789" s="9">
        <v>28.242357296284759</v>
      </c>
      <c r="AC4789" s="9">
        <v>28.242357296284759</v>
      </c>
      <c r="AD4789" s="9">
        <v>32.278785457330969</v>
      </c>
      <c r="AE4789" s="9">
        <v>34.228944830548365</v>
      </c>
      <c r="AF4789" s="9">
        <v>36.293711230319367</v>
      </c>
      <c r="AG4789" s="9">
        <v>36.293711230319367</v>
      </c>
      <c r="AH4789" s="9">
        <v>39.230142171980006</v>
      </c>
      <c r="AI4789" s="9">
        <v>41.357809622501556</v>
      </c>
      <c r="AJ4789" s="9">
        <v>3.0428788910505911</v>
      </c>
    </row>
    <row r="4790" spans="1:36" x14ac:dyDescent="0.25">
      <c r="A4790" t="s">
        <v>5411</v>
      </c>
      <c r="B4790" t="s">
        <v>16</v>
      </c>
      <c r="C4790" t="s">
        <v>17</v>
      </c>
      <c r="D4790">
        <v>84350000</v>
      </c>
      <c r="E4790">
        <v>84399999</v>
      </c>
      <c r="F4790" t="s">
        <v>4347</v>
      </c>
      <c r="G4790" t="str">
        <f t="shared" si="148"/>
        <v>PRI II</v>
      </c>
      <c r="H4790" t="s">
        <v>4294</v>
      </c>
      <c r="I4790" t="s">
        <v>20</v>
      </c>
      <c r="J4790" t="s">
        <v>64</v>
      </c>
      <c r="K4790" s="6">
        <v>0.03</v>
      </c>
      <c r="L4790" s="7">
        <f t="shared" si="149"/>
        <v>2E-3</v>
      </c>
      <c r="M4790" s="7">
        <v>3.0000000000000001E-3</v>
      </c>
      <c r="N4790">
        <v>11</v>
      </c>
      <c r="O4790" s="8">
        <v>19.127752698369598</v>
      </c>
      <c r="P4790" s="9">
        <v>19.127752698369598</v>
      </c>
      <c r="Q4790" s="9">
        <v>19.127752698369598</v>
      </c>
      <c r="R4790" s="9">
        <v>19.588754687607715</v>
      </c>
      <c r="S4790" s="9">
        <v>19.892211826137899</v>
      </c>
      <c r="T4790" s="9">
        <v>20.64455772606674</v>
      </c>
      <c r="U4790" s="9">
        <v>22.020224218035128</v>
      </c>
      <c r="V4790" s="9">
        <v>22.020224218035128</v>
      </c>
      <c r="W4790" s="9">
        <v>22.020224218035128</v>
      </c>
      <c r="X4790" s="9">
        <v>24.004435739730138</v>
      </c>
      <c r="Y4790" s="9">
        <v>24.004435739730138</v>
      </c>
      <c r="Z4790" s="9">
        <v>26.075582265671787</v>
      </c>
      <c r="AA4790" s="9">
        <v>26.075582265671787</v>
      </c>
      <c r="AB4790" s="9">
        <v>28.242357296284759</v>
      </c>
      <c r="AC4790" s="9">
        <v>28.242357296284759</v>
      </c>
      <c r="AD4790" s="9">
        <v>32.278785457330969</v>
      </c>
      <c r="AE4790" s="9">
        <v>34.228944830548365</v>
      </c>
      <c r="AF4790" s="9">
        <v>36.293711230319367</v>
      </c>
      <c r="AG4790" s="9">
        <v>36.293711230319367</v>
      </c>
      <c r="AH4790" s="9">
        <v>39.230142171980006</v>
      </c>
      <c r="AI4790" s="9">
        <v>41.357809622501556</v>
      </c>
      <c r="AJ4790" s="9">
        <v>3.0428788910505911</v>
      </c>
    </row>
    <row r="4791" spans="1:36" x14ac:dyDescent="0.25">
      <c r="A4791" t="s">
        <v>5411</v>
      </c>
      <c r="B4791" t="s">
        <v>16</v>
      </c>
      <c r="C4791" t="s">
        <v>17</v>
      </c>
      <c r="D4791">
        <v>84400000</v>
      </c>
      <c r="E4791">
        <v>84429999</v>
      </c>
      <c r="F4791" t="s">
        <v>4348</v>
      </c>
      <c r="G4791" t="str">
        <f t="shared" si="148"/>
        <v>PRI II</v>
      </c>
      <c r="H4791" t="s">
        <v>4294</v>
      </c>
      <c r="I4791" t="s">
        <v>20</v>
      </c>
      <c r="J4791" t="s">
        <v>64</v>
      </c>
      <c r="K4791" s="6">
        <v>0.03</v>
      </c>
      <c r="L4791" s="7">
        <f t="shared" si="149"/>
        <v>2E-3</v>
      </c>
      <c r="M4791" s="7">
        <v>3.0000000000000001E-3</v>
      </c>
      <c r="N4791">
        <v>11</v>
      </c>
      <c r="O4791" s="8">
        <v>19.127752698369598</v>
      </c>
      <c r="P4791" s="9">
        <v>19.127752698369598</v>
      </c>
      <c r="Q4791" s="9">
        <v>19.127752698369598</v>
      </c>
      <c r="R4791" s="9">
        <v>19.588754687607715</v>
      </c>
      <c r="S4791" s="9">
        <v>19.892211826137899</v>
      </c>
      <c r="T4791" s="9">
        <v>20.64455772606674</v>
      </c>
      <c r="U4791" s="9">
        <v>22.020224218035128</v>
      </c>
      <c r="V4791" s="9">
        <v>22.020224218035128</v>
      </c>
      <c r="W4791" s="9">
        <v>22.020224218035128</v>
      </c>
      <c r="X4791" s="9">
        <v>24.004435739730138</v>
      </c>
      <c r="Y4791" s="9">
        <v>24.004435739730138</v>
      </c>
      <c r="Z4791" s="9">
        <v>26.075582265671787</v>
      </c>
      <c r="AA4791" s="9">
        <v>26.075582265671787</v>
      </c>
      <c r="AB4791" s="9">
        <v>28.242357296284759</v>
      </c>
      <c r="AC4791" s="9">
        <v>28.242357296284759</v>
      </c>
      <c r="AD4791" s="9">
        <v>32.278785457330969</v>
      </c>
      <c r="AE4791" s="9">
        <v>34.228944830548365</v>
      </c>
      <c r="AF4791" s="9">
        <v>36.293711230319367</v>
      </c>
      <c r="AG4791" s="9">
        <v>36.293711230319367</v>
      </c>
      <c r="AH4791" s="9">
        <v>39.230142171980006</v>
      </c>
      <c r="AI4791" s="9">
        <v>41.357809622501556</v>
      </c>
      <c r="AJ4791" s="9">
        <v>3.0428788910505911</v>
      </c>
    </row>
    <row r="4792" spans="1:36" x14ac:dyDescent="0.25">
      <c r="A4792" t="s">
        <v>5411</v>
      </c>
      <c r="B4792" t="s">
        <v>16</v>
      </c>
      <c r="C4792" t="s">
        <v>17</v>
      </c>
      <c r="D4792">
        <v>84430000</v>
      </c>
      <c r="E4792">
        <v>84434999</v>
      </c>
      <c r="F4792" t="s">
        <v>4349</v>
      </c>
      <c r="G4792" t="str">
        <f t="shared" si="148"/>
        <v>PRI II</v>
      </c>
      <c r="H4792" t="s">
        <v>4294</v>
      </c>
      <c r="I4792" t="s">
        <v>20</v>
      </c>
      <c r="J4792" t="s">
        <v>64</v>
      </c>
      <c r="K4792" s="6">
        <v>0.03</v>
      </c>
      <c r="L4792" s="7">
        <f t="shared" si="149"/>
        <v>2E-3</v>
      </c>
      <c r="M4792" s="7">
        <v>3.0000000000000001E-3</v>
      </c>
      <c r="N4792">
        <v>11</v>
      </c>
      <c r="O4792" s="8">
        <v>19.127752698369598</v>
      </c>
      <c r="P4792" s="9">
        <v>19.127752698369598</v>
      </c>
      <c r="Q4792" s="9">
        <v>19.127752698369598</v>
      </c>
      <c r="R4792" s="9">
        <v>19.588754687607715</v>
      </c>
      <c r="S4792" s="9">
        <v>19.892211826137899</v>
      </c>
      <c r="T4792" s="9">
        <v>20.64455772606674</v>
      </c>
      <c r="U4792" s="9">
        <v>22.020224218035128</v>
      </c>
      <c r="V4792" s="9">
        <v>22.020224218035128</v>
      </c>
      <c r="W4792" s="9">
        <v>22.020224218035128</v>
      </c>
      <c r="X4792" s="9">
        <v>24.004435739730138</v>
      </c>
      <c r="Y4792" s="9">
        <v>24.004435739730138</v>
      </c>
      <c r="Z4792" s="9">
        <v>26.075582265671787</v>
      </c>
      <c r="AA4792" s="9">
        <v>26.075582265671787</v>
      </c>
      <c r="AB4792" s="9">
        <v>28.242357296284759</v>
      </c>
      <c r="AC4792" s="9">
        <v>28.242357296284759</v>
      </c>
      <c r="AD4792" s="9">
        <v>32.278785457330969</v>
      </c>
      <c r="AE4792" s="9">
        <v>34.228944830548365</v>
      </c>
      <c r="AF4792" s="9">
        <v>36.293711230319367</v>
      </c>
      <c r="AG4792" s="9">
        <v>36.293711230319367</v>
      </c>
      <c r="AH4792" s="9">
        <v>39.230142171980006</v>
      </c>
      <c r="AI4792" s="9">
        <v>41.357809622501556</v>
      </c>
      <c r="AJ4792" s="9">
        <v>3.0428788910505911</v>
      </c>
    </row>
    <row r="4793" spans="1:36" x14ac:dyDescent="0.25">
      <c r="A4793" t="s">
        <v>5411</v>
      </c>
      <c r="B4793" t="s">
        <v>16</v>
      </c>
      <c r="C4793" t="s">
        <v>17</v>
      </c>
      <c r="D4793">
        <v>84435000</v>
      </c>
      <c r="E4793">
        <v>84449999</v>
      </c>
      <c r="F4793" t="s">
        <v>4350</v>
      </c>
      <c r="G4793" t="str">
        <f t="shared" si="148"/>
        <v>PRI II</v>
      </c>
      <c r="H4793" t="s">
        <v>4294</v>
      </c>
      <c r="I4793" t="s">
        <v>20</v>
      </c>
      <c r="J4793" t="s">
        <v>64</v>
      </c>
      <c r="K4793" s="6">
        <v>0.03</v>
      </c>
      <c r="L4793" s="7">
        <f t="shared" si="149"/>
        <v>2E-3</v>
      </c>
      <c r="M4793" s="7">
        <v>3.0000000000000001E-3</v>
      </c>
      <c r="N4793">
        <v>11</v>
      </c>
      <c r="O4793" s="8">
        <v>19.127752698369598</v>
      </c>
      <c r="P4793" s="9">
        <v>19.127752698369598</v>
      </c>
      <c r="Q4793" s="9">
        <v>19.127752698369598</v>
      </c>
      <c r="R4793" s="9">
        <v>19.588754687607715</v>
      </c>
      <c r="S4793" s="9">
        <v>19.892211826137899</v>
      </c>
      <c r="T4793" s="9">
        <v>20.64455772606674</v>
      </c>
      <c r="U4793" s="9">
        <v>22.020224218035128</v>
      </c>
      <c r="V4793" s="9">
        <v>22.020224218035128</v>
      </c>
      <c r="W4793" s="9">
        <v>22.020224218035128</v>
      </c>
      <c r="X4793" s="9">
        <v>24.004435739730138</v>
      </c>
      <c r="Y4793" s="9">
        <v>24.004435739730138</v>
      </c>
      <c r="Z4793" s="9">
        <v>26.075582265671787</v>
      </c>
      <c r="AA4793" s="9">
        <v>26.075582265671787</v>
      </c>
      <c r="AB4793" s="9">
        <v>28.242357296284759</v>
      </c>
      <c r="AC4793" s="9">
        <v>28.242357296284759</v>
      </c>
      <c r="AD4793" s="9">
        <v>32.278785457330969</v>
      </c>
      <c r="AE4793" s="9">
        <v>34.228944830548365</v>
      </c>
      <c r="AF4793" s="9">
        <v>36.293711230319367</v>
      </c>
      <c r="AG4793" s="9">
        <v>36.293711230319367</v>
      </c>
      <c r="AH4793" s="9">
        <v>39.230142171980006</v>
      </c>
      <c r="AI4793" s="9">
        <v>41.357809622501556</v>
      </c>
      <c r="AJ4793" s="9">
        <v>3.0428788910505911</v>
      </c>
    </row>
    <row r="4794" spans="1:36" x14ac:dyDescent="0.25">
      <c r="A4794" t="s">
        <v>5411</v>
      </c>
      <c r="B4794" t="s">
        <v>16</v>
      </c>
      <c r="C4794" t="s">
        <v>17</v>
      </c>
      <c r="D4794">
        <v>84450000</v>
      </c>
      <c r="E4794">
        <v>84459999</v>
      </c>
      <c r="F4794" t="s">
        <v>4351</v>
      </c>
      <c r="G4794" t="str">
        <f t="shared" si="148"/>
        <v>PRI II</v>
      </c>
      <c r="H4794" t="s">
        <v>4294</v>
      </c>
      <c r="I4794" t="s">
        <v>20</v>
      </c>
      <c r="J4794" t="s">
        <v>64</v>
      </c>
      <c r="K4794" s="6">
        <v>0.03</v>
      </c>
      <c r="L4794" s="7">
        <f t="shared" si="149"/>
        <v>2E-3</v>
      </c>
      <c r="M4794" s="7">
        <v>3.0000000000000001E-3</v>
      </c>
      <c r="N4794">
        <v>11</v>
      </c>
      <c r="O4794" s="8">
        <v>19.127752698369598</v>
      </c>
      <c r="P4794" s="9">
        <v>19.127752698369598</v>
      </c>
      <c r="Q4794" s="9">
        <v>19.127752698369598</v>
      </c>
      <c r="R4794" s="9">
        <v>19.588754687607715</v>
      </c>
      <c r="S4794" s="9">
        <v>19.892211826137899</v>
      </c>
      <c r="T4794" s="9">
        <v>20.64455772606674</v>
      </c>
      <c r="U4794" s="9">
        <v>22.020224218035128</v>
      </c>
      <c r="V4794" s="9">
        <v>22.020224218035128</v>
      </c>
      <c r="W4794" s="9">
        <v>22.020224218035128</v>
      </c>
      <c r="X4794" s="9">
        <v>24.004435739730138</v>
      </c>
      <c r="Y4794" s="9">
        <v>24.004435739730138</v>
      </c>
      <c r="Z4794" s="9">
        <v>26.075582265671787</v>
      </c>
      <c r="AA4794" s="9">
        <v>26.075582265671787</v>
      </c>
      <c r="AB4794" s="9">
        <v>28.242357296284759</v>
      </c>
      <c r="AC4794" s="9">
        <v>28.242357296284759</v>
      </c>
      <c r="AD4794" s="9">
        <v>32.278785457330969</v>
      </c>
      <c r="AE4794" s="9">
        <v>34.228944830548365</v>
      </c>
      <c r="AF4794" s="9">
        <v>36.293711230319367</v>
      </c>
      <c r="AG4794" s="9">
        <v>36.293711230319367</v>
      </c>
      <c r="AH4794" s="9">
        <v>39.230142171980006</v>
      </c>
      <c r="AI4794" s="9">
        <v>41.357809622501556</v>
      </c>
      <c r="AJ4794" s="9">
        <v>3.0428788910505911</v>
      </c>
    </row>
    <row r="4795" spans="1:36" x14ac:dyDescent="0.25">
      <c r="A4795" t="s">
        <v>5411</v>
      </c>
      <c r="B4795" t="s">
        <v>16</v>
      </c>
      <c r="C4795" t="s">
        <v>17</v>
      </c>
      <c r="D4795">
        <v>84460000</v>
      </c>
      <c r="E4795">
        <v>84469999</v>
      </c>
      <c r="F4795" t="s">
        <v>4352</v>
      </c>
      <c r="G4795" t="str">
        <f t="shared" si="148"/>
        <v>PRI II</v>
      </c>
      <c r="H4795" t="s">
        <v>4294</v>
      </c>
      <c r="I4795" t="s">
        <v>20</v>
      </c>
      <c r="J4795" t="s">
        <v>64</v>
      </c>
      <c r="K4795" s="6">
        <v>0.03</v>
      </c>
      <c r="L4795" s="7">
        <f t="shared" si="149"/>
        <v>2E-3</v>
      </c>
      <c r="M4795" s="7">
        <v>3.0000000000000001E-3</v>
      </c>
      <c r="N4795">
        <v>11</v>
      </c>
      <c r="O4795" s="8">
        <v>19.127752698369598</v>
      </c>
      <c r="P4795" s="9">
        <v>19.127752698369598</v>
      </c>
      <c r="Q4795" s="9">
        <v>19.127752698369598</v>
      </c>
      <c r="R4795" s="9">
        <v>19.588754687607715</v>
      </c>
      <c r="S4795" s="9">
        <v>19.892211826137899</v>
      </c>
      <c r="T4795" s="9">
        <v>20.64455772606674</v>
      </c>
      <c r="U4795" s="9">
        <v>22.020224218035128</v>
      </c>
      <c r="V4795" s="9">
        <v>22.020224218035128</v>
      </c>
      <c r="W4795" s="9">
        <v>22.020224218035128</v>
      </c>
      <c r="X4795" s="9">
        <v>24.004435739730138</v>
      </c>
      <c r="Y4795" s="9">
        <v>24.004435739730138</v>
      </c>
      <c r="Z4795" s="9">
        <v>26.075582265671787</v>
      </c>
      <c r="AA4795" s="9">
        <v>26.075582265671787</v>
      </c>
      <c r="AB4795" s="9">
        <v>28.242357296284759</v>
      </c>
      <c r="AC4795" s="9">
        <v>28.242357296284759</v>
      </c>
      <c r="AD4795" s="9">
        <v>32.278785457330969</v>
      </c>
      <c r="AE4795" s="9">
        <v>34.228944830548365</v>
      </c>
      <c r="AF4795" s="9">
        <v>36.293711230319367</v>
      </c>
      <c r="AG4795" s="9">
        <v>36.293711230319367</v>
      </c>
      <c r="AH4795" s="9">
        <v>39.230142171980006</v>
      </c>
      <c r="AI4795" s="9">
        <v>41.357809622501556</v>
      </c>
      <c r="AJ4795" s="9">
        <v>3.0428788910505911</v>
      </c>
    </row>
    <row r="4796" spans="1:36" x14ac:dyDescent="0.25">
      <c r="A4796" t="s">
        <v>5411</v>
      </c>
      <c r="B4796" t="s">
        <v>16</v>
      </c>
      <c r="C4796" t="s">
        <v>17</v>
      </c>
      <c r="D4796">
        <v>84470000</v>
      </c>
      <c r="E4796">
        <v>84499999</v>
      </c>
      <c r="F4796" t="s">
        <v>4353</v>
      </c>
      <c r="G4796" t="str">
        <f t="shared" si="148"/>
        <v>PRI II</v>
      </c>
      <c r="H4796" t="s">
        <v>4294</v>
      </c>
      <c r="I4796" t="s">
        <v>20</v>
      </c>
      <c r="J4796" t="s">
        <v>64</v>
      </c>
      <c r="K4796" s="6">
        <v>0.03</v>
      </c>
      <c r="L4796" s="7">
        <f t="shared" si="149"/>
        <v>2E-3</v>
      </c>
      <c r="M4796" s="7">
        <v>3.0000000000000001E-3</v>
      </c>
      <c r="N4796">
        <v>11</v>
      </c>
      <c r="O4796" s="8">
        <v>19.127752698369598</v>
      </c>
      <c r="P4796" s="9">
        <v>19.127752698369598</v>
      </c>
      <c r="Q4796" s="9">
        <v>19.127752698369598</v>
      </c>
      <c r="R4796" s="9">
        <v>19.588754687607715</v>
      </c>
      <c r="S4796" s="9">
        <v>19.892211826137899</v>
      </c>
      <c r="T4796" s="9">
        <v>20.64455772606674</v>
      </c>
      <c r="U4796" s="9">
        <v>22.020224218035128</v>
      </c>
      <c r="V4796" s="9">
        <v>22.020224218035128</v>
      </c>
      <c r="W4796" s="9">
        <v>22.020224218035128</v>
      </c>
      <c r="X4796" s="9">
        <v>24.004435739730138</v>
      </c>
      <c r="Y4796" s="9">
        <v>24.004435739730138</v>
      </c>
      <c r="Z4796" s="9">
        <v>26.075582265671787</v>
      </c>
      <c r="AA4796" s="9">
        <v>26.075582265671787</v>
      </c>
      <c r="AB4796" s="9">
        <v>28.242357296284759</v>
      </c>
      <c r="AC4796" s="9">
        <v>28.242357296284759</v>
      </c>
      <c r="AD4796" s="9">
        <v>32.278785457330969</v>
      </c>
      <c r="AE4796" s="9">
        <v>34.228944830548365</v>
      </c>
      <c r="AF4796" s="9">
        <v>36.293711230319367</v>
      </c>
      <c r="AG4796" s="9">
        <v>36.293711230319367</v>
      </c>
      <c r="AH4796" s="9">
        <v>39.230142171980006</v>
      </c>
      <c r="AI4796" s="9">
        <v>41.357809622501556</v>
      </c>
      <c r="AJ4796" s="9">
        <v>3.0428788910505911</v>
      </c>
    </row>
    <row r="4797" spans="1:36" x14ac:dyDescent="0.25">
      <c r="A4797" t="s">
        <v>5411</v>
      </c>
      <c r="B4797" t="s">
        <v>16</v>
      </c>
      <c r="C4797" t="s">
        <v>17</v>
      </c>
      <c r="D4797">
        <v>84500000</v>
      </c>
      <c r="E4797">
        <v>84529999</v>
      </c>
      <c r="F4797" t="s">
        <v>4354</v>
      </c>
      <c r="G4797" t="str">
        <f t="shared" si="148"/>
        <v>PRI</v>
      </c>
      <c r="H4797" t="s">
        <v>4294</v>
      </c>
      <c r="I4797" t="s">
        <v>20</v>
      </c>
      <c r="J4797" t="s">
        <v>62</v>
      </c>
      <c r="K4797" s="6">
        <v>0.03</v>
      </c>
      <c r="L4797" s="7">
        <f t="shared" si="149"/>
        <v>2E-3</v>
      </c>
      <c r="M4797" s="7">
        <v>3.0000000000000001E-3</v>
      </c>
      <c r="N4797">
        <v>9</v>
      </c>
      <c r="O4797" s="8">
        <v>16.344178346561137</v>
      </c>
      <c r="P4797" s="9">
        <v>16.344178346561137</v>
      </c>
      <c r="Q4797" s="9">
        <v>16.344178346561137</v>
      </c>
      <c r="R4797" s="9">
        <v>16.766533722582309</v>
      </c>
      <c r="S4797" s="9">
        <v>17.709108795625173</v>
      </c>
      <c r="T4797" s="9">
        <v>18.545760454647645</v>
      </c>
      <c r="U4797" s="9">
        <v>20.10723313448154</v>
      </c>
      <c r="V4797" s="9">
        <v>20.10723313448154</v>
      </c>
      <c r="W4797" s="9">
        <v>20.10723313448154</v>
      </c>
      <c r="X4797" s="9">
        <v>21.240951506551678</v>
      </c>
      <c r="Y4797" s="9">
        <v>21.240951506551678</v>
      </c>
      <c r="Z4797" s="9">
        <v>22.557015615717738</v>
      </c>
      <c r="AA4797" s="9">
        <v>22.557015615717738</v>
      </c>
      <c r="AB4797" s="9">
        <v>26.056112270527457</v>
      </c>
      <c r="AC4797" s="9">
        <v>26.056112270527457</v>
      </c>
      <c r="AD4797" s="9">
        <v>30.142276170369946</v>
      </c>
      <c r="AE4797" s="9">
        <v>32.940531048263779</v>
      </c>
      <c r="AF4797" s="9">
        <v>35.920735279325392</v>
      </c>
      <c r="AG4797" s="9">
        <v>35.920735279325392</v>
      </c>
      <c r="AH4797" s="9">
        <v>38.62832670141978</v>
      </c>
      <c r="AI4797" s="9">
        <v>41.239207360528972</v>
      </c>
      <c r="AJ4797" s="9">
        <v>3.0428788910505911</v>
      </c>
    </row>
    <row r="4798" spans="1:36" x14ac:dyDescent="0.25">
      <c r="A4798" t="s">
        <v>5411</v>
      </c>
      <c r="B4798" t="s">
        <v>16</v>
      </c>
      <c r="C4798" t="s">
        <v>17</v>
      </c>
      <c r="D4798">
        <v>84530000</v>
      </c>
      <c r="E4798">
        <v>84534999</v>
      </c>
      <c r="F4798" t="s">
        <v>4355</v>
      </c>
      <c r="G4798" t="str">
        <f t="shared" si="148"/>
        <v>PRI II</v>
      </c>
      <c r="H4798" t="s">
        <v>4294</v>
      </c>
      <c r="I4798" t="s">
        <v>20</v>
      </c>
      <c r="J4798" t="s">
        <v>64</v>
      </c>
      <c r="K4798" s="6">
        <v>0.03</v>
      </c>
      <c r="L4798" s="7">
        <f t="shared" si="149"/>
        <v>2E-3</v>
      </c>
      <c r="M4798" s="7">
        <v>3.0000000000000001E-3</v>
      </c>
      <c r="N4798">
        <v>11</v>
      </c>
      <c r="O4798" s="8">
        <v>19.127752698369598</v>
      </c>
      <c r="P4798" s="9">
        <v>19.127752698369598</v>
      </c>
      <c r="Q4798" s="9">
        <v>19.127752698369598</v>
      </c>
      <c r="R4798" s="9">
        <v>19.588754687607715</v>
      </c>
      <c r="S4798" s="9">
        <v>19.892211826137899</v>
      </c>
      <c r="T4798" s="9">
        <v>20.64455772606674</v>
      </c>
      <c r="U4798" s="9">
        <v>22.020224218035128</v>
      </c>
      <c r="V4798" s="9">
        <v>22.020224218035128</v>
      </c>
      <c r="W4798" s="9">
        <v>22.020224218035128</v>
      </c>
      <c r="X4798" s="9">
        <v>24.004435739730138</v>
      </c>
      <c r="Y4798" s="9">
        <v>24.004435739730138</v>
      </c>
      <c r="Z4798" s="9">
        <v>26.075582265671787</v>
      </c>
      <c r="AA4798" s="9">
        <v>26.075582265671787</v>
      </c>
      <c r="AB4798" s="9">
        <v>28.242357296284759</v>
      </c>
      <c r="AC4798" s="9">
        <v>28.242357296284759</v>
      </c>
      <c r="AD4798" s="9">
        <v>32.278785457330969</v>
      </c>
      <c r="AE4798" s="9">
        <v>34.228944830548365</v>
      </c>
      <c r="AF4798" s="9">
        <v>36.293711230319367</v>
      </c>
      <c r="AG4798" s="9">
        <v>36.293711230319367</v>
      </c>
      <c r="AH4798" s="9">
        <v>39.230142171980006</v>
      </c>
      <c r="AI4798" s="9">
        <v>41.357809622501556</v>
      </c>
      <c r="AJ4798" s="9">
        <v>3.0428788910505911</v>
      </c>
    </row>
    <row r="4799" spans="1:36" x14ac:dyDescent="0.25">
      <c r="A4799" t="s">
        <v>5411</v>
      </c>
      <c r="B4799" t="s">
        <v>16</v>
      </c>
      <c r="C4799" t="s">
        <v>17</v>
      </c>
      <c r="D4799">
        <v>84535000</v>
      </c>
      <c r="E4799">
        <v>84549999</v>
      </c>
      <c r="F4799" t="s">
        <v>4356</v>
      </c>
      <c r="G4799" t="str">
        <f t="shared" si="148"/>
        <v>PRI II</v>
      </c>
      <c r="H4799" t="s">
        <v>4294</v>
      </c>
      <c r="I4799" t="s">
        <v>20</v>
      </c>
      <c r="J4799" t="s">
        <v>64</v>
      </c>
      <c r="K4799" s="6">
        <v>0.03</v>
      </c>
      <c r="L4799" s="7">
        <f t="shared" si="149"/>
        <v>2E-3</v>
      </c>
      <c r="M4799" s="7">
        <v>3.0000000000000001E-3</v>
      </c>
      <c r="N4799">
        <v>11</v>
      </c>
      <c r="O4799" s="8">
        <v>19.127752698369598</v>
      </c>
      <c r="P4799" s="9">
        <v>19.127752698369598</v>
      </c>
      <c r="Q4799" s="9">
        <v>19.127752698369598</v>
      </c>
      <c r="R4799" s="9">
        <v>19.588754687607715</v>
      </c>
      <c r="S4799" s="9">
        <v>19.892211826137899</v>
      </c>
      <c r="T4799" s="9">
        <v>20.64455772606674</v>
      </c>
      <c r="U4799" s="9">
        <v>22.020224218035128</v>
      </c>
      <c r="V4799" s="9">
        <v>22.020224218035128</v>
      </c>
      <c r="W4799" s="9">
        <v>22.020224218035128</v>
      </c>
      <c r="X4799" s="9">
        <v>24.004435739730138</v>
      </c>
      <c r="Y4799" s="9">
        <v>24.004435739730138</v>
      </c>
      <c r="Z4799" s="9">
        <v>26.075582265671787</v>
      </c>
      <c r="AA4799" s="9">
        <v>26.075582265671787</v>
      </c>
      <c r="AB4799" s="9">
        <v>28.242357296284759</v>
      </c>
      <c r="AC4799" s="9">
        <v>28.242357296284759</v>
      </c>
      <c r="AD4799" s="9">
        <v>32.278785457330969</v>
      </c>
      <c r="AE4799" s="9">
        <v>34.228944830548365</v>
      </c>
      <c r="AF4799" s="9">
        <v>36.293711230319367</v>
      </c>
      <c r="AG4799" s="9">
        <v>36.293711230319367</v>
      </c>
      <c r="AH4799" s="9">
        <v>39.230142171980006</v>
      </c>
      <c r="AI4799" s="9">
        <v>41.357809622501556</v>
      </c>
      <c r="AJ4799" s="9">
        <v>3.0428788910505911</v>
      </c>
    </row>
    <row r="4800" spans="1:36" x14ac:dyDescent="0.25">
      <c r="A4800" t="s">
        <v>5411</v>
      </c>
      <c r="B4800" t="s">
        <v>16</v>
      </c>
      <c r="C4800" t="s">
        <v>17</v>
      </c>
      <c r="D4800">
        <v>84550000</v>
      </c>
      <c r="E4800">
        <v>84559999</v>
      </c>
      <c r="F4800" t="s">
        <v>4357</v>
      </c>
      <c r="G4800" t="str">
        <f t="shared" si="148"/>
        <v>PRI II</v>
      </c>
      <c r="H4800" t="s">
        <v>4294</v>
      </c>
      <c r="I4800" t="s">
        <v>20</v>
      </c>
      <c r="J4800" t="s">
        <v>64</v>
      </c>
      <c r="K4800" s="6">
        <v>0.03</v>
      </c>
      <c r="L4800" s="7">
        <f t="shared" si="149"/>
        <v>2E-3</v>
      </c>
      <c r="M4800" s="7">
        <v>3.0000000000000001E-3</v>
      </c>
      <c r="N4800">
        <v>11</v>
      </c>
      <c r="O4800" s="8">
        <v>19.127752698369598</v>
      </c>
      <c r="P4800" s="9">
        <v>19.127752698369598</v>
      </c>
      <c r="Q4800" s="9">
        <v>19.127752698369598</v>
      </c>
      <c r="R4800" s="9">
        <v>19.588754687607715</v>
      </c>
      <c r="S4800" s="9">
        <v>19.892211826137899</v>
      </c>
      <c r="T4800" s="9">
        <v>20.64455772606674</v>
      </c>
      <c r="U4800" s="9">
        <v>22.020224218035128</v>
      </c>
      <c r="V4800" s="9">
        <v>22.020224218035128</v>
      </c>
      <c r="W4800" s="9">
        <v>22.020224218035128</v>
      </c>
      <c r="X4800" s="9">
        <v>24.004435739730138</v>
      </c>
      <c r="Y4800" s="9">
        <v>24.004435739730138</v>
      </c>
      <c r="Z4800" s="9">
        <v>26.075582265671787</v>
      </c>
      <c r="AA4800" s="9">
        <v>26.075582265671787</v>
      </c>
      <c r="AB4800" s="9">
        <v>28.242357296284759</v>
      </c>
      <c r="AC4800" s="9">
        <v>28.242357296284759</v>
      </c>
      <c r="AD4800" s="9">
        <v>32.278785457330969</v>
      </c>
      <c r="AE4800" s="9">
        <v>34.228944830548365</v>
      </c>
      <c r="AF4800" s="9">
        <v>36.293711230319367</v>
      </c>
      <c r="AG4800" s="9">
        <v>36.293711230319367</v>
      </c>
      <c r="AH4800" s="9">
        <v>39.230142171980006</v>
      </c>
      <c r="AI4800" s="9">
        <v>41.357809622501556</v>
      </c>
      <c r="AJ4800" s="9">
        <v>3.0428788910505911</v>
      </c>
    </row>
    <row r="4801" spans="1:36" x14ac:dyDescent="0.25">
      <c r="A4801" t="s">
        <v>5411</v>
      </c>
      <c r="B4801" t="s">
        <v>16</v>
      </c>
      <c r="C4801" t="s">
        <v>17</v>
      </c>
      <c r="D4801">
        <v>84560000</v>
      </c>
      <c r="E4801">
        <v>84569999</v>
      </c>
      <c r="F4801" t="s">
        <v>4358</v>
      </c>
      <c r="G4801" t="str">
        <f t="shared" si="148"/>
        <v>PRI II</v>
      </c>
      <c r="H4801" t="s">
        <v>4294</v>
      </c>
      <c r="I4801" t="s">
        <v>20</v>
      </c>
      <c r="J4801" t="s">
        <v>64</v>
      </c>
      <c r="K4801" s="6">
        <v>0.03</v>
      </c>
      <c r="L4801" s="7">
        <f t="shared" si="149"/>
        <v>2E-3</v>
      </c>
      <c r="M4801" s="7">
        <v>3.0000000000000001E-3</v>
      </c>
      <c r="N4801">
        <v>11</v>
      </c>
      <c r="O4801" s="8">
        <v>19.127752698369598</v>
      </c>
      <c r="P4801" s="9">
        <v>19.127752698369598</v>
      </c>
      <c r="Q4801" s="9">
        <v>19.127752698369598</v>
      </c>
      <c r="R4801" s="9">
        <v>19.588754687607715</v>
      </c>
      <c r="S4801" s="9">
        <v>19.892211826137899</v>
      </c>
      <c r="T4801" s="9">
        <v>20.64455772606674</v>
      </c>
      <c r="U4801" s="9">
        <v>22.020224218035128</v>
      </c>
      <c r="V4801" s="9">
        <v>22.020224218035128</v>
      </c>
      <c r="W4801" s="9">
        <v>22.020224218035128</v>
      </c>
      <c r="X4801" s="9">
        <v>24.004435739730138</v>
      </c>
      <c r="Y4801" s="9">
        <v>24.004435739730138</v>
      </c>
      <c r="Z4801" s="9">
        <v>26.075582265671787</v>
      </c>
      <c r="AA4801" s="9">
        <v>26.075582265671787</v>
      </c>
      <c r="AB4801" s="9">
        <v>28.242357296284759</v>
      </c>
      <c r="AC4801" s="9">
        <v>28.242357296284759</v>
      </c>
      <c r="AD4801" s="9">
        <v>32.278785457330969</v>
      </c>
      <c r="AE4801" s="9">
        <v>34.228944830548365</v>
      </c>
      <c r="AF4801" s="9">
        <v>36.293711230319367</v>
      </c>
      <c r="AG4801" s="9">
        <v>36.293711230319367</v>
      </c>
      <c r="AH4801" s="9">
        <v>39.230142171980006</v>
      </c>
      <c r="AI4801" s="9">
        <v>41.357809622501556</v>
      </c>
      <c r="AJ4801" s="9">
        <v>3.0428788910505911</v>
      </c>
    </row>
    <row r="4802" spans="1:36" x14ac:dyDescent="0.25">
      <c r="A4802" t="s">
        <v>5411</v>
      </c>
      <c r="B4802" t="s">
        <v>16</v>
      </c>
      <c r="C4802" t="s">
        <v>17</v>
      </c>
      <c r="D4802">
        <v>84570000</v>
      </c>
      <c r="E4802">
        <v>84599999</v>
      </c>
      <c r="F4802" t="s">
        <v>4359</v>
      </c>
      <c r="G4802" t="str">
        <f t="shared" si="148"/>
        <v>PRI II</v>
      </c>
      <c r="H4802" t="s">
        <v>4294</v>
      </c>
      <c r="I4802" t="s">
        <v>20</v>
      </c>
      <c r="J4802" t="s">
        <v>64</v>
      </c>
      <c r="K4802" s="6">
        <v>0.03</v>
      </c>
      <c r="L4802" s="7">
        <f t="shared" si="149"/>
        <v>2E-3</v>
      </c>
      <c r="M4802" s="7">
        <v>3.0000000000000001E-3</v>
      </c>
      <c r="N4802">
        <v>11</v>
      </c>
      <c r="O4802" s="8">
        <v>19.127752698369598</v>
      </c>
      <c r="P4802" s="9">
        <v>19.127752698369598</v>
      </c>
      <c r="Q4802" s="9">
        <v>19.127752698369598</v>
      </c>
      <c r="R4802" s="9">
        <v>19.588754687607715</v>
      </c>
      <c r="S4802" s="9">
        <v>19.892211826137899</v>
      </c>
      <c r="T4802" s="9">
        <v>20.64455772606674</v>
      </c>
      <c r="U4802" s="9">
        <v>22.020224218035128</v>
      </c>
      <c r="V4802" s="9">
        <v>22.020224218035128</v>
      </c>
      <c r="W4802" s="9">
        <v>22.020224218035128</v>
      </c>
      <c r="X4802" s="9">
        <v>24.004435739730138</v>
      </c>
      <c r="Y4802" s="9">
        <v>24.004435739730138</v>
      </c>
      <c r="Z4802" s="9">
        <v>26.075582265671787</v>
      </c>
      <c r="AA4802" s="9">
        <v>26.075582265671787</v>
      </c>
      <c r="AB4802" s="9">
        <v>28.242357296284759</v>
      </c>
      <c r="AC4802" s="9">
        <v>28.242357296284759</v>
      </c>
      <c r="AD4802" s="9">
        <v>32.278785457330969</v>
      </c>
      <c r="AE4802" s="9">
        <v>34.228944830548365</v>
      </c>
      <c r="AF4802" s="9">
        <v>36.293711230319367</v>
      </c>
      <c r="AG4802" s="9">
        <v>36.293711230319367</v>
      </c>
      <c r="AH4802" s="9">
        <v>39.230142171980006</v>
      </c>
      <c r="AI4802" s="9">
        <v>41.357809622501556</v>
      </c>
      <c r="AJ4802" s="9">
        <v>3.0428788910505911</v>
      </c>
    </row>
    <row r="4803" spans="1:36" x14ac:dyDescent="0.25">
      <c r="A4803" t="s">
        <v>5411</v>
      </c>
      <c r="B4803" t="s">
        <v>16</v>
      </c>
      <c r="C4803" t="s">
        <v>17</v>
      </c>
      <c r="D4803">
        <v>84600000</v>
      </c>
      <c r="E4803">
        <v>84614999</v>
      </c>
      <c r="F4803" t="s">
        <v>4360</v>
      </c>
      <c r="G4803" t="str">
        <f t="shared" si="148"/>
        <v>PRI</v>
      </c>
      <c r="H4803" t="s">
        <v>4294</v>
      </c>
      <c r="I4803" t="s">
        <v>20</v>
      </c>
      <c r="J4803" t="s">
        <v>62</v>
      </c>
      <c r="K4803" s="6">
        <v>0.03</v>
      </c>
      <c r="L4803" s="7">
        <f t="shared" si="149"/>
        <v>2E-3</v>
      </c>
      <c r="M4803" s="7">
        <v>3.0000000000000001E-3</v>
      </c>
      <c r="N4803">
        <v>9</v>
      </c>
      <c r="O4803" s="8">
        <v>16.344178346561137</v>
      </c>
      <c r="P4803" s="9">
        <v>16.344178346561137</v>
      </c>
      <c r="Q4803" s="9">
        <v>16.344178346561137</v>
      </c>
      <c r="R4803" s="9">
        <v>16.766533722582309</v>
      </c>
      <c r="S4803" s="9">
        <v>17.709108795625173</v>
      </c>
      <c r="T4803" s="9">
        <v>18.545760454647645</v>
      </c>
      <c r="U4803" s="9">
        <v>20.10723313448154</v>
      </c>
      <c r="V4803" s="9">
        <v>20.10723313448154</v>
      </c>
      <c r="W4803" s="9">
        <v>20.10723313448154</v>
      </c>
      <c r="X4803" s="9">
        <v>21.240951506551678</v>
      </c>
      <c r="Y4803" s="9">
        <v>21.240951506551678</v>
      </c>
      <c r="Z4803" s="9">
        <v>22.557015615717738</v>
      </c>
      <c r="AA4803" s="9">
        <v>22.557015615717738</v>
      </c>
      <c r="AB4803" s="9">
        <v>26.056112270527457</v>
      </c>
      <c r="AC4803" s="9">
        <v>26.056112270527457</v>
      </c>
      <c r="AD4803" s="9">
        <v>30.142276170369946</v>
      </c>
      <c r="AE4803" s="9">
        <v>32.940531048263779</v>
      </c>
      <c r="AF4803" s="9">
        <v>35.920735279325392</v>
      </c>
      <c r="AG4803" s="9">
        <v>35.920735279325392</v>
      </c>
      <c r="AH4803" s="9">
        <v>38.62832670141978</v>
      </c>
      <c r="AI4803" s="9">
        <v>41.239207360528972</v>
      </c>
      <c r="AJ4803" s="9">
        <v>3.0428788910505911</v>
      </c>
    </row>
    <row r="4804" spans="1:36" x14ac:dyDescent="0.25">
      <c r="A4804" t="s">
        <v>5411</v>
      </c>
      <c r="B4804" t="s">
        <v>16</v>
      </c>
      <c r="C4804" t="s">
        <v>17</v>
      </c>
      <c r="D4804">
        <v>84615000</v>
      </c>
      <c r="E4804">
        <v>84619999</v>
      </c>
      <c r="F4804" t="s">
        <v>4361</v>
      </c>
      <c r="G4804" t="str">
        <f t="shared" ref="G4804:G4867" si="150">H4804&amp;IF(J4804="CAPITAL","C",IF(J4804="INTERIOR","I",IF(J4804="INTERIOR II","I II","R")))</f>
        <v>PRI II</v>
      </c>
      <c r="H4804" t="s">
        <v>4294</v>
      </c>
      <c r="I4804" t="s">
        <v>20</v>
      </c>
      <c r="J4804" t="s">
        <v>64</v>
      </c>
      <c r="K4804" s="6">
        <v>0.03</v>
      </c>
      <c r="L4804" s="7">
        <f t="shared" ref="L4804:L4867" si="151">IF(I4804="(0) Não",0.2%,3%)</f>
        <v>2E-3</v>
      </c>
      <c r="M4804" s="7">
        <v>3.0000000000000001E-3</v>
      </c>
      <c r="N4804">
        <v>11</v>
      </c>
      <c r="O4804" s="8">
        <v>19.127752698369598</v>
      </c>
      <c r="P4804" s="9">
        <v>19.127752698369598</v>
      </c>
      <c r="Q4804" s="9">
        <v>19.127752698369598</v>
      </c>
      <c r="R4804" s="9">
        <v>19.588754687607715</v>
      </c>
      <c r="S4804" s="9">
        <v>19.892211826137899</v>
      </c>
      <c r="T4804" s="9">
        <v>20.64455772606674</v>
      </c>
      <c r="U4804" s="9">
        <v>22.020224218035128</v>
      </c>
      <c r="V4804" s="9">
        <v>22.020224218035128</v>
      </c>
      <c r="W4804" s="9">
        <v>22.020224218035128</v>
      </c>
      <c r="X4804" s="9">
        <v>24.004435739730138</v>
      </c>
      <c r="Y4804" s="9">
        <v>24.004435739730138</v>
      </c>
      <c r="Z4804" s="9">
        <v>26.075582265671787</v>
      </c>
      <c r="AA4804" s="9">
        <v>26.075582265671787</v>
      </c>
      <c r="AB4804" s="9">
        <v>28.242357296284759</v>
      </c>
      <c r="AC4804" s="9">
        <v>28.242357296284759</v>
      </c>
      <c r="AD4804" s="9">
        <v>32.278785457330969</v>
      </c>
      <c r="AE4804" s="9">
        <v>34.228944830548365</v>
      </c>
      <c r="AF4804" s="9">
        <v>36.293711230319367</v>
      </c>
      <c r="AG4804" s="9">
        <v>36.293711230319367</v>
      </c>
      <c r="AH4804" s="9">
        <v>39.230142171980006</v>
      </c>
      <c r="AI4804" s="9">
        <v>41.357809622501556</v>
      </c>
      <c r="AJ4804" s="9">
        <v>3.0428788910505911</v>
      </c>
    </row>
    <row r="4805" spans="1:36" x14ac:dyDescent="0.25">
      <c r="A4805" t="s">
        <v>5411</v>
      </c>
      <c r="B4805" t="s">
        <v>16</v>
      </c>
      <c r="C4805" t="s">
        <v>17</v>
      </c>
      <c r="D4805">
        <v>84620000</v>
      </c>
      <c r="E4805">
        <v>84629999</v>
      </c>
      <c r="F4805" t="s">
        <v>4362</v>
      </c>
      <c r="G4805" t="str">
        <f t="shared" si="150"/>
        <v>PRI II</v>
      </c>
      <c r="H4805" t="s">
        <v>4294</v>
      </c>
      <c r="I4805" t="s">
        <v>20</v>
      </c>
      <c r="J4805" t="s">
        <v>64</v>
      </c>
      <c r="K4805" s="6">
        <v>0.03</v>
      </c>
      <c r="L4805" s="7">
        <f t="shared" si="151"/>
        <v>2E-3</v>
      </c>
      <c r="M4805" s="7">
        <v>3.0000000000000001E-3</v>
      </c>
      <c r="N4805">
        <v>11</v>
      </c>
      <c r="O4805" s="8">
        <v>19.127752698369598</v>
      </c>
      <c r="P4805" s="9">
        <v>19.127752698369598</v>
      </c>
      <c r="Q4805" s="9">
        <v>19.127752698369598</v>
      </c>
      <c r="R4805" s="9">
        <v>19.588754687607715</v>
      </c>
      <c r="S4805" s="9">
        <v>19.892211826137899</v>
      </c>
      <c r="T4805" s="9">
        <v>20.64455772606674</v>
      </c>
      <c r="U4805" s="9">
        <v>22.020224218035128</v>
      </c>
      <c r="V4805" s="9">
        <v>22.020224218035128</v>
      </c>
      <c r="W4805" s="9">
        <v>22.020224218035128</v>
      </c>
      <c r="X4805" s="9">
        <v>24.004435739730138</v>
      </c>
      <c r="Y4805" s="9">
        <v>24.004435739730138</v>
      </c>
      <c r="Z4805" s="9">
        <v>26.075582265671787</v>
      </c>
      <c r="AA4805" s="9">
        <v>26.075582265671787</v>
      </c>
      <c r="AB4805" s="9">
        <v>28.242357296284759</v>
      </c>
      <c r="AC4805" s="9">
        <v>28.242357296284759</v>
      </c>
      <c r="AD4805" s="9">
        <v>32.278785457330969</v>
      </c>
      <c r="AE4805" s="9">
        <v>34.228944830548365</v>
      </c>
      <c r="AF4805" s="9">
        <v>36.293711230319367</v>
      </c>
      <c r="AG4805" s="9">
        <v>36.293711230319367</v>
      </c>
      <c r="AH4805" s="9">
        <v>39.230142171980006</v>
      </c>
      <c r="AI4805" s="9">
        <v>41.357809622501556</v>
      </c>
      <c r="AJ4805" s="9">
        <v>3.0428788910505911</v>
      </c>
    </row>
    <row r="4806" spans="1:36" x14ac:dyDescent="0.25">
      <c r="A4806" t="s">
        <v>5411</v>
      </c>
      <c r="B4806" t="s">
        <v>16</v>
      </c>
      <c r="C4806" t="s">
        <v>17</v>
      </c>
      <c r="D4806">
        <v>84630000</v>
      </c>
      <c r="E4806">
        <v>84634999</v>
      </c>
      <c r="F4806" t="s">
        <v>4363</v>
      </c>
      <c r="G4806" t="str">
        <f t="shared" si="150"/>
        <v>PRI II</v>
      </c>
      <c r="H4806" t="s">
        <v>4294</v>
      </c>
      <c r="I4806" t="s">
        <v>20</v>
      </c>
      <c r="J4806" t="s">
        <v>64</v>
      </c>
      <c r="K4806" s="6">
        <v>0.03</v>
      </c>
      <c r="L4806" s="7">
        <f t="shared" si="151"/>
        <v>2E-3</v>
      </c>
      <c r="M4806" s="7">
        <v>3.0000000000000001E-3</v>
      </c>
      <c r="N4806">
        <v>11</v>
      </c>
      <c r="O4806" s="8">
        <v>19.127752698369598</v>
      </c>
      <c r="P4806" s="9">
        <v>19.127752698369598</v>
      </c>
      <c r="Q4806" s="9">
        <v>19.127752698369598</v>
      </c>
      <c r="R4806" s="9">
        <v>19.588754687607715</v>
      </c>
      <c r="S4806" s="9">
        <v>19.892211826137899</v>
      </c>
      <c r="T4806" s="9">
        <v>20.64455772606674</v>
      </c>
      <c r="U4806" s="9">
        <v>22.020224218035128</v>
      </c>
      <c r="V4806" s="9">
        <v>22.020224218035128</v>
      </c>
      <c r="W4806" s="9">
        <v>22.020224218035128</v>
      </c>
      <c r="X4806" s="9">
        <v>24.004435739730138</v>
      </c>
      <c r="Y4806" s="9">
        <v>24.004435739730138</v>
      </c>
      <c r="Z4806" s="9">
        <v>26.075582265671787</v>
      </c>
      <c r="AA4806" s="9">
        <v>26.075582265671787</v>
      </c>
      <c r="AB4806" s="9">
        <v>28.242357296284759</v>
      </c>
      <c r="AC4806" s="9">
        <v>28.242357296284759</v>
      </c>
      <c r="AD4806" s="9">
        <v>32.278785457330969</v>
      </c>
      <c r="AE4806" s="9">
        <v>34.228944830548365</v>
      </c>
      <c r="AF4806" s="9">
        <v>36.293711230319367</v>
      </c>
      <c r="AG4806" s="9">
        <v>36.293711230319367</v>
      </c>
      <c r="AH4806" s="9">
        <v>39.230142171980006</v>
      </c>
      <c r="AI4806" s="9">
        <v>41.357809622501556</v>
      </c>
      <c r="AJ4806" s="9">
        <v>3.0428788910505911</v>
      </c>
    </row>
    <row r="4807" spans="1:36" x14ac:dyDescent="0.25">
      <c r="A4807" t="s">
        <v>5411</v>
      </c>
      <c r="B4807" t="s">
        <v>16</v>
      </c>
      <c r="C4807" t="s">
        <v>17</v>
      </c>
      <c r="D4807">
        <v>84635000</v>
      </c>
      <c r="E4807">
        <v>84639999</v>
      </c>
      <c r="F4807" t="s">
        <v>4364</v>
      </c>
      <c r="G4807" t="str">
        <f t="shared" si="150"/>
        <v>PRI II</v>
      </c>
      <c r="H4807" t="s">
        <v>4294</v>
      </c>
      <c r="I4807" t="s">
        <v>20</v>
      </c>
      <c r="J4807" t="s">
        <v>64</v>
      </c>
      <c r="K4807" s="6">
        <v>0.03</v>
      </c>
      <c r="L4807" s="7">
        <f t="shared" si="151"/>
        <v>2E-3</v>
      </c>
      <c r="M4807" s="7">
        <v>3.0000000000000001E-3</v>
      </c>
      <c r="N4807">
        <v>11</v>
      </c>
      <c r="O4807" s="8">
        <v>19.127752698369598</v>
      </c>
      <c r="P4807" s="9">
        <v>19.127752698369598</v>
      </c>
      <c r="Q4807" s="9">
        <v>19.127752698369598</v>
      </c>
      <c r="R4807" s="9">
        <v>19.588754687607715</v>
      </c>
      <c r="S4807" s="9">
        <v>19.892211826137899</v>
      </c>
      <c r="T4807" s="9">
        <v>20.64455772606674</v>
      </c>
      <c r="U4807" s="9">
        <v>22.020224218035128</v>
      </c>
      <c r="V4807" s="9">
        <v>22.020224218035128</v>
      </c>
      <c r="W4807" s="9">
        <v>22.020224218035128</v>
      </c>
      <c r="X4807" s="9">
        <v>24.004435739730138</v>
      </c>
      <c r="Y4807" s="9">
        <v>24.004435739730138</v>
      </c>
      <c r="Z4807" s="9">
        <v>26.075582265671787</v>
      </c>
      <c r="AA4807" s="9">
        <v>26.075582265671787</v>
      </c>
      <c r="AB4807" s="9">
        <v>28.242357296284759</v>
      </c>
      <c r="AC4807" s="9">
        <v>28.242357296284759</v>
      </c>
      <c r="AD4807" s="9">
        <v>32.278785457330969</v>
      </c>
      <c r="AE4807" s="9">
        <v>34.228944830548365</v>
      </c>
      <c r="AF4807" s="9">
        <v>36.293711230319367</v>
      </c>
      <c r="AG4807" s="9">
        <v>36.293711230319367</v>
      </c>
      <c r="AH4807" s="9">
        <v>39.230142171980006</v>
      </c>
      <c r="AI4807" s="9">
        <v>41.357809622501556</v>
      </c>
      <c r="AJ4807" s="9">
        <v>3.0428788910505911</v>
      </c>
    </row>
    <row r="4808" spans="1:36" x14ac:dyDescent="0.25">
      <c r="A4808" t="s">
        <v>5411</v>
      </c>
      <c r="B4808" t="s">
        <v>16</v>
      </c>
      <c r="C4808" t="s">
        <v>17</v>
      </c>
      <c r="D4808">
        <v>84640000</v>
      </c>
      <c r="E4808">
        <v>84659999</v>
      </c>
      <c r="F4808" t="s">
        <v>4365</v>
      </c>
      <c r="G4808" t="str">
        <f t="shared" si="150"/>
        <v>PRI II</v>
      </c>
      <c r="H4808" t="s">
        <v>4294</v>
      </c>
      <c r="I4808" t="s">
        <v>20</v>
      </c>
      <c r="J4808" t="s">
        <v>64</v>
      </c>
      <c r="K4808" s="6">
        <v>0.03</v>
      </c>
      <c r="L4808" s="7">
        <f t="shared" si="151"/>
        <v>2E-3</v>
      </c>
      <c r="M4808" s="7">
        <v>3.0000000000000001E-3</v>
      </c>
      <c r="N4808">
        <v>11</v>
      </c>
      <c r="O4808" s="8">
        <v>19.127752698369598</v>
      </c>
      <c r="P4808" s="9">
        <v>19.127752698369598</v>
      </c>
      <c r="Q4808" s="9">
        <v>19.127752698369598</v>
      </c>
      <c r="R4808" s="9">
        <v>19.588754687607715</v>
      </c>
      <c r="S4808" s="9">
        <v>19.892211826137899</v>
      </c>
      <c r="T4808" s="9">
        <v>20.64455772606674</v>
      </c>
      <c r="U4808" s="9">
        <v>22.020224218035128</v>
      </c>
      <c r="V4808" s="9">
        <v>22.020224218035128</v>
      </c>
      <c r="W4808" s="9">
        <v>22.020224218035128</v>
      </c>
      <c r="X4808" s="9">
        <v>24.004435739730138</v>
      </c>
      <c r="Y4808" s="9">
        <v>24.004435739730138</v>
      </c>
      <c r="Z4808" s="9">
        <v>26.075582265671787</v>
      </c>
      <c r="AA4808" s="9">
        <v>26.075582265671787</v>
      </c>
      <c r="AB4808" s="9">
        <v>28.242357296284759</v>
      </c>
      <c r="AC4808" s="9">
        <v>28.242357296284759</v>
      </c>
      <c r="AD4808" s="9">
        <v>32.278785457330969</v>
      </c>
      <c r="AE4808" s="9">
        <v>34.228944830548365</v>
      </c>
      <c r="AF4808" s="9">
        <v>36.293711230319367</v>
      </c>
      <c r="AG4808" s="9">
        <v>36.293711230319367</v>
      </c>
      <c r="AH4808" s="9">
        <v>39.230142171980006</v>
      </c>
      <c r="AI4808" s="9">
        <v>41.357809622501556</v>
      </c>
      <c r="AJ4808" s="9">
        <v>3.0428788910505911</v>
      </c>
    </row>
    <row r="4809" spans="1:36" x14ac:dyDescent="0.25">
      <c r="A4809" t="s">
        <v>5411</v>
      </c>
      <c r="B4809" t="s">
        <v>16</v>
      </c>
      <c r="C4809" t="s">
        <v>17</v>
      </c>
      <c r="D4809">
        <v>84660000</v>
      </c>
      <c r="E4809">
        <v>84899999</v>
      </c>
      <c r="F4809" t="s">
        <v>4169</v>
      </c>
      <c r="G4809" t="str">
        <f t="shared" si="150"/>
        <v>PRI II</v>
      </c>
      <c r="H4809" t="s">
        <v>4294</v>
      </c>
      <c r="I4809" t="s">
        <v>20</v>
      </c>
      <c r="J4809" t="s">
        <v>64</v>
      </c>
      <c r="K4809" s="6">
        <v>0.03</v>
      </c>
      <c r="L4809" s="7">
        <f t="shared" si="151"/>
        <v>2E-3</v>
      </c>
      <c r="M4809" s="7">
        <v>3.0000000000000001E-3</v>
      </c>
      <c r="N4809">
        <v>11</v>
      </c>
      <c r="O4809" s="8">
        <v>19.127752698369598</v>
      </c>
      <c r="P4809" s="9">
        <v>19.127752698369598</v>
      </c>
      <c r="Q4809" s="9">
        <v>19.127752698369598</v>
      </c>
      <c r="R4809" s="9">
        <v>19.588754687607715</v>
      </c>
      <c r="S4809" s="9">
        <v>19.892211826137899</v>
      </c>
      <c r="T4809" s="9">
        <v>20.64455772606674</v>
      </c>
      <c r="U4809" s="9">
        <v>22.020224218035128</v>
      </c>
      <c r="V4809" s="9">
        <v>22.020224218035128</v>
      </c>
      <c r="W4809" s="9">
        <v>22.020224218035128</v>
      </c>
      <c r="X4809" s="9">
        <v>24.004435739730138</v>
      </c>
      <c r="Y4809" s="9">
        <v>24.004435739730138</v>
      </c>
      <c r="Z4809" s="9">
        <v>26.075582265671787</v>
      </c>
      <c r="AA4809" s="9">
        <v>26.075582265671787</v>
      </c>
      <c r="AB4809" s="9">
        <v>28.242357296284759</v>
      </c>
      <c r="AC4809" s="9">
        <v>28.242357296284759</v>
      </c>
      <c r="AD4809" s="9">
        <v>32.278785457330969</v>
      </c>
      <c r="AE4809" s="9">
        <v>34.228944830548365</v>
      </c>
      <c r="AF4809" s="9">
        <v>36.293711230319367</v>
      </c>
      <c r="AG4809" s="9">
        <v>36.293711230319367</v>
      </c>
      <c r="AH4809" s="9">
        <v>39.230142171980006</v>
      </c>
      <c r="AI4809" s="9">
        <v>41.357809622501556</v>
      </c>
      <c r="AJ4809" s="9">
        <v>3.0428788910505911</v>
      </c>
    </row>
    <row r="4810" spans="1:36" x14ac:dyDescent="0.25">
      <c r="A4810" t="s">
        <v>5411</v>
      </c>
      <c r="B4810" t="s">
        <v>16</v>
      </c>
      <c r="C4810" t="s">
        <v>17</v>
      </c>
      <c r="D4810">
        <v>84900000</v>
      </c>
      <c r="E4810">
        <v>84919999</v>
      </c>
      <c r="F4810" t="s">
        <v>4366</v>
      </c>
      <c r="G4810" t="str">
        <f t="shared" si="150"/>
        <v>PRI II</v>
      </c>
      <c r="H4810" t="s">
        <v>4294</v>
      </c>
      <c r="I4810" t="s">
        <v>20</v>
      </c>
      <c r="J4810" t="s">
        <v>64</v>
      </c>
      <c r="K4810" s="6">
        <v>0.03</v>
      </c>
      <c r="L4810" s="7">
        <f t="shared" si="151"/>
        <v>2E-3</v>
      </c>
      <c r="M4810" s="7">
        <v>3.0000000000000001E-3</v>
      </c>
      <c r="N4810">
        <v>11</v>
      </c>
      <c r="O4810" s="8">
        <v>19.127752698369598</v>
      </c>
      <c r="P4810" s="9">
        <v>19.127752698369598</v>
      </c>
      <c r="Q4810" s="9">
        <v>19.127752698369598</v>
      </c>
      <c r="R4810" s="9">
        <v>19.588754687607715</v>
      </c>
      <c r="S4810" s="9">
        <v>19.892211826137899</v>
      </c>
      <c r="T4810" s="9">
        <v>20.64455772606674</v>
      </c>
      <c r="U4810" s="9">
        <v>22.020224218035128</v>
      </c>
      <c r="V4810" s="9">
        <v>22.020224218035128</v>
      </c>
      <c r="W4810" s="9">
        <v>22.020224218035128</v>
      </c>
      <c r="X4810" s="9">
        <v>24.004435739730138</v>
      </c>
      <c r="Y4810" s="9">
        <v>24.004435739730138</v>
      </c>
      <c r="Z4810" s="9">
        <v>26.075582265671787</v>
      </c>
      <c r="AA4810" s="9">
        <v>26.075582265671787</v>
      </c>
      <c r="AB4810" s="9">
        <v>28.242357296284759</v>
      </c>
      <c r="AC4810" s="9">
        <v>28.242357296284759</v>
      </c>
      <c r="AD4810" s="9">
        <v>32.278785457330969</v>
      </c>
      <c r="AE4810" s="9">
        <v>34.228944830548365</v>
      </c>
      <c r="AF4810" s="9">
        <v>36.293711230319367</v>
      </c>
      <c r="AG4810" s="9">
        <v>36.293711230319367</v>
      </c>
      <c r="AH4810" s="9">
        <v>39.230142171980006</v>
      </c>
      <c r="AI4810" s="9">
        <v>41.357809622501556</v>
      </c>
      <c r="AJ4810" s="9">
        <v>3.0428788910505911</v>
      </c>
    </row>
    <row r="4811" spans="1:36" x14ac:dyDescent="0.25">
      <c r="A4811" t="s">
        <v>5411</v>
      </c>
      <c r="B4811" t="s">
        <v>16</v>
      </c>
      <c r="C4811" t="s">
        <v>17</v>
      </c>
      <c r="D4811">
        <v>84920000</v>
      </c>
      <c r="E4811">
        <v>84924999</v>
      </c>
      <c r="F4811" t="s">
        <v>4367</v>
      </c>
      <c r="G4811" t="str">
        <f t="shared" si="150"/>
        <v>PRI II</v>
      </c>
      <c r="H4811" t="s">
        <v>4294</v>
      </c>
      <c r="I4811" t="s">
        <v>20</v>
      </c>
      <c r="J4811" t="s">
        <v>64</v>
      </c>
      <c r="K4811" s="6">
        <v>0.03</v>
      </c>
      <c r="L4811" s="7">
        <f t="shared" si="151"/>
        <v>2E-3</v>
      </c>
      <c r="M4811" s="7">
        <v>3.0000000000000001E-3</v>
      </c>
      <c r="N4811">
        <v>11</v>
      </c>
      <c r="O4811" s="8">
        <v>19.127752698369598</v>
      </c>
      <c r="P4811" s="9">
        <v>19.127752698369598</v>
      </c>
      <c r="Q4811" s="9">
        <v>19.127752698369598</v>
      </c>
      <c r="R4811" s="9">
        <v>19.588754687607715</v>
      </c>
      <c r="S4811" s="9">
        <v>19.892211826137899</v>
      </c>
      <c r="T4811" s="9">
        <v>20.64455772606674</v>
      </c>
      <c r="U4811" s="9">
        <v>22.020224218035128</v>
      </c>
      <c r="V4811" s="9">
        <v>22.020224218035128</v>
      </c>
      <c r="W4811" s="9">
        <v>22.020224218035128</v>
      </c>
      <c r="X4811" s="9">
        <v>24.004435739730138</v>
      </c>
      <c r="Y4811" s="9">
        <v>24.004435739730138</v>
      </c>
      <c r="Z4811" s="9">
        <v>26.075582265671787</v>
      </c>
      <c r="AA4811" s="9">
        <v>26.075582265671787</v>
      </c>
      <c r="AB4811" s="9">
        <v>28.242357296284759</v>
      </c>
      <c r="AC4811" s="9">
        <v>28.242357296284759</v>
      </c>
      <c r="AD4811" s="9">
        <v>32.278785457330969</v>
      </c>
      <c r="AE4811" s="9">
        <v>34.228944830548365</v>
      </c>
      <c r="AF4811" s="9">
        <v>36.293711230319367</v>
      </c>
      <c r="AG4811" s="9">
        <v>36.293711230319367</v>
      </c>
      <c r="AH4811" s="9">
        <v>39.230142171980006</v>
      </c>
      <c r="AI4811" s="9">
        <v>41.357809622501556</v>
      </c>
      <c r="AJ4811" s="9">
        <v>3.0428788910505911</v>
      </c>
    </row>
    <row r="4812" spans="1:36" x14ac:dyDescent="0.25">
      <c r="A4812" t="s">
        <v>5411</v>
      </c>
      <c r="B4812" t="s">
        <v>16</v>
      </c>
      <c r="C4812" t="s">
        <v>17</v>
      </c>
      <c r="D4812">
        <v>84925000</v>
      </c>
      <c r="E4812">
        <v>84929999</v>
      </c>
      <c r="F4812" t="s">
        <v>4368</v>
      </c>
      <c r="G4812" t="str">
        <f t="shared" si="150"/>
        <v>PRI II</v>
      </c>
      <c r="H4812" t="s">
        <v>4294</v>
      </c>
      <c r="I4812" t="s">
        <v>20</v>
      </c>
      <c r="J4812" t="s">
        <v>64</v>
      </c>
      <c r="K4812" s="6">
        <v>0.03</v>
      </c>
      <c r="L4812" s="7">
        <f t="shared" si="151"/>
        <v>2E-3</v>
      </c>
      <c r="M4812" s="7">
        <v>3.0000000000000001E-3</v>
      </c>
      <c r="N4812">
        <v>11</v>
      </c>
      <c r="O4812" s="8">
        <v>19.127752698369598</v>
      </c>
      <c r="P4812" s="9">
        <v>19.127752698369598</v>
      </c>
      <c r="Q4812" s="9">
        <v>19.127752698369598</v>
      </c>
      <c r="R4812" s="9">
        <v>19.588754687607715</v>
      </c>
      <c r="S4812" s="9">
        <v>19.892211826137899</v>
      </c>
      <c r="T4812" s="9">
        <v>20.64455772606674</v>
      </c>
      <c r="U4812" s="9">
        <v>22.020224218035128</v>
      </c>
      <c r="V4812" s="9">
        <v>22.020224218035128</v>
      </c>
      <c r="W4812" s="9">
        <v>22.020224218035128</v>
      </c>
      <c r="X4812" s="9">
        <v>24.004435739730138</v>
      </c>
      <c r="Y4812" s="9">
        <v>24.004435739730138</v>
      </c>
      <c r="Z4812" s="9">
        <v>26.075582265671787</v>
      </c>
      <c r="AA4812" s="9">
        <v>26.075582265671787</v>
      </c>
      <c r="AB4812" s="9">
        <v>28.242357296284759</v>
      </c>
      <c r="AC4812" s="9">
        <v>28.242357296284759</v>
      </c>
      <c r="AD4812" s="9">
        <v>32.278785457330969</v>
      </c>
      <c r="AE4812" s="9">
        <v>34.228944830548365</v>
      </c>
      <c r="AF4812" s="9">
        <v>36.293711230319367</v>
      </c>
      <c r="AG4812" s="9">
        <v>36.293711230319367</v>
      </c>
      <c r="AH4812" s="9">
        <v>39.230142171980006</v>
      </c>
      <c r="AI4812" s="9">
        <v>41.357809622501556</v>
      </c>
      <c r="AJ4812" s="9">
        <v>3.0428788910505911</v>
      </c>
    </row>
    <row r="4813" spans="1:36" x14ac:dyDescent="0.25">
      <c r="A4813" t="s">
        <v>5411</v>
      </c>
      <c r="B4813" t="s">
        <v>16</v>
      </c>
      <c r="C4813" t="s">
        <v>17</v>
      </c>
      <c r="D4813">
        <v>84930000</v>
      </c>
      <c r="E4813">
        <v>84934999</v>
      </c>
      <c r="F4813" t="s">
        <v>4369</v>
      </c>
      <c r="G4813" t="str">
        <f t="shared" si="150"/>
        <v>PRI II</v>
      </c>
      <c r="H4813" t="s">
        <v>4294</v>
      </c>
      <c r="I4813" t="s">
        <v>20</v>
      </c>
      <c r="J4813" t="s">
        <v>64</v>
      </c>
      <c r="K4813" s="6">
        <v>0.03</v>
      </c>
      <c r="L4813" s="7">
        <f t="shared" si="151"/>
        <v>2E-3</v>
      </c>
      <c r="M4813" s="7">
        <v>3.0000000000000001E-3</v>
      </c>
      <c r="N4813">
        <v>11</v>
      </c>
      <c r="O4813" s="8">
        <v>19.127752698369598</v>
      </c>
      <c r="P4813" s="9">
        <v>19.127752698369598</v>
      </c>
      <c r="Q4813" s="9">
        <v>19.127752698369598</v>
      </c>
      <c r="R4813" s="9">
        <v>19.588754687607715</v>
      </c>
      <c r="S4813" s="9">
        <v>19.892211826137899</v>
      </c>
      <c r="T4813" s="9">
        <v>20.64455772606674</v>
      </c>
      <c r="U4813" s="9">
        <v>22.020224218035128</v>
      </c>
      <c r="V4813" s="9">
        <v>22.020224218035128</v>
      </c>
      <c r="W4813" s="9">
        <v>22.020224218035128</v>
      </c>
      <c r="X4813" s="9">
        <v>24.004435739730138</v>
      </c>
      <c r="Y4813" s="9">
        <v>24.004435739730138</v>
      </c>
      <c r="Z4813" s="9">
        <v>26.075582265671787</v>
      </c>
      <c r="AA4813" s="9">
        <v>26.075582265671787</v>
      </c>
      <c r="AB4813" s="9">
        <v>28.242357296284759</v>
      </c>
      <c r="AC4813" s="9">
        <v>28.242357296284759</v>
      </c>
      <c r="AD4813" s="9">
        <v>32.278785457330969</v>
      </c>
      <c r="AE4813" s="9">
        <v>34.228944830548365</v>
      </c>
      <c r="AF4813" s="9">
        <v>36.293711230319367</v>
      </c>
      <c r="AG4813" s="9">
        <v>36.293711230319367</v>
      </c>
      <c r="AH4813" s="9">
        <v>39.230142171980006</v>
      </c>
      <c r="AI4813" s="9">
        <v>41.357809622501556</v>
      </c>
      <c r="AJ4813" s="9">
        <v>3.0428788910505911</v>
      </c>
    </row>
    <row r="4814" spans="1:36" x14ac:dyDescent="0.25">
      <c r="A4814" t="s">
        <v>5411</v>
      </c>
      <c r="B4814" t="s">
        <v>16</v>
      </c>
      <c r="C4814" t="s">
        <v>17</v>
      </c>
      <c r="D4814">
        <v>84935000</v>
      </c>
      <c r="E4814">
        <v>84939999</v>
      </c>
      <c r="F4814" t="s">
        <v>4370</v>
      </c>
      <c r="G4814" t="str">
        <f t="shared" si="150"/>
        <v>PRI II</v>
      </c>
      <c r="H4814" t="s">
        <v>4294</v>
      </c>
      <c r="I4814" t="s">
        <v>20</v>
      </c>
      <c r="J4814" t="s">
        <v>64</v>
      </c>
      <c r="K4814" s="6">
        <v>0.03</v>
      </c>
      <c r="L4814" s="7">
        <f t="shared" si="151"/>
        <v>2E-3</v>
      </c>
      <c r="M4814" s="7">
        <v>3.0000000000000001E-3</v>
      </c>
      <c r="N4814">
        <v>11</v>
      </c>
      <c r="O4814" s="8">
        <v>19.127752698369598</v>
      </c>
      <c r="P4814" s="9">
        <v>19.127752698369598</v>
      </c>
      <c r="Q4814" s="9">
        <v>19.127752698369598</v>
      </c>
      <c r="R4814" s="9">
        <v>19.588754687607715</v>
      </c>
      <c r="S4814" s="9">
        <v>19.892211826137899</v>
      </c>
      <c r="T4814" s="9">
        <v>20.64455772606674</v>
      </c>
      <c r="U4814" s="9">
        <v>22.020224218035128</v>
      </c>
      <c r="V4814" s="9">
        <v>22.020224218035128</v>
      </c>
      <c r="W4814" s="9">
        <v>22.020224218035128</v>
      </c>
      <c r="X4814" s="9">
        <v>24.004435739730138</v>
      </c>
      <c r="Y4814" s="9">
        <v>24.004435739730138</v>
      </c>
      <c r="Z4814" s="9">
        <v>26.075582265671787</v>
      </c>
      <c r="AA4814" s="9">
        <v>26.075582265671787</v>
      </c>
      <c r="AB4814" s="9">
        <v>28.242357296284759</v>
      </c>
      <c r="AC4814" s="9">
        <v>28.242357296284759</v>
      </c>
      <c r="AD4814" s="9">
        <v>32.278785457330969</v>
      </c>
      <c r="AE4814" s="9">
        <v>34.228944830548365</v>
      </c>
      <c r="AF4814" s="9">
        <v>36.293711230319367</v>
      </c>
      <c r="AG4814" s="9">
        <v>36.293711230319367</v>
      </c>
      <c r="AH4814" s="9">
        <v>39.230142171980006</v>
      </c>
      <c r="AI4814" s="9">
        <v>41.357809622501556</v>
      </c>
      <c r="AJ4814" s="9">
        <v>3.0428788910505911</v>
      </c>
    </row>
    <row r="4815" spans="1:36" x14ac:dyDescent="0.25">
      <c r="A4815" t="s">
        <v>5411</v>
      </c>
      <c r="B4815" t="s">
        <v>16</v>
      </c>
      <c r="C4815" t="s">
        <v>17</v>
      </c>
      <c r="D4815">
        <v>84940000</v>
      </c>
      <c r="E4815">
        <v>84944999</v>
      </c>
      <c r="F4815" t="s">
        <v>4371</v>
      </c>
      <c r="G4815" t="str">
        <f t="shared" si="150"/>
        <v>PRI II</v>
      </c>
      <c r="H4815" t="s">
        <v>4294</v>
      </c>
      <c r="I4815" t="s">
        <v>20</v>
      </c>
      <c r="J4815" t="s">
        <v>64</v>
      </c>
      <c r="K4815" s="6">
        <v>0.03</v>
      </c>
      <c r="L4815" s="7">
        <f t="shared" si="151"/>
        <v>2E-3</v>
      </c>
      <c r="M4815" s="7">
        <v>3.0000000000000001E-3</v>
      </c>
      <c r="N4815">
        <v>11</v>
      </c>
      <c r="O4815" s="8">
        <v>19.127752698369598</v>
      </c>
      <c r="P4815" s="9">
        <v>19.127752698369598</v>
      </c>
      <c r="Q4815" s="9">
        <v>19.127752698369598</v>
      </c>
      <c r="R4815" s="9">
        <v>19.588754687607715</v>
      </c>
      <c r="S4815" s="9">
        <v>19.892211826137899</v>
      </c>
      <c r="T4815" s="9">
        <v>20.64455772606674</v>
      </c>
      <c r="U4815" s="9">
        <v>22.020224218035128</v>
      </c>
      <c r="V4815" s="9">
        <v>22.020224218035128</v>
      </c>
      <c r="W4815" s="9">
        <v>22.020224218035128</v>
      </c>
      <c r="X4815" s="9">
        <v>24.004435739730138</v>
      </c>
      <c r="Y4815" s="9">
        <v>24.004435739730138</v>
      </c>
      <c r="Z4815" s="9">
        <v>26.075582265671787</v>
      </c>
      <c r="AA4815" s="9">
        <v>26.075582265671787</v>
      </c>
      <c r="AB4815" s="9">
        <v>28.242357296284759</v>
      </c>
      <c r="AC4815" s="9">
        <v>28.242357296284759</v>
      </c>
      <c r="AD4815" s="9">
        <v>32.278785457330969</v>
      </c>
      <c r="AE4815" s="9">
        <v>34.228944830548365</v>
      </c>
      <c r="AF4815" s="9">
        <v>36.293711230319367</v>
      </c>
      <c r="AG4815" s="9">
        <v>36.293711230319367</v>
      </c>
      <c r="AH4815" s="9">
        <v>39.230142171980006</v>
      </c>
      <c r="AI4815" s="9">
        <v>41.357809622501556</v>
      </c>
      <c r="AJ4815" s="9">
        <v>3.0428788910505911</v>
      </c>
    </row>
    <row r="4816" spans="1:36" x14ac:dyDescent="0.25">
      <c r="A4816" t="s">
        <v>5411</v>
      </c>
      <c r="B4816" t="s">
        <v>16</v>
      </c>
      <c r="C4816" t="s">
        <v>17</v>
      </c>
      <c r="D4816">
        <v>84945000</v>
      </c>
      <c r="E4816">
        <v>84949999</v>
      </c>
      <c r="F4816" t="s">
        <v>4372</v>
      </c>
      <c r="G4816" t="str">
        <f t="shared" si="150"/>
        <v>PRI II</v>
      </c>
      <c r="H4816" t="s">
        <v>4294</v>
      </c>
      <c r="I4816" t="s">
        <v>20</v>
      </c>
      <c r="J4816" t="s">
        <v>64</v>
      </c>
      <c r="K4816" s="6">
        <v>0.03</v>
      </c>
      <c r="L4816" s="7">
        <f t="shared" si="151"/>
        <v>2E-3</v>
      </c>
      <c r="M4816" s="7">
        <v>3.0000000000000001E-3</v>
      </c>
      <c r="N4816">
        <v>11</v>
      </c>
      <c r="O4816" s="8">
        <v>19.127752698369598</v>
      </c>
      <c r="P4816" s="9">
        <v>19.127752698369598</v>
      </c>
      <c r="Q4816" s="9">
        <v>19.127752698369598</v>
      </c>
      <c r="R4816" s="9">
        <v>19.588754687607715</v>
      </c>
      <c r="S4816" s="9">
        <v>19.892211826137899</v>
      </c>
      <c r="T4816" s="9">
        <v>20.64455772606674</v>
      </c>
      <c r="U4816" s="9">
        <v>22.020224218035128</v>
      </c>
      <c r="V4816" s="9">
        <v>22.020224218035128</v>
      </c>
      <c r="W4816" s="9">
        <v>22.020224218035128</v>
      </c>
      <c r="X4816" s="9">
        <v>24.004435739730138</v>
      </c>
      <c r="Y4816" s="9">
        <v>24.004435739730138</v>
      </c>
      <c r="Z4816" s="9">
        <v>26.075582265671787</v>
      </c>
      <c r="AA4816" s="9">
        <v>26.075582265671787</v>
      </c>
      <c r="AB4816" s="9">
        <v>28.242357296284759</v>
      </c>
      <c r="AC4816" s="9">
        <v>28.242357296284759</v>
      </c>
      <c r="AD4816" s="9">
        <v>32.278785457330969</v>
      </c>
      <c r="AE4816" s="9">
        <v>34.228944830548365</v>
      </c>
      <c r="AF4816" s="9">
        <v>36.293711230319367</v>
      </c>
      <c r="AG4816" s="9">
        <v>36.293711230319367</v>
      </c>
      <c r="AH4816" s="9">
        <v>39.230142171980006</v>
      </c>
      <c r="AI4816" s="9">
        <v>41.357809622501556</v>
      </c>
      <c r="AJ4816" s="9">
        <v>3.0428788910505911</v>
      </c>
    </row>
    <row r="4817" spans="1:36" x14ac:dyDescent="0.25">
      <c r="A4817" t="s">
        <v>5411</v>
      </c>
      <c r="B4817" t="s">
        <v>16</v>
      </c>
      <c r="C4817" t="s">
        <v>17</v>
      </c>
      <c r="D4817">
        <v>84950000</v>
      </c>
      <c r="E4817">
        <v>84969999</v>
      </c>
      <c r="F4817" t="s">
        <v>1318</v>
      </c>
      <c r="G4817" t="str">
        <f t="shared" si="150"/>
        <v>PRI II</v>
      </c>
      <c r="H4817" t="s">
        <v>4294</v>
      </c>
      <c r="I4817" t="s">
        <v>20</v>
      </c>
      <c r="J4817" t="s">
        <v>64</v>
      </c>
      <c r="K4817" s="6">
        <v>0.03</v>
      </c>
      <c r="L4817" s="7">
        <f t="shared" si="151"/>
        <v>2E-3</v>
      </c>
      <c r="M4817" s="7">
        <v>3.0000000000000001E-3</v>
      </c>
      <c r="N4817">
        <v>11</v>
      </c>
      <c r="O4817" s="8">
        <v>19.127752698369598</v>
      </c>
      <c r="P4817" s="9">
        <v>19.127752698369598</v>
      </c>
      <c r="Q4817" s="9">
        <v>19.127752698369598</v>
      </c>
      <c r="R4817" s="9">
        <v>19.588754687607715</v>
      </c>
      <c r="S4817" s="9">
        <v>19.892211826137899</v>
      </c>
      <c r="T4817" s="9">
        <v>20.64455772606674</v>
      </c>
      <c r="U4817" s="9">
        <v>22.020224218035128</v>
      </c>
      <c r="V4817" s="9">
        <v>22.020224218035128</v>
      </c>
      <c r="W4817" s="9">
        <v>22.020224218035128</v>
      </c>
      <c r="X4817" s="9">
        <v>24.004435739730138</v>
      </c>
      <c r="Y4817" s="9">
        <v>24.004435739730138</v>
      </c>
      <c r="Z4817" s="9">
        <v>26.075582265671787</v>
      </c>
      <c r="AA4817" s="9">
        <v>26.075582265671787</v>
      </c>
      <c r="AB4817" s="9">
        <v>28.242357296284759</v>
      </c>
      <c r="AC4817" s="9">
        <v>28.242357296284759</v>
      </c>
      <c r="AD4817" s="9">
        <v>32.278785457330969</v>
      </c>
      <c r="AE4817" s="9">
        <v>34.228944830548365</v>
      </c>
      <c r="AF4817" s="9">
        <v>36.293711230319367</v>
      </c>
      <c r="AG4817" s="9">
        <v>36.293711230319367</v>
      </c>
      <c r="AH4817" s="9">
        <v>39.230142171980006</v>
      </c>
      <c r="AI4817" s="9">
        <v>41.357809622501556</v>
      </c>
      <c r="AJ4817" s="9">
        <v>3.0428788910505911</v>
      </c>
    </row>
    <row r="4818" spans="1:36" x14ac:dyDescent="0.25">
      <c r="A4818" t="s">
        <v>5411</v>
      </c>
      <c r="B4818" t="s">
        <v>16</v>
      </c>
      <c r="C4818" t="s">
        <v>17</v>
      </c>
      <c r="D4818">
        <v>84970000</v>
      </c>
      <c r="E4818">
        <v>84979999</v>
      </c>
      <c r="F4818" t="s">
        <v>4373</v>
      </c>
      <c r="G4818" t="str">
        <f t="shared" si="150"/>
        <v>PRI II</v>
      </c>
      <c r="H4818" t="s">
        <v>4294</v>
      </c>
      <c r="I4818" t="s">
        <v>20</v>
      </c>
      <c r="J4818" t="s">
        <v>64</v>
      </c>
      <c r="K4818" s="6">
        <v>0.03</v>
      </c>
      <c r="L4818" s="7">
        <f t="shared" si="151"/>
        <v>2E-3</v>
      </c>
      <c r="M4818" s="7">
        <v>3.0000000000000001E-3</v>
      </c>
      <c r="N4818">
        <v>11</v>
      </c>
      <c r="O4818" s="8">
        <v>19.127752698369598</v>
      </c>
      <c r="P4818" s="9">
        <v>19.127752698369598</v>
      </c>
      <c r="Q4818" s="9">
        <v>19.127752698369598</v>
      </c>
      <c r="R4818" s="9">
        <v>19.588754687607715</v>
      </c>
      <c r="S4818" s="9">
        <v>19.892211826137899</v>
      </c>
      <c r="T4818" s="9">
        <v>20.64455772606674</v>
      </c>
      <c r="U4818" s="9">
        <v>22.020224218035128</v>
      </c>
      <c r="V4818" s="9">
        <v>22.020224218035128</v>
      </c>
      <c r="W4818" s="9">
        <v>22.020224218035128</v>
      </c>
      <c r="X4818" s="9">
        <v>24.004435739730138</v>
      </c>
      <c r="Y4818" s="9">
        <v>24.004435739730138</v>
      </c>
      <c r="Z4818" s="9">
        <v>26.075582265671787</v>
      </c>
      <c r="AA4818" s="9">
        <v>26.075582265671787</v>
      </c>
      <c r="AB4818" s="9">
        <v>28.242357296284759</v>
      </c>
      <c r="AC4818" s="9">
        <v>28.242357296284759</v>
      </c>
      <c r="AD4818" s="9">
        <v>32.278785457330969</v>
      </c>
      <c r="AE4818" s="9">
        <v>34.228944830548365</v>
      </c>
      <c r="AF4818" s="9">
        <v>36.293711230319367</v>
      </c>
      <c r="AG4818" s="9">
        <v>36.293711230319367</v>
      </c>
      <c r="AH4818" s="9">
        <v>39.230142171980006</v>
      </c>
      <c r="AI4818" s="9">
        <v>41.357809622501556</v>
      </c>
      <c r="AJ4818" s="9">
        <v>3.0428788910505911</v>
      </c>
    </row>
    <row r="4819" spans="1:36" x14ac:dyDescent="0.25">
      <c r="A4819" t="s">
        <v>5411</v>
      </c>
      <c r="B4819" t="s">
        <v>16</v>
      </c>
      <c r="C4819" t="s">
        <v>17</v>
      </c>
      <c r="D4819">
        <v>84980000</v>
      </c>
      <c r="E4819">
        <v>84989999</v>
      </c>
      <c r="F4819" t="s">
        <v>4374</v>
      </c>
      <c r="G4819" t="str">
        <f t="shared" si="150"/>
        <v>PRI II</v>
      </c>
      <c r="H4819" t="s">
        <v>4294</v>
      </c>
      <c r="I4819" t="s">
        <v>20</v>
      </c>
      <c r="J4819" t="s">
        <v>64</v>
      </c>
      <c r="K4819" s="6">
        <v>0.03</v>
      </c>
      <c r="L4819" s="7">
        <f t="shared" si="151"/>
        <v>2E-3</v>
      </c>
      <c r="M4819" s="7">
        <v>3.0000000000000001E-3</v>
      </c>
      <c r="N4819">
        <v>11</v>
      </c>
      <c r="O4819" s="8">
        <v>19.127752698369598</v>
      </c>
      <c r="P4819" s="9">
        <v>19.127752698369598</v>
      </c>
      <c r="Q4819" s="9">
        <v>19.127752698369598</v>
      </c>
      <c r="R4819" s="9">
        <v>19.588754687607715</v>
      </c>
      <c r="S4819" s="9">
        <v>19.892211826137899</v>
      </c>
      <c r="T4819" s="9">
        <v>20.64455772606674</v>
      </c>
      <c r="U4819" s="9">
        <v>22.020224218035128</v>
      </c>
      <c r="V4819" s="9">
        <v>22.020224218035128</v>
      </c>
      <c r="W4819" s="9">
        <v>22.020224218035128</v>
      </c>
      <c r="X4819" s="9">
        <v>24.004435739730138</v>
      </c>
      <c r="Y4819" s="9">
        <v>24.004435739730138</v>
      </c>
      <c r="Z4819" s="9">
        <v>26.075582265671787</v>
      </c>
      <c r="AA4819" s="9">
        <v>26.075582265671787</v>
      </c>
      <c r="AB4819" s="9">
        <v>28.242357296284759</v>
      </c>
      <c r="AC4819" s="9">
        <v>28.242357296284759</v>
      </c>
      <c r="AD4819" s="9">
        <v>32.278785457330969</v>
      </c>
      <c r="AE4819" s="9">
        <v>34.228944830548365</v>
      </c>
      <c r="AF4819" s="9">
        <v>36.293711230319367</v>
      </c>
      <c r="AG4819" s="9">
        <v>36.293711230319367</v>
      </c>
      <c r="AH4819" s="9">
        <v>39.230142171980006</v>
      </c>
      <c r="AI4819" s="9">
        <v>41.357809622501556</v>
      </c>
      <c r="AJ4819" s="9">
        <v>3.0428788910505911</v>
      </c>
    </row>
    <row r="4820" spans="1:36" x14ac:dyDescent="0.25">
      <c r="A4820" t="s">
        <v>5411</v>
      </c>
      <c r="B4820" t="s">
        <v>16</v>
      </c>
      <c r="C4820" t="s">
        <v>17</v>
      </c>
      <c r="D4820">
        <v>84990000</v>
      </c>
      <c r="E4820">
        <v>84999999</v>
      </c>
      <c r="F4820" t="s">
        <v>4375</v>
      </c>
      <c r="G4820" t="str">
        <f t="shared" si="150"/>
        <v>PRI II</v>
      </c>
      <c r="H4820" t="s">
        <v>4294</v>
      </c>
      <c r="I4820" t="s">
        <v>20</v>
      </c>
      <c r="J4820" t="s">
        <v>64</v>
      </c>
      <c r="K4820" s="6">
        <v>0.03</v>
      </c>
      <c r="L4820" s="7">
        <f t="shared" si="151"/>
        <v>2E-3</v>
      </c>
      <c r="M4820" s="7">
        <v>3.0000000000000001E-3</v>
      </c>
      <c r="N4820">
        <v>11</v>
      </c>
      <c r="O4820" s="8">
        <v>19.127752698369598</v>
      </c>
      <c r="P4820" s="9">
        <v>19.127752698369598</v>
      </c>
      <c r="Q4820" s="9">
        <v>19.127752698369598</v>
      </c>
      <c r="R4820" s="9">
        <v>19.588754687607715</v>
      </c>
      <c r="S4820" s="9">
        <v>19.892211826137899</v>
      </c>
      <c r="T4820" s="9">
        <v>20.64455772606674</v>
      </c>
      <c r="U4820" s="9">
        <v>22.020224218035128</v>
      </c>
      <c r="V4820" s="9">
        <v>22.020224218035128</v>
      </c>
      <c r="W4820" s="9">
        <v>22.020224218035128</v>
      </c>
      <c r="X4820" s="9">
        <v>24.004435739730138</v>
      </c>
      <c r="Y4820" s="9">
        <v>24.004435739730138</v>
      </c>
      <c r="Z4820" s="9">
        <v>26.075582265671787</v>
      </c>
      <c r="AA4820" s="9">
        <v>26.075582265671787</v>
      </c>
      <c r="AB4820" s="9">
        <v>28.242357296284759</v>
      </c>
      <c r="AC4820" s="9">
        <v>28.242357296284759</v>
      </c>
      <c r="AD4820" s="9">
        <v>32.278785457330969</v>
      </c>
      <c r="AE4820" s="9">
        <v>34.228944830548365</v>
      </c>
      <c r="AF4820" s="9">
        <v>36.293711230319367</v>
      </c>
      <c r="AG4820" s="9">
        <v>36.293711230319367</v>
      </c>
      <c r="AH4820" s="9">
        <v>39.230142171980006</v>
      </c>
      <c r="AI4820" s="9">
        <v>41.357809622501556</v>
      </c>
      <c r="AJ4820" s="9">
        <v>3.0428788910505911</v>
      </c>
    </row>
    <row r="4821" spans="1:36" x14ac:dyDescent="0.25">
      <c r="A4821" t="s">
        <v>5411</v>
      </c>
      <c r="B4821" t="s">
        <v>16</v>
      </c>
      <c r="C4821" t="s">
        <v>17</v>
      </c>
      <c r="D4821">
        <v>85000000</v>
      </c>
      <c r="E4821">
        <v>85139999</v>
      </c>
      <c r="F4821" t="s">
        <v>4376</v>
      </c>
      <c r="G4821" t="str">
        <f t="shared" si="150"/>
        <v>PRI</v>
      </c>
      <c r="H4821" t="s">
        <v>4294</v>
      </c>
      <c r="I4821" t="s">
        <v>20</v>
      </c>
      <c r="J4821" t="s">
        <v>62</v>
      </c>
      <c r="K4821" s="6">
        <v>0.03</v>
      </c>
      <c r="L4821" s="7">
        <f t="shared" si="151"/>
        <v>2E-3</v>
      </c>
      <c r="M4821" s="7">
        <v>3.0000000000000001E-3</v>
      </c>
      <c r="N4821">
        <v>8</v>
      </c>
      <c r="O4821" s="8">
        <v>16.344178346561137</v>
      </c>
      <c r="P4821" s="9">
        <v>16.344178346561137</v>
      </c>
      <c r="Q4821" s="9">
        <v>16.344178346561137</v>
      </c>
      <c r="R4821" s="9">
        <v>16.766533722582309</v>
      </c>
      <c r="S4821" s="9">
        <v>17.709108795625173</v>
      </c>
      <c r="T4821" s="9">
        <v>18.545760454647645</v>
      </c>
      <c r="U4821" s="9">
        <v>20.10723313448154</v>
      </c>
      <c r="V4821" s="9">
        <v>20.10723313448154</v>
      </c>
      <c r="W4821" s="9">
        <v>20.10723313448154</v>
      </c>
      <c r="X4821" s="9">
        <v>21.240951506551678</v>
      </c>
      <c r="Y4821" s="9">
        <v>21.240951506551678</v>
      </c>
      <c r="Z4821" s="9">
        <v>22.557015615717738</v>
      </c>
      <c r="AA4821" s="9">
        <v>22.557015615717738</v>
      </c>
      <c r="AB4821" s="9">
        <v>26.056112270527457</v>
      </c>
      <c r="AC4821" s="9">
        <v>26.056112270527457</v>
      </c>
      <c r="AD4821" s="9">
        <v>30.142276170369946</v>
      </c>
      <c r="AE4821" s="9">
        <v>32.940531048263779</v>
      </c>
      <c r="AF4821" s="9">
        <v>35.920735279325392</v>
      </c>
      <c r="AG4821" s="9">
        <v>35.920735279325392</v>
      </c>
      <c r="AH4821" s="9">
        <v>38.62832670141978</v>
      </c>
      <c r="AI4821" s="9">
        <v>41.239207360528972</v>
      </c>
      <c r="AJ4821" s="9">
        <v>3.0428788910505911</v>
      </c>
    </row>
    <row r="4822" spans="1:36" x14ac:dyDescent="0.25">
      <c r="A4822" t="s">
        <v>5411</v>
      </c>
      <c r="B4822" t="s">
        <v>16</v>
      </c>
      <c r="C4822" t="s">
        <v>17</v>
      </c>
      <c r="D4822">
        <v>85140000</v>
      </c>
      <c r="E4822">
        <v>85144999</v>
      </c>
      <c r="F4822" t="s">
        <v>4377</v>
      </c>
      <c r="G4822" t="str">
        <f t="shared" si="150"/>
        <v>PRI II</v>
      </c>
      <c r="H4822" t="s">
        <v>4294</v>
      </c>
      <c r="I4822" t="s">
        <v>20</v>
      </c>
      <c r="J4822" t="s">
        <v>64</v>
      </c>
      <c r="K4822" s="6">
        <v>0.03</v>
      </c>
      <c r="L4822" s="7">
        <f t="shared" si="151"/>
        <v>2E-3</v>
      </c>
      <c r="M4822" s="7">
        <v>3.0000000000000001E-3</v>
      </c>
      <c r="N4822">
        <v>11</v>
      </c>
      <c r="O4822" s="8">
        <v>19.127752698369598</v>
      </c>
      <c r="P4822" s="9">
        <v>19.127752698369598</v>
      </c>
      <c r="Q4822" s="9">
        <v>19.127752698369598</v>
      </c>
      <c r="R4822" s="9">
        <v>19.588754687607715</v>
      </c>
      <c r="S4822" s="9">
        <v>19.892211826137899</v>
      </c>
      <c r="T4822" s="9">
        <v>20.64455772606674</v>
      </c>
      <c r="U4822" s="9">
        <v>22.020224218035128</v>
      </c>
      <c r="V4822" s="9">
        <v>22.020224218035128</v>
      </c>
      <c r="W4822" s="9">
        <v>22.020224218035128</v>
      </c>
      <c r="X4822" s="9">
        <v>24.004435739730138</v>
      </c>
      <c r="Y4822" s="9">
        <v>24.004435739730138</v>
      </c>
      <c r="Z4822" s="9">
        <v>26.075582265671787</v>
      </c>
      <c r="AA4822" s="9">
        <v>26.075582265671787</v>
      </c>
      <c r="AB4822" s="9">
        <v>28.242357296284759</v>
      </c>
      <c r="AC4822" s="9">
        <v>28.242357296284759</v>
      </c>
      <c r="AD4822" s="9">
        <v>32.278785457330969</v>
      </c>
      <c r="AE4822" s="9">
        <v>34.228944830548365</v>
      </c>
      <c r="AF4822" s="9">
        <v>36.293711230319367</v>
      </c>
      <c r="AG4822" s="9">
        <v>36.293711230319367</v>
      </c>
      <c r="AH4822" s="9">
        <v>39.230142171980006</v>
      </c>
      <c r="AI4822" s="9">
        <v>41.357809622501556</v>
      </c>
      <c r="AJ4822" s="9">
        <v>3.0428788910505911</v>
      </c>
    </row>
    <row r="4823" spans="1:36" x14ac:dyDescent="0.25">
      <c r="A4823" t="s">
        <v>5411</v>
      </c>
      <c r="B4823" t="s">
        <v>16</v>
      </c>
      <c r="C4823" t="s">
        <v>17</v>
      </c>
      <c r="D4823">
        <v>85145000</v>
      </c>
      <c r="E4823">
        <v>85147999</v>
      </c>
      <c r="F4823" t="s">
        <v>4378</v>
      </c>
      <c r="G4823" t="str">
        <f t="shared" si="150"/>
        <v>PRI II</v>
      </c>
      <c r="H4823" t="s">
        <v>4294</v>
      </c>
      <c r="I4823" t="s">
        <v>20</v>
      </c>
      <c r="J4823" t="s">
        <v>64</v>
      </c>
      <c r="K4823" s="6">
        <v>0.03</v>
      </c>
      <c r="L4823" s="7">
        <f t="shared" si="151"/>
        <v>2E-3</v>
      </c>
      <c r="M4823" s="7">
        <v>3.0000000000000001E-3</v>
      </c>
      <c r="N4823">
        <v>11</v>
      </c>
      <c r="O4823" s="8">
        <v>19.127752698369598</v>
      </c>
      <c r="P4823" s="9">
        <v>19.127752698369598</v>
      </c>
      <c r="Q4823" s="9">
        <v>19.127752698369598</v>
      </c>
      <c r="R4823" s="9">
        <v>19.588754687607715</v>
      </c>
      <c r="S4823" s="9">
        <v>19.892211826137899</v>
      </c>
      <c r="T4823" s="9">
        <v>20.64455772606674</v>
      </c>
      <c r="U4823" s="9">
        <v>22.020224218035128</v>
      </c>
      <c r="V4823" s="9">
        <v>22.020224218035128</v>
      </c>
      <c r="W4823" s="9">
        <v>22.020224218035128</v>
      </c>
      <c r="X4823" s="9">
        <v>24.004435739730138</v>
      </c>
      <c r="Y4823" s="9">
        <v>24.004435739730138</v>
      </c>
      <c r="Z4823" s="9">
        <v>26.075582265671787</v>
      </c>
      <c r="AA4823" s="9">
        <v>26.075582265671787</v>
      </c>
      <c r="AB4823" s="9">
        <v>28.242357296284759</v>
      </c>
      <c r="AC4823" s="9">
        <v>28.242357296284759</v>
      </c>
      <c r="AD4823" s="9">
        <v>32.278785457330969</v>
      </c>
      <c r="AE4823" s="9">
        <v>34.228944830548365</v>
      </c>
      <c r="AF4823" s="9">
        <v>36.293711230319367</v>
      </c>
      <c r="AG4823" s="9">
        <v>36.293711230319367</v>
      </c>
      <c r="AH4823" s="9">
        <v>39.230142171980006</v>
      </c>
      <c r="AI4823" s="9">
        <v>41.357809622501556</v>
      </c>
      <c r="AJ4823" s="9">
        <v>3.0428788910505911</v>
      </c>
    </row>
    <row r="4824" spans="1:36" x14ac:dyDescent="0.25">
      <c r="A4824" t="s">
        <v>5411</v>
      </c>
      <c r="B4824" t="s">
        <v>16</v>
      </c>
      <c r="C4824" t="s">
        <v>17</v>
      </c>
      <c r="D4824">
        <v>85148000</v>
      </c>
      <c r="E4824">
        <v>85149999</v>
      </c>
      <c r="F4824" t="s">
        <v>4379</v>
      </c>
      <c r="G4824" t="str">
        <f t="shared" si="150"/>
        <v>PRI II</v>
      </c>
      <c r="H4824" t="s">
        <v>4294</v>
      </c>
      <c r="I4824" t="s">
        <v>20</v>
      </c>
      <c r="J4824" t="s">
        <v>64</v>
      </c>
      <c r="K4824" s="6">
        <v>0.03</v>
      </c>
      <c r="L4824" s="7">
        <f t="shared" si="151"/>
        <v>2E-3</v>
      </c>
      <c r="M4824" s="7">
        <v>3.0000000000000001E-3</v>
      </c>
      <c r="N4824">
        <v>11</v>
      </c>
      <c r="O4824" s="8">
        <v>19.127752698369598</v>
      </c>
      <c r="P4824" s="9">
        <v>19.127752698369598</v>
      </c>
      <c r="Q4824" s="9">
        <v>19.127752698369598</v>
      </c>
      <c r="R4824" s="9">
        <v>19.588754687607715</v>
      </c>
      <c r="S4824" s="9">
        <v>19.892211826137899</v>
      </c>
      <c r="T4824" s="9">
        <v>20.64455772606674</v>
      </c>
      <c r="U4824" s="9">
        <v>22.020224218035128</v>
      </c>
      <c r="V4824" s="9">
        <v>22.020224218035128</v>
      </c>
      <c r="W4824" s="9">
        <v>22.020224218035128</v>
      </c>
      <c r="X4824" s="9">
        <v>24.004435739730138</v>
      </c>
      <c r="Y4824" s="9">
        <v>24.004435739730138</v>
      </c>
      <c r="Z4824" s="9">
        <v>26.075582265671787</v>
      </c>
      <c r="AA4824" s="9">
        <v>26.075582265671787</v>
      </c>
      <c r="AB4824" s="9">
        <v>28.242357296284759</v>
      </c>
      <c r="AC4824" s="9">
        <v>28.242357296284759</v>
      </c>
      <c r="AD4824" s="9">
        <v>32.278785457330969</v>
      </c>
      <c r="AE4824" s="9">
        <v>34.228944830548365</v>
      </c>
      <c r="AF4824" s="9">
        <v>36.293711230319367</v>
      </c>
      <c r="AG4824" s="9">
        <v>36.293711230319367</v>
      </c>
      <c r="AH4824" s="9">
        <v>39.230142171980006</v>
      </c>
      <c r="AI4824" s="9">
        <v>41.357809622501556</v>
      </c>
      <c r="AJ4824" s="9">
        <v>3.0428788910505911</v>
      </c>
    </row>
    <row r="4825" spans="1:36" x14ac:dyDescent="0.25">
      <c r="A4825" t="s">
        <v>5411</v>
      </c>
      <c r="B4825" t="s">
        <v>16</v>
      </c>
      <c r="C4825" t="s">
        <v>17</v>
      </c>
      <c r="D4825">
        <v>85150000</v>
      </c>
      <c r="E4825">
        <v>85154999</v>
      </c>
      <c r="F4825" t="s">
        <v>4380</v>
      </c>
      <c r="G4825" t="str">
        <f t="shared" si="150"/>
        <v>PRI II</v>
      </c>
      <c r="H4825" t="s">
        <v>4294</v>
      </c>
      <c r="I4825" t="s">
        <v>20</v>
      </c>
      <c r="J4825" t="s">
        <v>64</v>
      </c>
      <c r="K4825" s="6">
        <v>0.03</v>
      </c>
      <c r="L4825" s="7">
        <f t="shared" si="151"/>
        <v>2E-3</v>
      </c>
      <c r="M4825" s="7">
        <v>3.0000000000000001E-3</v>
      </c>
      <c r="N4825">
        <v>11</v>
      </c>
      <c r="O4825" s="8">
        <v>19.127752698369598</v>
      </c>
      <c r="P4825" s="9">
        <v>19.127752698369598</v>
      </c>
      <c r="Q4825" s="9">
        <v>19.127752698369598</v>
      </c>
      <c r="R4825" s="9">
        <v>19.588754687607715</v>
      </c>
      <c r="S4825" s="9">
        <v>19.892211826137899</v>
      </c>
      <c r="T4825" s="9">
        <v>20.64455772606674</v>
      </c>
      <c r="U4825" s="9">
        <v>22.020224218035128</v>
      </c>
      <c r="V4825" s="9">
        <v>22.020224218035128</v>
      </c>
      <c r="W4825" s="9">
        <v>22.020224218035128</v>
      </c>
      <c r="X4825" s="9">
        <v>24.004435739730138</v>
      </c>
      <c r="Y4825" s="9">
        <v>24.004435739730138</v>
      </c>
      <c r="Z4825" s="9">
        <v>26.075582265671787</v>
      </c>
      <c r="AA4825" s="9">
        <v>26.075582265671787</v>
      </c>
      <c r="AB4825" s="9">
        <v>28.242357296284759</v>
      </c>
      <c r="AC4825" s="9">
        <v>28.242357296284759</v>
      </c>
      <c r="AD4825" s="9">
        <v>32.278785457330969</v>
      </c>
      <c r="AE4825" s="9">
        <v>34.228944830548365</v>
      </c>
      <c r="AF4825" s="9">
        <v>36.293711230319367</v>
      </c>
      <c r="AG4825" s="9">
        <v>36.293711230319367</v>
      </c>
      <c r="AH4825" s="9">
        <v>39.230142171980006</v>
      </c>
      <c r="AI4825" s="9">
        <v>41.357809622501556</v>
      </c>
      <c r="AJ4825" s="9">
        <v>3.0428788910505911</v>
      </c>
    </row>
    <row r="4826" spans="1:36" x14ac:dyDescent="0.25">
      <c r="A4826" t="s">
        <v>5411</v>
      </c>
      <c r="B4826" t="s">
        <v>16</v>
      </c>
      <c r="C4826" t="s">
        <v>17</v>
      </c>
      <c r="D4826">
        <v>85155000</v>
      </c>
      <c r="E4826">
        <v>85159999</v>
      </c>
      <c r="F4826" t="s">
        <v>4381</v>
      </c>
      <c r="G4826" t="str">
        <f t="shared" si="150"/>
        <v>PRI II</v>
      </c>
      <c r="H4826" t="s">
        <v>4294</v>
      </c>
      <c r="I4826" t="s">
        <v>20</v>
      </c>
      <c r="J4826" t="s">
        <v>64</v>
      </c>
      <c r="K4826" s="6">
        <v>0.03</v>
      </c>
      <c r="L4826" s="7">
        <f t="shared" si="151"/>
        <v>2E-3</v>
      </c>
      <c r="M4826" s="7">
        <v>3.0000000000000001E-3</v>
      </c>
      <c r="N4826">
        <v>11</v>
      </c>
      <c r="O4826" s="8">
        <v>19.127752698369598</v>
      </c>
      <c r="P4826" s="9">
        <v>19.127752698369598</v>
      </c>
      <c r="Q4826" s="9">
        <v>19.127752698369598</v>
      </c>
      <c r="R4826" s="9">
        <v>19.588754687607715</v>
      </c>
      <c r="S4826" s="9">
        <v>19.892211826137899</v>
      </c>
      <c r="T4826" s="9">
        <v>20.64455772606674</v>
      </c>
      <c r="U4826" s="9">
        <v>22.020224218035128</v>
      </c>
      <c r="V4826" s="9">
        <v>22.020224218035128</v>
      </c>
      <c r="W4826" s="9">
        <v>22.020224218035128</v>
      </c>
      <c r="X4826" s="9">
        <v>24.004435739730138</v>
      </c>
      <c r="Y4826" s="9">
        <v>24.004435739730138</v>
      </c>
      <c r="Z4826" s="9">
        <v>26.075582265671787</v>
      </c>
      <c r="AA4826" s="9">
        <v>26.075582265671787</v>
      </c>
      <c r="AB4826" s="9">
        <v>28.242357296284759</v>
      </c>
      <c r="AC4826" s="9">
        <v>28.242357296284759</v>
      </c>
      <c r="AD4826" s="9">
        <v>32.278785457330969</v>
      </c>
      <c r="AE4826" s="9">
        <v>34.228944830548365</v>
      </c>
      <c r="AF4826" s="9">
        <v>36.293711230319367</v>
      </c>
      <c r="AG4826" s="9">
        <v>36.293711230319367</v>
      </c>
      <c r="AH4826" s="9">
        <v>39.230142171980006</v>
      </c>
      <c r="AI4826" s="9">
        <v>41.357809622501556</v>
      </c>
      <c r="AJ4826" s="9">
        <v>3.0428788910505911</v>
      </c>
    </row>
    <row r="4827" spans="1:36" x14ac:dyDescent="0.25">
      <c r="A4827" t="s">
        <v>5411</v>
      </c>
      <c r="B4827" t="s">
        <v>16</v>
      </c>
      <c r="C4827" t="s">
        <v>17</v>
      </c>
      <c r="D4827">
        <v>85160000</v>
      </c>
      <c r="E4827">
        <v>85161999</v>
      </c>
      <c r="F4827" t="s">
        <v>1627</v>
      </c>
      <c r="G4827" t="str">
        <f t="shared" si="150"/>
        <v>PRI II</v>
      </c>
      <c r="H4827" t="s">
        <v>4294</v>
      </c>
      <c r="I4827" t="s">
        <v>20</v>
      </c>
      <c r="J4827" t="s">
        <v>64</v>
      </c>
      <c r="K4827" s="6">
        <v>0.03</v>
      </c>
      <c r="L4827" s="7">
        <f t="shared" si="151"/>
        <v>2E-3</v>
      </c>
      <c r="M4827" s="7">
        <v>3.0000000000000001E-3</v>
      </c>
      <c r="N4827">
        <v>11</v>
      </c>
      <c r="O4827" s="8">
        <v>19.127752698369598</v>
      </c>
      <c r="P4827" s="9">
        <v>19.127752698369598</v>
      </c>
      <c r="Q4827" s="9">
        <v>19.127752698369598</v>
      </c>
      <c r="R4827" s="9">
        <v>19.588754687607715</v>
      </c>
      <c r="S4827" s="9">
        <v>19.892211826137899</v>
      </c>
      <c r="T4827" s="9">
        <v>20.64455772606674</v>
      </c>
      <c r="U4827" s="9">
        <v>22.020224218035128</v>
      </c>
      <c r="V4827" s="9">
        <v>22.020224218035128</v>
      </c>
      <c r="W4827" s="9">
        <v>22.020224218035128</v>
      </c>
      <c r="X4827" s="9">
        <v>24.004435739730138</v>
      </c>
      <c r="Y4827" s="9">
        <v>24.004435739730138</v>
      </c>
      <c r="Z4827" s="9">
        <v>26.075582265671787</v>
      </c>
      <c r="AA4827" s="9">
        <v>26.075582265671787</v>
      </c>
      <c r="AB4827" s="9">
        <v>28.242357296284759</v>
      </c>
      <c r="AC4827" s="9">
        <v>28.242357296284759</v>
      </c>
      <c r="AD4827" s="9">
        <v>32.278785457330969</v>
      </c>
      <c r="AE4827" s="9">
        <v>34.228944830548365</v>
      </c>
      <c r="AF4827" s="9">
        <v>36.293711230319367</v>
      </c>
      <c r="AG4827" s="9">
        <v>36.293711230319367</v>
      </c>
      <c r="AH4827" s="9">
        <v>39.230142171980006</v>
      </c>
      <c r="AI4827" s="9">
        <v>41.357809622501556</v>
      </c>
      <c r="AJ4827" s="9">
        <v>3.0428788910505911</v>
      </c>
    </row>
    <row r="4828" spans="1:36" x14ac:dyDescent="0.25">
      <c r="A4828" t="s">
        <v>5411</v>
      </c>
      <c r="B4828" t="s">
        <v>16</v>
      </c>
      <c r="C4828" t="s">
        <v>17</v>
      </c>
      <c r="D4828">
        <v>85162000</v>
      </c>
      <c r="E4828">
        <v>85167999</v>
      </c>
      <c r="F4828" t="s">
        <v>4382</v>
      </c>
      <c r="G4828" t="str">
        <f t="shared" si="150"/>
        <v>PRI II</v>
      </c>
      <c r="H4828" t="s">
        <v>4294</v>
      </c>
      <c r="I4828" t="s">
        <v>20</v>
      </c>
      <c r="J4828" t="s">
        <v>64</v>
      </c>
      <c r="K4828" s="6">
        <v>0.03</v>
      </c>
      <c r="L4828" s="7">
        <f t="shared" si="151"/>
        <v>2E-3</v>
      </c>
      <c r="M4828" s="7">
        <v>3.0000000000000001E-3</v>
      </c>
      <c r="N4828">
        <v>11</v>
      </c>
      <c r="O4828" s="8">
        <v>19.127752698369598</v>
      </c>
      <c r="P4828" s="9">
        <v>19.127752698369598</v>
      </c>
      <c r="Q4828" s="9">
        <v>19.127752698369598</v>
      </c>
      <c r="R4828" s="9">
        <v>19.588754687607715</v>
      </c>
      <c r="S4828" s="9">
        <v>19.892211826137899</v>
      </c>
      <c r="T4828" s="9">
        <v>20.64455772606674</v>
      </c>
      <c r="U4828" s="9">
        <v>22.020224218035128</v>
      </c>
      <c r="V4828" s="9">
        <v>22.020224218035128</v>
      </c>
      <c r="W4828" s="9">
        <v>22.020224218035128</v>
      </c>
      <c r="X4828" s="9">
        <v>24.004435739730138</v>
      </c>
      <c r="Y4828" s="9">
        <v>24.004435739730138</v>
      </c>
      <c r="Z4828" s="9">
        <v>26.075582265671787</v>
      </c>
      <c r="AA4828" s="9">
        <v>26.075582265671787</v>
      </c>
      <c r="AB4828" s="9">
        <v>28.242357296284759</v>
      </c>
      <c r="AC4828" s="9">
        <v>28.242357296284759</v>
      </c>
      <c r="AD4828" s="9">
        <v>32.278785457330969</v>
      </c>
      <c r="AE4828" s="9">
        <v>34.228944830548365</v>
      </c>
      <c r="AF4828" s="9">
        <v>36.293711230319367</v>
      </c>
      <c r="AG4828" s="9">
        <v>36.293711230319367</v>
      </c>
      <c r="AH4828" s="9">
        <v>39.230142171980006</v>
      </c>
      <c r="AI4828" s="9">
        <v>41.357809622501556</v>
      </c>
      <c r="AJ4828" s="9">
        <v>3.0428788910505911</v>
      </c>
    </row>
    <row r="4829" spans="1:36" x14ac:dyDescent="0.25">
      <c r="A4829" t="s">
        <v>5411</v>
      </c>
      <c r="B4829" t="s">
        <v>16</v>
      </c>
      <c r="C4829" t="s">
        <v>17</v>
      </c>
      <c r="D4829">
        <v>85168000</v>
      </c>
      <c r="E4829">
        <v>85169999</v>
      </c>
      <c r="F4829" t="s">
        <v>4383</v>
      </c>
      <c r="G4829" t="str">
        <f t="shared" si="150"/>
        <v>PRI II</v>
      </c>
      <c r="H4829" t="s">
        <v>4294</v>
      </c>
      <c r="I4829" t="s">
        <v>20</v>
      </c>
      <c r="J4829" t="s">
        <v>64</v>
      </c>
      <c r="K4829" s="6">
        <v>0.03</v>
      </c>
      <c r="L4829" s="7">
        <f t="shared" si="151"/>
        <v>2E-3</v>
      </c>
      <c r="M4829" s="7">
        <v>3.0000000000000001E-3</v>
      </c>
      <c r="N4829">
        <v>11</v>
      </c>
      <c r="O4829" s="8">
        <v>19.127752698369598</v>
      </c>
      <c r="P4829" s="9">
        <v>19.127752698369598</v>
      </c>
      <c r="Q4829" s="9">
        <v>19.127752698369598</v>
      </c>
      <c r="R4829" s="9">
        <v>19.588754687607715</v>
      </c>
      <c r="S4829" s="9">
        <v>19.892211826137899</v>
      </c>
      <c r="T4829" s="9">
        <v>20.64455772606674</v>
      </c>
      <c r="U4829" s="9">
        <v>22.020224218035128</v>
      </c>
      <c r="V4829" s="9">
        <v>22.020224218035128</v>
      </c>
      <c r="W4829" s="9">
        <v>22.020224218035128</v>
      </c>
      <c r="X4829" s="9">
        <v>24.004435739730138</v>
      </c>
      <c r="Y4829" s="9">
        <v>24.004435739730138</v>
      </c>
      <c r="Z4829" s="9">
        <v>26.075582265671787</v>
      </c>
      <c r="AA4829" s="9">
        <v>26.075582265671787</v>
      </c>
      <c r="AB4829" s="9">
        <v>28.242357296284759</v>
      </c>
      <c r="AC4829" s="9">
        <v>28.242357296284759</v>
      </c>
      <c r="AD4829" s="9">
        <v>32.278785457330969</v>
      </c>
      <c r="AE4829" s="9">
        <v>34.228944830548365</v>
      </c>
      <c r="AF4829" s="9">
        <v>36.293711230319367</v>
      </c>
      <c r="AG4829" s="9">
        <v>36.293711230319367</v>
      </c>
      <c r="AH4829" s="9">
        <v>39.230142171980006</v>
      </c>
      <c r="AI4829" s="9">
        <v>41.357809622501556</v>
      </c>
      <c r="AJ4829" s="9">
        <v>3.0428788910505911</v>
      </c>
    </row>
    <row r="4830" spans="1:36" x14ac:dyDescent="0.25">
      <c r="A4830" t="s">
        <v>5411</v>
      </c>
      <c r="B4830" t="s">
        <v>16</v>
      </c>
      <c r="C4830" t="s">
        <v>17</v>
      </c>
      <c r="D4830">
        <v>85170000</v>
      </c>
      <c r="E4830">
        <v>85194999</v>
      </c>
      <c r="F4830" t="s">
        <v>2148</v>
      </c>
      <c r="G4830" t="str">
        <f t="shared" si="150"/>
        <v>PRI II</v>
      </c>
      <c r="H4830" t="s">
        <v>4294</v>
      </c>
      <c r="I4830" t="s">
        <v>20</v>
      </c>
      <c r="J4830" t="s">
        <v>64</v>
      </c>
      <c r="K4830" s="6">
        <v>0.03</v>
      </c>
      <c r="L4830" s="7">
        <f t="shared" si="151"/>
        <v>2E-3</v>
      </c>
      <c r="M4830" s="7">
        <v>3.0000000000000001E-3</v>
      </c>
      <c r="N4830">
        <v>11</v>
      </c>
      <c r="O4830" s="8">
        <v>19.127752698369598</v>
      </c>
      <c r="P4830" s="9">
        <v>19.127752698369598</v>
      </c>
      <c r="Q4830" s="9">
        <v>19.127752698369598</v>
      </c>
      <c r="R4830" s="9">
        <v>19.588754687607715</v>
      </c>
      <c r="S4830" s="9">
        <v>19.892211826137899</v>
      </c>
      <c r="T4830" s="9">
        <v>20.64455772606674</v>
      </c>
      <c r="U4830" s="9">
        <v>22.020224218035128</v>
      </c>
      <c r="V4830" s="9">
        <v>22.020224218035128</v>
      </c>
      <c r="W4830" s="9">
        <v>22.020224218035128</v>
      </c>
      <c r="X4830" s="9">
        <v>24.004435739730138</v>
      </c>
      <c r="Y4830" s="9">
        <v>24.004435739730138</v>
      </c>
      <c r="Z4830" s="9">
        <v>26.075582265671787</v>
      </c>
      <c r="AA4830" s="9">
        <v>26.075582265671787</v>
      </c>
      <c r="AB4830" s="9">
        <v>28.242357296284759</v>
      </c>
      <c r="AC4830" s="9">
        <v>28.242357296284759</v>
      </c>
      <c r="AD4830" s="9">
        <v>32.278785457330969</v>
      </c>
      <c r="AE4830" s="9">
        <v>34.228944830548365</v>
      </c>
      <c r="AF4830" s="9">
        <v>36.293711230319367</v>
      </c>
      <c r="AG4830" s="9">
        <v>36.293711230319367</v>
      </c>
      <c r="AH4830" s="9">
        <v>39.230142171980006</v>
      </c>
      <c r="AI4830" s="9">
        <v>41.357809622501556</v>
      </c>
      <c r="AJ4830" s="9">
        <v>3.0428788910505911</v>
      </c>
    </row>
    <row r="4831" spans="1:36" x14ac:dyDescent="0.25">
      <c r="A4831" t="s">
        <v>5411</v>
      </c>
      <c r="B4831" t="s">
        <v>16</v>
      </c>
      <c r="C4831" t="s">
        <v>17</v>
      </c>
      <c r="D4831">
        <v>85195000</v>
      </c>
      <c r="E4831">
        <v>85199999</v>
      </c>
      <c r="F4831" t="s">
        <v>4384</v>
      </c>
      <c r="G4831" t="str">
        <f t="shared" si="150"/>
        <v>PRI II</v>
      </c>
      <c r="H4831" t="s">
        <v>4294</v>
      </c>
      <c r="I4831" t="s">
        <v>20</v>
      </c>
      <c r="J4831" t="s">
        <v>64</v>
      </c>
      <c r="K4831" s="6">
        <v>0.03</v>
      </c>
      <c r="L4831" s="7">
        <f t="shared" si="151"/>
        <v>2E-3</v>
      </c>
      <c r="M4831" s="7">
        <v>3.0000000000000001E-3</v>
      </c>
      <c r="N4831">
        <v>11</v>
      </c>
      <c r="O4831" s="8">
        <v>19.127752698369598</v>
      </c>
      <c r="P4831" s="9">
        <v>19.127752698369598</v>
      </c>
      <c r="Q4831" s="9">
        <v>19.127752698369598</v>
      </c>
      <c r="R4831" s="9">
        <v>19.588754687607715</v>
      </c>
      <c r="S4831" s="9">
        <v>19.892211826137899</v>
      </c>
      <c r="T4831" s="9">
        <v>20.64455772606674</v>
      </c>
      <c r="U4831" s="9">
        <v>22.020224218035128</v>
      </c>
      <c r="V4831" s="9">
        <v>22.020224218035128</v>
      </c>
      <c r="W4831" s="9">
        <v>22.020224218035128</v>
      </c>
      <c r="X4831" s="9">
        <v>24.004435739730138</v>
      </c>
      <c r="Y4831" s="9">
        <v>24.004435739730138</v>
      </c>
      <c r="Z4831" s="9">
        <v>26.075582265671787</v>
      </c>
      <c r="AA4831" s="9">
        <v>26.075582265671787</v>
      </c>
      <c r="AB4831" s="9">
        <v>28.242357296284759</v>
      </c>
      <c r="AC4831" s="9">
        <v>28.242357296284759</v>
      </c>
      <c r="AD4831" s="9">
        <v>32.278785457330969</v>
      </c>
      <c r="AE4831" s="9">
        <v>34.228944830548365</v>
      </c>
      <c r="AF4831" s="9">
        <v>36.293711230319367</v>
      </c>
      <c r="AG4831" s="9">
        <v>36.293711230319367</v>
      </c>
      <c r="AH4831" s="9">
        <v>39.230142171980006</v>
      </c>
      <c r="AI4831" s="9">
        <v>41.357809622501556</v>
      </c>
      <c r="AJ4831" s="9">
        <v>3.0428788910505911</v>
      </c>
    </row>
    <row r="4832" spans="1:36" x14ac:dyDescent="0.25">
      <c r="A4832" t="s">
        <v>5411</v>
      </c>
      <c r="B4832" t="s">
        <v>16</v>
      </c>
      <c r="C4832" t="s">
        <v>17</v>
      </c>
      <c r="D4832">
        <v>85200000</v>
      </c>
      <c r="E4832">
        <v>85224999</v>
      </c>
      <c r="F4832" t="s">
        <v>4385</v>
      </c>
      <c r="G4832" t="str">
        <f t="shared" si="150"/>
        <v>PRI II</v>
      </c>
      <c r="H4832" t="s">
        <v>4294</v>
      </c>
      <c r="I4832" t="s">
        <v>20</v>
      </c>
      <c r="J4832" t="s">
        <v>64</v>
      </c>
      <c r="K4832" s="6">
        <v>0.03</v>
      </c>
      <c r="L4832" s="7">
        <f t="shared" si="151"/>
        <v>2E-3</v>
      </c>
      <c r="M4832" s="7">
        <v>3.0000000000000001E-3</v>
      </c>
      <c r="N4832">
        <v>11</v>
      </c>
      <c r="O4832" s="8">
        <v>19.127752698369598</v>
      </c>
      <c r="P4832" s="9">
        <v>19.127752698369598</v>
      </c>
      <c r="Q4832" s="9">
        <v>19.127752698369598</v>
      </c>
      <c r="R4832" s="9">
        <v>19.588754687607715</v>
      </c>
      <c r="S4832" s="9">
        <v>19.892211826137899</v>
      </c>
      <c r="T4832" s="9">
        <v>20.64455772606674</v>
      </c>
      <c r="U4832" s="9">
        <v>22.020224218035128</v>
      </c>
      <c r="V4832" s="9">
        <v>22.020224218035128</v>
      </c>
      <c r="W4832" s="9">
        <v>22.020224218035128</v>
      </c>
      <c r="X4832" s="9">
        <v>24.004435739730138</v>
      </c>
      <c r="Y4832" s="9">
        <v>24.004435739730138</v>
      </c>
      <c r="Z4832" s="9">
        <v>26.075582265671787</v>
      </c>
      <c r="AA4832" s="9">
        <v>26.075582265671787</v>
      </c>
      <c r="AB4832" s="9">
        <v>28.242357296284759</v>
      </c>
      <c r="AC4832" s="9">
        <v>28.242357296284759</v>
      </c>
      <c r="AD4832" s="9">
        <v>32.278785457330969</v>
      </c>
      <c r="AE4832" s="9">
        <v>34.228944830548365</v>
      </c>
      <c r="AF4832" s="9">
        <v>36.293711230319367</v>
      </c>
      <c r="AG4832" s="9">
        <v>36.293711230319367</v>
      </c>
      <c r="AH4832" s="9">
        <v>39.230142171980006</v>
      </c>
      <c r="AI4832" s="9">
        <v>41.357809622501556</v>
      </c>
      <c r="AJ4832" s="9">
        <v>3.0428788910505911</v>
      </c>
    </row>
    <row r="4833" spans="1:36" x14ac:dyDescent="0.25">
      <c r="A4833" t="s">
        <v>5411</v>
      </c>
      <c r="B4833" t="s">
        <v>16</v>
      </c>
      <c r="C4833" t="s">
        <v>17</v>
      </c>
      <c r="D4833">
        <v>85225000</v>
      </c>
      <c r="E4833">
        <v>85229999</v>
      </c>
      <c r="F4833" t="s">
        <v>4386</v>
      </c>
      <c r="G4833" t="str">
        <f t="shared" si="150"/>
        <v>PRI II</v>
      </c>
      <c r="H4833" t="s">
        <v>4294</v>
      </c>
      <c r="I4833" t="s">
        <v>20</v>
      </c>
      <c r="J4833" t="s">
        <v>64</v>
      </c>
      <c r="K4833" s="6">
        <v>0.03</v>
      </c>
      <c r="L4833" s="7">
        <f t="shared" si="151"/>
        <v>2E-3</v>
      </c>
      <c r="M4833" s="7">
        <v>3.0000000000000001E-3</v>
      </c>
      <c r="N4833">
        <v>11</v>
      </c>
      <c r="O4833" s="8">
        <v>19.127752698369598</v>
      </c>
      <c r="P4833" s="9">
        <v>19.127752698369598</v>
      </c>
      <c r="Q4833" s="9">
        <v>19.127752698369598</v>
      </c>
      <c r="R4833" s="9">
        <v>19.588754687607715</v>
      </c>
      <c r="S4833" s="9">
        <v>19.892211826137899</v>
      </c>
      <c r="T4833" s="9">
        <v>20.64455772606674</v>
      </c>
      <c r="U4833" s="9">
        <v>22.020224218035128</v>
      </c>
      <c r="V4833" s="9">
        <v>22.020224218035128</v>
      </c>
      <c r="W4833" s="9">
        <v>22.020224218035128</v>
      </c>
      <c r="X4833" s="9">
        <v>24.004435739730138</v>
      </c>
      <c r="Y4833" s="9">
        <v>24.004435739730138</v>
      </c>
      <c r="Z4833" s="9">
        <v>26.075582265671787</v>
      </c>
      <c r="AA4833" s="9">
        <v>26.075582265671787</v>
      </c>
      <c r="AB4833" s="9">
        <v>28.242357296284759</v>
      </c>
      <c r="AC4833" s="9">
        <v>28.242357296284759</v>
      </c>
      <c r="AD4833" s="9">
        <v>32.278785457330969</v>
      </c>
      <c r="AE4833" s="9">
        <v>34.228944830548365</v>
      </c>
      <c r="AF4833" s="9">
        <v>36.293711230319367</v>
      </c>
      <c r="AG4833" s="9">
        <v>36.293711230319367</v>
      </c>
      <c r="AH4833" s="9">
        <v>39.230142171980006</v>
      </c>
      <c r="AI4833" s="9">
        <v>41.357809622501556</v>
      </c>
      <c r="AJ4833" s="9">
        <v>3.0428788910505911</v>
      </c>
    </row>
    <row r="4834" spans="1:36" x14ac:dyDescent="0.25">
      <c r="A4834" t="s">
        <v>5411</v>
      </c>
      <c r="B4834" t="s">
        <v>16</v>
      </c>
      <c r="C4834" t="s">
        <v>17</v>
      </c>
      <c r="D4834">
        <v>85230000</v>
      </c>
      <c r="E4834">
        <v>85239999</v>
      </c>
      <c r="F4834" t="s">
        <v>4387</v>
      </c>
      <c r="G4834" t="str">
        <f t="shared" si="150"/>
        <v>PRI II</v>
      </c>
      <c r="H4834" t="s">
        <v>4294</v>
      </c>
      <c r="I4834" t="s">
        <v>20</v>
      </c>
      <c r="J4834" t="s">
        <v>64</v>
      </c>
      <c r="K4834" s="6">
        <v>0.03</v>
      </c>
      <c r="L4834" s="7">
        <f t="shared" si="151"/>
        <v>2E-3</v>
      </c>
      <c r="M4834" s="7">
        <v>3.0000000000000001E-3</v>
      </c>
      <c r="N4834">
        <v>11</v>
      </c>
      <c r="O4834" s="8">
        <v>19.127752698369598</v>
      </c>
      <c r="P4834" s="9">
        <v>19.127752698369598</v>
      </c>
      <c r="Q4834" s="9">
        <v>19.127752698369598</v>
      </c>
      <c r="R4834" s="9">
        <v>19.588754687607715</v>
      </c>
      <c r="S4834" s="9">
        <v>19.892211826137899</v>
      </c>
      <c r="T4834" s="9">
        <v>20.64455772606674</v>
      </c>
      <c r="U4834" s="9">
        <v>22.020224218035128</v>
      </c>
      <c r="V4834" s="9">
        <v>22.020224218035128</v>
      </c>
      <c r="W4834" s="9">
        <v>22.020224218035128</v>
      </c>
      <c r="X4834" s="9">
        <v>24.004435739730138</v>
      </c>
      <c r="Y4834" s="9">
        <v>24.004435739730138</v>
      </c>
      <c r="Z4834" s="9">
        <v>26.075582265671787</v>
      </c>
      <c r="AA4834" s="9">
        <v>26.075582265671787</v>
      </c>
      <c r="AB4834" s="9">
        <v>28.242357296284759</v>
      </c>
      <c r="AC4834" s="9">
        <v>28.242357296284759</v>
      </c>
      <c r="AD4834" s="9">
        <v>32.278785457330969</v>
      </c>
      <c r="AE4834" s="9">
        <v>34.228944830548365</v>
      </c>
      <c r="AF4834" s="9">
        <v>36.293711230319367</v>
      </c>
      <c r="AG4834" s="9">
        <v>36.293711230319367</v>
      </c>
      <c r="AH4834" s="9">
        <v>39.230142171980006</v>
      </c>
      <c r="AI4834" s="9">
        <v>41.357809622501556</v>
      </c>
      <c r="AJ4834" s="9">
        <v>3.0428788910505911</v>
      </c>
    </row>
    <row r="4835" spans="1:36" x14ac:dyDescent="0.25">
      <c r="A4835" t="s">
        <v>5411</v>
      </c>
      <c r="B4835" t="s">
        <v>16</v>
      </c>
      <c r="C4835" t="s">
        <v>17</v>
      </c>
      <c r="D4835">
        <v>85240000</v>
      </c>
      <c r="E4835">
        <v>85249999</v>
      </c>
      <c r="F4835" t="s">
        <v>4388</v>
      </c>
      <c r="G4835" t="str">
        <f t="shared" si="150"/>
        <v>PRI II</v>
      </c>
      <c r="H4835" t="s">
        <v>4294</v>
      </c>
      <c r="I4835" t="s">
        <v>20</v>
      </c>
      <c r="J4835" t="s">
        <v>64</v>
      </c>
      <c r="K4835" s="6">
        <v>0.03</v>
      </c>
      <c r="L4835" s="7">
        <f t="shared" si="151"/>
        <v>2E-3</v>
      </c>
      <c r="M4835" s="7">
        <v>3.0000000000000001E-3</v>
      </c>
      <c r="N4835">
        <v>11</v>
      </c>
      <c r="O4835" s="8">
        <v>19.127752698369598</v>
      </c>
      <c r="P4835" s="9">
        <v>19.127752698369598</v>
      </c>
      <c r="Q4835" s="9">
        <v>19.127752698369598</v>
      </c>
      <c r="R4835" s="9">
        <v>19.588754687607715</v>
      </c>
      <c r="S4835" s="9">
        <v>19.892211826137899</v>
      </c>
      <c r="T4835" s="9">
        <v>20.64455772606674</v>
      </c>
      <c r="U4835" s="9">
        <v>22.020224218035128</v>
      </c>
      <c r="V4835" s="9">
        <v>22.020224218035128</v>
      </c>
      <c r="W4835" s="9">
        <v>22.020224218035128</v>
      </c>
      <c r="X4835" s="9">
        <v>24.004435739730138</v>
      </c>
      <c r="Y4835" s="9">
        <v>24.004435739730138</v>
      </c>
      <c r="Z4835" s="9">
        <v>26.075582265671787</v>
      </c>
      <c r="AA4835" s="9">
        <v>26.075582265671787</v>
      </c>
      <c r="AB4835" s="9">
        <v>28.242357296284759</v>
      </c>
      <c r="AC4835" s="9">
        <v>28.242357296284759</v>
      </c>
      <c r="AD4835" s="9">
        <v>32.278785457330969</v>
      </c>
      <c r="AE4835" s="9">
        <v>34.228944830548365</v>
      </c>
      <c r="AF4835" s="9">
        <v>36.293711230319367</v>
      </c>
      <c r="AG4835" s="9">
        <v>36.293711230319367</v>
      </c>
      <c r="AH4835" s="9">
        <v>39.230142171980006</v>
      </c>
      <c r="AI4835" s="9">
        <v>41.357809622501556</v>
      </c>
      <c r="AJ4835" s="9">
        <v>3.0428788910505911</v>
      </c>
    </row>
    <row r="4836" spans="1:36" x14ac:dyDescent="0.25">
      <c r="A4836" t="s">
        <v>5411</v>
      </c>
      <c r="B4836" t="s">
        <v>16</v>
      </c>
      <c r="C4836" t="s">
        <v>17</v>
      </c>
      <c r="D4836">
        <v>85250000</v>
      </c>
      <c r="E4836">
        <v>85259999</v>
      </c>
      <c r="F4836" t="s">
        <v>4389</v>
      </c>
      <c r="G4836" t="str">
        <f t="shared" si="150"/>
        <v>PRI II</v>
      </c>
      <c r="H4836" t="s">
        <v>4294</v>
      </c>
      <c r="I4836" t="s">
        <v>20</v>
      </c>
      <c r="J4836" t="s">
        <v>64</v>
      </c>
      <c r="K4836" s="6">
        <v>0.03</v>
      </c>
      <c r="L4836" s="7">
        <f t="shared" si="151"/>
        <v>2E-3</v>
      </c>
      <c r="M4836" s="7">
        <v>3.0000000000000001E-3</v>
      </c>
      <c r="N4836">
        <v>11</v>
      </c>
      <c r="O4836" s="8">
        <v>19.127752698369598</v>
      </c>
      <c r="P4836" s="9">
        <v>19.127752698369598</v>
      </c>
      <c r="Q4836" s="9">
        <v>19.127752698369598</v>
      </c>
      <c r="R4836" s="9">
        <v>19.588754687607715</v>
      </c>
      <c r="S4836" s="9">
        <v>19.892211826137899</v>
      </c>
      <c r="T4836" s="9">
        <v>20.64455772606674</v>
      </c>
      <c r="U4836" s="9">
        <v>22.020224218035128</v>
      </c>
      <c r="V4836" s="9">
        <v>22.020224218035128</v>
      </c>
      <c r="W4836" s="9">
        <v>22.020224218035128</v>
      </c>
      <c r="X4836" s="9">
        <v>24.004435739730138</v>
      </c>
      <c r="Y4836" s="9">
        <v>24.004435739730138</v>
      </c>
      <c r="Z4836" s="9">
        <v>26.075582265671787</v>
      </c>
      <c r="AA4836" s="9">
        <v>26.075582265671787</v>
      </c>
      <c r="AB4836" s="9">
        <v>28.242357296284759</v>
      </c>
      <c r="AC4836" s="9">
        <v>28.242357296284759</v>
      </c>
      <c r="AD4836" s="9">
        <v>32.278785457330969</v>
      </c>
      <c r="AE4836" s="9">
        <v>34.228944830548365</v>
      </c>
      <c r="AF4836" s="9">
        <v>36.293711230319367</v>
      </c>
      <c r="AG4836" s="9">
        <v>36.293711230319367</v>
      </c>
      <c r="AH4836" s="9">
        <v>39.230142171980006</v>
      </c>
      <c r="AI4836" s="9">
        <v>41.357809622501556</v>
      </c>
      <c r="AJ4836" s="9">
        <v>3.0428788910505911</v>
      </c>
    </row>
    <row r="4837" spans="1:36" x14ac:dyDescent="0.25">
      <c r="A4837" t="s">
        <v>5411</v>
      </c>
      <c r="B4837" t="s">
        <v>16</v>
      </c>
      <c r="C4837" t="s">
        <v>17</v>
      </c>
      <c r="D4837">
        <v>85260000</v>
      </c>
      <c r="E4837">
        <v>85269999</v>
      </c>
      <c r="F4837" t="s">
        <v>4390</v>
      </c>
      <c r="G4837" t="str">
        <f t="shared" si="150"/>
        <v>PRI II</v>
      </c>
      <c r="H4837" t="s">
        <v>4294</v>
      </c>
      <c r="I4837" t="s">
        <v>20</v>
      </c>
      <c r="J4837" t="s">
        <v>64</v>
      </c>
      <c r="K4837" s="6">
        <v>0.03</v>
      </c>
      <c r="L4837" s="7">
        <f t="shared" si="151"/>
        <v>2E-3</v>
      </c>
      <c r="M4837" s="7">
        <v>3.0000000000000001E-3</v>
      </c>
      <c r="N4837">
        <v>11</v>
      </c>
      <c r="O4837" s="8">
        <v>19.127752698369598</v>
      </c>
      <c r="P4837" s="9">
        <v>19.127752698369598</v>
      </c>
      <c r="Q4837" s="9">
        <v>19.127752698369598</v>
      </c>
      <c r="R4837" s="9">
        <v>19.588754687607715</v>
      </c>
      <c r="S4837" s="9">
        <v>19.892211826137899</v>
      </c>
      <c r="T4837" s="9">
        <v>20.64455772606674</v>
      </c>
      <c r="U4837" s="9">
        <v>22.020224218035128</v>
      </c>
      <c r="V4837" s="9">
        <v>22.020224218035128</v>
      </c>
      <c r="W4837" s="9">
        <v>22.020224218035128</v>
      </c>
      <c r="X4837" s="9">
        <v>24.004435739730138</v>
      </c>
      <c r="Y4837" s="9">
        <v>24.004435739730138</v>
      </c>
      <c r="Z4837" s="9">
        <v>26.075582265671787</v>
      </c>
      <c r="AA4837" s="9">
        <v>26.075582265671787</v>
      </c>
      <c r="AB4837" s="9">
        <v>28.242357296284759</v>
      </c>
      <c r="AC4837" s="9">
        <v>28.242357296284759</v>
      </c>
      <c r="AD4837" s="9">
        <v>32.278785457330969</v>
      </c>
      <c r="AE4837" s="9">
        <v>34.228944830548365</v>
      </c>
      <c r="AF4837" s="9">
        <v>36.293711230319367</v>
      </c>
      <c r="AG4837" s="9">
        <v>36.293711230319367</v>
      </c>
      <c r="AH4837" s="9">
        <v>39.230142171980006</v>
      </c>
      <c r="AI4837" s="9">
        <v>41.357809622501556</v>
      </c>
      <c r="AJ4837" s="9">
        <v>3.0428788910505911</v>
      </c>
    </row>
    <row r="4838" spans="1:36" x14ac:dyDescent="0.25">
      <c r="A4838" t="s">
        <v>5411</v>
      </c>
      <c r="B4838" t="s">
        <v>16</v>
      </c>
      <c r="C4838" t="s">
        <v>17</v>
      </c>
      <c r="D4838">
        <v>85270000</v>
      </c>
      <c r="E4838">
        <v>85274999</v>
      </c>
      <c r="F4838" t="s">
        <v>660</v>
      </c>
      <c r="G4838" t="str">
        <f t="shared" si="150"/>
        <v>PRI II</v>
      </c>
      <c r="H4838" t="s">
        <v>4294</v>
      </c>
      <c r="I4838" t="s">
        <v>20</v>
      </c>
      <c r="J4838" t="s">
        <v>64</v>
      </c>
      <c r="K4838" s="6">
        <v>0.03</v>
      </c>
      <c r="L4838" s="7">
        <f t="shared" si="151"/>
        <v>2E-3</v>
      </c>
      <c r="M4838" s="7">
        <v>3.0000000000000001E-3</v>
      </c>
      <c r="N4838">
        <v>11</v>
      </c>
      <c r="O4838" s="8">
        <v>19.127752698369598</v>
      </c>
      <c r="P4838" s="9">
        <v>19.127752698369598</v>
      </c>
      <c r="Q4838" s="9">
        <v>19.127752698369598</v>
      </c>
      <c r="R4838" s="9">
        <v>19.588754687607715</v>
      </c>
      <c r="S4838" s="9">
        <v>19.892211826137899</v>
      </c>
      <c r="T4838" s="9">
        <v>20.64455772606674</v>
      </c>
      <c r="U4838" s="9">
        <v>22.020224218035128</v>
      </c>
      <c r="V4838" s="9">
        <v>22.020224218035128</v>
      </c>
      <c r="W4838" s="9">
        <v>22.020224218035128</v>
      </c>
      <c r="X4838" s="9">
        <v>24.004435739730138</v>
      </c>
      <c r="Y4838" s="9">
        <v>24.004435739730138</v>
      </c>
      <c r="Z4838" s="9">
        <v>26.075582265671787</v>
      </c>
      <c r="AA4838" s="9">
        <v>26.075582265671787</v>
      </c>
      <c r="AB4838" s="9">
        <v>28.242357296284759</v>
      </c>
      <c r="AC4838" s="9">
        <v>28.242357296284759</v>
      </c>
      <c r="AD4838" s="9">
        <v>32.278785457330969</v>
      </c>
      <c r="AE4838" s="9">
        <v>34.228944830548365</v>
      </c>
      <c r="AF4838" s="9">
        <v>36.293711230319367</v>
      </c>
      <c r="AG4838" s="9">
        <v>36.293711230319367</v>
      </c>
      <c r="AH4838" s="9">
        <v>39.230142171980006</v>
      </c>
      <c r="AI4838" s="9">
        <v>41.357809622501556</v>
      </c>
      <c r="AJ4838" s="9">
        <v>3.0428788910505911</v>
      </c>
    </row>
    <row r="4839" spans="1:36" x14ac:dyDescent="0.25">
      <c r="A4839" t="s">
        <v>5411</v>
      </c>
      <c r="B4839" t="s">
        <v>16</v>
      </c>
      <c r="C4839" t="s">
        <v>17</v>
      </c>
      <c r="D4839">
        <v>85275000</v>
      </c>
      <c r="E4839">
        <v>85279999</v>
      </c>
      <c r="F4839" t="s">
        <v>1186</v>
      </c>
      <c r="G4839" t="str">
        <f t="shared" si="150"/>
        <v>PRI II</v>
      </c>
      <c r="H4839" t="s">
        <v>4294</v>
      </c>
      <c r="I4839" t="s">
        <v>20</v>
      </c>
      <c r="J4839" t="s">
        <v>64</v>
      </c>
      <c r="K4839" s="6">
        <v>0.03</v>
      </c>
      <c r="L4839" s="7">
        <f t="shared" si="151"/>
        <v>2E-3</v>
      </c>
      <c r="M4839" s="7">
        <v>3.0000000000000001E-3</v>
      </c>
      <c r="N4839">
        <v>11</v>
      </c>
      <c r="O4839" s="8">
        <v>19.127752698369598</v>
      </c>
      <c r="P4839" s="9">
        <v>19.127752698369598</v>
      </c>
      <c r="Q4839" s="9">
        <v>19.127752698369598</v>
      </c>
      <c r="R4839" s="9">
        <v>19.588754687607715</v>
      </c>
      <c r="S4839" s="9">
        <v>19.892211826137899</v>
      </c>
      <c r="T4839" s="9">
        <v>20.64455772606674</v>
      </c>
      <c r="U4839" s="9">
        <v>22.020224218035128</v>
      </c>
      <c r="V4839" s="9">
        <v>22.020224218035128</v>
      </c>
      <c r="W4839" s="9">
        <v>22.020224218035128</v>
      </c>
      <c r="X4839" s="9">
        <v>24.004435739730138</v>
      </c>
      <c r="Y4839" s="9">
        <v>24.004435739730138</v>
      </c>
      <c r="Z4839" s="9">
        <v>26.075582265671787</v>
      </c>
      <c r="AA4839" s="9">
        <v>26.075582265671787</v>
      </c>
      <c r="AB4839" s="9">
        <v>28.242357296284759</v>
      </c>
      <c r="AC4839" s="9">
        <v>28.242357296284759</v>
      </c>
      <c r="AD4839" s="9">
        <v>32.278785457330969</v>
      </c>
      <c r="AE4839" s="9">
        <v>34.228944830548365</v>
      </c>
      <c r="AF4839" s="9">
        <v>36.293711230319367</v>
      </c>
      <c r="AG4839" s="9">
        <v>36.293711230319367</v>
      </c>
      <c r="AH4839" s="9">
        <v>39.230142171980006</v>
      </c>
      <c r="AI4839" s="9">
        <v>41.357809622501556</v>
      </c>
      <c r="AJ4839" s="9">
        <v>3.0428788910505911</v>
      </c>
    </row>
    <row r="4840" spans="1:36" x14ac:dyDescent="0.25">
      <c r="A4840" t="s">
        <v>5411</v>
      </c>
      <c r="B4840" t="s">
        <v>16</v>
      </c>
      <c r="C4840" t="s">
        <v>17</v>
      </c>
      <c r="D4840">
        <v>85280000</v>
      </c>
      <c r="E4840">
        <v>85299999</v>
      </c>
      <c r="F4840" t="s">
        <v>4391</v>
      </c>
      <c r="G4840" t="str">
        <f t="shared" si="150"/>
        <v>PRI II</v>
      </c>
      <c r="H4840" t="s">
        <v>4294</v>
      </c>
      <c r="I4840" t="s">
        <v>20</v>
      </c>
      <c r="J4840" t="s">
        <v>64</v>
      </c>
      <c r="K4840" s="6">
        <v>0.03</v>
      </c>
      <c r="L4840" s="7">
        <f t="shared" si="151"/>
        <v>2E-3</v>
      </c>
      <c r="M4840" s="7">
        <v>3.0000000000000001E-3</v>
      </c>
      <c r="N4840">
        <v>11</v>
      </c>
      <c r="O4840" s="8">
        <v>19.127752698369598</v>
      </c>
      <c r="P4840" s="9">
        <v>19.127752698369598</v>
      </c>
      <c r="Q4840" s="9">
        <v>19.127752698369598</v>
      </c>
      <c r="R4840" s="9">
        <v>19.588754687607715</v>
      </c>
      <c r="S4840" s="9">
        <v>19.892211826137899</v>
      </c>
      <c r="T4840" s="9">
        <v>20.64455772606674</v>
      </c>
      <c r="U4840" s="9">
        <v>22.020224218035128</v>
      </c>
      <c r="V4840" s="9">
        <v>22.020224218035128</v>
      </c>
      <c r="W4840" s="9">
        <v>22.020224218035128</v>
      </c>
      <c r="X4840" s="9">
        <v>24.004435739730138</v>
      </c>
      <c r="Y4840" s="9">
        <v>24.004435739730138</v>
      </c>
      <c r="Z4840" s="9">
        <v>26.075582265671787</v>
      </c>
      <c r="AA4840" s="9">
        <v>26.075582265671787</v>
      </c>
      <c r="AB4840" s="9">
        <v>28.242357296284759</v>
      </c>
      <c r="AC4840" s="9">
        <v>28.242357296284759</v>
      </c>
      <c r="AD4840" s="9">
        <v>32.278785457330969</v>
      </c>
      <c r="AE4840" s="9">
        <v>34.228944830548365</v>
      </c>
      <c r="AF4840" s="9">
        <v>36.293711230319367</v>
      </c>
      <c r="AG4840" s="9">
        <v>36.293711230319367</v>
      </c>
      <c r="AH4840" s="9">
        <v>39.230142171980006</v>
      </c>
      <c r="AI4840" s="9">
        <v>41.357809622501556</v>
      </c>
      <c r="AJ4840" s="9">
        <v>3.0428788910505911</v>
      </c>
    </row>
    <row r="4841" spans="1:36" x14ac:dyDescent="0.25">
      <c r="A4841" t="s">
        <v>5411</v>
      </c>
      <c r="B4841" t="s">
        <v>16</v>
      </c>
      <c r="C4841" t="s">
        <v>17</v>
      </c>
      <c r="D4841">
        <v>85300000</v>
      </c>
      <c r="E4841">
        <v>85339999</v>
      </c>
      <c r="F4841" t="s">
        <v>4392</v>
      </c>
      <c r="G4841" t="str">
        <f t="shared" si="150"/>
        <v>PRI II</v>
      </c>
      <c r="H4841" t="s">
        <v>4294</v>
      </c>
      <c r="I4841" t="s">
        <v>20</v>
      </c>
      <c r="J4841" t="s">
        <v>64</v>
      </c>
      <c r="K4841" s="6">
        <v>0.03</v>
      </c>
      <c r="L4841" s="7">
        <f t="shared" si="151"/>
        <v>2E-3</v>
      </c>
      <c r="M4841" s="7">
        <v>3.0000000000000001E-3</v>
      </c>
      <c r="N4841">
        <v>11</v>
      </c>
      <c r="O4841" s="8">
        <v>19.127752698369598</v>
      </c>
      <c r="P4841" s="9">
        <v>19.127752698369598</v>
      </c>
      <c r="Q4841" s="9">
        <v>19.127752698369598</v>
      </c>
      <c r="R4841" s="9">
        <v>19.588754687607715</v>
      </c>
      <c r="S4841" s="9">
        <v>19.892211826137899</v>
      </c>
      <c r="T4841" s="9">
        <v>20.64455772606674</v>
      </c>
      <c r="U4841" s="9">
        <v>22.020224218035128</v>
      </c>
      <c r="V4841" s="9">
        <v>22.020224218035128</v>
      </c>
      <c r="W4841" s="9">
        <v>22.020224218035128</v>
      </c>
      <c r="X4841" s="9">
        <v>24.004435739730138</v>
      </c>
      <c r="Y4841" s="9">
        <v>24.004435739730138</v>
      </c>
      <c r="Z4841" s="9">
        <v>26.075582265671787</v>
      </c>
      <c r="AA4841" s="9">
        <v>26.075582265671787</v>
      </c>
      <c r="AB4841" s="9">
        <v>28.242357296284759</v>
      </c>
      <c r="AC4841" s="9">
        <v>28.242357296284759</v>
      </c>
      <c r="AD4841" s="9">
        <v>32.278785457330969</v>
      </c>
      <c r="AE4841" s="9">
        <v>34.228944830548365</v>
      </c>
      <c r="AF4841" s="9">
        <v>36.293711230319367</v>
      </c>
      <c r="AG4841" s="9">
        <v>36.293711230319367</v>
      </c>
      <c r="AH4841" s="9">
        <v>39.230142171980006</v>
      </c>
      <c r="AI4841" s="9">
        <v>41.357809622501556</v>
      </c>
      <c r="AJ4841" s="9">
        <v>3.0428788910505911</v>
      </c>
    </row>
    <row r="4842" spans="1:36" x14ac:dyDescent="0.25">
      <c r="A4842" t="s">
        <v>5411</v>
      </c>
      <c r="B4842" t="s">
        <v>16</v>
      </c>
      <c r="C4842" t="s">
        <v>17</v>
      </c>
      <c r="D4842">
        <v>85340000</v>
      </c>
      <c r="E4842">
        <v>85344999</v>
      </c>
      <c r="F4842" t="s">
        <v>4393</v>
      </c>
      <c r="G4842" t="str">
        <f t="shared" si="150"/>
        <v>PRI II</v>
      </c>
      <c r="H4842" t="s">
        <v>4294</v>
      </c>
      <c r="I4842" t="s">
        <v>20</v>
      </c>
      <c r="J4842" t="s">
        <v>64</v>
      </c>
      <c r="K4842" s="6">
        <v>0.03</v>
      </c>
      <c r="L4842" s="7">
        <f t="shared" si="151"/>
        <v>2E-3</v>
      </c>
      <c r="M4842" s="7">
        <v>3.0000000000000001E-3</v>
      </c>
      <c r="N4842">
        <v>11</v>
      </c>
      <c r="O4842" s="8">
        <v>19.127752698369598</v>
      </c>
      <c r="P4842" s="9">
        <v>19.127752698369598</v>
      </c>
      <c r="Q4842" s="9">
        <v>19.127752698369598</v>
      </c>
      <c r="R4842" s="9">
        <v>19.588754687607715</v>
      </c>
      <c r="S4842" s="9">
        <v>19.892211826137899</v>
      </c>
      <c r="T4842" s="9">
        <v>20.64455772606674</v>
      </c>
      <c r="U4842" s="9">
        <v>22.020224218035128</v>
      </c>
      <c r="V4842" s="9">
        <v>22.020224218035128</v>
      </c>
      <c r="W4842" s="9">
        <v>22.020224218035128</v>
      </c>
      <c r="X4842" s="9">
        <v>24.004435739730138</v>
      </c>
      <c r="Y4842" s="9">
        <v>24.004435739730138</v>
      </c>
      <c r="Z4842" s="9">
        <v>26.075582265671787</v>
      </c>
      <c r="AA4842" s="9">
        <v>26.075582265671787</v>
      </c>
      <c r="AB4842" s="9">
        <v>28.242357296284759</v>
      </c>
      <c r="AC4842" s="9">
        <v>28.242357296284759</v>
      </c>
      <c r="AD4842" s="9">
        <v>32.278785457330969</v>
      </c>
      <c r="AE4842" s="9">
        <v>34.228944830548365</v>
      </c>
      <c r="AF4842" s="9">
        <v>36.293711230319367</v>
      </c>
      <c r="AG4842" s="9">
        <v>36.293711230319367</v>
      </c>
      <c r="AH4842" s="9">
        <v>39.230142171980006</v>
      </c>
      <c r="AI4842" s="9">
        <v>41.357809622501556</v>
      </c>
      <c r="AJ4842" s="9">
        <v>3.0428788910505911</v>
      </c>
    </row>
    <row r="4843" spans="1:36" x14ac:dyDescent="0.25">
      <c r="A4843" t="s">
        <v>5411</v>
      </c>
      <c r="B4843" t="s">
        <v>16</v>
      </c>
      <c r="C4843" t="s">
        <v>17</v>
      </c>
      <c r="D4843">
        <v>85345000</v>
      </c>
      <c r="E4843">
        <v>85349999</v>
      </c>
      <c r="F4843" t="s">
        <v>4394</v>
      </c>
      <c r="G4843" t="str">
        <f t="shared" si="150"/>
        <v>PRI II</v>
      </c>
      <c r="H4843" t="s">
        <v>4294</v>
      </c>
      <c r="I4843" t="s">
        <v>20</v>
      </c>
      <c r="J4843" t="s">
        <v>64</v>
      </c>
      <c r="K4843" s="6">
        <v>0.03</v>
      </c>
      <c r="L4843" s="7">
        <f t="shared" si="151"/>
        <v>2E-3</v>
      </c>
      <c r="M4843" s="7">
        <v>3.0000000000000001E-3</v>
      </c>
      <c r="N4843">
        <v>11</v>
      </c>
      <c r="O4843" s="8">
        <v>19.127752698369598</v>
      </c>
      <c r="P4843" s="9">
        <v>19.127752698369598</v>
      </c>
      <c r="Q4843" s="9">
        <v>19.127752698369598</v>
      </c>
      <c r="R4843" s="9">
        <v>19.588754687607715</v>
      </c>
      <c r="S4843" s="9">
        <v>19.892211826137899</v>
      </c>
      <c r="T4843" s="9">
        <v>20.64455772606674</v>
      </c>
      <c r="U4843" s="9">
        <v>22.020224218035128</v>
      </c>
      <c r="V4843" s="9">
        <v>22.020224218035128</v>
      </c>
      <c r="W4843" s="9">
        <v>22.020224218035128</v>
      </c>
      <c r="X4843" s="9">
        <v>24.004435739730138</v>
      </c>
      <c r="Y4843" s="9">
        <v>24.004435739730138</v>
      </c>
      <c r="Z4843" s="9">
        <v>26.075582265671787</v>
      </c>
      <c r="AA4843" s="9">
        <v>26.075582265671787</v>
      </c>
      <c r="AB4843" s="9">
        <v>28.242357296284759</v>
      </c>
      <c r="AC4843" s="9">
        <v>28.242357296284759</v>
      </c>
      <c r="AD4843" s="9">
        <v>32.278785457330969</v>
      </c>
      <c r="AE4843" s="9">
        <v>34.228944830548365</v>
      </c>
      <c r="AF4843" s="9">
        <v>36.293711230319367</v>
      </c>
      <c r="AG4843" s="9">
        <v>36.293711230319367</v>
      </c>
      <c r="AH4843" s="9">
        <v>39.230142171980006</v>
      </c>
      <c r="AI4843" s="9">
        <v>41.357809622501556</v>
      </c>
      <c r="AJ4843" s="9">
        <v>3.0428788910505911</v>
      </c>
    </row>
    <row r="4844" spans="1:36" x14ac:dyDescent="0.25">
      <c r="A4844" t="s">
        <v>5411</v>
      </c>
      <c r="B4844" t="s">
        <v>16</v>
      </c>
      <c r="C4844" t="s">
        <v>17</v>
      </c>
      <c r="D4844">
        <v>85350000</v>
      </c>
      <c r="E4844">
        <v>85389999</v>
      </c>
      <c r="F4844" t="s">
        <v>4395</v>
      </c>
      <c r="G4844" t="str">
        <f t="shared" si="150"/>
        <v>PRI II</v>
      </c>
      <c r="H4844" t="s">
        <v>4294</v>
      </c>
      <c r="I4844" t="s">
        <v>20</v>
      </c>
      <c r="J4844" t="s">
        <v>64</v>
      </c>
      <c r="K4844" s="6">
        <v>0.03</v>
      </c>
      <c r="L4844" s="7">
        <f t="shared" si="151"/>
        <v>2E-3</v>
      </c>
      <c r="M4844" s="7">
        <v>3.0000000000000001E-3</v>
      </c>
      <c r="N4844">
        <v>11</v>
      </c>
      <c r="O4844" s="8">
        <v>19.127752698369598</v>
      </c>
      <c r="P4844" s="9">
        <v>19.127752698369598</v>
      </c>
      <c r="Q4844" s="9">
        <v>19.127752698369598</v>
      </c>
      <c r="R4844" s="9">
        <v>19.588754687607715</v>
      </c>
      <c r="S4844" s="9">
        <v>19.892211826137899</v>
      </c>
      <c r="T4844" s="9">
        <v>20.64455772606674</v>
      </c>
      <c r="U4844" s="9">
        <v>22.020224218035128</v>
      </c>
      <c r="V4844" s="9">
        <v>22.020224218035128</v>
      </c>
      <c r="W4844" s="9">
        <v>22.020224218035128</v>
      </c>
      <c r="X4844" s="9">
        <v>24.004435739730138</v>
      </c>
      <c r="Y4844" s="9">
        <v>24.004435739730138</v>
      </c>
      <c r="Z4844" s="9">
        <v>26.075582265671787</v>
      </c>
      <c r="AA4844" s="9">
        <v>26.075582265671787</v>
      </c>
      <c r="AB4844" s="9">
        <v>28.242357296284759</v>
      </c>
      <c r="AC4844" s="9">
        <v>28.242357296284759</v>
      </c>
      <c r="AD4844" s="9">
        <v>32.278785457330969</v>
      </c>
      <c r="AE4844" s="9">
        <v>34.228944830548365</v>
      </c>
      <c r="AF4844" s="9">
        <v>36.293711230319367</v>
      </c>
      <c r="AG4844" s="9">
        <v>36.293711230319367</v>
      </c>
      <c r="AH4844" s="9">
        <v>39.230142171980006</v>
      </c>
      <c r="AI4844" s="9">
        <v>41.357809622501556</v>
      </c>
      <c r="AJ4844" s="9">
        <v>3.0428788910505911</v>
      </c>
    </row>
    <row r="4845" spans="1:36" x14ac:dyDescent="0.25">
      <c r="A4845" t="s">
        <v>5411</v>
      </c>
      <c r="B4845" t="s">
        <v>16</v>
      </c>
      <c r="C4845" t="s">
        <v>17</v>
      </c>
      <c r="D4845">
        <v>85390000</v>
      </c>
      <c r="E4845">
        <v>85399999</v>
      </c>
      <c r="F4845" t="s">
        <v>4396</v>
      </c>
      <c r="G4845" t="str">
        <f t="shared" si="150"/>
        <v>PRI II</v>
      </c>
      <c r="H4845" t="s">
        <v>4294</v>
      </c>
      <c r="I4845" t="s">
        <v>20</v>
      </c>
      <c r="J4845" t="s">
        <v>64</v>
      </c>
      <c r="K4845" s="6">
        <v>0.03</v>
      </c>
      <c r="L4845" s="7">
        <f t="shared" si="151"/>
        <v>2E-3</v>
      </c>
      <c r="M4845" s="7">
        <v>3.0000000000000001E-3</v>
      </c>
      <c r="N4845">
        <v>11</v>
      </c>
      <c r="O4845" s="8">
        <v>19.127752698369598</v>
      </c>
      <c r="P4845" s="9">
        <v>19.127752698369598</v>
      </c>
      <c r="Q4845" s="9">
        <v>19.127752698369598</v>
      </c>
      <c r="R4845" s="9">
        <v>19.588754687607715</v>
      </c>
      <c r="S4845" s="9">
        <v>19.892211826137899</v>
      </c>
      <c r="T4845" s="9">
        <v>20.64455772606674</v>
      </c>
      <c r="U4845" s="9">
        <v>22.020224218035128</v>
      </c>
      <c r="V4845" s="9">
        <v>22.020224218035128</v>
      </c>
      <c r="W4845" s="9">
        <v>22.020224218035128</v>
      </c>
      <c r="X4845" s="9">
        <v>24.004435739730138</v>
      </c>
      <c r="Y4845" s="9">
        <v>24.004435739730138</v>
      </c>
      <c r="Z4845" s="9">
        <v>26.075582265671787</v>
      </c>
      <c r="AA4845" s="9">
        <v>26.075582265671787</v>
      </c>
      <c r="AB4845" s="9">
        <v>28.242357296284759</v>
      </c>
      <c r="AC4845" s="9">
        <v>28.242357296284759</v>
      </c>
      <c r="AD4845" s="9">
        <v>32.278785457330969</v>
      </c>
      <c r="AE4845" s="9">
        <v>34.228944830548365</v>
      </c>
      <c r="AF4845" s="9">
        <v>36.293711230319367</v>
      </c>
      <c r="AG4845" s="9">
        <v>36.293711230319367</v>
      </c>
      <c r="AH4845" s="9">
        <v>39.230142171980006</v>
      </c>
      <c r="AI4845" s="9">
        <v>41.357809622501556</v>
      </c>
      <c r="AJ4845" s="9">
        <v>3.0428788910505911</v>
      </c>
    </row>
    <row r="4846" spans="1:36" x14ac:dyDescent="0.25">
      <c r="A4846" t="s">
        <v>5411</v>
      </c>
      <c r="B4846" t="s">
        <v>16</v>
      </c>
      <c r="C4846" t="s">
        <v>17</v>
      </c>
      <c r="D4846">
        <v>85400000</v>
      </c>
      <c r="E4846">
        <v>85407999</v>
      </c>
      <c r="F4846" t="s">
        <v>4397</v>
      </c>
      <c r="G4846" t="str">
        <f t="shared" si="150"/>
        <v>PRI II</v>
      </c>
      <c r="H4846" t="s">
        <v>4294</v>
      </c>
      <c r="I4846" t="s">
        <v>20</v>
      </c>
      <c r="J4846" t="s">
        <v>64</v>
      </c>
      <c r="K4846" s="6">
        <v>0.03</v>
      </c>
      <c r="L4846" s="7">
        <f t="shared" si="151"/>
        <v>2E-3</v>
      </c>
      <c r="M4846" s="7">
        <v>3.0000000000000001E-3</v>
      </c>
      <c r="N4846">
        <v>11</v>
      </c>
      <c r="O4846" s="8">
        <v>19.127752698369598</v>
      </c>
      <c r="P4846" s="9">
        <v>19.127752698369598</v>
      </c>
      <c r="Q4846" s="9">
        <v>19.127752698369598</v>
      </c>
      <c r="R4846" s="9">
        <v>19.588754687607715</v>
      </c>
      <c r="S4846" s="9">
        <v>19.892211826137899</v>
      </c>
      <c r="T4846" s="9">
        <v>20.64455772606674</v>
      </c>
      <c r="U4846" s="9">
        <v>22.020224218035128</v>
      </c>
      <c r="V4846" s="9">
        <v>22.020224218035128</v>
      </c>
      <c r="W4846" s="9">
        <v>22.020224218035128</v>
      </c>
      <c r="X4846" s="9">
        <v>24.004435739730138</v>
      </c>
      <c r="Y4846" s="9">
        <v>24.004435739730138</v>
      </c>
      <c r="Z4846" s="9">
        <v>26.075582265671787</v>
      </c>
      <c r="AA4846" s="9">
        <v>26.075582265671787</v>
      </c>
      <c r="AB4846" s="9">
        <v>28.242357296284759</v>
      </c>
      <c r="AC4846" s="9">
        <v>28.242357296284759</v>
      </c>
      <c r="AD4846" s="9">
        <v>32.278785457330969</v>
      </c>
      <c r="AE4846" s="9">
        <v>34.228944830548365</v>
      </c>
      <c r="AF4846" s="9">
        <v>36.293711230319367</v>
      </c>
      <c r="AG4846" s="9">
        <v>36.293711230319367</v>
      </c>
      <c r="AH4846" s="9">
        <v>39.230142171980006</v>
      </c>
      <c r="AI4846" s="9">
        <v>41.357809622501556</v>
      </c>
      <c r="AJ4846" s="9">
        <v>3.0428788910505911</v>
      </c>
    </row>
    <row r="4847" spans="1:36" x14ac:dyDescent="0.25">
      <c r="A4847" t="s">
        <v>5411</v>
      </c>
      <c r="B4847" t="s">
        <v>16</v>
      </c>
      <c r="C4847" t="s">
        <v>17</v>
      </c>
      <c r="D4847">
        <v>85408000</v>
      </c>
      <c r="E4847">
        <v>85409999</v>
      </c>
      <c r="F4847" t="s">
        <v>4398</v>
      </c>
      <c r="G4847" t="str">
        <f t="shared" si="150"/>
        <v>PRI II</v>
      </c>
      <c r="H4847" t="s">
        <v>4294</v>
      </c>
      <c r="I4847" t="s">
        <v>20</v>
      </c>
      <c r="J4847" t="s">
        <v>64</v>
      </c>
      <c r="K4847" s="6">
        <v>0.03</v>
      </c>
      <c r="L4847" s="7">
        <f t="shared" si="151"/>
        <v>2E-3</v>
      </c>
      <c r="M4847" s="7">
        <v>3.0000000000000001E-3</v>
      </c>
      <c r="N4847">
        <v>11</v>
      </c>
      <c r="O4847" s="8">
        <v>19.127752698369598</v>
      </c>
      <c r="P4847" s="9">
        <v>19.127752698369598</v>
      </c>
      <c r="Q4847" s="9">
        <v>19.127752698369598</v>
      </c>
      <c r="R4847" s="9">
        <v>19.588754687607715</v>
      </c>
      <c r="S4847" s="9">
        <v>19.892211826137899</v>
      </c>
      <c r="T4847" s="9">
        <v>20.64455772606674</v>
      </c>
      <c r="U4847" s="9">
        <v>22.020224218035128</v>
      </c>
      <c r="V4847" s="9">
        <v>22.020224218035128</v>
      </c>
      <c r="W4847" s="9">
        <v>22.020224218035128</v>
      </c>
      <c r="X4847" s="9">
        <v>24.004435739730138</v>
      </c>
      <c r="Y4847" s="9">
        <v>24.004435739730138</v>
      </c>
      <c r="Z4847" s="9">
        <v>26.075582265671787</v>
      </c>
      <c r="AA4847" s="9">
        <v>26.075582265671787</v>
      </c>
      <c r="AB4847" s="9">
        <v>28.242357296284759</v>
      </c>
      <c r="AC4847" s="9">
        <v>28.242357296284759</v>
      </c>
      <c r="AD4847" s="9">
        <v>32.278785457330969</v>
      </c>
      <c r="AE4847" s="9">
        <v>34.228944830548365</v>
      </c>
      <c r="AF4847" s="9">
        <v>36.293711230319367</v>
      </c>
      <c r="AG4847" s="9">
        <v>36.293711230319367</v>
      </c>
      <c r="AH4847" s="9">
        <v>39.230142171980006</v>
      </c>
      <c r="AI4847" s="9">
        <v>41.357809622501556</v>
      </c>
      <c r="AJ4847" s="9">
        <v>3.0428788910505911</v>
      </c>
    </row>
    <row r="4848" spans="1:36" x14ac:dyDescent="0.25">
      <c r="A4848" t="s">
        <v>5411</v>
      </c>
      <c r="B4848" t="s">
        <v>16</v>
      </c>
      <c r="C4848" t="s">
        <v>17</v>
      </c>
      <c r="D4848">
        <v>85410000</v>
      </c>
      <c r="E4848">
        <v>85414999</v>
      </c>
      <c r="F4848" t="s">
        <v>3776</v>
      </c>
      <c r="G4848" t="str">
        <f t="shared" si="150"/>
        <v>PRI II</v>
      </c>
      <c r="H4848" t="s">
        <v>4294</v>
      </c>
      <c r="I4848" t="s">
        <v>20</v>
      </c>
      <c r="J4848" t="s">
        <v>64</v>
      </c>
      <c r="K4848" s="6">
        <v>0.03</v>
      </c>
      <c r="L4848" s="7">
        <f t="shared" si="151"/>
        <v>2E-3</v>
      </c>
      <c r="M4848" s="7">
        <v>3.0000000000000001E-3</v>
      </c>
      <c r="N4848">
        <v>11</v>
      </c>
      <c r="O4848" s="8">
        <v>19.127752698369598</v>
      </c>
      <c r="P4848" s="9">
        <v>19.127752698369598</v>
      </c>
      <c r="Q4848" s="9">
        <v>19.127752698369598</v>
      </c>
      <c r="R4848" s="9">
        <v>19.588754687607715</v>
      </c>
      <c r="S4848" s="9">
        <v>19.892211826137899</v>
      </c>
      <c r="T4848" s="9">
        <v>20.64455772606674</v>
      </c>
      <c r="U4848" s="9">
        <v>22.020224218035128</v>
      </c>
      <c r="V4848" s="9">
        <v>22.020224218035128</v>
      </c>
      <c r="W4848" s="9">
        <v>22.020224218035128</v>
      </c>
      <c r="X4848" s="9">
        <v>24.004435739730138</v>
      </c>
      <c r="Y4848" s="9">
        <v>24.004435739730138</v>
      </c>
      <c r="Z4848" s="9">
        <v>26.075582265671787</v>
      </c>
      <c r="AA4848" s="9">
        <v>26.075582265671787</v>
      </c>
      <c r="AB4848" s="9">
        <v>28.242357296284759</v>
      </c>
      <c r="AC4848" s="9">
        <v>28.242357296284759</v>
      </c>
      <c r="AD4848" s="9">
        <v>32.278785457330969</v>
      </c>
      <c r="AE4848" s="9">
        <v>34.228944830548365</v>
      </c>
      <c r="AF4848" s="9">
        <v>36.293711230319367</v>
      </c>
      <c r="AG4848" s="9">
        <v>36.293711230319367</v>
      </c>
      <c r="AH4848" s="9">
        <v>39.230142171980006</v>
      </c>
      <c r="AI4848" s="9">
        <v>41.357809622501556</v>
      </c>
      <c r="AJ4848" s="9">
        <v>3.0428788910505911</v>
      </c>
    </row>
    <row r="4849" spans="1:36" x14ac:dyDescent="0.25">
      <c r="A4849" t="s">
        <v>5411</v>
      </c>
      <c r="B4849" t="s">
        <v>16</v>
      </c>
      <c r="C4849" t="s">
        <v>17</v>
      </c>
      <c r="D4849">
        <v>85415000</v>
      </c>
      <c r="E4849">
        <v>85419999</v>
      </c>
      <c r="F4849" t="s">
        <v>437</v>
      </c>
      <c r="G4849" t="str">
        <f t="shared" si="150"/>
        <v>PRI II</v>
      </c>
      <c r="H4849" t="s">
        <v>4294</v>
      </c>
      <c r="I4849" t="s">
        <v>20</v>
      </c>
      <c r="J4849" t="s">
        <v>64</v>
      </c>
      <c r="K4849" s="6">
        <v>0.03</v>
      </c>
      <c r="L4849" s="7">
        <f t="shared" si="151"/>
        <v>2E-3</v>
      </c>
      <c r="M4849" s="7">
        <v>3.0000000000000001E-3</v>
      </c>
      <c r="N4849">
        <v>11</v>
      </c>
      <c r="O4849" s="8">
        <v>19.127752698369598</v>
      </c>
      <c r="P4849" s="9">
        <v>19.127752698369598</v>
      </c>
      <c r="Q4849" s="9">
        <v>19.127752698369598</v>
      </c>
      <c r="R4849" s="9">
        <v>19.588754687607715</v>
      </c>
      <c r="S4849" s="9">
        <v>19.892211826137899</v>
      </c>
      <c r="T4849" s="9">
        <v>20.64455772606674</v>
      </c>
      <c r="U4849" s="9">
        <v>22.020224218035128</v>
      </c>
      <c r="V4849" s="9">
        <v>22.020224218035128</v>
      </c>
      <c r="W4849" s="9">
        <v>22.020224218035128</v>
      </c>
      <c r="X4849" s="9">
        <v>24.004435739730138</v>
      </c>
      <c r="Y4849" s="9">
        <v>24.004435739730138</v>
      </c>
      <c r="Z4849" s="9">
        <v>26.075582265671787</v>
      </c>
      <c r="AA4849" s="9">
        <v>26.075582265671787</v>
      </c>
      <c r="AB4849" s="9">
        <v>28.242357296284759</v>
      </c>
      <c r="AC4849" s="9">
        <v>28.242357296284759</v>
      </c>
      <c r="AD4849" s="9">
        <v>32.278785457330969</v>
      </c>
      <c r="AE4849" s="9">
        <v>34.228944830548365</v>
      </c>
      <c r="AF4849" s="9">
        <v>36.293711230319367</v>
      </c>
      <c r="AG4849" s="9">
        <v>36.293711230319367</v>
      </c>
      <c r="AH4849" s="9">
        <v>39.230142171980006</v>
      </c>
      <c r="AI4849" s="9">
        <v>41.357809622501556</v>
      </c>
      <c r="AJ4849" s="9">
        <v>3.0428788910505911</v>
      </c>
    </row>
    <row r="4850" spans="1:36" x14ac:dyDescent="0.25">
      <c r="A4850" t="s">
        <v>5411</v>
      </c>
      <c r="B4850" t="s">
        <v>16</v>
      </c>
      <c r="C4850" t="s">
        <v>17</v>
      </c>
      <c r="D4850">
        <v>85420000</v>
      </c>
      <c r="E4850">
        <v>85422999</v>
      </c>
      <c r="F4850" t="s">
        <v>4399</v>
      </c>
      <c r="G4850" t="str">
        <f t="shared" si="150"/>
        <v>PRI II</v>
      </c>
      <c r="H4850" t="s">
        <v>4294</v>
      </c>
      <c r="I4850" t="s">
        <v>20</v>
      </c>
      <c r="J4850" t="s">
        <v>64</v>
      </c>
      <c r="K4850" s="6">
        <v>0.03</v>
      </c>
      <c r="L4850" s="7">
        <f t="shared" si="151"/>
        <v>2E-3</v>
      </c>
      <c r="M4850" s="7">
        <v>3.0000000000000001E-3</v>
      </c>
      <c r="N4850">
        <v>11</v>
      </c>
      <c r="O4850" s="8">
        <v>19.127752698369598</v>
      </c>
      <c r="P4850" s="9">
        <v>19.127752698369598</v>
      </c>
      <c r="Q4850" s="9">
        <v>19.127752698369598</v>
      </c>
      <c r="R4850" s="9">
        <v>19.588754687607715</v>
      </c>
      <c r="S4850" s="9">
        <v>19.892211826137899</v>
      </c>
      <c r="T4850" s="9">
        <v>20.64455772606674</v>
      </c>
      <c r="U4850" s="9">
        <v>22.020224218035128</v>
      </c>
      <c r="V4850" s="9">
        <v>22.020224218035128</v>
      </c>
      <c r="W4850" s="9">
        <v>22.020224218035128</v>
      </c>
      <c r="X4850" s="9">
        <v>24.004435739730138</v>
      </c>
      <c r="Y4850" s="9">
        <v>24.004435739730138</v>
      </c>
      <c r="Z4850" s="9">
        <v>26.075582265671787</v>
      </c>
      <c r="AA4850" s="9">
        <v>26.075582265671787</v>
      </c>
      <c r="AB4850" s="9">
        <v>28.242357296284759</v>
      </c>
      <c r="AC4850" s="9">
        <v>28.242357296284759</v>
      </c>
      <c r="AD4850" s="9">
        <v>32.278785457330969</v>
      </c>
      <c r="AE4850" s="9">
        <v>34.228944830548365</v>
      </c>
      <c r="AF4850" s="9">
        <v>36.293711230319367</v>
      </c>
      <c r="AG4850" s="9">
        <v>36.293711230319367</v>
      </c>
      <c r="AH4850" s="9">
        <v>39.230142171980006</v>
      </c>
      <c r="AI4850" s="9">
        <v>41.357809622501556</v>
      </c>
      <c r="AJ4850" s="9">
        <v>3.0428788910505911</v>
      </c>
    </row>
    <row r="4851" spans="1:36" x14ac:dyDescent="0.25">
      <c r="A4851" t="s">
        <v>5411</v>
      </c>
      <c r="B4851" t="s">
        <v>16</v>
      </c>
      <c r="C4851" t="s">
        <v>17</v>
      </c>
      <c r="D4851">
        <v>85423000</v>
      </c>
      <c r="E4851">
        <v>85424999</v>
      </c>
      <c r="F4851" t="s">
        <v>4400</v>
      </c>
      <c r="G4851" t="str">
        <f t="shared" si="150"/>
        <v>PRI II</v>
      </c>
      <c r="H4851" t="s">
        <v>4294</v>
      </c>
      <c r="I4851" t="s">
        <v>20</v>
      </c>
      <c r="J4851" t="s">
        <v>64</v>
      </c>
      <c r="K4851" s="6">
        <v>0.03</v>
      </c>
      <c r="L4851" s="7">
        <f t="shared" si="151"/>
        <v>2E-3</v>
      </c>
      <c r="M4851" s="7">
        <v>3.0000000000000001E-3</v>
      </c>
      <c r="N4851">
        <v>11</v>
      </c>
      <c r="O4851" s="8">
        <v>19.127752698369598</v>
      </c>
      <c r="P4851" s="9">
        <v>19.127752698369598</v>
      </c>
      <c r="Q4851" s="9">
        <v>19.127752698369598</v>
      </c>
      <c r="R4851" s="9">
        <v>19.588754687607715</v>
      </c>
      <c r="S4851" s="9">
        <v>19.892211826137899</v>
      </c>
      <c r="T4851" s="9">
        <v>20.64455772606674</v>
      </c>
      <c r="U4851" s="9">
        <v>22.020224218035128</v>
      </c>
      <c r="V4851" s="9">
        <v>22.020224218035128</v>
      </c>
      <c r="W4851" s="9">
        <v>22.020224218035128</v>
      </c>
      <c r="X4851" s="9">
        <v>24.004435739730138</v>
      </c>
      <c r="Y4851" s="9">
        <v>24.004435739730138</v>
      </c>
      <c r="Z4851" s="9">
        <v>26.075582265671787</v>
      </c>
      <c r="AA4851" s="9">
        <v>26.075582265671787</v>
      </c>
      <c r="AB4851" s="9">
        <v>28.242357296284759</v>
      </c>
      <c r="AC4851" s="9">
        <v>28.242357296284759</v>
      </c>
      <c r="AD4851" s="9">
        <v>32.278785457330969</v>
      </c>
      <c r="AE4851" s="9">
        <v>34.228944830548365</v>
      </c>
      <c r="AF4851" s="9">
        <v>36.293711230319367</v>
      </c>
      <c r="AG4851" s="9">
        <v>36.293711230319367</v>
      </c>
      <c r="AH4851" s="9">
        <v>39.230142171980006</v>
      </c>
      <c r="AI4851" s="9">
        <v>41.357809622501556</v>
      </c>
      <c r="AJ4851" s="9">
        <v>3.0428788910505911</v>
      </c>
    </row>
    <row r="4852" spans="1:36" x14ac:dyDescent="0.25">
      <c r="A4852" t="s">
        <v>5411</v>
      </c>
      <c r="B4852" t="s">
        <v>16</v>
      </c>
      <c r="C4852" t="s">
        <v>17</v>
      </c>
      <c r="D4852">
        <v>85425000</v>
      </c>
      <c r="E4852">
        <v>85429999</v>
      </c>
      <c r="F4852" t="s">
        <v>4401</v>
      </c>
      <c r="G4852" t="str">
        <f t="shared" si="150"/>
        <v>PRI II</v>
      </c>
      <c r="H4852" t="s">
        <v>4294</v>
      </c>
      <c r="I4852" t="s">
        <v>20</v>
      </c>
      <c r="J4852" t="s">
        <v>64</v>
      </c>
      <c r="K4852" s="6">
        <v>0.03</v>
      </c>
      <c r="L4852" s="7">
        <f t="shared" si="151"/>
        <v>2E-3</v>
      </c>
      <c r="M4852" s="7">
        <v>3.0000000000000001E-3</v>
      </c>
      <c r="N4852">
        <v>11</v>
      </c>
      <c r="O4852" s="8">
        <v>19.127752698369598</v>
      </c>
      <c r="P4852" s="9">
        <v>19.127752698369598</v>
      </c>
      <c r="Q4852" s="9">
        <v>19.127752698369598</v>
      </c>
      <c r="R4852" s="9">
        <v>19.588754687607715</v>
      </c>
      <c r="S4852" s="9">
        <v>19.892211826137899</v>
      </c>
      <c r="T4852" s="9">
        <v>20.64455772606674</v>
      </c>
      <c r="U4852" s="9">
        <v>22.020224218035128</v>
      </c>
      <c r="V4852" s="9">
        <v>22.020224218035128</v>
      </c>
      <c r="W4852" s="9">
        <v>22.020224218035128</v>
      </c>
      <c r="X4852" s="9">
        <v>24.004435739730138</v>
      </c>
      <c r="Y4852" s="9">
        <v>24.004435739730138</v>
      </c>
      <c r="Z4852" s="9">
        <v>26.075582265671787</v>
      </c>
      <c r="AA4852" s="9">
        <v>26.075582265671787</v>
      </c>
      <c r="AB4852" s="9">
        <v>28.242357296284759</v>
      </c>
      <c r="AC4852" s="9">
        <v>28.242357296284759</v>
      </c>
      <c r="AD4852" s="9">
        <v>32.278785457330969</v>
      </c>
      <c r="AE4852" s="9">
        <v>34.228944830548365</v>
      </c>
      <c r="AF4852" s="9">
        <v>36.293711230319367</v>
      </c>
      <c r="AG4852" s="9">
        <v>36.293711230319367</v>
      </c>
      <c r="AH4852" s="9">
        <v>39.230142171980006</v>
      </c>
      <c r="AI4852" s="9">
        <v>41.357809622501556</v>
      </c>
      <c r="AJ4852" s="9">
        <v>3.0428788910505911</v>
      </c>
    </row>
    <row r="4853" spans="1:36" x14ac:dyDescent="0.25">
      <c r="A4853" t="s">
        <v>5411</v>
      </c>
      <c r="B4853" t="s">
        <v>16</v>
      </c>
      <c r="C4853" t="s">
        <v>17</v>
      </c>
      <c r="D4853">
        <v>85430000</v>
      </c>
      <c r="E4853">
        <v>85439999</v>
      </c>
      <c r="F4853" t="s">
        <v>4402</v>
      </c>
      <c r="G4853" t="str">
        <f t="shared" si="150"/>
        <v>PRI II</v>
      </c>
      <c r="H4853" t="s">
        <v>4294</v>
      </c>
      <c r="I4853" t="s">
        <v>20</v>
      </c>
      <c r="J4853" t="s">
        <v>64</v>
      </c>
      <c r="K4853" s="6">
        <v>0.03</v>
      </c>
      <c r="L4853" s="7">
        <f t="shared" si="151"/>
        <v>2E-3</v>
      </c>
      <c r="M4853" s="7">
        <v>3.0000000000000001E-3</v>
      </c>
      <c r="N4853">
        <v>11</v>
      </c>
      <c r="O4853" s="8">
        <v>19.127752698369598</v>
      </c>
      <c r="P4853" s="9">
        <v>19.127752698369598</v>
      </c>
      <c r="Q4853" s="9">
        <v>19.127752698369598</v>
      </c>
      <c r="R4853" s="9">
        <v>19.588754687607715</v>
      </c>
      <c r="S4853" s="9">
        <v>19.892211826137899</v>
      </c>
      <c r="T4853" s="9">
        <v>20.64455772606674</v>
      </c>
      <c r="U4853" s="9">
        <v>22.020224218035128</v>
      </c>
      <c r="V4853" s="9">
        <v>22.020224218035128</v>
      </c>
      <c r="W4853" s="9">
        <v>22.020224218035128</v>
      </c>
      <c r="X4853" s="9">
        <v>24.004435739730138</v>
      </c>
      <c r="Y4853" s="9">
        <v>24.004435739730138</v>
      </c>
      <c r="Z4853" s="9">
        <v>26.075582265671787</v>
      </c>
      <c r="AA4853" s="9">
        <v>26.075582265671787</v>
      </c>
      <c r="AB4853" s="9">
        <v>28.242357296284759</v>
      </c>
      <c r="AC4853" s="9">
        <v>28.242357296284759</v>
      </c>
      <c r="AD4853" s="9">
        <v>32.278785457330969</v>
      </c>
      <c r="AE4853" s="9">
        <v>34.228944830548365</v>
      </c>
      <c r="AF4853" s="9">
        <v>36.293711230319367</v>
      </c>
      <c r="AG4853" s="9">
        <v>36.293711230319367</v>
      </c>
      <c r="AH4853" s="9">
        <v>39.230142171980006</v>
      </c>
      <c r="AI4853" s="9">
        <v>41.357809622501556</v>
      </c>
      <c r="AJ4853" s="9">
        <v>3.0428788910505911</v>
      </c>
    </row>
    <row r="4854" spans="1:36" x14ac:dyDescent="0.25">
      <c r="A4854" t="s">
        <v>5411</v>
      </c>
      <c r="B4854" t="s">
        <v>16</v>
      </c>
      <c r="C4854" t="s">
        <v>17</v>
      </c>
      <c r="D4854">
        <v>85440000</v>
      </c>
      <c r="E4854">
        <v>85449999</v>
      </c>
      <c r="F4854" t="s">
        <v>4403</v>
      </c>
      <c r="G4854" t="str">
        <f t="shared" si="150"/>
        <v>PRI II</v>
      </c>
      <c r="H4854" t="s">
        <v>4294</v>
      </c>
      <c r="I4854" t="s">
        <v>20</v>
      </c>
      <c r="J4854" t="s">
        <v>64</v>
      </c>
      <c r="K4854" s="6">
        <v>0.03</v>
      </c>
      <c r="L4854" s="7">
        <f t="shared" si="151"/>
        <v>2E-3</v>
      </c>
      <c r="M4854" s="7">
        <v>3.0000000000000001E-3</v>
      </c>
      <c r="N4854">
        <v>11</v>
      </c>
      <c r="O4854" s="8">
        <v>19.127752698369598</v>
      </c>
      <c r="P4854" s="9">
        <v>19.127752698369598</v>
      </c>
      <c r="Q4854" s="9">
        <v>19.127752698369598</v>
      </c>
      <c r="R4854" s="9">
        <v>19.588754687607715</v>
      </c>
      <c r="S4854" s="9">
        <v>19.892211826137899</v>
      </c>
      <c r="T4854" s="9">
        <v>20.64455772606674</v>
      </c>
      <c r="U4854" s="9">
        <v>22.020224218035128</v>
      </c>
      <c r="V4854" s="9">
        <v>22.020224218035128</v>
      </c>
      <c r="W4854" s="9">
        <v>22.020224218035128</v>
      </c>
      <c r="X4854" s="9">
        <v>24.004435739730138</v>
      </c>
      <c r="Y4854" s="9">
        <v>24.004435739730138</v>
      </c>
      <c r="Z4854" s="9">
        <v>26.075582265671787</v>
      </c>
      <c r="AA4854" s="9">
        <v>26.075582265671787</v>
      </c>
      <c r="AB4854" s="9">
        <v>28.242357296284759</v>
      </c>
      <c r="AC4854" s="9">
        <v>28.242357296284759</v>
      </c>
      <c r="AD4854" s="9">
        <v>32.278785457330969</v>
      </c>
      <c r="AE4854" s="9">
        <v>34.228944830548365</v>
      </c>
      <c r="AF4854" s="9">
        <v>36.293711230319367</v>
      </c>
      <c r="AG4854" s="9">
        <v>36.293711230319367</v>
      </c>
      <c r="AH4854" s="9">
        <v>39.230142171980006</v>
      </c>
      <c r="AI4854" s="9">
        <v>41.357809622501556</v>
      </c>
      <c r="AJ4854" s="9">
        <v>3.0428788910505911</v>
      </c>
    </row>
    <row r="4855" spans="1:36" x14ac:dyDescent="0.25">
      <c r="A4855" t="s">
        <v>5411</v>
      </c>
      <c r="B4855" t="s">
        <v>16</v>
      </c>
      <c r="C4855" t="s">
        <v>17</v>
      </c>
      <c r="D4855">
        <v>85450000</v>
      </c>
      <c r="E4855">
        <v>85459999</v>
      </c>
      <c r="F4855" t="s">
        <v>4404</v>
      </c>
      <c r="G4855" t="str">
        <f t="shared" si="150"/>
        <v>PRI II</v>
      </c>
      <c r="H4855" t="s">
        <v>4294</v>
      </c>
      <c r="I4855" t="s">
        <v>20</v>
      </c>
      <c r="J4855" t="s">
        <v>64</v>
      </c>
      <c r="K4855" s="6">
        <v>0.03</v>
      </c>
      <c r="L4855" s="7">
        <f t="shared" si="151"/>
        <v>2E-3</v>
      </c>
      <c r="M4855" s="7">
        <v>3.0000000000000001E-3</v>
      </c>
      <c r="N4855">
        <v>11</v>
      </c>
      <c r="O4855" s="8">
        <v>19.127752698369598</v>
      </c>
      <c r="P4855" s="9">
        <v>19.127752698369598</v>
      </c>
      <c r="Q4855" s="9">
        <v>19.127752698369598</v>
      </c>
      <c r="R4855" s="9">
        <v>19.588754687607715</v>
      </c>
      <c r="S4855" s="9">
        <v>19.892211826137899</v>
      </c>
      <c r="T4855" s="9">
        <v>20.64455772606674</v>
      </c>
      <c r="U4855" s="9">
        <v>22.020224218035128</v>
      </c>
      <c r="V4855" s="9">
        <v>22.020224218035128</v>
      </c>
      <c r="W4855" s="9">
        <v>22.020224218035128</v>
      </c>
      <c r="X4855" s="9">
        <v>24.004435739730138</v>
      </c>
      <c r="Y4855" s="9">
        <v>24.004435739730138</v>
      </c>
      <c r="Z4855" s="9">
        <v>26.075582265671787</v>
      </c>
      <c r="AA4855" s="9">
        <v>26.075582265671787</v>
      </c>
      <c r="AB4855" s="9">
        <v>28.242357296284759</v>
      </c>
      <c r="AC4855" s="9">
        <v>28.242357296284759</v>
      </c>
      <c r="AD4855" s="9">
        <v>32.278785457330969</v>
      </c>
      <c r="AE4855" s="9">
        <v>34.228944830548365</v>
      </c>
      <c r="AF4855" s="9">
        <v>36.293711230319367</v>
      </c>
      <c r="AG4855" s="9">
        <v>36.293711230319367</v>
      </c>
      <c r="AH4855" s="9">
        <v>39.230142171980006</v>
      </c>
      <c r="AI4855" s="9">
        <v>41.357809622501556</v>
      </c>
      <c r="AJ4855" s="9">
        <v>3.0428788910505911</v>
      </c>
    </row>
    <row r="4856" spans="1:36" x14ac:dyDescent="0.25">
      <c r="A4856" t="s">
        <v>5411</v>
      </c>
      <c r="B4856" t="s">
        <v>16</v>
      </c>
      <c r="C4856" t="s">
        <v>17</v>
      </c>
      <c r="D4856">
        <v>85460000</v>
      </c>
      <c r="E4856">
        <v>85464999</v>
      </c>
      <c r="F4856" t="s">
        <v>4405</v>
      </c>
      <c r="G4856" t="str">
        <f t="shared" si="150"/>
        <v>PRI II</v>
      </c>
      <c r="H4856" t="s">
        <v>4294</v>
      </c>
      <c r="I4856" t="s">
        <v>20</v>
      </c>
      <c r="J4856" t="s">
        <v>64</v>
      </c>
      <c r="K4856" s="6">
        <v>0.03</v>
      </c>
      <c r="L4856" s="7">
        <f t="shared" si="151"/>
        <v>2E-3</v>
      </c>
      <c r="M4856" s="7">
        <v>3.0000000000000001E-3</v>
      </c>
      <c r="N4856">
        <v>11</v>
      </c>
      <c r="O4856" s="8">
        <v>19.127752698369598</v>
      </c>
      <c r="P4856" s="9">
        <v>19.127752698369598</v>
      </c>
      <c r="Q4856" s="9">
        <v>19.127752698369598</v>
      </c>
      <c r="R4856" s="9">
        <v>19.588754687607715</v>
      </c>
      <c r="S4856" s="9">
        <v>19.892211826137899</v>
      </c>
      <c r="T4856" s="9">
        <v>20.64455772606674</v>
      </c>
      <c r="U4856" s="9">
        <v>22.020224218035128</v>
      </c>
      <c r="V4856" s="9">
        <v>22.020224218035128</v>
      </c>
      <c r="W4856" s="9">
        <v>22.020224218035128</v>
      </c>
      <c r="X4856" s="9">
        <v>24.004435739730138</v>
      </c>
      <c r="Y4856" s="9">
        <v>24.004435739730138</v>
      </c>
      <c r="Z4856" s="9">
        <v>26.075582265671787</v>
      </c>
      <c r="AA4856" s="9">
        <v>26.075582265671787</v>
      </c>
      <c r="AB4856" s="9">
        <v>28.242357296284759</v>
      </c>
      <c r="AC4856" s="9">
        <v>28.242357296284759</v>
      </c>
      <c r="AD4856" s="9">
        <v>32.278785457330969</v>
      </c>
      <c r="AE4856" s="9">
        <v>34.228944830548365</v>
      </c>
      <c r="AF4856" s="9">
        <v>36.293711230319367</v>
      </c>
      <c r="AG4856" s="9">
        <v>36.293711230319367</v>
      </c>
      <c r="AH4856" s="9">
        <v>39.230142171980006</v>
      </c>
      <c r="AI4856" s="9">
        <v>41.357809622501556</v>
      </c>
      <c r="AJ4856" s="9">
        <v>3.0428788910505911</v>
      </c>
    </row>
    <row r="4857" spans="1:36" x14ac:dyDescent="0.25">
      <c r="A4857" t="s">
        <v>5411</v>
      </c>
      <c r="B4857" t="s">
        <v>16</v>
      </c>
      <c r="C4857" t="s">
        <v>17</v>
      </c>
      <c r="D4857">
        <v>85465000</v>
      </c>
      <c r="E4857">
        <v>85469999</v>
      </c>
      <c r="F4857" t="s">
        <v>4406</v>
      </c>
      <c r="G4857" t="str">
        <f t="shared" si="150"/>
        <v>PRI II</v>
      </c>
      <c r="H4857" t="s">
        <v>4294</v>
      </c>
      <c r="I4857" t="s">
        <v>20</v>
      </c>
      <c r="J4857" t="s">
        <v>64</v>
      </c>
      <c r="K4857" s="6">
        <v>0.03</v>
      </c>
      <c r="L4857" s="7">
        <f t="shared" si="151"/>
        <v>2E-3</v>
      </c>
      <c r="M4857" s="7">
        <v>3.0000000000000001E-3</v>
      </c>
      <c r="N4857">
        <v>11</v>
      </c>
      <c r="O4857" s="8">
        <v>19.127752698369598</v>
      </c>
      <c r="P4857" s="9">
        <v>19.127752698369598</v>
      </c>
      <c r="Q4857" s="9">
        <v>19.127752698369598</v>
      </c>
      <c r="R4857" s="9">
        <v>19.588754687607715</v>
      </c>
      <c r="S4857" s="9">
        <v>19.892211826137899</v>
      </c>
      <c r="T4857" s="9">
        <v>20.64455772606674</v>
      </c>
      <c r="U4857" s="9">
        <v>22.020224218035128</v>
      </c>
      <c r="V4857" s="9">
        <v>22.020224218035128</v>
      </c>
      <c r="W4857" s="9">
        <v>22.020224218035128</v>
      </c>
      <c r="X4857" s="9">
        <v>24.004435739730138</v>
      </c>
      <c r="Y4857" s="9">
        <v>24.004435739730138</v>
      </c>
      <c r="Z4857" s="9">
        <v>26.075582265671787</v>
      </c>
      <c r="AA4857" s="9">
        <v>26.075582265671787</v>
      </c>
      <c r="AB4857" s="9">
        <v>28.242357296284759</v>
      </c>
      <c r="AC4857" s="9">
        <v>28.242357296284759</v>
      </c>
      <c r="AD4857" s="9">
        <v>32.278785457330969</v>
      </c>
      <c r="AE4857" s="9">
        <v>34.228944830548365</v>
      </c>
      <c r="AF4857" s="9">
        <v>36.293711230319367</v>
      </c>
      <c r="AG4857" s="9">
        <v>36.293711230319367</v>
      </c>
      <c r="AH4857" s="9">
        <v>39.230142171980006</v>
      </c>
      <c r="AI4857" s="9">
        <v>41.357809622501556</v>
      </c>
      <c r="AJ4857" s="9">
        <v>3.0428788910505911</v>
      </c>
    </row>
    <row r="4858" spans="1:36" x14ac:dyDescent="0.25">
      <c r="A4858" t="s">
        <v>5411</v>
      </c>
      <c r="B4858" t="s">
        <v>16</v>
      </c>
      <c r="C4858" t="s">
        <v>17</v>
      </c>
      <c r="D4858">
        <v>85470000</v>
      </c>
      <c r="E4858">
        <v>85477999</v>
      </c>
      <c r="F4858" t="s">
        <v>4407</v>
      </c>
      <c r="G4858" t="str">
        <f t="shared" si="150"/>
        <v>PRI II</v>
      </c>
      <c r="H4858" t="s">
        <v>4294</v>
      </c>
      <c r="I4858" t="s">
        <v>20</v>
      </c>
      <c r="J4858" t="s">
        <v>64</v>
      </c>
      <c r="K4858" s="6">
        <v>0.03</v>
      </c>
      <c r="L4858" s="7">
        <f t="shared" si="151"/>
        <v>2E-3</v>
      </c>
      <c r="M4858" s="7">
        <v>3.0000000000000001E-3</v>
      </c>
      <c r="N4858">
        <v>11</v>
      </c>
      <c r="O4858" s="8">
        <v>19.127752698369598</v>
      </c>
      <c r="P4858" s="9">
        <v>19.127752698369598</v>
      </c>
      <c r="Q4858" s="9">
        <v>19.127752698369598</v>
      </c>
      <c r="R4858" s="9">
        <v>19.588754687607715</v>
      </c>
      <c r="S4858" s="9">
        <v>19.892211826137899</v>
      </c>
      <c r="T4858" s="9">
        <v>20.64455772606674</v>
      </c>
      <c r="U4858" s="9">
        <v>22.020224218035128</v>
      </c>
      <c r="V4858" s="9">
        <v>22.020224218035128</v>
      </c>
      <c r="W4858" s="9">
        <v>22.020224218035128</v>
      </c>
      <c r="X4858" s="9">
        <v>24.004435739730138</v>
      </c>
      <c r="Y4858" s="9">
        <v>24.004435739730138</v>
      </c>
      <c r="Z4858" s="9">
        <v>26.075582265671787</v>
      </c>
      <c r="AA4858" s="9">
        <v>26.075582265671787</v>
      </c>
      <c r="AB4858" s="9">
        <v>28.242357296284759</v>
      </c>
      <c r="AC4858" s="9">
        <v>28.242357296284759</v>
      </c>
      <c r="AD4858" s="9">
        <v>32.278785457330969</v>
      </c>
      <c r="AE4858" s="9">
        <v>34.228944830548365</v>
      </c>
      <c r="AF4858" s="9">
        <v>36.293711230319367</v>
      </c>
      <c r="AG4858" s="9">
        <v>36.293711230319367</v>
      </c>
      <c r="AH4858" s="9">
        <v>39.230142171980006</v>
      </c>
      <c r="AI4858" s="9">
        <v>41.357809622501556</v>
      </c>
      <c r="AJ4858" s="9">
        <v>3.0428788910505911</v>
      </c>
    </row>
    <row r="4859" spans="1:36" x14ac:dyDescent="0.25">
      <c r="A4859" t="s">
        <v>5411</v>
      </c>
      <c r="B4859" t="s">
        <v>16</v>
      </c>
      <c r="C4859" t="s">
        <v>17</v>
      </c>
      <c r="D4859">
        <v>85478000</v>
      </c>
      <c r="E4859">
        <v>85484999</v>
      </c>
      <c r="F4859" t="s">
        <v>4408</v>
      </c>
      <c r="G4859" t="str">
        <f t="shared" si="150"/>
        <v>PRI II</v>
      </c>
      <c r="H4859" t="s">
        <v>4294</v>
      </c>
      <c r="I4859" t="s">
        <v>20</v>
      </c>
      <c r="J4859" t="s">
        <v>64</v>
      </c>
      <c r="K4859" s="6">
        <v>0.03</v>
      </c>
      <c r="L4859" s="7">
        <f t="shared" si="151"/>
        <v>2E-3</v>
      </c>
      <c r="M4859" s="7">
        <v>3.0000000000000001E-3</v>
      </c>
      <c r="N4859">
        <v>11</v>
      </c>
      <c r="O4859" s="8">
        <v>19.127752698369598</v>
      </c>
      <c r="P4859" s="9">
        <v>19.127752698369598</v>
      </c>
      <c r="Q4859" s="9">
        <v>19.127752698369598</v>
      </c>
      <c r="R4859" s="9">
        <v>19.588754687607715</v>
      </c>
      <c r="S4859" s="9">
        <v>19.892211826137899</v>
      </c>
      <c r="T4859" s="9">
        <v>20.64455772606674</v>
      </c>
      <c r="U4859" s="9">
        <v>22.020224218035128</v>
      </c>
      <c r="V4859" s="9">
        <v>22.020224218035128</v>
      </c>
      <c r="W4859" s="9">
        <v>22.020224218035128</v>
      </c>
      <c r="X4859" s="9">
        <v>24.004435739730138</v>
      </c>
      <c r="Y4859" s="9">
        <v>24.004435739730138</v>
      </c>
      <c r="Z4859" s="9">
        <v>26.075582265671787</v>
      </c>
      <c r="AA4859" s="9">
        <v>26.075582265671787</v>
      </c>
      <c r="AB4859" s="9">
        <v>28.242357296284759</v>
      </c>
      <c r="AC4859" s="9">
        <v>28.242357296284759</v>
      </c>
      <c r="AD4859" s="9">
        <v>32.278785457330969</v>
      </c>
      <c r="AE4859" s="9">
        <v>34.228944830548365</v>
      </c>
      <c r="AF4859" s="9">
        <v>36.293711230319367</v>
      </c>
      <c r="AG4859" s="9">
        <v>36.293711230319367</v>
      </c>
      <c r="AH4859" s="9">
        <v>39.230142171980006</v>
      </c>
      <c r="AI4859" s="9">
        <v>41.357809622501556</v>
      </c>
      <c r="AJ4859" s="9">
        <v>3.0428788910505911</v>
      </c>
    </row>
    <row r="4860" spans="1:36" x14ac:dyDescent="0.25">
      <c r="A4860" t="s">
        <v>5411</v>
      </c>
      <c r="B4860" t="s">
        <v>16</v>
      </c>
      <c r="C4860" t="s">
        <v>17</v>
      </c>
      <c r="D4860">
        <v>85485000</v>
      </c>
      <c r="E4860">
        <v>85499999</v>
      </c>
      <c r="F4860" t="s">
        <v>4409</v>
      </c>
      <c r="G4860" t="str">
        <f t="shared" si="150"/>
        <v>PRI II</v>
      </c>
      <c r="H4860" t="s">
        <v>4294</v>
      </c>
      <c r="I4860" t="s">
        <v>20</v>
      </c>
      <c r="J4860" t="s">
        <v>64</v>
      </c>
      <c r="K4860" s="6">
        <v>0.03</v>
      </c>
      <c r="L4860" s="7">
        <f t="shared" si="151"/>
        <v>2E-3</v>
      </c>
      <c r="M4860" s="7">
        <v>3.0000000000000001E-3</v>
      </c>
      <c r="N4860">
        <v>11</v>
      </c>
      <c r="O4860" s="8">
        <v>19.127752698369598</v>
      </c>
      <c r="P4860" s="9">
        <v>19.127752698369598</v>
      </c>
      <c r="Q4860" s="9">
        <v>19.127752698369598</v>
      </c>
      <c r="R4860" s="9">
        <v>19.588754687607715</v>
      </c>
      <c r="S4860" s="9">
        <v>19.892211826137899</v>
      </c>
      <c r="T4860" s="9">
        <v>20.64455772606674</v>
      </c>
      <c r="U4860" s="9">
        <v>22.020224218035128</v>
      </c>
      <c r="V4860" s="9">
        <v>22.020224218035128</v>
      </c>
      <c r="W4860" s="9">
        <v>22.020224218035128</v>
      </c>
      <c r="X4860" s="9">
        <v>24.004435739730138</v>
      </c>
      <c r="Y4860" s="9">
        <v>24.004435739730138</v>
      </c>
      <c r="Z4860" s="9">
        <v>26.075582265671787</v>
      </c>
      <c r="AA4860" s="9">
        <v>26.075582265671787</v>
      </c>
      <c r="AB4860" s="9">
        <v>28.242357296284759</v>
      </c>
      <c r="AC4860" s="9">
        <v>28.242357296284759</v>
      </c>
      <c r="AD4860" s="9">
        <v>32.278785457330969</v>
      </c>
      <c r="AE4860" s="9">
        <v>34.228944830548365</v>
      </c>
      <c r="AF4860" s="9">
        <v>36.293711230319367</v>
      </c>
      <c r="AG4860" s="9">
        <v>36.293711230319367</v>
      </c>
      <c r="AH4860" s="9">
        <v>39.230142171980006</v>
      </c>
      <c r="AI4860" s="9">
        <v>41.357809622501556</v>
      </c>
      <c r="AJ4860" s="9">
        <v>3.0428788910505911</v>
      </c>
    </row>
    <row r="4861" spans="1:36" x14ac:dyDescent="0.25">
      <c r="A4861" t="s">
        <v>5411</v>
      </c>
      <c r="B4861" t="s">
        <v>16</v>
      </c>
      <c r="C4861" t="s">
        <v>17</v>
      </c>
      <c r="D4861">
        <v>85500000</v>
      </c>
      <c r="E4861">
        <v>85514999</v>
      </c>
      <c r="F4861" t="s">
        <v>4410</v>
      </c>
      <c r="G4861" t="str">
        <f t="shared" si="150"/>
        <v>PRI</v>
      </c>
      <c r="H4861" t="s">
        <v>4294</v>
      </c>
      <c r="I4861" t="s">
        <v>20</v>
      </c>
      <c r="J4861" t="s">
        <v>62</v>
      </c>
      <c r="K4861" s="6">
        <v>0.03</v>
      </c>
      <c r="L4861" s="7">
        <f t="shared" si="151"/>
        <v>2E-3</v>
      </c>
      <c r="M4861" s="7">
        <v>3.0000000000000001E-3</v>
      </c>
      <c r="N4861">
        <v>9</v>
      </c>
      <c r="O4861" s="8">
        <v>16.344178346561137</v>
      </c>
      <c r="P4861" s="9">
        <v>16.344178346561137</v>
      </c>
      <c r="Q4861" s="9">
        <v>16.344178346561137</v>
      </c>
      <c r="R4861" s="9">
        <v>16.766533722582309</v>
      </c>
      <c r="S4861" s="9">
        <v>17.709108795625173</v>
      </c>
      <c r="T4861" s="9">
        <v>18.545760454647645</v>
      </c>
      <c r="U4861" s="9">
        <v>20.10723313448154</v>
      </c>
      <c r="V4861" s="9">
        <v>20.10723313448154</v>
      </c>
      <c r="W4861" s="9">
        <v>20.10723313448154</v>
      </c>
      <c r="X4861" s="9">
        <v>21.240951506551678</v>
      </c>
      <c r="Y4861" s="9">
        <v>21.240951506551678</v>
      </c>
      <c r="Z4861" s="9">
        <v>22.557015615717738</v>
      </c>
      <c r="AA4861" s="9">
        <v>22.557015615717738</v>
      </c>
      <c r="AB4861" s="9">
        <v>26.056112270527457</v>
      </c>
      <c r="AC4861" s="9">
        <v>26.056112270527457</v>
      </c>
      <c r="AD4861" s="9">
        <v>30.142276170369946</v>
      </c>
      <c r="AE4861" s="9">
        <v>32.940531048263779</v>
      </c>
      <c r="AF4861" s="9">
        <v>35.920735279325392</v>
      </c>
      <c r="AG4861" s="9">
        <v>35.920735279325392</v>
      </c>
      <c r="AH4861" s="9">
        <v>38.62832670141978</v>
      </c>
      <c r="AI4861" s="9">
        <v>41.239207360528972</v>
      </c>
      <c r="AJ4861" s="9">
        <v>3.0428788910505911</v>
      </c>
    </row>
    <row r="4862" spans="1:36" x14ac:dyDescent="0.25">
      <c r="A4862" t="s">
        <v>5411</v>
      </c>
      <c r="B4862" t="s">
        <v>16</v>
      </c>
      <c r="C4862" t="s">
        <v>17</v>
      </c>
      <c r="D4862">
        <v>85515000</v>
      </c>
      <c r="E4862">
        <v>85519999</v>
      </c>
      <c r="F4862" t="s">
        <v>4411</v>
      </c>
      <c r="G4862" t="str">
        <f t="shared" si="150"/>
        <v>PRI II</v>
      </c>
      <c r="H4862" t="s">
        <v>4294</v>
      </c>
      <c r="I4862" t="s">
        <v>20</v>
      </c>
      <c r="J4862" t="s">
        <v>64</v>
      </c>
      <c r="K4862" s="6">
        <v>0.03</v>
      </c>
      <c r="L4862" s="7">
        <f t="shared" si="151"/>
        <v>2E-3</v>
      </c>
      <c r="M4862" s="7">
        <v>3.0000000000000001E-3</v>
      </c>
      <c r="N4862">
        <v>11</v>
      </c>
      <c r="O4862" s="8">
        <v>19.127752698369598</v>
      </c>
      <c r="P4862" s="9">
        <v>19.127752698369598</v>
      </c>
      <c r="Q4862" s="9">
        <v>19.127752698369598</v>
      </c>
      <c r="R4862" s="9">
        <v>19.588754687607715</v>
      </c>
      <c r="S4862" s="9">
        <v>19.892211826137899</v>
      </c>
      <c r="T4862" s="9">
        <v>20.64455772606674</v>
      </c>
      <c r="U4862" s="9">
        <v>22.020224218035128</v>
      </c>
      <c r="V4862" s="9">
        <v>22.020224218035128</v>
      </c>
      <c r="W4862" s="9">
        <v>22.020224218035128</v>
      </c>
      <c r="X4862" s="9">
        <v>24.004435739730138</v>
      </c>
      <c r="Y4862" s="9">
        <v>24.004435739730138</v>
      </c>
      <c r="Z4862" s="9">
        <v>26.075582265671787</v>
      </c>
      <c r="AA4862" s="9">
        <v>26.075582265671787</v>
      </c>
      <c r="AB4862" s="9">
        <v>28.242357296284759</v>
      </c>
      <c r="AC4862" s="9">
        <v>28.242357296284759</v>
      </c>
      <c r="AD4862" s="9">
        <v>32.278785457330969</v>
      </c>
      <c r="AE4862" s="9">
        <v>34.228944830548365</v>
      </c>
      <c r="AF4862" s="9">
        <v>36.293711230319367</v>
      </c>
      <c r="AG4862" s="9">
        <v>36.293711230319367</v>
      </c>
      <c r="AH4862" s="9">
        <v>39.230142171980006</v>
      </c>
      <c r="AI4862" s="9">
        <v>41.357809622501556</v>
      </c>
      <c r="AJ4862" s="9">
        <v>3.0428788910505911</v>
      </c>
    </row>
    <row r="4863" spans="1:36" x14ac:dyDescent="0.25">
      <c r="A4863" t="s">
        <v>5411</v>
      </c>
      <c r="B4863" t="s">
        <v>16</v>
      </c>
      <c r="C4863" t="s">
        <v>17</v>
      </c>
      <c r="D4863">
        <v>85520000</v>
      </c>
      <c r="E4863">
        <v>85524999</v>
      </c>
      <c r="F4863" t="s">
        <v>4412</v>
      </c>
      <c r="G4863" t="str">
        <f t="shared" si="150"/>
        <v>PRI II</v>
      </c>
      <c r="H4863" t="s">
        <v>4294</v>
      </c>
      <c r="I4863" t="s">
        <v>20</v>
      </c>
      <c r="J4863" t="s">
        <v>64</v>
      </c>
      <c r="K4863" s="6">
        <v>0.03</v>
      </c>
      <c r="L4863" s="7">
        <f t="shared" si="151"/>
        <v>2E-3</v>
      </c>
      <c r="M4863" s="7">
        <v>3.0000000000000001E-3</v>
      </c>
      <c r="N4863">
        <v>11</v>
      </c>
      <c r="O4863" s="8">
        <v>19.127752698369598</v>
      </c>
      <c r="P4863" s="9">
        <v>19.127752698369598</v>
      </c>
      <c r="Q4863" s="9">
        <v>19.127752698369598</v>
      </c>
      <c r="R4863" s="9">
        <v>19.588754687607715</v>
      </c>
      <c r="S4863" s="9">
        <v>19.892211826137899</v>
      </c>
      <c r="T4863" s="9">
        <v>20.64455772606674</v>
      </c>
      <c r="U4863" s="9">
        <v>22.020224218035128</v>
      </c>
      <c r="V4863" s="9">
        <v>22.020224218035128</v>
      </c>
      <c r="W4863" s="9">
        <v>22.020224218035128</v>
      </c>
      <c r="X4863" s="9">
        <v>24.004435739730138</v>
      </c>
      <c r="Y4863" s="9">
        <v>24.004435739730138</v>
      </c>
      <c r="Z4863" s="9">
        <v>26.075582265671787</v>
      </c>
      <c r="AA4863" s="9">
        <v>26.075582265671787</v>
      </c>
      <c r="AB4863" s="9">
        <v>28.242357296284759</v>
      </c>
      <c r="AC4863" s="9">
        <v>28.242357296284759</v>
      </c>
      <c r="AD4863" s="9">
        <v>32.278785457330969</v>
      </c>
      <c r="AE4863" s="9">
        <v>34.228944830548365</v>
      </c>
      <c r="AF4863" s="9">
        <v>36.293711230319367</v>
      </c>
      <c r="AG4863" s="9">
        <v>36.293711230319367</v>
      </c>
      <c r="AH4863" s="9">
        <v>39.230142171980006</v>
      </c>
      <c r="AI4863" s="9">
        <v>41.357809622501556</v>
      </c>
      <c r="AJ4863" s="9">
        <v>3.0428788910505911</v>
      </c>
    </row>
    <row r="4864" spans="1:36" x14ac:dyDescent="0.25">
      <c r="A4864" t="s">
        <v>5411</v>
      </c>
      <c r="B4864" t="s">
        <v>16</v>
      </c>
      <c r="C4864" t="s">
        <v>17</v>
      </c>
      <c r="D4864">
        <v>85525000</v>
      </c>
      <c r="E4864">
        <v>85529999</v>
      </c>
      <c r="F4864" t="s">
        <v>4413</v>
      </c>
      <c r="G4864" t="str">
        <f t="shared" si="150"/>
        <v>PRI II</v>
      </c>
      <c r="H4864" t="s">
        <v>4294</v>
      </c>
      <c r="I4864" t="s">
        <v>20</v>
      </c>
      <c r="J4864" t="s">
        <v>64</v>
      </c>
      <c r="K4864" s="6">
        <v>0.03</v>
      </c>
      <c r="L4864" s="7">
        <f t="shared" si="151"/>
        <v>2E-3</v>
      </c>
      <c r="M4864" s="7">
        <v>3.0000000000000001E-3</v>
      </c>
      <c r="N4864">
        <v>11</v>
      </c>
      <c r="O4864" s="8">
        <v>19.127752698369598</v>
      </c>
      <c r="P4864" s="9">
        <v>19.127752698369598</v>
      </c>
      <c r="Q4864" s="9">
        <v>19.127752698369598</v>
      </c>
      <c r="R4864" s="9">
        <v>19.588754687607715</v>
      </c>
      <c r="S4864" s="9">
        <v>19.892211826137899</v>
      </c>
      <c r="T4864" s="9">
        <v>20.64455772606674</v>
      </c>
      <c r="U4864" s="9">
        <v>22.020224218035128</v>
      </c>
      <c r="V4864" s="9">
        <v>22.020224218035128</v>
      </c>
      <c r="W4864" s="9">
        <v>22.020224218035128</v>
      </c>
      <c r="X4864" s="9">
        <v>24.004435739730138</v>
      </c>
      <c r="Y4864" s="9">
        <v>24.004435739730138</v>
      </c>
      <c r="Z4864" s="9">
        <v>26.075582265671787</v>
      </c>
      <c r="AA4864" s="9">
        <v>26.075582265671787</v>
      </c>
      <c r="AB4864" s="9">
        <v>28.242357296284759</v>
      </c>
      <c r="AC4864" s="9">
        <v>28.242357296284759</v>
      </c>
      <c r="AD4864" s="9">
        <v>32.278785457330969</v>
      </c>
      <c r="AE4864" s="9">
        <v>34.228944830548365</v>
      </c>
      <c r="AF4864" s="9">
        <v>36.293711230319367</v>
      </c>
      <c r="AG4864" s="9">
        <v>36.293711230319367</v>
      </c>
      <c r="AH4864" s="9">
        <v>39.230142171980006</v>
      </c>
      <c r="AI4864" s="9">
        <v>41.357809622501556</v>
      </c>
      <c r="AJ4864" s="9">
        <v>3.0428788910505911</v>
      </c>
    </row>
    <row r="4865" spans="1:36" x14ac:dyDescent="0.25">
      <c r="A4865" t="s">
        <v>5411</v>
      </c>
      <c r="B4865" t="s">
        <v>16</v>
      </c>
      <c r="C4865" t="s">
        <v>17</v>
      </c>
      <c r="D4865">
        <v>85530000</v>
      </c>
      <c r="E4865">
        <v>85539999</v>
      </c>
      <c r="F4865" t="s">
        <v>4414</v>
      </c>
      <c r="G4865" t="str">
        <f t="shared" si="150"/>
        <v>PRI II</v>
      </c>
      <c r="H4865" t="s">
        <v>4294</v>
      </c>
      <c r="I4865" t="s">
        <v>20</v>
      </c>
      <c r="J4865" t="s">
        <v>64</v>
      </c>
      <c r="K4865" s="6">
        <v>0.03</v>
      </c>
      <c r="L4865" s="7">
        <f t="shared" si="151"/>
        <v>2E-3</v>
      </c>
      <c r="M4865" s="7">
        <v>3.0000000000000001E-3</v>
      </c>
      <c r="N4865">
        <v>11</v>
      </c>
      <c r="O4865" s="8">
        <v>19.127752698369598</v>
      </c>
      <c r="P4865" s="9">
        <v>19.127752698369598</v>
      </c>
      <c r="Q4865" s="9">
        <v>19.127752698369598</v>
      </c>
      <c r="R4865" s="9">
        <v>19.588754687607715</v>
      </c>
      <c r="S4865" s="9">
        <v>19.892211826137899</v>
      </c>
      <c r="T4865" s="9">
        <v>20.64455772606674</v>
      </c>
      <c r="U4865" s="9">
        <v>22.020224218035128</v>
      </c>
      <c r="V4865" s="9">
        <v>22.020224218035128</v>
      </c>
      <c r="W4865" s="9">
        <v>22.020224218035128</v>
      </c>
      <c r="X4865" s="9">
        <v>24.004435739730138</v>
      </c>
      <c r="Y4865" s="9">
        <v>24.004435739730138</v>
      </c>
      <c r="Z4865" s="9">
        <v>26.075582265671787</v>
      </c>
      <c r="AA4865" s="9">
        <v>26.075582265671787</v>
      </c>
      <c r="AB4865" s="9">
        <v>28.242357296284759</v>
      </c>
      <c r="AC4865" s="9">
        <v>28.242357296284759</v>
      </c>
      <c r="AD4865" s="9">
        <v>32.278785457330969</v>
      </c>
      <c r="AE4865" s="9">
        <v>34.228944830548365</v>
      </c>
      <c r="AF4865" s="9">
        <v>36.293711230319367</v>
      </c>
      <c r="AG4865" s="9">
        <v>36.293711230319367</v>
      </c>
      <c r="AH4865" s="9">
        <v>39.230142171980006</v>
      </c>
      <c r="AI4865" s="9">
        <v>41.357809622501556</v>
      </c>
      <c r="AJ4865" s="9">
        <v>3.0428788910505911</v>
      </c>
    </row>
    <row r="4866" spans="1:36" x14ac:dyDescent="0.25">
      <c r="A4866" t="s">
        <v>5411</v>
      </c>
      <c r="B4866" t="s">
        <v>16</v>
      </c>
      <c r="C4866" t="s">
        <v>17</v>
      </c>
      <c r="D4866">
        <v>85540000</v>
      </c>
      <c r="E4866">
        <v>85547999</v>
      </c>
      <c r="F4866" t="s">
        <v>4415</v>
      </c>
      <c r="G4866" t="str">
        <f t="shared" si="150"/>
        <v>PRI II</v>
      </c>
      <c r="H4866" t="s">
        <v>4294</v>
      </c>
      <c r="I4866" t="s">
        <v>20</v>
      </c>
      <c r="J4866" t="s">
        <v>64</v>
      </c>
      <c r="K4866" s="6">
        <v>0.03</v>
      </c>
      <c r="L4866" s="7">
        <f t="shared" si="151"/>
        <v>2E-3</v>
      </c>
      <c r="M4866" s="7">
        <v>3.0000000000000001E-3</v>
      </c>
      <c r="N4866">
        <v>11</v>
      </c>
      <c r="O4866" s="8">
        <v>19.127752698369598</v>
      </c>
      <c r="P4866" s="9">
        <v>19.127752698369598</v>
      </c>
      <c r="Q4866" s="9">
        <v>19.127752698369598</v>
      </c>
      <c r="R4866" s="9">
        <v>19.588754687607715</v>
      </c>
      <c r="S4866" s="9">
        <v>19.892211826137899</v>
      </c>
      <c r="T4866" s="9">
        <v>20.64455772606674</v>
      </c>
      <c r="U4866" s="9">
        <v>22.020224218035128</v>
      </c>
      <c r="V4866" s="9">
        <v>22.020224218035128</v>
      </c>
      <c r="W4866" s="9">
        <v>22.020224218035128</v>
      </c>
      <c r="X4866" s="9">
        <v>24.004435739730138</v>
      </c>
      <c r="Y4866" s="9">
        <v>24.004435739730138</v>
      </c>
      <c r="Z4866" s="9">
        <v>26.075582265671787</v>
      </c>
      <c r="AA4866" s="9">
        <v>26.075582265671787</v>
      </c>
      <c r="AB4866" s="9">
        <v>28.242357296284759</v>
      </c>
      <c r="AC4866" s="9">
        <v>28.242357296284759</v>
      </c>
      <c r="AD4866" s="9">
        <v>32.278785457330969</v>
      </c>
      <c r="AE4866" s="9">
        <v>34.228944830548365</v>
      </c>
      <c r="AF4866" s="9">
        <v>36.293711230319367</v>
      </c>
      <c r="AG4866" s="9">
        <v>36.293711230319367</v>
      </c>
      <c r="AH4866" s="9">
        <v>39.230142171980006</v>
      </c>
      <c r="AI4866" s="9">
        <v>41.357809622501556</v>
      </c>
      <c r="AJ4866" s="9">
        <v>3.0428788910505911</v>
      </c>
    </row>
    <row r="4867" spans="1:36" x14ac:dyDescent="0.25">
      <c r="A4867" t="s">
        <v>5411</v>
      </c>
      <c r="B4867" t="s">
        <v>16</v>
      </c>
      <c r="C4867" t="s">
        <v>17</v>
      </c>
      <c r="D4867">
        <v>85548000</v>
      </c>
      <c r="E4867">
        <v>85549999</v>
      </c>
      <c r="F4867" t="s">
        <v>4416</v>
      </c>
      <c r="G4867" t="str">
        <f t="shared" si="150"/>
        <v>PRI II</v>
      </c>
      <c r="H4867" t="s">
        <v>4294</v>
      </c>
      <c r="I4867" t="s">
        <v>20</v>
      </c>
      <c r="J4867" t="s">
        <v>64</v>
      </c>
      <c r="K4867" s="6">
        <v>0.03</v>
      </c>
      <c r="L4867" s="7">
        <f t="shared" si="151"/>
        <v>2E-3</v>
      </c>
      <c r="M4867" s="7">
        <v>3.0000000000000001E-3</v>
      </c>
      <c r="N4867">
        <v>11</v>
      </c>
      <c r="O4867" s="8">
        <v>19.127752698369598</v>
      </c>
      <c r="P4867" s="9">
        <v>19.127752698369598</v>
      </c>
      <c r="Q4867" s="9">
        <v>19.127752698369598</v>
      </c>
      <c r="R4867" s="9">
        <v>19.588754687607715</v>
      </c>
      <c r="S4867" s="9">
        <v>19.892211826137899</v>
      </c>
      <c r="T4867" s="9">
        <v>20.64455772606674</v>
      </c>
      <c r="U4867" s="9">
        <v>22.020224218035128</v>
      </c>
      <c r="V4867" s="9">
        <v>22.020224218035128</v>
      </c>
      <c r="W4867" s="9">
        <v>22.020224218035128</v>
      </c>
      <c r="X4867" s="9">
        <v>24.004435739730138</v>
      </c>
      <c r="Y4867" s="9">
        <v>24.004435739730138</v>
      </c>
      <c r="Z4867" s="9">
        <v>26.075582265671787</v>
      </c>
      <c r="AA4867" s="9">
        <v>26.075582265671787</v>
      </c>
      <c r="AB4867" s="9">
        <v>28.242357296284759</v>
      </c>
      <c r="AC4867" s="9">
        <v>28.242357296284759</v>
      </c>
      <c r="AD4867" s="9">
        <v>32.278785457330969</v>
      </c>
      <c r="AE4867" s="9">
        <v>34.228944830548365</v>
      </c>
      <c r="AF4867" s="9">
        <v>36.293711230319367</v>
      </c>
      <c r="AG4867" s="9">
        <v>36.293711230319367</v>
      </c>
      <c r="AH4867" s="9">
        <v>39.230142171980006</v>
      </c>
      <c r="AI4867" s="9">
        <v>41.357809622501556</v>
      </c>
      <c r="AJ4867" s="9">
        <v>3.0428788910505911</v>
      </c>
    </row>
    <row r="4868" spans="1:36" x14ac:dyDescent="0.25">
      <c r="A4868" t="s">
        <v>5411</v>
      </c>
      <c r="B4868" t="s">
        <v>16</v>
      </c>
      <c r="C4868" t="s">
        <v>17</v>
      </c>
      <c r="D4868">
        <v>85550000</v>
      </c>
      <c r="E4868">
        <v>85554999</v>
      </c>
      <c r="F4868" t="s">
        <v>4417</v>
      </c>
      <c r="G4868" t="str">
        <f t="shared" ref="G4868:G4931" si="152">H4868&amp;IF(J4868="CAPITAL","C",IF(J4868="INTERIOR","I",IF(J4868="INTERIOR II","I II","R")))</f>
        <v>PRI II</v>
      </c>
      <c r="H4868" t="s">
        <v>4294</v>
      </c>
      <c r="I4868" t="s">
        <v>20</v>
      </c>
      <c r="J4868" t="s">
        <v>64</v>
      </c>
      <c r="K4868" s="6">
        <v>0.03</v>
      </c>
      <c r="L4868" s="7">
        <f t="shared" ref="L4868:L4931" si="153">IF(I4868="(0) Não",0.2%,3%)</f>
        <v>2E-3</v>
      </c>
      <c r="M4868" s="7">
        <v>3.0000000000000001E-3</v>
      </c>
      <c r="N4868">
        <v>11</v>
      </c>
      <c r="O4868" s="8">
        <v>19.127752698369598</v>
      </c>
      <c r="P4868" s="9">
        <v>19.127752698369598</v>
      </c>
      <c r="Q4868" s="9">
        <v>19.127752698369598</v>
      </c>
      <c r="R4868" s="9">
        <v>19.588754687607715</v>
      </c>
      <c r="S4868" s="9">
        <v>19.892211826137899</v>
      </c>
      <c r="T4868" s="9">
        <v>20.64455772606674</v>
      </c>
      <c r="U4868" s="9">
        <v>22.020224218035128</v>
      </c>
      <c r="V4868" s="9">
        <v>22.020224218035128</v>
      </c>
      <c r="W4868" s="9">
        <v>22.020224218035128</v>
      </c>
      <c r="X4868" s="9">
        <v>24.004435739730138</v>
      </c>
      <c r="Y4868" s="9">
        <v>24.004435739730138</v>
      </c>
      <c r="Z4868" s="9">
        <v>26.075582265671787</v>
      </c>
      <c r="AA4868" s="9">
        <v>26.075582265671787</v>
      </c>
      <c r="AB4868" s="9">
        <v>28.242357296284759</v>
      </c>
      <c r="AC4868" s="9">
        <v>28.242357296284759</v>
      </c>
      <c r="AD4868" s="9">
        <v>32.278785457330969</v>
      </c>
      <c r="AE4868" s="9">
        <v>34.228944830548365</v>
      </c>
      <c r="AF4868" s="9">
        <v>36.293711230319367</v>
      </c>
      <c r="AG4868" s="9">
        <v>36.293711230319367</v>
      </c>
      <c r="AH4868" s="9">
        <v>39.230142171980006</v>
      </c>
      <c r="AI4868" s="9">
        <v>41.357809622501556</v>
      </c>
      <c r="AJ4868" s="9">
        <v>3.0428788910505911</v>
      </c>
    </row>
    <row r="4869" spans="1:36" x14ac:dyDescent="0.25">
      <c r="A4869" t="s">
        <v>5411</v>
      </c>
      <c r="B4869" t="s">
        <v>16</v>
      </c>
      <c r="C4869" t="s">
        <v>17</v>
      </c>
      <c r="D4869">
        <v>85555000</v>
      </c>
      <c r="E4869">
        <v>85556999</v>
      </c>
      <c r="F4869" t="s">
        <v>4418</v>
      </c>
      <c r="G4869" t="str">
        <f t="shared" si="152"/>
        <v>PRI</v>
      </c>
      <c r="H4869" t="s">
        <v>4294</v>
      </c>
      <c r="I4869" t="s">
        <v>20</v>
      </c>
      <c r="J4869" t="s">
        <v>62</v>
      </c>
      <c r="K4869" s="6">
        <v>0.03</v>
      </c>
      <c r="L4869" s="7">
        <f t="shared" si="153"/>
        <v>2E-3</v>
      </c>
      <c r="M4869" s="7">
        <v>3.0000000000000001E-3</v>
      </c>
      <c r="N4869">
        <v>10</v>
      </c>
      <c r="O4869" s="8">
        <v>16.344178346561137</v>
      </c>
      <c r="P4869" s="9">
        <v>16.344178346561137</v>
      </c>
      <c r="Q4869" s="9">
        <v>16.344178346561137</v>
      </c>
      <c r="R4869" s="9">
        <v>16.766533722582309</v>
      </c>
      <c r="S4869" s="9">
        <v>17.709108795625173</v>
      </c>
      <c r="T4869" s="9">
        <v>18.545760454647645</v>
      </c>
      <c r="U4869" s="9">
        <v>20.10723313448154</v>
      </c>
      <c r="V4869" s="9">
        <v>20.10723313448154</v>
      </c>
      <c r="W4869" s="9">
        <v>20.10723313448154</v>
      </c>
      <c r="X4869" s="9">
        <v>21.240951506551678</v>
      </c>
      <c r="Y4869" s="9">
        <v>21.240951506551678</v>
      </c>
      <c r="Z4869" s="9">
        <v>22.557015615717738</v>
      </c>
      <c r="AA4869" s="9">
        <v>22.557015615717738</v>
      </c>
      <c r="AB4869" s="9">
        <v>26.056112270527457</v>
      </c>
      <c r="AC4869" s="9">
        <v>26.056112270527457</v>
      </c>
      <c r="AD4869" s="9">
        <v>30.142276170369946</v>
      </c>
      <c r="AE4869" s="9">
        <v>32.940531048263779</v>
      </c>
      <c r="AF4869" s="9">
        <v>35.920735279325392</v>
      </c>
      <c r="AG4869" s="9">
        <v>35.920735279325392</v>
      </c>
      <c r="AH4869" s="9">
        <v>38.62832670141978</v>
      </c>
      <c r="AI4869" s="9">
        <v>41.239207360528972</v>
      </c>
      <c r="AJ4869" s="9">
        <v>3.0428788910505911</v>
      </c>
    </row>
    <row r="4870" spans="1:36" x14ac:dyDescent="0.25">
      <c r="A4870" t="s">
        <v>5411</v>
      </c>
      <c r="B4870" t="s">
        <v>16</v>
      </c>
      <c r="C4870" t="s">
        <v>17</v>
      </c>
      <c r="D4870">
        <v>85557000</v>
      </c>
      <c r="E4870">
        <v>85559999</v>
      </c>
      <c r="F4870" t="s">
        <v>4419</v>
      </c>
      <c r="G4870" t="str">
        <f t="shared" si="152"/>
        <v>PRI</v>
      </c>
      <c r="H4870" t="s">
        <v>4294</v>
      </c>
      <c r="I4870" t="s">
        <v>20</v>
      </c>
      <c r="J4870" t="s">
        <v>62</v>
      </c>
      <c r="K4870" s="6">
        <v>0.03</v>
      </c>
      <c r="L4870" s="7">
        <f t="shared" si="153"/>
        <v>2E-3</v>
      </c>
      <c r="M4870" s="7">
        <v>3.0000000000000001E-3</v>
      </c>
      <c r="N4870">
        <v>10</v>
      </c>
      <c r="O4870" s="8">
        <v>16.344178346561137</v>
      </c>
      <c r="P4870" s="9">
        <v>16.344178346561137</v>
      </c>
      <c r="Q4870" s="9">
        <v>16.344178346561137</v>
      </c>
      <c r="R4870" s="9">
        <v>16.766533722582309</v>
      </c>
      <c r="S4870" s="9">
        <v>17.709108795625173</v>
      </c>
      <c r="T4870" s="9">
        <v>18.545760454647645</v>
      </c>
      <c r="U4870" s="9">
        <v>20.10723313448154</v>
      </c>
      <c r="V4870" s="9">
        <v>20.10723313448154</v>
      </c>
      <c r="W4870" s="9">
        <v>20.10723313448154</v>
      </c>
      <c r="X4870" s="9">
        <v>21.240951506551678</v>
      </c>
      <c r="Y4870" s="9">
        <v>21.240951506551678</v>
      </c>
      <c r="Z4870" s="9">
        <v>22.557015615717738</v>
      </c>
      <c r="AA4870" s="9">
        <v>22.557015615717738</v>
      </c>
      <c r="AB4870" s="9">
        <v>26.056112270527457</v>
      </c>
      <c r="AC4870" s="9">
        <v>26.056112270527457</v>
      </c>
      <c r="AD4870" s="9">
        <v>30.142276170369946</v>
      </c>
      <c r="AE4870" s="9">
        <v>32.940531048263779</v>
      </c>
      <c r="AF4870" s="9">
        <v>35.920735279325392</v>
      </c>
      <c r="AG4870" s="9">
        <v>35.920735279325392</v>
      </c>
      <c r="AH4870" s="9">
        <v>38.62832670141978</v>
      </c>
      <c r="AI4870" s="9">
        <v>41.239207360528972</v>
      </c>
      <c r="AJ4870" s="9">
        <v>3.0428788910505911</v>
      </c>
    </row>
    <row r="4871" spans="1:36" x14ac:dyDescent="0.25">
      <c r="A4871" t="s">
        <v>5411</v>
      </c>
      <c r="B4871" t="s">
        <v>16</v>
      </c>
      <c r="C4871" t="s">
        <v>17</v>
      </c>
      <c r="D4871">
        <v>85560000</v>
      </c>
      <c r="E4871">
        <v>85564999</v>
      </c>
      <c r="F4871" t="s">
        <v>4420</v>
      </c>
      <c r="G4871" t="str">
        <f t="shared" si="152"/>
        <v>PRI II</v>
      </c>
      <c r="H4871" t="s">
        <v>4294</v>
      </c>
      <c r="I4871" t="s">
        <v>20</v>
      </c>
      <c r="J4871" t="s">
        <v>64</v>
      </c>
      <c r="K4871" s="6">
        <v>0.03</v>
      </c>
      <c r="L4871" s="7">
        <f t="shared" si="153"/>
        <v>2E-3</v>
      </c>
      <c r="M4871" s="7">
        <v>3.0000000000000001E-3</v>
      </c>
      <c r="N4871">
        <v>11</v>
      </c>
      <c r="O4871" s="8">
        <v>19.127752698369598</v>
      </c>
      <c r="P4871" s="9">
        <v>19.127752698369598</v>
      </c>
      <c r="Q4871" s="9">
        <v>19.127752698369598</v>
      </c>
      <c r="R4871" s="9">
        <v>19.588754687607715</v>
      </c>
      <c r="S4871" s="9">
        <v>19.892211826137899</v>
      </c>
      <c r="T4871" s="9">
        <v>20.64455772606674</v>
      </c>
      <c r="U4871" s="9">
        <v>22.020224218035128</v>
      </c>
      <c r="V4871" s="9">
        <v>22.020224218035128</v>
      </c>
      <c r="W4871" s="9">
        <v>22.020224218035128</v>
      </c>
      <c r="X4871" s="9">
        <v>24.004435739730138</v>
      </c>
      <c r="Y4871" s="9">
        <v>24.004435739730138</v>
      </c>
      <c r="Z4871" s="9">
        <v>26.075582265671787</v>
      </c>
      <c r="AA4871" s="9">
        <v>26.075582265671787</v>
      </c>
      <c r="AB4871" s="9">
        <v>28.242357296284759</v>
      </c>
      <c r="AC4871" s="9">
        <v>28.242357296284759</v>
      </c>
      <c r="AD4871" s="9">
        <v>32.278785457330969</v>
      </c>
      <c r="AE4871" s="9">
        <v>34.228944830548365</v>
      </c>
      <c r="AF4871" s="9">
        <v>36.293711230319367</v>
      </c>
      <c r="AG4871" s="9">
        <v>36.293711230319367</v>
      </c>
      <c r="AH4871" s="9">
        <v>39.230142171980006</v>
      </c>
      <c r="AI4871" s="9">
        <v>41.357809622501556</v>
      </c>
      <c r="AJ4871" s="9">
        <v>3.0428788910505911</v>
      </c>
    </row>
    <row r="4872" spans="1:36" x14ac:dyDescent="0.25">
      <c r="A4872" t="s">
        <v>5411</v>
      </c>
      <c r="B4872" t="s">
        <v>16</v>
      </c>
      <c r="C4872" t="s">
        <v>17</v>
      </c>
      <c r="D4872">
        <v>85565000</v>
      </c>
      <c r="E4872">
        <v>85567999</v>
      </c>
      <c r="F4872" t="s">
        <v>4421</v>
      </c>
      <c r="G4872" t="str">
        <f t="shared" si="152"/>
        <v>PRI II</v>
      </c>
      <c r="H4872" t="s">
        <v>4294</v>
      </c>
      <c r="I4872" t="s">
        <v>20</v>
      </c>
      <c r="J4872" t="s">
        <v>64</v>
      </c>
      <c r="K4872" s="6">
        <v>0.03</v>
      </c>
      <c r="L4872" s="7">
        <f t="shared" si="153"/>
        <v>2E-3</v>
      </c>
      <c r="M4872" s="7">
        <v>3.0000000000000001E-3</v>
      </c>
      <c r="N4872">
        <v>11</v>
      </c>
      <c r="O4872" s="8">
        <v>19.127752698369598</v>
      </c>
      <c r="P4872" s="9">
        <v>19.127752698369598</v>
      </c>
      <c r="Q4872" s="9">
        <v>19.127752698369598</v>
      </c>
      <c r="R4872" s="9">
        <v>19.588754687607715</v>
      </c>
      <c r="S4872" s="9">
        <v>19.892211826137899</v>
      </c>
      <c r="T4872" s="9">
        <v>20.64455772606674</v>
      </c>
      <c r="U4872" s="9">
        <v>22.020224218035128</v>
      </c>
      <c r="V4872" s="9">
        <v>22.020224218035128</v>
      </c>
      <c r="W4872" s="9">
        <v>22.020224218035128</v>
      </c>
      <c r="X4872" s="9">
        <v>24.004435739730138</v>
      </c>
      <c r="Y4872" s="9">
        <v>24.004435739730138</v>
      </c>
      <c r="Z4872" s="9">
        <v>26.075582265671787</v>
      </c>
      <c r="AA4872" s="9">
        <v>26.075582265671787</v>
      </c>
      <c r="AB4872" s="9">
        <v>28.242357296284759</v>
      </c>
      <c r="AC4872" s="9">
        <v>28.242357296284759</v>
      </c>
      <c r="AD4872" s="9">
        <v>32.278785457330969</v>
      </c>
      <c r="AE4872" s="9">
        <v>34.228944830548365</v>
      </c>
      <c r="AF4872" s="9">
        <v>36.293711230319367</v>
      </c>
      <c r="AG4872" s="9">
        <v>36.293711230319367</v>
      </c>
      <c r="AH4872" s="9">
        <v>39.230142171980006</v>
      </c>
      <c r="AI4872" s="9">
        <v>41.357809622501556</v>
      </c>
      <c r="AJ4872" s="9">
        <v>3.0428788910505911</v>
      </c>
    </row>
    <row r="4873" spans="1:36" x14ac:dyDescent="0.25">
      <c r="A4873" t="s">
        <v>5411</v>
      </c>
      <c r="B4873" t="s">
        <v>16</v>
      </c>
      <c r="C4873" t="s">
        <v>17</v>
      </c>
      <c r="D4873">
        <v>85568000</v>
      </c>
      <c r="E4873">
        <v>85569999</v>
      </c>
      <c r="F4873" t="s">
        <v>4422</v>
      </c>
      <c r="G4873" t="str">
        <f t="shared" si="152"/>
        <v>PRI II</v>
      </c>
      <c r="H4873" t="s">
        <v>4294</v>
      </c>
      <c r="I4873" t="s">
        <v>20</v>
      </c>
      <c r="J4873" t="s">
        <v>64</v>
      </c>
      <c r="K4873" s="6">
        <v>0.03</v>
      </c>
      <c r="L4873" s="7">
        <f t="shared" si="153"/>
        <v>2E-3</v>
      </c>
      <c r="M4873" s="7">
        <v>3.0000000000000001E-3</v>
      </c>
      <c r="N4873">
        <v>11</v>
      </c>
      <c r="O4873" s="8">
        <v>19.127752698369598</v>
      </c>
      <c r="P4873" s="9">
        <v>19.127752698369598</v>
      </c>
      <c r="Q4873" s="9">
        <v>19.127752698369598</v>
      </c>
      <c r="R4873" s="9">
        <v>19.588754687607715</v>
      </c>
      <c r="S4873" s="9">
        <v>19.892211826137899</v>
      </c>
      <c r="T4873" s="9">
        <v>20.64455772606674</v>
      </c>
      <c r="U4873" s="9">
        <v>22.020224218035128</v>
      </c>
      <c r="V4873" s="9">
        <v>22.020224218035128</v>
      </c>
      <c r="W4873" s="9">
        <v>22.020224218035128</v>
      </c>
      <c r="X4873" s="9">
        <v>24.004435739730138</v>
      </c>
      <c r="Y4873" s="9">
        <v>24.004435739730138</v>
      </c>
      <c r="Z4873" s="9">
        <v>26.075582265671787</v>
      </c>
      <c r="AA4873" s="9">
        <v>26.075582265671787</v>
      </c>
      <c r="AB4873" s="9">
        <v>28.242357296284759</v>
      </c>
      <c r="AC4873" s="9">
        <v>28.242357296284759</v>
      </c>
      <c r="AD4873" s="9">
        <v>32.278785457330969</v>
      </c>
      <c r="AE4873" s="9">
        <v>34.228944830548365</v>
      </c>
      <c r="AF4873" s="9">
        <v>36.293711230319367</v>
      </c>
      <c r="AG4873" s="9">
        <v>36.293711230319367</v>
      </c>
      <c r="AH4873" s="9">
        <v>39.230142171980006</v>
      </c>
      <c r="AI4873" s="9">
        <v>41.357809622501556</v>
      </c>
      <c r="AJ4873" s="9">
        <v>3.0428788910505911</v>
      </c>
    </row>
    <row r="4874" spans="1:36" x14ac:dyDescent="0.25">
      <c r="A4874" t="s">
        <v>5411</v>
      </c>
      <c r="B4874" t="s">
        <v>16</v>
      </c>
      <c r="C4874" t="s">
        <v>17</v>
      </c>
      <c r="D4874">
        <v>85570000</v>
      </c>
      <c r="E4874">
        <v>85574999</v>
      </c>
      <c r="F4874" t="s">
        <v>2250</v>
      </c>
      <c r="G4874" t="str">
        <f t="shared" si="152"/>
        <v>PRI II</v>
      </c>
      <c r="H4874" t="s">
        <v>4294</v>
      </c>
      <c r="I4874" t="s">
        <v>20</v>
      </c>
      <c r="J4874" t="s">
        <v>64</v>
      </c>
      <c r="K4874" s="6">
        <v>0.03</v>
      </c>
      <c r="L4874" s="7">
        <f t="shared" si="153"/>
        <v>2E-3</v>
      </c>
      <c r="M4874" s="7">
        <v>3.0000000000000001E-3</v>
      </c>
      <c r="N4874">
        <v>11</v>
      </c>
      <c r="O4874" s="8">
        <v>19.127752698369598</v>
      </c>
      <c r="P4874" s="9">
        <v>19.127752698369598</v>
      </c>
      <c r="Q4874" s="9">
        <v>19.127752698369598</v>
      </c>
      <c r="R4874" s="9">
        <v>19.588754687607715</v>
      </c>
      <c r="S4874" s="9">
        <v>19.892211826137899</v>
      </c>
      <c r="T4874" s="9">
        <v>20.64455772606674</v>
      </c>
      <c r="U4874" s="9">
        <v>22.020224218035128</v>
      </c>
      <c r="V4874" s="9">
        <v>22.020224218035128</v>
      </c>
      <c r="W4874" s="9">
        <v>22.020224218035128</v>
      </c>
      <c r="X4874" s="9">
        <v>24.004435739730138</v>
      </c>
      <c r="Y4874" s="9">
        <v>24.004435739730138</v>
      </c>
      <c r="Z4874" s="9">
        <v>26.075582265671787</v>
      </c>
      <c r="AA4874" s="9">
        <v>26.075582265671787</v>
      </c>
      <c r="AB4874" s="9">
        <v>28.242357296284759</v>
      </c>
      <c r="AC4874" s="9">
        <v>28.242357296284759</v>
      </c>
      <c r="AD4874" s="9">
        <v>32.278785457330969</v>
      </c>
      <c r="AE4874" s="9">
        <v>34.228944830548365</v>
      </c>
      <c r="AF4874" s="9">
        <v>36.293711230319367</v>
      </c>
      <c r="AG4874" s="9">
        <v>36.293711230319367</v>
      </c>
      <c r="AH4874" s="9">
        <v>39.230142171980006</v>
      </c>
      <c r="AI4874" s="9">
        <v>41.357809622501556</v>
      </c>
      <c r="AJ4874" s="9">
        <v>3.0428788910505911</v>
      </c>
    </row>
    <row r="4875" spans="1:36" x14ac:dyDescent="0.25">
      <c r="A4875" t="s">
        <v>5411</v>
      </c>
      <c r="B4875" t="s">
        <v>16</v>
      </c>
      <c r="C4875" t="s">
        <v>17</v>
      </c>
      <c r="D4875">
        <v>85575000</v>
      </c>
      <c r="E4875">
        <v>85579999</v>
      </c>
      <c r="F4875" t="s">
        <v>4423</v>
      </c>
      <c r="G4875" t="str">
        <f t="shared" si="152"/>
        <v>PRI II</v>
      </c>
      <c r="H4875" t="s">
        <v>4294</v>
      </c>
      <c r="I4875" t="s">
        <v>20</v>
      </c>
      <c r="J4875" t="s">
        <v>64</v>
      </c>
      <c r="K4875" s="6">
        <v>0.03</v>
      </c>
      <c r="L4875" s="7">
        <f t="shared" si="153"/>
        <v>2E-3</v>
      </c>
      <c r="M4875" s="7">
        <v>3.0000000000000001E-3</v>
      </c>
      <c r="N4875">
        <v>11</v>
      </c>
      <c r="O4875" s="8">
        <v>19.127752698369598</v>
      </c>
      <c r="P4875" s="9">
        <v>19.127752698369598</v>
      </c>
      <c r="Q4875" s="9">
        <v>19.127752698369598</v>
      </c>
      <c r="R4875" s="9">
        <v>19.588754687607715</v>
      </c>
      <c r="S4875" s="9">
        <v>19.892211826137899</v>
      </c>
      <c r="T4875" s="9">
        <v>20.64455772606674</v>
      </c>
      <c r="U4875" s="9">
        <v>22.020224218035128</v>
      </c>
      <c r="V4875" s="9">
        <v>22.020224218035128</v>
      </c>
      <c r="W4875" s="9">
        <v>22.020224218035128</v>
      </c>
      <c r="X4875" s="9">
        <v>24.004435739730138</v>
      </c>
      <c r="Y4875" s="9">
        <v>24.004435739730138</v>
      </c>
      <c r="Z4875" s="9">
        <v>26.075582265671787</v>
      </c>
      <c r="AA4875" s="9">
        <v>26.075582265671787</v>
      </c>
      <c r="AB4875" s="9">
        <v>28.242357296284759</v>
      </c>
      <c r="AC4875" s="9">
        <v>28.242357296284759</v>
      </c>
      <c r="AD4875" s="9">
        <v>32.278785457330969</v>
      </c>
      <c r="AE4875" s="9">
        <v>34.228944830548365</v>
      </c>
      <c r="AF4875" s="9">
        <v>36.293711230319367</v>
      </c>
      <c r="AG4875" s="9">
        <v>36.293711230319367</v>
      </c>
      <c r="AH4875" s="9">
        <v>39.230142171980006</v>
      </c>
      <c r="AI4875" s="9">
        <v>41.357809622501556</v>
      </c>
      <c r="AJ4875" s="9">
        <v>3.0428788910505911</v>
      </c>
    </row>
    <row r="4876" spans="1:36" x14ac:dyDescent="0.25">
      <c r="A4876" t="s">
        <v>5411</v>
      </c>
      <c r="B4876" t="s">
        <v>16</v>
      </c>
      <c r="C4876" t="s">
        <v>17</v>
      </c>
      <c r="D4876">
        <v>85580000</v>
      </c>
      <c r="E4876">
        <v>85584999</v>
      </c>
      <c r="F4876" t="s">
        <v>4424</v>
      </c>
      <c r="G4876" t="str">
        <f t="shared" si="152"/>
        <v>PRI II</v>
      </c>
      <c r="H4876" t="s">
        <v>4294</v>
      </c>
      <c r="I4876" t="s">
        <v>20</v>
      </c>
      <c r="J4876" t="s">
        <v>64</v>
      </c>
      <c r="K4876" s="6">
        <v>0.03</v>
      </c>
      <c r="L4876" s="7">
        <f t="shared" si="153"/>
        <v>2E-3</v>
      </c>
      <c r="M4876" s="7">
        <v>3.0000000000000001E-3</v>
      </c>
      <c r="N4876">
        <v>11</v>
      </c>
      <c r="O4876" s="8">
        <v>19.127752698369598</v>
      </c>
      <c r="P4876" s="9">
        <v>19.127752698369598</v>
      </c>
      <c r="Q4876" s="9">
        <v>19.127752698369598</v>
      </c>
      <c r="R4876" s="9">
        <v>19.588754687607715</v>
      </c>
      <c r="S4876" s="9">
        <v>19.892211826137899</v>
      </c>
      <c r="T4876" s="9">
        <v>20.64455772606674</v>
      </c>
      <c r="U4876" s="9">
        <v>22.020224218035128</v>
      </c>
      <c r="V4876" s="9">
        <v>22.020224218035128</v>
      </c>
      <c r="W4876" s="9">
        <v>22.020224218035128</v>
      </c>
      <c r="X4876" s="9">
        <v>24.004435739730138</v>
      </c>
      <c r="Y4876" s="9">
        <v>24.004435739730138</v>
      </c>
      <c r="Z4876" s="9">
        <v>26.075582265671787</v>
      </c>
      <c r="AA4876" s="9">
        <v>26.075582265671787</v>
      </c>
      <c r="AB4876" s="9">
        <v>28.242357296284759</v>
      </c>
      <c r="AC4876" s="9">
        <v>28.242357296284759</v>
      </c>
      <c r="AD4876" s="9">
        <v>32.278785457330969</v>
      </c>
      <c r="AE4876" s="9">
        <v>34.228944830548365</v>
      </c>
      <c r="AF4876" s="9">
        <v>36.293711230319367</v>
      </c>
      <c r="AG4876" s="9">
        <v>36.293711230319367</v>
      </c>
      <c r="AH4876" s="9">
        <v>39.230142171980006</v>
      </c>
      <c r="AI4876" s="9">
        <v>41.357809622501556</v>
      </c>
      <c r="AJ4876" s="9">
        <v>3.0428788910505911</v>
      </c>
    </row>
    <row r="4877" spans="1:36" x14ac:dyDescent="0.25">
      <c r="A4877" t="s">
        <v>5411</v>
      </c>
      <c r="B4877" t="s">
        <v>16</v>
      </c>
      <c r="C4877" t="s">
        <v>17</v>
      </c>
      <c r="D4877">
        <v>85585000</v>
      </c>
      <c r="E4877">
        <v>85597999</v>
      </c>
      <c r="F4877" t="s">
        <v>4425</v>
      </c>
      <c r="G4877" t="str">
        <f t="shared" si="152"/>
        <v>PRI II</v>
      </c>
      <c r="H4877" t="s">
        <v>4294</v>
      </c>
      <c r="I4877" t="s">
        <v>20</v>
      </c>
      <c r="J4877" t="s">
        <v>64</v>
      </c>
      <c r="K4877" s="6">
        <v>0.03</v>
      </c>
      <c r="L4877" s="7">
        <f t="shared" si="153"/>
        <v>2E-3</v>
      </c>
      <c r="M4877" s="7">
        <v>3.0000000000000001E-3</v>
      </c>
      <c r="N4877">
        <v>11</v>
      </c>
      <c r="O4877" s="8">
        <v>19.127752698369598</v>
      </c>
      <c r="P4877" s="9">
        <v>19.127752698369598</v>
      </c>
      <c r="Q4877" s="9">
        <v>19.127752698369598</v>
      </c>
      <c r="R4877" s="9">
        <v>19.588754687607715</v>
      </c>
      <c r="S4877" s="9">
        <v>19.892211826137899</v>
      </c>
      <c r="T4877" s="9">
        <v>20.64455772606674</v>
      </c>
      <c r="U4877" s="9">
        <v>22.020224218035128</v>
      </c>
      <c r="V4877" s="9">
        <v>22.020224218035128</v>
      </c>
      <c r="W4877" s="9">
        <v>22.020224218035128</v>
      </c>
      <c r="X4877" s="9">
        <v>24.004435739730138</v>
      </c>
      <c r="Y4877" s="9">
        <v>24.004435739730138</v>
      </c>
      <c r="Z4877" s="9">
        <v>26.075582265671787</v>
      </c>
      <c r="AA4877" s="9">
        <v>26.075582265671787</v>
      </c>
      <c r="AB4877" s="9">
        <v>28.242357296284759</v>
      </c>
      <c r="AC4877" s="9">
        <v>28.242357296284759</v>
      </c>
      <c r="AD4877" s="9">
        <v>32.278785457330969</v>
      </c>
      <c r="AE4877" s="9">
        <v>34.228944830548365</v>
      </c>
      <c r="AF4877" s="9">
        <v>36.293711230319367</v>
      </c>
      <c r="AG4877" s="9">
        <v>36.293711230319367</v>
      </c>
      <c r="AH4877" s="9">
        <v>39.230142171980006</v>
      </c>
      <c r="AI4877" s="9">
        <v>41.357809622501556</v>
      </c>
      <c r="AJ4877" s="9">
        <v>3.0428788910505911</v>
      </c>
    </row>
    <row r="4878" spans="1:36" x14ac:dyDescent="0.25">
      <c r="A4878" t="s">
        <v>5411</v>
      </c>
      <c r="B4878" t="s">
        <v>16</v>
      </c>
      <c r="C4878" t="s">
        <v>17</v>
      </c>
      <c r="D4878">
        <v>85598000</v>
      </c>
      <c r="E4878">
        <v>85599999</v>
      </c>
      <c r="F4878" t="s">
        <v>4426</v>
      </c>
      <c r="G4878" t="str">
        <f t="shared" si="152"/>
        <v>PRI II</v>
      </c>
      <c r="H4878" t="s">
        <v>4294</v>
      </c>
      <c r="I4878" t="s">
        <v>20</v>
      </c>
      <c r="J4878" t="s">
        <v>64</v>
      </c>
      <c r="K4878" s="6">
        <v>0.03</v>
      </c>
      <c r="L4878" s="7">
        <f t="shared" si="153"/>
        <v>2E-3</v>
      </c>
      <c r="M4878" s="7">
        <v>3.0000000000000001E-3</v>
      </c>
      <c r="N4878">
        <v>11</v>
      </c>
      <c r="O4878" s="8">
        <v>19.127752698369598</v>
      </c>
      <c r="P4878" s="9">
        <v>19.127752698369598</v>
      </c>
      <c r="Q4878" s="9">
        <v>19.127752698369598</v>
      </c>
      <c r="R4878" s="9">
        <v>19.588754687607715</v>
      </c>
      <c r="S4878" s="9">
        <v>19.892211826137899</v>
      </c>
      <c r="T4878" s="9">
        <v>20.64455772606674</v>
      </c>
      <c r="U4878" s="9">
        <v>22.020224218035128</v>
      </c>
      <c r="V4878" s="9">
        <v>22.020224218035128</v>
      </c>
      <c r="W4878" s="9">
        <v>22.020224218035128</v>
      </c>
      <c r="X4878" s="9">
        <v>24.004435739730138</v>
      </c>
      <c r="Y4878" s="9">
        <v>24.004435739730138</v>
      </c>
      <c r="Z4878" s="9">
        <v>26.075582265671787</v>
      </c>
      <c r="AA4878" s="9">
        <v>26.075582265671787</v>
      </c>
      <c r="AB4878" s="9">
        <v>28.242357296284759</v>
      </c>
      <c r="AC4878" s="9">
        <v>28.242357296284759</v>
      </c>
      <c r="AD4878" s="9">
        <v>32.278785457330969</v>
      </c>
      <c r="AE4878" s="9">
        <v>34.228944830548365</v>
      </c>
      <c r="AF4878" s="9">
        <v>36.293711230319367</v>
      </c>
      <c r="AG4878" s="9">
        <v>36.293711230319367</v>
      </c>
      <c r="AH4878" s="9">
        <v>39.230142171980006</v>
      </c>
      <c r="AI4878" s="9">
        <v>41.357809622501556</v>
      </c>
      <c r="AJ4878" s="9">
        <v>3.0428788910505911</v>
      </c>
    </row>
    <row r="4879" spans="1:36" x14ac:dyDescent="0.25">
      <c r="A4879" t="s">
        <v>5411</v>
      </c>
      <c r="B4879" t="s">
        <v>16</v>
      </c>
      <c r="C4879" t="s">
        <v>17</v>
      </c>
      <c r="D4879">
        <v>85600000</v>
      </c>
      <c r="E4879">
        <v>85609999</v>
      </c>
      <c r="F4879" t="s">
        <v>4427</v>
      </c>
      <c r="G4879" t="str">
        <f t="shared" si="152"/>
        <v>PRI</v>
      </c>
      <c r="H4879" t="s">
        <v>4294</v>
      </c>
      <c r="I4879" t="s">
        <v>20</v>
      </c>
      <c r="J4879" t="s">
        <v>62</v>
      </c>
      <c r="K4879" s="6">
        <v>0.03</v>
      </c>
      <c r="L4879" s="7">
        <f t="shared" si="153"/>
        <v>2E-3</v>
      </c>
      <c r="M4879" s="7">
        <v>3.0000000000000001E-3</v>
      </c>
      <c r="N4879">
        <v>9</v>
      </c>
      <c r="O4879" s="8">
        <v>16.344178346561137</v>
      </c>
      <c r="P4879" s="9">
        <v>16.344178346561137</v>
      </c>
      <c r="Q4879" s="9">
        <v>16.344178346561137</v>
      </c>
      <c r="R4879" s="9">
        <v>16.766533722582309</v>
      </c>
      <c r="S4879" s="9">
        <v>17.709108795625173</v>
      </c>
      <c r="T4879" s="9">
        <v>18.545760454647645</v>
      </c>
      <c r="U4879" s="9">
        <v>20.10723313448154</v>
      </c>
      <c r="V4879" s="9">
        <v>20.10723313448154</v>
      </c>
      <c r="W4879" s="9">
        <v>20.10723313448154</v>
      </c>
      <c r="X4879" s="9">
        <v>21.240951506551678</v>
      </c>
      <c r="Y4879" s="9">
        <v>21.240951506551678</v>
      </c>
      <c r="Z4879" s="9">
        <v>22.557015615717738</v>
      </c>
      <c r="AA4879" s="9">
        <v>22.557015615717738</v>
      </c>
      <c r="AB4879" s="9">
        <v>26.056112270527457</v>
      </c>
      <c r="AC4879" s="9">
        <v>26.056112270527457</v>
      </c>
      <c r="AD4879" s="9">
        <v>30.142276170369946</v>
      </c>
      <c r="AE4879" s="9">
        <v>32.940531048263779</v>
      </c>
      <c r="AF4879" s="9">
        <v>35.920735279325392</v>
      </c>
      <c r="AG4879" s="9">
        <v>35.920735279325392</v>
      </c>
      <c r="AH4879" s="9">
        <v>38.62832670141978</v>
      </c>
      <c r="AI4879" s="9">
        <v>41.239207360528972</v>
      </c>
      <c r="AJ4879" s="9">
        <v>3.0428788910505911</v>
      </c>
    </row>
    <row r="4880" spans="1:36" x14ac:dyDescent="0.25">
      <c r="A4880" t="s">
        <v>5411</v>
      </c>
      <c r="B4880" t="s">
        <v>16</v>
      </c>
      <c r="C4880" t="s">
        <v>17</v>
      </c>
      <c r="D4880">
        <v>85610000</v>
      </c>
      <c r="E4880">
        <v>85614999</v>
      </c>
      <c r="F4880" t="s">
        <v>4428</v>
      </c>
      <c r="G4880" t="str">
        <f t="shared" si="152"/>
        <v>PRI II</v>
      </c>
      <c r="H4880" t="s">
        <v>4294</v>
      </c>
      <c r="I4880" t="s">
        <v>20</v>
      </c>
      <c r="J4880" t="s">
        <v>64</v>
      </c>
      <c r="K4880" s="6">
        <v>0.03</v>
      </c>
      <c r="L4880" s="7">
        <f t="shared" si="153"/>
        <v>2E-3</v>
      </c>
      <c r="M4880" s="7">
        <v>3.0000000000000001E-3</v>
      </c>
      <c r="N4880">
        <v>11</v>
      </c>
      <c r="O4880" s="8">
        <v>19.127752698369598</v>
      </c>
      <c r="P4880" s="9">
        <v>19.127752698369598</v>
      </c>
      <c r="Q4880" s="9">
        <v>19.127752698369598</v>
      </c>
      <c r="R4880" s="9">
        <v>19.588754687607715</v>
      </c>
      <c r="S4880" s="9">
        <v>19.892211826137899</v>
      </c>
      <c r="T4880" s="9">
        <v>20.64455772606674</v>
      </c>
      <c r="U4880" s="9">
        <v>22.020224218035128</v>
      </c>
      <c r="V4880" s="9">
        <v>22.020224218035128</v>
      </c>
      <c r="W4880" s="9">
        <v>22.020224218035128</v>
      </c>
      <c r="X4880" s="9">
        <v>24.004435739730138</v>
      </c>
      <c r="Y4880" s="9">
        <v>24.004435739730138</v>
      </c>
      <c r="Z4880" s="9">
        <v>26.075582265671787</v>
      </c>
      <c r="AA4880" s="9">
        <v>26.075582265671787</v>
      </c>
      <c r="AB4880" s="9">
        <v>28.242357296284759</v>
      </c>
      <c r="AC4880" s="9">
        <v>28.242357296284759</v>
      </c>
      <c r="AD4880" s="9">
        <v>32.278785457330969</v>
      </c>
      <c r="AE4880" s="9">
        <v>34.228944830548365</v>
      </c>
      <c r="AF4880" s="9">
        <v>36.293711230319367</v>
      </c>
      <c r="AG4880" s="9">
        <v>36.293711230319367</v>
      </c>
      <c r="AH4880" s="9">
        <v>39.230142171980006</v>
      </c>
      <c r="AI4880" s="9">
        <v>41.357809622501556</v>
      </c>
      <c r="AJ4880" s="9">
        <v>3.0428788910505911</v>
      </c>
    </row>
    <row r="4881" spans="1:36" x14ac:dyDescent="0.25">
      <c r="A4881" t="s">
        <v>5411</v>
      </c>
      <c r="B4881" t="s">
        <v>16</v>
      </c>
      <c r="C4881" t="s">
        <v>17</v>
      </c>
      <c r="D4881">
        <v>85615000</v>
      </c>
      <c r="E4881">
        <v>85617999</v>
      </c>
      <c r="F4881" t="s">
        <v>4429</v>
      </c>
      <c r="G4881" t="str">
        <f t="shared" si="152"/>
        <v>PRI II</v>
      </c>
      <c r="H4881" t="s">
        <v>4294</v>
      </c>
      <c r="I4881" t="s">
        <v>20</v>
      </c>
      <c r="J4881" t="s">
        <v>64</v>
      </c>
      <c r="K4881" s="6">
        <v>0.03</v>
      </c>
      <c r="L4881" s="7">
        <f t="shared" si="153"/>
        <v>2E-3</v>
      </c>
      <c r="M4881" s="7">
        <v>3.0000000000000001E-3</v>
      </c>
      <c r="N4881">
        <v>11</v>
      </c>
      <c r="O4881" s="8">
        <v>19.127752698369598</v>
      </c>
      <c r="P4881" s="9">
        <v>19.127752698369598</v>
      </c>
      <c r="Q4881" s="9">
        <v>19.127752698369598</v>
      </c>
      <c r="R4881" s="9">
        <v>19.588754687607715</v>
      </c>
      <c r="S4881" s="9">
        <v>19.892211826137899</v>
      </c>
      <c r="T4881" s="9">
        <v>20.64455772606674</v>
      </c>
      <c r="U4881" s="9">
        <v>22.020224218035128</v>
      </c>
      <c r="V4881" s="9">
        <v>22.020224218035128</v>
      </c>
      <c r="W4881" s="9">
        <v>22.020224218035128</v>
      </c>
      <c r="X4881" s="9">
        <v>24.004435739730138</v>
      </c>
      <c r="Y4881" s="9">
        <v>24.004435739730138</v>
      </c>
      <c r="Z4881" s="9">
        <v>26.075582265671787</v>
      </c>
      <c r="AA4881" s="9">
        <v>26.075582265671787</v>
      </c>
      <c r="AB4881" s="9">
        <v>28.242357296284759</v>
      </c>
      <c r="AC4881" s="9">
        <v>28.242357296284759</v>
      </c>
      <c r="AD4881" s="9">
        <v>32.278785457330969</v>
      </c>
      <c r="AE4881" s="9">
        <v>34.228944830548365</v>
      </c>
      <c r="AF4881" s="9">
        <v>36.293711230319367</v>
      </c>
      <c r="AG4881" s="9">
        <v>36.293711230319367</v>
      </c>
      <c r="AH4881" s="9">
        <v>39.230142171980006</v>
      </c>
      <c r="AI4881" s="9">
        <v>41.357809622501556</v>
      </c>
      <c r="AJ4881" s="9">
        <v>3.0428788910505911</v>
      </c>
    </row>
    <row r="4882" spans="1:36" x14ac:dyDescent="0.25">
      <c r="A4882" t="s">
        <v>5411</v>
      </c>
      <c r="B4882" t="s">
        <v>16</v>
      </c>
      <c r="C4882" t="s">
        <v>17</v>
      </c>
      <c r="D4882">
        <v>85618000</v>
      </c>
      <c r="E4882">
        <v>85619999</v>
      </c>
      <c r="F4882" t="s">
        <v>4430</v>
      </c>
      <c r="G4882" t="str">
        <f t="shared" si="152"/>
        <v>PRI II</v>
      </c>
      <c r="H4882" t="s">
        <v>4294</v>
      </c>
      <c r="I4882" t="s">
        <v>20</v>
      </c>
      <c r="J4882" t="s">
        <v>64</v>
      </c>
      <c r="K4882" s="6">
        <v>0.03</v>
      </c>
      <c r="L4882" s="7">
        <f t="shared" si="153"/>
        <v>2E-3</v>
      </c>
      <c r="M4882" s="7">
        <v>3.0000000000000001E-3</v>
      </c>
      <c r="N4882">
        <v>11</v>
      </c>
      <c r="O4882" s="8">
        <v>19.127752698369598</v>
      </c>
      <c r="P4882" s="9">
        <v>19.127752698369598</v>
      </c>
      <c r="Q4882" s="9">
        <v>19.127752698369598</v>
      </c>
      <c r="R4882" s="9">
        <v>19.588754687607715</v>
      </c>
      <c r="S4882" s="9">
        <v>19.892211826137899</v>
      </c>
      <c r="T4882" s="9">
        <v>20.64455772606674</v>
      </c>
      <c r="U4882" s="9">
        <v>22.020224218035128</v>
      </c>
      <c r="V4882" s="9">
        <v>22.020224218035128</v>
      </c>
      <c r="W4882" s="9">
        <v>22.020224218035128</v>
      </c>
      <c r="X4882" s="9">
        <v>24.004435739730138</v>
      </c>
      <c r="Y4882" s="9">
        <v>24.004435739730138</v>
      </c>
      <c r="Z4882" s="9">
        <v>26.075582265671787</v>
      </c>
      <c r="AA4882" s="9">
        <v>26.075582265671787</v>
      </c>
      <c r="AB4882" s="9">
        <v>28.242357296284759</v>
      </c>
      <c r="AC4882" s="9">
        <v>28.242357296284759</v>
      </c>
      <c r="AD4882" s="9">
        <v>32.278785457330969</v>
      </c>
      <c r="AE4882" s="9">
        <v>34.228944830548365</v>
      </c>
      <c r="AF4882" s="9">
        <v>36.293711230319367</v>
      </c>
      <c r="AG4882" s="9">
        <v>36.293711230319367</v>
      </c>
      <c r="AH4882" s="9">
        <v>39.230142171980006</v>
      </c>
      <c r="AI4882" s="9">
        <v>41.357809622501556</v>
      </c>
      <c r="AJ4882" s="9">
        <v>3.0428788910505911</v>
      </c>
    </row>
    <row r="4883" spans="1:36" x14ac:dyDescent="0.25">
      <c r="A4883" t="s">
        <v>5411</v>
      </c>
      <c r="B4883" t="s">
        <v>16</v>
      </c>
      <c r="C4883" t="s">
        <v>17</v>
      </c>
      <c r="D4883">
        <v>85620000</v>
      </c>
      <c r="E4883">
        <v>85627999</v>
      </c>
      <c r="F4883" t="s">
        <v>4431</v>
      </c>
      <c r="G4883" t="str">
        <f t="shared" si="152"/>
        <v>PRI II</v>
      </c>
      <c r="H4883" t="s">
        <v>4294</v>
      </c>
      <c r="I4883" t="s">
        <v>20</v>
      </c>
      <c r="J4883" t="s">
        <v>64</v>
      </c>
      <c r="K4883" s="6">
        <v>0.03</v>
      </c>
      <c r="L4883" s="7">
        <f t="shared" si="153"/>
        <v>2E-3</v>
      </c>
      <c r="M4883" s="7">
        <v>3.0000000000000001E-3</v>
      </c>
      <c r="N4883">
        <v>11</v>
      </c>
      <c r="O4883" s="8">
        <v>19.127752698369598</v>
      </c>
      <c r="P4883" s="9">
        <v>19.127752698369598</v>
      </c>
      <c r="Q4883" s="9">
        <v>19.127752698369598</v>
      </c>
      <c r="R4883" s="9">
        <v>19.588754687607715</v>
      </c>
      <c r="S4883" s="9">
        <v>19.892211826137899</v>
      </c>
      <c r="T4883" s="9">
        <v>20.64455772606674</v>
      </c>
      <c r="U4883" s="9">
        <v>22.020224218035128</v>
      </c>
      <c r="V4883" s="9">
        <v>22.020224218035128</v>
      </c>
      <c r="W4883" s="9">
        <v>22.020224218035128</v>
      </c>
      <c r="X4883" s="9">
        <v>24.004435739730138</v>
      </c>
      <c r="Y4883" s="9">
        <v>24.004435739730138</v>
      </c>
      <c r="Z4883" s="9">
        <v>26.075582265671787</v>
      </c>
      <c r="AA4883" s="9">
        <v>26.075582265671787</v>
      </c>
      <c r="AB4883" s="9">
        <v>28.242357296284759</v>
      </c>
      <c r="AC4883" s="9">
        <v>28.242357296284759</v>
      </c>
      <c r="AD4883" s="9">
        <v>32.278785457330969</v>
      </c>
      <c r="AE4883" s="9">
        <v>34.228944830548365</v>
      </c>
      <c r="AF4883" s="9">
        <v>36.293711230319367</v>
      </c>
      <c r="AG4883" s="9">
        <v>36.293711230319367</v>
      </c>
      <c r="AH4883" s="9">
        <v>39.230142171980006</v>
      </c>
      <c r="AI4883" s="9">
        <v>41.357809622501556</v>
      </c>
      <c r="AJ4883" s="9">
        <v>3.0428788910505911</v>
      </c>
    </row>
    <row r="4884" spans="1:36" x14ac:dyDescent="0.25">
      <c r="A4884" t="s">
        <v>5411</v>
      </c>
      <c r="B4884" t="s">
        <v>16</v>
      </c>
      <c r="C4884" t="s">
        <v>17</v>
      </c>
      <c r="D4884">
        <v>85628000</v>
      </c>
      <c r="E4884">
        <v>85629999</v>
      </c>
      <c r="F4884" t="s">
        <v>4432</v>
      </c>
      <c r="G4884" t="str">
        <f t="shared" si="152"/>
        <v>PRI II</v>
      </c>
      <c r="H4884" t="s">
        <v>4294</v>
      </c>
      <c r="I4884" t="s">
        <v>20</v>
      </c>
      <c r="J4884" t="s">
        <v>64</v>
      </c>
      <c r="K4884" s="6">
        <v>0.03</v>
      </c>
      <c r="L4884" s="7">
        <f t="shared" si="153"/>
        <v>2E-3</v>
      </c>
      <c r="M4884" s="7">
        <v>3.0000000000000001E-3</v>
      </c>
      <c r="N4884">
        <v>11</v>
      </c>
      <c r="O4884" s="8">
        <v>19.127752698369598</v>
      </c>
      <c r="P4884" s="9">
        <v>19.127752698369598</v>
      </c>
      <c r="Q4884" s="9">
        <v>19.127752698369598</v>
      </c>
      <c r="R4884" s="9">
        <v>19.588754687607715</v>
      </c>
      <c r="S4884" s="9">
        <v>19.892211826137899</v>
      </c>
      <c r="T4884" s="9">
        <v>20.64455772606674</v>
      </c>
      <c r="U4884" s="9">
        <v>22.020224218035128</v>
      </c>
      <c r="V4884" s="9">
        <v>22.020224218035128</v>
      </c>
      <c r="W4884" s="9">
        <v>22.020224218035128</v>
      </c>
      <c r="X4884" s="9">
        <v>24.004435739730138</v>
      </c>
      <c r="Y4884" s="9">
        <v>24.004435739730138</v>
      </c>
      <c r="Z4884" s="9">
        <v>26.075582265671787</v>
      </c>
      <c r="AA4884" s="9">
        <v>26.075582265671787</v>
      </c>
      <c r="AB4884" s="9">
        <v>28.242357296284759</v>
      </c>
      <c r="AC4884" s="9">
        <v>28.242357296284759</v>
      </c>
      <c r="AD4884" s="9">
        <v>32.278785457330969</v>
      </c>
      <c r="AE4884" s="9">
        <v>34.228944830548365</v>
      </c>
      <c r="AF4884" s="9">
        <v>36.293711230319367</v>
      </c>
      <c r="AG4884" s="9">
        <v>36.293711230319367</v>
      </c>
      <c r="AH4884" s="9">
        <v>39.230142171980006</v>
      </c>
      <c r="AI4884" s="9">
        <v>41.357809622501556</v>
      </c>
      <c r="AJ4884" s="9">
        <v>3.0428788910505911</v>
      </c>
    </row>
    <row r="4885" spans="1:36" x14ac:dyDescent="0.25">
      <c r="A4885" t="s">
        <v>5411</v>
      </c>
      <c r="B4885" t="s">
        <v>16</v>
      </c>
      <c r="C4885" t="s">
        <v>17</v>
      </c>
      <c r="D4885">
        <v>85630000</v>
      </c>
      <c r="E4885">
        <v>85634999</v>
      </c>
      <c r="F4885" t="s">
        <v>4433</v>
      </c>
      <c r="G4885" t="str">
        <f t="shared" si="152"/>
        <v>PRI II</v>
      </c>
      <c r="H4885" t="s">
        <v>4294</v>
      </c>
      <c r="I4885" t="s">
        <v>20</v>
      </c>
      <c r="J4885" t="s">
        <v>64</v>
      </c>
      <c r="K4885" s="6">
        <v>0.03</v>
      </c>
      <c r="L4885" s="7">
        <f t="shared" si="153"/>
        <v>2E-3</v>
      </c>
      <c r="M4885" s="7">
        <v>3.0000000000000001E-3</v>
      </c>
      <c r="N4885">
        <v>11</v>
      </c>
      <c r="O4885" s="8">
        <v>19.127752698369598</v>
      </c>
      <c r="P4885" s="9">
        <v>19.127752698369598</v>
      </c>
      <c r="Q4885" s="9">
        <v>19.127752698369598</v>
      </c>
      <c r="R4885" s="9">
        <v>19.588754687607715</v>
      </c>
      <c r="S4885" s="9">
        <v>19.892211826137899</v>
      </c>
      <c r="T4885" s="9">
        <v>20.64455772606674</v>
      </c>
      <c r="U4885" s="9">
        <v>22.020224218035128</v>
      </c>
      <c r="V4885" s="9">
        <v>22.020224218035128</v>
      </c>
      <c r="W4885" s="9">
        <v>22.020224218035128</v>
      </c>
      <c r="X4885" s="9">
        <v>24.004435739730138</v>
      </c>
      <c r="Y4885" s="9">
        <v>24.004435739730138</v>
      </c>
      <c r="Z4885" s="9">
        <v>26.075582265671787</v>
      </c>
      <c r="AA4885" s="9">
        <v>26.075582265671787</v>
      </c>
      <c r="AB4885" s="9">
        <v>28.242357296284759</v>
      </c>
      <c r="AC4885" s="9">
        <v>28.242357296284759</v>
      </c>
      <c r="AD4885" s="9">
        <v>32.278785457330969</v>
      </c>
      <c r="AE4885" s="9">
        <v>34.228944830548365</v>
      </c>
      <c r="AF4885" s="9">
        <v>36.293711230319367</v>
      </c>
      <c r="AG4885" s="9">
        <v>36.293711230319367</v>
      </c>
      <c r="AH4885" s="9">
        <v>39.230142171980006</v>
      </c>
      <c r="AI4885" s="9">
        <v>41.357809622501556</v>
      </c>
      <c r="AJ4885" s="9">
        <v>3.0428788910505911</v>
      </c>
    </row>
    <row r="4886" spans="1:36" x14ac:dyDescent="0.25">
      <c r="A4886" t="s">
        <v>5411</v>
      </c>
      <c r="B4886" t="s">
        <v>16</v>
      </c>
      <c r="C4886" t="s">
        <v>17</v>
      </c>
      <c r="D4886">
        <v>85635000</v>
      </c>
      <c r="E4886">
        <v>85639999</v>
      </c>
      <c r="F4886" t="s">
        <v>4434</v>
      </c>
      <c r="G4886" t="str">
        <f t="shared" si="152"/>
        <v>PRI II</v>
      </c>
      <c r="H4886" t="s">
        <v>4294</v>
      </c>
      <c r="I4886" t="s">
        <v>20</v>
      </c>
      <c r="J4886" t="s">
        <v>64</v>
      </c>
      <c r="K4886" s="6">
        <v>0.03</v>
      </c>
      <c r="L4886" s="7">
        <f t="shared" si="153"/>
        <v>2E-3</v>
      </c>
      <c r="M4886" s="7">
        <v>3.0000000000000001E-3</v>
      </c>
      <c r="N4886">
        <v>11</v>
      </c>
      <c r="O4886" s="8">
        <v>19.127752698369598</v>
      </c>
      <c r="P4886" s="9">
        <v>19.127752698369598</v>
      </c>
      <c r="Q4886" s="9">
        <v>19.127752698369598</v>
      </c>
      <c r="R4886" s="9">
        <v>19.588754687607715</v>
      </c>
      <c r="S4886" s="9">
        <v>19.892211826137899</v>
      </c>
      <c r="T4886" s="9">
        <v>20.64455772606674</v>
      </c>
      <c r="U4886" s="9">
        <v>22.020224218035128</v>
      </c>
      <c r="V4886" s="9">
        <v>22.020224218035128</v>
      </c>
      <c r="W4886" s="9">
        <v>22.020224218035128</v>
      </c>
      <c r="X4886" s="9">
        <v>24.004435739730138</v>
      </c>
      <c r="Y4886" s="9">
        <v>24.004435739730138</v>
      </c>
      <c r="Z4886" s="9">
        <v>26.075582265671787</v>
      </c>
      <c r="AA4886" s="9">
        <v>26.075582265671787</v>
      </c>
      <c r="AB4886" s="9">
        <v>28.242357296284759</v>
      </c>
      <c r="AC4886" s="9">
        <v>28.242357296284759</v>
      </c>
      <c r="AD4886" s="9">
        <v>32.278785457330969</v>
      </c>
      <c r="AE4886" s="9">
        <v>34.228944830548365</v>
      </c>
      <c r="AF4886" s="9">
        <v>36.293711230319367</v>
      </c>
      <c r="AG4886" s="9">
        <v>36.293711230319367</v>
      </c>
      <c r="AH4886" s="9">
        <v>39.230142171980006</v>
      </c>
      <c r="AI4886" s="9">
        <v>41.357809622501556</v>
      </c>
      <c r="AJ4886" s="9">
        <v>3.0428788910505911</v>
      </c>
    </row>
    <row r="4887" spans="1:36" x14ac:dyDescent="0.25">
      <c r="A4887" t="s">
        <v>5411</v>
      </c>
      <c r="B4887" t="s">
        <v>16</v>
      </c>
      <c r="C4887" t="s">
        <v>17</v>
      </c>
      <c r="D4887">
        <v>85640000</v>
      </c>
      <c r="E4887">
        <v>85649999</v>
      </c>
      <c r="F4887" t="s">
        <v>4435</v>
      </c>
      <c r="G4887" t="str">
        <f t="shared" si="152"/>
        <v>PRI II</v>
      </c>
      <c r="H4887" t="s">
        <v>4294</v>
      </c>
      <c r="I4887" t="s">
        <v>20</v>
      </c>
      <c r="J4887" t="s">
        <v>64</v>
      </c>
      <c r="K4887" s="6">
        <v>0.03</v>
      </c>
      <c r="L4887" s="7">
        <f t="shared" si="153"/>
        <v>2E-3</v>
      </c>
      <c r="M4887" s="7">
        <v>3.0000000000000001E-3</v>
      </c>
      <c r="N4887">
        <v>11</v>
      </c>
      <c r="O4887" s="8">
        <v>19.127752698369598</v>
      </c>
      <c r="P4887" s="9">
        <v>19.127752698369598</v>
      </c>
      <c r="Q4887" s="9">
        <v>19.127752698369598</v>
      </c>
      <c r="R4887" s="9">
        <v>19.588754687607715</v>
      </c>
      <c r="S4887" s="9">
        <v>19.892211826137899</v>
      </c>
      <c r="T4887" s="9">
        <v>20.64455772606674</v>
      </c>
      <c r="U4887" s="9">
        <v>22.020224218035128</v>
      </c>
      <c r="V4887" s="9">
        <v>22.020224218035128</v>
      </c>
      <c r="W4887" s="9">
        <v>22.020224218035128</v>
      </c>
      <c r="X4887" s="9">
        <v>24.004435739730138</v>
      </c>
      <c r="Y4887" s="9">
        <v>24.004435739730138</v>
      </c>
      <c r="Z4887" s="9">
        <v>26.075582265671787</v>
      </c>
      <c r="AA4887" s="9">
        <v>26.075582265671787</v>
      </c>
      <c r="AB4887" s="9">
        <v>28.242357296284759</v>
      </c>
      <c r="AC4887" s="9">
        <v>28.242357296284759</v>
      </c>
      <c r="AD4887" s="9">
        <v>32.278785457330969</v>
      </c>
      <c r="AE4887" s="9">
        <v>34.228944830548365</v>
      </c>
      <c r="AF4887" s="9">
        <v>36.293711230319367</v>
      </c>
      <c r="AG4887" s="9">
        <v>36.293711230319367</v>
      </c>
      <c r="AH4887" s="9">
        <v>39.230142171980006</v>
      </c>
      <c r="AI4887" s="9">
        <v>41.357809622501556</v>
      </c>
      <c r="AJ4887" s="9">
        <v>3.0428788910505911</v>
      </c>
    </row>
    <row r="4888" spans="1:36" x14ac:dyDescent="0.25">
      <c r="A4888" t="s">
        <v>5411</v>
      </c>
      <c r="B4888" t="s">
        <v>16</v>
      </c>
      <c r="C4888" t="s">
        <v>17</v>
      </c>
      <c r="D4888">
        <v>85650000</v>
      </c>
      <c r="E4888">
        <v>85659999</v>
      </c>
      <c r="F4888" t="s">
        <v>4436</v>
      </c>
      <c r="G4888" t="str">
        <f t="shared" si="152"/>
        <v>PRI II</v>
      </c>
      <c r="H4888" t="s">
        <v>4294</v>
      </c>
      <c r="I4888" t="s">
        <v>20</v>
      </c>
      <c r="J4888" t="s">
        <v>64</v>
      </c>
      <c r="K4888" s="6">
        <v>0.03</v>
      </c>
      <c r="L4888" s="7">
        <f t="shared" si="153"/>
        <v>2E-3</v>
      </c>
      <c r="M4888" s="7">
        <v>3.0000000000000001E-3</v>
      </c>
      <c r="N4888">
        <v>11</v>
      </c>
      <c r="O4888" s="8">
        <v>19.127752698369598</v>
      </c>
      <c r="P4888" s="9">
        <v>19.127752698369598</v>
      </c>
      <c r="Q4888" s="9">
        <v>19.127752698369598</v>
      </c>
      <c r="R4888" s="9">
        <v>19.588754687607715</v>
      </c>
      <c r="S4888" s="9">
        <v>19.892211826137899</v>
      </c>
      <c r="T4888" s="9">
        <v>20.64455772606674</v>
      </c>
      <c r="U4888" s="9">
        <v>22.020224218035128</v>
      </c>
      <c r="V4888" s="9">
        <v>22.020224218035128</v>
      </c>
      <c r="W4888" s="9">
        <v>22.020224218035128</v>
      </c>
      <c r="X4888" s="9">
        <v>24.004435739730138</v>
      </c>
      <c r="Y4888" s="9">
        <v>24.004435739730138</v>
      </c>
      <c r="Z4888" s="9">
        <v>26.075582265671787</v>
      </c>
      <c r="AA4888" s="9">
        <v>26.075582265671787</v>
      </c>
      <c r="AB4888" s="9">
        <v>28.242357296284759</v>
      </c>
      <c r="AC4888" s="9">
        <v>28.242357296284759</v>
      </c>
      <c r="AD4888" s="9">
        <v>32.278785457330969</v>
      </c>
      <c r="AE4888" s="9">
        <v>34.228944830548365</v>
      </c>
      <c r="AF4888" s="9">
        <v>36.293711230319367</v>
      </c>
      <c r="AG4888" s="9">
        <v>36.293711230319367</v>
      </c>
      <c r="AH4888" s="9">
        <v>39.230142171980006</v>
      </c>
      <c r="AI4888" s="9">
        <v>41.357809622501556</v>
      </c>
      <c r="AJ4888" s="9">
        <v>3.0428788910505911</v>
      </c>
    </row>
    <row r="4889" spans="1:36" x14ac:dyDescent="0.25">
      <c r="A4889" t="s">
        <v>5411</v>
      </c>
      <c r="B4889" t="s">
        <v>16</v>
      </c>
      <c r="C4889" t="s">
        <v>17</v>
      </c>
      <c r="D4889">
        <v>85660000</v>
      </c>
      <c r="E4889">
        <v>85669999</v>
      </c>
      <c r="F4889" t="s">
        <v>4437</v>
      </c>
      <c r="G4889" t="str">
        <f t="shared" si="152"/>
        <v>PRI</v>
      </c>
      <c r="H4889" t="s">
        <v>4294</v>
      </c>
      <c r="I4889" t="s">
        <v>20</v>
      </c>
      <c r="J4889" t="s">
        <v>62</v>
      </c>
      <c r="K4889" s="6">
        <v>0.03</v>
      </c>
      <c r="L4889" s="7">
        <f t="shared" si="153"/>
        <v>2E-3</v>
      </c>
      <c r="M4889" s="7">
        <v>3.0000000000000001E-3</v>
      </c>
      <c r="N4889">
        <v>9</v>
      </c>
      <c r="O4889" s="8">
        <v>16.344178346561137</v>
      </c>
      <c r="P4889" s="9">
        <v>16.344178346561137</v>
      </c>
      <c r="Q4889" s="9">
        <v>16.344178346561137</v>
      </c>
      <c r="R4889" s="9">
        <v>16.766533722582309</v>
      </c>
      <c r="S4889" s="9">
        <v>17.709108795625173</v>
      </c>
      <c r="T4889" s="9">
        <v>18.545760454647645</v>
      </c>
      <c r="U4889" s="9">
        <v>20.10723313448154</v>
      </c>
      <c r="V4889" s="9">
        <v>20.10723313448154</v>
      </c>
      <c r="W4889" s="9">
        <v>20.10723313448154</v>
      </c>
      <c r="X4889" s="9">
        <v>21.240951506551678</v>
      </c>
      <c r="Y4889" s="9">
        <v>21.240951506551678</v>
      </c>
      <c r="Z4889" s="9">
        <v>22.557015615717738</v>
      </c>
      <c r="AA4889" s="9">
        <v>22.557015615717738</v>
      </c>
      <c r="AB4889" s="9">
        <v>26.056112270527457</v>
      </c>
      <c r="AC4889" s="9">
        <v>26.056112270527457</v>
      </c>
      <c r="AD4889" s="9">
        <v>30.142276170369946</v>
      </c>
      <c r="AE4889" s="9">
        <v>32.940531048263779</v>
      </c>
      <c r="AF4889" s="9">
        <v>35.920735279325392</v>
      </c>
      <c r="AG4889" s="9">
        <v>35.920735279325392</v>
      </c>
      <c r="AH4889" s="9">
        <v>38.62832670141978</v>
      </c>
      <c r="AI4889" s="9">
        <v>41.239207360528972</v>
      </c>
      <c r="AJ4889" s="9">
        <v>3.0428788910505911</v>
      </c>
    </row>
    <row r="4890" spans="1:36" x14ac:dyDescent="0.25">
      <c r="A4890" t="s">
        <v>5411</v>
      </c>
      <c r="B4890" t="s">
        <v>16</v>
      </c>
      <c r="C4890" t="s">
        <v>17</v>
      </c>
      <c r="D4890">
        <v>85670000</v>
      </c>
      <c r="E4890">
        <v>85679999</v>
      </c>
      <c r="F4890" t="s">
        <v>4438</v>
      </c>
      <c r="G4890" t="str">
        <f t="shared" si="152"/>
        <v>PRI II</v>
      </c>
      <c r="H4890" t="s">
        <v>4294</v>
      </c>
      <c r="I4890" t="s">
        <v>20</v>
      </c>
      <c r="J4890" t="s">
        <v>64</v>
      </c>
      <c r="K4890" s="6">
        <v>0.03</v>
      </c>
      <c r="L4890" s="7">
        <f t="shared" si="153"/>
        <v>2E-3</v>
      </c>
      <c r="M4890" s="7">
        <v>3.0000000000000001E-3</v>
      </c>
      <c r="N4890">
        <v>11</v>
      </c>
      <c r="O4890" s="8">
        <v>19.127752698369598</v>
      </c>
      <c r="P4890" s="9">
        <v>19.127752698369598</v>
      </c>
      <c r="Q4890" s="9">
        <v>19.127752698369598</v>
      </c>
      <c r="R4890" s="9">
        <v>19.588754687607715</v>
      </c>
      <c r="S4890" s="9">
        <v>19.892211826137899</v>
      </c>
      <c r="T4890" s="9">
        <v>20.64455772606674</v>
      </c>
      <c r="U4890" s="9">
        <v>22.020224218035128</v>
      </c>
      <c r="V4890" s="9">
        <v>22.020224218035128</v>
      </c>
      <c r="W4890" s="9">
        <v>22.020224218035128</v>
      </c>
      <c r="X4890" s="9">
        <v>24.004435739730138</v>
      </c>
      <c r="Y4890" s="9">
        <v>24.004435739730138</v>
      </c>
      <c r="Z4890" s="9">
        <v>26.075582265671787</v>
      </c>
      <c r="AA4890" s="9">
        <v>26.075582265671787</v>
      </c>
      <c r="AB4890" s="9">
        <v>28.242357296284759</v>
      </c>
      <c r="AC4890" s="9">
        <v>28.242357296284759</v>
      </c>
      <c r="AD4890" s="9">
        <v>32.278785457330969</v>
      </c>
      <c r="AE4890" s="9">
        <v>34.228944830548365</v>
      </c>
      <c r="AF4890" s="9">
        <v>36.293711230319367</v>
      </c>
      <c r="AG4890" s="9">
        <v>36.293711230319367</v>
      </c>
      <c r="AH4890" s="9">
        <v>39.230142171980006</v>
      </c>
      <c r="AI4890" s="9">
        <v>41.357809622501556</v>
      </c>
      <c r="AJ4890" s="9">
        <v>3.0428788910505911</v>
      </c>
    </row>
    <row r="4891" spans="1:36" x14ac:dyDescent="0.25">
      <c r="A4891" t="s">
        <v>5411</v>
      </c>
      <c r="B4891" t="s">
        <v>16</v>
      </c>
      <c r="C4891" t="s">
        <v>17</v>
      </c>
      <c r="D4891">
        <v>85680000</v>
      </c>
      <c r="E4891">
        <v>85684999</v>
      </c>
      <c r="F4891" t="s">
        <v>4439</v>
      </c>
      <c r="G4891" t="str">
        <f t="shared" si="152"/>
        <v>PRI II</v>
      </c>
      <c r="H4891" t="s">
        <v>4294</v>
      </c>
      <c r="I4891" t="s">
        <v>20</v>
      </c>
      <c r="J4891" t="s">
        <v>64</v>
      </c>
      <c r="K4891" s="6">
        <v>0.03</v>
      </c>
      <c r="L4891" s="7">
        <f t="shared" si="153"/>
        <v>2E-3</v>
      </c>
      <c r="M4891" s="7">
        <v>3.0000000000000001E-3</v>
      </c>
      <c r="N4891">
        <v>11</v>
      </c>
      <c r="O4891" s="8">
        <v>19.127752698369598</v>
      </c>
      <c r="P4891" s="9">
        <v>19.127752698369598</v>
      </c>
      <c r="Q4891" s="9">
        <v>19.127752698369598</v>
      </c>
      <c r="R4891" s="9">
        <v>19.588754687607715</v>
      </c>
      <c r="S4891" s="9">
        <v>19.892211826137899</v>
      </c>
      <c r="T4891" s="9">
        <v>20.64455772606674</v>
      </c>
      <c r="U4891" s="9">
        <v>22.020224218035128</v>
      </c>
      <c r="V4891" s="9">
        <v>22.020224218035128</v>
      </c>
      <c r="W4891" s="9">
        <v>22.020224218035128</v>
      </c>
      <c r="X4891" s="9">
        <v>24.004435739730138</v>
      </c>
      <c r="Y4891" s="9">
        <v>24.004435739730138</v>
      </c>
      <c r="Z4891" s="9">
        <v>26.075582265671787</v>
      </c>
      <c r="AA4891" s="9">
        <v>26.075582265671787</v>
      </c>
      <c r="AB4891" s="9">
        <v>28.242357296284759</v>
      </c>
      <c r="AC4891" s="9">
        <v>28.242357296284759</v>
      </c>
      <c r="AD4891" s="9">
        <v>32.278785457330969</v>
      </c>
      <c r="AE4891" s="9">
        <v>34.228944830548365</v>
      </c>
      <c r="AF4891" s="9">
        <v>36.293711230319367</v>
      </c>
      <c r="AG4891" s="9">
        <v>36.293711230319367</v>
      </c>
      <c r="AH4891" s="9">
        <v>39.230142171980006</v>
      </c>
      <c r="AI4891" s="9">
        <v>41.357809622501556</v>
      </c>
      <c r="AJ4891" s="9">
        <v>3.0428788910505911</v>
      </c>
    </row>
    <row r="4892" spans="1:36" x14ac:dyDescent="0.25">
      <c r="A4892" t="s">
        <v>5411</v>
      </c>
      <c r="B4892" t="s">
        <v>16</v>
      </c>
      <c r="C4892" t="s">
        <v>17</v>
      </c>
      <c r="D4892">
        <v>85685000</v>
      </c>
      <c r="E4892">
        <v>85699999</v>
      </c>
      <c r="F4892" t="s">
        <v>4440</v>
      </c>
      <c r="G4892" t="str">
        <f t="shared" si="152"/>
        <v>PRI II</v>
      </c>
      <c r="H4892" t="s">
        <v>4294</v>
      </c>
      <c r="I4892" t="s">
        <v>20</v>
      </c>
      <c r="J4892" t="s">
        <v>64</v>
      </c>
      <c r="K4892" s="6">
        <v>0.03</v>
      </c>
      <c r="L4892" s="7">
        <f t="shared" si="153"/>
        <v>2E-3</v>
      </c>
      <c r="M4892" s="7">
        <v>3.0000000000000001E-3</v>
      </c>
      <c r="N4892">
        <v>11</v>
      </c>
      <c r="O4892" s="8">
        <v>19.127752698369598</v>
      </c>
      <c r="P4892" s="9">
        <v>19.127752698369598</v>
      </c>
      <c r="Q4892" s="9">
        <v>19.127752698369598</v>
      </c>
      <c r="R4892" s="9">
        <v>19.588754687607715</v>
      </c>
      <c r="S4892" s="9">
        <v>19.892211826137899</v>
      </c>
      <c r="T4892" s="9">
        <v>20.64455772606674</v>
      </c>
      <c r="U4892" s="9">
        <v>22.020224218035128</v>
      </c>
      <c r="V4892" s="9">
        <v>22.020224218035128</v>
      </c>
      <c r="W4892" s="9">
        <v>22.020224218035128</v>
      </c>
      <c r="X4892" s="9">
        <v>24.004435739730138</v>
      </c>
      <c r="Y4892" s="9">
        <v>24.004435739730138</v>
      </c>
      <c r="Z4892" s="9">
        <v>26.075582265671787</v>
      </c>
      <c r="AA4892" s="9">
        <v>26.075582265671787</v>
      </c>
      <c r="AB4892" s="9">
        <v>28.242357296284759</v>
      </c>
      <c r="AC4892" s="9">
        <v>28.242357296284759</v>
      </c>
      <c r="AD4892" s="9">
        <v>32.278785457330969</v>
      </c>
      <c r="AE4892" s="9">
        <v>34.228944830548365</v>
      </c>
      <c r="AF4892" s="9">
        <v>36.293711230319367</v>
      </c>
      <c r="AG4892" s="9">
        <v>36.293711230319367</v>
      </c>
      <c r="AH4892" s="9">
        <v>39.230142171980006</v>
      </c>
      <c r="AI4892" s="9">
        <v>41.357809622501556</v>
      </c>
      <c r="AJ4892" s="9">
        <v>3.0428788910505911</v>
      </c>
    </row>
    <row r="4893" spans="1:36" x14ac:dyDescent="0.25">
      <c r="A4893" t="s">
        <v>5411</v>
      </c>
      <c r="B4893" t="s">
        <v>16</v>
      </c>
      <c r="C4893" t="s">
        <v>17</v>
      </c>
      <c r="D4893">
        <v>85700000</v>
      </c>
      <c r="E4893">
        <v>85707999</v>
      </c>
      <c r="F4893" t="s">
        <v>4441</v>
      </c>
      <c r="G4893" t="str">
        <f t="shared" si="152"/>
        <v>PRI II</v>
      </c>
      <c r="H4893" t="s">
        <v>4294</v>
      </c>
      <c r="I4893" t="s">
        <v>20</v>
      </c>
      <c r="J4893" t="s">
        <v>64</v>
      </c>
      <c r="K4893" s="6">
        <v>0.03</v>
      </c>
      <c r="L4893" s="7">
        <f t="shared" si="153"/>
        <v>2E-3</v>
      </c>
      <c r="M4893" s="7">
        <v>3.0000000000000001E-3</v>
      </c>
      <c r="N4893">
        <v>11</v>
      </c>
      <c r="O4893" s="8">
        <v>19.127752698369598</v>
      </c>
      <c r="P4893" s="9">
        <v>19.127752698369598</v>
      </c>
      <c r="Q4893" s="9">
        <v>19.127752698369598</v>
      </c>
      <c r="R4893" s="9">
        <v>19.588754687607715</v>
      </c>
      <c r="S4893" s="9">
        <v>19.892211826137899</v>
      </c>
      <c r="T4893" s="9">
        <v>20.64455772606674</v>
      </c>
      <c r="U4893" s="9">
        <v>22.020224218035128</v>
      </c>
      <c r="V4893" s="9">
        <v>22.020224218035128</v>
      </c>
      <c r="W4893" s="9">
        <v>22.020224218035128</v>
      </c>
      <c r="X4893" s="9">
        <v>24.004435739730138</v>
      </c>
      <c r="Y4893" s="9">
        <v>24.004435739730138</v>
      </c>
      <c r="Z4893" s="9">
        <v>26.075582265671787</v>
      </c>
      <c r="AA4893" s="9">
        <v>26.075582265671787</v>
      </c>
      <c r="AB4893" s="9">
        <v>28.242357296284759</v>
      </c>
      <c r="AC4893" s="9">
        <v>28.242357296284759</v>
      </c>
      <c r="AD4893" s="9">
        <v>32.278785457330969</v>
      </c>
      <c r="AE4893" s="9">
        <v>34.228944830548365</v>
      </c>
      <c r="AF4893" s="9">
        <v>36.293711230319367</v>
      </c>
      <c r="AG4893" s="9">
        <v>36.293711230319367</v>
      </c>
      <c r="AH4893" s="9">
        <v>39.230142171980006</v>
      </c>
      <c r="AI4893" s="9">
        <v>41.357809622501556</v>
      </c>
      <c r="AJ4893" s="9">
        <v>3.0428788910505911</v>
      </c>
    </row>
    <row r="4894" spans="1:36" x14ac:dyDescent="0.25">
      <c r="A4894" t="s">
        <v>5411</v>
      </c>
      <c r="B4894" t="s">
        <v>16</v>
      </c>
      <c r="C4894" t="s">
        <v>17</v>
      </c>
      <c r="D4894">
        <v>85708000</v>
      </c>
      <c r="E4894">
        <v>85709999</v>
      </c>
      <c r="F4894" t="s">
        <v>4442</v>
      </c>
      <c r="G4894" t="str">
        <f t="shared" si="152"/>
        <v>PRI II</v>
      </c>
      <c r="H4894" t="s">
        <v>4294</v>
      </c>
      <c r="I4894" t="s">
        <v>20</v>
      </c>
      <c r="J4894" t="s">
        <v>64</v>
      </c>
      <c r="K4894" s="6">
        <v>0.03</v>
      </c>
      <c r="L4894" s="7">
        <f t="shared" si="153"/>
        <v>2E-3</v>
      </c>
      <c r="M4894" s="7">
        <v>3.0000000000000001E-3</v>
      </c>
      <c r="N4894">
        <v>11</v>
      </c>
      <c r="O4894" s="8">
        <v>19.127752698369598</v>
      </c>
      <c r="P4894" s="9">
        <v>19.127752698369598</v>
      </c>
      <c r="Q4894" s="9">
        <v>19.127752698369598</v>
      </c>
      <c r="R4894" s="9">
        <v>19.588754687607715</v>
      </c>
      <c r="S4894" s="9">
        <v>19.892211826137899</v>
      </c>
      <c r="T4894" s="9">
        <v>20.64455772606674</v>
      </c>
      <c r="U4894" s="9">
        <v>22.020224218035128</v>
      </c>
      <c r="V4894" s="9">
        <v>22.020224218035128</v>
      </c>
      <c r="W4894" s="9">
        <v>22.020224218035128</v>
      </c>
      <c r="X4894" s="9">
        <v>24.004435739730138</v>
      </c>
      <c r="Y4894" s="9">
        <v>24.004435739730138</v>
      </c>
      <c r="Z4894" s="9">
        <v>26.075582265671787</v>
      </c>
      <c r="AA4894" s="9">
        <v>26.075582265671787</v>
      </c>
      <c r="AB4894" s="9">
        <v>28.242357296284759</v>
      </c>
      <c r="AC4894" s="9">
        <v>28.242357296284759</v>
      </c>
      <c r="AD4894" s="9">
        <v>32.278785457330969</v>
      </c>
      <c r="AE4894" s="9">
        <v>34.228944830548365</v>
      </c>
      <c r="AF4894" s="9">
        <v>36.293711230319367</v>
      </c>
      <c r="AG4894" s="9">
        <v>36.293711230319367</v>
      </c>
      <c r="AH4894" s="9">
        <v>39.230142171980006</v>
      </c>
      <c r="AI4894" s="9">
        <v>41.357809622501556</v>
      </c>
      <c r="AJ4894" s="9">
        <v>3.0428788910505911</v>
      </c>
    </row>
    <row r="4895" spans="1:36" x14ac:dyDescent="0.25">
      <c r="A4895" t="s">
        <v>5411</v>
      </c>
      <c r="B4895" t="s">
        <v>16</v>
      </c>
      <c r="C4895" t="s">
        <v>17</v>
      </c>
      <c r="D4895">
        <v>85710000</v>
      </c>
      <c r="E4895">
        <v>85726999</v>
      </c>
      <c r="F4895" t="s">
        <v>4443</v>
      </c>
      <c r="G4895" t="str">
        <f t="shared" si="152"/>
        <v>PRI II</v>
      </c>
      <c r="H4895" t="s">
        <v>4294</v>
      </c>
      <c r="I4895" t="s">
        <v>20</v>
      </c>
      <c r="J4895" t="s">
        <v>64</v>
      </c>
      <c r="K4895" s="6">
        <v>0.03</v>
      </c>
      <c r="L4895" s="7">
        <f t="shared" si="153"/>
        <v>2E-3</v>
      </c>
      <c r="M4895" s="7">
        <v>3.0000000000000001E-3</v>
      </c>
      <c r="N4895">
        <v>11</v>
      </c>
      <c r="O4895" s="8">
        <v>19.127752698369598</v>
      </c>
      <c r="P4895" s="9">
        <v>19.127752698369598</v>
      </c>
      <c r="Q4895" s="9">
        <v>19.127752698369598</v>
      </c>
      <c r="R4895" s="9">
        <v>19.588754687607715</v>
      </c>
      <c r="S4895" s="9">
        <v>19.892211826137899</v>
      </c>
      <c r="T4895" s="9">
        <v>20.64455772606674</v>
      </c>
      <c r="U4895" s="9">
        <v>22.020224218035128</v>
      </c>
      <c r="V4895" s="9">
        <v>22.020224218035128</v>
      </c>
      <c r="W4895" s="9">
        <v>22.020224218035128</v>
      </c>
      <c r="X4895" s="9">
        <v>24.004435739730138</v>
      </c>
      <c r="Y4895" s="9">
        <v>24.004435739730138</v>
      </c>
      <c r="Z4895" s="9">
        <v>26.075582265671787</v>
      </c>
      <c r="AA4895" s="9">
        <v>26.075582265671787</v>
      </c>
      <c r="AB4895" s="9">
        <v>28.242357296284759</v>
      </c>
      <c r="AC4895" s="9">
        <v>28.242357296284759</v>
      </c>
      <c r="AD4895" s="9">
        <v>32.278785457330969</v>
      </c>
      <c r="AE4895" s="9">
        <v>34.228944830548365</v>
      </c>
      <c r="AF4895" s="9">
        <v>36.293711230319367</v>
      </c>
      <c r="AG4895" s="9">
        <v>36.293711230319367</v>
      </c>
      <c r="AH4895" s="9">
        <v>39.230142171980006</v>
      </c>
      <c r="AI4895" s="9">
        <v>41.357809622501556</v>
      </c>
      <c r="AJ4895" s="9">
        <v>3.0428788910505911</v>
      </c>
    </row>
    <row r="4896" spans="1:36" x14ac:dyDescent="0.25">
      <c r="A4896" t="s">
        <v>5411</v>
      </c>
      <c r="B4896" t="s">
        <v>16</v>
      </c>
      <c r="C4896" t="s">
        <v>17</v>
      </c>
      <c r="D4896">
        <v>85727000</v>
      </c>
      <c r="E4896">
        <v>85729999</v>
      </c>
      <c r="F4896" t="s">
        <v>4444</v>
      </c>
      <c r="G4896" t="str">
        <f t="shared" si="152"/>
        <v>PRI II</v>
      </c>
      <c r="H4896" t="s">
        <v>4294</v>
      </c>
      <c r="I4896" t="s">
        <v>20</v>
      </c>
      <c r="J4896" t="s">
        <v>64</v>
      </c>
      <c r="K4896" s="6">
        <v>0.03</v>
      </c>
      <c r="L4896" s="7">
        <f t="shared" si="153"/>
        <v>2E-3</v>
      </c>
      <c r="M4896" s="7">
        <v>3.0000000000000001E-3</v>
      </c>
      <c r="N4896">
        <v>11</v>
      </c>
      <c r="O4896" s="8">
        <v>19.127752698369598</v>
      </c>
      <c r="P4896" s="9">
        <v>19.127752698369598</v>
      </c>
      <c r="Q4896" s="9">
        <v>19.127752698369598</v>
      </c>
      <c r="R4896" s="9">
        <v>19.588754687607715</v>
      </c>
      <c r="S4896" s="9">
        <v>19.892211826137899</v>
      </c>
      <c r="T4896" s="9">
        <v>20.64455772606674</v>
      </c>
      <c r="U4896" s="9">
        <v>22.020224218035128</v>
      </c>
      <c r="V4896" s="9">
        <v>22.020224218035128</v>
      </c>
      <c r="W4896" s="9">
        <v>22.020224218035128</v>
      </c>
      <c r="X4896" s="9">
        <v>24.004435739730138</v>
      </c>
      <c r="Y4896" s="9">
        <v>24.004435739730138</v>
      </c>
      <c r="Z4896" s="9">
        <v>26.075582265671787</v>
      </c>
      <c r="AA4896" s="9">
        <v>26.075582265671787</v>
      </c>
      <c r="AB4896" s="9">
        <v>28.242357296284759</v>
      </c>
      <c r="AC4896" s="9">
        <v>28.242357296284759</v>
      </c>
      <c r="AD4896" s="9">
        <v>32.278785457330969</v>
      </c>
      <c r="AE4896" s="9">
        <v>34.228944830548365</v>
      </c>
      <c r="AF4896" s="9">
        <v>36.293711230319367</v>
      </c>
      <c r="AG4896" s="9">
        <v>36.293711230319367</v>
      </c>
      <c r="AH4896" s="9">
        <v>39.230142171980006</v>
      </c>
      <c r="AI4896" s="9">
        <v>41.357809622501556</v>
      </c>
      <c r="AJ4896" s="9">
        <v>3.0428788910505911</v>
      </c>
    </row>
    <row r="4897" spans="1:36" x14ac:dyDescent="0.25">
      <c r="A4897" t="s">
        <v>5411</v>
      </c>
      <c r="B4897" t="s">
        <v>16</v>
      </c>
      <c r="C4897" t="s">
        <v>17</v>
      </c>
      <c r="D4897">
        <v>85730000</v>
      </c>
      <c r="E4897">
        <v>85739999</v>
      </c>
      <c r="F4897" t="s">
        <v>4445</v>
      </c>
      <c r="G4897" t="str">
        <f t="shared" si="152"/>
        <v>PRI II</v>
      </c>
      <c r="H4897" t="s">
        <v>4294</v>
      </c>
      <c r="I4897" t="s">
        <v>20</v>
      </c>
      <c r="J4897" t="s">
        <v>64</v>
      </c>
      <c r="K4897" s="6">
        <v>0.03</v>
      </c>
      <c r="L4897" s="7">
        <f t="shared" si="153"/>
        <v>2E-3</v>
      </c>
      <c r="M4897" s="7">
        <v>3.0000000000000001E-3</v>
      </c>
      <c r="N4897">
        <v>11</v>
      </c>
      <c r="O4897" s="8">
        <v>19.127752698369598</v>
      </c>
      <c r="P4897" s="9">
        <v>19.127752698369598</v>
      </c>
      <c r="Q4897" s="9">
        <v>19.127752698369598</v>
      </c>
      <c r="R4897" s="9">
        <v>19.588754687607715</v>
      </c>
      <c r="S4897" s="9">
        <v>19.892211826137899</v>
      </c>
      <c r="T4897" s="9">
        <v>20.64455772606674</v>
      </c>
      <c r="U4897" s="9">
        <v>22.020224218035128</v>
      </c>
      <c r="V4897" s="9">
        <v>22.020224218035128</v>
      </c>
      <c r="W4897" s="9">
        <v>22.020224218035128</v>
      </c>
      <c r="X4897" s="9">
        <v>24.004435739730138</v>
      </c>
      <c r="Y4897" s="9">
        <v>24.004435739730138</v>
      </c>
      <c r="Z4897" s="9">
        <v>26.075582265671787</v>
      </c>
      <c r="AA4897" s="9">
        <v>26.075582265671787</v>
      </c>
      <c r="AB4897" s="9">
        <v>28.242357296284759</v>
      </c>
      <c r="AC4897" s="9">
        <v>28.242357296284759</v>
      </c>
      <c r="AD4897" s="9">
        <v>32.278785457330969</v>
      </c>
      <c r="AE4897" s="9">
        <v>34.228944830548365</v>
      </c>
      <c r="AF4897" s="9">
        <v>36.293711230319367</v>
      </c>
      <c r="AG4897" s="9">
        <v>36.293711230319367</v>
      </c>
      <c r="AH4897" s="9">
        <v>39.230142171980006</v>
      </c>
      <c r="AI4897" s="9">
        <v>41.357809622501556</v>
      </c>
      <c r="AJ4897" s="9">
        <v>3.0428788910505911</v>
      </c>
    </row>
    <row r="4898" spans="1:36" x14ac:dyDescent="0.25">
      <c r="A4898" t="s">
        <v>5411</v>
      </c>
      <c r="B4898" t="s">
        <v>16</v>
      </c>
      <c r="C4898" t="s">
        <v>17</v>
      </c>
      <c r="D4898">
        <v>85740000</v>
      </c>
      <c r="E4898">
        <v>85744999</v>
      </c>
      <c r="F4898" t="s">
        <v>4446</v>
      </c>
      <c r="G4898" t="str">
        <f t="shared" si="152"/>
        <v>PRI II</v>
      </c>
      <c r="H4898" t="s">
        <v>4294</v>
      </c>
      <c r="I4898" t="s">
        <v>20</v>
      </c>
      <c r="J4898" t="s">
        <v>64</v>
      </c>
      <c r="K4898" s="6">
        <v>0.03</v>
      </c>
      <c r="L4898" s="7">
        <f t="shared" si="153"/>
        <v>2E-3</v>
      </c>
      <c r="M4898" s="7">
        <v>3.0000000000000001E-3</v>
      </c>
      <c r="N4898">
        <v>11</v>
      </c>
      <c r="O4898" s="8">
        <v>19.127752698369598</v>
      </c>
      <c r="P4898" s="9">
        <v>19.127752698369598</v>
      </c>
      <c r="Q4898" s="9">
        <v>19.127752698369598</v>
      </c>
      <c r="R4898" s="9">
        <v>19.588754687607715</v>
      </c>
      <c r="S4898" s="9">
        <v>19.892211826137899</v>
      </c>
      <c r="T4898" s="9">
        <v>20.64455772606674</v>
      </c>
      <c r="U4898" s="9">
        <v>22.020224218035128</v>
      </c>
      <c r="V4898" s="9">
        <v>22.020224218035128</v>
      </c>
      <c r="W4898" s="9">
        <v>22.020224218035128</v>
      </c>
      <c r="X4898" s="9">
        <v>24.004435739730138</v>
      </c>
      <c r="Y4898" s="9">
        <v>24.004435739730138</v>
      </c>
      <c r="Z4898" s="9">
        <v>26.075582265671787</v>
      </c>
      <c r="AA4898" s="9">
        <v>26.075582265671787</v>
      </c>
      <c r="AB4898" s="9">
        <v>28.242357296284759</v>
      </c>
      <c r="AC4898" s="9">
        <v>28.242357296284759</v>
      </c>
      <c r="AD4898" s="9">
        <v>32.278785457330969</v>
      </c>
      <c r="AE4898" s="9">
        <v>34.228944830548365</v>
      </c>
      <c r="AF4898" s="9">
        <v>36.293711230319367</v>
      </c>
      <c r="AG4898" s="9">
        <v>36.293711230319367</v>
      </c>
      <c r="AH4898" s="9">
        <v>39.230142171980006</v>
      </c>
      <c r="AI4898" s="9">
        <v>41.357809622501556</v>
      </c>
      <c r="AJ4898" s="9">
        <v>3.0428788910505911</v>
      </c>
    </row>
    <row r="4899" spans="1:36" x14ac:dyDescent="0.25">
      <c r="A4899" t="s">
        <v>5411</v>
      </c>
      <c r="B4899" t="s">
        <v>16</v>
      </c>
      <c r="C4899" t="s">
        <v>17</v>
      </c>
      <c r="D4899">
        <v>85745000</v>
      </c>
      <c r="E4899">
        <v>85749999</v>
      </c>
      <c r="F4899" t="s">
        <v>4447</v>
      </c>
      <c r="G4899" t="str">
        <f t="shared" si="152"/>
        <v>PRI II</v>
      </c>
      <c r="H4899" t="s">
        <v>4294</v>
      </c>
      <c r="I4899" t="s">
        <v>20</v>
      </c>
      <c r="J4899" t="s">
        <v>64</v>
      </c>
      <c r="K4899" s="6">
        <v>0.03</v>
      </c>
      <c r="L4899" s="7">
        <f t="shared" si="153"/>
        <v>2E-3</v>
      </c>
      <c r="M4899" s="7">
        <v>3.0000000000000001E-3</v>
      </c>
      <c r="N4899">
        <v>11</v>
      </c>
      <c r="O4899" s="8">
        <v>19.127752698369598</v>
      </c>
      <c r="P4899" s="9">
        <v>19.127752698369598</v>
      </c>
      <c r="Q4899" s="9">
        <v>19.127752698369598</v>
      </c>
      <c r="R4899" s="9">
        <v>19.588754687607715</v>
      </c>
      <c r="S4899" s="9">
        <v>19.892211826137899</v>
      </c>
      <c r="T4899" s="9">
        <v>20.64455772606674</v>
      </c>
      <c r="U4899" s="9">
        <v>22.020224218035128</v>
      </c>
      <c r="V4899" s="9">
        <v>22.020224218035128</v>
      </c>
      <c r="W4899" s="9">
        <v>22.020224218035128</v>
      </c>
      <c r="X4899" s="9">
        <v>24.004435739730138</v>
      </c>
      <c r="Y4899" s="9">
        <v>24.004435739730138</v>
      </c>
      <c r="Z4899" s="9">
        <v>26.075582265671787</v>
      </c>
      <c r="AA4899" s="9">
        <v>26.075582265671787</v>
      </c>
      <c r="AB4899" s="9">
        <v>28.242357296284759</v>
      </c>
      <c r="AC4899" s="9">
        <v>28.242357296284759</v>
      </c>
      <c r="AD4899" s="9">
        <v>32.278785457330969</v>
      </c>
      <c r="AE4899" s="9">
        <v>34.228944830548365</v>
      </c>
      <c r="AF4899" s="9">
        <v>36.293711230319367</v>
      </c>
      <c r="AG4899" s="9">
        <v>36.293711230319367</v>
      </c>
      <c r="AH4899" s="9">
        <v>39.230142171980006</v>
      </c>
      <c r="AI4899" s="9">
        <v>41.357809622501556</v>
      </c>
      <c r="AJ4899" s="9">
        <v>3.0428788910505911</v>
      </c>
    </row>
    <row r="4900" spans="1:36" x14ac:dyDescent="0.25">
      <c r="A4900" t="s">
        <v>5411</v>
      </c>
      <c r="B4900" t="s">
        <v>16</v>
      </c>
      <c r="C4900" t="s">
        <v>17</v>
      </c>
      <c r="D4900">
        <v>85750000</v>
      </c>
      <c r="E4900">
        <v>85759999</v>
      </c>
      <c r="F4900" t="s">
        <v>317</v>
      </c>
      <c r="G4900" t="str">
        <f t="shared" si="152"/>
        <v>PRI II</v>
      </c>
      <c r="H4900" t="s">
        <v>4294</v>
      </c>
      <c r="I4900" t="s">
        <v>20</v>
      </c>
      <c r="J4900" t="s">
        <v>64</v>
      </c>
      <c r="K4900" s="6">
        <v>0.03</v>
      </c>
      <c r="L4900" s="7">
        <f t="shared" si="153"/>
        <v>2E-3</v>
      </c>
      <c r="M4900" s="7">
        <v>3.0000000000000001E-3</v>
      </c>
      <c r="N4900">
        <v>11</v>
      </c>
      <c r="O4900" s="8">
        <v>19.127752698369598</v>
      </c>
      <c r="P4900" s="9">
        <v>19.127752698369598</v>
      </c>
      <c r="Q4900" s="9">
        <v>19.127752698369598</v>
      </c>
      <c r="R4900" s="9">
        <v>19.588754687607715</v>
      </c>
      <c r="S4900" s="9">
        <v>19.892211826137899</v>
      </c>
      <c r="T4900" s="9">
        <v>20.64455772606674</v>
      </c>
      <c r="U4900" s="9">
        <v>22.020224218035128</v>
      </c>
      <c r="V4900" s="9">
        <v>22.020224218035128</v>
      </c>
      <c r="W4900" s="9">
        <v>22.020224218035128</v>
      </c>
      <c r="X4900" s="9">
        <v>24.004435739730138</v>
      </c>
      <c r="Y4900" s="9">
        <v>24.004435739730138</v>
      </c>
      <c r="Z4900" s="9">
        <v>26.075582265671787</v>
      </c>
      <c r="AA4900" s="9">
        <v>26.075582265671787</v>
      </c>
      <c r="AB4900" s="9">
        <v>28.242357296284759</v>
      </c>
      <c r="AC4900" s="9">
        <v>28.242357296284759</v>
      </c>
      <c r="AD4900" s="9">
        <v>32.278785457330969</v>
      </c>
      <c r="AE4900" s="9">
        <v>34.228944830548365</v>
      </c>
      <c r="AF4900" s="9">
        <v>36.293711230319367</v>
      </c>
      <c r="AG4900" s="9">
        <v>36.293711230319367</v>
      </c>
      <c r="AH4900" s="9">
        <v>39.230142171980006</v>
      </c>
      <c r="AI4900" s="9">
        <v>41.357809622501556</v>
      </c>
      <c r="AJ4900" s="9">
        <v>3.0428788910505911</v>
      </c>
    </row>
    <row r="4901" spans="1:36" x14ac:dyDescent="0.25">
      <c r="A4901" t="s">
        <v>5411</v>
      </c>
      <c r="B4901" t="s">
        <v>16</v>
      </c>
      <c r="C4901" t="s">
        <v>17</v>
      </c>
      <c r="D4901">
        <v>85760000</v>
      </c>
      <c r="E4901">
        <v>85769999</v>
      </c>
      <c r="F4901" t="s">
        <v>4448</v>
      </c>
      <c r="G4901" t="str">
        <f t="shared" si="152"/>
        <v>PRI II</v>
      </c>
      <c r="H4901" t="s">
        <v>4294</v>
      </c>
      <c r="I4901" t="s">
        <v>20</v>
      </c>
      <c r="J4901" t="s">
        <v>64</v>
      </c>
      <c r="K4901" s="6">
        <v>0.03</v>
      </c>
      <c r="L4901" s="7">
        <f t="shared" si="153"/>
        <v>2E-3</v>
      </c>
      <c r="M4901" s="7">
        <v>3.0000000000000001E-3</v>
      </c>
      <c r="N4901">
        <v>11</v>
      </c>
      <c r="O4901" s="8">
        <v>19.127752698369598</v>
      </c>
      <c r="P4901" s="9">
        <v>19.127752698369598</v>
      </c>
      <c r="Q4901" s="9">
        <v>19.127752698369598</v>
      </c>
      <c r="R4901" s="9">
        <v>19.588754687607715</v>
      </c>
      <c r="S4901" s="9">
        <v>19.892211826137899</v>
      </c>
      <c r="T4901" s="9">
        <v>20.64455772606674</v>
      </c>
      <c r="U4901" s="9">
        <v>22.020224218035128</v>
      </c>
      <c r="V4901" s="9">
        <v>22.020224218035128</v>
      </c>
      <c r="W4901" s="9">
        <v>22.020224218035128</v>
      </c>
      <c r="X4901" s="9">
        <v>24.004435739730138</v>
      </c>
      <c r="Y4901" s="9">
        <v>24.004435739730138</v>
      </c>
      <c r="Z4901" s="9">
        <v>26.075582265671787</v>
      </c>
      <c r="AA4901" s="9">
        <v>26.075582265671787</v>
      </c>
      <c r="AB4901" s="9">
        <v>28.242357296284759</v>
      </c>
      <c r="AC4901" s="9">
        <v>28.242357296284759</v>
      </c>
      <c r="AD4901" s="9">
        <v>32.278785457330969</v>
      </c>
      <c r="AE4901" s="9">
        <v>34.228944830548365</v>
      </c>
      <c r="AF4901" s="9">
        <v>36.293711230319367</v>
      </c>
      <c r="AG4901" s="9">
        <v>36.293711230319367</v>
      </c>
      <c r="AH4901" s="9">
        <v>39.230142171980006</v>
      </c>
      <c r="AI4901" s="9">
        <v>41.357809622501556</v>
      </c>
      <c r="AJ4901" s="9">
        <v>3.0428788910505911</v>
      </c>
    </row>
    <row r="4902" spans="1:36" x14ac:dyDescent="0.25">
      <c r="A4902" t="s">
        <v>5411</v>
      </c>
      <c r="B4902" t="s">
        <v>16</v>
      </c>
      <c r="C4902" t="s">
        <v>17</v>
      </c>
      <c r="D4902">
        <v>85770000</v>
      </c>
      <c r="E4902">
        <v>85779999</v>
      </c>
      <c r="F4902" t="s">
        <v>4449</v>
      </c>
      <c r="G4902" t="str">
        <f t="shared" si="152"/>
        <v>PRI II</v>
      </c>
      <c r="H4902" t="s">
        <v>4294</v>
      </c>
      <c r="I4902" t="s">
        <v>20</v>
      </c>
      <c r="J4902" t="s">
        <v>64</v>
      </c>
      <c r="K4902" s="6">
        <v>0.03</v>
      </c>
      <c r="L4902" s="7">
        <f t="shared" si="153"/>
        <v>2E-3</v>
      </c>
      <c r="M4902" s="7">
        <v>3.0000000000000001E-3</v>
      </c>
      <c r="N4902">
        <v>11</v>
      </c>
      <c r="O4902" s="8">
        <v>19.127752698369598</v>
      </c>
      <c r="P4902" s="9">
        <v>19.127752698369598</v>
      </c>
      <c r="Q4902" s="9">
        <v>19.127752698369598</v>
      </c>
      <c r="R4902" s="9">
        <v>19.588754687607715</v>
      </c>
      <c r="S4902" s="9">
        <v>19.892211826137899</v>
      </c>
      <c r="T4902" s="9">
        <v>20.64455772606674</v>
      </c>
      <c r="U4902" s="9">
        <v>22.020224218035128</v>
      </c>
      <c r="V4902" s="9">
        <v>22.020224218035128</v>
      </c>
      <c r="W4902" s="9">
        <v>22.020224218035128</v>
      </c>
      <c r="X4902" s="9">
        <v>24.004435739730138</v>
      </c>
      <c r="Y4902" s="9">
        <v>24.004435739730138</v>
      </c>
      <c r="Z4902" s="9">
        <v>26.075582265671787</v>
      </c>
      <c r="AA4902" s="9">
        <v>26.075582265671787</v>
      </c>
      <c r="AB4902" s="9">
        <v>28.242357296284759</v>
      </c>
      <c r="AC4902" s="9">
        <v>28.242357296284759</v>
      </c>
      <c r="AD4902" s="9">
        <v>32.278785457330969</v>
      </c>
      <c r="AE4902" s="9">
        <v>34.228944830548365</v>
      </c>
      <c r="AF4902" s="9">
        <v>36.293711230319367</v>
      </c>
      <c r="AG4902" s="9">
        <v>36.293711230319367</v>
      </c>
      <c r="AH4902" s="9">
        <v>39.230142171980006</v>
      </c>
      <c r="AI4902" s="9">
        <v>41.357809622501556</v>
      </c>
      <c r="AJ4902" s="9">
        <v>3.0428788910505911</v>
      </c>
    </row>
    <row r="4903" spans="1:36" x14ac:dyDescent="0.25">
      <c r="A4903" t="s">
        <v>5411</v>
      </c>
      <c r="B4903" t="s">
        <v>16</v>
      </c>
      <c r="C4903" t="s">
        <v>17</v>
      </c>
      <c r="D4903">
        <v>85780000</v>
      </c>
      <c r="E4903">
        <v>85789999</v>
      </c>
      <c r="F4903" t="s">
        <v>4450</v>
      </c>
      <c r="G4903" t="str">
        <f t="shared" si="152"/>
        <v>PRI II</v>
      </c>
      <c r="H4903" t="s">
        <v>4294</v>
      </c>
      <c r="I4903" t="s">
        <v>20</v>
      </c>
      <c r="J4903" t="s">
        <v>64</v>
      </c>
      <c r="K4903" s="6">
        <v>0.03</v>
      </c>
      <c r="L4903" s="7">
        <f t="shared" si="153"/>
        <v>2E-3</v>
      </c>
      <c r="M4903" s="7">
        <v>3.0000000000000001E-3</v>
      </c>
      <c r="N4903">
        <v>11</v>
      </c>
      <c r="O4903" s="8">
        <v>19.127752698369598</v>
      </c>
      <c r="P4903" s="9">
        <v>19.127752698369598</v>
      </c>
      <c r="Q4903" s="9">
        <v>19.127752698369598</v>
      </c>
      <c r="R4903" s="9">
        <v>19.588754687607715</v>
      </c>
      <c r="S4903" s="9">
        <v>19.892211826137899</v>
      </c>
      <c r="T4903" s="9">
        <v>20.64455772606674</v>
      </c>
      <c r="U4903" s="9">
        <v>22.020224218035128</v>
      </c>
      <c r="V4903" s="9">
        <v>22.020224218035128</v>
      </c>
      <c r="W4903" s="9">
        <v>22.020224218035128</v>
      </c>
      <c r="X4903" s="9">
        <v>24.004435739730138</v>
      </c>
      <c r="Y4903" s="9">
        <v>24.004435739730138</v>
      </c>
      <c r="Z4903" s="9">
        <v>26.075582265671787</v>
      </c>
      <c r="AA4903" s="9">
        <v>26.075582265671787</v>
      </c>
      <c r="AB4903" s="9">
        <v>28.242357296284759</v>
      </c>
      <c r="AC4903" s="9">
        <v>28.242357296284759</v>
      </c>
      <c r="AD4903" s="9">
        <v>32.278785457330969</v>
      </c>
      <c r="AE4903" s="9">
        <v>34.228944830548365</v>
      </c>
      <c r="AF4903" s="9">
        <v>36.293711230319367</v>
      </c>
      <c r="AG4903" s="9">
        <v>36.293711230319367</v>
      </c>
      <c r="AH4903" s="9">
        <v>39.230142171980006</v>
      </c>
      <c r="AI4903" s="9">
        <v>41.357809622501556</v>
      </c>
      <c r="AJ4903" s="9">
        <v>3.0428788910505911</v>
      </c>
    </row>
    <row r="4904" spans="1:36" x14ac:dyDescent="0.25">
      <c r="A4904" t="s">
        <v>5411</v>
      </c>
      <c r="B4904" t="s">
        <v>16</v>
      </c>
      <c r="C4904" t="s">
        <v>17</v>
      </c>
      <c r="D4904">
        <v>85790000</v>
      </c>
      <c r="E4904">
        <v>85794999</v>
      </c>
      <c r="F4904" t="s">
        <v>4451</v>
      </c>
      <c r="G4904" t="str">
        <f t="shared" si="152"/>
        <v>PRI II</v>
      </c>
      <c r="H4904" t="s">
        <v>4294</v>
      </c>
      <c r="I4904" t="s">
        <v>20</v>
      </c>
      <c r="J4904" t="s">
        <v>64</v>
      </c>
      <c r="K4904" s="6">
        <v>0.03</v>
      </c>
      <c r="L4904" s="7">
        <f t="shared" si="153"/>
        <v>2E-3</v>
      </c>
      <c r="M4904" s="7">
        <v>3.0000000000000001E-3</v>
      </c>
      <c r="N4904">
        <v>11</v>
      </c>
      <c r="O4904" s="8">
        <v>19.127752698369598</v>
      </c>
      <c r="P4904" s="9">
        <v>19.127752698369598</v>
      </c>
      <c r="Q4904" s="9">
        <v>19.127752698369598</v>
      </c>
      <c r="R4904" s="9">
        <v>19.588754687607715</v>
      </c>
      <c r="S4904" s="9">
        <v>19.892211826137899</v>
      </c>
      <c r="T4904" s="9">
        <v>20.64455772606674</v>
      </c>
      <c r="U4904" s="9">
        <v>22.020224218035128</v>
      </c>
      <c r="V4904" s="9">
        <v>22.020224218035128</v>
      </c>
      <c r="W4904" s="9">
        <v>22.020224218035128</v>
      </c>
      <c r="X4904" s="9">
        <v>24.004435739730138</v>
      </c>
      <c r="Y4904" s="9">
        <v>24.004435739730138</v>
      </c>
      <c r="Z4904" s="9">
        <v>26.075582265671787</v>
      </c>
      <c r="AA4904" s="9">
        <v>26.075582265671787</v>
      </c>
      <c r="AB4904" s="9">
        <v>28.242357296284759</v>
      </c>
      <c r="AC4904" s="9">
        <v>28.242357296284759</v>
      </c>
      <c r="AD4904" s="9">
        <v>32.278785457330969</v>
      </c>
      <c r="AE4904" s="9">
        <v>34.228944830548365</v>
      </c>
      <c r="AF4904" s="9">
        <v>36.293711230319367</v>
      </c>
      <c r="AG4904" s="9">
        <v>36.293711230319367</v>
      </c>
      <c r="AH4904" s="9">
        <v>39.230142171980006</v>
      </c>
      <c r="AI4904" s="9">
        <v>41.357809622501556</v>
      </c>
      <c r="AJ4904" s="9">
        <v>3.0428788910505911</v>
      </c>
    </row>
    <row r="4905" spans="1:36" x14ac:dyDescent="0.25">
      <c r="A4905" t="s">
        <v>5411</v>
      </c>
      <c r="B4905" t="s">
        <v>16</v>
      </c>
      <c r="C4905" t="s">
        <v>17</v>
      </c>
      <c r="D4905">
        <v>85795000</v>
      </c>
      <c r="E4905">
        <v>85799999</v>
      </c>
      <c r="F4905" t="s">
        <v>278</v>
      </c>
      <c r="G4905" t="str">
        <f t="shared" si="152"/>
        <v>PRI II</v>
      </c>
      <c r="H4905" t="s">
        <v>4294</v>
      </c>
      <c r="I4905" t="s">
        <v>20</v>
      </c>
      <c r="J4905" t="s">
        <v>64</v>
      </c>
      <c r="K4905" s="6">
        <v>0.03</v>
      </c>
      <c r="L4905" s="7">
        <f t="shared" si="153"/>
        <v>2E-3</v>
      </c>
      <c r="M4905" s="7">
        <v>3.0000000000000001E-3</v>
      </c>
      <c r="N4905">
        <v>11</v>
      </c>
      <c r="O4905" s="8">
        <v>19.127752698369598</v>
      </c>
      <c r="P4905" s="9">
        <v>19.127752698369598</v>
      </c>
      <c r="Q4905" s="9">
        <v>19.127752698369598</v>
      </c>
      <c r="R4905" s="9">
        <v>19.588754687607715</v>
      </c>
      <c r="S4905" s="9">
        <v>19.892211826137899</v>
      </c>
      <c r="T4905" s="9">
        <v>20.64455772606674</v>
      </c>
      <c r="U4905" s="9">
        <v>22.020224218035128</v>
      </c>
      <c r="V4905" s="9">
        <v>22.020224218035128</v>
      </c>
      <c r="W4905" s="9">
        <v>22.020224218035128</v>
      </c>
      <c r="X4905" s="9">
        <v>24.004435739730138</v>
      </c>
      <c r="Y4905" s="9">
        <v>24.004435739730138</v>
      </c>
      <c r="Z4905" s="9">
        <v>26.075582265671787</v>
      </c>
      <c r="AA4905" s="9">
        <v>26.075582265671787</v>
      </c>
      <c r="AB4905" s="9">
        <v>28.242357296284759</v>
      </c>
      <c r="AC4905" s="9">
        <v>28.242357296284759</v>
      </c>
      <c r="AD4905" s="9">
        <v>32.278785457330969</v>
      </c>
      <c r="AE4905" s="9">
        <v>34.228944830548365</v>
      </c>
      <c r="AF4905" s="9">
        <v>36.293711230319367</v>
      </c>
      <c r="AG4905" s="9">
        <v>36.293711230319367</v>
      </c>
      <c r="AH4905" s="9">
        <v>39.230142171980006</v>
      </c>
      <c r="AI4905" s="9">
        <v>41.357809622501556</v>
      </c>
      <c r="AJ4905" s="9">
        <v>3.0428788910505911</v>
      </c>
    </row>
    <row r="4906" spans="1:36" x14ac:dyDescent="0.25">
      <c r="A4906" t="s">
        <v>5411</v>
      </c>
      <c r="B4906" t="s">
        <v>16</v>
      </c>
      <c r="C4906" t="s">
        <v>17</v>
      </c>
      <c r="D4906">
        <v>85800000</v>
      </c>
      <c r="E4906">
        <v>85824999</v>
      </c>
      <c r="F4906" t="s">
        <v>4452</v>
      </c>
      <c r="G4906" t="str">
        <f t="shared" si="152"/>
        <v>PRI</v>
      </c>
      <c r="H4906" t="s">
        <v>4294</v>
      </c>
      <c r="I4906" t="s">
        <v>20</v>
      </c>
      <c r="J4906" t="s">
        <v>62</v>
      </c>
      <c r="K4906" s="6">
        <v>0.03</v>
      </c>
      <c r="L4906" s="7">
        <f t="shared" si="153"/>
        <v>2E-3</v>
      </c>
      <c r="M4906" s="7">
        <v>3.0000000000000001E-3</v>
      </c>
      <c r="N4906">
        <v>8</v>
      </c>
      <c r="O4906" s="8">
        <v>16.344178346561137</v>
      </c>
      <c r="P4906" s="9">
        <v>16.344178346561137</v>
      </c>
      <c r="Q4906" s="9">
        <v>16.344178346561137</v>
      </c>
      <c r="R4906" s="9">
        <v>16.766533722582309</v>
      </c>
      <c r="S4906" s="9">
        <v>17.709108795625173</v>
      </c>
      <c r="T4906" s="9">
        <v>18.545760454647645</v>
      </c>
      <c r="U4906" s="9">
        <v>20.10723313448154</v>
      </c>
      <c r="V4906" s="9">
        <v>20.10723313448154</v>
      </c>
      <c r="W4906" s="9">
        <v>20.10723313448154</v>
      </c>
      <c r="X4906" s="9">
        <v>21.240951506551678</v>
      </c>
      <c r="Y4906" s="9">
        <v>21.240951506551678</v>
      </c>
      <c r="Z4906" s="9">
        <v>22.557015615717738</v>
      </c>
      <c r="AA4906" s="9">
        <v>22.557015615717738</v>
      </c>
      <c r="AB4906" s="9">
        <v>26.056112270527457</v>
      </c>
      <c r="AC4906" s="9">
        <v>26.056112270527457</v>
      </c>
      <c r="AD4906" s="9">
        <v>30.142276170369946</v>
      </c>
      <c r="AE4906" s="9">
        <v>32.940531048263779</v>
      </c>
      <c r="AF4906" s="9">
        <v>35.920735279325392</v>
      </c>
      <c r="AG4906" s="9">
        <v>35.920735279325392</v>
      </c>
      <c r="AH4906" s="9">
        <v>38.62832670141978</v>
      </c>
      <c r="AI4906" s="9">
        <v>41.239207360528972</v>
      </c>
      <c r="AJ4906" s="9">
        <v>3.0428788910505911</v>
      </c>
    </row>
    <row r="4907" spans="1:36" x14ac:dyDescent="0.25">
      <c r="A4907" t="s">
        <v>5411</v>
      </c>
      <c r="B4907" t="s">
        <v>16</v>
      </c>
      <c r="C4907" t="s">
        <v>17</v>
      </c>
      <c r="D4907">
        <v>85825000</v>
      </c>
      <c r="E4907">
        <v>85825999</v>
      </c>
      <c r="F4907" t="s">
        <v>4453</v>
      </c>
      <c r="G4907" t="str">
        <f t="shared" si="152"/>
        <v>PRI II</v>
      </c>
      <c r="H4907" t="s">
        <v>4294</v>
      </c>
      <c r="I4907" t="s">
        <v>20</v>
      </c>
      <c r="J4907" t="s">
        <v>64</v>
      </c>
      <c r="K4907" s="6">
        <v>0.03</v>
      </c>
      <c r="L4907" s="7">
        <f t="shared" si="153"/>
        <v>2E-3</v>
      </c>
      <c r="M4907" s="7">
        <v>3.0000000000000001E-3</v>
      </c>
      <c r="N4907">
        <v>11</v>
      </c>
      <c r="O4907" s="8">
        <v>19.127752698369598</v>
      </c>
      <c r="P4907" s="9">
        <v>19.127752698369598</v>
      </c>
      <c r="Q4907" s="9">
        <v>19.127752698369598</v>
      </c>
      <c r="R4907" s="9">
        <v>19.588754687607715</v>
      </c>
      <c r="S4907" s="9">
        <v>19.892211826137899</v>
      </c>
      <c r="T4907" s="9">
        <v>20.64455772606674</v>
      </c>
      <c r="U4907" s="9">
        <v>22.020224218035128</v>
      </c>
      <c r="V4907" s="9">
        <v>22.020224218035128</v>
      </c>
      <c r="W4907" s="9">
        <v>22.020224218035128</v>
      </c>
      <c r="X4907" s="9">
        <v>24.004435739730138</v>
      </c>
      <c r="Y4907" s="9">
        <v>24.004435739730138</v>
      </c>
      <c r="Z4907" s="9">
        <v>26.075582265671787</v>
      </c>
      <c r="AA4907" s="9">
        <v>26.075582265671787</v>
      </c>
      <c r="AB4907" s="9">
        <v>28.242357296284759</v>
      </c>
      <c r="AC4907" s="9">
        <v>28.242357296284759</v>
      </c>
      <c r="AD4907" s="9">
        <v>32.278785457330969</v>
      </c>
      <c r="AE4907" s="9">
        <v>34.228944830548365</v>
      </c>
      <c r="AF4907" s="9">
        <v>36.293711230319367</v>
      </c>
      <c r="AG4907" s="9">
        <v>36.293711230319367</v>
      </c>
      <c r="AH4907" s="9">
        <v>39.230142171980006</v>
      </c>
      <c r="AI4907" s="9">
        <v>41.357809622501556</v>
      </c>
      <c r="AJ4907" s="9">
        <v>3.0428788910505911</v>
      </c>
    </row>
    <row r="4908" spans="1:36" x14ac:dyDescent="0.25">
      <c r="A4908" t="s">
        <v>5411</v>
      </c>
      <c r="B4908" t="s">
        <v>16</v>
      </c>
      <c r="C4908" t="s">
        <v>17</v>
      </c>
      <c r="D4908">
        <v>85826000</v>
      </c>
      <c r="E4908">
        <v>85829999</v>
      </c>
      <c r="F4908" t="s">
        <v>4454</v>
      </c>
      <c r="G4908" t="str">
        <f t="shared" si="152"/>
        <v>PRI II</v>
      </c>
      <c r="H4908" t="s">
        <v>4294</v>
      </c>
      <c r="I4908" t="s">
        <v>20</v>
      </c>
      <c r="J4908" t="s">
        <v>64</v>
      </c>
      <c r="K4908" s="6">
        <v>0.03</v>
      </c>
      <c r="L4908" s="7">
        <f t="shared" si="153"/>
        <v>2E-3</v>
      </c>
      <c r="M4908" s="7">
        <v>3.0000000000000001E-3</v>
      </c>
      <c r="N4908">
        <v>11</v>
      </c>
      <c r="O4908" s="8">
        <v>19.127752698369598</v>
      </c>
      <c r="P4908" s="9">
        <v>19.127752698369598</v>
      </c>
      <c r="Q4908" s="9">
        <v>19.127752698369598</v>
      </c>
      <c r="R4908" s="9">
        <v>19.588754687607715</v>
      </c>
      <c r="S4908" s="9">
        <v>19.892211826137899</v>
      </c>
      <c r="T4908" s="9">
        <v>20.64455772606674</v>
      </c>
      <c r="U4908" s="9">
        <v>22.020224218035128</v>
      </c>
      <c r="V4908" s="9">
        <v>22.020224218035128</v>
      </c>
      <c r="W4908" s="9">
        <v>22.020224218035128</v>
      </c>
      <c r="X4908" s="9">
        <v>24.004435739730138</v>
      </c>
      <c r="Y4908" s="9">
        <v>24.004435739730138</v>
      </c>
      <c r="Z4908" s="9">
        <v>26.075582265671787</v>
      </c>
      <c r="AA4908" s="9">
        <v>26.075582265671787</v>
      </c>
      <c r="AB4908" s="9">
        <v>28.242357296284759</v>
      </c>
      <c r="AC4908" s="9">
        <v>28.242357296284759</v>
      </c>
      <c r="AD4908" s="9">
        <v>32.278785457330969</v>
      </c>
      <c r="AE4908" s="9">
        <v>34.228944830548365</v>
      </c>
      <c r="AF4908" s="9">
        <v>36.293711230319367</v>
      </c>
      <c r="AG4908" s="9">
        <v>36.293711230319367</v>
      </c>
      <c r="AH4908" s="9">
        <v>39.230142171980006</v>
      </c>
      <c r="AI4908" s="9">
        <v>41.357809622501556</v>
      </c>
      <c r="AJ4908" s="9">
        <v>3.0428788910505911</v>
      </c>
    </row>
    <row r="4909" spans="1:36" x14ac:dyDescent="0.25">
      <c r="A4909" t="s">
        <v>5411</v>
      </c>
      <c r="B4909" t="s">
        <v>16</v>
      </c>
      <c r="C4909" t="s">
        <v>17</v>
      </c>
      <c r="D4909">
        <v>85830000</v>
      </c>
      <c r="E4909">
        <v>85832999</v>
      </c>
      <c r="F4909" t="s">
        <v>4455</v>
      </c>
      <c r="G4909" t="str">
        <f t="shared" si="152"/>
        <v>PRI II</v>
      </c>
      <c r="H4909" t="s">
        <v>4294</v>
      </c>
      <c r="I4909" t="s">
        <v>20</v>
      </c>
      <c r="J4909" t="s">
        <v>64</v>
      </c>
      <c r="K4909" s="6">
        <v>0.03</v>
      </c>
      <c r="L4909" s="7">
        <f t="shared" si="153"/>
        <v>2E-3</v>
      </c>
      <c r="M4909" s="7">
        <v>3.0000000000000001E-3</v>
      </c>
      <c r="N4909">
        <v>11</v>
      </c>
      <c r="O4909" s="8">
        <v>19.127752698369598</v>
      </c>
      <c r="P4909" s="9">
        <v>19.127752698369598</v>
      </c>
      <c r="Q4909" s="9">
        <v>19.127752698369598</v>
      </c>
      <c r="R4909" s="9">
        <v>19.588754687607715</v>
      </c>
      <c r="S4909" s="9">
        <v>19.892211826137899</v>
      </c>
      <c r="T4909" s="9">
        <v>20.64455772606674</v>
      </c>
      <c r="U4909" s="9">
        <v>22.020224218035128</v>
      </c>
      <c r="V4909" s="9">
        <v>22.020224218035128</v>
      </c>
      <c r="W4909" s="9">
        <v>22.020224218035128</v>
      </c>
      <c r="X4909" s="9">
        <v>24.004435739730138</v>
      </c>
      <c r="Y4909" s="9">
        <v>24.004435739730138</v>
      </c>
      <c r="Z4909" s="9">
        <v>26.075582265671787</v>
      </c>
      <c r="AA4909" s="9">
        <v>26.075582265671787</v>
      </c>
      <c r="AB4909" s="9">
        <v>28.242357296284759</v>
      </c>
      <c r="AC4909" s="9">
        <v>28.242357296284759</v>
      </c>
      <c r="AD4909" s="9">
        <v>32.278785457330969</v>
      </c>
      <c r="AE4909" s="9">
        <v>34.228944830548365</v>
      </c>
      <c r="AF4909" s="9">
        <v>36.293711230319367</v>
      </c>
      <c r="AG4909" s="9">
        <v>36.293711230319367</v>
      </c>
      <c r="AH4909" s="9">
        <v>39.230142171980006</v>
      </c>
      <c r="AI4909" s="9">
        <v>41.357809622501556</v>
      </c>
      <c r="AJ4909" s="9">
        <v>3.0428788910505911</v>
      </c>
    </row>
    <row r="4910" spans="1:36" x14ac:dyDescent="0.25">
      <c r="A4910" t="s">
        <v>5411</v>
      </c>
      <c r="B4910" t="s">
        <v>16</v>
      </c>
      <c r="C4910" t="s">
        <v>17</v>
      </c>
      <c r="D4910">
        <v>85833000</v>
      </c>
      <c r="E4910">
        <v>85834999</v>
      </c>
      <c r="F4910" t="s">
        <v>4456</v>
      </c>
      <c r="G4910" t="str">
        <f t="shared" si="152"/>
        <v>PRI II</v>
      </c>
      <c r="H4910" t="s">
        <v>4294</v>
      </c>
      <c r="I4910" t="s">
        <v>20</v>
      </c>
      <c r="J4910" t="s">
        <v>64</v>
      </c>
      <c r="K4910" s="6">
        <v>0.03</v>
      </c>
      <c r="L4910" s="7">
        <f t="shared" si="153"/>
        <v>2E-3</v>
      </c>
      <c r="M4910" s="7">
        <v>3.0000000000000001E-3</v>
      </c>
      <c r="N4910">
        <v>11</v>
      </c>
      <c r="O4910" s="8">
        <v>19.127752698369598</v>
      </c>
      <c r="P4910" s="9">
        <v>19.127752698369598</v>
      </c>
      <c r="Q4910" s="9">
        <v>19.127752698369598</v>
      </c>
      <c r="R4910" s="9">
        <v>19.588754687607715</v>
      </c>
      <c r="S4910" s="9">
        <v>19.892211826137899</v>
      </c>
      <c r="T4910" s="9">
        <v>20.64455772606674</v>
      </c>
      <c r="U4910" s="9">
        <v>22.020224218035128</v>
      </c>
      <c r="V4910" s="9">
        <v>22.020224218035128</v>
      </c>
      <c r="W4910" s="9">
        <v>22.020224218035128</v>
      </c>
      <c r="X4910" s="9">
        <v>24.004435739730138</v>
      </c>
      <c r="Y4910" s="9">
        <v>24.004435739730138</v>
      </c>
      <c r="Z4910" s="9">
        <v>26.075582265671787</v>
      </c>
      <c r="AA4910" s="9">
        <v>26.075582265671787</v>
      </c>
      <c r="AB4910" s="9">
        <v>28.242357296284759</v>
      </c>
      <c r="AC4910" s="9">
        <v>28.242357296284759</v>
      </c>
      <c r="AD4910" s="9">
        <v>32.278785457330969</v>
      </c>
      <c r="AE4910" s="9">
        <v>34.228944830548365</v>
      </c>
      <c r="AF4910" s="9">
        <v>36.293711230319367</v>
      </c>
      <c r="AG4910" s="9">
        <v>36.293711230319367</v>
      </c>
      <c r="AH4910" s="9">
        <v>39.230142171980006</v>
      </c>
      <c r="AI4910" s="9">
        <v>41.357809622501556</v>
      </c>
      <c r="AJ4910" s="9">
        <v>3.0428788910505911</v>
      </c>
    </row>
    <row r="4911" spans="1:36" x14ac:dyDescent="0.25">
      <c r="A4911" t="s">
        <v>5411</v>
      </c>
      <c r="B4911" t="s">
        <v>16</v>
      </c>
      <c r="C4911" t="s">
        <v>17</v>
      </c>
      <c r="D4911">
        <v>85835000</v>
      </c>
      <c r="E4911">
        <v>85839999</v>
      </c>
      <c r="F4911" t="s">
        <v>4457</v>
      </c>
      <c r="G4911" t="str">
        <f t="shared" si="152"/>
        <v>PRI II</v>
      </c>
      <c r="H4911" t="s">
        <v>4294</v>
      </c>
      <c r="I4911" t="s">
        <v>20</v>
      </c>
      <c r="J4911" t="s">
        <v>64</v>
      </c>
      <c r="K4911" s="6">
        <v>0.03</v>
      </c>
      <c r="L4911" s="7">
        <f t="shared" si="153"/>
        <v>2E-3</v>
      </c>
      <c r="M4911" s="7">
        <v>3.0000000000000001E-3</v>
      </c>
      <c r="N4911">
        <v>11</v>
      </c>
      <c r="O4911" s="8">
        <v>19.127752698369598</v>
      </c>
      <c r="P4911" s="9">
        <v>19.127752698369598</v>
      </c>
      <c r="Q4911" s="9">
        <v>19.127752698369598</v>
      </c>
      <c r="R4911" s="9">
        <v>19.588754687607715</v>
      </c>
      <c r="S4911" s="9">
        <v>19.892211826137899</v>
      </c>
      <c r="T4911" s="9">
        <v>20.64455772606674</v>
      </c>
      <c r="U4911" s="9">
        <v>22.020224218035128</v>
      </c>
      <c r="V4911" s="9">
        <v>22.020224218035128</v>
      </c>
      <c r="W4911" s="9">
        <v>22.020224218035128</v>
      </c>
      <c r="X4911" s="9">
        <v>24.004435739730138</v>
      </c>
      <c r="Y4911" s="9">
        <v>24.004435739730138</v>
      </c>
      <c r="Z4911" s="9">
        <v>26.075582265671787</v>
      </c>
      <c r="AA4911" s="9">
        <v>26.075582265671787</v>
      </c>
      <c r="AB4911" s="9">
        <v>28.242357296284759</v>
      </c>
      <c r="AC4911" s="9">
        <v>28.242357296284759</v>
      </c>
      <c r="AD4911" s="9">
        <v>32.278785457330969</v>
      </c>
      <c r="AE4911" s="9">
        <v>34.228944830548365</v>
      </c>
      <c r="AF4911" s="9">
        <v>36.293711230319367</v>
      </c>
      <c r="AG4911" s="9">
        <v>36.293711230319367</v>
      </c>
      <c r="AH4911" s="9">
        <v>39.230142171980006</v>
      </c>
      <c r="AI4911" s="9">
        <v>41.357809622501556</v>
      </c>
      <c r="AJ4911" s="9">
        <v>3.0428788910505911</v>
      </c>
    </row>
    <row r="4912" spans="1:36" x14ac:dyDescent="0.25">
      <c r="A4912" t="s">
        <v>5411</v>
      </c>
      <c r="B4912" t="s">
        <v>16</v>
      </c>
      <c r="C4912" t="s">
        <v>17</v>
      </c>
      <c r="D4912">
        <v>85840000</v>
      </c>
      <c r="E4912">
        <v>85844999</v>
      </c>
      <c r="F4912" t="s">
        <v>4458</v>
      </c>
      <c r="G4912" t="str">
        <f t="shared" si="152"/>
        <v>PRI II</v>
      </c>
      <c r="H4912" t="s">
        <v>4294</v>
      </c>
      <c r="I4912" t="s">
        <v>20</v>
      </c>
      <c r="J4912" t="s">
        <v>64</v>
      </c>
      <c r="K4912" s="6">
        <v>0.03</v>
      </c>
      <c r="L4912" s="7">
        <f t="shared" si="153"/>
        <v>2E-3</v>
      </c>
      <c r="M4912" s="7">
        <v>3.0000000000000001E-3</v>
      </c>
      <c r="N4912">
        <v>11</v>
      </c>
      <c r="O4912" s="8">
        <v>19.127752698369598</v>
      </c>
      <c r="P4912" s="9">
        <v>19.127752698369598</v>
      </c>
      <c r="Q4912" s="9">
        <v>19.127752698369598</v>
      </c>
      <c r="R4912" s="9">
        <v>19.588754687607715</v>
      </c>
      <c r="S4912" s="9">
        <v>19.892211826137899</v>
      </c>
      <c r="T4912" s="9">
        <v>20.64455772606674</v>
      </c>
      <c r="U4912" s="9">
        <v>22.020224218035128</v>
      </c>
      <c r="V4912" s="9">
        <v>22.020224218035128</v>
      </c>
      <c r="W4912" s="9">
        <v>22.020224218035128</v>
      </c>
      <c r="X4912" s="9">
        <v>24.004435739730138</v>
      </c>
      <c r="Y4912" s="9">
        <v>24.004435739730138</v>
      </c>
      <c r="Z4912" s="9">
        <v>26.075582265671787</v>
      </c>
      <c r="AA4912" s="9">
        <v>26.075582265671787</v>
      </c>
      <c r="AB4912" s="9">
        <v>28.242357296284759</v>
      </c>
      <c r="AC4912" s="9">
        <v>28.242357296284759</v>
      </c>
      <c r="AD4912" s="9">
        <v>32.278785457330969</v>
      </c>
      <c r="AE4912" s="9">
        <v>34.228944830548365</v>
      </c>
      <c r="AF4912" s="9">
        <v>36.293711230319367</v>
      </c>
      <c r="AG4912" s="9">
        <v>36.293711230319367</v>
      </c>
      <c r="AH4912" s="9">
        <v>39.230142171980006</v>
      </c>
      <c r="AI4912" s="9">
        <v>41.357809622501556</v>
      </c>
      <c r="AJ4912" s="9">
        <v>3.0428788910505911</v>
      </c>
    </row>
    <row r="4913" spans="1:36" x14ac:dyDescent="0.25">
      <c r="A4913" t="s">
        <v>5411</v>
      </c>
      <c r="B4913" t="s">
        <v>16</v>
      </c>
      <c r="C4913" t="s">
        <v>17</v>
      </c>
      <c r="D4913">
        <v>85845000</v>
      </c>
      <c r="E4913">
        <v>85849999</v>
      </c>
      <c r="F4913" t="s">
        <v>4459</v>
      </c>
      <c r="G4913" t="str">
        <f t="shared" si="152"/>
        <v>PRI II</v>
      </c>
      <c r="H4913" t="s">
        <v>4294</v>
      </c>
      <c r="I4913" t="s">
        <v>20</v>
      </c>
      <c r="J4913" t="s">
        <v>64</v>
      </c>
      <c r="K4913" s="6">
        <v>0.03</v>
      </c>
      <c r="L4913" s="7">
        <f t="shared" si="153"/>
        <v>2E-3</v>
      </c>
      <c r="M4913" s="7">
        <v>3.0000000000000001E-3</v>
      </c>
      <c r="N4913">
        <v>11</v>
      </c>
      <c r="O4913" s="8">
        <v>19.127752698369598</v>
      </c>
      <c r="P4913" s="9">
        <v>19.127752698369598</v>
      </c>
      <c r="Q4913" s="9">
        <v>19.127752698369598</v>
      </c>
      <c r="R4913" s="9">
        <v>19.588754687607715</v>
      </c>
      <c r="S4913" s="9">
        <v>19.892211826137899</v>
      </c>
      <c r="T4913" s="9">
        <v>20.64455772606674</v>
      </c>
      <c r="U4913" s="9">
        <v>22.020224218035128</v>
      </c>
      <c r="V4913" s="9">
        <v>22.020224218035128</v>
      </c>
      <c r="W4913" s="9">
        <v>22.020224218035128</v>
      </c>
      <c r="X4913" s="9">
        <v>24.004435739730138</v>
      </c>
      <c r="Y4913" s="9">
        <v>24.004435739730138</v>
      </c>
      <c r="Z4913" s="9">
        <v>26.075582265671787</v>
      </c>
      <c r="AA4913" s="9">
        <v>26.075582265671787</v>
      </c>
      <c r="AB4913" s="9">
        <v>28.242357296284759</v>
      </c>
      <c r="AC4913" s="9">
        <v>28.242357296284759</v>
      </c>
      <c r="AD4913" s="9">
        <v>32.278785457330969</v>
      </c>
      <c r="AE4913" s="9">
        <v>34.228944830548365</v>
      </c>
      <c r="AF4913" s="9">
        <v>36.293711230319367</v>
      </c>
      <c r="AG4913" s="9">
        <v>36.293711230319367</v>
      </c>
      <c r="AH4913" s="9">
        <v>39.230142171980006</v>
      </c>
      <c r="AI4913" s="9">
        <v>41.357809622501556</v>
      </c>
      <c r="AJ4913" s="9">
        <v>3.0428788910505911</v>
      </c>
    </row>
    <row r="4914" spans="1:36" x14ac:dyDescent="0.25">
      <c r="A4914" t="s">
        <v>5411</v>
      </c>
      <c r="B4914" t="s">
        <v>16</v>
      </c>
      <c r="C4914" t="s">
        <v>17</v>
      </c>
      <c r="D4914">
        <v>85850000</v>
      </c>
      <c r="E4914">
        <v>85874999</v>
      </c>
      <c r="F4914" t="s">
        <v>4460</v>
      </c>
      <c r="G4914" t="str">
        <f t="shared" si="152"/>
        <v>PRI</v>
      </c>
      <c r="H4914" t="s">
        <v>4294</v>
      </c>
      <c r="I4914" t="s">
        <v>20</v>
      </c>
      <c r="J4914" t="s">
        <v>62</v>
      </c>
      <c r="K4914" s="6">
        <v>0.03</v>
      </c>
      <c r="L4914" s="7">
        <f t="shared" si="153"/>
        <v>2E-3</v>
      </c>
      <c r="M4914" s="7">
        <v>3.0000000000000001E-3</v>
      </c>
      <c r="N4914">
        <v>9</v>
      </c>
      <c r="O4914" s="8">
        <v>16.344178346561137</v>
      </c>
      <c r="P4914" s="9">
        <v>16.344178346561137</v>
      </c>
      <c r="Q4914" s="9">
        <v>16.344178346561137</v>
      </c>
      <c r="R4914" s="9">
        <v>16.766533722582309</v>
      </c>
      <c r="S4914" s="9">
        <v>17.709108795625173</v>
      </c>
      <c r="T4914" s="9">
        <v>18.545760454647645</v>
      </c>
      <c r="U4914" s="9">
        <v>20.10723313448154</v>
      </c>
      <c r="V4914" s="9">
        <v>20.10723313448154</v>
      </c>
      <c r="W4914" s="9">
        <v>20.10723313448154</v>
      </c>
      <c r="X4914" s="9">
        <v>21.240951506551678</v>
      </c>
      <c r="Y4914" s="9">
        <v>21.240951506551678</v>
      </c>
      <c r="Z4914" s="9">
        <v>22.557015615717738</v>
      </c>
      <c r="AA4914" s="9">
        <v>22.557015615717738</v>
      </c>
      <c r="AB4914" s="9">
        <v>26.056112270527457</v>
      </c>
      <c r="AC4914" s="9">
        <v>26.056112270527457</v>
      </c>
      <c r="AD4914" s="9">
        <v>30.142276170369946</v>
      </c>
      <c r="AE4914" s="9">
        <v>32.940531048263779</v>
      </c>
      <c r="AF4914" s="9">
        <v>35.920735279325392</v>
      </c>
      <c r="AG4914" s="9">
        <v>35.920735279325392</v>
      </c>
      <c r="AH4914" s="9">
        <v>38.62832670141978</v>
      </c>
      <c r="AI4914" s="9">
        <v>41.239207360528972</v>
      </c>
      <c r="AJ4914" s="9">
        <v>3.0428788910505911</v>
      </c>
    </row>
    <row r="4915" spans="1:36" x14ac:dyDescent="0.25">
      <c r="A4915" t="s">
        <v>5411</v>
      </c>
      <c r="B4915" t="s">
        <v>16</v>
      </c>
      <c r="C4915" t="s">
        <v>17</v>
      </c>
      <c r="D4915">
        <v>85875000</v>
      </c>
      <c r="E4915">
        <v>85876999</v>
      </c>
      <c r="F4915" t="s">
        <v>4461</v>
      </c>
      <c r="G4915" t="str">
        <f t="shared" si="152"/>
        <v>PRI II</v>
      </c>
      <c r="H4915" t="s">
        <v>4294</v>
      </c>
      <c r="I4915" t="s">
        <v>20</v>
      </c>
      <c r="J4915" t="s">
        <v>64</v>
      </c>
      <c r="K4915" s="6">
        <v>0.03</v>
      </c>
      <c r="L4915" s="7">
        <f t="shared" si="153"/>
        <v>2E-3</v>
      </c>
      <c r="M4915" s="7">
        <v>3.0000000000000001E-3</v>
      </c>
      <c r="N4915">
        <v>11</v>
      </c>
      <c r="O4915" s="8">
        <v>19.127752698369598</v>
      </c>
      <c r="P4915" s="9">
        <v>19.127752698369598</v>
      </c>
      <c r="Q4915" s="9">
        <v>19.127752698369598</v>
      </c>
      <c r="R4915" s="9">
        <v>19.588754687607715</v>
      </c>
      <c r="S4915" s="9">
        <v>19.892211826137899</v>
      </c>
      <c r="T4915" s="9">
        <v>20.64455772606674</v>
      </c>
      <c r="U4915" s="9">
        <v>22.020224218035128</v>
      </c>
      <c r="V4915" s="9">
        <v>22.020224218035128</v>
      </c>
      <c r="W4915" s="9">
        <v>22.020224218035128</v>
      </c>
      <c r="X4915" s="9">
        <v>24.004435739730138</v>
      </c>
      <c r="Y4915" s="9">
        <v>24.004435739730138</v>
      </c>
      <c r="Z4915" s="9">
        <v>26.075582265671787</v>
      </c>
      <c r="AA4915" s="9">
        <v>26.075582265671787</v>
      </c>
      <c r="AB4915" s="9">
        <v>28.242357296284759</v>
      </c>
      <c r="AC4915" s="9">
        <v>28.242357296284759</v>
      </c>
      <c r="AD4915" s="9">
        <v>32.278785457330969</v>
      </c>
      <c r="AE4915" s="9">
        <v>34.228944830548365</v>
      </c>
      <c r="AF4915" s="9">
        <v>36.293711230319367</v>
      </c>
      <c r="AG4915" s="9">
        <v>36.293711230319367</v>
      </c>
      <c r="AH4915" s="9">
        <v>39.230142171980006</v>
      </c>
      <c r="AI4915" s="9">
        <v>41.357809622501556</v>
      </c>
      <c r="AJ4915" s="9">
        <v>3.0428788910505911</v>
      </c>
    </row>
    <row r="4916" spans="1:36" x14ac:dyDescent="0.25">
      <c r="A4916" t="s">
        <v>5411</v>
      </c>
      <c r="B4916" t="s">
        <v>16</v>
      </c>
      <c r="C4916" t="s">
        <v>17</v>
      </c>
      <c r="D4916">
        <v>85877000</v>
      </c>
      <c r="E4916">
        <v>85879999</v>
      </c>
      <c r="F4916" t="s">
        <v>4462</v>
      </c>
      <c r="G4916" t="str">
        <f t="shared" si="152"/>
        <v>PRI II</v>
      </c>
      <c r="H4916" t="s">
        <v>4294</v>
      </c>
      <c r="I4916" t="s">
        <v>20</v>
      </c>
      <c r="J4916" t="s">
        <v>64</v>
      </c>
      <c r="K4916" s="6">
        <v>0.03</v>
      </c>
      <c r="L4916" s="7">
        <f t="shared" si="153"/>
        <v>2E-3</v>
      </c>
      <c r="M4916" s="7">
        <v>3.0000000000000001E-3</v>
      </c>
      <c r="N4916">
        <v>11</v>
      </c>
      <c r="O4916" s="8">
        <v>19.127752698369598</v>
      </c>
      <c r="P4916" s="9">
        <v>19.127752698369598</v>
      </c>
      <c r="Q4916" s="9">
        <v>19.127752698369598</v>
      </c>
      <c r="R4916" s="9">
        <v>19.588754687607715</v>
      </c>
      <c r="S4916" s="9">
        <v>19.892211826137899</v>
      </c>
      <c r="T4916" s="9">
        <v>20.64455772606674</v>
      </c>
      <c r="U4916" s="9">
        <v>22.020224218035128</v>
      </c>
      <c r="V4916" s="9">
        <v>22.020224218035128</v>
      </c>
      <c r="W4916" s="9">
        <v>22.020224218035128</v>
      </c>
      <c r="X4916" s="9">
        <v>24.004435739730138</v>
      </c>
      <c r="Y4916" s="9">
        <v>24.004435739730138</v>
      </c>
      <c r="Z4916" s="9">
        <v>26.075582265671787</v>
      </c>
      <c r="AA4916" s="9">
        <v>26.075582265671787</v>
      </c>
      <c r="AB4916" s="9">
        <v>28.242357296284759</v>
      </c>
      <c r="AC4916" s="9">
        <v>28.242357296284759</v>
      </c>
      <c r="AD4916" s="9">
        <v>32.278785457330969</v>
      </c>
      <c r="AE4916" s="9">
        <v>34.228944830548365</v>
      </c>
      <c r="AF4916" s="9">
        <v>36.293711230319367</v>
      </c>
      <c r="AG4916" s="9">
        <v>36.293711230319367</v>
      </c>
      <c r="AH4916" s="9">
        <v>39.230142171980006</v>
      </c>
      <c r="AI4916" s="9">
        <v>41.357809622501556</v>
      </c>
      <c r="AJ4916" s="9">
        <v>3.0428788910505911</v>
      </c>
    </row>
    <row r="4917" spans="1:36" x14ac:dyDescent="0.25">
      <c r="A4917" t="s">
        <v>5411</v>
      </c>
      <c r="B4917" t="s">
        <v>16</v>
      </c>
      <c r="C4917" t="s">
        <v>17</v>
      </c>
      <c r="D4917">
        <v>85880000</v>
      </c>
      <c r="E4917">
        <v>85883999</v>
      </c>
      <c r="F4917" t="s">
        <v>4463</v>
      </c>
      <c r="G4917" t="str">
        <f t="shared" si="152"/>
        <v>PRI II</v>
      </c>
      <c r="H4917" t="s">
        <v>4294</v>
      </c>
      <c r="I4917" t="s">
        <v>20</v>
      </c>
      <c r="J4917" t="s">
        <v>64</v>
      </c>
      <c r="K4917" s="6">
        <v>0.03</v>
      </c>
      <c r="L4917" s="7">
        <f t="shared" si="153"/>
        <v>2E-3</v>
      </c>
      <c r="M4917" s="7">
        <v>3.0000000000000001E-3</v>
      </c>
      <c r="N4917">
        <v>11</v>
      </c>
      <c r="O4917" s="8">
        <v>19.127752698369598</v>
      </c>
      <c r="P4917" s="9">
        <v>19.127752698369598</v>
      </c>
      <c r="Q4917" s="9">
        <v>19.127752698369598</v>
      </c>
      <c r="R4917" s="9">
        <v>19.588754687607715</v>
      </c>
      <c r="S4917" s="9">
        <v>19.892211826137899</v>
      </c>
      <c r="T4917" s="9">
        <v>20.64455772606674</v>
      </c>
      <c r="U4917" s="9">
        <v>22.020224218035128</v>
      </c>
      <c r="V4917" s="9">
        <v>22.020224218035128</v>
      </c>
      <c r="W4917" s="9">
        <v>22.020224218035128</v>
      </c>
      <c r="X4917" s="9">
        <v>24.004435739730138</v>
      </c>
      <c r="Y4917" s="9">
        <v>24.004435739730138</v>
      </c>
      <c r="Z4917" s="9">
        <v>26.075582265671787</v>
      </c>
      <c r="AA4917" s="9">
        <v>26.075582265671787</v>
      </c>
      <c r="AB4917" s="9">
        <v>28.242357296284759</v>
      </c>
      <c r="AC4917" s="9">
        <v>28.242357296284759</v>
      </c>
      <c r="AD4917" s="9">
        <v>32.278785457330969</v>
      </c>
      <c r="AE4917" s="9">
        <v>34.228944830548365</v>
      </c>
      <c r="AF4917" s="9">
        <v>36.293711230319367</v>
      </c>
      <c r="AG4917" s="9">
        <v>36.293711230319367</v>
      </c>
      <c r="AH4917" s="9">
        <v>39.230142171980006</v>
      </c>
      <c r="AI4917" s="9">
        <v>41.357809622501556</v>
      </c>
      <c r="AJ4917" s="9">
        <v>3.0428788910505911</v>
      </c>
    </row>
    <row r="4918" spans="1:36" x14ac:dyDescent="0.25">
      <c r="A4918" t="s">
        <v>5411</v>
      </c>
      <c r="B4918" t="s">
        <v>16</v>
      </c>
      <c r="C4918" t="s">
        <v>17</v>
      </c>
      <c r="D4918">
        <v>85884000</v>
      </c>
      <c r="E4918">
        <v>85884999</v>
      </c>
      <c r="F4918" t="s">
        <v>4464</v>
      </c>
      <c r="G4918" t="str">
        <f t="shared" si="152"/>
        <v>PRI</v>
      </c>
      <c r="H4918" t="s">
        <v>4294</v>
      </c>
      <c r="I4918" t="s">
        <v>20</v>
      </c>
      <c r="J4918" t="s">
        <v>62</v>
      </c>
      <c r="K4918" s="6">
        <v>0.03</v>
      </c>
      <c r="L4918" s="7">
        <f t="shared" si="153"/>
        <v>2E-3</v>
      </c>
      <c r="M4918" s="7">
        <v>3.0000000000000001E-3</v>
      </c>
      <c r="N4918">
        <v>9</v>
      </c>
      <c r="O4918" s="8">
        <v>16.344178346561137</v>
      </c>
      <c r="P4918" s="9">
        <v>16.344178346561137</v>
      </c>
      <c r="Q4918" s="9">
        <v>16.344178346561137</v>
      </c>
      <c r="R4918" s="9">
        <v>16.766533722582309</v>
      </c>
      <c r="S4918" s="9">
        <v>17.709108795625173</v>
      </c>
      <c r="T4918" s="9">
        <v>18.545760454647645</v>
      </c>
      <c r="U4918" s="9">
        <v>20.10723313448154</v>
      </c>
      <c r="V4918" s="9">
        <v>20.10723313448154</v>
      </c>
      <c r="W4918" s="9">
        <v>20.10723313448154</v>
      </c>
      <c r="X4918" s="9">
        <v>21.240951506551678</v>
      </c>
      <c r="Y4918" s="9">
        <v>21.240951506551678</v>
      </c>
      <c r="Z4918" s="9">
        <v>22.557015615717738</v>
      </c>
      <c r="AA4918" s="9">
        <v>22.557015615717738</v>
      </c>
      <c r="AB4918" s="9">
        <v>26.056112270527457</v>
      </c>
      <c r="AC4918" s="9">
        <v>26.056112270527457</v>
      </c>
      <c r="AD4918" s="9">
        <v>30.142276170369946</v>
      </c>
      <c r="AE4918" s="9">
        <v>32.940531048263779</v>
      </c>
      <c r="AF4918" s="9">
        <v>35.920735279325392</v>
      </c>
      <c r="AG4918" s="9">
        <v>35.920735279325392</v>
      </c>
      <c r="AH4918" s="9">
        <v>38.62832670141978</v>
      </c>
      <c r="AI4918" s="9">
        <v>41.239207360528972</v>
      </c>
      <c r="AJ4918" s="9">
        <v>3.0428788910505911</v>
      </c>
    </row>
    <row r="4919" spans="1:36" x14ac:dyDescent="0.25">
      <c r="A4919" t="s">
        <v>5411</v>
      </c>
      <c r="B4919" t="s">
        <v>16</v>
      </c>
      <c r="C4919" t="s">
        <v>17</v>
      </c>
      <c r="D4919">
        <v>85885000</v>
      </c>
      <c r="E4919">
        <v>85886999</v>
      </c>
      <c r="F4919" t="s">
        <v>4465</v>
      </c>
      <c r="G4919" t="str">
        <f t="shared" si="152"/>
        <v>PRI II</v>
      </c>
      <c r="H4919" t="s">
        <v>4294</v>
      </c>
      <c r="I4919" t="s">
        <v>20</v>
      </c>
      <c r="J4919" t="s">
        <v>64</v>
      </c>
      <c r="K4919" s="6">
        <v>0.03</v>
      </c>
      <c r="L4919" s="7">
        <f t="shared" si="153"/>
        <v>2E-3</v>
      </c>
      <c r="M4919" s="7">
        <v>3.0000000000000001E-3</v>
      </c>
      <c r="N4919">
        <v>11</v>
      </c>
      <c r="O4919" s="8">
        <v>19.127752698369598</v>
      </c>
      <c r="P4919" s="9">
        <v>19.127752698369598</v>
      </c>
      <c r="Q4919" s="9">
        <v>19.127752698369598</v>
      </c>
      <c r="R4919" s="9">
        <v>19.588754687607715</v>
      </c>
      <c r="S4919" s="9">
        <v>19.892211826137899</v>
      </c>
      <c r="T4919" s="9">
        <v>20.64455772606674</v>
      </c>
      <c r="U4919" s="9">
        <v>22.020224218035128</v>
      </c>
      <c r="V4919" s="9">
        <v>22.020224218035128</v>
      </c>
      <c r="W4919" s="9">
        <v>22.020224218035128</v>
      </c>
      <c r="X4919" s="9">
        <v>24.004435739730138</v>
      </c>
      <c r="Y4919" s="9">
        <v>24.004435739730138</v>
      </c>
      <c r="Z4919" s="9">
        <v>26.075582265671787</v>
      </c>
      <c r="AA4919" s="9">
        <v>26.075582265671787</v>
      </c>
      <c r="AB4919" s="9">
        <v>28.242357296284759</v>
      </c>
      <c r="AC4919" s="9">
        <v>28.242357296284759</v>
      </c>
      <c r="AD4919" s="9">
        <v>32.278785457330969</v>
      </c>
      <c r="AE4919" s="9">
        <v>34.228944830548365</v>
      </c>
      <c r="AF4919" s="9">
        <v>36.293711230319367</v>
      </c>
      <c r="AG4919" s="9">
        <v>36.293711230319367</v>
      </c>
      <c r="AH4919" s="9">
        <v>39.230142171980006</v>
      </c>
      <c r="AI4919" s="9">
        <v>41.357809622501556</v>
      </c>
      <c r="AJ4919" s="9">
        <v>3.0428788910505911</v>
      </c>
    </row>
    <row r="4920" spans="1:36" x14ac:dyDescent="0.25">
      <c r="A4920" t="s">
        <v>5411</v>
      </c>
      <c r="B4920" t="s">
        <v>16</v>
      </c>
      <c r="C4920" t="s">
        <v>17</v>
      </c>
      <c r="D4920">
        <v>85887000</v>
      </c>
      <c r="E4920">
        <v>85887999</v>
      </c>
      <c r="F4920" t="s">
        <v>4466</v>
      </c>
      <c r="G4920" t="str">
        <f t="shared" si="152"/>
        <v>PRI II</v>
      </c>
      <c r="H4920" t="s">
        <v>4294</v>
      </c>
      <c r="I4920" t="s">
        <v>20</v>
      </c>
      <c r="J4920" t="s">
        <v>64</v>
      </c>
      <c r="K4920" s="6">
        <v>0.03</v>
      </c>
      <c r="L4920" s="7">
        <f t="shared" si="153"/>
        <v>2E-3</v>
      </c>
      <c r="M4920" s="7">
        <v>3.0000000000000001E-3</v>
      </c>
      <c r="N4920">
        <v>11</v>
      </c>
      <c r="O4920" s="8">
        <v>19.127752698369598</v>
      </c>
      <c r="P4920" s="9">
        <v>19.127752698369598</v>
      </c>
      <c r="Q4920" s="9">
        <v>19.127752698369598</v>
      </c>
      <c r="R4920" s="9">
        <v>19.588754687607715</v>
      </c>
      <c r="S4920" s="9">
        <v>19.892211826137899</v>
      </c>
      <c r="T4920" s="9">
        <v>20.64455772606674</v>
      </c>
      <c r="U4920" s="9">
        <v>22.020224218035128</v>
      </c>
      <c r="V4920" s="9">
        <v>22.020224218035128</v>
      </c>
      <c r="W4920" s="9">
        <v>22.020224218035128</v>
      </c>
      <c r="X4920" s="9">
        <v>24.004435739730138</v>
      </c>
      <c r="Y4920" s="9">
        <v>24.004435739730138</v>
      </c>
      <c r="Z4920" s="9">
        <v>26.075582265671787</v>
      </c>
      <c r="AA4920" s="9">
        <v>26.075582265671787</v>
      </c>
      <c r="AB4920" s="9">
        <v>28.242357296284759</v>
      </c>
      <c r="AC4920" s="9">
        <v>28.242357296284759</v>
      </c>
      <c r="AD4920" s="9">
        <v>32.278785457330969</v>
      </c>
      <c r="AE4920" s="9">
        <v>34.228944830548365</v>
      </c>
      <c r="AF4920" s="9">
        <v>36.293711230319367</v>
      </c>
      <c r="AG4920" s="9">
        <v>36.293711230319367</v>
      </c>
      <c r="AH4920" s="9">
        <v>39.230142171980006</v>
      </c>
      <c r="AI4920" s="9">
        <v>41.357809622501556</v>
      </c>
      <c r="AJ4920" s="9">
        <v>3.0428788910505911</v>
      </c>
    </row>
    <row r="4921" spans="1:36" x14ac:dyDescent="0.25">
      <c r="A4921" t="s">
        <v>5411</v>
      </c>
      <c r="B4921" t="s">
        <v>16</v>
      </c>
      <c r="C4921" t="s">
        <v>17</v>
      </c>
      <c r="D4921">
        <v>85888000</v>
      </c>
      <c r="E4921">
        <v>85889999</v>
      </c>
      <c r="F4921" t="s">
        <v>4467</v>
      </c>
      <c r="G4921" t="str">
        <f t="shared" si="152"/>
        <v>PRI II</v>
      </c>
      <c r="H4921" t="s">
        <v>4294</v>
      </c>
      <c r="I4921" t="s">
        <v>20</v>
      </c>
      <c r="J4921" t="s">
        <v>64</v>
      </c>
      <c r="K4921" s="6">
        <v>0.03</v>
      </c>
      <c r="L4921" s="7">
        <f t="shared" si="153"/>
        <v>2E-3</v>
      </c>
      <c r="M4921" s="7">
        <v>3.0000000000000001E-3</v>
      </c>
      <c r="N4921">
        <v>11</v>
      </c>
      <c r="O4921" s="8">
        <v>19.127752698369598</v>
      </c>
      <c r="P4921" s="9">
        <v>19.127752698369598</v>
      </c>
      <c r="Q4921" s="9">
        <v>19.127752698369598</v>
      </c>
      <c r="R4921" s="9">
        <v>19.588754687607715</v>
      </c>
      <c r="S4921" s="9">
        <v>19.892211826137899</v>
      </c>
      <c r="T4921" s="9">
        <v>20.64455772606674</v>
      </c>
      <c r="U4921" s="9">
        <v>22.020224218035128</v>
      </c>
      <c r="V4921" s="9">
        <v>22.020224218035128</v>
      </c>
      <c r="W4921" s="9">
        <v>22.020224218035128</v>
      </c>
      <c r="X4921" s="9">
        <v>24.004435739730138</v>
      </c>
      <c r="Y4921" s="9">
        <v>24.004435739730138</v>
      </c>
      <c r="Z4921" s="9">
        <v>26.075582265671787</v>
      </c>
      <c r="AA4921" s="9">
        <v>26.075582265671787</v>
      </c>
      <c r="AB4921" s="9">
        <v>28.242357296284759</v>
      </c>
      <c r="AC4921" s="9">
        <v>28.242357296284759</v>
      </c>
      <c r="AD4921" s="9">
        <v>32.278785457330969</v>
      </c>
      <c r="AE4921" s="9">
        <v>34.228944830548365</v>
      </c>
      <c r="AF4921" s="9">
        <v>36.293711230319367</v>
      </c>
      <c r="AG4921" s="9">
        <v>36.293711230319367</v>
      </c>
      <c r="AH4921" s="9">
        <v>39.230142171980006</v>
      </c>
      <c r="AI4921" s="9">
        <v>41.357809622501556</v>
      </c>
      <c r="AJ4921" s="9">
        <v>3.0428788910505911</v>
      </c>
    </row>
    <row r="4922" spans="1:36" x14ac:dyDescent="0.25">
      <c r="A4922" t="s">
        <v>5411</v>
      </c>
      <c r="B4922" t="s">
        <v>16</v>
      </c>
      <c r="C4922" t="s">
        <v>17</v>
      </c>
      <c r="D4922">
        <v>85890000</v>
      </c>
      <c r="E4922">
        <v>85891999</v>
      </c>
      <c r="F4922" t="s">
        <v>4468</v>
      </c>
      <c r="G4922" t="str">
        <f t="shared" si="152"/>
        <v>PRI II</v>
      </c>
      <c r="H4922" t="s">
        <v>4294</v>
      </c>
      <c r="I4922" t="s">
        <v>20</v>
      </c>
      <c r="J4922" t="s">
        <v>64</v>
      </c>
      <c r="K4922" s="6">
        <v>0.03</v>
      </c>
      <c r="L4922" s="7">
        <f t="shared" si="153"/>
        <v>2E-3</v>
      </c>
      <c r="M4922" s="7">
        <v>3.0000000000000001E-3</v>
      </c>
      <c r="N4922">
        <v>11</v>
      </c>
      <c r="O4922" s="8">
        <v>19.127752698369598</v>
      </c>
      <c r="P4922" s="9">
        <v>19.127752698369598</v>
      </c>
      <c r="Q4922" s="9">
        <v>19.127752698369598</v>
      </c>
      <c r="R4922" s="9">
        <v>19.588754687607715</v>
      </c>
      <c r="S4922" s="9">
        <v>19.892211826137899</v>
      </c>
      <c r="T4922" s="9">
        <v>20.64455772606674</v>
      </c>
      <c r="U4922" s="9">
        <v>22.020224218035128</v>
      </c>
      <c r="V4922" s="9">
        <v>22.020224218035128</v>
      </c>
      <c r="W4922" s="9">
        <v>22.020224218035128</v>
      </c>
      <c r="X4922" s="9">
        <v>24.004435739730138</v>
      </c>
      <c r="Y4922" s="9">
        <v>24.004435739730138</v>
      </c>
      <c r="Z4922" s="9">
        <v>26.075582265671787</v>
      </c>
      <c r="AA4922" s="9">
        <v>26.075582265671787</v>
      </c>
      <c r="AB4922" s="9">
        <v>28.242357296284759</v>
      </c>
      <c r="AC4922" s="9">
        <v>28.242357296284759</v>
      </c>
      <c r="AD4922" s="9">
        <v>32.278785457330969</v>
      </c>
      <c r="AE4922" s="9">
        <v>34.228944830548365</v>
      </c>
      <c r="AF4922" s="9">
        <v>36.293711230319367</v>
      </c>
      <c r="AG4922" s="9">
        <v>36.293711230319367</v>
      </c>
      <c r="AH4922" s="9">
        <v>39.230142171980006</v>
      </c>
      <c r="AI4922" s="9">
        <v>41.357809622501556</v>
      </c>
      <c r="AJ4922" s="9">
        <v>3.0428788910505911</v>
      </c>
    </row>
    <row r="4923" spans="1:36" x14ac:dyDescent="0.25">
      <c r="A4923" t="s">
        <v>5411</v>
      </c>
      <c r="B4923" t="s">
        <v>16</v>
      </c>
      <c r="C4923" t="s">
        <v>17</v>
      </c>
      <c r="D4923">
        <v>85892000</v>
      </c>
      <c r="E4923">
        <v>85895999</v>
      </c>
      <c r="F4923" t="s">
        <v>2650</v>
      </c>
      <c r="G4923" t="str">
        <f t="shared" si="152"/>
        <v>PRI II</v>
      </c>
      <c r="H4923" t="s">
        <v>4294</v>
      </c>
      <c r="I4923" t="s">
        <v>20</v>
      </c>
      <c r="J4923" t="s">
        <v>64</v>
      </c>
      <c r="K4923" s="6">
        <v>0.03</v>
      </c>
      <c r="L4923" s="7">
        <f t="shared" si="153"/>
        <v>2E-3</v>
      </c>
      <c r="M4923" s="7">
        <v>3.0000000000000001E-3</v>
      </c>
      <c r="N4923">
        <v>11</v>
      </c>
      <c r="O4923" s="8">
        <v>19.127752698369598</v>
      </c>
      <c r="P4923" s="9">
        <v>19.127752698369598</v>
      </c>
      <c r="Q4923" s="9">
        <v>19.127752698369598</v>
      </c>
      <c r="R4923" s="9">
        <v>19.588754687607715</v>
      </c>
      <c r="S4923" s="9">
        <v>19.892211826137899</v>
      </c>
      <c r="T4923" s="9">
        <v>20.64455772606674</v>
      </c>
      <c r="U4923" s="9">
        <v>22.020224218035128</v>
      </c>
      <c r="V4923" s="9">
        <v>22.020224218035128</v>
      </c>
      <c r="W4923" s="9">
        <v>22.020224218035128</v>
      </c>
      <c r="X4923" s="9">
        <v>24.004435739730138</v>
      </c>
      <c r="Y4923" s="9">
        <v>24.004435739730138</v>
      </c>
      <c r="Z4923" s="9">
        <v>26.075582265671787</v>
      </c>
      <c r="AA4923" s="9">
        <v>26.075582265671787</v>
      </c>
      <c r="AB4923" s="9">
        <v>28.242357296284759</v>
      </c>
      <c r="AC4923" s="9">
        <v>28.242357296284759</v>
      </c>
      <c r="AD4923" s="9">
        <v>32.278785457330969</v>
      </c>
      <c r="AE4923" s="9">
        <v>34.228944830548365</v>
      </c>
      <c r="AF4923" s="9">
        <v>36.293711230319367</v>
      </c>
      <c r="AG4923" s="9">
        <v>36.293711230319367</v>
      </c>
      <c r="AH4923" s="9">
        <v>39.230142171980006</v>
      </c>
      <c r="AI4923" s="9">
        <v>41.357809622501556</v>
      </c>
      <c r="AJ4923" s="9">
        <v>3.0428788910505911</v>
      </c>
    </row>
    <row r="4924" spans="1:36" x14ac:dyDescent="0.25">
      <c r="A4924" t="s">
        <v>5411</v>
      </c>
      <c r="B4924" t="s">
        <v>16</v>
      </c>
      <c r="C4924" t="s">
        <v>17</v>
      </c>
      <c r="D4924">
        <v>85896000</v>
      </c>
      <c r="E4924">
        <v>85897999</v>
      </c>
      <c r="F4924" t="s">
        <v>4469</v>
      </c>
      <c r="G4924" t="str">
        <f t="shared" si="152"/>
        <v>PRI II</v>
      </c>
      <c r="H4924" t="s">
        <v>4294</v>
      </c>
      <c r="I4924" t="s">
        <v>20</v>
      </c>
      <c r="J4924" t="s">
        <v>64</v>
      </c>
      <c r="K4924" s="6">
        <v>0.03</v>
      </c>
      <c r="L4924" s="7">
        <f t="shared" si="153"/>
        <v>2E-3</v>
      </c>
      <c r="M4924" s="7">
        <v>3.0000000000000001E-3</v>
      </c>
      <c r="N4924">
        <v>11</v>
      </c>
      <c r="O4924" s="8">
        <v>19.127752698369598</v>
      </c>
      <c r="P4924" s="9">
        <v>19.127752698369598</v>
      </c>
      <c r="Q4924" s="9">
        <v>19.127752698369598</v>
      </c>
      <c r="R4924" s="9">
        <v>19.588754687607715</v>
      </c>
      <c r="S4924" s="9">
        <v>19.892211826137899</v>
      </c>
      <c r="T4924" s="9">
        <v>20.64455772606674</v>
      </c>
      <c r="U4924" s="9">
        <v>22.020224218035128</v>
      </c>
      <c r="V4924" s="9">
        <v>22.020224218035128</v>
      </c>
      <c r="W4924" s="9">
        <v>22.020224218035128</v>
      </c>
      <c r="X4924" s="9">
        <v>24.004435739730138</v>
      </c>
      <c r="Y4924" s="9">
        <v>24.004435739730138</v>
      </c>
      <c r="Z4924" s="9">
        <v>26.075582265671787</v>
      </c>
      <c r="AA4924" s="9">
        <v>26.075582265671787</v>
      </c>
      <c r="AB4924" s="9">
        <v>28.242357296284759</v>
      </c>
      <c r="AC4924" s="9">
        <v>28.242357296284759</v>
      </c>
      <c r="AD4924" s="9">
        <v>32.278785457330969</v>
      </c>
      <c r="AE4924" s="9">
        <v>34.228944830548365</v>
      </c>
      <c r="AF4924" s="9">
        <v>36.293711230319367</v>
      </c>
      <c r="AG4924" s="9">
        <v>36.293711230319367</v>
      </c>
      <c r="AH4924" s="9">
        <v>39.230142171980006</v>
      </c>
      <c r="AI4924" s="9">
        <v>41.357809622501556</v>
      </c>
      <c r="AJ4924" s="9">
        <v>3.0428788910505911</v>
      </c>
    </row>
    <row r="4925" spans="1:36" x14ac:dyDescent="0.25">
      <c r="A4925" t="s">
        <v>5411</v>
      </c>
      <c r="B4925" t="s">
        <v>16</v>
      </c>
      <c r="C4925" t="s">
        <v>17</v>
      </c>
      <c r="D4925">
        <v>85898000</v>
      </c>
      <c r="E4925">
        <v>85899999</v>
      </c>
      <c r="F4925" t="s">
        <v>4470</v>
      </c>
      <c r="G4925" t="str">
        <f t="shared" si="152"/>
        <v>PRI II</v>
      </c>
      <c r="H4925" t="s">
        <v>4294</v>
      </c>
      <c r="I4925" t="s">
        <v>20</v>
      </c>
      <c r="J4925" t="s">
        <v>64</v>
      </c>
      <c r="K4925" s="6">
        <v>0.03</v>
      </c>
      <c r="L4925" s="7">
        <f t="shared" si="153"/>
        <v>2E-3</v>
      </c>
      <c r="M4925" s="7">
        <v>3.0000000000000001E-3</v>
      </c>
      <c r="N4925">
        <v>11</v>
      </c>
      <c r="O4925" s="8">
        <v>19.127752698369598</v>
      </c>
      <c r="P4925" s="9">
        <v>19.127752698369598</v>
      </c>
      <c r="Q4925" s="9">
        <v>19.127752698369598</v>
      </c>
      <c r="R4925" s="9">
        <v>19.588754687607715</v>
      </c>
      <c r="S4925" s="9">
        <v>19.892211826137899</v>
      </c>
      <c r="T4925" s="9">
        <v>20.64455772606674</v>
      </c>
      <c r="U4925" s="9">
        <v>22.020224218035128</v>
      </c>
      <c r="V4925" s="9">
        <v>22.020224218035128</v>
      </c>
      <c r="W4925" s="9">
        <v>22.020224218035128</v>
      </c>
      <c r="X4925" s="9">
        <v>24.004435739730138</v>
      </c>
      <c r="Y4925" s="9">
        <v>24.004435739730138</v>
      </c>
      <c r="Z4925" s="9">
        <v>26.075582265671787</v>
      </c>
      <c r="AA4925" s="9">
        <v>26.075582265671787</v>
      </c>
      <c r="AB4925" s="9">
        <v>28.242357296284759</v>
      </c>
      <c r="AC4925" s="9">
        <v>28.242357296284759</v>
      </c>
      <c r="AD4925" s="9">
        <v>32.278785457330969</v>
      </c>
      <c r="AE4925" s="9">
        <v>34.228944830548365</v>
      </c>
      <c r="AF4925" s="9">
        <v>36.293711230319367</v>
      </c>
      <c r="AG4925" s="9">
        <v>36.293711230319367</v>
      </c>
      <c r="AH4925" s="9">
        <v>39.230142171980006</v>
      </c>
      <c r="AI4925" s="9">
        <v>41.357809622501556</v>
      </c>
      <c r="AJ4925" s="9">
        <v>3.0428788910505911</v>
      </c>
    </row>
    <row r="4926" spans="1:36" x14ac:dyDescent="0.25">
      <c r="A4926" t="s">
        <v>5411</v>
      </c>
      <c r="B4926" t="s">
        <v>16</v>
      </c>
      <c r="C4926" t="s">
        <v>17</v>
      </c>
      <c r="D4926">
        <v>85900000</v>
      </c>
      <c r="E4926">
        <v>85928999</v>
      </c>
      <c r="F4926" t="s">
        <v>4471</v>
      </c>
      <c r="G4926" t="str">
        <f t="shared" si="152"/>
        <v>PRI</v>
      </c>
      <c r="H4926" t="s">
        <v>4294</v>
      </c>
      <c r="I4926" t="s">
        <v>20</v>
      </c>
      <c r="J4926" t="s">
        <v>62</v>
      </c>
      <c r="K4926" s="6">
        <v>0.03</v>
      </c>
      <c r="L4926" s="7">
        <f t="shared" si="153"/>
        <v>2E-3</v>
      </c>
      <c r="M4926" s="7">
        <v>3.0000000000000001E-3</v>
      </c>
      <c r="N4926">
        <v>9</v>
      </c>
      <c r="O4926" s="8">
        <v>16.344178346561137</v>
      </c>
      <c r="P4926" s="9">
        <v>16.344178346561137</v>
      </c>
      <c r="Q4926" s="9">
        <v>16.344178346561137</v>
      </c>
      <c r="R4926" s="9">
        <v>16.766533722582309</v>
      </c>
      <c r="S4926" s="9">
        <v>17.709108795625173</v>
      </c>
      <c r="T4926" s="9">
        <v>18.545760454647645</v>
      </c>
      <c r="U4926" s="9">
        <v>20.10723313448154</v>
      </c>
      <c r="V4926" s="9">
        <v>20.10723313448154</v>
      </c>
      <c r="W4926" s="9">
        <v>20.10723313448154</v>
      </c>
      <c r="X4926" s="9">
        <v>21.240951506551678</v>
      </c>
      <c r="Y4926" s="9">
        <v>21.240951506551678</v>
      </c>
      <c r="Z4926" s="9">
        <v>22.557015615717738</v>
      </c>
      <c r="AA4926" s="9">
        <v>22.557015615717738</v>
      </c>
      <c r="AB4926" s="9">
        <v>26.056112270527457</v>
      </c>
      <c r="AC4926" s="9">
        <v>26.056112270527457</v>
      </c>
      <c r="AD4926" s="9">
        <v>30.142276170369946</v>
      </c>
      <c r="AE4926" s="9">
        <v>32.940531048263779</v>
      </c>
      <c r="AF4926" s="9">
        <v>35.920735279325392</v>
      </c>
      <c r="AG4926" s="9">
        <v>35.920735279325392</v>
      </c>
      <c r="AH4926" s="9">
        <v>38.62832670141978</v>
      </c>
      <c r="AI4926" s="9">
        <v>41.239207360528972</v>
      </c>
      <c r="AJ4926" s="9">
        <v>3.0428788910505911</v>
      </c>
    </row>
    <row r="4927" spans="1:36" x14ac:dyDescent="0.25">
      <c r="A4927" t="s">
        <v>5411</v>
      </c>
      <c r="B4927" t="s">
        <v>16</v>
      </c>
      <c r="C4927" t="s">
        <v>17</v>
      </c>
      <c r="D4927">
        <v>85929000</v>
      </c>
      <c r="E4927">
        <v>85929999</v>
      </c>
      <c r="F4927" t="s">
        <v>4472</v>
      </c>
      <c r="G4927" t="str">
        <f t="shared" si="152"/>
        <v>PRI II</v>
      </c>
      <c r="H4927" t="s">
        <v>4294</v>
      </c>
      <c r="I4927" t="s">
        <v>20</v>
      </c>
      <c r="J4927" t="s">
        <v>64</v>
      </c>
      <c r="K4927" s="6">
        <v>0.03</v>
      </c>
      <c r="L4927" s="7">
        <f t="shared" si="153"/>
        <v>2E-3</v>
      </c>
      <c r="M4927" s="7">
        <v>3.0000000000000001E-3</v>
      </c>
      <c r="N4927">
        <v>11</v>
      </c>
      <c r="O4927" s="8">
        <v>19.127752698369598</v>
      </c>
      <c r="P4927" s="9">
        <v>19.127752698369598</v>
      </c>
      <c r="Q4927" s="9">
        <v>19.127752698369598</v>
      </c>
      <c r="R4927" s="9">
        <v>19.588754687607715</v>
      </c>
      <c r="S4927" s="9">
        <v>19.892211826137899</v>
      </c>
      <c r="T4927" s="9">
        <v>20.64455772606674</v>
      </c>
      <c r="U4927" s="9">
        <v>22.020224218035128</v>
      </c>
      <c r="V4927" s="9">
        <v>22.020224218035128</v>
      </c>
      <c r="W4927" s="9">
        <v>22.020224218035128</v>
      </c>
      <c r="X4927" s="9">
        <v>24.004435739730138</v>
      </c>
      <c r="Y4927" s="9">
        <v>24.004435739730138</v>
      </c>
      <c r="Z4927" s="9">
        <v>26.075582265671787</v>
      </c>
      <c r="AA4927" s="9">
        <v>26.075582265671787</v>
      </c>
      <c r="AB4927" s="9">
        <v>28.242357296284759</v>
      </c>
      <c r="AC4927" s="9">
        <v>28.242357296284759</v>
      </c>
      <c r="AD4927" s="9">
        <v>32.278785457330969</v>
      </c>
      <c r="AE4927" s="9">
        <v>34.228944830548365</v>
      </c>
      <c r="AF4927" s="9">
        <v>36.293711230319367</v>
      </c>
      <c r="AG4927" s="9">
        <v>36.293711230319367</v>
      </c>
      <c r="AH4927" s="9">
        <v>39.230142171980006</v>
      </c>
      <c r="AI4927" s="9">
        <v>41.357809622501556</v>
      </c>
      <c r="AJ4927" s="9">
        <v>3.0428788910505911</v>
      </c>
    </row>
    <row r="4928" spans="1:36" x14ac:dyDescent="0.25">
      <c r="A4928" t="s">
        <v>5411</v>
      </c>
      <c r="B4928" t="s">
        <v>16</v>
      </c>
      <c r="C4928" t="s">
        <v>17</v>
      </c>
      <c r="D4928">
        <v>85930000</v>
      </c>
      <c r="E4928">
        <v>85932999</v>
      </c>
      <c r="F4928" t="s">
        <v>4473</v>
      </c>
      <c r="G4928" t="str">
        <f t="shared" si="152"/>
        <v>PRI II</v>
      </c>
      <c r="H4928" t="s">
        <v>4294</v>
      </c>
      <c r="I4928" t="s">
        <v>20</v>
      </c>
      <c r="J4928" t="s">
        <v>64</v>
      </c>
      <c r="K4928" s="6">
        <v>0.03</v>
      </c>
      <c r="L4928" s="7">
        <f t="shared" si="153"/>
        <v>2E-3</v>
      </c>
      <c r="M4928" s="7">
        <v>3.0000000000000001E-3</v>
      </c>
      <c r="N4928">
        <v>11</v>
      </c>
      <c r="O4928" s="8">
        <v>19.127752698369598</v>
      </c>
      <c r="P4928" s="9">
        <v>19.127752698369598</v>
      </c>
      <c r="Q4928" s="9">
        <v>19.127752698369598</v>
      </c>
      <c r="R4928" s="9">
        <v>19.588754687607715</v>
      </c>
      <c r="S4928" s="9">
        <v>19.892211826137899</v>
      </c>
      <c r="T4928" s="9">
        <v>20.64455772606674</v>
      </c>
      <c r="U4928" s="9">
        <v>22.020224218035128</v>
      </c>
      <c r="V4928" s="9">
        <v>22.020224218035128</v>
      </c>
      <c r="W4928" s="9">
        <v>22.020224218035128</v>
      </c>
      <c r="X4928" s="9">
        <v>24.004435739730138</v>
      </c>
      <c r="Y4928" s="9">
        <v>24.004435739730138</v>
      </c>
      <c r="Z4928" s="9">
        <v>26.075582265671787</v>
      </c>
      <c r="AA4928" s="9">
        <v>26.075582265671787</v>
      </c>
      <c r="AB4928" s="9">
        <v>28.242357296284759</v>
      </c>
      <c r="AC4928" s="9">
        <v>28.242357296284759</v>
      </c>
      <c r="AD4928" s="9">
        <v>32.278785457330969</v>
      </c>
      <c r="AE4928" s="9">
        <v>34.228944830548365</v>
      </c>
      <c r="AF4928" s="9">
        <v>36.293711230319367</v>
      </c>
      <c r="AG4928" s="9">
        <v>36.293711230319367</v>
      </c>
      <c r="AH4928" s="9">
        <v>39.230142171980006</v>
      </c>
      <c r="AI4928" s="9">
        <v>41.357809622501556</v>
      </c>
      <c r="AJ4928" s="9">
        <v>3.0428788910505911</v>
      </c>
    </row>
    <row r="4929" spans="1:36" x14ac:dyDescent="0.25">
      <c r="A4929" t="s">
        <v>5411</v>
      </c>
      <c r="B4929" t="s">
        <v>16</v>
      </c>
      <c r="C4929" t="s">
        <v>17</v>
      </c>
      <c r="D4929">
        <v>85933000</v>
      </c>
      <c r="E4929">
        <v>85934999</v>
      </c>
      <c r="F4929" t="s">
        <v>4474</v>
      </c>
      <c r="G4929" t="str">
        <f t="shared" si="152"/>
        <v>PRI II</v>
      </c>
      <c r="H4929" t="s">
        <v>4294</v>
      </c>
      <c r="I4929" t="s">
        <v>20</v>
      </c>
      <c r="J4929" t="s">
        <v>64</v>
      </c>
      <c r="K4929" s="6">
        <v>0.03</v>
      </c>
      <c r="L4929" s="7">
        <f t="shared" si="153"/>
        <v>2E-3</v>
      </c>
      <c r="M4929" s="7">
        <v>3.0000000000000001E-3</v>
      </c>
      <c r="N4929">
        <v>11</v>
      </c>
      <c r="O4929" s="8">
        <v>19.127752698369598</v>
      </c>
      <c r="P4929" s="9">
        <v>19.127752698369598</v>
      </c>
      <c r="Q4929" s="9">
        <v>19.127752698369598</v>
      </c>
      <c r="R4929" s="9">
        <v>19.588754687607715</v>
      </c>
      <c r="S4929" s="9">
        <v>19.892211826137899</v>
      </c>
      <c r="T4929" s="9">
        <v>20.64455772606674</v>
      </c>
      <c r="U4929" s="9">
        <v>22.020224218035128</v>
      </c>
      <c r="V4929" s="9">
        <v>22.020224218035128</v>
      </c>
      <c r="W4929" s="9">
        <v>22.020224218035128</v>
      </c>
      <c r="X4929" s="9">
        <v>24.004435739730138</v>
      </c>
      <c r="Y4929" s="9">
        <v>24.004435739730138</v>
      </c>
      <c r="Z4929" s="9">
        <v>26.075582265671787</v>
      </c>
      <c r="AA4929" s="9">
        <v>26.075582265671787</v>
      </c>
      <c r="AB4929" s="9">
        <v>28.242357296284759</v>
      </c>
      <c r="AC4929" s="9">
        <v>28.242357296284759</v>
      </c>
      <c r="AD4929" s="9">
        <v>32.278785457330969</v>
      </c>
      <c r="AE4929" s="9">
        <v>34.228944830548365</v>
      </c>
      <c r="AF4929" s="9">
        <v>36.293711230319367</v>
      </c>
      <c r="AG4929" s="9">
        <v>36.293711230319367</v>
      </c>
      <c r="AH4929" s="9">
        <v>39.230142171980006</v>
      </c>
      <c r="AI4929" s="9">
        <v>41.357809622501556</v>
      </c>
      <c r="AJ4929" s="9">
        <v>3.0428788910505911</v>
      </c>
    </row>
    <row r="4930" spans="1:36" x14ac:dyDescent="0.25">
      <c r="A4930" t="s">
        <v>5411</v>
      </c>
      <c r="B4930" t="s">
        <v>16</v>
      </c>
      <c r="C4930" t="s">
        <v>17</v>
      </c>
      <c r="D4930">
        <v>85935000</v>
      </c>
      <c r="E4930">
        <v>85939999</v>
      </c>
      <c r="F4930" t="s">
        <v>4475</v>
      </c>
      <c r="G4930" t="str">
        <f t="shared" si="152"/>
        <v>PRI II</v>
      </c>
      <c r="H4930" t="s">
        <v>4294</v>
      </c>
      <c r="I4930" t="s">
        <v>20</v>
      </c>
      <c r="J4930" t="s">
        <v>64</v>
      </c>
      <c r="K4930" s="6">
        <v>0.03</v>
      </c>
      <c r="L4930" s="7">
        <f t="shared" si="153"/>
        <v>2E-3</v>
      </c>
      <c r="M4930" s="7">
        <v>3.0000000000000001E-3</v>
      </c>
      <c r="N4930">
        <v>11</v>
      </c>
      <c r="O4930" s="8">
        <v>19.127752698369598</v>
      </c>
      <c r="P4930" s="9">
        <v>19.127752698369598</v>
      </c>
      <c r="Q4930" s="9">
        <v>19.127752698369598</v>
      </c>
      <c r="R4930" s="9">
        <v>19.588754687607715</v>
      </c>
      <c r="S4930" s="9">
        <v>19.892211826137899</v>
      </c>
      <c r="T4930" s="9">
        <v>20.64455772606674</v>
      </c>
      <c r="U4930" s="9">
        <v>22.020224218035128</v>
      </c>
      <c r="V4930" s="9">
        <v>22.020224218035128</v>
      </c>
      <c r="W4930" s="9">
        <v>22.020224218035128</v>
      </c>
      <c r="X4930" s="9">
        <v>24.004435739730138</v>
      </c>
      <c r="Y4930" s="9">
        <v>24.004435739730138</v>
      </c>
      <c r="Z4930" s="9">
        <v>26.075582265671787</v>
      </c>
      <c r="AA4930" s="9">
        <v>26.075582265671787</v>
      </c>
      <c r="AB4930" s="9">
        <v>28.242357296284759</v>
      </c>
      <c r="AC4930" s="9">
        <v>28.242357296284759</v>
      </c>
      <c r="AD4930" s="9">
        <v>32.278785457330969</v>
      </c>
      <c r="AE4930" s="9">
        <v>34.228944830548365</v>
      </c>
      <c r="AF4930" s="9">
        <v>36.293711230319367</v>
      </c>
      <c r="AG4930" s="9">
        <v>36.293711230319367</v>
      </c>
      <c r="AH4930" s="9">
        <v>39.230142171980006</v>
      </c>
      <c r="AI4930" s="9">
        <v>41.357809622501556</v>
      </c>
      <c r="AJ4930" s="9">
        <v>3.0428788910505911</v>
      </c>
    </row>
    <row r="4931" spans="1:36" x14ac:dyDescent="0.25">
      <c r="A4931" t="s">
        <v>5411</v>
      </c>
      <c r="B4931" t="s">
        <v>16</v>
      </c>
      <c r="C4931" t="s">
        <v>17</v>
      </c>
      <c r="D4931">
        <v>85940000</v>
      </c>
      <c r="E4931">
        <v>85944999</v>
      </c>
      <c r="F4931" t="s">
        <v>4476</v>
      </c>
      <c r="G4931" t="str">
        <f t="shared" si="152"/>
        <v>PRI II</v>
      </c>
      <c r="H4931" t="s">
        <v>4294</v>
      </c>
      <c r="I4931" t="s">
        <v>20</v>
      </c>
      <c r="J4931" t="s">
        <v>64</v>
      </c>
      <c r="K4931" s="6">
        <v>0.03</v>
      </c>
      <c r="L4931" s="7">
        <f t="shared" si="153"/>
        <v>2E-3</v>
      </c>
      <c r="M4931" s="7">
        <v>3.0000000000000001E-3</v>
      </c>
      <c r="N4931">
        <v>11</v>
      </c>
      <c r="O4931" s="8">
        <v>19.127752698369598</v>
      </c>
      <c r="P4931" s="9">
        <v>19.127752698369598</v>
      </c>
      <c r="Q4931" s="9">
        <v>19.127752698369598</v>
      </c>
      <c r="R4931" s="9">
        <v>19.588754687607715</v>
      </c>
      <c r="S4931" s="9">
        <v>19.892211826137899</v>
      </c>
      <c r="T4931" s="9">
        <v>20.64455772606674</v>
      </c>
      <c r="U4931" s="9">
        <v>22.020224218035128</v>
      </c>
      <c r="V4931" s="9">
        <v>22.020224218035128</v>
      </c>
      <c r="W4931" s="9">
        <v>22.020224218035128</v>
      </c>
      <c r="X4931" s="9">
        <v>24.004435739730138</v>
      </c>
      <c r="Y4931" s="9">
        <v>24.004435739730138</v>
      </c>
      <c r="Z4931" s="9">
        <v>26.075582265671787</v>
      </c>
      <c r="AA4931" s="9">
        <v>26.075582265671787</v>
      </c>
      <c r="AB4931" s="9">
        <v>28.242357296284759</v>
      </c>
      <c r="AC4931" s="9">
        <v>28.242357296284759</v>
      </c>
      <c r="AD4931" s="9">
        <v>32.278785457330969</v>
      </c>
      <c r="AE4931" s="9">
        <v>34.228944830548365</v>
      </c>
      <c r="AF4931" s="9">
        <v>36.293711230319367</v>
      </c>
      <c r="AG4931" s="9">
        <v>36.293711230319367</v>
      </c>
      <c r="AH4931" s="9">
        <v>39.230142171980006</v>
      </c>
      <c r="AI4931" s="9">
        <v>41.357809622501556</v>
      </c>
      <c r="AJ4931" s="9">
        <v>3.0428788910505911</v>
      </c>
    </row>
    <row r="4932" spans="1:36" x14ac:dyDescent="0.25">
      <c r="A4932" t="s">
        <v>5411</v>
      </c>
      <c r="B4932" t="s">
        <v>16</v>
      </c>
      <c r="C4932" t="s">
        <v>17</v>
      </c>
      <c r="D4932">
        <v>85945000</v>
      </c>
      <c r="E4932">
        <v>85947999</v>
      </c>
      <c r="F4932" t="s">
        <v>4477</v>
      </c>
      <c r="G4932" t="str">
        <f t="shared" ref="G4932:G4995" si="154">H4932&amp;IF(J4932="CAPITAL","C",IF(J4932="INTERIOR","I",IF(J4932="INTERIOR II","I II","R")))</f>
        <v>PRI II</v>
      </c>
      <c r="H4932" t="s">
        <v>4294</v>
      </c>
      <c r="I4932" t="s">
        <v>20</v>
      </c>
      <c r="J4932" t="s">
        <v>64</v>
      </c>
      <c r="K4932" s="6">
        <v>0.03</v>
      </c>
      <c r="L4932" s="7">
        <f t="shared" ref="L4932:L4995" si="155">IF(I4932="(0) Não",0.2%,3%)</f>
        <v>2E-3</v>
      </c>
      <c r="M4932" s="7">
        <v>3.0000000000000001E-3</v>
      </c>
      <c r="N4932">
        <v>11</v>
      </c>
      <c r="O4932" s="8">
        <v>19.127752698369598</v>
      </c>
      <c r="P4932" s="9">
        <v>19.127752698369598</v>
      </c>
      <c r="Q4932" s="9">
        <v>19.127752698369598</v>
      </c>
      <c r="R4932" s="9">
        <v>19.588754687607715</v>
      </c>
      <c r="S4932" s="9">
        <v>19.892211826137899</v>
      </c>
      <c r="T4932" s="9">
        <v>20.64455772606674</v>
      </c>
      <c r="U4932" s="9">
        <v>22.020224218035128</v>
      </c>
      <c r="V4932" s="9">
        <v>22.020224218035128</v>
      </c>
      <c r="W4932" s="9">
        <v>22.020224218035128</v>
      </c>
      <c r="X4932" s="9">
        <v>24.004435739730138</v>
      </c>
      <c r="Y4932" s="9">
        <v>24.004435739730138</v>
      </c>
      <c r="Z4932" s="9">
        <v>26.075582265671787</v>
      </c>
      <c r="AA4932" s="9">
        <v>26.075582265671787</v>
      </c>
      <c r="AB4932" s="9">
        <v>28.242357296284759</v>
      </c>
      <c r="AC4932" s="9">
        <v>28.242357296284759</v>
      </c>
      <c r="AD4932" s="9">
        <v>32.278785457330969</v>
      </c>
      <c r="AE4932" s="9">
        <v>34.228944830548365</v>
      </c>
      <c r="AF4932" s="9">
        <v>36.293711230319367</v>
      </c>
      <c r="AG4932" s="9">
        <v>36.293711230319367</v>
      </c>
      <c r="AH4932" s="9">
        <v>39.230142171980006</v>
      </c>
      <c r="AI4932" s="9">
        <v>41.357809622501556</v>
      </c>
      <c r="AJ4932" s="9">
        <v>3.0428788910505911</v>
      </c>
    </row>
    <row r="4933" spans="1:36" x14ac:dyDescent="0.25">
      <c r="A4933" t="s">
        <v>5411</v>
      </c>
      <c r="B4933" t="s">
        <v>16</v>
      </c>
      <c r="C4933" t="s">
        <v>17</v>
      </c>
      <c r="D4933">
        <v>85948000</v>
      </c>
      <c r="E4933">
        <v>85949999</v>
      </c>
      <c r="F4933" t="s">
        <v>4478</v>
      </c>
      <c r="G4933" t="str">
        <f t="shared" si="154"/>
        <v>PRI II</v>
      </c>
      <c r="H4933" t="s">
        <v>4294</v>
      </c>
      <c r="I4933" t="s">
        <v>20</v>
      </c>
      <c r="J4933" t="s">
        <v>64</v>
      </c>
      <c r="K4933" s="6">
        <v>0.03</v>
      </c>
      <c r="L4933" s="7">
        <f t="shared" si="155"/>
        <v>2E-3</v>
      </c>
      <c r="M4933" s="7">
        <v>3.0000000000000001E-3</v>
      </c>
      <c r="N4933">
        <v>11</v>
      </c>
      <c r="O4933" s="8">
        <v>19.127752698369598</v>
      </c>
      <c r="P4933" s="9">
        <v>19.127752698369598</v>
      </c>
      <c r="Q4933" s="9">
        <v>19.127752698369598</v>
      </c>
      <c r="R4933" s="9">
        <v>19.588754687607715</v>
      </c>
      <c r="S4933" s="9">
        <v>19.892211826137899</v>
      </c>
      <c r="T4933" s="9">
        <v>20.64455772606674</v>
      </c>
      <c r="U4933" s="9">
        <v>22.020224218035128</v>
      </c>
      <c r="V4933" s="9">
        <v>22.020224218035128</v>
      </c>
      <c r="W4933" s="9">
        <v>22.020224218035128</v>
      </c>
      <c r="X4933" s="9">
        <v>24.004435739730138</v>
      </c>
      <c r="Y4933" s="9">
        <v>24.004435739730138</v>
      </c>
      <c r="Z4933" s="9">
        <v>26.075582265671787</v>
      </c>
      <c r="AA4933" s="9">
        <v>26.075582265671787</v>
      </c>
      <c r="AB4933" s="9">
        <v>28.242357296284759</v>
      </c>
      <c r="AC4933" s="9">
        <v>28.242357296284759</v>
      </c>
      <c r="AD4933" s="9">
        <v>32.278785457330969</v>
      </c>
      <c r="AE4933" s="9">
        <v>34.228944830548365</v>
      </c>
      <c r="AF4933" s="9">
        <v>36.293711230319367</v>
      </c>
      <c r="AG4933" s="9">
        <v>36.293711230319367</v>
      </c>
      <c r="AH4933" s="9">
        <v>39.230142171980006</v>
      </c>
      <c r="AI4933" s="9">
        <v>41.357809622501556</v>
      </c>
      <c r="AJ4933" s="9">
        <v>3.0428788910505911</v>
      </c>
    </row>
    <row r="4934" spans="1:36" x14ac:dyDescent="0.25">
      <c r="A4934" t="s">
        <v>5411</v>
      </c>
      <c r="B4934" t="s">
        <v>16</v>
      </c>
      <c r="C4934" t="s">
        <v>17</v>
      </c>
      <c r="D4934">
        <v>85950000</v>
      </c>
      <c r="E4934">
        <v>85954999</v>
      </c>
      <c r="F4934" t="s">
        <v>4479</v>
      </c>
      <c r="G4934" t="str">
        <f t="shared" si="154"/>
        <v>PRI</v>
      </c>
      <c r="H4934" t="s">
        <v>4294</v>
      </c>
      <c r="I4934" t="s">
        <v>20</v>
      </c>
      <c r="J4934" t="s">
        <v>62</v>
      </c>
      <c r="K4934" s="6">
        <v>0.03</v>
      </c>
      <c r="L4934" s="7">
        <f t="shared" si="155"/>
        <v>2E-3</v>
      </c>
      <c r="M4934" s="7">
        <v>3.0000000000000001E-3</v>
      </c>
      <c r="N4934">
        <v>9</v>
      </c>
      <c r="O4934" s="8">
        <v>16.344178346561137</v>
      </c>
      <c r="P4934" s="9">
        <v>16.344178346561137</v>
      </c>
      <c r="Q4934" s="9">
        <v>16.344178346561137</v>
      </c>
      <c r="R4934" s="9">
        <v>16.766533722582309</v>
      </c>
      <c r="S4934" s="9">
        <v>17.709108795625173</v>
      </c>
      <c r="T4934" s="9">
        <v>18.545760454647645</v>
      </c>
      <c r="U4934" s="9">
        <v>20.10723313448154</v>
      </c>
      <c r="V4934" s="9">
        <v>20.10723313448154</v>
      </c>
      <c r="W4934" s="9">
        <v>20.10723313448154</v>
      </c>
      <c r="X4934" s="9">
        <v>21.240951506551678</v>
      </c>
      <c r="Y4934" s="9">
        <v>21.240951506551678</v>
      </c>
      <c r="Z4934" s="9">
        <v>22.557015615717738</v>
      </c>
      <c r="AA4934" s="9">
        <v>22.557015615717738</v>
      </c>
      <c r="AB4934" s="9">
        <v>26.056112270527457</v>
      </c>
      <c r="AC4934" s="9">
        <v>26.056112270527457</v>
      </c>
      <c r="AD4934" s="9">
        <v>30.142276170369946</v>
      </c>
      <c r="AE4934" s="9">
        <v>32.940531048263779</v>
      </c>
      <c r="AF4934" s="9">
        <v>35.920735279325392</v>
      </c>
      <c r="AG4934" s="9">
        <v>35.920735279325392</v>
      </c>
      <c r="AH4934" s="9">
        <v>38.62832670141978</v>
      </c>
      <c r="AI4934" s="9">
        <v>41.239207360528972</v>
      </c>
      <c r="AJ4934" s="9">
        <v>3.0428788910505911</v>
      </c>
    </row>
    <row r="4935" spans="1:36" x14ac:dyDescent="0.25">
      <c r="A4935" t="s">
        <v>5411</v>
      </c>
      <c r="B4935" t="s">
        <v>16</v>
      </c>
      <c r="C4935" t="s">
        <v>17</v>
      </c>
      <c r="D4935">
        <v>85955000</v>
      </c>
      <c r="E4935">
        <v>85959999</v>
      </c>
      <c r="F4935" t="s">
        <v>4480</v>
      </c>
      <c r="G4935" t="str">
        <f t="shared" si="154"/>
        <v>PRI II</v>
      </c>
      <c r="H4935" t="s">
        <v>4294</v>
      </c>
      <c r="I4935" t="s">
        <v>20</v>
      </c>
      <c r="J4935" t="s">
        <v>64</v>
      </c>
      <c r="K4935" s="6">
        <v>0.03</v>
      </c>
      <c r="L4935" s="7">
        <f t="shared" si="155"/>
        <v>2E-3</v>
      </c>
      <c r="M4935" s="7">
        <v>3.0000000000000001E-3</v>
      </c>
      <c r="N4935">
        <v>11</v>
      </c>
      <c r="O4935" s="8">
        <v>19.127752698369598</v>
      </c>
      <c r="P4935" s="9">
        <v>19.127752698369598</v>
      </c>
      <c r="Q4935" s="9">
        <v>19.127752698369598</v>
      </c>
      <c r="R4935" s="9">
        <v>19.588754687607715</v>
      </c>
      <c r="S4935" s="9">
        <v>19.892211826137899</v>
      </c>
      <c r="T4935" s="9">
        <v>20.64455772606674</v>
      </c>
      <c r="U4935" s="9">
        <v>22.020224218035128</v>
      </c>
      <c r="V4935" s="9">
        <v>22.020224218035128</v>
      </c>
      <c r="W4935" s="9">
        <v>22.020224218035128</v>
      </c>
      <c r="X4935" s="9">
        <v>24.004435739730138</v>
      </c>
      <c r="Y4935" s="9">
        <v>24.004435739730138</v>
      </c>
      <c r="Z4935" s="9">
        <v>26.075582265671787</v>
      </c>
      <c r="AA4935" s="9">
        <v>26.075582265671787</v>
      </c>
      <c r="AB4935" s="9">
        <v>28.242357296284759</v>
      </c>
      <c r="AC4935" s="9">
        <v>28.242357296284759</v>
      </c>
      <c r="AD4935" s="9">
        <v>32.278785457330969</v>
      </c>
      <c r="AE4935" s="9">
        <v>34.228944830548365</v>
      </c>
      <c r="AF4935" s="9">
        <v>36.293711230319367</v>
      </c>
      <c r="AG4935" s="9">
        <v>36.293711230319367</v>
      </c>
      <c r="AH4935" s="9">
        <v>39.230142171980006</v>
      </c>
      <c r="AI4935" s="9">
        <v>41.357809622501556</v>
      </c>
      <c r="AJ4935" s="9">
        <v>3.0428788910505911</v>
      </c>
    </row>
    <row r="4936" spans="1:36" x14ac:dyDescent="0.25">
      <c r="A4936" t="s">
        <v>5411</v>
      </c>
      <c r="B4936" t="s">
        <v>16</v>
      </c>
      <c r="C4936" t="s">
        <v>17</v>
      </c>
      <c r="D4936">
        <v>85960000</v>
      </c>
      <c r="E4936">
        <v>85979999</v>
      </c>
      <c r="F4936" t="s">
        <v>4481</v>
      </c>
      <c r="G4936" t="str">
        <f t="shared" si="154"/>
        <v>PRI</v>
      </c>
      <c r="H4936" t="s">
        <v>4294</v>
      </c>
      <c r="I4936" t="s">
        <v>20</v>
      </c>
      <c r="J4936" t="s">
        <v>62</v>
      </c>
      <c r="K4936" s="6">
        <v>0.03</v>
      </c>
      <c r="L4936" s="7">
        <f t="shared" si="155"/>
        <v>2E-3</v>
      </c>
      <c r="M4936" s="7">
        <v>3.0000000000000001E-3</v>
      </c>
      <c r="N4936">
        <v>9</v>
      </c>
      <c r="O4936" s="8">
        <v>16.344178346561137</v>
      </c>
      <c r="P4936" s="9">
        <v>16.344178346561137</v>
      </c>
      <c r="Q4936" s="9">
        <v>16.344178346561137</v>
      </c>
      <c r="R4936" s="9">
        <v>16.766533722582309</v>
      </c>
      <c r="S4936" s="9">
        <v>17.709108795625173</v>
      </c>
      <c r="T4936" s="9">
        <v>18.545760454647645</v>
      </c>
      <c r="U4936" s="9">
        <v>20.10723313448154</v>
      </c>
      <c r="V4936" s="9">
        <v>20.10723313448154</v>
      </c>
      <c r="W4936" s="9">
        <v>20.10723313448154</v>
      </c>
      <c r="X4936" s="9">
        <v>21.240951506551678</v>
      </c>
      <c r="Y4936" s="9">
        <v>21.240951506551678</v>
      </c>
      <c r="Z4936" s="9">
        <v>22.557015615717738</v>
      </c>
      <c r="AA4936" s="9">
        <v>22.557015615717738</v>
      </c>
      <c r="AB4936" s="9">
        <v>26.056112270527457</v>
      </c>
      <c r="AC4936" s="9">
        <v>26.056112270527457</v>
      </c>
      <c r="AD4936" s="9">
        <v>30.142276170369946</v>
      </c>
      <c r="AE4936" s="9">
        <v>32.940531048263779</v>
      </c>
      <c r="AF4936" s="9">
        <v>35.920735279325392</v>
      </c>
      <c r="AG4936" s="9">
        <v>35.920735279325392</v>
      </c>
      <c r="AH4936" s="9">
        <v>38.62832670141978</v>
      </c>
      <c r="AI4936" s="9">
        <v>41.239207360528972</v>
      </c>
      <c r="AJ4936" s="9">
        <v>3.0428788910505911</v>
      </c>
    </row>
    <row r="4937" spans="1:36" x14ac:dyDescent="0.25">
      <c r="A4937" t="s">
        <v>5411</v>
      </c>
      <c r="B4937" t="s">
        <v>16</v>
      </c>
      <c r="C4937" t="s">
        <v>17</v>
      </c>
      <c r="D4937">
        <v>85980000</v>
      </c>
      <c r="E4937">
        <v>85987999</v>
      </c>
      <c r="F4937" t="s">
        <v>272</v>
      </c>
      <c r="G4937" t="str">
        <f t="shared" si="154"/>
        <v>PRI II</v>
      </c>
      <c r="H4937" t="s">
        <v>4294</v>
      </c>
      <c r="I4937" t="s">
        <v>20</v>
      </c>
      <c r="J4937" t="s">
        <v>64</v>
      </c>
      <c r="K4937" s="6">
        <v>0.03</v>
      </c>
      <c r="L4937" s="7">
        <f t="shared" si="155"/>
        <v>2E-3</v>
      </c>
      <c r="M4937" s="7">
        <v>3.0000000000000001E-3</v>
      </c>
      <c r="N4937">
        <v>11</v>
      </c>
      <c r="O4937" s="8">
        <v>19.127752698369598</v>
      </c>
      <c r="P4937" s="9">
        <v>19.127752698369598</v>
      </c>
      <c r="Q4937" s="9">
        <v>19.127752698369598</v>
      </c>
      <c r="R4937" s="9">
        <v>19.588754687607715</v>
      </c>
      <c r="S4937" s="9">
        <v>19.892211826137899</v>
      </c>
      <c r="T4937" s="9">
        <v>20.64455772606674</v>
      </c>
      <c r="U4937" s="9">
        <v>22.020224218035128</v>
      </c>
      <c r="V4937" s="9">
        <v>22.020224218035128</v>
      </c>
      <c r="W4937" s="9">
        <v>22.020224218035128</v>
      </c>
      <c r="X4937" s="9">
        <v>24.004435739730138</v>
      </c>
      <c r="Y4937" s="9">
        <v>24.004435739730138</v>
      </c>
      <c r="Z4937" s="9">
        <v>26.075582265671787</v>
      </c>
      <c r="AA4937" s="9">
        <v>26.075582265671787</v>
      </c>
      <c r="AB4937" s="9">
        <v>28.242357296284759</v>
      </c>
      <c r="AC4937" s="9">
        <v>28.242357296284759</v>
      </c>
      <c r="AD4937" s="9">
        <v>32.278785457330969</v>
      </c>
      <c r="AE4937" s="9">
        <v>34.228944830548365</v>
      </c>
      <c r="AF4937" s="9">
        <v>36.293711230319367</v>
      </c>
      <c r="AG4937" s="9">
        <v>36.293711230319367</v>
      </c>
      <c r="AH4937" s="9">
        <v>39.230142171980006</v>
      </c>
      <c r="AI4937" s="9">
        <v>41.357809622501556</v>
      </c>
      <c r="AJ4937" s="9">
        <v>3.0428788910505911</v>
      </c>
    </row>
    <row r="4938" spans="1:36" x14ac:dyDescent="0.25">
      <c r="A4938" t="s">
        <v>5411</v>
      </c>
      <c r="B4938" t="s">
        <v>16</v>
      </c>
      <c r="C4938" t="s">
        <v>17</v>
      </c>
      <c r="D4938">
        <v>85988000</v>
      </c>
      <c r="E4938">
        <v>85989999</v>
      </c>
      <c r="F4938" t="s">
        <v>4482</v>
      </c>
      <c r="G4938" t="str">
        <f t="shared" si="154"/>
        <v>PRI II</v>
      </c>
      <c r="H4938" t="s">
        <v>4294</v>
      </c>
      <c r="I4938" t="s">
        <v>20</v>
      </c>
      <c r="J4938" t="s">
        <v>64</v>
      </c>
      <c r="K4938" s="6">
        <v>0.03</v>
      </c>
      <c r="L4938" s="7">
        <f t="shared" si="155"/>
        <v>2E-3</v>
      </c>
      <c r="M4938" s="7">
        <v>3.0000000000000001E-3</v>
      </c>
      <c r="N4938">
        <v>11</v>
      </c>
      <c r="O4938" s="8">
        <v>19.127752698369598</v>
      </c>
      <c r="P4938" s="9">
        <v>19.127752698369598</v>
      </c>
      <c r="Q4938" s="9">
        <v>19.127752698369598</v>
      </c>
      <c r="R4938" s="9">
        <v>19.588754687607715</v>
      </c>
      <c r="S4938" s="9">
        <v>19.892211826137899</v>
      </c>
      <c r="T4938" s="9">
        <v>20.64455772606674</v>
      </c>
      <c r="U4938" s="9">
        <v>22.020224218035128</v>
      </c>
      <c r="V4938" s="9">
        <v>22.020224218035128</v>
      </c>
      <c r="W4938" s="9">
        <v>22.020224218035128</v>
      </c>
      <c r="X4938" s="9">
        <v>24.004435739730138</v>
      </c>
      <c r="Y4938" s="9">
        <v>24.004435739730138</v>
      </c>
      <c r="Z4938" s="9">
        <v>26.075582265671787</v>
      </c>
      <c r="AA4938" s="9">
        <v>26.075582265671787</v>
      </c>
      <c r="AB4938" s="9">
        <v>28.242357296284759</v>
      </c>
      <c r="AC4938" s="9">
        <v>28.242357296284759</v>
      </c>
      <c r="AD4938" s="9">
        <v>32.278785457330969</v>
      </c>
      <c r="AE4938" s="9">
        <v>34.228944830548365</v>
      </c>
      <c r="AF4938" s="9">
        <v>36.293711230319367</v>
      </c>
      <c r="AG4938" s="9">
        <v>36.293711230319367</v>
      </c>
      <c r="AH4938" s="9">
        <v>39.230142171980006</v>
      </c>
      <c r="AI4938" s="9">
        <v>41.357809622501556</v>
      </c>
      <c r="AJ4938" s="9">
        <v>3.0428788910505911</v>
      </c>
    </row>
    <row r="4939" spans="1:36" x14ac:dyDescent="0.25">
      <c r="A4939" t="s">
        <v>5411</v>
      </c>
      <c r="B4939" t="s">
        <v>16</v>
      </c>
      <c r="C4939" t="s">
        <v>17</v>
      </c>
      <c r="D4939">
        <v>85990000</v>
      </c>
      <c r="E4939">
        <v>85997999</v>
      </c>
      <c r="F4939" t="s">
        <v>266</v>
      </c>
      <c r="G4939" t="str">
        <f t="shared" si="154"/>
        <v>PRI II</v>
      </c>
      <c r="H4939" t="s">
        <v>4294</v>
      </c>
      <c r="I4939" t="s">
        <v>20</v>
      </c>
      <c r="J4939" t="s">
        <v>64</v>
      </c>
      <c r="K4939" s="6">
        <v>0.03</v>
      </c>
      <c r="L4939" s="7">
        <f t="shared" si="155"/>
        <v>2E-3</v>
      </c>
      <c r="M4939" s="7">
        <v>3.0000000000000001E-3</v>
      </c>
      <c r="N4939">
        <v>11</v>
      </c>
      <c r="O4939" s="8">
        <v>19.127752698369598</v>
      </c>
      <c r="P4939" s="9">
        <v>19.127752698369598</v>
      </c>
      <c r="Q4939" s="9">
        <v>19.127752698369598</v>
      </c>
      <c r="R4939" s="9">
        <v>19.588754687607715</v>
      </c>
      <c r="S4939" s="9">
        <v>19.892211826137899</v>
      </c>
      <c r="T4939" s="9">
        <v>20.64455772606674</v>
      </c>
      <c r="U4939" s="9">
        <v>22.020224218035128</v>
      </c>
      <c r="V4939" s="9">
        <v>22.020224218035128</v>
      </c>
      <c r="W4939" s="9">
        <v>22.020224218035128</v>
      </c>
      <c r="X4939" s="9">
        <v>24.004435739730138</v>
      </c>
      <c r="Y4939" s="9">
        <v>24.004435739730138</v>
      </c>
      <c r="Z4939" s="9">
        <v>26.075582265671787</v>
      </c>
      <c r="AA4939" s="9">
        <v>26.075582265671787</v>
      </c>
      <c r="AB4939" s="9">
        <v>28.242357296284759</v>
      </c>
      <c r="AC4939" s="9">
        <v>28.242357296284759</v>
      </c>
      <c r="AD4939" s="9">
        <v>32.278785457330969</v>
      </c>
      <c r="AE4939" s="9">
        <v>34.228944830548365</v>
      </c>
      <c r="AF4939" s="9">
        <v>36.293711230319367</v>
      </c>
      <c r="AG4939" s="9">
        <v>36.293711230319367</v>
      </c>
      <c r="AH4939" s="9">
        <v>39.230142171980006</v>
      </c>
      <c r="AI4939" s="9">
        <v>41.357809622501556</v>
      </c>
      <c r="AJ4939" s="9">
        <v>3.0428788910505911</v>
      </c>
    </row>
    <row r="4940" spans="1:36" x14ac:dyDescent="0.25">
      <c r="A4940" t="s">
        <v>5411</v>
      </c>
      <c r="B4940" t="s">
        <v>16</v>
      </c>
      <c r="C4940" t="s">
        <v>17</v>
      </c>
      <c r="D4940">
        <v>85998000</v>
      </c>
      <c r="E4940">
        <v>85999999</v>
      </c>
      <c r="F4940" t="s">
        <v>4483</v>
      </c>
      <c r="G4940" t="str">
        <f t="shared" si="154"/>
        <v>PRI II</v>
      </c>
      <c r="H4940" t="s">
        <v>4294</v>
      </c>
      <c r="I4940" t="s">
        <v>20</v>
      </c>
      <c r="J4940" t="s">
        <v>64</v>
      </c>
      <c r="K4940" s="6">
        <v>0.03</v>
      </c>
      <c r="L4940" s="7">
        <f t="shared" si="155"/>
        <v>2E-3</v>
      </c>
      <c r="M4940" s="7">
        <v>3.0000000000000001E-3</v>
      </c>
      <c r="N4940">
        <v>11</v>
      </c>
      <c r="O4940" s="8">
        <v>19.127752698369598</v>
      </c>
      <c r="P4940" s="9">
        <v>19.127752698369598</v>
      </c>
      <c r="Q4940" s="9">
        <v>19.127752698369598</v>
      </c>
      <c r="R4940" s="9">
        <v>19.588754687607715</v>
      </c>
      <c r="S4940" s="9">
        <v>19.892211826137899</v>
      </c>
      <c r="T4940" s="9">
        <v>20.64455772606674</v>
      </c>
      <c r="U4940" s="9">
        <v>22.020224218035128</v>
      </c>
      <c r="V4940" s="9">
        <v>22.020224218035128</v>
      </c>
      <c r="W4940" s="9">
        <v>22.020224218035128</v>
      </c>
      <c r="X4940" s="9">
        <v>24.004435739730138</v>
      </c>
      <c r="Y4940" s="9">
        <v>24.004435739730138</v>
      </c>
      <c r="Z4940" s="9">
        <v>26.075582265671787</v>
      </c>
      <c r="AA4940" s="9">
        <v>26.075582265671787</v>
      </c>
      <c r="AB4940" s="9">
        <v>28.242357296284759</v>
      </c>
      <c r="AC4940" s="9">
        <v>28.242357296284759</v>
      </c>
      <c r="AD4940" s="9">
        <v>32.278785457330969</v>
      </c>
      <c r="AE4940" s="9">
        <v>34.228944830548365</v>
      </c>
      <c r="AF4940" s="9">
        <v>36.293711230319367</v>
      </c>
      <c r="AG4940" s="9">
        <v>36.293711230319367</v>
      </c>
      <c r="AH4940" s="9">
        <v>39.230142171980006</v>
      </c>
      <c r="AI4940" s="9">
        <v>41.357809622501556</v>
      </c>
      <c r="AJ4940" s="9">
        <v>3.0428788910505911</v>
      </c>
    </row>
    <row r="4941" spans="1:36" x14ac:dyDescent="0.25">
      <c r="A4941" t="s">
        <v>5411</v>
      </c>
      <c r="B4941" t="s">
        <v>16</v>
      </c>
      <c r="C4941" t="s">
        <v>17</v>
      </c>
      <c r="D4941">
        <v>86000000</v>
      </c>
      <c r="E4941">
        <v>86124999</v>
      </c>
      <c r="F4941" t="s">
        <v>4484</v>
      </c>
      <c r="G4941" t="str">
        <f t="shared" si="154"/>
        <v>PRI</v>
      </c>
      <c r="H4941" t="s">
        <v>4294</v>
      </c>
      <c r="I4941" t="s">
        <v>20</v>
      </c>
      <c r="J4941" t="s">
        <v>62</v>
      </c>
      <c r="K4941" s="6">
        <v>0.03</v>
      </c>
      <c r="L4941" s="7">
        <f t="shared" si="155"/>
        <v>2E-3</v>
      </c>
      <c r="M4941" s="7">
        <v>3.0000000000000001E-3</v>
      </c>
      <c r="N4941">
        <v>8</v>
      </c>
      <c r="O4941" s="8">
        <v>16.344178346561137</v>
      </c>
      <c r="P4941" s="9">
        <v>16.344178346561137</v>
      </c>
      <c r="Q4941" s="9">
        <v>16.344178346561137</v>
      </c>
      <c r="R4941" s="9">
        <v>16.766533722582309</v>
      </c>
      <c r="S4941" s="9">
        <v>17.709108795625173</v>
      </c>
      <c r="T4941" s="9">
        <v>18.545760454647645</v>
      </c>
      <c r="U4941" s="9">
        <v>20.10723313448154</v>
      </c>
      <c r="V4941" s="9">
        <v>20.10723313448154</v>
      </c>
      <c r="W4941" s="9">
        <v>20.10723313448154</v>
      </c>
      <c r="X4941" s="9">
        <v>21.240951506551678</v>
      </c>
      <c r="Y4941" s="9">
        <v>21.240951506551678</v>
      </c>
      <c r="Z4941" s="9">
        <v>22.557015615717738</v>
      </c>
      <c r="AA4941" s="9">
        <v>22.557015615717738</v>
      </c>
      <c r="AB4941" s="9">
        <v>26.056112270527457</v>
      </c>
      <c r="AC4941" s="9">
        <v>26.056112270527457</v>
      </c>
      <c r="AD4941" s="9">
        <v>30.142276170369946</v>
      </c>
      <c r="AE4941" s="9">
        <v>32.940531048263779</v>
      </c>
      <c r="AF4941" s="9">
        <v>35.920735279325392</v>
      </c>
      <c r="AG4941" s="9">
        <v>35.920735279325392</v>
      </c>
      <c r="AH4941" s="9">
        <v>38.62832670141978</v>
      </c>
      <c r="AI4941" s="9">
        <v>41.239207360528972</v>
      </c>
      <c r="AJ4941" s="9">
        <v>3.0428788910505911</v>
      </c>
    </row>
    <row r="4942" spans="1:36" x14ac:dyDescent="0.25">
      <c r="A4942" t="s">
        <v>5411</v>
      </c>
      <c r="B4942" t="s">
        <v>16</v>
      </c>
      <c r="C4942" t="s">
        <v>17</v>
      </c>
      <c r="D4942">
        <v>86125000</v>
      </c>
      <c r="E4942">
        <v>86129999</v>
      </c>
      <c r="F4942" t="s">
        <v>4485</v>
      </c>
      <c r="G4942" t="str">
        <f t="shared" si="154"/>
        <v>PRI II</v>
      </c>
      <c r="H4942" t="s">
        <v>4294</v>
      </c>
      <c r="I4942" t="s">
        <v>20</v>
      </c>
      <c r="J4942" t="s">
        <v>64</v>
      </c>
      <c r="K4942" s="6">
        <v>0.03</v>
      </c>
      <c r="L4942" s="7">
        <f t="shared" si="155"/>
        <v>2E-3</v>
      </c>
      <c r="M4942" s="7">
        <v>3.0000000000000001E-3</v>
      </c>
      <c r="N4942">
        <v>11</v>
      </c>
      <c r="O4942" s="8">
        <v>19.127752698369598</v>
      </c>
      <c r="P4942" s="9">
        <v>19.127752698369598</v>
      </c>
      <c r="Q4942" s="9">
        <v>19.127752698369598</v>
      </c>
      <c r="R4942" s="9">
        <v>19.588754687607715</v>
      </c>
      <c r="S4942" s="9">
        <v>19.892211826137899</v>
      </c>
      <c r="T4942" s="9">
        <v>20.64455772606674</v>
      </c>
      <c r="U4942" s="9">
        <v>22.020224218035128</v>
      </c>
      <c r="V4942" s="9">
        <v>22.020224218035128</v>
      </c>
      <c r="W4942" s="9">
        <v>22.020224218035128</v>
      </c>
      <c r="X4942" s="9">
        <v>24.004435739730138</v>
      </c>
      <c r="Y4942" s="9">
        <v>24.004435739730138</v>
      </c>
      <c r="Z4942" s="9">
        <v>26.075582265671787</v>
      </c>
      <c r="AA4942" s="9">
        <v>26.075582265671787</v>
      </c>
      <c r="AB4942" s="9">
        <v>28.242357296284759</v>
      </c>
      <c r="AC4942" s="9">
        <v>28.242357296284759</v>
      </c>
      <c r="AD4942" s="9">
        <v>32.278785457330969</v>
      </c>
      <c r="AE4942" s="9">
        <v>34.228944830548365</v>
      </c>
      <c r="AF4942" s="9">
        <v>36.293711230319367</v>
      </c>
      <c r="AG4942" s="9">
        <v>36.293711230319367</v>
      </c>
      <c r="AH4942" s="9">
        <v>39.230142171980006</v>
      </c>
      <c r="AI4942" s="9">
        <v>41.357809622501556</v>
      </c>
      <c r="AJ4942" s="9">
        <v>3.0428788910505911</v>
      </c>
    </row>
    <row r="4943" spans="1:36" x14ac:dyDescent="0.25">
      <c r="A4943" t="s">
        <v>5411</v>
      </c>
      <c r="B4943" t="s">
        <v>16</v>
      </c>
      <c r="C4943" t="s">
        <v>17</v>
      </c>
      <c r="D4943">
        <v>86130000</v>
      </c>
      <c r="E4943">
        <v>86139999</v>
      </c>
      <c r="F4943" t="s">
        <v>4486</v>
      </c>
      <c r="G4943" t="str">
        <f t="shared" si="154"/>
        <v>PRI II</v>
      </c>
      <c r="H4943" t="s">
        <v>4294</v>
      </c>
      <c r="I4943" t="s">
        <v>20</v>
      </c>
      <c r="J4943" t="s">
        <v>64</v>
      </c>
      <c r="K4943" s="6">
        <v>0.03</v>
      </c>
      <c r="L4943" s="7">
        <f t="shared" si="155"/>
        <v>2E-3</v>
      </c>
      <c r="M4943" s="7">
        <v>3.0000000000000001E-3</v>
      </c>
      <c r="N4943">
        <v>11</v>
      </c>
      <c r="O4943" s="8">
        <v>19.127752698369598</v>
      </c>
      <c r="P4943" s="9">
        <v>19.127752698369598</v>
      </c>
      <c r="Q4943" s="9">
        <v>19.127752698369598</v>
      </c>
      <c r="R4943" s="9">
        <v>19.588754687607715</v>
      </c>
      <c r="S4943" s="9">
        <v>19.892211826137899</v>
      </c>
      <c r="T4943" s="9">
        <v>20.64455772606674</v>
      </c>
      <c r="U4943" s="9">
        <v>22.020224218035128</v>
      </c>
      <c r="V4943" s="9">
        <v>22.020224218035128</v>
      </c>
      <c r="W4943" s="9">
        <v>22.020224218035128</v>
      </c>
      <c r="X4943" s="9">
        <v>24.004435739730138</v>
      </c>
      <c r="Y4943" s="9">
        <v>24.004435739730138</v>
      </c>
      <c r="Z4943" s="9">
        <v>26.075582265671787</v>
      </c>
      <c r="AA4943" s="9">
        <v>26.075582265671787</v>
      </c>
      <c r="AB4943" s="9">
        <v>28.242357296284759</v>
      </c>
      <c r="AC4943" s="9">
        <v>28.242357296284759</v>
      </c>
      <c r="AD4943" s="9">
        <v>32.278785457330969</v>
      </c>
      <c r="AE4943" s="9">
        <v>34.228944830548365</v>
      </c>
      <c r="AF4943" s="9">
        <v>36.293711230319367</v>
      </c>
      <c r="AG4943" s="9">
        <v>36.293711230319367</v>
      </c>
      <c r="AH4943" s="9">
        <v>39.230142171980006</v>
      </c>
      <c r="AI4943" s="9">
        <v>41.357809622501556</v>
      </c>
      <c r="AJ4943" s="9">
        <v>3.0428788910505911</v>
      </c>
    </row>
    <row r="4944" spans="1:36" x14ac:dyDescent="0.25">
      <c r="A4944" t="s">
        <v>5411</v>
      </c>
      <c r="B4944" t="s">
        <v>16</v>
      </c>
      <c r="C4944" t="s">
        <v>17</v>
      </c>
      <c r="D4944">
        <v>86140000</v>
      </c>
      <c r="E4944">
        <v>86149999</v>
      </c>
      <c r="F4944" t="s">
        <v>4487</v>
      </c>
      <c r="G4944" t="str">
        <f t="shared" si="154"/>
        <v>PRI II</v>
      </c>
      <c r="H4944" t="s">
        <v>4294</v>
      </c>
      <c r="I4944" t="s">
        <v>20</v>
      </c>
      <c r="J4944" t="s">
        <v>64</v>
      </c>
      <c r="K4944" s="6">
        <v>0.03</v>
      </c>
      <c r="L4944" s="7">
        <f t="shared" si="155"/>
        <v>2E-3</v>
      </c>
      <c r="M4944" s="7">
        <v>3.0000000000000001E-3</v>
      </c>
      <c r="N4944">
        <v>11</v>
      </c>
      <c r="O4944" s="8">
        <v>19.127752698369598</v>
      </c>
      <c r="P4944" s="9">
        <v>19.127752698369598</v>
      </c>
      <c r="Q4944" s="9">
        <v>19.127752698369598</v>
      </c>
      <c r="R4944" s="9">
        <v>19.588754687607715</v>
      </c>
      <c r="S4944" s="9">
        <v>19.892211826137899</v>
      </c>
      <c r="T4944" s="9">
        <v>20.64455772606674</v>
      </c>
      <c r="U4944" s="9">
        <v>22.020224218035128</v>
      </c>
      <c r="V4944" s="9">
        <v>22.020224218035128</v>
      </c>
      <c r="W4944" s="9">
        <v>22.020224218035128</v>
      </c>
      <c r="X4944" s="9">
        <v>24.004435739730138</v>
      </c>
      <c r="Y4944" s="9">
        <v>24.004435739730138</v>
      </c>
      <c r="Z4944" s="9">
        <v>26.075582265671787</v>
      </c>
      <c r="AA4944" s="9">
        <v>26.075582265671787</v>
      </c>
      <c r="AB4944" s="9">
        <v>28.242357296284759</v>
      </c>
      <c r="AC4944" s="9">
        <v>28.242357296284759</v>
      </c>
      <c r="AD4944" s="9">
        <v>32.278785457330969</v>
      </c>
      <c r="AE4944" s="9">
        <v>34.228944830548365</v>
      </c>
      <c r="AF4944" s="9">
        <v>36.293711230319367</v>
      </c>
      <c r="AG4944" s="9">
        <v>36.293711230319367</v>
      </c>
      <c r="AH4944" s="9">
        <v>39.230142171980006</v>
      </c>
      <c r="AI4944" s="9">
        <v>41.357809622501556</v>
      </c>
      <c r="AJ4944" s="9">
        <v>3.0428788910505911</v>
      </c>
    </row>
    <row r="4945" spans="1:36" x14ac:dyDescent="0.25">
      <c r="A4945" t="s">
        <v>5411</v>
      </c>
      <c r="B4945" t="s">
        <v>16</v>
      </c>
      <c r="C4945" t="s">
        <v>17</v>
      </c>
      <c r="D4945">
        <v>86150000</v>
      </c>
      <c r="E4945">
        <v>86159999</v>
      </c>
      <c r="F4945" t="s">
        <v>4488</v>
      </c>
      <c r="G4945" t="str">
        <f t="shared" si="154"/>
        <v>PRI II</v>
      </c>
      <c r="H4945" t="s">
        <v>4294</v>
      </c>
      <c r="I4945" t="s">
        <v>20</v>
      </c>
      <c r="J4945" t="s">
        <v>64</v>
      </c>
      <c r="K4945" s="6">
        <v>0.03</v>
      </c>
      <c r="L4945" s="7">
        <f t="shared" si="155"/>
        <v>2E-3</v>
      </c>
      <c r="M4945" s="7">
        <v>3.0000000000000001E-3</v>
      </c>
      <c r="N4945">
        <v>11</v>
      </c>
      <c r="O4945" s="8">
        <v>19.127752698369598</v>
      </c>
      <c r="P4945" s="9">
        <v>19.127752698369598</v>
      </c>
      <c r="Q4945" s="9">
        <v>19.127752698369598</v>
      </c>
      <c r="R4945" s="9">
        <v>19.588754687607715</v>
      </c>
      <c r="S4945" s="9">
        <v>19.892211826137899</v>
      </c>
      <c r="T4945" s="9">
        <v>20.64455772606674</v>
      </c>
      <c r="U4945" s="9">
        <v>22.020224218035128</v>
      </c>
      <c r="V4945" s="9">
        <v>22.020224218035128</v>
      </c>
      <c r="W4945" s="9">
        <v>22.020224218035128</v>
      </c>
      <c r="X4945" s="9">
        <v>24.004435739730138</v>
      </c>
      <c r="Y4945" s="9">
        <v>24.004435739730138</v>
      </c>
      <c r="Z4945" s="9">
        <v>26.075582265671787</v>
      </c>
      <c r="AA4945" s="9">
        <v>26.075582265671787</v>
      </c>
      <c r="AB4945" s="9">
        <v>28.242357296284759</v>
      </c>
      <c r="AC4945" s="9">
        <v>28.242357296284759</v>
      </c>
      <c r="AD4945" s="9">
        <v>32.278785457330969</v>
      </c>
      <c r="AE4945" s="9">
        <v>34.228944830548365</v>
      </c>
      <c r="AF4945" s="9">
        <v>36.293711230319367</v>
      </c>
      <c r="AG4945" s="9">
        <v>36.293711230319367</v>
      </c>
      <c r="AH4945" s="9">
        <v>39.230142171980006</v>
      </c>
      <c r="AI4945" s="9">
        <v>41.357809622501556</v>
      </c>
      <c r="AJ4945" s="9">
        <v>3.0428788910505911</v>
      </c>
    </row>
    <row r="4946" spans="1:36" x14ac:dyDescent="0.25">
      <c r="A4946" t="s">
        <v>5411</v>
      </c>
      <c r="B4946" t="s">
        <v>16</v>
      </c>
      <c r="C4946" t="s">
        <v>17</v>
      </c>
      <c r="D4946">
        <v>86160000</v>
      </c>
      <c r="E4946">
        <v>86164999</v>
      </c>
      <c r="F4946" t="s">
        <v>4489</v>
      </c>
      <c r="G4946" t="str">
        <f t="shared" si="154"/>
        <v>PRI II</v>
      </c>
      <c r="H4946" t="s">
        <v>4294</v>
      </c>
      <c r="I4946" t="s">
        <v>20</v>
      </c>
      <c r="J4946" t="s">
        <v>64</v>
      </c>
      <c r="K4946" s="6">
        <v>0.03</v>
      </c>
      <c r="L4946" s="7">
        <f t="shared" si="155"/>
        <v>2E-3</v>
      </c>
      <c r="M4946" s="7">
        <v>3.0000000000000001E-3</v>
      </c>
      <c r="N4946">
        <v>11</v>
      </c>
      <c r="O4946" s="8">
        <v>19.127752698369598</v>
      </c>
      <c r="P4946" s="9">
        <v>19.127752698369598</v>
      </c>
      <c r="Q4946" s="9">
        <v>19.127752698369598</v>
      </c>
      <c r="R4946" s="9">
        <v>19.588754687607715</v>
      </c>
      <c r="S4946" s="9">
        <v>19.892211826137899</v>
      </c>
      <c r="T4946" s="9">
        <v>20.64455772606674</v>
      </c>
      <c r="U4946" s="9">
        <v>22.020224218035128</v>
      </c>
      <c r="V4946" s="9">
        <v>22.020224218035128</v>
      </c>
      <c r="W4946" s="9">
        <v>22.020224218035128</v>
      </c>
      <c r="X4946" s="9">
        <v>24.004435739730138</v>
      </c>
      <c r="Y4946" s="9">
        <v>24.004435739730138</v>
      </c>
      <c r="Z4946" s="9">
        <v>26.075582265671787</v>
      </c>
      <c r="AA4946" s="9">
        <v>26.075582265671787</v>
      </c>
      <c r="AB4946" s="9">
        <v>28.242357296284759</v>
      </c>
      <c r="AC4946" s="9">
        <v>28.242357296284759</v>
      </c>
      <c r="AD4946" s="9">
        <v>32.278785457330969</v>
      </c>
      <c r="AE4946" s="9">
        <v>34.228944830548365</v>
      </c>
      <c r="AF4946" s="9">
        <v>36.293711230319367</v>
      </c>
      <c r="AG4946" s="9">
        <v>36.293711230319367</v>
      </c>
      <c r="AH4946" s="9">
        <v>39.230142171980006</v>
      </c>
      <c r="AI4946" s="9">
        <v>41.357809622501556</v>
      </c>
      <c r="AJ4946" s="9">
        <v>3.0428788910505911</v>
      </c>
    </row>
    <row r="4947" spans="1:36" x14ac:dyDescent="0.25">
      <c r="A4947" t="s">
        <v>5411</v>
      </c>
      <c r="B4947" t="s">
        <v>16</v>
      </c>
      <c r="C4947" t="s">
        <v>17</v>
      </c>
      <c r="D4947">
        <v>86165000</v>
      </c>
      <c r="E4947">
        <v>86169999</v>
      </c>
      <c r="F4947" t="s">
        <v>4490</v>
      </c>
      <c r="G4947" t="str">
        <f t="shared" si="154"/>
        <v>PRI II</v>
      </c>
      <c r="H4947" t="s">
        <v>4294</v>
      </c>
      <c r="I4947" t="s">
        <v>20</v>
      </c>
      <c r="J4947" t="s">
        <v>64</v>
      </c>
      <c r="K4947" s="6">
        <v>0.03</v>
      </c>
      <c r="L4947" s="7">
        <f t="shared" si="155"/>
        <v>2E-3</v>
      </c>
      <c r="M4947" s="7">
        <v>3.0000000000000001E-3</v>
      </c>
      <c r="N4947">
        <v>11</v>
      </c>
      <c r="O4947" s="8">
        <v>19.127752698369598</v>
      </c>
      <c r="P4947" s="9">
        <v>19.127752698369598</v>
      </c>
      <c r="Q4947" s="9">
        <v>19.127752698369598</v>
      </c>
      <c r="R4947" s="9">
        <v>19.588754687607715</v>
      </c>
      <c r="S4947" s="9">
        <v>19.892211826137899</v>
      </c>
      <c r="T4947" s="9">
        <v>20.64455772606674</v>
      </c>
      <c r="U4947" s="9">
        <v>22.020224218035128</v>
      </c>
      <c r="V4947" s="9">
        <v>22.020224218035128</v>
      </c>
      <c r="W4947" s="9">
        <v>22.020224218035128</v>
      </c>
      <c r="X4947" s="9">
        <v>24.004435739730138</v>
      </c>
      <c r="Y4947" s="9">
        <v>24.004435739730138</v>
      </c>
      <c r="Z4947" s="9">
        <v>26.075582265671787</v>
      </c>
      <c r="AA4947" s="9">
        <v>26.075582265671787</v>
      </c>
      <c r="AB4947" s="9">
        <v>28.242357296284759</v>
      </c>
      <c r="AC4947" s="9">
        <v>28.242357296284759</v>
      </c>
      <c r="AD4947" s="9">
        <v>32.278785457330969</v>
      </c>
      <c r="AE4947" s="9">
        <v>34.228944830548365</v>
      </c>
      <c r="AF4947" s="9">
        <v>36.293711230319367</v>
      </c>
      <c r="AG4947" s="9">
        <v>36.293711230319367</v>
      </c>
      <c r="AH4947" s="9">
        <v>39.230142171980006</v>
      </c>
      <c r="AI4947" s="9">
        <v>41.357809622501556</v>
      </c>
      <c r="AJ4947" s="9">
        <v>3.0428788910505911</v>
      </c>
    </row>
    <row r="4948" spans="1:36" x14ac:dyDescent="0.25">
      <c r="A4948" t="s">
        <v>5411</v>
      </c>
      <c r="B4948" t="s">
        <v>16</v>
      </c>
      <c r="C4948" t="s">
        <v>17</v>
      </c>
      <c r="D4948">
        <v>86170000</v>
      </c>
      <c r="E4948">
        <v>86179999</v>
      </c>
      <c r="F4948" t="s">
        <v>4491</v>
      </c>
      <c r="G4948" t="str">
        <f t="shared" si="154"/>
        <v>PRI II</v>
      </c>
      <c r="H4948" t="s">
        <v>4294</v>
      </c>
      <c r="I4948" t="s">
        <v>20</v>
      </c>
      <c r="J4948" t="s">
        <v>64</v>
      </c>
      <c r="K4948" s="6">
        <v>0.03</v>
      </c>
      <c r="L4948" s="7">
        <f t="shared" si="155"/>
        <v>2E-3</v>
      </c>
      <c r="M4948" s="7">
        <v>3.0000000000000001E-3</v>
      </c>
      <c r="N4948">
        <v>11</v>
      </c>
      <c r="O4948" s="8">
        <v>19.127752698369598</v>
      </c>
      <c r="P4948" s="9">
        <v>19.127752698369598</v>
      </c>
      <c r="Q4948" s="9">
        <v>19.127752698369598</v>
      </c>
      <c r="R4948" s="9">
        <v>19.588754687607715</v>
      </c>
      <c r="S4948" s="9">
        <v>19.892211826137899</v>
      </c>
      <c r="T4948" s="9">
        <v>20.64455772606674</v>
      </c>
      <c r="U4948" s="9">
        <v>22.020224218035128</v>
      </c>
      <c r="V4948" s="9">
        <v>22.020224218035128</v>
      </c>
      <c r="W4948" s="9">
        <v>22.020224218035128</v>
      </c>
      <c r="X4948" s="9">
        <v>24.004435739730138</v>
      </c>
      <c r="Y4948" s="9">
        <v>24.004435739730138</v>
      </c>
      <c r="Z4948" s="9">
        <v>26.075582265671787</v>
      </c>
      <c r="AA4948" s="9">
        <v>26.075582265671787</v>
      </c>
      <c r="AB4948" s="9">
        <v>28.242357296284759</v>
      </c>
      <c r="AC4948" s="9">
        <v>28.242357296284759</v>
      </c>
      <c r="AD4948" s="9">
        <v>32.278785457330969</v>
      </c>
      <c r="AE4948" s="9">
        <v>34.228944830548365</v>
      </c>
      <c r="AF4948" s="9">
        <v>36.293711230319367</v>
      </c>
      <c r="AG4948" s="9">
        <v>36.293711230319367</v>
      </c>
      <c r="AH4948" s="9">
        <v>39.230142171980006</v>
      </c>
      <c r="AI4948" s="9">
        <v>41.357809622501556</v>
      </c>
      <c r="AJ4948" s="9">
        <v>3.0428788910505911</v>
      </c>
    </row>
    <row r="4949" spans="1:36" x14ac:dyDescent="0.25">
      <c r="A4949" t="s">
        <v>5411</v>
      </c>
      <c r="B4949" t="s">
        <v>16</v>
      </c>
      <c r="C4949" t="s">
        <v>17</v>
      </c>
      <c r="D4949">
        <v>86180000</v>
      </c>
      <c r="E4949">
        <v>86199999</v>
      </c>
      <c r="F4949" t="s">
        <v>4492</v>
      </c>
      <c r="G4949" t="str">
        <f t="shared" si="154"/>
        <v>PRI</v>
      </c>
      <c r="H4949" t="s">
        <v>4294</v>
      </c>
      <c r="I4949" t="s">
        <v>20</v>
      </c>
      <c r="J4949" t="s">
        <v>62</v>
      </c>
      <c r="K4949" s="6">
        <v>0.03</v>
      </c>
      <c r="L4949" s="7">
        <f t="shared" si="155"/>
        <v>2E-3</v>
      </c>
      <c r="M4949" s="7">
        <v>3.0000000000000001E-3</v>
      </c>
      <c r="N4949">
        <v>9</v>
      </c>
      <c r="O4949" s="8">
        <v>16.344178346561137</v>
      </c>
      <c r="P4949" s="9">
        <v>16.344178346561137</v>
      </c>
      <c r="Q4949" s="9">
        <v>16.344178346561137</v>
      </c>
      <c r="R4949" s="9">
        <v>16.766533722582309</v>
      </c>
      <c r="S4949" s="9">
        <v>17.709108795625173</v>
      </c>
      <c r="T4949" s="9">
        <v>18.545760454647645</v>
      </c>
      <c r="U4949" s="9">
        <v>20.10723313448154</v>
      </c>
      <c r="V4949" s="9">
        <v>20.10723313448154</v>
      </c>
      <c r="W4949" s="9">
        <v>20.10723313448154</v>
      </c>
      <c r="X4949" s="9">
        <v>21.240951506551678</v>
      </c>
      <c r="Y4949" s="9">
        <v>21.240951506551678</v>
      </c>
      <c r="Z4949" s="9">
        <v>22.557015615717738</v>
      </c>
      <c r="AA4949" s="9">
        <v>22.557015615717738</v>
      </c>
      <c r="AB4949" s="9">
        <v>26.056112270527457</v>
      </c>
      <c r="AC4949" s="9">
        <v>26.056112270527457</v>
      </c>
      <c r="AD4949" s="9">
        <v>30.142276170369946</v>
      </c>
      <c r="AE4949" s="9">
        <v>32.940531048263779</v>
      </c>
      <c r="AF4949" s="9">
        <v>35.920735279325392</v>
      </c>
      <c r="AG4949" s="9">
        <v>35.920735279325392</v>
      </c>
      <c r="AH4949" s="9">
        <v>38.62832670141978</v>
      </c>
      <c r="AI4949" s="9">
        <v>41.239207360528972</v>
      </c>
      <c r="AJ4949" s="9">
        <v>3.0428788910505911</v>
      </c>
    </row>
    <row r="4950" spans="1:36" x14ac:dyDescent="0.25">
      <c r="A4950" t="s">
        <v>5411</v>
      </c>
      <c r="B4950" t="s">
        <v>16</v>
      </c>
      <c r="C4950" t="s">
        <v>17</v>
      </c>
      <c r="D4950">
        <v>86200000</v>
      </c>
      <c r="E4950">
        <v>86209999</v>
      </c>
      <c r="F4950" t="s">
        <v>4493</v>
      </c>
      <c r="G4950" t="str">
        <f t="shared" si="154"/>
        <v>PRI</v>
      </c>
      <c r="H4950" t="s">
        <v>4294</v>
      </c>
      <c r="I4950" t="s">
        <v>20</v>
      </c>
      <c r="J4950" t="s">
        <v>62</v>
      </c>
      <c r="K4950" s="6">
        <v>0.03</v>
      </c>
      <c r="L4950" s="7">
        <f t="shared" si="155"/>
        <v>2E-3</v>
      </c>
      <c r="M4950" s="7">
        <v>3.0000000000000001E-3</v>
      </c>
      <c r="N4950">
        <v>9</v>
      </c>
      <c r="O4950" s="8">
        <v>16.344178346561137</v>
      </c>
      <c r="P4950" s="9">
        <v>16.344178346561137</v>
      </c>
      <c r="Q4950" s="9">
        <v>16.344178346561137</v>
      </c>
      <c r="R4950" s="9">
        <v>16.766533722582309</v>
      </c>
      <c r="S4950" s="9">
        <v>17.709108795625173</v>
      </c>
      <c r="T4950" s="9">
        <v>18.545760454647645</v>
      </c>
      <c r="U4950" s="9">
        <v>20.10723313448154</v>
      </c>
      <c r="V4950" s="9">
        <v>20.10723313448154</v>
      </c>
      <c r="W4950" s="9">
        <v>20.10723313448154</v>
      </c>
      <c r="X4950" s="9">
        <v>21.240951506551678</v>
      </c>
      <c r="Y4950" s="9">
        <v>21.240951506551678</v>
      </c>
      <c r="Z4950" s="9">
        <v>22.557015615717738</v>
      </c>
      <c r="AA4950" s="9">
        <v>22.557015615717738</v>
      </c>
      <c r="AB4950" s="9">
        <v>26.056112270527457</v>
      </c>
      <c r="AC4950" s="9">
        <v>26.056112270527457</v>
      </c>
      <c r="AD4950" s="9">
        <v>30.142276170369946</v>
      </c>
      <c r="AE4950" s="9">
        <v>32.940531048263779</v>
      </c>
      <c r="AF4950" s="9">
        <v>35.920735279325392</v>
      </c>
      <c r="AG4950" s="9">
        <v>35.920735279325392</v>
      </c>
      <c r="AH4950" s="9">
        <v>38.62832670141978</v>
      </c>
      <c r="AI4950" s="9">
        <v>41.239207360528972</v>
      </c>
      <c r="AJ4950" s="9">
        <v>3.0428788910505911</v>
      </c>
    </row>
    <row r="4951" spans="1:36" x14ac:dyDescent="0.25">
      <c r="A4951" t="s">
        <v>5411</v>
      </c>
      <c r="B4951" t="s">
        <v>16</v>
      </c>
      <c r="C4951" t="s">
        <v>17</v>
      </c>
      <c r="D4951">
        <v>86210000</v>
      </c>
      <c r="E4951">
        <v>86219999</v>
      </c>
      <c r="F4951" t="s">
        <v>4494</v>
      </c>
      <c r="G4951" t="str">
        <f t="shared" si="154"/>
        <v>PRI II</v>
      </c>
      <c r="H4951" t="s">
        <v>4294</v>
      </c>
      <c r="I4951" t="s">
        <v>20</v>
      </c>
      <c r="J4951" t="s">
        <v>64</v>
      </c>
      <c r="K4951" s="6">
        <v>0.03</v>
      </c>
      <c r="L4951" s="7">
        <f t="shared" si="155"/>
        <v>2E-3</v>
      </c>
      <c r="M4951" s="7">
        <v>3.0000000000000001E-3</v>
      </c>
      <c r="N4951">
        <v>11</v>
      </c>
      <c r="O4951" s="8">
        <v>19.127752698369598</v>
      </c>
      <c r="P4951" s="9">
        <v>19.127752698369598</v>
      </c>
      <c r="Q4951" s="9">
        <v>19.127752698369598</v>
      </c>
      <c r="R4951" s="9">
        <v>19.588754687607715</v>
      </c>
      <c r="S4951" s="9">
        <v>19.892211826137899</v>
      </c>
      <c r="T4951" s="9">
        <v>20.64455772606674</v>
      </c>
      <c r="U4951" s="9">
        <v>22.020224218035128</v>
      </c>
      <c r="V4951" s="9">
        <v>22.020224218035128</v>
      </c>
      <c r="W4951" s="9">
        <v>22.020224218035128</v>
      </c>
      <c r="X4951" s="9">
        <v>24.004435739730138</v>
      </c>
      <c r="Y4951" s="9">
        <v>24.004435739730138</v>
      </c>
      <c r="Z4951" s="9">
        <v>26.075582265671787</v>
      </c>
      <c r="AA4951" s="9">
        <v>26.075582265671787</v>
      </c>
      <c r="AB4951" s="9">
        <v>28.242357296284759</v>
      </c>
      <c r="AC4951" s="9">
        <v>28.242357296284759</v>
      </c>
      <c r="AD4951" s="9">
        <v>32.278785457330969</v>
      </c>
      <c r="AE4951" s="9">
        <v>34.228944830548365</v>
      </c>
      <c r="AF4951" s="9">
        <v>36.293711230319367</v>
      </c>
      <c r="AG4951" s="9">
        <v>36.293711230319367</v>
      </c>
      <c r="AH4951" s="9">
        <v>39.230142171980006</v>
      </c>
      <c r="AI4951" s="9">
        <v>41.357809622501556</v>
      </c>
      <c r="AJ4951" s="9">
        <v>3.0428788910505911</v>
      </c>
    </row>
    <row r="4952" spans="1:36" x14ac:dyDescent="0.25">
      <c r="A4952" t="s">
        <v>5411</v>
      </c>
      <c r="B4952" t="s">
        <v>16</v>
      </c>
      <c r="C4952" t="s">
        <v>17</v>
      </c>
      <c r="D4952">
        <v>86220000</v>
      </c>
      <c r="E4952">
        <v>86224999</v>
      </c>
      <c r="F4952" t="s">
        <v>4495</v>
      </c>
      <c r="G4952" t="str">
        <f t="shared" si="154"/>
        <v>PRI II</v>
      </c>
      <c r="H4952" t="s">
        <v>4294</v>
      </c>
      <c r="I4952" t="s">
        <v>20</v>
      </c>
      <c r="J4952" t="s">
        <v>64</v>
      </c>
      <c r="K4952" s="6">
        <v>0.03</v>
      </c>
      <c r="L4952" s="7">
        <f t="shared" si="155"/>
        <v>2E-3</v>
      </c>
      <c r="M4952" s="7">
        <v>3.0000000000000001E-3</v>
      </c>
      <c r="N4952">
        <v>11</v>
      </c>
      <c r="O4952" s="8">
        <v>19.127752698369598</v>
      </c>
      <c r="P4952" s="9">
        <v>19.127752698369598</v>
      </c>
      <c r="Q4952" s="9">
        <v>19.127752698369598</v>
      </c>
      <c r="R4952" s="9">
        <v>19.588754687607715</v>
      </c>
      <c r="S4952" s="9">
        <v>19.892211826137899</v>
      </c>
      <c r="T4952" s="9">
        <v>20.64455772606674</v>
      </c>
      <c r="U4952" s="9">
        <v>22.020224218035128</v>
      </c>
      <c r="V4952" s="9">
        <v>22.020224218035128</v>
      </c>
      <c r="W4952" s="9">
        <v>22.020224218035128</v>
      </c>
      <c r="X4952" s="9">
        <v>24.004435739730138</v>
      </c>
      <c r="Y4952" s="9">
        <v>24.004435739730138</v>
      </c>
      <c r="Z4952" s="9">
        <v>26.075582265671787</v>
      </c>
      <c r="AA4952" s="9">
        <v>26.075582265671787</v>
      </c>
      <c r="AB4952" s="9">
        <v>28.242357296284759</v>
      </c>
      <c r="AC4952" s="9">
        <v>28.242357296284759</v>
      </c>
      <c r="AD4952" s="9">
        <v>32.278785457330969</v>
      </c>
      <c r="AE4952" s="9">
        <v>34.228944830548365</v>
      </c>
      <c r="AF4952" s="9">
        <v>36.293711230319367</v>
      </c>
      <c r="AG4952" s="9">
        <v>36.293711230319367</v>
      </c>
      <c r="AH4952" s="9">
        <v>39.230142171980006</v>
      </c>
      <c r="AI4952" s="9">
        <v>41.357809622501556</v>
      </c>
      <c r="AJ4952" s="9">
        <v>3.0428788910505911</v>
      </c>
    </row>
    <row r="4953" spans="1:36" x14ac:dyDescent="0.25">
      <c r="A4953" t="s">
        <v>5411</v>
      </c>
      <c r="B4953" t="s">
        <v>16</v>
      </c>
      <c r="C4953" t="s">
        <v>17</v>
      </c>
      <c r="D4953">
        <v>86225000</v>
      </c>
      <c r="E4953">
        <v>86229999</v>
      </c>
      <c r="F4953" t="s">
        <v>4496</v>
      </c>
      <c r="G4953" t="str">
        <f t="shared" si="154"/>
        <v>PRI II</v>
      </c>
      <c r="H4953" t="s">
        <v>4294</v>
      </c>
      <c r="I4953" t="s">
        <v>20</v>
      </c>
      <c r="J4953" t="s">
        <v>64</v>
      </c>
      <c r="K4953" s="6">
        <v>0.03</v>
      </c>
      <c r="L4953" s="7">
        <f t="shared" si="155"/>
        <v>2E-3</v>
      </c>
      <c r="M4953" s="7">
        <v>3.0000000000000001E-3</v>
      </c>
      <c r="N4953">
        <v>11</v>
      </c>
      <c r="O4953" s="8">
        <v>19.127752698369598</v>
      </c>
      <c r="P4953" s="9">
        <v>19.127752698369598</v>
      </c>
      <c r="Q4953" s="9">
        <v>19.127752698369598</v>
      </c>
      <c r="R4953" s="9">
        <v>19.588754687607715</v>
      </c>
      <c r="S4953" s="9">
        <v>19.892211826137899</v>
      </c>
      <c r="T4953" s="9">
        <v>20.64455772606674</v>
      </c>
      <c r="U4953" s="9">
        <v>22.020224218035128</v>
      </c>
      <c r="V4953" s="9">
        <v>22.020224218035128</v>
      </c>
      <c r="W4953" s="9">
        <v>22.020224218035128</v>
      </c>
      <c r="X4953" s="9">
        <v>24.004435739730138</v>
      </c>
      <c r="Y4953" s="9">
        <v>24.004435739730138</v>
      </c>
      <c r="Z4953" s="9">
        <v>26.075582265671787</v>
      </c>
      <c r="AA4953" s="9">
        <v>26.075582265671787</v>
      </c>
      <c r="AB4953" s="9">
        <v>28.242357296284759</v>
      </c>
      <c r="AC4953" s="9">
        <v>28.242357296284759</v>
      </c>
      <c r="AD4953" s="9">
        <v>32.278785457330969</v>
      </c>
      <c r="AE4953" s="9">
        <v>34.228944830548365</v>
      </c>
      <c r="AF4953" s="9">
        <v>36.293711230319367</v>
      </c>
      <c r="AG4953" s="9">
        <v>36.293711230319367</v>
      </c>
      <c r="AH4953" s="9">
        <v>39.230142171980006</v>
      </c>
      <c r="AI4953" s="9">
        <v>41.357809622501556</v>
      </c>
      <c r="AJ4953" s="9">
        <v>3.0428788910505911</v>
      </c>
    </row>
    <row r="4954" spans="1:36" x14ac:dyDescent="0.25">
      <c r="A4954" t="s">
        <v>5411</v>
      </c>
      <c r="B4954" t="s">
        <v>16</v>
      </c>
      <c r="C4954" t="s">
        <v>17</v>
      </c>
      <c r="D4954">
        <v>86230000</v>
      </c>
      <c r="E4954">
        <v>86239999</v>
      </c>
      <c r="F4954" t="s">
        <v>4497</v>
      </c>
      <c r="G4954" t="str">
        <f t="shared" si="154"/>
        <v>PRI II</v>
      </c>
      <c r="H4954" t="s">
        <v>4294</v>
      </c>
      <c r="I4954" t="s">
        <v>20</v>
      </c>
      <c r="J4954" t="s">
        <v>64</v>
      </c>
      <c r="K4954" s="6">
        <v>0.03</v>
      </c>
      <c r="L4954" s="7">
        <f t="shared" si="155"/>
        <v>2E-3</v>
      </c>
      <c r="M4954" s="7">
        <v>3.0000000000000001E-3</v>
      </c>
      <c r="N4954">
        <v>11</v>
      </c>
      <c r="O4954" s="8">
        <v>19.127752698369598</v>
      </c>
      <c r="P4954" s="9">
        <v>19.127752698369598</v>
      </c>
      <c r="Q4954" s="9">
        <v>19.127752698369598</v>
      </c>
      <c r="R4954" s="9">
        <v>19.588754687607715</v>
      </c>
      <c r="S4954" s="9">
        <v>19.892211826137899</v>
      </c>
      <c r="T4954" s="9">
        <v>20.64455772606674</v>
      </c>
      <c r="U4954" s="9">
        <v>22.020224218035128</v>
      </c>
      <c r="V4954" s="9">
        <v>22.020224218035128</v>
      </c>
      <c r="W4954" s="9">
        <v>22.020224218035128</v>
      </c>
      <c r="X4954" s="9">
        <v>24.004435739730138</v>
      </c>
      <c r="Y4954" s="9">
        <v>24.004435739730138</v>
      </c>
      <c r="Z4954" s="9">
        <v>26.075582265671787</v>
      </c>
      <c r="AA4954" s="9">
        <v>26.075582265671787</v>
      </c>
      <c r="AB4954" s="9">
        <v>28.242357296284759</v>
      </c>
      <c r="AC4954" s="9">
        <v>28.242357296284759</v>
      </c>
      <c r="AD4954" s="9">
        <v>32.278785457330969</v>
      </c>
      <c r="AE4954" s="9">
        <v>34.228944830548365</v>
      </c>
      <c r="AF4954" s="9">
        <v>36.293711230319367</v>
      </c>
      <c r="AG4954" s="9">
        <v>36.293711230319367</v>
      </c>
      <c r="AH4954" s="9">
        <v>39.230142171980006</v>
      </c>
      <c r="AI4954" s="9">
        <v>41.357809622501556</v>
      </c>
      <c r="AJ4954" s="9">
        <v>3.0428788910505911</v>
      </c>
    </row>
    <row r="4955" spans="1:36" x14ac:dyDescent="0.25">
      <c r="A4955" t="s">
        <v>5411</v>
      </c>
      <c r="B4955" t="s">
        <v>16</v>
      </c>
      <c r="C4955" t="s">
        <v>17</v>
      </c>
      <c r="D4955">
        <v>86240000</v>
      </c>
      <c r="E4955">
        <v>86249999</v>
      </c>
      <c r="F4955" t="s">
        <v>4498</v>
      </c>
      <c r="G4955" t="str">
        <f t="shared" si="154"/>
        <v>PRI II</v>
      </c>
      <c r="H4955" t="s">
        <v>4294</v>
      </c>
      <c r="I4955" t="s">
        <v>20</v>
      </c>
      <c r="J4955" t="s">
        <v>64</v>
      </c>
      <c r="K4955" s="6">
        <v>0.03</v>
      </c>
      <c r="L4955" s="7">
        <f t="shared" si="155"/>
        <v>2E-3</v>
      </c>
      <c r="M4955" s="7">
        <v>3.0000000000000001E-3</v>
      </c>
      <c r="N4955">
        <v>11</v>
      </c>
      <c r="O4955" s="8">
        <v>19.127752698369598</v>
      </c>
      <c r="P4955" s="9">
        <v>19.127752698369598</v>
      </c>
      <c r="Q4955" s="9">
        <v>19.127752698369598</v>
      </c>
      <c r="R4955" s="9">
        <v>19.588754687607715</v>
      </c>
      <c r="S4955" s="9">
        <v>19.892211826137899</v>
      </c>
      <c r="T4955" s="9">
        <v>20.64455772606674</v>
      </c>
      <c r="U4955" s="9">
        <v>22.020224218035128</v>
      </c>
      <c r="V4955" s="9">
        <v>22.020224218035128</v>
      </c>
      <c r="W4955" s="9">
        <v>22.020224218035128</v>
      </c>
      <c r="X4955" s="9">
        <v>24.004435739730138</v>
      </c>
      <c r="Y4955" s="9">
        <v>24.004435739730138</v>
      </c>
      <c r="Z4955" s="9">
        <v>26.075582265671787</v>
      </c>
      <c r="AA4955" s="9">
        <v>26.075582265671787</v>
      </c>
      <c r="AB4955" s="9">
        <v>28.242357296284759</v>
      </c>
      <c r="AC4955" s="9">
        <v>28.242357296284759</v>
      </c>
      <c r="AD4955" s="9">
        <v>32.278785457330969</v>
      </c>
      <c r="AE4955" s="9">
        <v>34.228944830548365</v>
      </c>
      <c r="AF4955" s="9">
        <v>36.293711230319367</v>
      </c>
      <c r="AG4955" s="9">
        <v>36.293711230319367</v>
      </c>
      <c r="AH4955" s="9">
        <v>39.230142171980006</v>
      </c>
      <c r="AI4955" s="9">
        <v>41.357809622501556</v>
      </c>
      <c r="AJ4955" s="9">
        <v>3.0428788910505911</v>
      </c>
    </row>
    <row r="4956" spans="1:36" x14ac:dyDescent="0.25">
      <c r="A4956" t="s">
        <v>5411</v>
      </c>
      <c r="B4956" t="s">
        <v>16</v>
      </c>
      <c r="C4956" t="s">
        <v>17</v>
      </c>
      <c r="D4956">
        <v>86250000</v>
      </c>
      <c r="E4956">
        <v>86269999</v>
      </c>
      <c r="F4956" t="s">
        <v>4499</v>
      </c>
      <c r="G4956" t="str">
        <f t="shared" si="154"/>
        <v>PRI II</v>
      </c>
      <c r="H4956" t="s">
        <v>4294</v>
      </c>
      <c r="I4956" t="s">
        <v>20</v>
      </c>
      <c r="J4956" t="s">
        <v>64</v>
      </c>
      <c r="K4956" s="6">
        <v>0.03</v>
      </c>
      <c r="L4956" s="7">
        <f t="shared" si="155"/>
        <v>2E-3</v>
      </c>
      <c r="M4956" s="7">
        <v>3.0000000000000001E-3</v>
      </c>
      <c r="N4956">
        <v>11</v>
      </c>
      <c r="O4956" s="8">
        <v>19.127752698369598</v>
      </c>
      <c r="P4956" s="9">
        <v>19.127752698369598</v>
      </c>
      <c r="Q4956" s="9">
        <v>19.127752698369598</v>
      </c>
      <c r="R4956" s="9">
        <v>19.588754687607715</v>
      </c>
      <c r="S4956" s="9">
        <v>19.892211826137899</v>
      </c>
      <c r="T4956" s="9">
        <v>20.64455772606674</v>
      </c>
      <c r="U4956" s="9">
        <v>22.020224218035128</v>
      </c>
      <c r="V4956" s="9">
        <v>22.020224218035128</v>
      </c>
      <c r="W4956" s="9">
        <v>22.020224218035128</v>
      </c>
      <c r="X4956" s="9">
        <v>24.004435739730138</v>
      </c>
      <c r="Y4956" s="9">
        <v>24.004435739730138</v>
      </c>
      <c r="Z4956" s="9">
        <v>26.075582265671787</v>
      </c>
      <c r="AA4956" s="9">
        <v>26.075582265671787</v>
      </c>
      <c r="AB4956" s="9">
        <v>28.242357296284759</v>
      </c>
      <c r="AC4956" s="9">
        <v>28.242357296284759</v>
      </c>
      <c r="AD4956" s="9">
        <v>32.278785457330969</v>
      </c>
      <c r="AE4956" s="9">
        <v>34.228944830548365</v>
      </c>
      <c r="AF4956" s="9">
        <v>36.293711230319367</v>
      </c>
      <c r="AG4956" s="9">
        <v>36.293711230319367</v>
      </c>
      <c r="AH4956" s="9">
        <v>39.230142171980006</v>
      </c>
      <c r="AI4956" s="9">
        <v>41.357809622501556</v>
      </c>
      <c r="AJ4956" s="9">
        <v>3.0428788910505911</v>
      </c>
    </row>
    <row r="4957" spans="1:36" x14ac:dyDescent="0.25">
      <c r="A4957" t="s">
        <v>5411</v>
      </c>
      <c r="B4957" t="s">
        <v>16</v>
      </c>
      <c r="C4957" t="s">
        <v>17</v>
      </c>
      <c r="D4957">
        <v>86270000</v>
      </c>
      <c r="E4957">
        <v>86279999</v>
      </c>
      <c r="F4957" t="s">
        <v>4500</v>
      </c>
      <c r="G4957" t="str">
        <f t="shared" si="154"/>
        <v>PRI II</v>
      </c>
      <c r="H4957" t="s">
        <v>4294</v>
      </c>
      <c r="I4957" t="s">
        <v>20</v>
      </c>
      <c r="J4957" t="s">
        <v>64</v>
      </c>
      <c r="K4957" s="6">
        <v>0.03</v>
      </c>
      <c r="L4957" s="7">
        <f t="shared" si="155"/>
        <v>2E-3</v>
      </c>
      <c r="M4957" s="7">
        <v>3.0000000000000001E-3</v>
      </c>
      <c r="N4957">
        <v>11</v>
      </c>
      <c r="O4957" s="8">
        <v>19.127752698369598</v>
      </c>
      <c r="P4957" s="9">
        <v>19.127752698369598</v>
      </c>
      <c r="Q4957" s="9">
        <v>19.127752698369598</v>
      </c>
      <c r="R4957" s="9">
        <v>19.588754687607715</v>
      </c>
      <c r="S4957" s="9">
        <v>19.892211826137899</v>
      </c>
      <c r="T4957" s="9">
        <v>20.64455772606674</v>
      </c>
      <c r="U4957" s="9">
        <v>22.020224218035128</v>
      </c>
      <c r="V4957" s="9">
        <v>22.020224218035128</v>
      </c>
      <c r="W4957" s="9">
        <v>22.020224218035128</v>
      </c>
      <c r="X4957" s="9">
        <v>24.004435739730138</v>
      </c>
      <c r="Y4957" s="9">
        <v>24.004435739730138</v>
      </c>
      <c r="Z4957" s="9">
        <v>26.075582265671787</v>
      </c>
      <c r="AA4957" s="9">
        <v>26.075582265671787</v>
      </c>
      <c r="AB4957" s="9">
        <v>28.242357296284759</v>
      </c>
      <c r="AC4957" s="9">
        <v>28.242357296284759</v>
      </c>
      <c r="AD4957" s="9">
        <v>32.278785457330969</v>
      </c>
      <c r="AE4957" s="9">
        <v>34.228944830548365</v>
      </c>
      <c r="AF4957" s="9">
        <v>36.293711230319367</v>
      </c>
      <c r="AG4957" s="9">
        <v>36.293711230319367</v>
      </c>
      <c r="AH4957" s="9">
        <v>39.230142171980006</v>
      </c>
      <c r="AI4957" s="9">
        <v>41.357809622501556</v>
      </c>
      <c r="AJ4957" s="9">
        <v>3.0428788910505911</v>
      </c>
    </row>
    <row r="4958" spans="1:36" x14ac:dyDescent="0.25">
      <c r="A4958" t="s">
        <v>5411</v>
      </c>
      <c r="B4958" t="s">
        <v>16</v>
      </c>
      <c r="C4958" t="s">
        <v>17</v>
      </c>
      <c r="D4958">
        <v>86280000</v>
      </c>
      <c r="E4958">
        <v>86289999</v>
      </c>
      <c r="F4958" t="s">
        <v>4501</v>
      </c>
      <c r="G4958" t="str">
        <f t="shared" si="154"/>
        <v>PRI II</v>
      </c>
      <c r="H4958" t="s">
        <v>4294</v>
      </c>
      <c r="I4958" t="s">
        <v>20</v>
      </c>
      <c r="J4958" t="s">
        <v>64</v>
      </c>
      <c r="K4958" s="6">
        <v>0.03</v>
      </c>
      <c r="L4958" s="7">
        <f t="shared" si="155"/>
        <v>2E-3</v>
      </c>
      <c r="M4958" s="7">
        <v>3.0000000000000001E-3</v>
      </c>
      <c r="N4958">
        <v>11</v>
      </c>
      <c r="O4958" s="8">
        <v>19.127752698369598</v>
      </c>
      <c r="P4958" s="9">
        <v>19.127752698369598</v>
      </c>
      <c r="Q4958" s="9">
        <v>19.127752698369598</v>
      </c>
      <c r="R4958" s="9">
        <v>19.588754687607715</v>
      </c>
      <c r="S4958" s="9">
        <v>19.892211826137899</v>
      </c>
      <c r="T4958" s="9">
        <v>20.64455772606674</v>
      </c>
      <c r="U4958" s="9">
        <v>22.020224218035128</v>
      </c>
      <c r="V4958" s="9">
        <v>22.020224218035128</v>
      </c>
      <c r="W4958" s="9">
        <v>22.020224218035128</v>
      </c>
      <c r="X4958" s="9">
        <v>24.004435739730138</v>
      </c>
      <c r="Y4958" s="9">
        <v>24.004435739730138</v>
      </c>
      <c r="Z4958" s="9">
        <v>26.075582265671787</v>
      </c>
      <c r="AA4958" s="9">
        <v>26.075582265671787</v>
      </c>
      <c r="AB4958" s="9">
        <v>28.242357296284759</v>
      </c>
      <c r="AC4958" s="9">
        <v>28.242357296284759</v>
      </c>
      <c r="AD4958" s="9">
        <v>32.278785457330969</v>
      </c>
      <c r="AE4958" s="9">
        <v>34.228944830548365</v>
      </c>
      <c r="AF4958" s="9">
        <v>36.293711230319367</v>
      </c>
      <c r="AG4958" s="9">
        <v>36.293711230319367</v>
      </c>
      <c r="AH4958" s="9">
        <v>39.230142171980006</v>
      </c>
      <c r="AI4958" s="9">
        <v>41.357809622501556</v>
      </c>
      <c r="AJ4958" s="9">
        <v>3.0428788910505911</v>
      </c>
    </row>
    <row r="4959" spans="1:36" x14ac:dyDescent="0.25">
      <c r="A4959" t="s">
        <v>5411</v>
      </c>
      <c r="B4959" t="s">
        <v>16</v>
      </c>
      <c r="C4959" t="s">
        <v>17</v>
      </c>
      <c r="D4959">
        <v>86290000</v>
      </c>
      <c r="E4959">
        <v>86299999</v>
      </c>
      <c r="F4959" t="s">
        <v>4502</v>
      </c>
      <c r="G4959" t="str">
        <f t="shared" si="154"/>
        <v>PRI II</v>
      </c>
      <c r="H4959" t="s">
        <v>4294</v>
      </c>
      <c r="I4959" t="s">
        <v>20</v>
      </c>
      <c r="J4959" t="s">
        <v>64</v>
      </c>
      <c r="K4959" s="6">
        <v>0.03</v>
      </c>
      <c r="L4959" s="7">
        <f t="shared" si="155"/>
        <v>2E-3</v>
      </c>
      <c r="M4959" s="7">
        <v>3.0000000000000001E-3</v>
      </c>
      <c r="N4959">
        <v>11</v>
      </c>
      <c r="O4959" s="8">
        <v>19.127752698369598</v>
      </c>
      <c r="P4959" s="9">
        <v>19.127752698369598</v>
      </c>
      <c r="Q4959" s="9">
        <v>19.127752698369598</v>
      </c>
      <c r="R4959" s="9">
        <v>19.588754687607715</v>
      </c>
      <c r="S4959" s="9">
        <v>19.892211826137899</v>
      </c>
      <c r="T4959" s="9">
        <v>20.64455772606674</v>
      </c>
      <c r="U4959" s="9">
        <v>22.020224218035128</v>
      </c>
      <c r="V4959" s="9">
        <v>22.020224218035128</v>
      </c>
      <c r="W4959" s="9">
        <v>22.020224218035128</v>
      </c>
      <c r="X4959" s="9">
        <v>24.004435739730138</v>
      </c>
      <c r="Y4959" s="9">
        <v>24.004435739730138</v>
      </c>
      <c r="Z4959" s="9">
        <v>26.075582265671787</v>
      </c>
      <c r="AA4959" s="9">
        <v>26.075582265671787</v>
      </c>
      <c r="AB4959" s="9">
        <v>28.242357296284759</v>
      </c>
      <c r="AC4959" s="9">
        <v>28.242357296284759</v>
      </c>
      <c r="AD4959" s="9">
        <v>32.278785457330969</v>
      </c>
      <c r="AE4959" s="9">
        <v>34.228944830548365</v>
      </c>
      <c r="AF4959" s="9">
        <v>36.293711230319367</v>
      </c>
      <c r="AG4959" s="9">
        <v>36.293711230319367</v>
      </c>
      <c r="AH4959" s="9">
        <v>39.230142171980006</v>
      </c>
      <c r="AI4959" s="9">
        <v>41.357809622501556</v>
      </c>
      <c r="AJ4959" s="9">
        <v>3.0428788910505911</v>
      </c>
    </row>
    <row r="4960" spans="1:36" x14ac:dyDescent="0.25">
      <c r="A4960" t="s">
        <v>5411</v>
      </c>
      <c r="B4960" t="s">
        <v>16</v>
      </c>
      <c r="C4960" t="s">
        <v>17</v>
      </c>
      <c r="D4960">
        <v>86300000</v>
      </c>
      <c r="E4960">
        <v>86309999</v>
      </c>
      <c r="F4960" t="s">
        <v>4503</v>
      </c>
      <c r="G4960" t="str">
        <f t="shared" si="154"/>
        <v>PRI</v>
      </c>
      <c r="H4960" t="s">
        <v>4294</v>
      </c>
      <c r="I4960" t="s">
        <v>20</v>
      </c>
      <c r="J4960" t="s">
        <v>62</v>
      </c>
      <c r="K4960" s="6">
        <v>0.03</v>
      </c>
      <c r="L4960" s="7">
        <f t="shared" si="155"/>
        <v>2E-3</v>
      </c>
      <c r="M4960" s="7">
        <v>3.0000000000000001E-3</v>
      </c>
      <c r="N4960">
        <v>9</v>
      </c>
      <c r="O4960" s="8">
        <v>16.344178346561137</v>
      </c>
      <c r="P4960" s="9">
        <v>16.344178346561137</v>
      </c>
      <c r="Q4960" s="9">
        <v>16.344178346561137</v>
      </c>
      <c r="R4960" s="9">
        <v>16.766533722582309</v>
      </c>
      <c r="S4960" s="9">
        <v>17.709108795625173</v>
      </c>
      <c r="T4960" s="9">
        <v>18.545760454647645</v>
      </c>
      <c r="U4960" s="9">
        <v>20.10723313448154</v>
      </c>
      <c r="V4960" s="9">
        <v>20.10723313448154</v>
      </c>
      <c r="W4960" s="9">
        <v>20.10723313448154</v>
      </c>
      <c r="X4960" s="9">
        <v>21.240951506551678</v>
      </c>
      <c r="Y4960" s="9">
        <v>21.240951506551678</v>
      </c>
      <c r="Z4960" s="9">
        <v>22.557015615717738</v>
      </c>
      <c r="AA4960" s="9">
        <v>22.557015615717738</v>
      </c>
      <c r="AB4960" s="9">
        <v>26.056112270527457</v>
      </c>
      <c r="AC4960" s="9">
        <v>26.056112270527457</v>
      </c>
      <c r="AD4960" s="9">
        <v>30.142276170369946</v>
      </c>
      <c r="AE4960" s="9">
        <v>32.940531048263779</v>
      </c>
      <c r="AF4960" s="9">
        <v>35.920735279325392</v>
      </c>
      <c r="AG4960" s="9">
        <v>35.920735279325392</v>
      </c>
      <c r="AH4960" s="9">
        <v>38.62832670141978</v>
      </c>
      <c r="AI4960" s="9">
        <v>41.239207360528972</v>
      </c>
      <c r="AJ4960" s="9">
        <v>3.0428788910505911</v>
      </c>
    </row>
    <row r="4961" spans="1:36" x14ac:dyDescent="0.25">
      <c r="A4961" t="s">
        <v>5411</v>
      </c>
      <c r="B4961" t="s">
        <v>16</v>
      </c>
      <c r="C4961" t="s">
        <v>17</v>
      </c>
      <c r="D4961">
        <v>86310000</v>
      </c>
      <c r="E4961">
        <v>86314999</v>
      </c>
      <c r="F4961" t="s">
        <v>1753</v>
      </c>
      <c r="G4961" t="str">
        <f t="shared" si="154"/>
        <v>PRI II</v>
      </c>
      <c r="H4961" t="s">
        <v>4294</v>
      </c>
      <c r="I4961" t="s">
        <v>20</v>
      </c>
      <c r="J4961" t="s">
        <v>64</v>
      </c>
      <c r="K4961" s="6">
        <v>0.03</v>
      </c>
      <c r="L4961" s="7">
        <f t="shared" si="155"/>
        <v>2E-3</v>
      </c>
      <c r="M4961" s="7">
        <v>3.0000000000000001E-3</v>
      </c>
      <c r="N4961">
        <v>11</v>
      </c>
      <c r="O4961" s="8">
        <v>19.127752698369598</v>
      </c>
      <c r="P4961" s="9">
        <v>19.127752698369598</v>
      </c>
      <c r="Q4961" s="9">
        <v>19.127752698369598</v>
      </c>
      <c r="R4961" s="9">
        <v>19.588754687607715</v>
      </c>
      <c r="S4961" s="9">
        <v>19.892211826137899</v>
      </c>
      <c r="T4961" s="9">
        <v>20.64455772606674</v>
      </c>
      <c r="U4961" s="9">
        <v>22.020224218035128</v>
      </c>
      <c r="V4961" s="9">
        <v>22.020224218035128</v>
      </c>
      <c r="W4961" s="9">
        <v>22.020224218035128</v>
      </c>
      <c r="X4961" s="9">
        <v>24.004435739730138</v>
      </c>
      <c r="Y4961" s="9">
        <v>24.004435739730138</v>
      </c>
      <c r="Z4961" s="9">
        <v>26.075582265671787</v>
      </c>
      <c r="AA4961" s="9">
        <v>26.075582265671787</v>
      </c>
      <c r="AB4961" s="9">
        <v>28.242357296284759</v>
      </c>
      <c r="AC4961" s="9">
        <v>28.242357296284759</v>
      </c>
      <c r="AD4961" s="9">
        <v>32.278785457330969</v>
      </c>
      <c r="AE4961" s="9">
        <v>34.228944830548365</v>
      </c>
      <c r="AF4961" s="9">
        <v>36.293711230319367</v>
      </c>
      <c r="AG4961" s="9">
        <v>36.293711230319367</v>
      </c>
      <c r="AH4961" s="9">
        <v>39.230142171980006</v>
      </c>
      <c r="AI4961" s="9">
        <v>41.357809622501556</v>
      </c>
      <c r="AJ4961" s="9">
        <v>3.0428788910505911</v>
      </c>
    </row>
    <row r="4962" spans="1:36" x14ac:dyDescent="0.25">
      <c r="A4962" t="s">
        <v>5411</v>
      </c>
      <c r="B4962" t="s">
        <v>16</v>
      </c>
      <c r="C4962" t="s">
        <v>17</v>
      </c>
      <c r="D4962">
        <v>86315000</v>
      </c>
      <c r="E4962">
        <v>86319999</v>
      </c>
      <c r="F4962" t="s">
        <v>4504</v>
      </c>
      <c r="G4962" t="str">
        <f t="shared" si="154"/>
        <v>PRI II</v>
      </c>
      <c r="H4962" t="s">
        <v>4294</v>
      </c>
      <c r="I4962" t="s">
        <v>20</v>
      </c>
      <c r="J4962" t="s">
        <v>64</v>
      </c>
      <c r="K4962" s="6">
        <v>0.03</v>
      </c>
      <c r="L4962" s="7">
        <f t="shared" si="155"/>
        <v>2E-3</v>
      </c>
      <c r="M4962" s="7">
        <v>3.0000000000000001E-3</v>
      </c>
      <c r="N4962">
        <v>11</v>
      </c>
      <c r="O4962" s="8">
        <v>19.127752698369598</v>
      </c>
      <c r="P4962" s="9">
        <v>19.127752698369598</v>
      </c>
      <c r="Q4962" s="9">
        <v>19.127752698369598</v>
      </c>
      <c r="R4962" s="9">
        <v>19.588754687607715</v>
      </c>
      <c r="S4962" s="9">
        <v>19.892211826137899</v>
      </c>
      <c r="T4962" s="9">
        <v>20.64455772606674</v>
      </c>
      <c r="U4962" s="9">
        <v>22.020224218035128</v>
      </c>
      <c r="V4962" s="9">
        <v>22.020224218035128</v>
      </c>
      <c r="W4962" s="9">
        <v>22.020224218035128</v>
      </c>
      <c r="X4962" s="9">
        <v>24.004435739730138</v>
      </c>
      <c r="Y4962" s="9">
        <v>24.004435739730138</v>
      </c>
      <c r="Z4962" s="9">
        <v>26.075582265671787</v>
      </c>
      <c r="AA4962" s="9">
        <v>26.075582265671787</v>
      </c>
      <c r="AB4962" s="9">
        <v>28.242357296284759</v>
      </c>
      <c r="AC4962" s="9">
        <v>28.242357296284759</v>
      </c>
      <c r="AD4962" s="9">
        <v>32.278785457330969</v>
      </c>
      <c r="AE4962" s="9">
        <v>34.228944830548365</v>
      </c>
      <c r="AF4962" s="9">
        <v>36.293711230319367</v>
      </c>
      <c r="AG4962" s="9">
        <v>36.293711230319367</v>
      </c>
      <c r="AH4962" s="9">
        <v>39.230142171980006</v>
      </c>
      <c r="AI4962" s="9">
        <v>41.357809622501556</v>
      </c>
      <c r="AJ4962" s="9">
        <v>3.0428788910505911</v>
      </c>
    </row>
    <row r="4963" spans="1:36" x14ac:dyDescent="0.25">
      <c r="A4963" t="s">
        <v>5411</v>
      </c>
      <c r="B4963" t="s">
        <v>16</v>
      </c>
      <c r="C4963" t="s">
        <v>17</v>
      </c>
      <c r="D4963">
        <v>86320000</v>
      </c>
      <c r="E4963">
        <v>86329999</v>
      </c>
      <c r="F4963" t="s">
        <v>4505</v>
      </c>
      <c r="G4963" t="str">
        <f t="shared" si="154"/>
        <v>PRI II</v>
      </c>
      <c r="H4963" t="s">
        <v>4294</v>
      </c>
      <c r="I4963" t="s">
        <v>20</v>
      </c>
      <c r="J4963" t="s">
        <v>64</v>
      </c>
      <c r="K4963" s="6">
        <v>0.03</v>
      </c>
      <c r="L4963" s="7">
        <f t="shared" si="155"/>
        <v>2E-3</v>
      </c>
      <c r="M4963" s="7">
        <v>3.0000000000000001E-3</v>
      </c>
      <c r="N4963">
        <v>11</v>
      </c>
      <c r="O4963" s="8">
        <v>19.127752698369598</v>
      </c>
      <c r="P4963" s="9">
        <v>19.127752698369598</v>
      </c>
      <c r="Q4963" s="9">
        <v>19.127752698369598</v>
      </c>
      <c r="R4963" s="9">
        <v>19.588754687607715</v>
      </c>
      <c r="S4963" s="9">
        <v>19.892211826137899</v>
      </c>
      <c r="T4963" s="9">
        <v>20.64455772606674</v>
      </c>
      <c r="U4963" s="9">
        <v>22.020224218035128</v>
      </c>
      <c r="V4963" s="9">
        <v>22.020224218035128</v>
      </c>
      <c r="W4963" s="9">
        <v>22.020224218035128</v>
      </c>
      <c r="X4963" s="9">
        <v>24.004435739730138</v>
      </c>
      <c r="Y4963" s="9">
        <v>24.004435739730138</v>
      </c>
      <c r="Z4963" s="9">
        <v>26.075582265671787</v>
      </c>
      <c r="AA4963" s="9">
        <v>26.075582265671787</v>
      </c>
      <c r="AB4963" s="9">
        <v>28.242357296284759</v>
      </c>
      <c r="AC4963" s="9">
        <v>28.242357296284759</v>
      </c>
      <c r="AD4963" s="9">
        <v>32.278785457330969</v>
      </c>
      <c r="AE4963" s="9">
        <v>34.228944830548365</v>
      </c>
      <c r="AF4963" s="9">
        <v>36.293711230319367</v>
      </c>
      <c r="AG4963" s="9">
        <v>36.293711230319367</v>
      </c>
      <c r="AH4963" s="9">
        <v>39.230142171980006</v>
      </c>
      <c r="AI4963" s="9">
        <v>41.357809622501556</v>
      </c>
      <c r="AJ4963" s="9">
        <v>3.0428788910505911</v>
      </c>
    </row>
    <row r="4964" spans="1:36" x14ac:dyDescent="0.25">
      <c r="A4964" t="s">
        <v>5411</v>
      </c>
      <c r="B4964" t="s">
        <v>16</v>
      </c>
      <c r="C4964" t="s">
        <v>17</v>
      </c>
      <c r="D4964">
        <v>86330000</v>
      </c>
      <c r="E4964">
        <v>86339999</v>
      </c>
      <c r="F4964" t="s">
        <v>4506</v>
      </c>
      <c r="G4964" t="str">
        <f t="shared" si="154"/>
        <v>PRI II</v>
      </c>
      <c r="H4964" t="s">
        <v>4294</v>
      </c>
      <c r="I4964" t="s">
        <v>20</v>
      </c>
      <c r="J4964" t="s">
        <v>64</v>
      </c>
      <c r="K4964" s="6">
        <v>0.03</v>
      </c>
      <c r="L4964" s="7">
        <f t="shared" si="155"/>
        <v>2E-3</v>
      </c>
      <c r="M4964" s="7">
        <v>3.0000000000000001E-3</v>
      </c>
      <c r="N4964">
        <v>11</v>
      </c>
      <c r="O4964" s="8">
        <v>19.127752698369598</v>
      </c>
      <c r="P4964" s="9">
        <v>19.127752698369598</v>
      </c>
      <c r="Q4964" s="9">
        <v>19.127752698369598</v>
      </c>
      <c r="R4964" s="9">
        <v>19.588754687607715</v>
      </c>
      <c r="S4964" s="9">
        <v>19.892211826137899</v>
      </c>
      <c r="T4964" s="9">
        <v>20.64455772606674</v>
      </c>
      <c r="U4964" s="9">
        <v>22.020224218035128</v>
      </c>
      <c r="V4964" s="9">
        <v>22.020224218035128</v>
      </c>
      <c r="W4964" s="9">
        <v>22.020224218035128</v>
      </c>
      <c r="X4964" s="9">
        <v>24.004435739730138</v>
      </c>
      <c r="Y4964" s="9">
        <v>24.004435739730138</v>
      </c>
      <c r="Z4964" s="9">
        <v>26.075582265671787</v>
      </c>
      <c r="AA4964" s="9">
        <v>26.075582265671787</v>
      </c>
      <c r="AB4964" s="9">
        <v>28.242357296284759</v>
      </c>
      <c r="AC4964" s="9">
        <v>28.242357296284759</v>
      </c>
      <c r="AD4964" s="9">
        <v>32.278785457330969</v>
      </c>
      <c r="AE4964" s="9">
        <v>34.228944830548365</v>
      </c>
      <c r="AF4964" s="9">
        <v>36.293711230319367</v>
      </c>
      <c r="AG4964" s="9">
        <v>36.293711230319367</v>
      </c>
      <c r="AH4964" s="9">
        <v>39.230142171980006</v>
      </c>
      <c r="AI4964" s="9">
        <v>41.357809622501556</v>
      </c>
      <c r="AJ4964" s="9">
        <v>3.0428788910505911</v>
      </c>
    </row>
    <row r="4965" spans="1:36" x14ac:dyDescent="0.25">
      <c r="A4965" t="s">
        <v>5411</v>
      </c>
      <c r="B4965" t="s">
        <v>16</v>
      </c>
      <c r="C4965" t="s">
        <v>17</v>
      </c>
      <c r="D4965">
        <v>86340000</v>
      </c>
      <c r="E4965">
        <v>86349999</v>
      </c>
      <c r="F4965" t="s">
        <v>4507</v>
      </c>
      <c r="G4965" t="str">
        <f t="shared" si="154"/>
        <v>PRI II</v>
      </c>
      <c r="H4965" t="s">
        <v>4294</v>
      </c>
      <c r="I4965" t="s">
        <v>20</v>
      </c>
      <c r="J4965" t="s">
        <v>64</v>
      </c>
      <c r="K4965" s="6">
        <v>0.03</v>
      </c>
      <c r="L4965" s="7">
        <f t="shared" si="155"/>
        <v>2E-3</v>
      </c>
      <c r="M4965" s="7">
        <v>3.0000000000000001E-3</v>
      </c>
      <c r="N4965">
        <v>11</v>
      </c>
      <c r="O4965" s="8">
        <v>19.127752698369598</v>
      </c>
      <c r="P4965" s="9">
        <v>19.127752698369598</v>
      </c>
      <c r="Q4965" s="9">
        <v>19.127752698369598</v>
      </c>
      <c r="R4965" s="9">
        <v>19.588754687607715</v>
      </c>
      <c r="S4965" s="9">
        <v>19.892211826137899</v>
      </c>
      <c r="T4965" s="9">
        <v>20.64455772606674</v>
      </c>
      <c r="U4965" s="9">
        <v>22.020224218035128</v>
      </c>
      <c r="V4965" s="9">
        <v>22.020224218035128</v>
      </c>
      <c r="W4965" s="9">
        <v>22.020224218035128</v>
      </c>
      <c r="X4965" s="9">
        <v>24.004435739730138</v>
      </c>
      <c r="Y4965" s="9">
        <v>24.004435739730138</v>
      </c>
      <c r="Z4965" s="9">
        <v>26.075582265671787</v>
      </c>
      <c r="AA4965" s="9">
        <v>26.075582265671787</v>
      </c>
      <c r="AB4965" s="9">
        <v>28.242357296284759</v>
      </c>
      <c r="AC4965" s="9">
        <v>28.242357296284759</v>
      </c>
      <c r="AD4965" s="9">
        <v>32.278785457330969</v>
      </c>
      <c r="AE4965" s="9">
        <v>34.228944830548365</v>
      </c>
      <c r="AF4965" s="9">
        <v>36.293711230319367</v>
      </c>
      <c r="AG4965" s="9">
        <v>36.293711230319367</v>
      </c>
      <c r="AH4965" s="9">
        <v>39.230142171980006</v>
      </c>
      <c r="AI4965" s="9">
        <v>41.357809622501556</v>
      </c>
      <c r="AJ4965" s="9">
        <v>3.0428788910505911</v>
      </c>
    </row>
    <row r="4966" spans="1:36" x14ac:dyDescent="0.25">
      <c r="A4966" t="s">
        <v>5411</v>
      </c>
      <c r="B4966" t="s">
        <v>16</v>
      </c>
      <c r="C4966" t="s">
        <v>17</v>
      </c>
      <c r="D4966">
        <v>86350000</v>
      </c>
      <c r="E4966">
        <v>86359999</v>
      </c>
      <c r="F4966" t="s">
        <v>4508</v>
      </c>
      <c r="G4966" t="str">
        <f t="shared" si="154"/>
        <v>PRI II</v>
      </c>
      <c r="H4966" t="s">
        <v>4294</v>
      </c>
      <c r="I4966" t="s">
        <v>20</v>
      </c>
      <c r="J4966" t="s">
        <v>64</v>
      </c>
      <c r="K4966" s="6">
        <v>0.03</v>
      </c>
      <c r="L4966" s="7">
        <f t="shared" si="155"/>
        <v>2E-3</v>
      </c>
      <c r="M4966" s="7">
        <v>3.0000000000000001E-3</v>
      </c>
      <c r="N4966">
        <v>11</v>
      </c>
      <c r="O4966" s="8">
        <v>19.127752698369598</v>
      </c>
      <c r="P4966" s="9">
        <v>19.127752698369598</v>
      </c>
      <c r="Q4966" s="9">
        <v>19.127752698369598</v>
      </c>
      <c r="R4966" s="9">
        <v>19.588754687607715</v>
      </c>
      <c r="S4966" s="9">
        <v>19.892211826137899</v>
      </c>
      <c r="T4966" s="9">
        <v>20.64455772606674</v>
      </c>
      <c r="U4966" s="9">
        <v>22.020224218035128</v>
      </c>
      <c r="V4966" s="9">
        <v>22.020224218035128</v>
      </c>
      <c r="W4966" s="9">
        <v>22.020224218035128</v>
      </c>
      <c r="X4966" s="9">
        <v>24.004435739730138</v>
      </c>
      <c r="Y4966" s="9">
        <v>24.004435739730138</v>
      </c>
      <c r="Z4966" s="9">
        <v>26.075582265671787</v>
      </c>
      <c r="AA4966" s="9">
        <v>26.075582265671787</v>
      </c>
      <c r="AB4966" s="9">
        <v>28.242357296284759</v>
      </c>
      <c r="AC4966" s="9">
        <v>28.242357296284759</v>
      </c>
      <c r="AD4966" s="9">
        <v>32.278785457330969</v>
      </c>
      <c r="AE4966" s="9">
        <v>34.228944830548365</v>
      </c>
      <c r="AF4966" s="9">
        <v>36.293711230319367</v>
      </c>
      <c r="AG4966" s="9">
        <v>36.293711230319367</v>
      </c>
      <c r="AH4966" s="9">
        <v>39.230142171980006</v>
      </c>
      <c r="AI4966" s="9">
        <v>41.357809622501556</v>
      </c>
      <c r="AJ4966" s="9">
        <v>3.0428788910505911</v>
      </c>
    </row>
    <row r="4967" spans="1:36" x14ac:dyDescent="0.25">
      <c r="A4967" t="s">
        <v>5411</v>
      </c>
      <c r="B4967" t="s">
        <v>16</v>
      </c>
      <c r="C4967" t="s">
        <v>17</v>
      </c>
      <c r="D4967">
        <v>86360000</v>
      </c>
      <c r="E4967">
        <v>86369999</v>
      </c>
      <c r="F4967" t="s">
        <v>4241</v>
      </c>
      <c r="G4967" t="str">
        <f t="shared" si="154"/>
        <v>PRI</v>
      </c>
      <c r="H4967" t="s">
        <v>4294</v>
      </c>
      <c r="I4967" t="s">
        <v>20</v>
      </c>
      <c r="J4967" t="s">
        <v>62</v>
      </c>
      <c r="K4967" s="6">
        <v>0.03</v>
      </c>
      <c r="L4967" s="7">
        <f t="shared" si="155"/>
        <v>2E-3</v>
      </c>
      <c r="M4967" s="7">
        <v>3.0000000000000001E-3</v>
      </c>
      <c r="N4967">
        <v>9</v>
      </c>
      <c r="O4967" s="8">
        <v>16.344178346561137</v>
      </c>
      <c r="P4967" s="9">
        <v>16.344178346561137</v>
      </c>
      <c r="Q4967" s="9">
        <v>16.344178346561137</v>
      </c>
      <c r="R4967" s="9">
        <v>16.766533722582309</v>
      </c>
      <c r="S4967" s="9">
        <v>17.709108795625173</v>
      </c>
      <c r="T4967" s="9">
        <v>18.545760454647645</v>
      </c>
      <c r="U4967" s="9">
        <v>20.10723313448154</v>
      </c>
      <c r="V4967" s="9">
        <v>20.10723313448154</v>
      </c>
      <c r="W4967" s="9">
        <v>20.10723313448154</v>
      </c>
      <c r="X4967" s="9">
        <v>21.240951506551678</v>
      </c>
      <c r="Y4967" s="9">
        <v>21.240951506551678</v>
      </c>
      <c r="Z4967" s="9">
        <v>22.557015615717738</v>
      </c>
      <c r="AA4967" s="9">
        <v>22.557015615717738</v>
      </c>
      <c r="AB4967" s="9">
        <v>26.056112270527457</v>
      </c>
      <c r="AC4967" s="9">
        <v>26.056112270527457</v>
      </c>
      <c r="AD4967" s="9">
        <v>30.142276170369946</v>
      </c>
      <c r="AE4967" s="9">
        <v>32.940531048263779</v>
      </c>
      <c r="AF4967" s="9">
        <v>35.920735279325392</v>
      </c>
      <c r="AG4967" s="9">
        <v>35.920735279325392</v>
      </c>
      <c r="AH4967" s="9">
        <v>38.62832670141978</v>
      </c>
      <c r="AI4967" s="9">
        <v>41.239207360528972</v>
      </c>
      <c r="AJ4967" s="9">
        <v>3.0428788910505911</v>
      </c>
    </row>
    <row r="4968" spans="1:36" x14ac:dyDescent="0.25">
      <c r="A4968" t="s">
        <v>5411</v>
      </c>
      <c r="B4968" t="s">
        <v>16</v>
      </c>
      <c r="C4968" t="s">
        <v>17</v>
      </c>
      <c r="D4968">
        <v>86370000</v>
      </c>
      <c r="E4968">
        <v>86374999</v>
      </c>
      <c r="F4968" t="s">
        <v>4509</v>
      </c>
      <c r="G4968" t="str">
        <f t="shared" si="154"/>
        <v>PRI II</v>
      </c>
      <c r="H4968" t="s">
        <v>4294</v>
      </c>
      <c r="I4968" t="s">
        <v>20</v>
      </c>
      <c r="J4968" t="s">
        <v>64</v>
      </c>
      <c r="K4968" s="6">
        <v>0.03</v>
      </c>
      <c r="L4968" s="7">
        <f t="shared" si="155"/>
        <v>2E-3</v>
      </c>
      <c r="M4968" s="7">
        <v>3.0000000000000001E-3</v>
      </c>
      <c r="N4968">
        <v>11</v>
      </c>
      <c r="O4968" s="8">
        <v>19.127752698369598</v>
      </c>
      <c r="P4968" s="9">
        <v>19.127752698369598</v>
      </c>
      <c r="Q4968" s="9">
        <v>19.127752698369598</v>
      </c>
      <c r="R4968" s="9">
        <v>19.588754687607715</v>
      </c>
      <c r="S4968" s="9">
        <v>19.892211826137899</v>
      </c>
      <c r="T4968" s="9">
        <v>20.64455772606674</v>
      </c>
      <c r="U4968" s="9">
        <v>22.020224218035128</v>
      </c>
      <c r="V4968" s="9">
        <v>22.020224218035128</v>
      </c>
      <c r="W4968" s="9">
        <v>22.020224218035128</v>
      </c>
      <c r="X4968" s="9">
        <v>24.004435739730138</v>
      </c>
      <c r="Y4968" s="9">
        <v>24.004435739730138</v>
      </c>
      <c r="Z4968" s="9">
        <v>26.075582265671787</v>
      </c>
      <c r="AA4968" s="9">
        <v>26.075582265671787</v>
      </c>
      <c r="AB4968" s="9">
        <v>28.242357296284759</v>
      </c>
      <c r="AC4968" s="9">
        <v>28.242357296284759</v>
      </c>
      <c r="AD4968" s="9">
        <v>32.278785457330969</v>
      </c>
      <c r="AE4968" s="9">
        <v>34.228944830548365</v>
      </c>
      <c r="AF4968" s="9">
        <v>36.293711230319367</v>
      </c>
      <c r="AG4968" s="9">
        <v>36.293711230319367</v>
      </c>
      <c r="AH4968" s="9">
        <v>39.230142171980006</v>
      </c>
      <c r="AI4968" s="9">
        <v>41.357809622501556</v>
      </c>
      <c r="AJ4968" s="9">
        <v>3.0428788910505911</v>
      </c>
    </row>
    <row r="4969" spans="1:36" x14ac:dyDescent="0.25">
      <c r="A4969" t="s">
        <v>5411</v>
      </c>
      <c r="B4969" t="s">
        <v>16</v>
      </c>
      <c r="C4969" t="s">
        <v>17</v>
      </c>
      <c r="D4969">
        <v>86375000</v>
      </c>
      <c r="E4969">
        <v>86379999</v>
      </c>
      <c r="F4969" t="s">
        <v>4510</v>
      </c>
      <c r="G4969" t="str">
        <f t="shared" si="154"/>
        <v>PRI II</v>
      </c>
      <c r="H4969" t="s">
        <v>4294</v>
      </c>
      <c r="I4969" t="s">
        <v>20</v>
      </c>
      <c r="J4969" t="s">
        <v>64</v>
      </c>
      <c r="K4969" s="6">
        <v>0.03</v>
      </c>
      <c r="L4969" s="7">
        <f t="shared" si="155"/>
        <v>2E-3</v>
      </c>
      <c r="M4969" s="7">
        <v>3.0000000000000001E-3</v>
      </c>
      <c r="N4969">
        <v>11</v>
      </c>
      <c r="O4969" s="8">
        <v>19.127752698369598</v>
      </c>
      <c r="P4969" s="9">
        <v>19.127752698369598</v>
      </c>
      <c r="Q4969" s="9">
        <v>19.127752698369598</v>
      </c>
      <c r="R4969" s="9">
        <v>19.588754687607715</v>
      </c>
      <c r="S4969" s="9">
        <v>19.892211826137899</v>
      </c>
      <c r="T4969" s="9">
        <v>20.64455772606674</v>
      </c>
      <c r="U4969" s="9">
        <v>22.020224218035128</v>
      </c>
      <c r="V4969" s="9">
        <v>22.020224218035128</v>
      </c>
      <c r="W4969" s="9">
        <v>22.020224218035128</v>
      </c>
      <c r="X4969" s="9">
        <v>24.004435739730138</v>
      </c>
      <c r="Y4969" s="9">
        <v>24.004435739730138</v>
      </c>
      <c r="Z4969" s="9">
        <v>26.075582265671787</v>
      </c>
      <c r="AA4969" s="9">
        <v>26.075582265671787</v>
      </c>
      <c r="AB4969" s="9">
        <v>28.242357296284759</v>
      </c>
      <c r="AC4969" s="9">
        <v>28.242357296284759</v>
      </c>
      <c r="AD4969" s="9">
        <v>32.278785457330969</v>
      </c>
      <c r="AE4969" s="9">
        <v>34.228944830548365</v>
      </c>
      <c r="AF4969" s="9">
        <v>36.293711230319367</v>
      </c>
      <c r="AG4969" s="9">
        <v>36.293711230319367</v>
      </c>
      <c r="AH4969" s="9">
        <v>39.230142171980006</v>
      </c>
      <c r="AI4969" s="9">
        <v>41.357809622501556</v>
      </c>
      <c r="AJ4969" s="9">
        <v>3.0428788910505911</v>
      </c>
    </row>
    <row r="4970" spans="1:36" x14ac:dyDescent="0.25">
      <c r="A4970" t="s">
        <v>5411</v>
      </c>
      <c r="B4970" t="s">
        <v>16</v>
      </c>
      <c r="C4970" t="s">
        <v>17</v>
      </c>
      <c r="D4970">
        <v>86380000</v>
      </c>
      <c r="E4970">
        <v>86384999</v>
      </c>
      <c r="F4970" t="s">
        <v>4511</v>
      </c>
      <c r="G4970" t="str">
        <f t="shared" si="154"/>
        <v>PRI II</v>
      </c>
      <c r="H4970" t="s">
        <v>4294</v>
      </c>
      <c r="I4970" t="s">
        <v>20</v>
      </c>
      <c r="J4970" t="s">
        <v>64</v>
      </c>
      <c r="K4970" s="6">
        <v>0.03</v>
      </c>
      <c r="L4970" s="7">
        <f t="shared" si="155"/>
        <v>2E-3</v>
      </c>
      <c r="M4970" s="7">
        <v>3.0000000000000001E-3</v>
      </c>
      <c r="N4970">
        <v>11</v>
      </c>
      <c r="O4970" s="8">
        <v>19.127752698369598</v>
      </c>
      <c r="P4970" s="9">
        <v>19.127752698369598</v>
      </c>
      <c r="Q4970" s="9">
        <v>19.127752698369598</v>
      </c>
      <c r="R4970" s="9">
        <v>19.588754687607715</v>
      </c>
      <c r="S4970" s="9">
        <v>19.892211826137899</v>
      </c>
      <c r="T4970" s="9">
        <v>20.64455772606674</v>
      </c>
      <c r="U4970" s="9">
        <v>22.020224218035128</v>
      </c>
      <c r="V4970" s="9">
        <v>22.020224218035128</v>
      </c>
      <c r="W4970" s="9">
        <v>22.020224218035128</v>
      </c>
      <c r="X4970" s="9">
        <v>24.004435739730138</v>
      </c>
      <c r="Y4970" s="9">
        <v>24.004435739730138</v>
      </c>
      <c r="Z4970" s="9">
        <v>26.075582265671787</v>
      </c>
      <c r="AA4970" s="9">
        <v>26.075582265671787</v>
      </c>
      <c r="AB4970" s="9">
        <v>28.242357296284759</v>
      </c>
      <c r="AC4970" s="9">
        <v>28.242357296284759</v>
      </c>
      <c r="AD4970" s="9">
        <v>32.278785457330969</v>
      </c>
      <c r="AE4970" s="9">
        <v>34.228944830548365</v>
      </c>
      <c r="AF4970" s="9">
        <v>36.293711230319367</v>
      </c>
      <c r="AG4970" s="9">
        <v>36.293711230319367</v>
      </c>
      <c r="AH4970" s="9">
        <v>39.230142171980006</v>
      </c>
      <c r="AI4970" s="9">
        <v>41.357809622501556</v>
      </c>
      <c r="AJ4970" s="9">
        <v>3.0428788910505911</v>
      </c>
    </row>
    <row r="4971" spans="1:36" x14ac:dyDescent="0.25">
      <c r="A4971" t="s">
        <v>5411</v>
      </c>
      <c r="B4971" t="s">
        <v>16</v>
      </c>
      <c r="C4971" t="s">
        <v>17</v>
      </c>
      <c r="D4971">
        <v>86385000</v>
      </c>
      <c r="E4971">
        <v>86389999</v>
      </c>
      <c r="F4971" t="s">
        <v>4512</v>
      </c>
      <c r="G4971" t="str">
        <f t="shared" si="154"/>
        <v>PRI II</v>
      </c>
      <c r="H4971" t="s">
        <v>4294</v>
      </c>
      <c r="I4971" t="s">
        <v>20</v>
      </c>
      <c r="J4971" t="s">
        <v>64</v>
      </c>
      <c r="K4971" s="6">
        <v>0.03</v>
      </c>
      <c r="L4971" s="7">
        <f t="shared" si="155"/>
        <v>2E-3</v>
      </c>
      <c r="M4971" s="7">
        <v>3.0000000000000001E-3</v>
      </c>
      <c r="N4971">
        <v>11</v>
      </c>
      <c r="O4971" s="8">
        <v>19.127752698369598</v>
      </c>
      <c r="P4971" s="9">
        <v>19.127752698369598</v>
      </c>
      <c r="Q4971" s="9">
        <v>19.127752698369598</v>
      </c>
      <c r="R4971" s="9">
        <v>19.588754687607715</v>
      </c>
      <c r="S4971" s="9">
        <v>19.892211826137899</v>
      </c>
      <c r="T4971" s="9">
        <v>20.64455772606674</v>
      </c>
      <c r="U4971" s="9">
        <v>22.020224218035128</v>
      </c>
      <c r="V4971" s="9">
        <v>22.020224218035128</v>
      </c>
      <c r="W4971" s="9">
        <v>22.020224218035128</v>
      </c>
      <c r="X4971" s="9">
        <v>24.004435739730138</v>
      </c>
      <c r="Y4971" s="9">
        <v>24.004435739730138</v>
      </c>
      <c r="Z4971" s="9">
        <v>26.075582265671787</v>
      </c>
      <c r="AA4971" s="9">
        <v>26.075582265671787</v>
      </c>
      <c r="AB4971" s="9">
        <v>28.242357296284759</v>
      </c>
      <c r="AC4971" s="9">
        <v>28.242357296284759</v>
      </c>
      <c r="AD4971" s="9">
        <v>32.278785457330969</v>
      </c>
      <c r="AE4971" s="9">
        <v>34.228944830548365</v>
      </c>
      <c r="AF4971" s="9">
        <v>36.293711230319367</v>
      </c>
      <c r="AG4971" s="9">
        <v>36.293711230319367</v>
      </c>
      <c r="AH4971" s="9">
        <v>39.230142171980006</v>
      </c>
      <c r="AI4971" s="9">
        <v>41.357809622501556</v>
      </c>
      <c r="AJ4971" s="9">
        <v>3.0428788910505911</v>
      </c>
    </row>
    <row r="4972" spans="1:36" x14ac:dyDescent="0.25">
      <c r="A4972" t="s">
        <v>5411</v>
      </c>
      <c r="B4972" t="s">
        <v>16</v>
      </c>
      <c r="C4972" t="s">
        <v>17</v>
      </c>
      <c r="D4972">
        <v>86390000</v>
      </c>
      <c r="E4972">
        <v>86399999</v>
      </c>
      <c r="F4972" t="s">
        <v>4513</v>
      </c>
      <c r="G4972" t="str">
        <f t="shared" si="154"/>
        <v>PRI</v>
      </c>
      <c r="H4972" t="s">
        <v>4294</v>
      </c>
      <c r="I4972" t="s">
        <v>20</v>
      </c>
      <c r="J4972" t="s">
        <v>62</v>
      </c>
      <c r="K4972" s="6">
        <v>0.03</v>
      </c>
      <c r="L4972" s="7">
        <f t="shared" si="155"/>
        <v>2E-3</v>
      </c>
      <c r="M4972" s="7">
        <v>3.0000000000000001E-3</v>
      </c>
      <c r="N4972">
        <v>9</v>
      </c>
      <c r="O4972" s="8">
        <v>16.344178346561137</v>
      </c>
      <c r="P4972" s="9">
        <v>16.344178346561137</v>
      </c>
      <c r="Q4972" s="9">
        <v>16.344178346561137</v>
      </c>
      <c r="R4972" s="9">
        <v>16.766533722582309</v>
      </c>
      <c r="S4972" s="9">
        <v>17.709108795625173</v>
      </c>
      <c r="T4972" s="9">
        <v>18.545760454647645</v>
      </c>
      <c r="U4972" s="9">
        <v>20.10723313448154</v>
      </c>
      <c r="V4972" s="9">
        <v>20.10723313448154</v>
      </c>
      <c r="W4972" s="9">
        <v>20.10723313448154</v>
      </c>
      <c r="X4972" s="9">
        <v>21.240951506551678</v>
      </c>
      <c r="Y4972" s="9">
        <v>21.240951506551678</v>
      </c>
      <c r="Z4972" s="9">
        <v>22.557015615717738</v>
      </c>
      <c r="AA4972" s="9">
        <v>22.557015615717738</v>
      </c>
      <c r="AB4972" s="9">
        <v>26.056112270527457</v>
      </c>
      <c r="AC4972" s="9">
        <v>26.056112270527457</v>
      </c>
      <c r="AD4972" s="9">
        <v>30.142276170369946</v>
      </c>
      <c r="AE4972" s="9">
        <v>32.940531048263779</v>
      </c>
      <c r="AF4972" s="9">
        <v>35.920735279325392</v>
      </c>
      <c r="AG4972" s="9">
        <v>35.920735279325392</v>
      </c>
      <c r="AH4972" s="9">
        <v>38.62832670141978</v>
      </c>
      <c r="AI4972" s="9">
        <v>41.239207360528972</v>
      </c>
      <c r="AJ4972" s="9">
        <v>3.0428788910505911</v>
      </c>
    </row>
    <row r="4973" spans="1:36" x14ac:dyDescent="0.25">
      <c r="A4973" t="s">
        <v>5411</v>
      </c>
      <c r="B4973" t="s">
        <v>16</v>
      </c>
      <c r="C4973" t="s">
        <v>17</v>
      </c>
      <c r="D4973">
        <v>86400000</v>
      </c>
      <c r="E4973">
        <v>86409999</v>
      </c>
      <c r="F4973" t="s">
        <v>4514</v>
      </c>
      <c r="G4973" t="str">
        <f t="shared" si="154"/>
        <v>PRI</v>
      </c>
      <c r="H4973" t="s">
        <v>4294</v>
      </c>
      <c r="I4973" t="s">
        <v>20</v>
      </c>
      <c r="J4973" t="s">
        <v>62</v>
      </c>
      <c r="K4973" s="6">
        <v>0.03</v>
      </c>
      <c r="L4973" s="7">
        <f t="shared" si="155"/>
        <v>2E-3</v>
      </c>
      <c r="M4973" s="7">
        <v>3.0000000000000001E-3</v>
      </c>
      <c r="N4973">
        <v>9</v>
      </c>
      <c r="O4973" s="8">
        <v>16.344178346561137</v>
      </c>
      <c r="P4973" s="9">
        <v>16.344178346561137</v>
      </c>
      <c r="Q4973" s="9">
        <v>16.344178346561137</v>
      </c>
      <c r="R4973" s="9">
        <v>16.766533722582309</v>
      </c>
      <c r="S4973" s="9">
        <v>17.709108795625173</v>
      </c>
      <c r="T4973" s="9">
        <v>18.545760454647645</v>
      </c>
      <c r="U4973" s="9">
        <v>20.10723313448154</v>
      </c>
      <c r="V4973" s="9">
        <v>20.10723313448154</v>
      </c>
      <c r="W4973" s="9">
        <v>20.10723313448154</v>
      </c>
      <c r="X4973" s="9">
        <v>21.240951506551678</v>
      </c>
      <c r="Y4973" s="9">
        <v>21.240951506551678</v>
      </c>
      <c r="Z4973" s="9">
        <v>22.557015615717738</v>
      </c>
      <c r="AA4973" s="9">
        <v>22.557015615717738</v>
      </c>
      <c r="AB4973" s="9">
        <v>26.056112270527457</v>
      </c>
      <c r="AC4973" s="9">
        <v>26.056112270527457</v>
      </c>
      <c r="AD4973" s="9">
        <v>30.142276170369946</v>
      </c>
      <c r="AE4973" s="9">
        <v>32.940531048263779</v>
      </c>
      <c r="AF4973" s="9">
        <v>35.920735279325392</v>
      </c>
      <c r="AG4973" s="9">
        <v>35.920735279325392</v>
      </c>
      <c r="AH4973" s="9">
        <v>38.62832670141978</v>
      </c>
      <c r="AI4973" s="9">
        <v>41.239207360528972</v>
      </c>
      <c r="AJ4973" s="9">
        <v>3.0428788910505911</v>
      </c>
    </row>
    <row r="4974" spans="1:36" x14ac:dyDescent="0.25">
      <c r="A4974" t="s">
        <v>5411</v>
      </c>
      <c r="B4974" t="s">
        <v>16</v>
      </c>
      <c r="C4974" t="s">
        <v>17</v>
      </c>
      <c r="D4974">
        <v>86410000</v>
      </c>
      <c r="E4974">
        <v>86419999</v>
      </c>
      <c r="F4974" t="s">
        <v>4515</v>
      </c>
      <c r="G4974" t="str">
        <f t="shared" si="154"/>
        <v>PRI II</v>
      </c>
      <c r="H4974" t="s">
        <v>4294</v>
      </c>
      <c r="I4974" t="s">
        <v>20</v>
      </c>
      <c r="J4974" t="s">
        <v>64</v>
      </c>
      <c r="K4974" s="6">
        <v>0.03</v>
      </c>
      <c r="L4974" s="7">
        <f t="shared" si="155"/>
        <v>2E-3</v>
      </c>
      <c r="M4974" s="7">
        <v>3.0000000000000001E-3</v>
      </c>
      <c r="N4974">
        <v>11</v>
      </c>
      <c r="O4974" s="8">
        <v>19.127752698369598</v>
      </c>
      <c r="P4974" s="9">
        <v>19.127752698369598</v>
      </c>
      <c r="Q4974" s="9">
        <v>19.127752698369598</v>
      </c>
      <c r="R4974" s="9">
        <v>19.588754687607715</v>
      </c>
      <c r="S4974" s="9">
        <v>19.892211826137899</v>
      </c>
      <c r="T4974" s="9">
        <v>20.64455772606674</v>
      </c>
      <c r="U4974" s="9">
        <v>22.020224218035128</v>
      </c>
      <c r="V4974" s="9">
        <v>22.020224218035128</v>
      </c>
      <c r="W4974" s="9">
        <v>22.020224218035128</v>
      </c>
      <c r="X4974" s="9">
        <v>24.004435739730138</v>
      </c>
      <c r="Y4974" s="9">
        <v>24.004435739730138</v>
      </c>
      <c r="Z4974" s="9">
        <v>26.075582265671787</v>
      </c>
      <c r="AA4974" s="9">
        <v>26.075582265671787</v>
      </c>
      <c r="AB4974" s="9">
        <v>28.242357296284759</v>
      </c>
      <c r="AC4974" s="9">
        <v>28.242357296284759</v>
      </c>
      <c r="AD4974" s="9">
        <v>32.278785457330969</v>
      </c>
      <c r="AE4974" s="9">
        <v>34.228944830548365</v>
      </c>
      <c r="AF4974" s="9">
        <v>36.293711230319367</v>
      </c>
      <c r="AG4974" s="9">
        <v>36.293711230319367</v>
      </c>
      <c r="AH4974" s="9">
        <v>39.230142171980006</v>
      </c>
      <c r="AI4974" s="9">
        <v>41.357809622501556</v>
      </c>
      <c r="AJ4974" s="9">
        <v>3.0428788910505911</v>
      </c>
    </row>
    <row r="4975" spans="1:36" x14ac:dyDescent="0.25">
      <c r="A4975" t="s">
        <v>5411</v>
      </c>
      <c r="B4975" t="s">
        <v>16</v>
      </c>
      <c r="C4975" t="s">
        <v>17</v>
      </c>
      <c r="D4975">
        <v>86420000</v>
      </c>
      <c r="E4975">
        <v>86429999</v>
      </c>
      <c r="F4975" t="s">
        <v>4516</v>
      </c>
      <c r="G4975" t="str">
        <f t="shared" si="154"/>
        <v>PRI II</v>
      </c>
      <c r="H4975" t="s">
        <v>4294</v>
      </c>
      <c r="I4975" t="s">
        <v>20</v>
      </c>
      <c r="J4975" t="s">
        <v>64</v>
      </c>
      <c r="K4975" s="6">
        <v>0.03</v>
      </c>
      <c r="L4975" s="7">
        <f t="shared" si="155"/>
        <v>2E-3</v>
      </c>
      <c r="M4975" s="7">
        <v>3.0000000000000001E-3</v>
      </c>
      <c r="N4975">
        <v>11</v>
      </c>
      <c r="O4975" s="8">
        <v>19.127752698369598</v>
      </c>
      <c r="P4975" s="9">
        <v>19.127752698369598</v>
      </c>
      <c r="Q4975" s="9">
        <v>19.127752698369598</v>
      </c>
      <c r="R4975" s="9">
        <v>19.588754687607715</v>
      </c>
      <c r="S4975" s="9">
        <v>19.892211826137899</v>
      </c>
      <c r="T4975" s="9">
        <v>20.64455772606674</v>
      </c>
      <c r="U4975" s="9">
        <v>22.020224218035128</v>
      </c>
      <c r="V4975" s="9">
        <v>22.020224218035128</v>
      </c>
      <c r="W4975" s="9">
        <v>22.020224218035128</v>
      </c>
      <c r="X4975" s="9">
        <v>24.004435739730138</v>
      </c>
      <c r="Y4975" s="9">
        <v>24.004435739730138</v>
      </c>
      <c r="Z4975" s="9">
        <v>26.075582265671787</v>
      </c>
      <c r="AA4975" s="9">
        <v>26.075582265671787</v>
      </c>
      <c r="AB4975" s="9">
        <v>28.242357296284759</v>
      </c>
      <c r="AC4975" s="9">
        <v>28.242357296284759</v>
      </c>
      <c r="AD4975" s="9">
        <v>32.278785457330969</v>
      </c>
      <c r="AE4975" s="9">
        <v>34.228944830548365</v>
      </c>
      <c r="AF4975" s="9">
        <v>36.293711230319367</v>
      </c>
      <c r="AG4975" s="9">
        <v>36.293711230319367</v>
      </c>
      <c r="AH4975" s="9">
        <v>39.230142171980006</v>
      </c>
      <c r="AI4975" s="9">
        <v>41.357809622501556</v>
      </c>
      <c r="AJ4975" s="9">
        <v>3.0428788910505911</v>
      </c>
    </row>
    <row r="4976" spans="1:36" x14ac:dyDescent="0.25">
      <c r="A4976" t="s">
        <v>5411</v>
      </c>
      <c r="B4976" t="s">
        <v>16</v>
      </c>
      <c r="C4976" t="s">
        <v>17</v>
      </c>
      <c r="D4976">
        <v>86430000</v>
      </c>
      <c r="E4976">
        <v>86449999</v>
      </c>
      <c r="F4976" t="s">
        <v>4517</v>
      </c>
      <c r="G4976" t="str">
        <f t="shared" si="154"/>
        <v>PRI</v>
      </c>
      <c r="H4976" t="s">
        <v>4294</v>
      </c>
      <c r="I4976" t="s">
        <v>20</v>
      </c>
      <c r="J4976" t="s">
        <v>62</v>
      </c>
      <c r="K4976" s="6">
        <v>0.03</v>
      </c>
      <c r="L4976" s="7">
        <f t="shared" si="155"/>
        <v>2E-3</v>
      </c>
      <c r="M4976" s="7">
        <v>3.0000000000000001E-3</v>
      </c>
      <c r="N4976">
        <v>9</v>
      </c>
      <c r="O4976" s="8">
        <v>16.344178346561137</v>
      </c>
      <c r="P4976" s="9">
        <v>16.344178346561137</v>
      </c>
      <c r="Q4976" s="9">
        <v>16.344178346561137</v>
      </c>
      <c r="R4976" s="9">
        <v>16.766533722582309</v>
      </c>
      <c r="S4976" s="9">
        <v>17.709108795625173</v>
      </c>
      <c r="T4976" s="9">
        <v>18.545760454647645</v>
      </c>
      <c r="U4976" s="9">
        <v>20.10723313448154</v>
      </c>
      <c r="V4976" s="9">
        <v>20.10723313448154</v>
      </c>
      <c r="W4976" s="9">
        <v>20.10723313448154</v>
      </c>
      <c r="X4976" s="9">
        <v>21.240951506551678</v>
      </c>
      <c r="Y4976" s="9">
        <v>21.240951506551678</v>
      </c>
      <c r="Z4976" s="9">
        <v>22.557015615717738</v>
      </c>
      <c r="AA4976" s="9">
        <v>22.557015615717738</v>
      </c>
      <c r="AB4976" s="9">
        <v>26.056112270527457</v>
      </c>
      <c r="AC4976" s="9">
        <v>26.056112270527457</v>
      </c>
      <c r="AD4976" s="9">
        <v>30.142276170369946</v>
      </c>
      <c r="AE4976" s="9">
        <v>32.940531048263779</v>
      </c>
      <c r="AF4976" s="9">
        <v>35.920735279325392</v>
      </c>
      <c r="AG4976" s="9">
        <v>35.920735279325392</v>
      </c>
      <c r="AH4976" s="9">
        <v>38.62832670141978</v>
      </c>
      <c r="AI4976" s="9">
        <v>41.239207360528972</v>
      </c>
      <c r="AJ4976" s="9">
        <v>3.0428788910505911</v>
      </c>
    </row>
    <row r="4977" spans="1:36" x14ac:dyDescent="0.25">
      <c r="A4977" t="s">
        <v>5411</v>
      </c>
      <c r="B4977" t="s">
        <v>16</v>
      </c>
      <c r="C4977" t="s">
        <v>17</v>
      </c>
      <c r="D4977">
        <v>86450000</v>
      </c>
      <c r="E4977">
        <v>86454999</v>
      </c>
      <c r="F4977" t="s">
        <v>4518</v>
      </c>
      <c r="G4977" t="str">
        <f t="shared" si="154"/>
        <v>PRI II</v>
      </c>
      <c r="H4977" t="s">
        <v>4294</v>
      </c>
      <c r="I4977" t="s">
        <v>20</v>
      </c>
      <c r="J4977" t="s">
        <v>64</v>
      </c>
      <c r="K4977" s="6">
        <v>0.03</v>
      </c>
      <c r="L4977" s="7">
        <f t="shared" si="155"/>
        <v>2E-3</v>
      </c>
      <c r="M4977" s="7">
        <v>3.0000000000000001E-3</v>
      </c>
      <c r="N4977">
        <v>11</v>
      </c>
      <c r="O4977" s="8">
        <v>19.127752698369598</v>
      </c>
      <c r="P4977" s="9">
        <v>19.127752698369598</v>
      </c>
      <c r="Q4977" s="9">
        <v>19.127752698369598</v>
      </c>
      <c r="R4977" s="9">
        <v>19.588754687607715</v>
      </c>
      <c r="S4977" s="9">
        <v>19.892211826137899</v>
      </c>
      <c r="T4977" s="9">
        <v>20.64455772606674</v>
      </c>
      <c r="U4977" s="9">
        <v>22.020224218035128</v>
      </c>
      <c r="V4977" s="9">
        <v>22.020224218035128</v>
      </c>
      <c r="W4977" s="9">
        <v>22.020224218035128</v>
      </c>
      <c r="X4977" s="9">
        <v>24.004435739730138</v>
      </c>
      <c r="Y4977" s="9">
        <v>24.004435739730138</v>
      </c>
      <c r="Z4977" s="9">
        <v>26.075582265671787</v>
      </c>
      <c r="AA4977" s="9">
        <v>26.075582265671787</v>
      </c>
      <c r="AB4977" s="9">
        <v>28.242357296284759</v>
      </c>
      <c r="AC4977" s="9">
        <v>28.242357296284759</v>
      </c>
      <c r="AD4977" s="9">
        <v>32.278785457330969</v>
      </c>
      <c r="AE4977" s="9">
        <v>34.228944830548365</v>
      </c>
      <c r="AF4977" s="9">
        <v>36.293711230319367</v>
      </c>
      <c r="AG4977" s="9">
        <v>36.293711230319367</v>
      </c>
      <c r="AH4977" s="9">
        <v>39.230142171980006</v>
      </c>
      <c r="AI4977" s="9">
        <v>41.357809622501556</v>
      </c>
      <c r="AJ4977" s="9">
        <v>3.0428788910505911</v>
      </c>
    </row>
    <row r="4978" spans="1:36" x14ac:dyDescent="0.25">
      <c r="A4978" t="s">
        <v>5411</v>
      </c>
      <c r="B4978" t="s">
        <v>16</v>
      </c>
      <c r="C4978" t="s">
        <v>17</v>
      </c>
      <c r="D4978">
        <v>86455000</v>
      </c>
      <c r="E4978">
        <v>86459999</v>
      </c>
      <c r="F4978" t="s">
        <v>4519</v>
      </c>
      <c r="G4978" t="str">
        <f t="shared" si="154"/>
        <v>PRI II</v>
      </c>
      <c r="H4978" t="s">
        <v>4294</v>
      </c>
      <c r="I4978" t="s">
        <v>20</v>
      </c>
      <c r="J4978" t="s">
        <v>64</v>
      </c>
      <c r="K4978" s="6">
        <v>0.03</v>
      </c>
      <c r="L4978" s="7">
        <f t="shared" si="155"/>
        <v>2E-3</v>
      </c>
      <c r="M4978" s="7">
        <v>3.0000000000000001E-3</v>
      </c>
      <c r="N4978">
        <v>11</v>
      </c>
      <c r="O4978" s="8">
        <v>19.127752698369598</v>
      </c>
      <c r="P4978" s="9">
        <v>19.127752698369598</v>
      </c>
      <c r="Q4978" s="9">
        <v>19.127752698369598</v>
      </c>
      <c r="R4978" s="9">
        <v>19.588754687607715</v>
      </c>
      <c r="S4978" s="9">
        <v>19.892211826137899</v>
      </c>
      <c r="T4978" s="9">
        <v>20.64455772606674</v>
      </c>
      <c r="U4978" s="9">
        <v>22.020224218035128</v>
      </c>
      <c r="V4978" s="9">
        <v>22.020224218035128</v>
      </c>
      <c r="W4978" s="9">
        <v>22.020224218035128</v>
      </c>
      <c r="X4978" s="9">
        <v>24.004435739730138</v>
      </c>
      <c r="Y4978" s="9">
        <v>24.004435739730138</v>
      </c>
      <c r="Z4978" s="9">
        <v>26.075582265671787</v>
      </c>
      <c r="AA4978" s="9">
        <v>26.075582265671787</v>
      </c>
      <c r="AB4978" s="9">
        <v>28.242357296284759</v>
      </c>
      <c r="AC4978" s="9">
        <v>28.242357296284759</v>
      </c>
      <c r="AD4978" s="9">
        <v>32.278785457330969</v>
      </c>
      <c r="AE4978" s="9">
        <v>34.228944830548365</v>
      </c>
      <c r="AF4978" s="9">
        <v>36.293711230319367</v>
      </c>
      <c r="AG4978" s="9">
        <v>36.293711230319367</v>
      </c>
      <c r="AH4978" s="9">
        <v>39.230142171980006</v>
      </c>
      <c r="AI4978" s="9">
        <v>41.357809622501556</v>
      </c>
      <c r="AJ4978" s="9">
        <v>3.0428788910505911</v>
      </c>
    </row>
    <row r="4979" spans="1:36" x14ac:dyDescent="0.25">
      <c r="A4979" t="s">
        <v>5411</v>
      </c>
      <c r="B4979" t="s">
        <v>16</v>
      </c>
      <c r="C4979" t="s">
        <v>17</v>
      </c>
      <c r="D4979">
        <v>86460000</v>
      </c>
      <c r="E4979">
        <v>86464999</v>
      </c>
      <c r="F4979" t="s">
        <v>4520</v>
      </c>
      <c r="G4979" t="str">
        <f t="shared" si="154"/>
        <v>PRI II</v>
      </c>
      <c r="H4979" t="s">
        <v>4294</v>
      </c>
      <c r="I4979" t="s">
        <v>20</v>
      </c>
      <c r="J4979" t="s">
        <v>64</v>
      </c>
      <c r="K4979" s="6">
        <v>0.03</v>
      </c>
      <c r="L4979" s="7">
        <f t="shared" si="155"/>
        <v>2E-3</v>
      </c>
      <c r="M4979" s="7">
        <v>3.0000000000000001E-3</v>
      </c>
      <c r="N4979">
        <v>11</v>
      </c>
      <c r="O4979" s="8">
        <v>19.127752698369598</v>
      </c>
      <c r="P4979" s="9">
        <v>19.127752698369598</v>
      </c>
      <c r="Q4979" s="9">
        <v>19.127752698369598</v>
      </c>
      <c r="R4979" s="9">
        <v>19.588754687607715</v>
      </c>
      <c r="S4979" s="9">
        <v>19.892211826137899</v>
      </c>
      <c r="T4979" s="9">
        <v>20.64455772606674</v>
      </c>
      <c r="U4979" s="9">
        <v>22.020224218035128</v>
      </c>
      <c r="V4979" s="9">
        <v>22.020224218035128</v>
      </c>
      <c r="W4979" s="9">
        <v>22.020224218035128</v>
      </c>
      <c r="X4979" s="9">
        <v>24.004435739730138</v>
      </c>
      <c r="Y4979" s="9">
        <v>24.004435739730138</v>
      </c>
      <c r="Z4979" s="9">
        <v>26.075582265671787</v>
      </c>
      <c r="AA4979" s="9">
        <v>26.075582265671787</v>
      </c>
      <c r="AB4979" s="9">
        <v>28.242357296284759</v>
      </c>
      <c r="AC4979" s="9">
        <v>28.242357296284759</v>
      </c>
      <c r="AD4979" s="9">
        <v>32.278785457330969</v>
      </c>
      <c r="AE4979" s="9">
        <v>34.228944830548365</v>
      </c>
      <c r="AF4979" s="9">
        <v>36.293711230319367</v>
      </c>
      <c r="AG4979" s="9">
        <v>36.293711230319367</v>
      </c>
      <c r="AH4979" s="9">
        <v>39.230142171980006</v>
      </c>
      <c r="AI4979" s="9">
        <v>41.357809622501556</v>
      </c>
      <c r="AJ4979" s="9">
        <v>3.0428788910505911</v>
      </c>
    </row>
    <row r="4980" spans="1:36" x14ac:dyDescent="0.25">
      <c r="A4980" t="s">
        <v>5411</v>
      </c>
      <c r="B4980" t="s">
        <v>16</v>
      </c>
      <c r="C4980" t="s">
        <v>17</v>
      </c>
      <c r="D4980">
        <v>86465000</v>
      </c>
      <c r="E4980">
        <v>86469999</v>
      </c>
      <c r="F4980" t="s">
        <v>4521</v>
      </c>
      <c r="G4980" t="str">
        <f t="shared" si="154"/>
        <v>PRI II</v>
      </c>
      <c r="H4980" t="s">
        <v>4294</v>
      </c>
      <c r="I4980" t="s">
        <v>20</v>
      </c>
      <c r="J4980" t="s">
        <v>64</v>
      </c>
      <c r="K4980" s="6">
        <v>0.03</v>
      </c>
      <c r="L4980" s="7">
        <f t="shared" si="155"/>
        <v>2E-3</v>
      </c>
      <c r="M4980" s="7">
        <v>3.0000000000000001E-3</v>
      </c>
      <c r="N4980">
        <v>11</v>
      </c>
      <c r="O4980" s="8">
        <v>19.127752698369598</v>
      </c>
      <c r="P4980" s="9">
        <v>19.127752698369598</v>
      </c>
      <c r="Q4980" s="9">
        <v>19.127752698369598</v>
      </c>
      <c r="R4980" s="9">
        <v>19.588754687607715</v>
      </c>
      <c r="S4980" s="9">
        <v>19.892211826137899</v>
      </c>
      <c r="T4980" s="9">
        <v>20.64455772606674</v>
      </c>
      <c r="U4980" s="9">
        <v>22.020224218035128</v>
      </c>
      <c r="V4980" s="9">
        <v>22.020224218035128</v>
      </c>
      <c r="W4980" s="9">
        <v>22.020224218035128</v>
      </c>
      <c r="X4980" s="9">
        <v>24.004435739730138</v>
      </c>
      <c r="Y4980" s="9">
        <v>24.004435739730138</v>
      </c>
      <c r="Z4980" s="9">
        <v>26.075582265671787</v>
      </c>
      <c r="AA4980" s="9">
        <v>26.075582265671787</v>
      </c>
      <c r="AB4980" s="9">
        <v>28.242357296284759</v>
      </c>
      <c r="AC4980" s="9">
        <v>28.242357296284759</v>
      </c>
      <c r="AD4980" s="9">
        <v>32.278785457330969</v>
      </c>
      <c r="AE4980" s="9">
        <v>34.228944830548365</v>
      </c>
      <c r="AF4980" s="9">
        <v>36.293711230319367</v>
      </c>
      <c r="AG4980" s="9">
        <v>36.293711230319367</v>
      </c>
      <c r="AH4980" s="9">
        <v>39.230142171980006</v>
      </c>
      <c r="AI4980" s="9">
        <v>41.357809622501556</v>
      </c>
      <c r="AJ4980" s="9">
        <v>3.0428788910505911</v>
      </c>
    </row>
    <row r="4981" spans="1:36" x14ac:dyDescent="0.25">
      <c r="A4981" t="s">
        <v>5411</v>
      </c>
      <c r="B4981" t="s">
        <v>16</v>
      </c>
      <c r="C4981" t="s">
        <v>17</v>
      </c>
      <c r="D4981">
        <v>86470000</v>
      </c>
      <c r="E4981">
        <v>86479999</v>
      </c>
      <c r="F4981" t="s">
        <v>4522</v>
      </c>
      <c r="G4981" t="str">
        <f t="shared" si="154"/>
        <v>PRI II</v>
      </c>
      <c r="H4981" t="s">
        <v>4294</v>
      </c>
      <c r="I4981" t="s">
        <v>20</v>
      </c>
      <c r="J4981" t="s">
        <v>64</v>
      </c>
      <c r="K4981" s="6">
        <v>0.03</v>
      </c>
      <c r="L4981" s="7">
        <f t="shared" si="155"/>
        <v>2E-3</v>
      </c>
      <c r="M4981" s="7">
        <v>3.0000000000000001E-3</v>
      </c>
      <c r="N4981">
        <v>11</v>
      </c>
      <c r="O4981" s="8">
        <v>19.127752698369598</v>
      </c>
      <c r="P4981" s="9">
        <v>19.127752698369598</v>
      </c>
      <c r="Q4981" s="9">
        <v>19.127752698369598</v>
      </c>
      <c r="R4981" s="9">
        <v>19.588754687607715</v>
      </c>
      <c r="S4981" s="9">
        <v>19.892211826137899</v>
      </c>
      <c r="T4981" s="9">
        <v>20.64455772606674</v>
      </c>
      <c r="U4981" s="9">
        <v>22.020224218035128</v>
      </c>
      <c r="V4981" s="9">
        <v>22.020224218035128</v>
      </c>
      <c r="W4981" s="9">
        <v>22.020224218035128</v>
      </c>
      <c r="X4981" s="9">
        <v>24.004435739730138</v>
      </c>
      <c r="Y4981" s="9">
        <v>24.004435739730138</v>
      </c>
      <c r="Z4981" s="9">
        <v>26.075582265671787</v>
      </c>
      <c r="AA4981" s="9">
        <v>26.075582265671787</v>
      </c>
      <c r="AB4981" s="9">
        <v>28.242357296284759</v>
      </c>
      <c r="AC4981" s="9">
        <v>28.242357296284759</v>
      </c>
      <c r="AD4981" s="9">
        <v>32.278785457330969</v>
      </c>
      <c r="AE4981" s="9">
        <v>34.228944830548365</v>
      </c>
      <c r="AF4981" s="9">
        <v>36.293711230319367</v>
      </c>
      <c r="AG4981" s="9">
        <v>36.293711230319367</v>
      </c>
      <c r="AH4981" s="9">
        <v>39.230142171980006</v>
      </c>
      <c r="AI4981" s="9">
        <v>41.357809622501556</v>
      </c>
      <c r="AJ4981" s="9">
        <v>3.0428788910505911</v>
      </c>
    </row>
    <row r="4982" spans="1:36" x14ac:dyDescent="0.25">
      <c r="A4982" t="s">
        <v>5411</v>
      </c>
      <c r="B4982" t="s">
        <v>16</v>
      </c>
      <c r="C4982" t="s">
        <v>17</v>
      </c>
      <c r="D4982">
        <v>86480000</v>
      </c>
      <c r="E4982">
        <v>86489999</v>
      </c>
      <c r="F4982" t="s">
        <v>4523</v>
      </c>
      <c r="G4982" t="str">
        <f t="shared" si="154"/>
        <v>PRI II</v>
      </c>
      <c r="H4982" t="s">
        <v>4294</v>
      </c>
      <c r="I4982" t="s">
        <v>20</v>
      </c>
      <c r="J4982" t="s">
        <v>64</v>
      </c>
      <c r="K4982" s="6">
        <v>0.03</v>
      </c>
      <c r="L4982" s="7">
        <f t="shared" si="155"/>
        <v>2E-3</v>
      </c>
      <c r="M4982" s="7">
        <v>3.0000000000000001E-3</v>
      </c>
      <c r="N4982">
        <v>11</v>
      </c>
      <c r="O4982" s="8">
        <v>19.127752698369598</v>
      </c>
      <c r="P4982" s="9">
        <v>19.127752698369598</v>
      </c>
      <c r="Q4982" s="9">
        <v>19.127752698369598</v>
      </c>
      <c r="R4982" s="9">
        <v>19.588754687607715</v>
      </c>
      <c r="S4982" s="9">
        <v>19.892211826137899</v>
      </c>
      <c r="T4982" s="9">
        <v>20.64455772606674</v>
      </c>
      <c r="U4982" s="9">
        <v>22.020224218035128</v>
      </c>
      <c r="V4982" s="9">
        <v>22.020224218035128</v>
      </c>
      <c r="W4982" s="9">
        <v>22.020224218035128</v>
      </c>
      <c r="X4982" s="9">
        <v>24.004435739730138</v>
      </c>
      <c r="Y4982" s="9">
        <v>24.004435739730138</v>
      </c>
      <c r="Z4982" s="9">
        <v>26.075582265671787</v>
      </c>
      <c r="AA4982" s="9">
        <v>26.075582265671787</v>
      </c>
      <c r="AB4982" s="9">
        <v>28.242357296284759</v>
      </c>
      <c r="AC4982" s="9">
        <v>28.242357296284759</v>
      </c>
      <c r="AD4982" s="9">
        <v>32.278785457330969</v>
      </c>
      <c r="AE4982" s="9">
        <v>34.228944830548365</v>
      </c>
      <c r="AF4982" s="9">
        <v>36.293711230319367</v>
      </c>
      <c r="AG4982" s="9">
        <v>36.293711230319367</v>
      </c>
      <c r="AH4982" s="9">
        <v>39.230142171980006</v>
      </c>
      <c r="AI4982" s="9">
        <v>41.357809622501556</v>
      </c>
      <c r="AJ4982" s="9">
        <v>3.0428788910505911</v>
      </c>
    </row>
    <row r="4983" spans="1:36" x14ac:dyDescent="0.25">
      <c r="A4983" t="s">
        <v>5411</v>
      </c>
      <c r="B4983" t="s">
        <v>16</v>
      </c>
      <c r="C4983" t="s">
        <v>17</v>
      </c>
      <c r="D4983">
        <v>86490000</v>
      </c>
      <c r="E4983">
        <v>86599999</v>
      </c>
      <c r="F4983" t="s">
        <v>4524</v>
      </c>
      <c r="G4983" t="str">
        <f t="shared" si="154"/>
        <v>PRI II</v>
      </c>
      <c r="H4983" t="s">
        <v>4294</v>
      </c>
      <c r="I4983" t="s">
        <v>20</v>
      </c>
      <c r="J4983" t="s">
        <v>64</v>
      </c>
      <c r="K4983" s="6">
        <v>0.03</v>
      </c>
      <c r="L4983" s="7">
        <f t="shared" si="155"/>
        <v>2E-3</v>
      </c>
      <c r="M4983" s="7">
        <v>3.0000000000000001E-3</v>
      </c>
      <c r="N4983">
        <v>11</v>
      </c>
      <c r="O4983" s="8">
        <v>19.127752698369598</v>
      </c>
      <c r="P4983" s="9">
        <v>19.127752698369598</v>
      </c>
      <c r="Q4983" s="9">
        <v>19.127752698369598</v>
      </c>
      <c r="R4983" s="9">
        <v>19.588754687607715</v>
      </c>
      <c r="S4983" s="9">
        <v>19.892211826137899</v>
      </c>
      <c r="T4983" s="9">
        <v>20.64455772606674</v>
      </c>
      <c r="U4983" s="9">
        <v>22.020224218035128</v>
      </c>
      <c r="V4983" s="9">
        <v>22.020224218035128</v>
      </c>
      <c r="W4983" s="9">
        <v>22.020224218035128</v>
      </c>
      <c r="X4983" s="9">
        <v>24.004435739730138</v>
      </c>
      <c r="Y4983" s="9">
        <v>24.004435739730138</v>
      </c>
      <c r="Z4983" s="9">
        <v>26.075582265671787</v>
      </c>
      <c r="AA4983" s="9">
        <v>26.075582265671787</v>
      </c>
      <c r="AB4983" s="9">
        <v>28.242357296284759</v>
      </c>
      <c r="AC4983" s="9">
        <v>28.242357296284759</v>
      </c>
      <c r="AD4983" s="9">
        <v>32.278785457330969</v>
      </c>
      <c r="AE4983" s="9">
        <v>34.228944830548365</v>
      </c>
      <c r="AF4983" s="9">
        <v>36.293711230319367</v>
      </c>
      <c r="AG4983" s="9">
        <v>36.293711230319367</v>
      </c>
      <c r="AH4983" s="9">
        <v>39.230142171980006</v>
      </c>
      <c r="AI4983" s="9">
        <v>41.357809622501556</v>
      </c>
      <c r="AJ4983" s="9">
        <v>3.0428788910505911</v>
      </c>
    </row>
    <row r="4984" spans="1:36" x14ac:dyDescent="0.25">
      <c r="A4984" t="s">
        <v>5411</v>
      </c>
      <c r="B4984" t="s">
        <v>16</v>
      </c>
      <c r="C4984" t="s">
        <v>17</v>
      </c>
      <c r="D4984">
        <v>86600000</v>
      </c>
      <c r="E4984">
        <v>86609999</v>
      </c>
      <c r="F4984" t="s">
        <v>4525</v>
      </c>
      <c r="G4984" t="str">
        <f t="shared" si="154"/>
        <v>PRI</v>
      </c>
      <c r="H4984" t="s">
        <v>4294</v>
      </c>
      <c r="I4984" t="s">
        <v>20</v>
      </c>
      <c r="J4984" t="s">
        <v>62</v>
      </c>
      <c r="K4984" s="6">
        <v>0.03</v>
      </c>
      <c r="L4984" s="7">
        <f t="shared" si="155"/>
        <v>2E-3</v>
      </c>
      <c r="M4984" s="7">
        <v>3.0000000000000001E-3</v>
      </c>
      <c r="N4984">
        <v>9</v>
      </c>
      <c r="O4984" s="8">
        <v>16.344178346561137</v>
      </c>
      <c r="P4984" s="9">
        <v>16.344178346561137</v>
      </c>
      <c r="Q4984" s="9">
        <v>16.344178346561137</v>
      </c>
      <c r="R4984" s="9">
        <v>16.766533722582309</v>
      </c>
      <c r="S4984" s="9">
        <v>17.709108795625173</v>
      </c>
      <c r="T4984" s="9">
        <v>18.545760454647645</v>
      </c>
      <c r="U4984" s="9">
        <v>20.10723313448154</v>
      </c>
      <c r="V4984" s="9">
        <v>20.10723313448154</v>
      </c>
      <c r="W4984" s="9">
        <v>20.10723313448154</v>
      </c>
      <c r="X4984" s="9">
        <v>21.240951506551678</v>
      </c>
      <c r="Y4984" s="9">
        <v>21.240951506551678</v>
      </c>
      <c r="Z4984" s="9">
        <v>22.557015615717738</v>
      </c>
      <c r="AA4984" s="9">
        <v>22.557015615717738</v>
      </c>
      <c r="AB4984" s="9">
        <v>26.056112270527457</v>
      </c>
      <c r="AC4984" s="9">
        <v>26.056112270527457</v>
      </c>
      <c r="AD4984" s="9">
        <v>30.142276170369946</v>
      </c>
      <c r="AE4984" s="9">
        <v>32.940531048263779</v>
      </c>
      <c r="AF4984" s="9">
        <v>35.920735279325392</v>
      </c>
      <c r="AG4984" s="9">
        <v>35.920735279325392</v>
      </c>
      <c r="AH4984" s="9">
        <v>38.62832670141978</v>
      </c>
      <c r="AI4984" s="9">
        <v>41.239207360528972</v>
      </c>
      <c r="AJ4984" s="9">
        <v>3.0428788910505911</v>
      </c>
    </row>
    <row r="4985" spans="1:36" x14ac:dyDescent="0.25">
      <c r="A4985" t="s">
        <v>5411</v>
      </c>
      <c r="B4985" t="s">
        <v>16</v>
      </c>
      <c r="C4985" t="s">
        <v>17</v>
      </c>
      <c r="D4985">
        <v>86610000</v>
      </c>
      <c r="E4985">
        <v>86612999</v>
      </c>
      <c r="F4985" t="s">
        <v>4526</v>
      </c>
      <c r="G4985" t="str">
        <f t="shared" si="154"/>
        <v>PRI II</v>
      </c>
      <c r="H4985" t="s">
        <v>4294</v>
      </c>
      <c r="I4985" t="s">
        <v>20</v>
      </c>
      <c r="J4985" t="s">
        <v>64</v>
      </c>
      <c r="K4985" s="6">
        <v>0.03</v>
      </c>
      <c r="L4985" s="7">
        <f t="shared" si="155"/>
        <v>2E-3</v>
      </c>
      <c r="M4985" s="7">
        <v>3.0000000000000001E-3</v>
      </c>
      <c r="N4985">
        <v>11</v>
      </c>
      <c r="O4985" s="8">
        <v>19.127752698369598</v>
      </c>
      <c r="P4985" s="9">
        <v>19.127752698369598</v>
      </c>
      <c r="Q4985" s="9">
        <v>19.127752698369598</v>
      </c>
      <c r="R4985" s="9">
        <v>19.588754687607715</v>
      </c>
      <c r="S4985" s="9">
        <v>19.892211826137899</v>
      </c>
      <c r="T4985" s="9">
        <v>20.64455772606674</v>
      </c>
      <c r="U4985" s="9">
        <v>22.020224218035128</v>
      </c>
      <c r="V4985" s="9">
        <v>22.020224218035128</v>
      </c>
      <c r="W4985" s="9">
        <v>22.020224218035128</v>
      </c>
      <c r="X4985" s="9">
        <v>24.004435739730138</v>
      </c>
      <c r="Y4985" s="9">
        <v>24.004435739730138</v>
      </c>
      <c r="Z4985" s="9">
        <v>26.075582265671787</v>
      </c>
      <c r="AA4985" s="9">
        <v>26.075582265671787</v>
      </c>
      <c r="AB4985" s="9">
        <v>28.242357296284759</v>
      </c>
      <c r="AC4985" s="9">
        <v>28.242357296284759</v>
      </c>
      <c r="AD4985" s="9">
        <v>32.278785457330969</v>
      </c>
      <c r="AE4985" s="9">
        <v>34.228944830548365</v>
      </c>
      <c r="AF4985" s="9">
        <v>36.293711230319367</v>
      </c>
      <c r="AG4985" s="9">
        <v>36.293711230319367</v>
      </c>
      <c r="AH4985" s="9">
        <v>39.230142171980006</v>
      </c>
      <c r="AI4985" s="9">
        <v>41.357809622501556</v>
      </c>
      <c r="AJ4985" s="9">
        <v>3.0428788910505911</v>
      </c>
    </row>
    <row r="4986" spans="1:36" x14ac:dyDescent="0.25">
      <c r="A4986" t="s">
        <v>5411</v>
      </c>
      <c r="B4986" t="s">
        <v>16</v>
      </c>
      <c r="C4986" t="s">
        <v>17</v>
      </c>
      <c r="D4986">
        <v>86613000</v>
      </c>
      <c r="E4986">
        <v>86614999</v>
      </c>
      <c r="F4986" t="s">
        <v>267</v>
      </c>
      <c r="G4986" t="str">
        <f t="shared" si="154"/>
        <v>PRI II</v>
      </c>
      <c r="H4986" t="s">
        <v>4294</v>
      </c>
      <c r="I4986" t="s">
        <v>20</v>
      </c>
      <c r="J4986" t="s">
        <v>64</v>
      </c>
      <c r="K4986" s="6">
        <v>0.03</v>
      </c>
      <c r="L4986" s="7">
        <f t="shared" si="155"/>
        <v>2E-3</v>
      </c>
      <c r="M4986" s="7">
        <v>3.0000000000000001E-3</v>
      </c>
      <c r="N4986">
        <v>11</v>
      </c>
      <c r="O4986" s="8">
        <v>19.127752698369598</v>
      </c>
      <c r="P4986" s="9">
        <v>19.127752698369598</v>
      </c>
      <c r="Q4986" s="9">
        <v>19.127752698369598</v>
      </c>
      <c r="R4986" s="9">
        <v>19.588754687607715</v>
      </c>
      <c r="S4986" s="9">
        <v>19.892211826137899</v>
      </c>
      <c r="T4986" s="9">
        <v>20.64455772606674</v>
      </c>
      <c r="U4986" s="9">
        <v>22.020224218035128</v>
      </c>
      <c r="V4986" s="9">
        <v>22.020224218035128</v>
      </c>
      <c r="W4986" s="9">
        <v>22.020224218035128</v>
      </c>
      <c r="X4986" s="9">
        <v>24.004435739730138</v>
      </c>
      <c r="Y4986" s="9">
        <v>24.004435739730138</v>
      </c>
      <c r="Z4986" s="9">
        <v>26.075582265671787</v>
      </c>
      <c r="AA4986" s="9">
        <v>26.075582265671787</v>
      </c>
      <c r="AB4986" s="9">
        <v>28.242357296284759</v>
      </c>
      <c r="AC4986" s="9">
        <v>28.242357296284759</v>
      </c>
      <c r="AD4986" s="9">
        <v>32.278785457330969</v>
      </c>
      <c r="AE4986" s="9">
        <v>34.228944830548365</v>
      </c>
      <c r="AF4986" s="9">
        <v>36.293711230319367</v>
      </c>
      <c r="AG4986" s="9">
        <v>36.293711230319367</v>
      </c>
      <c r="AH4986" s="9">
        <v>39.230142171980006</v>
      </c>
      <c r="AI4986" s="9">
        <v>41.357809622501556</v>
      </c>
      <c r="AJ4986" s="9">
        <v>3.0428788910505911</v>
      </c>
    </row>
    <row r="4987" spans="1:36" x14ac:dyDescent="0.25">
      <c r="A4987" t="s">
        <v>5411</v>
      </c>
      <c r="B4987" t="s">
        <v>16</v>
      </c>
      <c r="C4987" t="s">
        <v>17</v>
      </c>
      <c r="D4987">
        <v>86615000</v>
      </c>
      <c r="E4987">
        <v>86617999</v>
      </c>
      <c r="F4987" t="s">
        <v>4527</v>
      </c>
      <c r="G4987" t="str">
        <f t="shared" si="154"/>
        <v>PRI II</v>
      </c>
      <c r="H4987" t="s">
        <v>4294</v>
      </c>
      <c r="I4987" t="s">
        <v>20</v>
      </c>
      <c r="J4987" t="s">
        <v>64</v>
      </c>
      <c r="K4987" s="6">
        <v>0.03</v>
      </c>
      <c r="L4987" s="7">
        <f t="shared" si="155"/>
        <v>2E-3</v>
      </c>
      <c r="M4987" s="7">
        <v>3.0000000000000001E-3</v>
      </c>
      <c r="N4987">
        <v>11</v>
      </c>
      <c r="O4987" s="8">
        <v>19.127752698369598</v>
      </c>
      <c r="P4987" s="9">
        <v>19.127752698369598</v>
      </c>
      <c r="Q4987" s="9">
        <v>19.127752698369598</v>
      </c>
      <c r="R4987" s="9">
        <v>19.588754687607715</v>
      </c>
      <c r="S4987" s="9">
        <v>19.892211826137899</v>
      </c>
      <c r="T4987" s="9">
        <v>20.64455772606674</v>
      </c>
      <c r="U4987" s="9">
        <v>22.020224218035128</v>
      </c>
      <c r="V4987" s="9">
        <v>22.020224218035128</v>
      </c>
      <c r="W4987" s="9">
        <v>22.020224218035128</v>
      </c>
      <c r="X4987" s="9">
        <v>24.004435739730138</v>
      </c>
      <c r="Y4987" s="9">
        <v>24.004435739730138</v>
      </c>
      <c r="Z4987" s="9">
        <v>26.075582265671787</v>
      </c>
      <c r="AA4987" s="9">
        <v>26.075582265671787</v>
      </c>
      <c r="AB4987" s="9">
        <v>28.242357296284759</v>
      </c>
      <c r="AC4987" s="9">
        <v>28.242357296284759</v>
      </c>
      <c r="AD4987" s="9">
        <v>32.278785457330969</v>
      </c>
      <c r="AE4987" s="9">
        <v>34.228944830548365</v>
      </c>
      <c r="AF4987" s="9">
        <v>36.293711230319367</v>
      </c>
      <c r="AG4987" s="9">
        <v>36.293711230319367</v>
      </c>
      <c r="AH4987" s="9">
        <v>39.230142171980006</v>
      </c>
      <c r="AI4987" s="9">
        <v>41.357809622501556</v>
      </c>
      <c r="AJ4987" s="9">
        <v>3.0428788910505911</v>
      </c>
    </row>
    <row r="4988" spans="1:36" x14ac:dyDescent="0.25">
      <c r="A4988" t="s">
        <v>5411</v>
      </c>
      <c r="B4988" t="s">
        <v>16</v>
      </c>
      <c r="C4988" t="s">
        <v>17</v>
      </c>
      <c r="D4988">
        <v>86618000</v>
      </c>
      <c r="E4988">
        <v>86619999</v>
      </c>
      <c r="F4988" t="s">
        <v>4528</v>
      </c>
      <c r="G4988" t="str">
        <f t="shared" si="154"/>
        <v>PRI II</v>
      </c>
      <c r="H4988" t="s">
        <v>4294</v>
      </c>
      <c r="I4988" t="s">
        <v>20</v>
      </c>
      <c r="J4988" t="s">
        <v>64</v>
      </c>
      <c r="K4988" s="6">
        <v>0.03</v>
      </c>
      <c r="L4988" s="7">
        <f t="shared" si="155"/>
        <v>2E-3</v>
      </c>
      <c r="M4988" s="7">
        <v>3.0000000000000001E-3</v>
      </c>
      <c r="N4988">
        <v>11</v>
      </c>
      <c r="O4988" s="8">
        <v>19.127752698369598</v>
      </c>
      <c r="P4988" s="9">
        <v>19.127752698369598</v>
      </c>
      <c r="Q4988" s="9">
        <v>19.127752698369598</v>
      </c>
      <c r="R4988" s="9">
        <v>19.588754687607715</v>
      </c>
      <c r="S4988" s="9">
        <v>19.892211826137899</v>
      </c>
      <c r="T4988" s="9">
        <v>20.64455772606674</v>
      </c>
      <c r="U4988" s="9">
        <v>22.020224218035128</v>
      </c>
      <c r="V4988" s="9">
        <v>22.020224218035128</v>
      </c>
      <c r="W4988" s="9">
        <v>22.020224218035128</v>
      </c>
      <c r="X4988" s="9">
        <v>24.004435739730138</v>
      </c>
      <c r="Y4988" s="9">
        <v>24.004435739730138</v>
      </c>
      <c r="Z4988" s="9">
        <v>26.075582265671787</v>
      </c>
      <c r="AA4988" s="9">
        <v>26.075582265671787</v>
      </c>
      <c r="AB4988" s="9">
        <v>28.242357296284759</v>
      </c>
      <c r="AC4988" s="9">
        <v>28.242357296284759</v>
      </c>
      <c r="AD4988" s="9">
        <v>32.278785457330969</v>
      </c>
      <c r="AE4988" s="9">
        <v>34.228944830548365</v>
      </c>
      <c r="AF4988" s="9">
        <v>36.293711230319367</v>
      </c>
      <c r="AG4988" s="9">
        <v>36.293711230319367</v>
      </c>
      <c r="AH4988" s="9">
        <v>39.230142171980006</v>
      </c>
      <c r="AI4988" s="9">
        <v>41.357809622501556</v>
      </c>
      <c r="AJ4988" s="9">
        <v>3.0428788910505911</v>
      </c>
    </row>
    <row r="4989" spans="1:36" x14ac:dyDescent="0.25">
      <c r="A4989" t="s">
        <v>5411</v>
      </c>
      <c r="B4989" t="s">
        <v>16</v>
      </c>
      <c r="C4989" t="s">
        <v>17</v>
      </c>
      <c r="D4989">
        <v>86620000</v>
      </c>
      <c r="E4989">
        <v>86629999</v>
      </c>
      <c r="F4989" t="s">
        <v>340</v>
      </c>
      <c r="G4989" t="str">
        <f t="shared" si="154"/>
        <v>PRI II</v>
      </c>
      <c r="H4989" t="s">
        <v>4294</v>
      </c>
      <c r="I4989" t="s">
        <v>20</v>
      </c>
      <c r="J4989" t="s">
        <v>64</v>
      </c>
      <c r="K4989" s="6">
        <v>0.03</v>
      </c>
      <c r="L4989" s="7">
        <f t="shared" si="155"/>
        <v>2E-3</v>
      </c>
      <c r="M4989" s="7">
        <v>3.0000000000000001E-3</v>
      </c>
      <c r="N4989">
        <v>11</v>
      </c>
      <c r="O4989" s="8">
        <v>19.127752698369598</v>
      </c>
      <c r="P4989" s="9">
        <v>19.127752698369598</v>
      </c>
      <c r="Q4989" s="9">
        <v>19.127752698369598</v>
      </c>
      <c r="R4989" s="9">
        <v>19.588754687607715</v>
      </c>
      <c r="S4989" s="9">
        <v>19.892211826137899</v>
      </c>
      <c r="T4989" s="9">
        <v>20.64455772606674</v>
      </c>
      <c r="U4989" s="9">
        <v>22.020224218035128</v>
      </c>
      <c r="V4989" s="9">
        <v>22.020224218035128</v>
      </c>
      <c r="W4989" s="9">
        <v>22.020224218035128</v>
      </c>
      <c r="X4989" s="9">
        <v>24.004435739730138</v>
      </c>
      <c r="Y4989" s="9">
        <v>24.004435739730138</v>
      </c>
      <c r="Z4989" s="9">
        <v>26.075582265671787</v>
      </c>
      <c r="AA4989" s="9">
        <v>26.075582265671787</v>
      </c>
      <c r="AB4989" s="9">
        <v>28.242357296284759</v>
      </c>
      <c r="AC4989" s="9">
        <v>28.242357296284759</v>
      </c>
      <c r="AD4989" s="9">
        <v>32.278785457330969</v>
      </c>
      <c r="AE4989" s="9">
        <v>34.228944830548365</v>
      </c>
      <c r="AF4989" s="9">
        <v>36.293711230319367</v>
      </c>
      <c r="AG4989" s="9">
        <v>36.293711230319367</v>
      </c>
      <c r="AH4989" s="9">
        <v>39.230142171980006</v>
      </c>
      <c r="AI4989" s="9">
        <v>41.357809622501556</v>
      </c>
      <c r="AJ4989" s="9">
        <v>3.0428788910505911</v>
      </c>
    </row>
    <row r="4990" spans="1:36" x14ac:dyDescent="0.25">
      <c r="A4990" t="s">
        <v>5411</v>
      </c>
      <c r="B4990" t="s">
        <v>16</v>
      </c>
      <c r="C4990" t="s">
        <v>17</v>
      </c>
      <c r="D4990">
        <v>86630000</v>
      </c>
      <c r="E4990">
        <v>86634999</v>
      </c>
      <c r="F4990" t="s">
        <v>4529</v>
      </c>
      <c r="G4990" t="str">
        <f t="shared" si="154"/>
        <v>PRI II</v>
      </c>
      <c r="H4990" t="s">
        <v>4294</v>
      </c>
      <c r="I4990" t="s">
        <v>20</v>
      </c>
      <c r="J4990" t="s">
        <v>64</v>
      </c>
      <c r="K4990" s="6">
        <v>0.03</v>
      </c>
      <c r="L4990" s="7">
        <f t="shared" si="155"/>
        <v>2E-3</v>
      </c>
      <c r="M4990" s="7">
        <v>3.0000000000000001E-3</v>
      </c>
      <c r="N4990">
        <v>11</v>
      </c>
      <c r="O4990" s="8">
        <v>19.127752698369598</v>
      </c>
      <c r="P4990" s="9">
        <v>19.127752698369598</v>
      </c>
      <c r="Q4990" s="9">
        <v>19.127752698369598</v>
      </c>
      <c r="R4990" s="9">
        <v>19.588754687607715</v>
      </c>
      <c r="S4990" s="9">
        <v>19.892211826137899</v>
      </c>
      <c r="T4990" s="9">
        <v>20.64455772606674</v>
      </c>
      <c r="U4990" s="9">
        <v>22.020224218035128</v>
      </c>
      <c r="V4990" s="9">
        <v>22.020224218035128</v>
      </c>
      <c r="W4990" s="9">
        <v>22.020224218035128</v>
      </c>
      <c r="X4990" s="9">
        <v>24.004435739730138</v>
      </c>
      <c r="Y4990" s="9">
        <v>24.004435739730138</v>
      </c>
      <c r="Z4990" s="9">
        <v>26.075582265671787</v>
      </c>
      <c r="AA4990" s="9">
        <v>26.075582265671787</v>
      </c>
      <c r="AB4990" s="9">
        <v>28.242357296284759</v>
      </c>
      <c r="AC4990" s="9">
        <v>28.242357296284759</v>
      </c>
      <c r="AD4990" s="9">
        <v>32.278785457330969</v>
      </c>
      <c r="AE4990" s="9">
        <v>34.228944830548365</v>
      </c>
      <c r="AF4990" s="9">
        <v>36.293711230319367</v>
      </c>
      <c r="AG4990" s="9">
        <v>36.293711230319367</v>
      </c>
      <c r="AH4990" s="9">
        <v>39.230142171980006</v>
      </c>
      <c r="AI4990" s="9">
        <v>41.357809622501556</v>
      </c>
      <c r="AJ4990" s="9">
        <v>3.0428788910505911</v>
      </c>
    </row>
    <row r="4991" spans="1:36" x14ac:dyDescent="0.25">
      <c r="A4991" t="s">
        <v>5411</v>
      </c>
      <c r="B4991" t="s">
        <v>16</v>
      </c>
      <c r="C4991" t="s">
        <v>17</v>
      </c>
      <c r="D4991">
        <v>86635000</v>
      </c>
      <c r="E4991">
        <v>86639999</v>
      </c>
      <c r="F4991" t="s">
        <v>4530</v>
      </c>
      <c r="G4991" t="str">
        <f t="shared" si="154"/>
        <v>PRI II</v>
      </c>
      <c r="H4991" t="s">
        <v>4294</v>
      </c>
      <c r="I4991" t="s">
        <v>20</v>
      </c>
      <c r="J4991" t="s">
        <v>64</v>
      </c>
      <c r="K4991" s="6">
        <v>0.03</v>
      </c>
      <c r="L4991" s="7">
        <f t="shared" si="155"/>
        <v>2E-3</v>
      </c>
      <c r="M4991" s="7">
        <v>3.0000000000000001E-3</v>
      </c>
      <c r="N4991">
        <v>11</v>
      </c>
      <c r="O4991" s="8">
        <v>19.127752698369598</v>
      </c>
      <c r="P4991" s="9">
        <v>19.127752698369598</v>
      </c>
      <c r="Q4991" s="9">
        <v>19.127752698369598</v>
      </c>
      <c r="R4991" s="9">
        <v>19.588754687607715</v>
      </c>
      <c r="S4991" s="9">
        <v>19.892211826137899</v>
      </c>
      <c r="T4991" s="9">
        <v>20.64455772606674</v>
      </c>
      <c r="U4991" s="9">
        <v>22.020224218035128</v>
      </c>
      <c r="V4991" s="9">
        <v>22.020224218035128</v>
      </c>
      <c r="W4991" s="9">
        <v>22.020224218035128</v>
      </c>
      <c r="X4991" s="9">
        <v>24.004435739730138</v>
      </c>
      <c r="Y4991" s="9">
        <v>24.004435739730138</v>
      </c>
      <c r="Z4991" s="9">
        <v>26.075582265671787</v>
      </c>
      <c r="AA4991" s="9">
        <v>26.075582265671787</v>
      </c>
      <c r="AB4991" s="9">
        <v>28.242357296284759</v>
      </c>
      <c r="AC4991" s="9">
        <v>28.242357296284759</v>
      </c>
      <c r="AD4991" s="9">
        <v>32.278785457330969</v>
      </c>
      <c r="AE4991" s="9">
        <v>34.228944830548365</v>
      </c>
      <c r="AF4991" s="9">
        <v>36.293711230319367</v>
      </c>
      <c r="AG4991" s="9">
        <v>36.293711230319367</v>
      </c>
      <c r="AH4991" s="9">
        <v>39.230142171980006</v>
      </c>
      <c r="AI4991" s="9">
        <v>41.357809622501556</v>
      </c>
      <c r="AJ4991" s="9">
        <v>3.0428788910505911</v>
      </c>
    </row>
    <row r="4992" spans="1:36" x14ac:dyDescent="0.25">
      <c r="A4992" t="s">
        <v>5411</v>
      </c>
      <c r="B4992" t="s">
        <v>16</v>
      </c>
      <c r="C4992" t="s">
        <v>17</v>
      </c>
      <c r="D4992">
        <v>86640000</v>
      </c>
      <c r="E4992">
        <v>86649999</v>
      </c>
      <c r="F4992" t="s">
        <v>4531</v>
      </c>
      <c r="G4992" t="str">
        <f t="shared" si="154"/>
        <v>PRI II</v>
      </c>
      <c r="H4992" t="s">
        <v>4294</v>
      </c>
      <c r="I4992" t="s">
        <v>20</v>
      </c>
      <c r="J4992" t="s">
        <v>64</v>
      </c>
      <c r="K4992" s="6">
        <v>0.03</v>
      </c>
      <c r="L4992" s="7">
        <f t="shared" si="155"/>
        <v>2E-3</v>
      </c>
      <c r="M4992" s="7">
        <v>3.0000000000000001E-3</v>
      </c>
      <c r="N4992">
        <v>11</v>
      </c>
      <c r="O4992" s="8">
        <v>19.127752698369598</v>
      </c>
      <c r="P4992" s="9">
        <v>19.127752698369598</v>
      </c>
      <c r="Q4992" s="9">
        <v>19.127752698369598</v>
      </c>
      <c r="R4992" s="9">
        <v>19.588754687607715</v>
      </c>
      <c r="S4992" s="9">
        <v>19.892211826137899</v>
      </c>
      <c r="T4992" s="9">
        <v>20.64455772606674</v>
      </c>
      <c r="U4992" s="9">
        <v>22.020224218035128</v>
      </c>
      <c r="V4992" s="9">
        <v>22.020224218035128</v>
      </c>
      <c r="W4992" s="9">
        <v>22.020224218035128</v>
      </c>
      <c r="X4992" s="9">
        <v>24.004435739730138</v>
      </c>
      <c r="Y4992" s="9">
        <v>24.004435739730138</v>
      </c>
      <c r="Z4992" s="9">
        <v>26.075582265671787</v>
      </c>
      <c r="AA4992" s="9">
        <v>26.075582265671787</v>
      </c>
      <c r="AB4992" s="9">
        <v>28.242357296284759</v>
      </c>
      <c r="AC4992" s="9">
        <v>28.242357296284759</v>
      </c>
      <c r="AD4992" s="9">
        <v>32.278785457330969</v>
      </c>
      <c r="AE4992" s="9">
        <v>34.228944830548365</v>
      </c>
      <c r="AF4992" s="9">
        <v>36.293711230319367</v>
      </c>
      <c r="AG4992" s="9">
        <v>36.293711230319367</v>
      </c>
      <c r="AH4992" s="9">
        <v>39.230142171980006</v>
      </c>
      <c r="AI4992" s="9">
        <v>41.357809622501556</v>
      </c>
      <c r="AJ4992" s="9">
        <v>3.0428788910505911</v>
      </c>
    </row>
    <row r="4993" spans="1:36" x14ac:dyDescent="0.25">
      <c r="A4993" t="s">
        <v>5411</v>
      </c>
      <c r="B4993" t="s">
        <v>16</v>
      </c>
      <c r="C4993" t="s">
        <v>17</v>
      </c>
      <c r="D4993">
        <v>86650000</v>
      </c>
      <c r="E4993">
        <v>86659999</v>
      </c>
      <c r="F4993" t="s">
        <v>4532</v>
      </c>
      <c r="G4993" t="str">
        <f t="shared" si="154"/>
        <v>PRI II</v>
      </c>
      <c r="H4993" t="s">
        <v>4294</v>
      </c>
      <c r="I4993" t="s">
        <v>20</v>
      </c>
      <c r="J4993" t="s">
        <v>64</v>
      </c>
      <c r="K4993" s="6">
        <v>0.03</v>
      </c>
      <c r="L4993" s="7">
        <f t="shared" si="155"/>
        <v>2E-3</v>
      </c>
      <c r="M4993" s="7">
        <v>3.0000000000000001E-3</v>
      </c>
      <c r="N4993">
        <v>11</v>
      </c>
      <c r="O4993" s="8">
        <v>19.127752698369598</v>
      </c>
      <c r="P4993" s="9">
        <v>19.127752698369598</v>
      </c>
      <c r="Q4993" s="9">
        <v>19.127752698369598</v>
      </c>
      <c r="R4993" s="9">
        <v>19.588754687607715</v>
      </c>
      <c r="S4993" s="9">
        <v>19.892211826137899</v>
      </c>
      <c r="T4993" s="9">
        <v>20.64455772606674</v>
      </c>
      <c r="U4993" s="9">
        <v>22.020224218035128</v>
      </c>
      <c r="V4993" s="9">
        <v>22.020224218035128</v>
      </c>
      <c r="W4993" s="9">
        <v>22.020224218035128</v>
      </c>
      <c r="X4993" s="9">
        <v>24.004435739730138</v>
      </c>
      <c r="Y4993" s="9">
        <v>24.004435739730138</v>
      </c>
      <c r="Z4993" s="9">
        <v>26.075582265671787</v>
      </c>
      <c r="AA4993" s="9">
        <v>26.075582265671787</v>
      </c>
      <c r="AB4993" s="9">
        <v>28.242357296284759</v>
      </c>
      <c r="AC4993" s="9">
        <v>28.242357296284759</v>
      </c>
      <c r="AD4993" s="9">
        <v>32.278785457330969</v>
      </c>
      <c r="AE4993" s="9">
        <v>34.228944830548365</v>
      </c>
      <c r="AF4993" s="9">
        <v>36.293711230319367</v>
      </c>
      <c r="AG4993" s="9">
        <v>36.293711230319367</v>
      </c>
      <c r="AH4993" s="9">
        <v>39.230142171980006</v>
      </c>
      <c r="AI4993" s="9">
        <v>41.357809622501556</v>
      </c>
      <c r="AJ4993" s="9">
        <v>3.0428788910505911</v>
      </c>
    </row>
    <row r="4994" spans="1:36" x14ac:dyDescent="0.25">
      <c r="A4994" t="s">
        <v>5411</v>
      </c>
      <c r="B4994" t="s">
        <v>16</v>
      </c>
      <c r="C4994" t="s">
        <v>17</v>
      </c>
      <c r="D4994">
        <v>86660000</v>
      </c>
      <c r="E4994">
        <v>86669999</v>
      </c>
      <c r="F4994" t="s">
        <v>1828</v>
      </c>
      <c r="G4994" t="str">
        <f t="shared" si="154"/>
        <v>PRI II</v>
      </c>
      <c r="H4994" t="s">
        <v>4294</v>
      </c>
      <c r="I4994" t="s">
        <v>20</v>
      </c>
      <c r="J4994" t="s">
        <v>64</v>
      </c>
      <c r="K4994" s="6">
        <v>0.03</v>
      </c>
      <c r="L4994" s="7">
        <f t="shared" si="155"/>
        <v>2E-3</v>
      </c>
      <c r="M4994" s="7">
        <v>3.0000000000000001E-3</v>
      </c>
      <c r="N4994">
        <v>11</v>
      </c>
      <c r="O4994" s="8">
        <v>19.127752698369598</v>
      </c>
      <c r="P4994" s="9">
        <v>19.127752698369598</v>
      </c>
      <c r="Q4994" s="9">
        <v>19.127752698369598</v>
      </c>
      <c r="R4994" s="9">
        <v>19.588754687607715</v>
      </c>
      <c r="S4994" s="9">
        <v>19.892211826137899</v>
      </c>
      <c r="T4994" s="9">
        <v>20.64455772606674</v>
      </c>
      <c r="U4994" s="9">
        <v>22.020224218035128</v>
      </c>
      <c r="V4994" s="9">
        <v>22.020224218035128</v>
      </c>
      <c r="W4994" s="9">
        <v>22.020224218035128</v>
      </c>
      <c r="X4994" s="9">
        <v>24.004435739730138</v>
      </c>
      <c r="Y4994" s="9">
        <v>24.004435739730138</v>
      </c>
      <c r="Z4994" s="9">
        <v>26.075582265671787</v>
      </c>
      <c r="AA4994" s="9">
        <v>26.075582265671787</v>
      </c>
      <c r="AB4994" s="9">
        <v>28.242357296284759</v>
      </c>
      <c r="AC4994" s="9">
        <v>28.242357296284759</v>
      </c>
      <c r="AD4994" s="9">
        <v>32.278785457330969</v>
      </c>
      <c r="AE4994" s="9">
        <v>34.228944830548365</v>
      </c>
      <c r="AF4994" s="9">
        <v>36.293711230319367</v>
      </c>
      <c r="AG4994" s="9">
        <v>36.293711230319367</v>
      </c>
      <c r="AH4994" s="9">
        <v>39.230142171980006</v>
      </c>
      <c r="AI4994" s="9">
        <v>41.357809622501556</v>
      </c>
      <c r="AJ4994" s="9">
        <v>3.0428788910505911</v>
      </c>
    </row>
    <row r="4995" spans="1:36" x14ac:dyDescent="0.25">
      <c r="A4995" t="s">
        <v>5411</v>
      </c>
      <c r="B4995" t="s">
        <v>16</v>
      </c>
      <c r="C4995" t="s">
        <v>17</v>
      </c>
      <c r="D4995">
        <v>86670000</v>
      </c>
      <c r="E4995">
        <v>86679999</v>
      </c>
      <c r="F4995" t="s">
        <v>4533</v>
      </c>
      <c r="G4995" t="str">
        <f t="shared" si="154"/>
        <v>PRI II</v>
      </c>
      <c r="H4995" t="s">
        <v>4294</v>
      </c>
      <c r="I4995" t="s">
        <v>20</v>
      </c>
      <c r="J4995" t="s">
        <v>64</v>
      </c>
      <c r="K4995" s="6">
        <v>0.03</v>
      </c>
      <c r="L4995" s="7">
        <f t="shared" si="155"/>
        <v>2E-3</v>
      </c>
      <c r="M4995" s="7">
        <v>3.0000000000000001E-3</v>
      </c>
      <c r="N4995">
        <v>11</v>
      </c>
      <c r="O4995" s="8">
        <v>19.127752698369598</v>
      </c>
      <c r="P4995" s="9">
        <v>19.127752698369598</v>
      </c>
      <c r="Q4995" s="9">
        <v>19.127752698369598</v>
      </c>
      <c r="R4995" s="9">
        <v>19.588754687607715</v>
      </c>
      <c r="S4995" s="9">
        <v>19.892211826137899</v>
      </c>
      <c r="T4995" s="9">
        <v>20.64455772606674</v>
      </c>
      <c r="U4995" s="9">
        <v>22.020224218035128</v>
      </c>
      <c r="V4995" s="9">
        <v>22.020224218035128</v>
      </c>
      <c r="W4995" s="9">
        <v>22.020224218035128</v>
      </c>
      <c r="X4995" s="9">
        <v>24.004435739730138</v>
      </c>
      <c r="Y4995" s="9">
        <v>24.004435739730138</v>
      </c>
      <c r="Z4995" s="9">
        <v>26.075582265671787</v>
      </c>
      <c r="AA4995" s="9">
        <v>26.075582265671787</v>
      </c>
      <c r="AB4995" s="9">
        <v>28.242357296284759</v>
      </c>
      <c r="AC4995" s="9">
        <v>28.242357296284759</v>
      </c>
      <c r="AD4995" s="9">
        <v>32.278785457330969</v>
      </c>
      <c r="AE4995" s="9">
        <v>34.228944830548365</v>
      </c>
      <c r="AF4995" s="9">
        <v>36.293711230319367</v>
      </c>
      <c r="AG4995" s="9">
        <v>36.293711230319367</v>
      </c>
      <c r="AH4995" s="9">
        <v>39.230142171980006</v>
      </c>
      <c r="AI4995" s="9">
        <v>41.357809622501556</v>
      </c>
      <c r="AJ4995" s="9">
        <v>3.0428788910505911</v>
      </c>
    </row>
    <row r="4996" spans="1:36" x14ac:dyDescent="0.25">
      <c r="A4996" t="s">
        <v>5411</v>
      </c>
      <c r="B4996" t="s">
        <v>16</v>
      </c>
      <c r="C4996" t="s">
        <v>17</v>
      </c>
      <c r="D4996">
        <v>86680000</v>
      </c>
      <c r="E4996">
        <v>86689999</v>
      </c>
      <c r="F4996" t="s">
        <v>4534</v>
      </c>
      <c r="G4996" t="str">
        <f t="shared" ref="G4996:G5059" si="156">H4996&amp;IF(J4996="CAPITAL","C",IF(J4996="INTERIOR","I",IF(J4996="INTERIOR II","I II","R")))</f>
        <v>PRI II</v>
      </c>
      <c r="H4996" t="s">
        <v>4294</v>
      </c>
      <c r="I4996" t="s">
        <v>20</v>
      </c>
      <c r="J4996" t="s">
        <v>64</v>
      </c>
      <c r="K4996" s="6">
        <v>0.03</v>
      </c>
      <c r="L4996" s="7">
        <f t="shared" ref="L4996:L5059" si="157">IF(I4996="(0) Não",0.2%,3%)</f>
        <v>2E-3</v>
      </c>
      <c r="M4996" s="7">
        <v>3.0000000000000001E-3</v>
      </c>
      <c r="N4996">
        <v>11</v>
      </c>
      <c r="O4996" s="8">
        <v>19.127752698369598</v>
      </c>
      <c r="P4996" s="9">
        <v>19.127752698369598</v>
      </c>
      <c r="Q4996" s="9">
        <v>19.127752698369598</v>
      </c>
      <c r="R4996" s="9">
        <v>19.588754687607715</v>
      </c>
      <c r="S4996" s="9">
        <v>19.892211826137899</v>
      </c>
      <c r="T4996" s="9">
        <v>20.64455772606674</v>
      </c>
      <c r="U4996" s="9">
        <v>22.020224218035128</v>
      </c>
      <c r="V4996" s="9">
        <v>22.020224218035128</v>
      </c>
      <c r="W4996" s="9">
        <v>22.020224218035128</v>
      </c>
      <c r="X4996" s="9">
        <v>24.004435739730138</v>
      </c>
      <c r="Y4996" s="9">
        <v>24.004435739730138</v>
      </c>
      <c r="Z4996" s="9">
        <v>26.075582265671787</v>
      </c>
      <c r="AA4996" s="9">
        <v>26.075582265671787</v>
      </c>
      <c r="AB4996" s="9">
        <v>28.242357296284759</v>
      </c>
      <c r="AC4996" s="9">
        <v>28.242357296284759</v>
      </c>
      <c r="AD4996" s="9">
        <v>32.278785457330969</v>
      </c>
      <c r="AE4996" s="9">
        <v>34.228944830548365</v>
      </c>
      <c r="AF4996" s="9">
        <v>36.293711230319367</v>
      </c>
      <c r="AG4996" s="9">
        <v>36.293711230319367</v>
      </c>
      <c r="AH4996" s="9">
        <v>39.230142171980006</v>
      </c>
      <c r="AI4996" s="9">
        <v>41.357809622501556</v>
      </c>
      <c r="AJ4996" s="9">
        <v>3.0428788910505911</v>
      </c>
    </row>
    <row r="4997" spans="1:36" x14ac:dyDescent="0.25">
      <c r="A4997" t="s">
        <v>5411</v>
      </c>
      <c r="B4997" t="s">
        <v>16</v>
      </c>
      <c r="C4997" t="s">
        <v>17</v>
      </c>
      <c r="D4997">
        <v>86690000</v>
      </c>
      <c r="E4997">
        <v>86699999</v>
      </c>
      <c r="F4997" t="s">
        <v>4535</v>
      </c>
      <c r="G4997" t="str">
        <f t="shared" si="156"/>
        <v>PRI II</v>
      </c>
      <c r="H4997" t="s">
        <v>4294</v>
      </c>
      <c r="I4997" t="s">
        <v>20</v>
      </c>
      <c r="J4997" t="s">
        <v>64</v>
      </c>
      <c r="K4997" s="6">
        <v>0.03</v>
      </c>
      <c r="L4997" s="7">
        <f t="shared" si="157"/>
        <v>2E-3</v>
      </c>
      <c r="M4997" s="7">
        <v>3.0000000000000001E-3</v>
      </c>
      <c r="N4997">
        <v>11</v>
      </c>
      <c r="O4997" s="8">
        <v>19.127752698369598</v>
      </c>
      <c r="P4997" s="9">
        <v>19.127752698369598</v>
      </c>
      <c r="Q4997" s="9">
        <v>19.127752698369598</v>
      </c>
      <c r="R4997" s="9">
        <v>19.588754687607715</v>
      </c>
      <c r="S4997" s="9">
        <v>19.892211826137899</v>
      </c>
      <c r="T4997" s="9">
        <v>20.64455772606674</v>
      </c>
      <c r="U4997" s="9">
        <v>22.020224218035128</v>
      </c>
      <c r="V4997" s="9">
        <v>22.020224218035128</v>
      </c>
      <c r="W4997" s="9">
        <v>22.020224218035128</v>
      </c>
      <c r="X4997" s="9">
        <v>24.004435739730138</v>
      </c>
      <c r="Y4997" s="9">
        <v>24.004435739730138</v>
      </c>
      <c r="Z4997" s="9">
        <v>26.075582265671787</v>
      </c>
      <c r="AA4997" s="9">
        <v>26.075582265671787</v>
      </c>
      <c r="AB4997" s="9">
        <v>28.242357296284759</v>
      </c>
      <c r="AC4997" s="9">
        <v>28.242357296284759</v>
      </c>
      <c r="AD4997" s="9">
        <v>32.278785457330969</v>
      </c>
      <c r="AE4997" s="9">
        <v>34.228944830548365</v>
      </c>
      <c r="AF4997" s="9">
        <v>36.293711230319367</v>
      </c>
      <c r="AG4997" s="9">
        <v>36.293711230319367</v>
      </c>
      <c r="AH4997" s="9">
        <v>39.230142171980006</v>
      </c>
      <c r="AI4997" s="9">
        <v>41.357809622501556</v>
      </c>
      <c r="AJ4997" s="9">
        <v>3.0428788910505911</v>
      </c>
    </row>
    <row r="4998" spans="1:36" x14ac:dyDescent="0.25">
      <c r="A4998" t="s">
        <v>5411</v>
      </c>
      <c r="B4998" t="s">
        <v>16</v>
      </c>
      <c r="C4998" t="s">
        <v>17</v>
      </c>
      <c r="D4998">
        <v>86700000</v>
      </c>
      <c r="E4998">
        <v>86719999</v>
      </c>
      <c r="F4998" t="s">
        <v>4536</v>
      </c>
      <c r="G4998" t="str">
        <f t="shared" si="156"/>
        <v>PRI</v>
      </c>
      <c r="H4998" t="s">
        <v>4294</v>
      </c>
      <c r="I4998" t="s">
        <v>20</v>
      </c>
      <c r="J4998" t="s">
        <v>62</v>
      </c>
      <c r="K4998" s="6">
        <v>0.03</v>
      </c>
      <c r="L4998" s="7">
        <f t="shared" si="157"/>
        <v>2E-3</v>
      </c>
      <c r="M4998" s="7">
        <v>3.0000000000000001E-3</v>
      </c>
      <c r="N4998">
        <v>9</v>
      </c>
      <c r="O4998" s="8">
        <v>16.344178346561137</v>
      </c>
      <c r="P4998" s="9">
        <v>16.344178346561137</v>
      </c>
      <c r="Q4998" s="9">
        <v>16.344178346561137</v>
      </c>
      <c r="R4998" s="9">
        <v>16.766533722582309</v>
      </c>
      <c r="S4998" s="9">
        <v>17.709108795625173</v>
      </c>
      <c r="T4998" s="9">
        <v>18.545760454647645</v>
      </c>
      <c r="U4998" s="9">
        <v>20.10723313448154</v>
      </c>
      <c r="V4998" s="9">
        <v>20.10723313448154</v>
      </c>
      <c r="W4998" s="9">
        <v>20.10723313448154</v>
      </c>
      <c r="X4998" s="9">
        <v>21.240951506551678</v>
      </c>
      <c r="Y4998" s="9">
        <v>21.240951506551678</v>
      </c>
      <c r="Z4998" s="9">
        <v>22.557015615717738</v>
      </c>
      <c r="AA4998" s="9">
        <v>22.557015615717738</v>
      </c>
      <c r="AB4998" s="9">
        <v>26.056112270527457</v>
      </c>
      <c r="AC4998" s="9">
        <v>26.056112270527457</v>
      </c>
      <c r="AD4998" s="9">
        <v>30.142276170369946</v>
      </c>
      <c r="AE4998" s="9">
        <v>32.940531048263779</v>
      </c>
      <c r="AF4998" s="9">
        <v>35.920735279325392</v>
      </c>
      <c r="AG4998" s="9">
        <v>35.920735279325392</v>
      </c>
      <c r="AH4998" s="9">
        <v>38.62832670141978</v>
      </c>
      <c r="AI4998" s="9">
        <v>41.239207360528972</v>
      </c>
      <c r="AJ4998" s="9">
        <v>3.0428788910505911</v>
      </c>
    </row>
    <row r="4999" spans="1:36" x14ac:dyDescent="0.25">
      <c r="A4999" t="s">
        <v>5411</v>
      </c>
      <c r="B4999" t="s">
        <v>16</v>
      </c>
      <c r="C4999" t="s">
        <v>17</v>
      </c>
      <c r="D4999">
        <v>86720000</v>
      </c>
      <c r="E4999">
        <v>86729999</v>
      </c>
      <c r="F4999" t="s">
        <v>4537</v>
      </c>
      <c r="G4999" t="str">
        <f t="shared" si="156"/>
        <v>PRI II</v>
      </c>
      <c r="H4999" t="s">
        <v>4294</v>
      </c>
      <c r="I4999" t="s">
        <v>20</v>
      </c>
      <c r="J4999" t="s">
        <v>64</v>
      </c>
      <c r="K4999" s="6">
        <v>0.03</v>
      </c>
      <c r="L4999" s="7">
        <f t="shared" si="157"/>
        <v>2E-3</v>
      </c>
      <c r="M4999" s="7">
        <v>3.0000000000000001E-3</v>
      </c>
      <c r="N4999">
        <v>11</v>
      </c>
      <c r="O4999" s="8">
        <v>19.127752698369598</v>
      </c>
      <c r="P4999" s="9">
        <v>19.127752698369598</v>
      </c>
      <c r="Q4999" s="9">
        <v>19.127752698369598</v>
      </c>
      <c r="R4999" s="9">
        <v>19.588754687607715</v>
      </c>
      <c r="S4999" s="9">
        <v>19.892211826137899</v>
      </c>
      <c r="T4999" s="9">
        <v>20.64455772606674</v>
      </c>
      <c r="U4999" s="9">
        <v>22.020224218035128</v>
      </c>
      <c r="V4999" s="9">
        <v>22.020224218035128</v>
      </c>
      <c r="W4999" s="9">
        <v>22.020224218035128</v>
      </c>
      <c r="X4999" s="9">
        <v>24.004435739730138</v>
      </c>
      <c r="Y4999" s="9">
        <v>24.004435739730138</v>
      </c>
      <c r="Z4999" s="9">
        <v>26.075582265671787</v>
      </c>
      <c r="AA4999" s="9">
        <v>26.075582265671787</v>
      </c>
      <c r="AB4999" s="9">
        <v>28.242357296284759</v>
      </c>
      <c r="AC4999" s="9">
        <v>28.242357296284759</v>
      </c>
      <c r="AD4999" s="9">
        <v>32.278785457330969</v>
      </c>
      <c r="AE4999" s="9">
        <v>34.228944830548365</v>
      </c>
      <c r="AF4999" s="9">
        <v>36.293711230319367</v>
      </c>
      <c r="AG4999" s="9">
        <v>36.293711230319367</v>
      </c>
      <c r="AH4999" s="9">
        <v>39.230142171980006</v>
      </c>
      <c r="AI4999" s="9">
        <v>41.357809622501556</v>
      </c>
      <c r="AJ4999" s="9">
        <v>3.0428788910505911</v>
      </c>
    </row>
    <row r="5000" spans="1:36" x14ac:dyDescent="0.25">
      <c r="A5000" t="s">
        <v>5411</v>
      </c>
      <c r="B5000" t="s">
        <v>16</v>
      </c>
      <c r="C5000" t="s">
        <v>17</v>
      </c>
      <c r="D5000">
        <v>86730000</v>
      </c>
      <c r="E5000">
        <v>86749999</v>
      </c>
      <c r="F5000" t="s">
        <v>4538</v>
      </c>
      <c r="G5000" t="str">
        <f t="shared" si="156"/>
        <v>PRI II</v>
      </c>
      <c r="H5000" t="s">
        <v>4294</v>
      </c>
      <c r="I5000" t="s">
        <v>20</v>
      </c>
      <c r="J5000" t="s">
        <v>64</v>
      </c>
      <c r="K5000" s="6">
        <v>0.03</v>
      </c>
      <c r="L5000" s="7">
        <f t="shared" si="157"/>
        <v>2E-3</v>
      </c>
      <c r="M5000" s="7">
        <v>3.0000000000000001E-3</v>
      </c>
      <c r="N5000">
        <v>11</v>
      </c>
      <c r="O5000" s="8">
        <v>19.127752698369598</v>
      </c>
      <c r="P5000" s="9">
        <v>19.127752698369598</v>
      </c>
      <c r="Q5000" s="9">
        <v>19.127752698369598</v>
      </c>
      <c r="R5000" s="9">
        <v>19.588754687607715</v>
      </c>
      <c r="S5000" s="9">
        <v>19.892211826137899</v>
      </c>
      <c r="T5000" s="9">
        <v>20.64455772606674</v>
      </c>
      <c r="U5000" s="9">
        <v>22.020224218035128</v>
      </c>
      <c r="V5000" s="9">
        <v>22.020224218035128</v>
      </c>
      <c r="W5000" s="9">
        <v>22.020224218035128</v>
      </c>
      <c r="X5000" s="9">
        <v>24.004435739730138</v>
      </c>
      <c r="Y5000" s="9">
        <v>24.004435739730138</v>
      </c>
      <c r="Z5000" s="9">
        <v>26.075582265671787</v>
      </c>
      <c r="AA5000" s="9">
        <v>26.075582265671787</v>
      </c>
      <c r="AB5000" s="9">
        <v>28.242357296284759</v>
      </c>
      <c r="AC5000" s="9">
        <v>28.242357296284759</v>
      </c>
      <c r="AD5000" s="9">
        <v>32.278785457330969</v>
      </c>
      <c r="AE5000" s="9">
        <v>34.228944830548365</v>
      </c>
      <c r="AF5000" s="9">
        <v>36.293711230319367</v>
      </c>
      <c r="AG5000" s="9">
        <v>36.293711230319367</v>
      </c>
      <c r="AH5000" s="9">
        <v>39.230142171980006</v>
      </c>
      <c r="AI5000" s="9">
        <v>41.357809622501556</v>
      </c>
      <c r="AJ5000" s="9">
        <v>3.0428788910505911</v>
      </c>
    </row>
    <row r="5001" spans="1:36" x14ac:dyDescent="0.25">
      <c r="A5001" t="s">
        <v>5411</v>
      </c>
      <c r="B5001" t="s">
        <v>16</v>
      </c>
      <c r="C5001" t="s">
        <v>17</v>
      </c>
      <c r="D5001">
        <v>86750000</v>
      </c>
      <c r="E5001">
        <v>86754999</v>
      </c>
      <c r="F5001" t="s">
        <v>4539</v>
      </c>
      <c r="G5001" t="str">
        <f t="shared" si="156"/>
        <v>PRI II</v>
      </c>
      <c r="H5001" t="s">
        <v>4294</v>
      </c>
      <c r="I5001" t="s">
        <v>20</v>
      </c>
      <c r="J5001" t="s">
        <v>64</v>
      </c>
      <c r="K5001" s="6">
        <v>0.03</v>
      </c>
      <c r="L5001" s="7">
        <f t="shared" si="157"/>
        <v>2E-3</v>
      </c>
      <c r="M5001" s="7">
        <v>3.0000000000000001E-3</v>
      </c>
      <c r="N5001">
        <v>11</v>
      </c>
      <c r="O5001" s="8">
        <v>19.127752698369598</v>
      </c>
      <c r="P5001" s="9">
        <v>19.127752698369598</v>
      </c>
      <c r="Q5001" s="9">
        <v>19.127752698369598</v>
      </c>
      <c r="R5001" s="9">
        <v>19.588754687607715</v>
      </c>
      <c r="S5001" s="9">
        <v>19.892211826137899</v>
      </c>
      <c r="T5001" s="9">
        <v>20.64455772606674</v>
      </c>
      <c r="U5001" s="9">
        <v>22.020224218035128</v>
      </c>
      <c r="V5001" s="9">
        <v>22.020224218035128</v>
      </c>
      <c r="W5001" s="9">
        <v>22.020224218035128</v>
      </c>
      <c r="X5001" s="9">
        <v>24.004435739730138</v>
      </c>
      <c r="Y5001" s="9">
        <v>24.004435739730138</v>
      </c>
      <c r="Z5001" s="9">
        <v>26.075582265671787</v>
      </c>
      <c r="AA5001" s="9">
        <v>26.075582265671787</v>
      </c>
      <c r="AB5001" s="9">
        <v>28.242357296284759</v>
      </c>
      <c r="AC5001" s="9">
        <v>28.242357296284759</v>
      </c>
      <c r="AD5001" s="9">
        <v>32.278785457330969</v>
      </c>
      <c r="AE5001" s="9">
        <v>34.228944830548365</v>
      </c>
      <c r="AF5001" s="9">
        <v>36.293711230319367</v>
      </c>
      <c r="AG5001" s="9">
        <v>36.293711230319367</v>
      </c>
      <c r="AH5001" s="9">
        <v>39.230142171980006</v>
      </c>
      <c r="AI5001" s="9">
        <v>41.357809622501556</v>
      </c>
      <c r="AJ5001" s="9">
        <v>3.0428788910505911</v>
      </c>
    </row>
    <row r="5002" spans="1:36" x14ac:dyDescent="0.25">
      <c r="A5002" t="s">
        <v>5411</v>
      </c>
      <c r="B5002" t="s">
        <v>16</v>
      </c>
      <c r="C5002" t="s">
        <v>17</v>
      </c>
      <c r="D5002">
        <v>86755000</v>
      </c>
      <c r="E5002">
        <v>86759999</v>
      </c>
      <c r="F5002" t="s">
        <v>4540</v>
      </c>
      <c r="G5002" t="str">
        <f t="shared" si="156"/>
        <v>PRI II</v>
      </c>
      <c r="H5002" t="s">
        <v>4294</v>
      </c>
      <c r="I5002" t="s">
        <v>20</v>
      </c>
      <c r="J5002" t="s">
        <v>64</v>
      </c>
      <c r="K5002" s="6">
        <v>0.03</v>
      </c>
      <c r="L5002" s="7">
        <f t="shared" si="157"/>
        <v>2E-3</v>
      </c>
      <c r="M5002" s="7">
        <v>3.0000000000000001E-3</v>
      </c>
      <c r="N5002">
        <v>11</v>
      </c>
      <c r="O5002" s="8">
        <v>19.127752698369598</v>
      </c>
      <c r="P5002" s="9">
        <v>19.127752698369598</v>
      </c>
      <c r="Q5002" s="9">
        <v>19.127752698369598</v>
      </c>
      <c r="R5002" s="9">
        <v>19.588754687607715</v>
      </c>
      <c r="S5002" s="9">
        <v>19.892211826137899</v>
      </c>
      <c r="T5002" s="9">
        <v>20.64455772606674</v>
      </c>
      <c r="U5002" s="9">
        <v>22.020224218035128</v>
      </c>
      <c r="V5002" s="9">
        <v>22.020224218035128</v>
      </c>
      <c r="W5002" s="9">
        <v>22.020224218035128</v>
      </c>
      <c r="X5002" s="9">
        <v>24.004435739730138</v>
      </c>
      <c r="Y5002" s="9">
        <v>24.004435739730138</v>
      </c>
      <c r="Z5002" s="9">
        <v>26.075582265671787</v>
      </c>
      <c r="AA5002" s="9">
        <v>26.075582265671787</v>
      </c>
      <c r="AB5002" s="9">
        <v>28.242357296284759</v>
      </c>
      <c r="AC5002" s="9">
        <v>28.242357296284759</v>
      </c>
      <c r="AD5002" s="9">
        <v>32.278785457330969</v>
      </c>
      <c r="AE5002" s="9">
        <v>34.228944830548365</v>
      </c>
      <c r="AF5002" s="9">
        <v>36.293711230319367</v>
      </c>
      <c r="AG5002" s="9">
        <v>36.293711230319367</v>
      </c>
      <c r="AH5002" s="9">
        <v>39.230142171980006</v>
      </c>
      <c r="AI5002" s="9">
        <v>41.357809622501556</v>
      </c>
      <c r="AJ5002" s="9">
        <v>3.0428788910505911</v>
      </c>
    </row>
    <row r="5003" spans="1:36" x14ac:dyDescent="0.25">
      <c r="A5003" t="s">
        <v>5411</v>
      </c>
      <c r="B5003" t="s">
        <v>16</v>
      </c>
      <c r="C5003" t="s">
        <v>17</v>
      </c>
      <c r="D5003">
        <v>86760000</v>
      </c>
      <c r="E5003">
        <v>86769999</v>
      </c>
      <c r="F5003" t="s">
        <v>4541</v>
      </c>
      <c r="G5003" t="str">
        <f t="shared" si="156"/>
        <v>PRI II</v>
      </c>
      <c r="H5003" t="s">
        <v>4294</v>
      </c>
      <c r="I5003" t="s">
        <v>20</v>
      </c>
      <c r="J5003" t="s">
        <v>64</v>
      </c>
      <c r="K5003" s="6">
        <v>0.03</v>
      </c>
      <c r="L5003" s="7">
        <f t="shared" si="157"/>
        <v>2E-3</v>
      </c>
      <c r="M5003" s="7">
        <v>3.0000000000000001E-3</v>
      </c>
      <c r="N5003">
        <v>11</v>
      </c>
      <c r="O5003" s="8">
        <v>19.127752698369598</v>
      </c>
      <c r="P5003" s="9">
        <v>19.127752698369598</v>
      </c>
      <c r="Q5003" s="9">
        <v>19.127752698369598</v>
      </c>
      <c r="R5003" s="9">
        <v>19.588754687607715</v>
      </c>
      <c r="S5003" s="9">
        <v>19.892211826137899</v>
      </c>
      <c r="T5003" s="9">
        <v>20.64455772606674</v>
      </c>
      <c r="U5003" s="9">
        <v>22.020224218035128</v>
      </c>
      <c r="V5003" s="9">
        <v>22.020224218035128</v>
      </c>
      <c r="W5003" s="9">
        <v>22.020224218035128</v>
      </c>
      <c r="X5003" s="9">
        <v>24.004435739730138</v>
      </c>
      <c r="Y5003" s="9">
        <v>24.004435739730138</v>
      </c>
      <c r="Z5003" s="9">
        <v>26.075582265671787</v>
      </c>
      <c r="AA5003" s="9">
        <v>26.075582265671787</v>
      </c>
      <c r="AB5003" s="9">
        <v>28.242357296284759</v>
      </c>
      <c r="AC5003" s="9">
        <v>28.242357296284759</v>
      </c>
      <c r="AD5003" s="9">
        <v>32.278785457330969</v>
      </c>
      <c r="AE5003" s="9">
        <v>34.228944830548365</v>
      </c>
      <c r="AF5003" s="9">
        <v>36.293711230319367</v>
      </c>
      <c r="AG5003" s="9">
        <v>36.293711230319367</v>
      </c>
      <c r="AH5003" s="9">
        <v>39.230142171980006</v>
      </c>
      <c r="AI5003" s="9">
        <v>41.357809622501556</v>
      </c>
      <c r="AJ5003" s="9">
        <v>3.0428788910505911</v>
      </c>
    </row>
    <row r="5004" spans="1:36" x14ac:dyDescent="0.25">
      <c r="A5004" t="s">
        <v>5411</v>
      </c>
      <c r="B5004" t="s">
        <v>16</v>
      </c>
      <c r="C5004" t="s">
        <v>17</v>
      </c>
      <c r="D5004">
        <v>86770000</v>
      </c>
      <c r="E5004">
        <v>86779999</v>
      </c>
      <c r="F5004" t="s">
        <v>4542</v>
      </c>
      <c r="G5004" t="str">
        <f t="shared" si="156"/>
        <v>PRI II</v>
      </c>
      <c r="H5004" t="s">
        <v>4294</v>
      </c>
      <c r="I5004" t="s">
        <v>20</v>
      </c>
      <c r="J5004" t="s">
        <v>64</v>
      </c>
      <c r="K5004" s="6">
        <v>0.03</v>
      </c>
      <c r="L5004" s="7">
        <f t="shared" si="157"/>
        <v>2E-3</v>
      </c>
      <c r="M5004" s="7">
        <v>3.0000000000000001E-3</v>
      </c>
      <c r="N5004">
        <v>11</v>
      </c>
      <c r="O5004" s="8">
        <v>19.127752698369598</v>
      </c>
      <c r="P5004" s="9">
        <v>19.127752698369598</v>
      </c>
      <c r="Q5004" s="9">
        <v>19.127752698369598</v>
      </c>
      <c r="R5004" s="9">
        <v>19.588754687607715</v>
      </c>
      <c r="S5004" s="9">
        <v>19.892211826137899</v>
      </c>
      <c r="T5004" s="9">
        <v>20.64455772606674</v>
      </c>
      <c r="U5004" s="9">
        <v>22.020224218035128</v>
      </c>
      <c r="V5004" s="9">
        <v>22.020224218035128</v>
      </c>
      <c r="W5004" s="9">
        <v>22.020224218035128</v>
      </c>
      <c r="X5004" s="9">
        <v>24.004435739730138</v>
      </c>
      <c r="Y5004" s="9">
        <v>24.004435739730138</v>
      </c>
      <c r="Z5004" s="9">
        <v>26.075582265671787</v>
      </c>
      <c r="AA5004" s="9">
        <v>26.075582265671787</v>
      </c>
      <c r="AB5004" s="9">
        <v>28.242357296284759</v>
      </c>
      <c r="AC5004" s="9">
        <v>28.242357296284759</v>
      </c>
      <c r="AD5004" s="9">
        <v>32.278785457330969</v>
      </c>
      <c r="AE5004" s="9">
        <v>34.228944830548365</v>
      </c>
      <c r="AF5004" s="9">
        <v>36.293711230319367</v>
      </c>
      <c r="AG5004" s="9">
        <v>36.293711230319367</v>
      </c>
      <c r="AH5004" s="9">
        <v>39.230142171980006</v>
      </c>
      <c r="AI5004" s="9">
        <v>41.357809622501556</v>
      </c>
      <c r="AJ5004" s="9">
        <v>3.0428788910505911</v>
      </c>
    </row>
    <row r="5005" spans="1:36" x14ac:dyDescent="0.25">
      <c r="A5005" t="s">
        <v>5411</v>
      </c>
      <c r="B5005" t="s">
        <v>16</v>
      </c>
      <c r="C5005" t="s">
        <v>17</v>
      </c>
      <c r="D5005">
        <v>86780000</v>
      </c>
      <c r="E5005">
        <v>86789999</v>
      </c>
      <c r="F5005" t="s">
        <v>4543</v>
      </c>
      <c r="G5005" t="str">
        <f t="shared" si="156"/>
        <v>PRI II</v>
      </c>
      <c r="H5005" t="s">
        <v>4294</v>
      </c>
      <c r="I5005" t="s">
        <v>20</v>
      </c>
      <c r="J5005" t="s">
        <v>64</v>
      </c>
      <c r="K5005" s="6">
        <v>0.03</v>
      </c>
      <c r="L5005" s="7">
        <f t="shared" si="157"/>
        <v>2E-3</v>
      </c>
      <c r="M5005" s="7">
        <v>3.0000000000000001E-3</v>
      </c>
      <c r="N5005">
        <v>11</v>
      </c>
      <c r="O5005" s="8">
        <v>19.127752698369598</v>
      </c>
      <c r="P5005" s="9">
        <v>19.127752698369598</v>
      </c>
      <c r="Q5005" s="9">
        <v>19.127752698369598</v>
      </c>
      <c r="R5005" s="9">
        <v>19.588754687607715</v>
      </c>
      <c r="S5005" s="9">
        <v>19.892211826137899</v>
      </c>
      <c r="T5005" s="9">
        <v>20.64455772606674</v>
      </c>
      <c r="U5005" s="9">
        <v>22.020224218035128</v>
      </c>
      <c r="V5005" s="9">
        <v>22.020224218035128</v>
      </c>
      <c r="W5005" s="9">
        <v>22.020224218035128</v>
      </c>
      <c r="X5005" s="9">
        <v>24.004435739730138</v>
      </c>
      <c r="Y5005" s="9">
        <v>24.004435739730138</v>
      </c>
      <c r="Z5005" s="9">
        <v>26.075582265671787</v>
      </c>
      <c r="AA5005" s="9">
        <v>26.075582265671787</v>
      </c>
      <c r="AB5005" s="9">
        <v>28.242357296284759</v>
      </c>
      <c r="AC5005" s="9">
        <v>28.242357296284759</v>
      </c>
      <c r="AD5005" s="9">
        <v>32.278785457330969</v>
      </c>
      <c r="AE5005" s="9">
        <v>34.228944830548365</v>
      </c>
      <c r="AF5005" s="9">
        <v>36.293711230319367</v>
      </c>
      <c r="AG5005" s="9">
        <v>36.293711230319367</v>
      </c>
      <c r="AH5005" s="9">
        <v>39.230142171980006</v>
      </c>
      <c r="AI5005" s="9">
        <v>41.357809622501556</v>
      </c>
      <c r="AJ5005" s="9">
        <v>3.0428788910505911</v>
      </c>
    </row>
    <row r="5006" spans="1:36" x14ac:dyDescent="0.25">
      <c r="A5006" t="s">
        <v>5411</v>
      </c>
      <c r="B5006" t="s">
        <v>16</v>
      </c>
      <c r="C5006" t="s">
        <v>17</v>
      </c>
      <c r="D5006">
        <v>86790000</v>
      </c>
      <c r="E5006">
        <v>86799999</v>
      </c>
      <c r="F5006" t="s">
        <v>4544</v>
      </c>
      <c r="G5006" t="str">
        <f t="shared" si="156"/>
        <v>PRI II</v>
      </c>
      <c r="H5006" t="s">
        <v>4294</v>
      </c>
      <c r="I5006" t="s">
        <v>20</v>
      </c>
      <c r="J5006" t="s">
        <v>64</v>
      </c>
      <c r="K5006" s="6">
        <v>0.03</v>
      </c>
      <c r="L5006" s="7">
        <f t="shared" si="157"/>
        <v>2E-3</v>
      </c>
      <c r="M5006" s="7">
        <v>3.0000000000000001E-3</v>
      </c>
      <c r="N5006">
        <v>11</v>
      </c>
      <c r="O5006" s="8">
        <v>19.127752698369598</v>
      </c>
      <c r="P5006" s="9">
        <v>19.127752698369598</v>
      </c>
      <c r="Q5006" s="9">
        <v>19.127752698369598</v>
      </c>
      <c r="R5006" s="9">
        <v>19.588754687607715</v>
      </c>
      <c r="S5006" s="9">
        <v>19.892211826137899</v>
      </c>
      <c r="T5006" s="9">
        <v>20.64455772606674</v>
      </c>
      <c r="U5006" s="9">
        <v>22.020224218035128</v>
      </c>
      <c r="V5006" s="9">
        <v>22.020224218035128</v>
      </c>
      <c r="W5006" s="9">
        <v>22.020224218035128</v>
      </c>
      <c r="X5006" s="9">
        <v>24.004435739730138</v>
      </c>
      <c r="Y5006" s="9">
        <v>24.004435739730138</v>
      </c>
      <c r="Z5006" s="9">
        <v>26.075582265671787</v>
      </c>
      <c r="AA5006" s="9">
        <v>26.075582265671787</v>
      </c>
      <c r="AB5006" s="9">
        <v>28.242357296284759</v>
      </c>
      <c r="AC5006" s="9">
        <v>28.242357296284759</v>
      </c>
      <c r="AD5006" s="9">
        <v>32.278785457330969</v>
      </c>
      <c r="AE5006" s="9">
        <v>34.228944830548365</v>
      </c>
      <c r="AF5006" s="9">
        <v>36.293711230319367</v>
      </c>
      <c r="AG5006" s="9">
        <v>36.293711230319367</v>
      </c>
      <c r="AH5006" s="9">
        <v>39.230142171980006</v>
      </c>
      <c r="AI5006" s="9">
        <v>41.357809622501556</v>
      </c>
      <c r="AJ5006" s="9">
        <v>3.0428788910505911</v>
      </c>
    </row>
    <row r="5007" spans="1:36" x14ac:dyDescent="0.25">
      <c r="A5007" t="s">
        <v>5411</v>
      </c>
      <c r="B5007" t="s">
        <v>16</v>
      </c>
      <c r="C5007" t="s">
        <v>17</v>
      </c>
      <c r="D5007">
        <v>86800000</v>
      </c>
      <c r="E5007">
        <v>86819999</v>
      </c>
      <c r="F5007" t="s">
        <v>4545</v>
      </c>
      <c r="G5007" t="str">
        <f t="shared" si="156"/>
        <v>PRI</v>
      </c>
      <c r="H5007" t="s">
        <v>4294</v>
      </c>
      <c r="I5007" t="s">
        <v>20</v>
      </c>
      <c r="J5007" t="s">
        <v>62</v>
      </c>
      <c r="K5007" s="6">
        <v>0.03</v>
      </c>
      <c r="L5007" s="7">
        <f t="shared" si="157"/>
        <v>2E-3</v>
      </c>
      <c r="M5007" s="7">
        <v>3.0000000000000001E-3</v>
      </c>
      <c r="N5007">
        <v>9</v>
      </c>
      <c r="O5007" s="8">
        <v>16.344178346561137</v>
      </c>
      <c r="P5007" s="9">
        <v>16.344178346561137</v>
      </c>
      <c r="Q5007" s="9">
        <v>16.344178346561137</v>
      </c>
      <c r="R5007" s="9">
        <v>16.766533722582309</v>
      </c>
      <c r="S5007" s="9">
        <v>17.709108795625173</v>
      </c>
      <c r="T5007" s="9">
        <v>18.545760454647645</v>
      </c>
      <c r="U5007" s="9">
        <v>20.10723313448154</v>
      </c>
      <c r="V5007" s="9">
        <v>20.10723313448154</v>
      </c>
      <c r="W5007" s="9">
        <v>20.10723313448154</v>
      </c>
      <c r="X5007" s="9">
        <v>21.240951506551678</v>
      </c>
      <c r="Y5007" s="9">
        <v>21.240951506551678</v>
      </c>
      <c r="Z5007" s="9">
        <v>22.557015615717738</v>
      </c>
      <c r="AA5007" s="9">
        <v>22.557015615717738</v>
      </c>
      <c r="AB5007" s="9">
        <v>26.056112270527457</v>
      </c>
      <c r="AC5007" s="9">
        <v>26.056112270527457</v>
      </c>
      <c r="AD5007" s="9">
        <v>30.142276170369946</v>
      </c>
      <c r="AE5007" s="9">
        <v>32.940531048263779</v>
      </c>
      <c r="AF5007" s="9">
        <v>35.920735279325392</v>
      </c>
      <c r="AG5007" s="9">
        <v>35.920735279325392</v>
      </c>
      <c r="AH5007" s="9">
        <v>38.62832670141978</v>
      </c>
      <c r="AI5007" s="9">
        <v>41.239207360528972</v>
      </c>
      <c r="AJ5007" s="9">
        <v>3.0428788910505911</v>
      </c>
    </row>
    <row r="5008" spans="1:36" x14ac:dyDescent="0.25">
      <c r="A5008" t="s">
        <v>5411</v>
      </c>
      <c r="B5008" t="s">
        <v>16</v>
      </c>
      <c r="C5008" t="s">
        <v>17</v>
      </c>
      <c r="D5008">
        <v>86820000</v>
      </c>
      <c r="E5008">
        <v>86824999</v>
      </c>
      <c r="F5008" t="s">
        <v>4546</v>
      </c>
      <c r="G5008" t="str">
        <f t="shared" si="156"/>
        <v>PRI II</v>
      </c>
      <c r="H5008" t="s">
        <v>4294</v>
      </c>
      <c r="I5008" t="s">
        <v>20</v>
      </c>
      <c r="J5008" t="s">
        <v>64</v>
      </c>
      <c r="K5008" s="6">
        <v>0.03</v>
      </c>
      <c r="L5008" s="7">
        <f t="shared" si="157"/>
        <v>2E-3</v>
      </c>
      <c r="M5008" s="7">
        <v>3.0000000000000001E-3</v>
      </c>
      <c r="N5008">
        <v>11</v>
      </c>
      <c r="O5008" s="8">
        <v>19.127752698369598</v>
      </c>
      <c r="P5008" s="9">
        <v>19.127752698369598</v>
      </c>
      <c r="Q5008" s="9">
        <v>19.127752698369598</v>
      </c>
      <c r="R5008" s="9">
        <v>19.588754687607715</v>
      </c>
      <c r="S5008" s="9">
        <v>19.892211826137899</v>
      </c>
      <c r="T5008" s="9">
        <v>20.64455772606674</v>
      </c>
      <c r="U5008" s="9">
        <v>22.020224218035128</v>
      </c>
      <c r="V5008" s="9">
        <v>22.020224218035128</v>
      </c>
      <c r="W5008" s="9">
        <v>22.020224218035128</v>
      </c>
      <c r="X5008" s="9">
        <v>24.004435739730138</v>
      </c>
      <c r="Y5008" s="9">
        <v>24.004435739730138</v>
      </c>
      <c r="Z5008" s="9">
        <v>26.075582265671787</v>
      </c>
      <c r="AA5008" s="9">
        <v>26.075582265671787</v>
      </c>
      <c r="AB5008" s="9">
        <v>28.242357296284759</v>
      </c>
      <c r="AC5008" s="9">
        <v>28.242357296284759</v>
      </c>
      <c r="AD5008" s="9">
        <v>32.278785457330969</v>
      </c>
      <c r="AE5008" s="9">
        <v>34.228944830548365</v>
      </c>
      <c r="AF5008" s="9">
        <v>36.293711230319367</v>
      </c>
      <c r="AG5008" s="9">
        <v>36.293711230319367</v>
      </c>
      <c r="AH5008" s="9">
        <v>39.230142171980006</v>
      </c>
      <c r="AI5008" s="9">
        <v>41.357809622501556</v>
      </c>
      <c r="AJ5008" s="9">
        <v>3.0428788910505911</v>
      </c>
    </row>
    <row r="5009" spans="1:36" x14ac:dyDescent="0.25">
      <c r="A5009" t="s">
        <v>5411</v>
      </c>
      <c r="B5009" t="s">
        <v>16</v>
      </c>
      <c r="C5009" t="s">
        <v>17</v>
      </c>
      <c r="D5009">
        <v>86825000</v>
      </c>
      <c r="E5009">
        <v>86827999</v>
      </c>
      <c r="F5009" t="s">
        <v>4547</v>
      </c>
      <c r="G5009" t="str">
        <f t="shared" si="156"/>
        <v>PRI II</v>
      </c>
      <c r="H5009" t="s">
        <v>4294</v>
      </c>
      <c r="I5009" t="s">
        <v>20</v>
      </c>
      <c r="J5009" t="s">
        <v>64</v>
      </c>
      <c r="K5009" s="6">
        <v>0.03</v>
      </c>
      <c r="L5009" s="7">
        <f t="shared" si="157"/>
        <v>2E-3</v>
      </c>
      <c r="M5009" s="7">
        <v>3.0000000000000001E-3</v>
      </c>
      <c r="N5009">
        <v>11</v>
      </c>
      <c r="O5009" s="8">
        <v>19.127752698369598</v>
      </c>
      <c r="P5009" s="9">
        <v>19.127752698369598</v>
      </c>
      <c r="Q5009" s="9">
        <v>19.127752698369598</v>
      </c>
      <c r="R5009" s="9">
        <v>19.588754687607715</v>
      </c>
      <c r="S5009" s="9">
        <v>19.892211826137899</v>
      </c>
      <c r="T5009" s="9">
        <v>20.64455772606674</v>
      </c>
      <c r="U5009" s="9">
        <v>22.020224218035128</v>
      </c>
      <c r="V5009" s="9">
        <v>22.020224218035128</v>
      </c>
      <c r="W5009" s="9">
        <v>22.020224218035128</v>
      </c>
      <c r="X5009" s="9">
        <v>24.004435739730138</v>
      </c>
      <c r="Y5009" s="9">
        <v>24.004435739730138</v>
      </c>
      <c r="Z5009" s="9">
        <v>26.075582265671787</v>
      </c>
      <c r="AA5009" s="9">
        <v>26.075582265671787</v>
      </c>
      <c r="AB5009" s="9">
        <v>28.242357296284759</v>
      </c>
      <c r="AC5009" s="9">
        <v>28.242357296284759</v>
      </c>
      <c r="AD5009" s="9">
        <v>32.278785457330969</v>
      </c>
      <c r="AE5009" s="9">
        <v>34.228944830548365</v>
      </c>
      <c r="AF5009" s="9">
        <v>36.293711230319367</v>
      </c>
      <c r="AG5009" s="9">
        <v>36.293711230319367</v>
      </c>
      <c r="AH5009" s="9">
        <v>39.230142171980006</v>
      </c>
      <c r="AI5009" s="9">
        <v>41.357809622501556</v>
      </c>
      <c r="AJ5009" s="9">
        <v>3.0428788910505911</v>
      </c>
    </row>
    <row r="5010" spans="1:36" x14ac:dyDescent="0.25">
      <c r="A5010" t="s">
        <v>5411</v>
      </c>
      <c r="B5010" t="s">
        <v>16</v>
      </c>
      <c r="C5010" t="s">
        <v>17</v>
      </c>
      <c r="D5010">
        <v>86828000</v>
      </c>
      <c r="E5010">
        <v>86829999</v>
      </c>
      <c r="F5010" t="s">
        <v>4548</v>
      </c>
      <c r="G5010" t="str">
        <f t="shared" si="156"/>
        <v>PRI II</v>
      </c>
      <c r="H5010" t="s">
        <v>4294</v>
      </c>
      <c r="I5010" t="s">
        <v>20</v>
      </c>
      <c r="J5010" t="s">
        <v>64</v>
      </c>
      <c r="K5010" s="6">
        <v>0.03</v>
      </c>
      <c r="L5010" s="7">
        <f t="shared" si="157"/>
        <v>2E-3</v>
      </c>
      <c r="M5010" s="7">
        <v>3.0000000000000001E-3</v>
      </c>
      <c r="N5010">
        <v>11</v>
      </c>
      <c r="O5010" s="8">
        <v>19.127752698369598</v>
      </c>
      <c r="P5010" s="9">
        <v>19.127752698369598</v>
      </c>
      <c r="Q5010" s="9">
        <v>19.127752698369598</v>
      </c>
      <c r="R5010" s="9">
        <v>19.588754687607715</v>
      </c>
      <c r="S5010" s="9">
        <v>19.892211826137899</v>
      </c>
      <c r="T5010" s="9">
        <v>20.64455772606674</v>
      </c>
      <c r="U5010" s="9">
        <v>22.020224218035128</v>
      </c>
      <c r="V5010" s="9">
        <v>22.020224218035128</v>
      </c>
      <c r="W5010" s="9">
        <v>22.020224218035128</v>
      </c>
      <c r="X5010" s="9">
        <v>24.004435739730138</v>
      </c>
      <c r="Y5010" s="9">
        <v>24.004435739730138</v>
      </c>
      <c r="Z5010" s="9">
        <v>26.075582265671787</v>
      </c>
      <c r="AA5010" s="9">
        <v>26.075582265671787</v>
      </c>
      <c r="AB5010" s="9">
        <v>28.242357296284759</v>
      </c>
      <c r="AC5010" s="9">
        <v>28.242357296284759</v>
      </c>
      <c r="AD5010" s="9">
        <v>32.278785457330969</v>
      </c>
      <c r="AE5010" s="9">
        <v>34.228944830548365</v>
      </c>
      <c r="AF5010" s="9">
        <v>36.293711230319367</v>
      </c>
      <c r="AG5010" s="9">
        <v>36.293711230319367</v>
      </c>
      <c r="AH5010" s="9">
        <v>39.230142171980006</v>
      </c>
      <c r="AI5010" s="9">
        <v>41.357809622501556</v>
      </c>
      <c r="AJ5010" s="9">
        <v>3.0428788910505911</v>
      </c>
    </row>
    <row r="5011" spans="1:36" x14ac:dyDescent="0.25">
      <c r="A5011" t="s">
        <v>5411</v>
      </c>
      <c r="B5011" t="s">
        <v>16</v>
      </c>
      <c r="C5011" t="s">
        <v>17</v>
      </c>
      <c r="D5011">
        <v>86830000</v>
      </c>
      <c r="E5011">
        <v>86839999</v>
      </c>
      <c r="F5011" t="s">
        <v>4549</v>
      </c>
      <c r="G5011" t="str">
        <f t="shared" si="156"/>
        <v>PRI II</v>
      </c>
      <c r="H5011" t="s">
        <v>4294</v>
      </c>
      <c r="I5011" t="s">
        <v>20</v>
      </c>
      <c r="J5011" t="s">
        <v>64</v>
      </c>
      <c r="K5011" s="6">
        <v>0.03</v>
      </c>
      <c r="L5011" s="7">
        <f t="shared" si="157"/>
        <v>2E-3</v>
      </c>
      <c r="M5011" s="7">
        <v>3.0000000000000001E-3</v>
      </c>
      <c r="N5011">
        <v>11</v>
      </c>
      <c r="O5011" s="8">
        <v>19.127752698369598</v>
      </c>
      <c r="P5011" s="9">
        <v>19.127752698369598</v>
      </c>
      <c r="Q5011" s="9">
        <v>19.127752698369598</v>
      </c>
      <c r="R5011" s="9">
        <v>19.588754687607715</v>
      </c>
      <c r="S5011" s="9">
        <v>19.892211826137899</v>
      </c>
      <c r="T5011" s="9">
        <v>20.64455772606674</v>
      </c>
      <c r="U5011" s="9">
        <v>22.020224218035128</v>
      </c>
      <c r="V5011" s="9">
        <v>22.020224218035128</v>
      </c>
      <c r="W5011" s="9">
        <v>22.020224218035128</v>
      </c>
      <c r="X5011" s="9">
        <v>24.004435739730138</v>
      </c>
      <c r="Y5011" s="9">
        <v>24.004435739730138</v>
      </c>
      <c r="Z5011" s="9">
        <v>26.075582265671787</v>
      </c>
      <c r="AA5011" s="9">
        <v>26.075582265671787</v>
      </c>
      <c r="AB5011" s="9">
        <v>28.242357296284759</v>
      </c>
      <c r="AC5011" s="9">
        <v>28.242357296284759</v>
      </c>
      <c r="AD5011" s="9">
        <v>32.278785457330969</v>
      </c>
      <c r="AE5011" s="9">
        <v>34.228944830548365</v>
      </c>
      <c r="AF5011" s="9">
        <v>36.293711230319367</v>
      </c>
      <c r="AG5011" s="9">
        <v>36.293711230319367</v>
      </c>
      <c r="AH5011" s="9">
        <v>39.230142171980006</v>
      </c>
      <c r="AI5011" s="9">
        <v>41.357809622501556</v>
      </c>
      <c r="AJ5011" s="9">
        <v>3.0428788910505911</v>
      </c>
    </row>
    <row r="5012" spans="1:36" x14ac:dyDescent="0.25">
      <c r="A5012" t="s">
        <v>5411</v>
      </c>
      <c r="B5012" t="s">
        <v>16</v>
      </c>
      <c r="C5012" t="s">
        <v>17</v>
      </c>
      <c r="D5012">
        <v>86840000</v>
      </c>
      <c r="E5012">
        <v>86844999</v>
      </c>
      <c r="F5012" t="s">
        <v>4550</v>
      </c>
      <c r="G5012" t="str">
        <f t="shared" si="156"/>
        <v>PRI II</v>
      </c>
      <c r="H5012" t="s">
        <v>4294</v>
      </c>
      <c r="I5012" t="s">
        <v>20</v>
      </c>
      <c r="J5012" t="s">
        <v>64</v>
      </c>
      <c r="K5012" s="6">
        <v>0.03</v>
      </c>
      <c r="L5012" s="7">
        <f t="shared" si="157"/>
        <v>2E-3</v>
      </c>
      <c r="M5012" s="7">
        <v>3.0000000000000001E-3</v>
      </c>
      <c r="N5012">
        <v>11</v>
      </c>
      <c r="O5012" s="8">
        <v>19.127752698369598</v>
      </c>
      <c r="P5012" s="9">
        <v>19.127752698369598</v>
      </c>
      <c r="Q5012" s="9">
        <v>19.127752698369598</v>
      </c>
      <c r="R5012" s="9">
        <v>19.588754687607715</v>
      </c>
      <c r="S5012" s="9">
        <v>19.892211826137899</v>
      </c>
      <c r="T5012" s="9">
        <v>20.64455772606674</v>
      </c>
      <c r="U5012" s="9">
        <v>22.020224218035128</v>
      </c>
      <c r="V5012" s="9">
        <v>22.020224218035128</v>
      </c>
      <c r="W5012" s="9">
        <v>22.020224218035128</v>
      </c>
      <c r="X5012" s="9">
        <v>24.004435739730138</v>
      </c>
      <c r="Y5012" s="9">
        <v>24.004435739730138</v>
      </c>
      <c r="Z5012" s="9">
        <v>26.075582265671787</v>
      </c>
      <c r="AA5012" s="9">
        <v>26.075582265671787</v>
      </c>
      <c r="AB5012" s="9">
        <v>28.242357296284759</v>
      </c>
      <c r="AC5012" s="9">
        <v>28.242357296284759</v>
      </c>
      <c r="AD5012" s="9">
        <v>32.278785457330969</v>
      </c>
      <c r="AE5012" s="9">
        <v>34.228944830548365</v>
      </c>
      <c r="AF5012" s="9">
        <v>36.293711230319367</v>
      </c>
      <c r="AG5012" s="9">
        <v>36.293711230319367</v>
      </c>
      <c r="AH5012" s="9">
        <v>39.230142171980006</v>
      </c>
      <c r="AI5012" s="9">
        <v>41.357809622501556</v>
      </c>
      <c r="AJ5012" s="9">
        <v>3.0428788910505911</v>
      </c>
    </row>
    <row r="5013" spans="1:36" x14ac:dyDescent="0.25">
      <c r="A5013" t="s">
        <v>5411</v>
      </c>
      <c r="B5013" t="s">
        <v>16</v>
      </c>
      <c r="C5013" t="s">
        <v>17</v>
      </c>
      <c r="D5013">
        <v>86845000</v>
      </c>
      <c r="E5013">
        <v>86847999</v>
      </c>
      <c r="F5013" t="s">
        <v>4551</v>
      </c>
      <c r="G5013" t="str">
        <f t="shared" si="156"/>
        <v>PRI II</v>
      </c>
      <c r="H5013" t="s">
        <v>4294</v>
      </c>
      <c r="I5013" t="s">
        <v>20</v>
      </c>
      <c r="J5013" t="s">
        <v>64</v>
      </c>
      <c r="K5013" s="6">
        <v>0.03</v>
      </c>
      <c r="L5013" s="7">
        <f t="shared" si="157"/>
        <v>2E-3</v>
      </c>
      <c r="M5013" s="7">
        <v>3.0000000000000001E-3</v>
      </c>
      <c r="N5013">
        <v>11</v>
      </c>
      <c r="O5013" s="8">
        <v>19.127752698369598</v>
      </c>
      <c r="P5013" s="9">
        <v>19.127752698369598</v>
      </c>
      <c r="Q5013" s="9">
        <v>19.127752698369598</v>
      </c>
      <c r="R5013" s="9">
        <v>19.588754687607715</v>
      </c>
      <c r="S5013" s="9">
        <v>19.892211826137899</v>
      </c>
      <c r="T5013" s="9">
        <v>20.64455772606674</v>
      </c>
      <c r="U5013" s="9">
        <v>22.020224218035128</v>
      </c>
      <c r="V5013" s="9">
        <v>22.020224218035128</v>
      </c>
      <c r="W5013" s="9">
        <v>22.020224218035128</v>
      </c>
      <c r="X5013" s="9">
        <v>24.004435739730138</v>
      </c>
      <c r="Y5013" s="9">
        <v>24.004435739730138</v>
      </c>
      <c r="Z5013" s="9">
        <v>26.075582265671787</v>
      </c>
      <c r="AA5013" s="9">
        <v>26.075582265671787</v>
      </c>
      <c r="AB5013" s="9">
        <v>28.242357296284759</v>
      </c>
      <c r="AC5013" s="9">
        <v>28.242357296284759</v>
      </c>
      <c r="AD5013" s="9">
        <v>32.278785457330969</v>
      </c>
      <c r="AE5013" s="9">
        <v>34.228944830548365</v>
      </c>
      <c r="AF5013" s="9">
        <v>36.293711230319367</v>
      </c>
      <c r="AG5013" s="9">
        <v>36.293711230319367</v>
      </c>
      <c r="AH5013" s="9">
        <v>39.230142171980006</v>
      </c>
      <c r="AI5013" s="9">
        <v>41.357809622501556</v>
      </c>
      <c r="AJ5013" s="9">
        <v>3.0428788910505911</v>
      </c>
    </row>
    <row r="5014" spans="1:36" x14ac:dyDescent="0.25">
      <c r="A5014" t="s">
        <v>5411</v>
      </c>
      <c r="B5014" t="s">
        <v>16</v>
      </c>
      <c r="C5014" t="s">
        <v>17</v>
      </c>
      <c r="D5014">
        <v>86848000</v>
      </c>
      <c r="E5014">
        <v>86849999</v>
      </c>
      <c r="F5014" t="s">
        <v>4552</v>
      </c>
      <c r="G5014" t="str">
        <f t="shared" si="156"/>
        <v>PRI II</v>
      </c>
      <c r="H5014" t="s">
        <v>4294</v>
      </c>
      <c r="I5014" t="s">
        <v>20</v>
      </c>
      <c r="J5014" t="s">
        <v>64</v>
      </c>
      <c r="K5014" s="6">
        <v>0.03</v>
      </c>
      <c r="L5014" s="7">
        <f t="shared" si="157"/>
        <v>2E-3</v>
      </c>
      <c r="M5014" s="7">
        <v>3.0000000000000001E-3</v>
      </c>
      <c r="N5014">
        <v>11</v>
      </c>
      <c r="O5014" s="8">
        <v>19.127752698369598</v>
      </c>
      <c r="P5014" s="9">
        <v>19.127752698369598</v>
      </c>
      <c r="Q5014" s="9">
        <v>19.127752698369598</v>
      </c>
      <c r="R5014" s="9">
        <v>19.588754687607715</v>
      </c>
      <c r="S5014" s="9">
        <v>19.892211826137899</v>
      </c>
      <c r="T5014" s="9">
        <v>20.64455772606674</v>
      </c>
      <c r="U5014" s="9">
        <v>22.020224218035128</v>
      </c>
      <c r="V5014" s="9">
        <v>22.020224218035128</v>
      </c>
      <c r="W5014" s="9">
        <v>22.020224218035128</v>
      </c>
      <c r="X5014" s="9">
        <v>24.004435739730138</v>
      </c>
      <c r="Y5014" s="9">
        <v>24.004435739730138</v>
      </c>
      <c r="Z5014" s="9">
        <v>26.075582265671787</v>
      </c>
      <c r="AA5014" s="9">
        <v>26.075582265671787</v>
      </c>
      <c r="AB5014" s="9">
        <v>28.242357296284759</v>
      </c>
      <c r="AC5014" s="9">
        <v>28.242357296284759</v>
      </c>
      <c r="AD5014" s="9">
        <v>32.278785457330969</v>
      </c>
      <c r="AE5014" s="9">
        <v>34.228944830548365</v>
      </c>
      <c r="AF5014" s="9">
        <v>36.293711230319367</v>
      </c>
      <c r="AG5014" s="9">
        <v>36.293711230319367</v>
      </c>
      <c r="AH5014" s="9">
        <v>39.230142171980006</v>
      </c>
      <c r="AI5014" s="9">
        <v>41.357809622501556</v>
      </c>
      <c r="AJ5014" s="9">
        <v>3.0428788910505911</v>
      </c>
    </row>
    <row r="5015" spans="1:36" x14ac:dyDescent="0.25">
      <c r="A5015" t="s">
        <v>5411</v>
      </c>
      <c r="B5015" t="s">
        <v>16</v>
      </c>
      <c r="C5015" t="s">
        <v>17</v>
      </c>
      <c r="D5015">
        <v>86850000</v>
      </c>
      <c r="E5015">
        <v>86854999</v>
      </c>
      <c r="F5015" t="s">
        <v>4553</v>
      </c>
      <c r="G5015" t="str">
        <f t="shared" si="156"/>
        <v>PRI II</v>
      </c>
      <c r="H5015" t="s">
        <v>4294</v>
      </c>
      <c r="I5015" t="s">
        <v>20</v>
      </c>
      <c r="J5015" t="s">
        <v>64</v>
      </c>
      <c r="K5015" s="6">
        <v>0.03</v>
      </c>
      <c r="L5015" s="7">
        <f t="shared" si="157"/>
        <v>2E-3</v>
      </c>
      <c r="M5015" s="7">
        <v>3.0000000000000001E-3</v>
      </c>
      <c r="N5015">
        <v>11</v>
      </c>
      <c r="O5015" s="8">
        <v>19.127752698369598</v>
      </c>
      <c r="P5015" s="9">
        <v>19.127752698369598</v>
      </c>
      <c r="Q5015" s="9">
        <v>19.127752698369598</v>
      </c>
      <c r="R5015" s="9">
        <v>19.588754687607715</v>
      </c>
      <c r="S5015" s="9">
        <v>19.892211826137899</v>
      </c>
      <c r="T5015" s="9">
        <v>20.64455772606674</v>
      </c>
      <c r="U5015" s="9">
        <v>22.020224218035128</v>
      </c>
      <c r="V5015" s="9">
        <v>22.020224218035128</v>
      </c>
      <c r="W5015" s="9">
        <v>22.020224218035128</v>
      </c>
      <c r="X5015" s="9">
        <v>24.004435739730138</v>
      </c>
      <c r="Y5015" s="9">
        <v>24.004435739730138</v>
      </c>
      <c r="Z5015" s="9">
        <v>26.075582265671787</v>
      </c>
      <c r="AA5015" s="9">
        <v>26.075582265671787</v>
      </c>
      <c r="AB5015" s="9">
        <v>28.242357296284759</v>
      </c>
      <c r="AC5015" s="9">
        <v>28.242357296284759</v>
      </c>
      <c r="AD5015" s="9">
        <v>32.278785457330969</v>
      </c>
      <c r="AE5015" s="9">
        <v>34.228944830548365</v>
      </c>
      <c r="AF5015" s="9">
        <v>36.293711230319367</v>
      </c>
      <c r="AG5015" s="9">
        <v>36.293711230319367</v>
      </c>
      <c r="AH5015" s="9">
        <v>39.230142171980006</v>
      </c>
      <c r="AI5015" s="9">
        <v>41.357809622501556</v>
      </c>
      <c r="AJ5015" s="9">
        <v>3.0428788910505911</v>
      </c>
    </row>
    <row r="5016" spans="1:36" x14ac:dyDescent="0.25">
      <c r="A5016" t="s">
        <v>5411</v>
      </c>
      <c r="B5016" t="s">
        <v>16</v>
      </c>
      <c r="C5016" t="s">
        <v>17</v>
      </c>
      <c r="D5016">
        <v>86855000</v>
      </c>
      <c r="E5016">
        <v>86859999</v>
      </c>
      <c r="F5016" t="s">
        <v>4554</v>
      </c>
      <c r="G5016" t="str">
        <f t="shared" si="156"/>
        <v>PRI II</v>
      </c>
      <c r="H5016" t="s">
        <v>4294</v>
      </c>
      <c r="I5016" t="s">
        <v>20</v>
      </c>
      <c r="J5016" t="s">
        <v>64</v>
      </c>
      <c r="K5016" s="6">
        <v>0.03</v>
      </c>
      <c r="L5016" s="7">
        <f t="shared" si="157"/>
        <v>2E-3</v>
      </c>
      <c r="M5016" s="7">
        <v>3.0000000000000001E-3</v>
      </c>
      <c r="N5016">
        <v>11</v>
      </c>
      <c r="O5016" s="8">
        <v>19.127752698369598</v>
      </c>
      <c r="P5016" s="9">
        <v>19.127752698369598</v>
      </c>
      <c r="Q5016" s="9">
        <v>19.127752698369598</v>
      </c>
      <c r="R5016" s="9">
        <v>19.588754687607715</v>
      </c>
      <c r="S5016" s="9">
        <v>19.892211826137899</v>
      </c>
      <c r="T5016" s="9">
        <v>20.64455772606674</v>
      </c>
      <c r="U5016" s="9">
        <v>22.020224218035128</v>
      </c>
      <c r="V5016" s="9">
        <v>22.020224218035128</v>
      </c>
      <c r="W5016" s="9">
        <v>22.020224218035128</v>
      </c>
      <c r="X5016" s="9">
        <v>24.004435739730138</v>
      </c>
      <c r="Y5016" s="9">
        <v>24.004435739730138</v>
      </c>
      <c r="Z5016" s="9">
        <v>26.075582265671787</v>
      </c>
      <c r="AA5016" s="9">
        <v>26.075582265671787</v>
      </c>
      <c r="AB5016" s="9">
        <v>28.242357296284759</v>
      </c>
      <c r="AC5016" s="9">
        <v>28.242357296284759</v>
      </c>
      <c r="AD5016" s="9">
        <v>32.278785457330969</v>
      </c>
      <c r="AE5016" s="9">
        <v>34.228944830548365</v>
      </c>
      <c r="AF5016" s="9">
        <v>36.293711230319367</v>
      </c>
      <c r="AG5016" s="9">
        <v>36.293711230319367</v>
      </c>
      <c r="AH5016" s="9">
        <v>39.230142171980006</v>
      </c>
      <c r="AI5016" s="9">
        <v>41.357809622501556</v>
      </c>
      <c r="AJ5016" s="9">
        <v>3.0428788910505911</v>
      </c>
    </row>
    <row r="5017" spans="1:36" x14ac:dyDescent="0.25">
      <c r="A5017" t="s">
        <v>5411</v>
      </c>
      <c r="B5017" t="s">
        <v>16</v>
      </c>
      <c r="C5017" t="s">
        <v>17</v>
      </c>
      <c r="D5017">
        <v>86860000</v>
      </c>
      <c r="E5017">
        <v>86864999</v>
      </c>
      <c r="F5017" t="s">
        <v>4555</v>
      </c>
      <c r="G5017" t="str">
        <f t="shared" si="156"/>
        <v>PRI II</v>
      </c>
      <c r="H5017" t="s">
        <v>4294</v>
      </c>
      <c r="I5017" t="s">
        <v>20</v>
      </c>
      <c r="J5017" t="s">
        <v>64</v>
      </c>
      <c r="K5017" s="6">
        <v>0.03</v>
      </c>
      <c r="L5017" s="7">
        <f t="shared" si="157"/>
        <v>2E-3</v>
      </c>
      <c r="M5017" s="7">
        <v>3.0000000000000001E-3</v>
      </c>
      <c r="N5017">
        <v>11</v>
      </c>
      <c r="O5017" s="8">
        <v>19.127752698369598</v>
      </c>
      <c r="P5017" s="9">
        <v>19.127752698369598</v>
      </c>
      <c r="Q5017" s="9">
        <v>19.127752698369598</v>
      </c>
      <c r="R5017" s="9">
        <v>19.588754687607715</v>
      </c>
      <c r="S5017" s="9">
        <v>19.892211826137899</v>
      </c>
      <c r="T5017" s="9">
        <v>20.64455772606674</v>
      </c>
      <c r="U5017" s="9">
        <v>22.020224218035128</v>
      </c>
      <c r="V5017" s="9">
        <v>22.020224218035128</v>
      </c>
      <c r="W5017" s="9">
        <v>22.020224218035128</v>
      </c>
      <c r="X5017" s="9">
        <v>24.004435739730138</v>
      </c>
      <c r="Y5017" s="9">
        <v>24.004435739730138</v>
      </c>
      <c r="Z5017" s="9">
        <v>26.075582265671787</v>
      </c>
      <c r="AA5017" s="9">
        <v>26.075582265671787</v>
      </c>
      <c r="AB5017" s="9">
        <v>28.242357296284759</v>
      </c>
      <c r="AC5017" s="9">
        <v>28.242357296284759</v>
      </c>
      <c r="AD5017" s="9">
        <v>32.278785457330969</v>
      </c>
      <c r="AE5017" s="9">
        <v>34.228944830548365</v>
      </c>
      <c r="AF5017" s="9">
        <v>36.293711230319367</v>
      </c>
      <c r="AG5017" s="9">
        <v>36.293711230319367</v>
      </c>
      <c r="AH5017" s="9">
        <v>39.230142171980006</v>
      </c>
      <c r="AI5017" s="9">
        <v>41.357809622501556</v>
      </c>
      <c r="AJ5017" s="9">
        <v>3.0428788910505911</v>
      </c>
    </row>
    <row r="5018" spans="1:36" x14ac:dyDescent="0.25">
      <c r="A5018" t="s">
        <v>5411</v>
      </c>
      <c r="B5018" t="s">
        <v>16</v>
      </c>
      <c r="C5018" t="s">
        <v>17</v>
      </c>
      <c r="D5018">
        <v>86865000</v>
      </c>
      <c r="E5018">
        <v>86869999</v>
      </c>
      <c r="F5018" t="s">
        <v>4556</v>
      </c>
      <c r="G5018" t="str">
        <f t="shared" si="156"/>
        <v>PRI II</v>
      </c>
      <c r="H5018" t="s">
        <v>4294</v>
      </c>
      <c r="I5018" t="s">
        <v>20</v>
      </c>
      <c r="J5018" t="s">
        <v>64</v>
      </c>
      <c r="K5018" s="6">
        <v>0.03</v>
      </c>
      <c r="L5018" s="7">
        <f t="shared" si="157"/>
        <v>2E-3</v>
      </c>
      <c r="M5018" s="7">
        <v>3.0000000000000001E-3</v>
      </c>
      <c r="N5018">
        <v>11</v>
      </c>
      <c r="O5018" s="8">
        <v>19.127752698369598</v>
      </c>
      <c r="P5018" s="9">
        <v>19.127752698369598</v>
      </c>
      <c r="Q5018" s="9">
        <v>19.127752698369598</v>
      </c>
      <c r="R5018" s="9">
        <v>19.588754687607715</v>
      </c>
      <c r="S5018" s="9">
        <v>19.892211826137899</v>
      </c>
      <c r="T5018" s="9">
        <v>20.64455772606674</v>
      </c>
      <c r="U5018" s="9">
        <v>22.020224218035128</v>
      </c>
      <c r="V5018" s="9">
        <v>22.020224218035128</v>
      </c>
      <c r="W5018" s="9">
        <v>22.020224218035128</v>
      </c>
      <c r="X5018" s="9">
        <v>24.004435739730138</v>
      </c>
      <c r="Y5018" s="9">
        <v>24.004435739730138</v>
      </c>
      <c r="Z5018" s="9">
        <v>26.075582265671787</v>
      </c>
      <c r="AA5018" s="9">
        <v>26.075582265671787</v>
      </c>
      <c r="AB5018" s="9">
        <v>28.242357296284759</v>
      </c>
      <c r="AC5018" s="9">
        <v>28.242357296284759</v>
      </c>
      <c r="AD5018" s="9">
        <v>32.278785457330969</v>
      </c>
      <c r="AE5018" s="9">
        <v>34.228944830548365</v>
      </c>
      <c r="AF5018" s="9">
        <v>36.293711230319367</v>
      </c>
      <c r="AG5018" s="9">
        <v>36.293711230319367</v>
      </c>
      <c r="AH5018" s="9">
        <v>39.230142171980006</v>
      </c>
      <c r="AI5018" s="9">
        <v>41.357809622501556</v>
      </c>
      <c r="AJ5018" s="9">
        <v>3.0428788910505911</v>
      </c>
    </row>
    <row r="5019" spans="1:36" x14ac:dyDescent="0.25">
      <c r="A5019" t="s">
        <v>5411</v>
      </c>
      <c r="B5019" t="s">
        <v>16</v>
      </c>
      <c r="C5019" t="s">
        <v>17</v>
      </c>
      <c r="D5019">
        <v>86870000</v>
      </c>
      <c r="E5019">
        <v>86879999</v>
      </c>
      <c r="F5019" t="s">
        <v>4557</v>
      </c>
      <c r="G5019" t="str">
        <f t="shared" si="156"/>
        <v>PRI II</v>
      </c>
      <c r="H5019" t="s">
        <v>4294</v>
      </c>
      <c r="I5019" t="s">
        <v>20</v>
      </c>
      <c r="J5019" t="s">
        <v>64</v>
      </c>
      <c r="K5019" s="6">
        <v>0.03</v>
      </c>
      <c r="L5019" s="7">
        <f t="shared" si="157"/>
        <v>2E-3</v>
      </c>
      <c r="M5019" s="7">
        <v>3.0000000000000001E-3</v>
      </c>
      <c r="N5019">
        <v>11</v>
      </c>
      <c r="O5019" s="8">
        <v>19.127752698369598</v>
      </c>
      <c r="P5019" s="9">
        <v>19.127752698369598</v>
      </c>
      <c r="Q5019" s="9">
        <v>19.127752698369598</v>
      </c>
      <c r="R5019" s="9">
        <v>19.588754687607715</v>
      </c>
      <c r="S5019" s="9">
        <v>19.892211826137899</v>
      </c>
      <c r="T5019" s="9">
        <v>20.64455772606674</v>
      </c>
      <c r="U5019" s="9">
        <v>22.020224218035128</v>
      </c>
      <c r="V5019" s="9">
        <v>22.020224218035128</v>
      </c>
      <c r="W5019" s="9">
        <v>22.020224218035128</v>
      </c>
      <c r="X5019" s="9">
        <v>24.004435739730138</v>
      </c>
      <c r="Y5019" s="9">
        <v>24.004435739730138</v>
      </c>
      <c r="Z5019" s="9">
        <v>26.075582265671787</v>
      </c>
      <c r="AA5019" s="9">
        <v>26.075582265671787</v>
      </c>
      <c r="AB5019" s="9">
        <v>28.242357296284759</v>
      </c>
      <c r="AC5019" s="9">
        <v>28.242357296284759</v>
      </c>
      <c r="AD5019" s="9">
        <v>32.278785457330969</v>
      </c>
      <c r="AE5019" s="9">
        <v>34.228944830548365</v>
      </c>
      <c r="AF5019" s="9">
        <v>36.293711230319367</v>
      </c>
      <c r="AG5019" s="9">
        <v>36.293711230319367</v>
      </c>
      <c r="AH5019" s="9">
        <v>39.230142171980006</v>
      </c>
      <c r="AI5019" s="9">
        <v>41.357809622501556</v>
      </c>
      <c r="AJ5019" s="9">
        <v>3.0428788910505911</v>
      </c>
    </row>
    <row r="5020" spans="1:36" x14ac:dyDescent="0.25">
      <c r="A5020" t="s">
        <v>5411</v>
      </c>
      <c r="B5020" t="s">
        <v>16</v>
      </c>
      <c r="C5020" t="s">
        <v>17</v>
      </c>
      <c r="D5020">
        <v>86880000</v>
      </c>
      <c r="E5020">
        <v>86883999</v>
      </c>
      <c r="F5020" t="s">
        <v>4558</v>
      </c>
      <c r="G5020" t="str">
        <f t="shared" si="156"/>
        <v>PRI II</v>
      </c>
      <c r="H5020" t="s">
        <v>4294</v>
      </c>
      <c r="I5020" t="s">
        <v>20</v>
      </c>
      <c r="J5020" t="s">
        <v>64</v>
      </c>
      <c r="K5020" s="6">
        <v>0.03</v>
      </c>
      <c r="L5020" s="7">
        <f t="shared" si="157"/>
        <v>2E-3</v>
      </c>
      <c r="M5020" s="7">
        <v>3.0000000000000001E-3</v>
      </c>
      <c r="N5020">
        <v>11</v>
      </c>
      <c r="O5020" s="8">
        <v>19.127752698369598</v>
      </c>
      <c r="P5020" s="9">
        <v>19.127752698369598</v>
      </c>
      <c r="Q5020" s="9">
        <v>19.127752698369598</v>
      </c>
      <c r="R5020" s="9">
        <v>19.588754687607715</v>
      </c>
      <c r="S5020" s="9">
        <v>19.892211826137899</v>
      </c>
      <c r="T5020" s="9">
        <v>20.64455772606674</v>
      </c>
      <c r="U5020" s="9">
        <v>22.020224218035128</v>
      </c>
      <c r="V5020" s="9">
        <v>22.020224218035128</v>
      </c>
      <c r="W5020" s="9">
        <v>22.020224218035128</v>
      </c>
      <c r="X5020" s="9">
        <v>24.004435739730138</v>
      </c>
      <c r="Y5020" s="9">
        <v>24.004435739730138</v>
      </c>
      <c r="Z5020" s="9">
        <v>26.075582265671787</v>
      </c>
      <c r="AA5020" s="9">
        <v>26.075582265671787</v>
      </c>
      <c r="AB5020" s="9">
        <v>28.242357296284759</v>
      </c>
      <c r="AC5020" s="9">
        <v>28.242357296284759</v>
      </c>
      <c r="AD5020" s="9">
        <v>32.278785457330969</v>
      </c>
      <c r="AE5020" s="9">
        <v>34.228944830548365</v>
      </c>
      <c r="AF5020" s="9">
        <v>36.293711230319367</v>
      </c>
      <c r="AG5020" s="9">
        <v>36.293711230319367</v>
      </c>
      <c r="AH5020" s="9">
        <v>39.230142171980006</v>
      </c>
      <c r="AI5020" s="9">
        <v>41.357809622501556</v>
      </c>
      <c r="AJ5020" s="9">
        <v>3.0428788910505911</v>
      </c>
    </row>
    <row r="5021" spans="1:36" x14ac:dyDescent="0.25">
      <c r="A5021" t="s">
        <v>5411</v>
      </c>
      <c r="B5021" t="s">
        <v>16</v>
      </c>
      <c r="C5021" t="s">
        <v>17</v>
      </c>
      <c r="D5021">
        <v>86884000</v>
      </c>
      <c r="E5021">
        <v>86889999</v>
      </c>
      <c r="F5021" t="s">
        <v>1485</v>
      </c>
      <c r="G5021" t="str">
        <f t="shared" si="156"/>
        <v>PRI II</v>
      </c>
      <c r="H5021" t="s">
        <v>4294</v>
      </c>
      <c r="I5021" t="s">
        <v>20</v>
      </c>
      <c r="J5021" t="s">
        <v>64</v>
      </c>
      <c r="K5021" s="6">
        <v>0.03</v>
      </c>
      <c r="L5021" s="7">
        <f t="shared" si="157"/>
        <v>2E-3</v>
      </c>
      <c r="M5021" s="7">
        <v>3.0000000000000001E-3</v>
      </c>
      <c r="N5021">
        <v>11</v>
      </c>
      <c r="O5021" s="8">
        <v>19.127752698369598</v>
      </c>
      <c r="P5021" s="9">
        <v>19.127752698369598</v>
      </c>
      <c r="Q5021" s="9">
        <v>19.127752698369598</v>
      </c>
      <c r="R5021" s="9">
        <v>19.588754687607715</v>
      </c>
      <c r="S5021" s="9">
        <v>19.892211826137899</v>
      </c>
      <c r="T5021" s="9">
        <v>20.64455772606674</v>
      </c>
      <c r="U5021" s="9">
        <v>22.020224218035128</v>
      </c>
      <c r="V5021" s="9">
        <v>22.020224218035128</v>
      </c>
      <c r="W5021" s="9">
        <v>22.020224218035128</v>
      </c>
      <c r="X5021" s="9">
        <v>24.004435739730138</v>
      </c>
      <c r="Y5021" s="9">
        <v>24.004435739730138</v>
      </c>
      <c r="Z5021" s="9">
        <v>26.075582265671787</v>
      </c>
      <c r="AA5021" s="9">
        <v>26.075582265671787</v>
      </c>
      <c r="AB5021" s="9">
        <v>28.242357296284759</v>
      </c>
      <c r="AC5021" s="9">
        <v>28.242357296284759</v>
      </c>
      <c r="AD5021" s="9">
        <v>32.278785457330969</v>
      </c>
      <c r="AE5021" s="9">
        <v>34.228944830548365</v>
      </c>
      <c r="AF5021" s="9">
        <v>36.293711230319367</v>
      </c>
      <c r="AG5021" s="9">
        <v>36.293711230319367</v>
      </c>
      <c r="AH5021" s="9">
        <v>39.230142171980006</v>
      </c>
      <c r="AI5021" s="9">
        <v>41.357809622501556</v>
      </c>
      <c r="AJ5021" s="9">
        <v>3.0428788910505911</v>
      </c>
    </row>
    <row r="5022" spans="1:36" x14ac:dyDescent="0.25">
      <c r="A5022" t="s">
        <v>5411</v>
      </c>
      <c r="B5022" t="s">
        <v>16</v>
      </c>
      <c r="C5022" t="s">
        <v>17</v>
      </c>
      <c r="D5022">
        <v>86890000</v>
      </c>
      <c r="E5022">
        <v>86894999</v>
      </c>
      <c r="F5022" t="s">
        <v>4559</v>
      </c>
      <c r="G5022" t="str">
        <f t="shared" si="156"/>
        <v>PRI II</v>
      </c>
      <c r="H5022" t="s">
        <v>4294</v>
      </c>
      <c r="I5022" t="s">
        <v>20</v>
      </c>
      <c r="J5022" t="s">
        <v>64</v>
      </c>
      <c r="K5022" s="6">
        <v>0.03</v>
      </c>
      <c r="L5022" s="7">
        <f t="shared" si="157"/>
        <v>2E-3</v>
      </c>
      <c r="M5022" s="7">
        <v>3.0000000000000001E-3</v>
      </c>
      <c r="N5022">
        <v>11</v>
      </c>
      <c r="O5022" s="8">
        <v>19.127752698369598</v>
      </c>
      <c r="P5022" s="9">
        <v>19.127752698369598</v>
      </c>
      <c r="Q5022" s="9">
        <v>19.127752698369598</v>
      </c>
      <c r="R5022" s="9">
        <v>19.588754687607715</v>
      </c>
      <c r="S5022" s="9">
        <v>19.892211826137899</v>
      </c>
      <c r="T5022" s="9">
        <v>20.64455772606674</v>
      </c>
      <c r="U5022" s="9">
        <v>22.020224218035128</v>
      </c>
      <c r="V5022" s="9">
        <v>22.020224218035128</v>
      </c>
      <c r="W5022" s="9">
        <v>22.020224218035128</v>
      </c>
      <c r="X5022" s="9">
        <v>24.004435739730138</v>
      </c>
      <c r="Y5022" s="9">
        <v>24.004435739730138</v>
      </c>
      <c r="Z5022" s="9">
        <v>26.075582265671787</v>
      </c>
      <c r="AA5022" s="9">
        <v>26.075582265671787</v>
      </c>
      <c r="AB5022" s="9">
        <v>28.242357296284759</v>
      </c>
      <c r="AC5022" s="9">
        <v>28.242357296284759</v>
      </c>
      <c r="AD5022" s="9">
        <v>32.278785457330969</v>
      </c>
      <c r="AE5022" s="9">
        <v>34.228944830548365</v>
      </c>
      <c r="AF5022" s="9">
        <v>36.293711230319367</v>
      </c>
      <c r="AG5022" s="9">
        <v>36.293711230319367</v>
      </c>
      <c r="AH5022" s="9">
        <v>39.230142171980006</v>
      </c>
      <c r="AI5022" s="9">
        <v>41.357809622501556</v>
      </c>
      <c r="AJ5022" s="9">
        <v>3.0428788910505911</v>
      </c>
    </row>
    <row r="5023" spans="1:36" x14ac:dyDescent="0.25">
      <c r="A5023" t="s">
        <v>5411</v>
      </c>
      <c r="B5023" t="s">
        <v>16</v>
      </c>
      <c r="C5023" t="s">
        <v>17</v>
      </c>
      <c r="D5023">
        <v>86895000</v>
      </c>
      <c r="E5023">
        <v>86899999</v>
      </c>
      <c r="F5023" t="s">
        <v>4560</v>
      </c>
      <c r="G5023" t="str">
        <f t="shared" si="156"/>
        <v>PRI II</v>
      </c>
      <c r="H5023" t="s">
        <v>4294</v>
      </c>
      <c r="I5023" t="s">
        <v>20</v>
      </c>
      <c r="J5023" t="s">
        <v>64</v>
      </c>
      <c r="K5023" s="6">
        <v>0.03</v>
      </c>
      <c r="L5023" s="7">
        <f t="shared" si="157"/>
        <v>2E-3</v>
      </c>
      <c r="M5023" s="7">
        <v>3.0000000000000001E-3</v>
      </c>
      <c r="N5023">
        <v>11</v>
      </c>
      <c r="O5023" s="8">
        <v>19.127752698369598</v>
      </c>
      <c r="P5023" s="9">
        <v>19.127752698369598</v>
      </c>
      <c r="Q5023" s="9">
        <v>19.127752698369598</v>
      </c>
      <c r="R5023" s="9">
        <v>19.588754687607715</v>
      </c>
      <c r="S5023" s="9">
        <v>19.892211826137899</v>
      </c>
      <c r="T5023" s="9">
        <v>20.64455772606674</v>
      </c>
      <c r="U5023" s="9">
        <v>22.020224218035128</v>
      </c>
      <c r="V5023" s="9">
        <v>22.020224218035128</v>
      </c>
      <c r="W5023" s="9">
        <v>22.020224218035128</v>
      </c>
      <c r="X5023" s="9">
        <v>24.004435739730138</v>
      </c>
      <c r="Y5023" s="9">
        <v>24.004435739730138</v>
      </c>
      <c r="Z5023" s="9">
        <v>26.075582265671787</v>
      </c>
      <c r="AA5023" s="9">
        <v>26.075582265671787</v>
      </c>
      <c r="AB5023" s="9">
        <v>28.242357296284759</v>
      </c>
      <c r="AC5023" s="9">
        <v>28.242357296284759</v>
      </c>
      <c r="AD5023" s="9">
        <v>32.278785457330969</v>
      </c>
      <c r="AE5023" s="9">
        <v>34.228944830548365</v>
      </c>
      <c r="AF5023" s="9">
        <v>36.293711230319367</v>
      </c>
      <c r="AG5023" s="9">
        <v>36.293711230319367</v>
      </c>
      <c r="AH5023" s="9">
        <v>39.230142171980006</v>
      </c>
      <c r="AI5023" s="9">
        <v>41.357809622501556</v>
      </c>
      <c r="AJ5023" s="9">
        <v>3.0428788910505911</v>
      </c>
    </row>
    <row r="5024" spans="1:36" x14ac:dyDescent="0.25">
      <c r="A5024" t="s">
        <v>5411</v>
      </c>
      <c r="B5024" t="s">
        <v>16</v>
      </c>
      <c r="C5024" t="s">
        <v>17</v>
      </c>
      <c r="D5024">
        <v>86900000</v>
      </c>
      <c r="E5024">
        <v>86909999</v>
      </c>
      <c r="F5024" t="s">
        <v>4561</v>
      </c>
      <c r="G5024" t="str">
        <f t="shared" si="156"/>
        <v>PRI II</v>
      </c>
      <c r="H5024" t="s">
        <v>4294</v>
      </c>
      <c r="I5024" t="s">
        <v>20</v>
      </c>
      <c r="J5024" t="s">
        <v>64</v>
      </c>
      <c r="K5024" s="6">
        <v>0.03</v>
      </c>
      <c r="L5024" s="7">
        <f t="shared" si="157"/>
        <v>2E-3</v>
      </c>
      <c r="M5024" s="7">
        <v>3.0000000000000001E-3</v>
      </c>
      <c r="N5024">
        <v>11</v>
      </c>
      <c r="O5024" s="8">
        <v>19.127752698369598</v>
      </c>
      <c r="P5024" s="9">
        <v>19.127752698369598</v>
      </c>
      <c r="Q5024" s="9">
        <v>19.127752698369598</v>
      </c>
      <c r="R5024" s="9">
        <v>19.588754687607715</v>
      </c>
      <c r="S5024" s="9">
        <v>19.892211826137899</v>
      </c>
      <c r="T5024" s="9">
        <v>20.64455772606674</v>
      </c>
      <c r="U5024" s="9">
        <v>22.020224218035128</v>
      </c>
      <c r="V5024" s="9">
        <v>22.020224218035128</v>
      </c>
      <c r="W5024" s="9">
        <v>22.020224218035128</v>
      </c>
      <c r="X5024" s="9">
        <v>24.004435739730138</v>
      </c>
      <c r="Y5024" s="9">
        <v>24.004435739730138</v>
      </c>
      <c r="Z5024" s="9">
        <v>26.075582265671787</v>
      </c>
      <c r="AA5024" s="9">
        <v>26.075582265671787</v>
      </c>
      <c r="AB5024" s="9">
        <v>28.242357296284759</v>
      </c>
      <c r="AC5024" s="9">
        <v>28.242357296284759</v>
      </c>
      <c r="AD5024" s="9">
        <v>32.278785457330969</v>
      </c>
      <c r="AE5024" s="9">
        <v>34.228944830548365</v>
      </c>
      <c r="AF5024" s="9">
        <v>36.293711230319367</v>
      </c>
      <c r="AG5024" s="9">
        <v>36.293711230319367</v>
      </c>
      <c r="AH5024" s="9">
        <v>39.230142171980006</v>
      </c>
      <c r="AI5024" s="9">
        <v>41.357809622501556</v>
      </c>
      <c r="AJ5024" s="9">
        <v>3.0428788910505911</v>
      </c>
    </row>
    <row r="5025" spans="1:36" x14ac:dyDescent="0.25">
      <c r="A5025" t="s">
        <v>5411</v>
      </c>
      <c r="B5025" t="s">
        <v>16</v>
      </c>
      <c r="C5025" t="s">
        <v>17</v>
      </c>
      <c r="D5025">
        <v>86910000</v>
      </c>
      <c r="E5025">
        <v>86919999</v>
      </c>
      <c r="F5025" t="s">
        <v>4562</v>
      </c>
      <c r="G5025" t="str">
        <f t="shared" si="156"/>
        <v>PRI II</v>
      </c>
      <c r="H5025" t="s">
        <v>4294</v>
      </c>
      <c r="I5025" t="s">
        <v>20</v>
      </c>
      <c r="J5025" t="s">
        <v>64</v>
      </c>
      <c r="K5025" s="6">
        <v>0.03</v>
      </c>
      <c r="L5025" s="7">
        <f t="shared" si="157"/>
        <v>2E-3</v>
      </c>
      <c r="M5025" s="7">
        <v>3.0000000000000001E-3</v>
      </c>
      <c r="N5025">
        <v>11</v>
      </c>
      <c r="O5025" s="8">
        <v>19.127752698369598</v>
      </c>
      <c r="P5025" s="9">
        <v>19.127752698369598</v>
      </c>
      <c r="Q5025" s="9">
        <v>19.127752698369598</v>
      </c>
      <c r="R5025" s="9">
        <v>19.588754687607715</v>
      </c>
      <c r="S5025" s="9">
        <v>19.892211826137899</v>
      </c>
      <c r="T5025" s="9">
        <v>20.64455772606674</v>
      </c>
      <c r="U5025" s="9">
        <v>22.020224218035128</v>
      </c>
      <c r="V5025" s="9">
        <v>22.020224218035128</v>
      </c>
      <c r="W5025" s="9">
        <v>22.020224218035128</v>
      </c>
      <c r="X5025" s="9">
        <v>24.004435739730138</v>
      </c>
      <c r="Y5025" s="9">
        <v>24.004435739730138</v>
      </c>
      <c r="Z5025" s="9">
        <v>26.075582265671787</v>
      </c>
      <c r="AA5025" s="9">
        <v>26.075582265671787</v>
      </c>
      <c r="AB5025" s="9">
        <v>28.242357296284759</v>
      </c>
      <c r="AC5025" s="9">
        <v>28.242357296284759</v>
      </c>
      <c r="AD5025" s="9">
        <v>32.278785457330969</v>
      </c>
      <c r="AE5025" s="9">
        <v>34.228944830548365</v>
      </c>
      <c r="AF5025" s="9">
        <v>36.293711230319367</v>
      </c>
      <c r="AG5025" s="9">
        <v>36.293711230319367</v>
      </c>
      <c r="AH5025" s="9">
        <v>39.230142171980006</v>
      </c>
      <c r="AI5025" s="9">
        <v>41.357809622501556</v>
      </c>
      <c r="AJ5025" s="9">
        <v>3.0428788910505911</v>
      </c>
    </row>
    <row r="5026" spans="1:36" x14ac:dyDescent="0.25">
      <c r="A5026" t="s">
        <v>5411</v>
      </c>
      <c r="B5026" t="s">
        <v>16</v>
      </c>
      <c r="C5026" t="s">
        <v>17</v>
      </c>
      <c r="D5026">
        <v>86920000</v>
      </c>
      <c r="E5026">
        <v>86924999</v>
      </c>
      <c r="F5026" t="s">
        <v>4563</v>
      </c>
      <c r="G5026" t="str">
        <f t="shared" si="156"/>
        <v>PRI II</v>
      </c>
      <c r="H5026" t="s">
        <v>4294</v>
      </c>
      <c r="I5026" t="s">
        <v>20</v>
      </c>
      <c r="J5026" t="s">
        <v>64</v>
      </c>
      <c r="K5026" s="6">
        <v>0.03</v>
      </c>
      <c r="L5026" s="7">
        <f t="shared" si="157"/>
        <v>2E-3</v>
      </c>
      <c r="M5026" s="7">
        <v>3.0000000000000001E-3</v>
      </c>
      <c r="N5026">
        <v>11</v>
      </c>
      <c r="O5026" s="8">
        <v>19.127752698369598</v>
      </c>
      <c r="P5026" s="9">
        <v>19.127752698369598</v>
      </c>
      <c r="Q5026" s="9">
        <v>19.127752698369598</v>
      </c>
      <c r="R5026" s="9">
        <v>19.588754687607715</v>
      </c>
      <c r="S5026" s="9">
        <v>19.892211826137899</v>
      </c>
      <c r="T5026" s="9">
        <v>20.64455772606674</v>
      </c>
      <c r="U5026" s="9">
        <v>22.020224218035128</v>
      </c>
      <c r="V5026" s="9">
        <v>22.020224218035128</v>
      </c>
      <c r="W5026" s="9">
        <v>22.020224218035128</v>
      </c>
      <c r="X5026" s="9">
        <v>24.004435739730138</v>
      </c>
      <c r="Y5026" s="9">
        <v>24.004435739730138</v>
      </c>
      <c r="Z5026" s="9">
        <v>26.075582265671787</v>
      </c>
      <c r="AA5026" s="9">
        <v>26.075582265671787</v>
      </c>
      <c r="AB5026" s="9">
        <v>28.242357296284759</v>
      </c>
      <c r="AC5026" s="9">
        <v>28.242357296284759</v>
      </c>
      <c r="AD5026" s="9">
        <v>32.278785457330969</v>
      </c>
      <c r="AE5026" s="9">
        <v>34.228944830548365</v>
      </c>
      <c r="AF5026" s="9">
        <v>36.293711230319367</v>
      </c>
      <c r="AG5026" s="9">
        <v>36.293711230319367</v>
      </c>
      <c r="AH5026" s="9">
        <v>39.230142171980006</v>
      </c>
      <c r="AI5026" s="9">
        <v>41.357809622501556</v>
      </c>
      <c r="AJ5026" s="9">
        <v>3.0428788910505911</v>
      </c>
    </row>
    <row r="5027" spans="1:36" x14ac:dyDescent="0.25">
      <c r="A5027" t="s">
        <v>5411</v>
      </c>
      <c r="B5027" t="s">
        <v>16</v>
      </c>
      <c r="C5027" t="s">
        <v>17</v>
      </c>
      <c r="D5027">
        <v>86925000</v>
      </c>
      <c r="E5027">
        <v>86929999</v>
      </c>
      <c r="F5027" t="s">
        <v>4564</v>
      </c>
      <c r="G5027" t="str">
        <f t="shared" si="156"/>
        <v>PRI II</v>
      </c>
      <c r="H5027" t="s">
        <v>4294</v>
      </c>
      <c r="I5027" t="s">
        <v>20</v>
      </c>
      <c r="J5027" t="s">
        <v>64</v>
      </c>
      <c r="K5027" s="6">
        <v>0.03</v>
      </c>
      <c r="L5027" s="7">
        <f t="shared" si="157"/>
        <v>2E-3</v>
      </c>
      <c r="M5027" s="7">
        <v>3.0000000000000001E-3</v>
      </c>
      <c r="N5027">
        <v>11</v>
      </c>
      <c r="O5027" s="8">
        <v>19.127752698369598</v>
      </c>
      <c r="P5027" s="9">
        <v>19.127752698369598</v>
      </c>
      <c r="Q5027" s="9">
        <v>19.127752698369598</v>
      </c>
      <c r="R5027" s="9">
        <v>19.588754687607715</v>
      </c>
      <c r="S5027" s="9">
        <v>19.892211826137899</v>
      </c>
      <c r="T5027" s="9">
        <v>20.64455772606674</v>
      </c>
      <c r="U5027" s="9">
        <v>22.020224218035128</v>
      </c>
      <c r="V5027" s="9">
        <v>22.020224218035128</v>
      </c>
      <c r="W5027" s="9">
        <v>22.020224218035128</v>
      </c>
      <c r="X5027" s="9">
        <v>24.004435739730138</v>
      </c>
      <c r="Y5027" s="9">
        <v>24.004435739730138</v>
      </c>
      <c r="Z5027" s="9">
        <v>26.075582265671787</v>
      </c>
      <c r="AA5027" s="9">
        <v>26.075582265671787</v>
      </c>
      <c r="AB5027" s="9">
        <v>28.242357296284759</v>
      </c>
      <c r="AC5027" s="9">
        <v>28.242357296284759</v>
      </c>
      <c r="AD5027" s="9">
        <v>32.278785457330969</v>
      </c>
      <c r="AE5027" s="9">
        <v>34.228944830548365</v>
      </c>
      <c r="AF5027" s="9">
        <v>36.293711230319367</v>
      </c>
      <c r="AG5027" s="9">
        <v>36.293711230319367</v>
      </c>
      <c r="AH5027" s="9">
        <v>39.230142171980006</v>
      </c>
      <c r="AI5027" s="9">
        <v>41.357809622501556</v>
      </c>
      <c r="AJ5027" s="9">
        <v>3.0428788910505911</v>
      </c>
    </row>
    <row r="5028" spans="1:36" x14ac:dyDescent="0.25">
      <c r="A5028" t="s">
        <v>5411</v>
      </c>
      <c r="B5028" t="s">
        <v>16</v>
      </c>
      <c r="C5028" t="s">
        <v>17</v>
      </c>
      <c r="D5028">
        <v>86930000</v>
      </c>
      <c r="E5028">
        <v>86934999</v>
      </c>
      <c r="F5028" t="s">
        <v>4565</v>
      </c>
      <c r="G5028" t="str">
        <f t="shared" si="156"/>
        <v>PRI II</v>
      </c>
      <c r="H5028" t="s">
        <v>4294</v>
      </c>
      <c r="I5028" t="s">
        <v>20</v>
      </c>
      <c r="J5028" t="s">
        <v>64</v>
      </c>
      <c r="K5028" s="6">
        <v>0.03</v>
      </c>
      <c r="L5028" s="7">
        <f t="shared" si="157"/>
        <v>2E-3</v>
      </c>
      <c r="M5028" s="7">
        <v>3.0000000000000001E-3</v>
      </c>
      <c r="N5028">
        <v>11</v>
      </c>
      <c r="O5028" s="8">
        <v>19.127752698369598</v>
      </c>
      <c r="P5028" s="9">
        <v>19.127752698369598</v>
      </c>
      <c r="Q5028" s="9">
        <v>19.127752698369598</v>
      </c>
      <c r="R5028" s="9">
        <v>19.588754687607715</v>
      </c>
      <c r="S5028" s="9">
        <v>19.892211826137899</v>
      </c>
      <c r="T5028" s="9">
        <v>20.64455772606674</v>
      </c>
      <c r="U5028" s="9">
        <v>22.020224218035128</v>
      </c>
      <c r="V5028" s="9">
        <v>22.020224218035128</v>
      </c>
      <c r="W5028" s="9">
        <v>22.020224218035128</v>
      </c>
      <c r="X5028" s="9">
        <v>24.004435739730138</v>
      </c>
      <c r="Y5028" s="9">
        <v>24.004435739730138</v>
      </c>
      <c r="Z5028" s="9">
        <v>26.075582265671787</v>
      </c>
      <c r="AA5028" s="9">
        <v>26.075582265671787</v>
      </c>
      <c r="AB5028" s="9">
        <v>28.242357296284759</v>
      </c>
      <c r="AC5028" s="9">
        <v>28.242357296284759</v>
      </c>
      <c r="AD5028" s="9">
        <v>32.278785457330969</v>
      </c>
      <c r="AE5028" s="9">
        <v>34.228944830548365</v>
      </c>
      <c r="AF5028" s="9">
        <v>36.293711230319367</v>
      </c>
      <c r="AG5028" s="9">
        <v>36.293711230319367</v>
      </c>
      <c r="AH5028" s="9">
        <v>39.230142171980006</v>
      </c>
      <c r="AI5028" s="9">
        <v>41.357809622501556</v>
      </c>
      <c r="AJ5028" s="9">
        <v>3.0428788910505911</v>
      </c>
    </row>
    <row r="5029" spans="1:36" x14ac:dyDescent="0.25">
      <c r="A5029" t="s">
        <v>5411</v>
      </c>
      <c r="B5029" t="s">
        <v>16</v>
      </c>
      <c r="C5029" t="s">
        <v>17</v>
      </c>
      <c r="D5029">
        <v>86935000</v>
      </c>
      <c r="E5029">
        <v>86937999</v>
      </c>
      <c r="F5029" t="s">
        <v>4566</v>
      </c>
      <c r="G5029" t="str">
        <f t="shared" si="156"/>
        <v>PRI II</v>
      </c>
      <c r="H5029" t="s">
        <v>4294</v>
      </c>
      <c r="I5029" t="s">
        <v>20</v>
      </c>
      <c r="J5029" t="s">
        <v>64</v>
      </c>
      <c r="K5029" s="6">
        <v>0.03</v>
      </c>
      <c r="L5029" s="7">
        <f t="shared" si="157"/>
        <v>2E-3</v>
      </c>
      <c r="M5029" s="7">
        <v>3.0000000000000001E-3</v>
      </c>
      <c r="N5029">
        <v>11</v>
      </c>
      <c r="O5029" s="8">
        <v>19.127752698369598</v>
      </c>
      <c r="P5029" s="9">
        <v>19.127752698369598</v>
      </c>
      <c r="Q5029" s="9">
        <v>19.127752698369598</v>
      </c>
      <c r="R5029" s="9">
        <v>19.588754687607715</v>
      </c>
      <c r="S5029" s="9">
        <v>19.892211826137899</v>
      </c>
      <c r="T5029" s="9">
        <v>20.64455772606674</v>
      </c>
      <c r="U5029" s="9">
        <v>22.020224218035128</v>
      </c>
      <c r="V5029" s="9">
        <v>22.020224218035128</v>
      </c>
      <c r="W5029" s="9">
        <v>22.020224218035128</v>
      </c>
      <c r="X5029" s="9">
        <v>24.004435739730138</v>
      </c>
      <c r="Y5029" s="9">
        <v>24.004435739730138</v>
      </c>
      <c r="Z5029" s="9">
        <v>26.075582265671787</v>
      </c>
      <c r="AA5029" s="9">
        <v>26.075582265671787</v>
      </c>
      <c r="AB5029" s="9">
        <v>28.242357296284759</v>
      </c>
      <c r="AC5029" s="9">
        <v>28.242357296284759</v>
      </c>
      <c r="AD5029" s="9">
        <v>32.278785457330969</v>
      </c>
      <c r="AE5029" s="9">
        <v>34.228944830548365</v>
      </c>
      <c r="AF5029" s="9">
        <v>36.293711230319367</v>
      </c>
      <c r="AG5029" s="9">
        <v>36.293711230319367</v>
      </c>
      <c r="AH5029" s="9">
        <v>39.230142171980006</v>
      </c>
      <c r="AI5029" s="9">
        <v>41.357809622501556</v>
      </c>
      <c r="AJ5029" s="9">
        <v>3.0428788910505911</v>
      </c>
    </row>
    <row r="5030" spans="1:36" x14ac:dyDescent="0.25">
      <c r="A5030" t="s">
        <v>5411</v>
      </c>
      <c r="B5030" t="s">
        <v>16</v>
      </c>
      <c r="C5030" t="s">
        <v>17</v>
      </c>
      <c r="D5030">
        <v>86938000</v>
      </c>
      <c r="E5030">
        <v>86939999</v>
      </c>
      <c r="F5030" t="s">
        <v>4567</v>
      </c>
      <c r="G5030" t="str">
        <f t="shared" si="156"/>
        <v>PRI II</v>
      </c>
      <c r="H5030" t="s">
        <v>4294</v>
      </c>
      <c r="I5030" t="s">
        <v>20</v>
      </c>
      <c r="J5030" t="s">
        <v>64</v>
      </c>
      <c r="K5030" s="6">
        <v>0.03</v>
      </c>
      <c r="L5030" s="7">
        <f t="shared" si="157"/>
        <v>2E-3</v>
      </c>
      <c r="M5030" s="7">
        <v>3.0000000000000001E-3</v>
      </c>
      <c r="N5030">
        <v>11</v>
      </c>
      <c r="O5030" s="8">
        <v>19.127752698369598</v>
      </c>
      <c r="P5030" s="9">
        <v>19.127752698369598</v>
      </c>
      <c r="Q5030" s="9">
        <v>19.127752698369598</v>
      </c>
      <c r="R5030" s="9">
        <v>19.588754687607715</v>
      </c>
      <c r="S5030" s="9">
        <v>19.892211826137899</v>
      </c>
      <c r="T5030" s="9">
        <v>20.64455772606674</v>
      </c>
      <c r="U5030" s="9">
        <v>22.020224218035128</v>
      </c>
      <c r="V5030" s="9">
        <v>22.020224218035128</v>
      </c>
      <c r="W5030" s="9">
        <v>22.020224218035128</v>
      </c>
      <c r="X5030" s="9">
        <v>24.004435739730138</v>
      </c>
      <c r="Y5030" s="9">
        <v>24.004435739730138</v>
      </c>
      <c r="Z5030" s="9">
        <v>26.075582265671787</v>
      </c>
      <c r="AA5030" s="9">
        <v>26.075582265671787</v>
      </c>
      <c r="AB5030" s="9">
        <v>28.242357296284759</v>
      </c>
      <c r="AC5030" s="9">
        <v>28.242357296284759</v>
      </c>
      <c r="AD5030" s="9">
        <v>32.278785457330969</v>
      </c>
      <c r="AE5030" s="9">
        <v>34.228944830548365</v>
      </c>
      <c r="AF5030" s="9">
        <v>36.293711230319367</v>
      </c>
      <c r="AG5030" s="9">
        <v>36.293711230319367</v>
      </c>
      <c r="AH5030" s="9">
        <v>39.230142171980006</v>
      </c>
      <c r="AI5030" s="9">
        <v>41.357809622501556</v>
      </c>
      <c r="AJ5030" s="9">
        <v>3.0428788910505911</v>
      </c>
    </row>
    <row r="5031" spans="1:36" x14ac:dyDescent="0.25">
      <c r="A5031" t="s">
        <v>5411</v>
      </c>
      <c r="B5031" t="s">
        <v>16</v>
      </c>
      <c r="C5031" t="s">
        <v>17</v>
      </c>
      <c r="D5031">
        <v>86940000</v>
      </c>
      <c r="E5031">
        <v>86944999</v>
      </c>
      <c r="F5031" t="s">
        <v>1256</v>
      </c>
      <c r="G5031" t="str">
        <f t="shared" si="156"/>
        <v>PRI II</v>
      </c>
      <c r="H5031" t="s">
        <v>4294</v>
      </c>
      <c r="I5031" t="s">
        <v>20</v>
      </c>
      <c r="J5031" t="s">
        <v>64</v>
      </c>
      <c r="K5031" s="6">
        <v>0.03</v>
      </c>
      <c r="L5031" s="7">
        <f t="shared" si="157"/>
        <v>2E-3</v>
      </c>
      <c r="M5031" s="7">
        <v>3.0000000000000001E-3</v>
      </c>
      <c r="N5031">
        <v>11</v>
      </c>
      <c r="O5031" s="8">
        <v>19.127752698369598</v>
      </c>
      <c r="P5031" s="9">
        <v>19.127752698369598</v>
      </c>
      <c r="Q5031" s="9">
        <v>19.127752698369598</v>
      </c>
      <c r="R5031" s="9">
        <v>19.588754687607715</v>
      </c>
      <c r="S5031" s="9">
        <v>19.892211826137899</v>
      </c>
      <c r="T5031" s="9">
        <v>20.64455772606674</v>
      </c>
      <c r="U5031" s="9">
        <v>22.020224218035128</v>
      </c>
      <c r="V5031" s="9">
        <v>22.020224218035128</v>
      </c>
      <c r="W5031" s="9">
        <v>22.020224218035128</v>
      </c>
      <c r="X5031" s="9">
        <v>24.004435739730138</v>
      </c>
      <c r="Y5031" s="9">
        <v>24.004435739730138</v>
      </c>
      <c r="Z5031" s="9">
        <v>26.075582265671787</v>
      </c>
      <c r="AA5031" s="9">
        <v>26.075582265671787</v>
      </c>
      <c r="AB5031" s="9">
        <v>28.242357296284759</v>
      </c>
      <c r="AC5031" s="9">
        <v>28.242357296284759</v>
      </c>
      <c r="AD5031" s="9">
        <v>32.278785457330969</v>
      </c>
      <c r="AE5031" s="9">
        <v>34.228944830548365</v>
      </c>
      <c r="AF5031" s="9">
        <v>36.293711230319367</v>
      </c>
      <c r="AG5031" s="9">
        <v>36.293711230319367</v>
      </c>
      <c r="AH5031" s="9">
        <v>39.230142171980006</v>
      </c>
      <c r="AI5031" s="9">
        <v>41.357809622501556</v>
      </c>
      <c r="AJ5031" s="9">
        <v>3.0428788910505911</v>
      </c>
    </row>
    <row r="5032" spans="1:36" x14ac:dyDescent="0.25">
      <c r="A5032" t="s">
        <v>5411</v>
      </c>
      <c r="B5032" t="s">
        <v>16</v>
      </c>
      <c r="C5032" t="s">
        <v>17</v>
      </c>
      <c r="D5032">
        <v>86945000</v>
      </c>
      <c r="E5032">
        <v>86949999</v>
      </c>
      <c r="F5032" t="s">
        <v>4568</v>
      </c>
      <c r="G5032" t="str">
        <f t="shared" si="156"/>
        <v>PRI II</v>
      </c>
      <c r="H5032" t="s">
        <v>4294</v>
      </c>
      <c r="I5032" t="s">
        <v>20</v>
      </c>
      <c r="J5032" t="s">
        <v>64</v>
      </c>
      <c r="K5032" s="6">
        <v>0.03</v>
      </c>
      <c r="L5032" s="7">
        <f t="shared" si="157"/>
        <v>2E-3</v>
      </c>
      <c r="M5032" s="7">
        <v>3.0000000000000001E-3</v>
      </c>
      <c r="N5032">
        <v>11</v>
      </c>
      <c r="O5032" s="8">
        <v>19.127752698369598</v>
      </c>
      <c r="P5032" s="9">
        <v>19.127752698369598</v>
      </c>
      <c r="Q5032" s="9">
        <v>19.127752698369598</v>
      </c>
      <c r="R5032" s="9">
        <v>19.588754687607715</v>
      </c>
      <c r="S5032" s="9">
        <v>19.892211826137899</v>
      </c>
      <c r="T5032" s="9">
        <v>20.64455772606674</v>
      </c>
      <c r="U5032" s="9">
        <v>22.020224218035128</v>
      </c>
      <c r="V5032" s="9">
        <v>22.020224218035128</v>
      </c>
      <c r="W5032" s="9">
        <v>22.020224218035128</v>
      </c>
      <c r="X5032" s="9">
        <v>24.004435739730138</v>
      </c>
      <c r="Y5032" s="9">
        <v>24.004435739730138</v>
      </c>
      <c r="Z5032" s="9">
        <v>26.075582265671787</v>
      </c>
      <c r="AA5032" s="9">
        <v>26.075582265671787</v>
      </c>
      <c r="AB5032" s="9">
        <v>28.242357296284759</v>
      </c>
      <c r="AC5032" s="9">
        <v>28.242357296284759</v>
      </c>
      <c r="AD5032" s="9">
        <v>32.278785457330969</v>
      </c>
      <c r="AE5032" s="9">
        <v>34.228944830548365</v>
      </c>
      <c r="AF5032" s="9">
        <v>36.293711230319367</v>
      </c>
      <c r="AG5032" s="9">
        <v>36.293711230319367</v>
      </c>
      <c r="AH5032" s="9">
        <v>39.230142171980006</v>
      </c>
      <c r="AI5032" s="9">
        <v>41.357809622501556</v>
      </c>
      <c r="AJ5032" s="9">
        <v>3.0428788910505911</v>
      </c>
    </row>
    <row r="5033" spans="1:36" x14ac:dyDescent="0.25">
      <c r="A5033" t="s">
        <v>5411</v>
      </c>
      <c r="B5033" t="s">
        <v>16</v>
      </c>
      <c r="C5033" t="s">
        <v>17</v>
      </c>
      <c r="D5033">
        <v>86950000</v>
      </c>
      <c r="E5033">
        <v>86959999</v>
      </c>
      <c r="F5033" t="s">
        <v>4569</v>
      </c>
      <c r="G5033" t="str">
        <f t="shared" si="156"/>
        <v>PRI II</v>
      </c>
      <c r="H5033" t="s">
        <v>4294</v>
      </c>
      <c r="I5033" t="s">
        <v>20</v>
      </c>
      <c r="J5033" t="s">
        <v>64</v>
      </c>
      <c r="K5033" s="6">
        <v>0.03</v>
      </c>
      <c r="L5033" s="7">
        <f t="shared" si="157"/>
        <v>2E-3</v>
      </c>
      <c r="M5033" s="7">
        <v>3.0000000000000001E-3</v>
      </c>
      <c r="N5033">
        <v>11</v>
      </c>
      <c r="O5033" s="8">
        <v>19.127752698369598</v>
      </c>
      <c r="P5033" s="9">
        <v>19.127752698369598</v>
      </c>
      <c r="Q5033" s="9">
        <v>19.127752698369598</v>
      </c>
      <c r="R5033" s="9">
        <v>19.588754687607715</v>
      </c>
      <c r="S5033" s="9">
        <v>19.892211826137899</v>
      </c>
      <c r="T5033" s="9">
        <v>20.64455772606674</v>
      </c>
      <c r="U5033" s="9">
        <v>22.020224218035128</v>
      </c>
      <c r="V5033" s="9">
        <v>22.020224218035128</v>
      </c>
      <c r="W5033" s="9">
        <v>22.020224218035128</v>
      </c>
      <c r="X5033" s="9">
        <v>24.004435739730138</v>
      </c>
      <c r="Y5033" s="9">
        <v>24.004435739730138</v>
      </c>
      <c r="Z5033" s="9">
        <v>26.075582265671787</v>
      </c>
      <c r="AA5033" s="9">
        <v>26.075582265671787</v>
      </c>
      <c r="AB5033" s="9">
        <v>28.242357296284759</v>
      </c>
      <c r="AC5033" s="9">
        <v>28.242357296284759</v>
      </c>
      <c r="AD5033" s="9">
        <v>32.278785457330969</v>
      </c>
      <c r="AE5033" s="9">
        <v>34.228944830548365</v>
      </c>
      <c r="AF5033" s="9">
        <v>36.293711230319367</v>
      </c>
      <c r="AG5033" s="9">
        <v>36.293711230319367</v>
      </c>
      <c r="AH5033" s="9">
        <v>39.230142171980006</v>
      </c>
      <c r="AI5033" s="9">
        <v>41.357809622501556</v>
      </c>
      <c r="AJ5033" s="9">
        <v>3.0428788910505911</v>
      </c>
    </row>
    <row r="5034" spans="1:36" x14ac:dyDescent="0.25">
      <c r="A5034" t="s">
        <v>5411</v>
      </c>
      <c r="B5034" t="s">
        <v>16</v>
      </c>
      <c r="C5034" t="s">
        <v>17</v>
      </c>
      <c r="D5034">
        <v>86960000</v>
      </c>
      <c r="E5034">
        <v>86969999</v>
      </c>
      <c r="F5034" t="s">
        <v>4570</v>
      </c>
      <c r="G5034" t="str">
        <f t="shared" si="156"/>
        <v>PRI II</v>
      </c>
      <c r="H5034" t="s">
        <v>4294</v>
      </c>
      <c r="I5034" t="s">
        <v>20</v>
      </c>
      <c r="J5034" t="s">
        <v>64</v>
      </c>
      <c r="K5034" s="6">
        <v>0.03</v>
      </c>
      <c r="L5034" s="7">
        <f t="shared" si="157"/>
        <v>2E-3</v>
      </c>
      <c r="M5034" s="7">
        <v>3.0000000000000001E-3</v>
      </c>
      <c r="N5034">
        <v>11</v>
      </c>
      <c r="O5034" s="8">
        <v>19.127752698369598</v>
      </c>
      <c r="P5034" s="9">
        <v>19.127752698369598</v>
      </c>
      <c r="Q5034" s="9">
        <v>19.127752698369598</v>
      </c>
      <c r="R5034" s="9">
        <v>19.588754687607715</v>
      </c>
      <c r="S5034" s="9">
        <v>19.892211826137899</v>
      </c>
      <c r="T5034" s="9">
        <v>20.64455772606674</v>
      </c>
      <c r="U5034" s="9">
        <v>22.020224218035128</v>
      </c>
      <c r="V5034" s="9">
        <v>22.020224218035128</v>
      </c>
      <c r="W5034" s="9">
        <v>22.020224218035128</v>
      </c>
      <c r="X5034" s="9">
        <v>24.004435739730138</v>
      </c>
      <c r="Y5034" s="9">
        <v>24.004435739730138</v>
      </c>
      <c r="Z5034" s="9">
        <v>26.075582265671787</v>
      </c>
      <c r="AA5034" s="9">
        <v>26.075582265671787</v>
      </c>
      <c r="AB5034" s="9">
        <v>28.242357296284759</v>
      </c>
      <c r="AC5034" s="9">
        <v>28.242357296284759</v>
      </c>
      <c r="AD5034" s="9">
        <v>32.278785457330969</v>
      </c>
      <c r="AE5034" s="9">
        <v>34.228944830548365</v>
      </c>
      <c r="AF5034" s="9">
        <v>36.293711230319367</v>
      </c>
      <c r="AG5034" s="9">
        <v>36.293711230319367</v>
      </c>
      <c r="AH5034" s="9">
        <v>39.230142171980006</v>
      </c>
      <c r="AI5034" s="9">
        <v>41.357809622501556</v>
      </c>
      <c r="AJ5034" s="9">
        <v>3.0428788910505911</v>
      </c>
    </row>
    <row r="5035" spans="1:36" x14ac:dyDescent="0.25">
      <c r="A5035" t="s">
        <v>5411</v>
      </c>
      <c r="B5035" t="s">
        <v>16</v>
      </c>
      <c r="C5035" t="s">
        <v>17</v>
      </c>
      <c r="D5035">
        <v>86970000</v>
      </c>
      <c r="E5035">
        <v>86974999</v>
      </c>
      <c r="F5035" t="s">
        <v>4571</v>
      </c>
      <c r="G5035" t="str">
        <f t="shared" si="156"/>
        <v>PRI II</v>
      </c>
      <c r="H5035" t="s">
        <v>4294</v>
      </c>
      <c r="I5035" t="s">
        <v>20</v>
      </c>
      <c r="J5035" t="s">
        <v>64</v>
      </c>
      <c r="K5035" s="6">
        <v>0.03</v>
      </c>
      <c r="L5035" s="7">
        <f t="shared" si="157"/>
        <v>2E-3</v>
      </c>
      <c r="M5035" s="7">
        <v>3.0000000000000001E-3</v>
      </c>
      <c r="N5035">
        <v>11</v>
      </c>
      <c r="O5035" s="8">
        <v>19.127752698369598</v>
      </c>
      <c r="P5035" s="9">
        <v>19.127752698369598</v>
      </c>
      <c r="Q5035" s="9">
        <v>19.127752698369598</v>
      </c>
      <c r="R5035" s="9">
        <v>19.588754687607715</v>
      </c>
      <c r="S5035" s="9">
        <v>19.892211826137899</v>
      </c>
      <c r="T5035" s="9">
        <v>20.64455772606674</v>
      </c>
      <c r="U5035" s="9">
        <v>22.020224218035128</v>
      </c>
      <c r="V5035" s="9">
        <v>22.020224218035128</v>
      </c>
      <c r="W5035" s="9">
        <v>22.020224218035128</v>
      </c>
      <c r="X5035" s="9">
        <v>24.004435739730138</v>
      </c>
      <c r="Y5035" s="9">
        <v>24.004435739730138</v>
      </c>
      <c r="Z5035" s="9">
        <v>26.075582265671787</v>
      </c>
      <c r="AA5035" s="9">
        <v>26.075582265671787</v>
      </c>
      <c r="AB5035" s="9">
        <v>28.242357296284759</v>
      </c>
      <c r="AC5035" s="9">
        <v>28.242357296284759</v>
      </c>
      <c r="AD5035" s="9">
        <v>32.278785457330969</v>
      </c>
      <c r="AE5035" s="9">
        <v>34.228944830548365</v>
      </c>
      <c r="AF5035" s="9">
        <v>36.293711230319367</v>
      </c>
      <c r="AG5035" s="9">
        <v>36.293711230319367</v>
      </c>
      <c r="AH5035" s="9">
        <v>39.230142171980006</v>
      </c>
      <c r="AI5035" s="9">
        <v>41.357809622501556</v>
      </c>
      <c r="AJ5035" s="9">
        <v>3.0428788910505911</v>
      </c>
    </row>
    <row r="5036" spans="1:36" x14ac:dyDescent="0.25">
      <c r="A5036" t="s">
        <v>5411</v>
      </c>
      <c r="B5036" t="s">
        <v>16</v>
      </c>
      <c r="C5036" t="s">
        <v>17</v>
      </c>
      <c r="D5036">
        <v>86975000</v>
      </c>
      <c r="E5036">
        <v>86989999</v>
      </c>
      <c r="F5036" t="s">
        <v>4572</v>
      </c>
      <c r="G5036" t="str">
        <f t="shared" si="156"/>
        <v>PRI</v>
      </c>
      <c r="H5036" t="s">
        <v>4294</v>
      </c>
      <c r="I5036" t="s">
        <v>20</v>
      </c>
      <c r="J5036" t="s">
        <v>62</v>
      </c>
      <c r="K5036" s="6">
        <v>0.03</v>
      </c>
      <c r="L5036" s="7">
        <f t="shared" si="157"/>
        <v>2E-3</v>
      </c>
      <c r="M5036" s="7">
        <v>3.0000000000000001E-3</v>
      </c>
      <c r="N5036">
        <v>11</v>
      </c>
      <c r="O5036" s="8">
        <v>16.344178346561137</v>
      </c>
      <c r="P5036" s="9">
        <v>16.344178346561137</v>
      </c>
      <c r="Q5036" s="9">
        <v>16.344178346561137</v>
      </c>
      <c r="R5036" s="9">
        <v>16.766533722582309</v>
      </c>
      <c r="S5036" s="9">
        <v>17.709108795625173</v>
      </c>
      <c r="T5036" s="9">
        <v>18.545760454647645</v>
      </c>
      <c r="U5036" s="9">
        <v>20.10723313448154</v>
      </c>
      <c r="V5036" s="9">
        <v>20.10723313448154</v>
      </c>
      <c r="W5036" s="9">
        <v>20.10723313448154</v>
      </c>
      <c r="X5036" s="9">
        <v>21.240951506551678</v>
      </c>
      <c r="Y5036" s="9">
        <v>21.240951506551678</v>
      </c>
      <c r="Z5036" s="9">
        <v>22.557015615717738</v>
      </c>
      <c r="AA5036" s="9">
        <v>22.557015615717738</v>
      </c>
      <c r="AB5036" s="9">
        <v>26.056112270527457</v>
      </c>
      <c r="AC5036" s="9">
        <v>26.056112270527457</v>
      </c>
      <c r="AD5036" s="9">
        <v>30.142276170369946</v>
      </c>
      <c r="AE5036" s="9">
        <v>32.940531048263779</v>
      </c>
      <c r="AF5036" s="9">
        <v>35.920735279325392</v>
      </c>
      <c r="AG5036" s="9">
        <v>35.920735279325392</v>
      </c>
      <c r="AH5036" s="9">
        <v>38.62832670141978</v>
      </c>
      <c r="AI5036" s="9">
        <v>41.239207360528972</v>
      </c>
      <c r="AJ5036" s="9">
        <v>3.0428788910505911</v>
      </c>
    </row>
    <row r="5037" spans="1:36" x14ac:dyDescent="0.25">
      <c r="A5037" t="s">
        <v>5411</v>
      </c>
      <c r="B5037" t="s">
        <v>16</v>
      </c>
      <c r="C5037" t="s">
        <v>17</v>
      </c>
      <c r="D5037">
        <v>86990000</v>
      </c>
      <c r="E5037">
        <v>86999999</v>
      </c>
      <c r="F5037" t="s">
        <v>4573</v>
      </c>
      <c r="G5037" t="str">
        <f t="shared" si="156"/>
        <v>PRI II</v>
      </c>
      <c r="H5037" t="s">
        <v>4294</v>
      </c>
      <c r="I5037" t="s">
        <v>20</v>
      </c>
      <c r="J5037" t="s">
        <v>64</v>
      </c>
      <c r="K5037" s="6">
        <v>0.03</v>
      </c>
      <c r="L5037" s="7">
        <f t="shared" si="157"/>
        <v>2E-3</v>
      </c>
      <c r="M5037" s="7">
        <v>3.0000000000000001E-3</v>
      </c>
      <c r="N5037">
        <v>11</v>
      </c>
      <c r="O5037" s="8">
        <v>19.127752698369598</v>
      </c>
      <c r="P5037" s="9">
        <v>19.127752698369598</v>
      </c>
      <c r="Q5037" s="9">
        <v>19.127752698369598</v>
      </c>
      <c r="R5037" s="9">
        <v>19.588754687607715</v>
      </c>
      <c r="S5037" s="9">
        <v>19.892211826137899</v>
      </c>
      <c r="T5037" s="9">
        <v>20.64455772606674</v>
      </c>
      <c r="U5037" s="9">
        <v>22.020224218035128</v>
      </c>
      <c r="V5037" s="9">
        <v>22.020224218035128</v>
      </c>
      <c r="W5037" s="9">
        <v>22.020224218035128</v>
      </c>
      <c r="X5037" s="9">
        <v>24.004435739730138</v>
      </c>
      <c r="Y5037" s="9">
        <v>24.004435739730138</v>
      </c>
      <c r="Z5037" s="9">
        <v>26.075582265671787</v>
      </c>
      <c r="AA5037" s="9">
        <v>26.075582265671787</v>
      </c>
      <c r="AB5037" s="9">
        <v>28.242357296284759</v>
      </c>
      <c r="AC5037" s="9">
        <v>28.242357296284759</v>
      </c>
      <c r="AD5037" s="9">
        <v>32.278785457330969</v>
      </c>
      <c r="AE5037" s="9">
        <v>34.228944830548365</v>
      </c>
      <c r="AF5037" s="9">
        <v>36.293711230319367</v>
      </c>
      <c r="AG5037" s="9">
        <v>36.293711230319367</v>
      </c>
      <c r="AH5037" s="9">
        <v>39.230142171980006</v>
      </c>
      <c r="AI5037" s="9">
        <v>41.357809622501556</v>
      </c>
      <c r="AJ5037" s="9">
        <v>3.0428788910505911</v>
      </c>
    </row>
    <row r="5038" spans="1:36" x14ac:dyDescent="0.25">
      <c r="A5038" t="s">
        <v>5411</v>
      </c>
      <c r="B5038" t="s">
        <v>16</v>
      </c>
      <c r="C5038" t="s">
        <v>17</v>
      </c>
      <c r="D5038">
        <v>87000000</v>
      </c>
      <c r="E5038">
        <v>87109999</v>
      </c>
      <c r="F5038" t="s">
        <v>4574</v>
      </c>
      <c r="G5038" t="str">
        <f t="shared" si="156"/>
        <v>PRI</v>
      </c>
      <c r="H5038" t="s">
        <v>4294</v>
      </c>
      <c r="I5038" t="s">
        <v>20</v>
      </c>
      <c r="J5038" t="s">
        <v>62</v>
      </c>
      <c r="K5038" s="6">
        <v>0.03</v>
      </c>
      <c r="L5038" s="7">
        <f t="shared" si="157"/>
        <v>2E-3</v>
      </c>
      <c r="M5038" s="7">
        <v>3.0000000000000001E-3</v>
      </c>
      <c r="N5038">
        <v>8</v>
      </c>
      <c r="O5038" s="8">
        <v>16.344178346561137</v>
      </c>
      <c r="P5038" s="9">
        <v>16.344178346561137</v>
      </c>
      <c r="Q5038" s="9">
        <v>16.344178346561137</v>
      </c>
      <c r="R5038" s="9">
        <v>16.766533722582309</v>
      </c>
      <c r="S5038" s="9">
        <v>17.709108795625173</v>
      </c>
      <c r="T5038" s="9">
        <v>18.545760454647645</v>
      </c>
      <c r="U5038" s="9">
        <v>20.10723313448154</v>
      </c>
      <c r="V5038" s="9">
        <v>20.10723313448154</v>
      </c>
      <c r="W5038" s="9">
        <v>20.10723313448154</v>
      </c>
      <c r="X5038" s="9">
        <v>21.240951506551678</v>
      </c>
      <c r="Y5038" s="9">
        <v>21.240951506551678</v>
      </c>
      <c r="Z5038" s="9">
        <v>22.557015615717738</v>
      </c>
      <c r="AA5038" s="9">
        <v>22.557015615717738</v>
      </c>
      <c r="AB5038" s="9">
        <v>26.056112270527457</v>
      </c>
      <c r="AC5038" s="9">
        <v>26.056112270527457</v>
      </c>
      <c r="AD5038" s="9">
        <v>30.142276170369946</v>
      </c>
      <c r="AE5038" s="9">
        <v>32.940531048263779</v>
      </c>
      <c r="AF5038" s="9">
        <v>35.920735279325392</v>
      </c>
      <c r="AG5038" s="9">
        <v>35.920735279325392</v>
      </c>
      <c r="AH5038" s="9">
        <v>38.62832670141978</v>
      </c>
      <c r="AI5038" s="9">
        <v>41.239207360528972</v>
      </c>
      <c r="AJ5038" s="9">
        <v>3.0428788910505911</v>
      </c>
    </row>
    <row r="5039" spans="1:36" x14ac:dyDescent="0.25">
      <c r="A5039" t="s">
        <v>5411</v>
      </c>
      <c r="B5039" t="s">
        <v>16</v>
      </c>
      <c r="C5039" t="s">
        <v>17</v>
      </c>
      <c r="D5039">
        <v>87110000</v>
      </c>
      <c r="E5039">
        <v>87119999</v>
      </c>
      <c r="F5039" t="s">
        <v>4575</v>
      </c>
      <c r="G5039" t="str">
        <f t="shared" si="156"/>
        <v>PRI</v>
      </c>
      <c r="H5039" t="s">
        <v>4294</v>
      </c>
      <c r="I5039" t="s">
        <v>20</v>
      </c>
      <c r="J5039" t="s">
        <v>62</v>
      </c>
      <c r="K5039" s="6">
        <v>0.03</v>
      </c>
      <c r="L5039" s="7">
        <f t="shared" si="157"/>
        <v>2E-3</v>
      </c>
      <c r="M5039" s="7">
        <v>3.0000000000000001E-3</v>
      </c>
      <c r="N5039">
        <v>10</v>
      </c>
      <c r="O5039" s="8">
        <v>16.344178346561137</v>
      </c>
      <c r="P5039" s="9">
        <v>16.344178346561137</v>
      </c>
      <c r="Q5039" s="9">
        <v>16.344178346561137</v>
      </c>
      <c r="R5039" s="9">
        <v>16.766533722582309</v>
      </c>
      <c r="S5039" s="9">
        <v>17.709108795625173</v>
      </c>
      <c r="T5039" s="9">
        <v>18.545760454647645</v>
      </c>
      <c r="U5039" s="9">
        <v>20.10723313448154</v>
      </c>
      <c r="V5039" s="9">
        <v>20.10723313448154</v>
      </c>
      <c r="W5039" s="9">
        <v>20.10723313448154</v>
      </c>
      <c r="X5039" s="9">
        <v>21.240951506551678</v>
      </c>
      <c r="Y5039" s="9">
        <v>21.240951506551678</v>
      </c>
      <c r="Z5039" s="9">
        <v>22.557015615717738</v>
      </c>
      <c r="AA5039" s="9">
        <v>22.557015615717738</v>
      </c>
      <c r="AB5039" s="9">
        <v>26.056112270527457</v>
      </c>
      <c r="AC5039" s="9">
        <v>26.056112270527457</v>
      </c>
      <c r="AD5039" s="9">
        <v>30.142276170369946</v>
      </c>
      <c r="AE5039" s="9">
        <v>32.940531048263779</v>
      </c>
      <c r="AF5039" s="9">
        <v>35.920735279325392</v>
      </c>
      <c r="AG5039" s="9">
        <v>35.920735279325392</v>
      </c>
      <c r="AH5039" s="9">
        <v>38.62832670141978</v>
      </c>
      <c r="AI5039" s="9">
        <v>41.239207360528972</v>
      </c>
      <c r="AJ5039" s="9">
        <v>3.0428788910505911</v>
      </c>
    </row>
    <row r="5040" spans="1:36" x14ac:dyDescent="0.25">
      <c r="A5040" t="s">
        <v>5411</v>
      </c>
      <c r="B5040" t="s">
        <v>16</v>
      </c>
      <c r="C5040" t="s">
        <v>17</v>
      </c>
      <c r="D5040">
        <v>87120000</v>
      </c>
      <c r="E5040">
        <v>87129999</v>
      </c>
      <c r="F5040" t="s">
        <v>2337</v>
      </c>
      <c r="G5040" t="str">
        <f t="shared" si="156"/>
        <v>PRI II</v>
      </c>
      <c r="H5040" t="s">
        <v>4294</v>
      </c>
      <c r="I5040" t="s">
        <v>20</v>
      </c>
      <c r="J5040" t="s">
        <v>64</v>
      </c>
      <c r="K5040" s="6">
        <v>0.03</v>
      </c>
      <c r="L5040" s="7">
        <f t="shared" si="157"/>
        <v>2E-3</v>
      </c>
      <c r="M5040" s="7">
        <v>3.0000000000000001E-3</v>
      </c>
      <c r="N5040">
        <v>11</v>
      </c>
      <c r="O5040" s="8">
        <v>19.127752698369598</v>
      </c>
      <c r="P5040" s="9">
        <v>19.127752698369598</v>
      </c>
      <c r="Q5040" s="9">
        <v>19.127752698369598</v>
      </c>
      <c r="R5040" s="9">
        <v>19.588754687607715</v>
      </c>
      <c r="S5040" s="9">
        <v>19.892211826137899</v>
      </c>
      <c r="T5040" s="9">
        <v>20.64455772606674</v>
      </c>
      <c r="U5040" s="9">
        <v>22.020224218035128</v>
      </c>
      <c r="V5040" s="9">
        <v>22.020224218035128</v>
      </c>
      <c r="W5040" s="9">
        <v>22.020224218035128</v>
      </c>
      <c r="X5040" s="9">
        <v>24.004435739730138</v>
      </c>
      <c r="Y5040" s="9">
        <v>24.004435739730138</v>
      </c>
      <c r="Z5040" s="9">
        <v>26.075582265671787</v>
      </c>
      <c r="AA5040" s="9">
        <v>26.075582265671787</v>
      </c>
      <c r="AB5040" s="9">
        <v>28.242357296284759</v>
      </c>
      <c r="AC5040" s="9">
        <v>28.242357296284759</v>
      </c>
      <c r="AD5040" s="9">
        <v>32.278785457330969</v>
      </c>
      <c r="AE5040" s="9">
        <v>34.228944830548365</v>
      </c>
      <c r="AF5040" s="9">
        <v>36.293711230319367</v>
      </c>
      <c r="AG5040" s="9">
        <v>36.293711230319367</v>
      </c>
      <c r="AH5040" s="9">
        <v>39.230142171980006</v>
      </c>
      <c r="AI5040" s="9">
        <v>41.357809622501556</v>
      </c>
      <c r="AJ5040" s="9">
        <v>3.0428788910505911</v>
      </c>
    </row>
    <row r="5041" spans="1:36" x14ac:dyDescent="0.25">
      <c r="A5041" t="s">
        <v>5411</v>
      </c>
      <c r="B5041" t="s">
        <v>16</v>
      </c>
      <c r="C5041" t="s">
        <v>17</v>
      </c>
      <c r="D5041">
        <v>87130000</v>
      </c>
      <c r="E5041">
        <v>87139999</v>
      </c>
      <c r="F5041" t="s">
        <v>4576</v>
      </c>
      <c r="G5041" t="str">
        <f t="shared" si="156"/>
        <v>PRI II</v>
      </c>
      <c r="H5041" t="s">
        <v>4294</v>
      </c>
      <c r="I5041" t="s">
        <v>20</v>
      </c>
      <c r="J5041" t="s">
        <v>64</v>
      </c>
      <c r="K5041" s="6">
        <v>0.03</v>
      </c>
      <c r="L5041" s="7">
        <f t="shared" si="157"/>
        <v>2E-3</v>
      </c>
      <c r="M5041" s="7">
        <v>3.0000000000000001E-3</v>
      </c>
      <c r="N5041">
        <v>11</v>
      </c>
      <c r="O5041" s="8">
        <v>19.127752698369598</v>
      </c>
      <c r="P5041" s="9">
        <v>19.127752698369598</v>
      </c>
      <c r="Q5041" s="9">
        <v>19.127752698369598</v>
      </c>
      <c r="R5041" s="9">
        <v>19.588754687607715</v>
      </c>
      <c r="S5041" s="9">
        <v>19.892211826137899</v>
      </c>
      <c r="T5041" s="9">
        <v>20.64455772606674</v>
      </c>
      <c r="U5041" s="9">
        <v>22.020224218035128</v>
      </c>
      <c r="V5041" s="9">
        <v>22.020224218035128</v>
      </c>
      <c r="W5041" s="9">
        <v>22.020224218035128</v>
      </c>
      <c r="X5041" s="9">
        <v>24.004435739730138</v>
      </c>
      <c r="Y5041" s="9">
        <v>24.004435739730138</v>
      </c>
      <c r="Z5041" s="9">
        <v>26.075582265671787</v>
      </c>
      <c r="AA5041" s="9">
        <v>26.075582265671787</v>
      </c>
      <c r="AB5041" s="9">
        <v>28.242357296284759</v>
      </c>
      <c r="AC5041" s="9">
        <v>28.242357296284759</v>
      </c>
      <c r="AD5041" s="9">
        <v>32.278785457330969</v>
      </c>
      <c r="AE5041" s="9">
        <v>34.228944830548365</v>
      </c>
      <c r="AF5041" s="9">
        <v>36.293711230319367</v>
      </c>
      <c r="AG5041" s="9">
        <v>36.293711230319367</v>
      </c>
      <c r="AH5041" s="9">
        <v>39.230142171980006</v>
      </c>
      <c r="AI5041" s="9">
        <v>41.357809622501556</v>
      </c>
      <c r="AJ5041" s="9">
        <v>3.0428788910505911</v>
      </c>
    </row>
    <row r="5042" spans="1:36" x14ac:dyDescent="0.25">
      <c r="A5042" t="s">
        <v>5411</v>
      </c>
      <c r="B5042" t="s">
        <v>16</v>
      </c>
      <c r="C5042" t="s">
        <v>17</v>
      </c>
      <c r="D5042">
        <v>87140000</v>
      </c>
      <c r="E5042">
        <v>87154999</v>
      </c>
      <c r="F5042" t="s">
        <v>4577</v>
      </c>
      <c r="G5042" t="str">
        <f t="shared" si="156"/>
        <v>PRI II</v>
      </c>
      <c r="H5042" t="s">
        <v>4294</v>
      </c>
      <c r="I5042" t="s">
        <v>20</v>
      </c>
      <c r="J5042" t="s">
        <v>64</v>
      </c>
      <c r="K5042" s="6">
        <v>0.03</v>
      </c>
      <c r="L5042" s="7">
        <f t="shared" si="157"/>
        <v>2E-3</v>
      </c>
      <c r="M5042" s="7">
        <v>3.0000000000000001E-3</v>
      </c>
      <c r="N5042">
        <v>11</v>
      </c>
      <c r="O5042" s="8">
        <v>19.127752698369598</v>
      </c>
      <c r="P5042" s="9">
        <v>19.127752698369598</v>
      </c>
      <c r="Q5042" s="9">
        <v>19.127752698369598</v>
      </c>
      <c r="R5042" s="9">
        <v>19.588754687607715</v>
      </c>
      <c r="S5042" s="9">
        <v>19.892211826137899</v>
      </c>
      <c r="T5042" s="9">
        <v>20.64455772606674</v>
      </c>
      <c r="U5042" s="9">
        <v>22.020224218035128</v>
      </c>
      <c r="V5042" s="9">
        <v>22.020224218035128</v>
      </c>
      <c r="W5042" s="9">
        <v>22.020224218035128</v>
      </c>
      <c r="X5042" s="9">
        <v>24.004435739730138</v>
      </c>
      <c r="Y5042" s="9">
        <v>24.004435739730138</v>
      </c>
      <c r="Z5042" s="9">
        <v>26.075582265671787</v>
      </c>
      <c r="AA5042" s="9">
        <v>26.075582265671787</v>
      </c>
      <c r="AB5042" s="9">
        <v>28.242357296284759</v>
      </c>
      <c r="AC5042" s="9">
        <v>28.242357296284759</v>
      </c>
      <c r="AD5042" s="9">
        <v>32.278785457330969</v>
      </c>
      <c r="AE5042" s="9">
        <v>34.228944830548365</v>
      </c>
      <c r="AF5042" s="9">
        <v>36.293711230319367</v>
      </c>
      <c r="AG5042" s="9">
        <v>36.293711230319367</v>
      </c>
      <c r="AH5042" s="9">
        <v>39.230142171980006</v>
      </c>
      <c r="AI5042" s="9">
        <v>41.357809622501556</v>
      </c>
      <c r="AJ5042" s="9">
        <v>3.0428788910505911</v>
      </c>
    </row>
    <row r="5043" spans="1:36" x14ac:dyDescent="0.25">
      <c r="A5043" t="s">
        <v>5411</v>
      </c>
      <c r="B5043" t="s">
        <v>16</v>
      </c>
      <c r="C5043" t="s">
        <v>17</v>
      </c>
      <c r="D5043">
        <v>87155000</v>
      </c>
      <c r="E5043">
        <v>87159999</v>
      </c>
      <c r="F5043" t="s">
        <v>4578</v>
      </c>
      <c r="G5043" t="str">
        <f t="shared" si="156"/>
        <v>PRI II</v>
      </c>
      <c r="H5043" t="s">
        <v>4294</v>
      </c>
      <c r="I5043" t="s">
        <v>20</v>
      </c>
      <c r="J5043" t="s">
        <v>64</v>
      </c>
      <c r="K5043" s="6">
        <v>0.03</v>
      </c>
      <c r="L5043" s="7">
        <f t="shared" si="157"/>
        <v>2E-3</v>
      </c>
      <c r="M5043" s="7">
        <v>3.0000000000000001E-3</v>
      </c>
      <c r="N5043">
        <v>11</v>
      </c>
      <c r="O5043" s="8">
        <v>19.127752698369598</v>
      </c>
      <c r="P5043" s="9">
        <v>19.127752698369598</v>
      </c>
      <c r="Q5043" s="9">
        <v>19.127752698369598</v>
      </c>
      <c r="R5043" s="9">
        <v>19.588754687607715</v>
      </c>
      <c r="S5043" s="9">
        <v>19.892211826137899</v>
      </c>
      <c r="T5043" s="9">
        <v>20.64455772606674</v>
      </c>
      <c r="U5043" s="9">
        <v>22.020224218035128</v>
      </c>
      <c r="V5043" s="9">
        <v>22.020224218035128</v>
      </c>
      <c r="W5043" s="9">
        <v>22.020224218035128</v>
      </c>
      <c r="X5043" s="9">
        <v>24.004435739730138</v>
      </c>
      <c r="Y5043" s="9">
        <v>24.004435739730138</v>
      </c>
      <c r="Z5043" s="9">
        <v>26.075582265671787</v>
      </c>
      <c r="AA5043" s="9">
        <v>26.075582265671787</v>
      </c>
      <c r="AB5043" s="9">
        <v>28.242357296284759</v>
      </c>
      <c r="AC5043" s="9">
        <v>28.242357296284759</v>
      </c>
      <c r="AD5043" s="9">
        <v>32.278785457330969</v>
      </c>
      <c r="AE5043" s="9">
        <v>34.228944830548365</v>
      </c>
      <c r="AF5043" s="9">
        <v>36.293711230319367</v>
      </c>
      <c r="AG5043" s="9">
        <v>36.293711230319367</v>
      </c>
      <c r="AH5043" s="9">
        <v>39.230142171980006</v>
      </c>
      <c r="AI5043" s="9">
        <v>41.357809622501556</v>
      </c>
      <c r="AJ5043" s="9">
        <v>3.0428788910505911</v>
      </c>
    </row>
    <row r="5044" spans="1:36" x14ac:dyDescent="0.25">
      <c r="A5044" t="s">
        <v>5411</v>
      </c>
      <c r="B5044" t="s">
        <v>16</v>
      </c>
      <c r="C5044" t="s">
        <v>17</v>
      </c>
      <c r="D5044">
        <v>87160000</v>
      </c>
      <c r="E5044">
        <v>87169999</v>
      </c>
      <c r="F5044" t="s">
        <v>4579</v>
      </c>
      <c r="G5044" t="str">
        <f t="shared" si="156"/>
        <v>PRI II</v>
      </c>
      <c r="H5044" t="s">
        <v>4294</v>
      </c>
      <c r="I5044" t="s">
        <v>20</v>
      </c>
      <c r="J5044" t="s">
        <v>64</v>
      </c>
      <c r="K5044" s="6">
        <v>0.03</v>
      </c>
      <c r="L5044" s="7">
        <f t="shared" si="157"/>
        <v>2E-3</v>
      </c>
      <c r="M5044" s="7">
        <v>3.0000000000000001E-3</v>
      </c>
      <c r="N5044">
        <v>11</v>
      </c>
      <c r="O5044" s="8">
        <v>19.127752698369598</v>
      </c>
      <c r="P5044" s="9">
        <v>19.127752698369598</v>
      </c>
      <c r="Q5044" s="9">
        <v>19.127752698369598</v>
      </c>
      <c r="R5044" s="9">
        <v>19.588754687607715</v>
      </c>
      <c r="S5044" s="9">
        <v>19.892211826137899</v>
      </c>
      <c r="T5044" s="9">
        <v>20.64455772606674</v>
      </c>
      <c r="U5044" s="9">
        <v>22.020224218035128</v>
      </c>
      <c r="V5044" s="9">
        <v>22.020224218035128</v>
      </c>
      <c r="W5044" s="9">
        <v>22.020224218035128</v>
      </c>
      <c r="X5044" s="9">
        <v>24.004435739730138</v>
      </c>
      <c r="Y5044" s="9">
        <v>24.004435739730138</v>
      </c>
      <c r="Z5044" s="9">
        <v>26.075582265671787</v>
      </c>
      <c r="AA5044" s="9">
        <v>26.075582265671787</v>
      </c>
      <c r="AB5044" s="9">
        <v>28.242357296284759</v>
      </c>
      <c r="AC5044" s="9">
        <v>28.242357296284759</v>
      </c>
      <c r="AD5044" s="9">
        <v>32.278785457330969</v>
      </c>
      <c r="AE5044" s="9">
        <v>34.228944830548365</v>
      </c>
      <c r="AF5044" s="9">
        <v>36.293711230319367</v>
      </c>
      <c r="AG5044" s="9">
        <v>36.293711230319367</v>
      </c>
      <c r="AH5044" s="9">
        <v>39.230142171980006</v>
      </c>
      <c r="AI5044" s="9">
        <v>41.357809622501556</v>
      </c>
      <c r="AJ5044" s="9">
        <v>3.0428788910505911</v>
      </c>
    </row>
    <row r="5045" spans="1:36" x14ac:dyDescent="0.25">
      <c r="A5045" t="s">
        <v>5411</v>
      </c>
      <c r="B5045" t="s">
        <v>16</v>
      </c>
      <c r="C5045" t="s">
        <v>17</v>
      </c>
      <c r="D5045">
        <v>87170000</v>
      </c>
      <c r="E5045">
        <v>87174999</v>
      </c>
      <c r="F5045" t="s">
        <v>4580</v>
      </c>
      <c r="G5045" t="str">
        <f t="shared" si="156"/>
        <v>PRI II</v>
      </c>
      <c r="H5045" t="s">
        <v>4294</v>
      </c>
      <c r="I5045" t="s">
        <v>20</v>
      </c>
      <c r="J5045" t="s">
        <v>64</v>
      </c>
      <c r="K5045" s="6">
        <v>0.03</v>
      </c>
      <c r="L5045" s="7">
        <f t="shared" si="157"/>
        <v>2E-3</v>
      </c>
      <c r="M5045" s="7">
        <v>3.0000000000000001E-3</v>
      </c>
      <c r="N5045">
        <v>11</v>
      </c>
      <c r="O5045" s="8">
        <v>19.127752698369598</v>
      </c>
      <c r="P5045" s="9">
        <v>19.127752698369598</v>
      </c>
      <c r="Q5045" s="9">
        <v>19.127752698369598</v>
      </c>
      <c r="R5045" s="9">
        <v>19.588754687607715</v>
      </c>
      <c r="S5045" s="9">
        <v>19.892211826137899</v>
      </c>
      <c r="T5045" s="9">
        <v>20.64455772606674</v>
      </c>
      <c r="U5045" s="9">
        <v>22.020224218035128</v>
      </c>
      <c r="V5045" s="9">
        <v>22.020224218035128</v>
      </c>
      <c r="W5045" s="9">
        <v>22.020224218035128</v>
      </c>
      <c r="X5045" s="9">
        <v>24.004435739730138</v>
      </c>
      <c r="Y5045" s="9">
        <v>24.004435739730138</v>
      </c>
      <c r="Z5045" s="9">
        <v>26.075582265671787</v>
      </c>
      <c r="AA5045" s="9">
        <v>26.075582265671787</v>
      </c>
      <c r="AB5045" s="9">
        <v>28.242357296284759</v>
      </c>
      <c r="AC5045" s="9">
        <v>28.242357296284759</v>
      </c>
      <c r="AD5045" s="9">
        <v>32.278785457330969</v>
      </c>
      <c r="AE5045" s="9">
        <v>34.228944830548365</v>
      </c>
      <c r="AF5045" s="9">
        <v>36.293711230319367</v>
      </c>
      <c r="AG5045" s="9">
        <v>36.293711230319367</v>
      </c>
      <c r="AH5045" s="9">
        <v>39.230142171980006</v>
      </c>
      <c r="AI5045" s="9">
        <v>41.357809622501556</v>
      </c>
      <c r="AJ5045" s="9">
        <v>3.0428788910505911</v>
      </c>
    </row>
    <row r="5046" spans="1:36" x14ac:dyDescent="0.25">
      <c r="A5046" t="s">
        <v>5411</v>
      </c>
      <c r="B5046" t="s">
        <v>16</v>
      </c>
      <c r="C5046" t="s">
        <v>17</v>
      </c>
      <c r="D5046">
        <v>87175000</v>
      </c>
      <c r="E5046">
        <v>87179999</v>
      </c>
      <c r="F5046" t="s">
        <v>1802</v>
      </c>
      <c r="G5046" t="str">
        <f t="shared" si="156"/>
        <v>PRI II</v>
      </c>
      <c r="H5046" t="s">
        <v>4294</v>
      </c>
      <c r="I5046" t="s">
        <v>20</v>
      </c>
      <c r="J5046" t="s">
        <v>64</v>
      </c>
      <c r="K5046" s="6">
        <v>0.03</v>
      </c>
      <c r="L5046" s="7">
        <f t="shared" si="157"/>
        <v>2E-3</v>
      </c>
      <c r="M5046" s="7">
        <v>3.0000000000000001E-3</v>
      </c>
      <c r="N5046">
        <v>11</v>
      </c>
      <c r="O5046" s="8">
        <v>19.127752698369598</v>
      </c>
      <c r="P5046" s="9">
        <v>19.127752698369598</v>
      </c>
      <c r="Q5046" s="9">
        <v>19.127752698369598</v>
      </c>
      <c r="R5046" s="9">
        <v>19.588754687607715</v>
      </c>
      <c r="S5046" s="9">
        <v>19.892211826137899</v>
      </c>
      <c r="T5046" s="9">
        <v>20.64455772606674</v>
      </c>
      <c r="U5046" s="9">
        <v>22.020224218035128</v>
      </c>
      <c r="V5046" s="9">
        <v>22.020224218035128</v>
      </c>
      <c r="W5046" s="9">
        <v>22.020224218035128</v>
      </c>
      <c r="X5046" s="9">
        <v>24.004435739730138</v>
      </c>
      <c r="Y5046" s="9">
        <v>24.004435739730138</v>
      </c>
      <c r="Z5046" s="9">
        <v>26.075582265671787</v>
      </c>
      <c r="AA5046" s="9">
        <v>26.075582265671787</v>
      </c>
      <c r="AB5046" s="9">
        <v>28.242357296284759</v>
      </c>
      <c r="AC5046" s="9">
        <v>28.242357296284759</v>
      </c>
      <c r="AD5046" s="9">
        <v>32.278785457330969</v>
      </c>
      <c r="AE5046" s="9">
        <v>34.228944830548365</v>
      </c>
      <c r="AF5046" s="9">
        <v>36.293711230319367</v>
      </c>
      <c r="AG5046" s="9">
        <v>36.293711230319367</v>
      </c>
      <c r="AH5046" s="9">
        <v>39.230142171980006</v>
      </c>
      <c r="AI5046" s="9">
        <v>41.357809622501556</v>
      </c>
      <c r="AJ5046" s="9">
        <v>3.0428788910505911</v>
      </c>
    </row>
    <row r="5047" spans="1:36" x14ac:dyDescent="0.25">
      <c r="A5047" t="s">
        <v>5411</v>
      </c>
      <c r="B5047" t="s">
        <v>16</v>
      </c>
      <c r="C5047" t="s">
        <v>17</v>
      </c>
      <c r="D5047">
        <v>87180000</v>
      </c>
      <c r="E5047">
        <v>87184999</v>
      </c>
      <c r="F5047" t="s">
        <v>4581</v>
      </c>
      <c r="G5047" t="str">
        <f t="shared" si="156"/>
        <v>PRI II</v>
      </c>
      <c r="H5047" t="s">
        <v>4294</v>
      </c>
      <c r="I5047" t="s">
        <v>20</v>
      </c>
      <c r="J5047" t="s">
        <v>64</v>
      </c>
      <c r="K5047" s="6">
        <v>0.03</v>
      </c>
      <c r="L5047" s="7">
        <f t="shared" si="157"/>
        <v>2E-3</v>
      </c>
      <c r="M5047" s="7">
        <v>3.0000000000000001E-3</v>
      </c>
      <c r="N5047">
        <v>11</v>
      </c>
      <c r="O5047" s="8">
        <v>19.127752698369598</v>
      </c>
      <c r="P5047" s="9">
        <v>19.127752698369598</v>
      </c>
      <c r="Q5047" s="9">
        <v>19.127752698369598</v>
      </c>
      <c r="R5047" s="9">
        <v>19.588754687607715</v>
      </c>
      <c r="S5047" s="9">
        <v>19.892211826137899</v>
      </c>
      <c r="T5047" s="9">
        <v>20.64455772606674</v>
      </c>
      <c r="U5047" s="9">
        <v>22.020224218035128</v>
      </c>
      <c r="V5047" s="9">
        <v>22.020224218035128</v>
      </c>
      <c r="W5047" s="9">
        <v>22.020224218035128</v>
      </c>
      <c r="X5047" s="9">
        <v>24.004435739730138</v>
      </c>
      <c r="Y5047" s="9">
        <v>24.004435739730138</v>
      </c>
      <c r="Z5047" s="9">
        <v>26.075582265671787</v>
      </c>
      <c r="AA5047" s="9">
        <v>26.075582265671787</v>
      </c>
      <c r="AB5047" s="9">
        <v>28.242357296284759</v>
      </c>
      <c r="AC5047" s="9">
        <v>28.242357296284759</v>
      </c>
      <c r="AD5047" s="9">
        <v>32.278785457330969</v>
      </c>
      <c r="AE5047" s="9">
        <v>34.228944830548365</v>
      </c>
      <c r="AF5047" s="9">
        <v>36.293711230319367</v>
      </c>
      <c r="AG5047" s="9">
        <v>36.293711230319367</v>
      </c>
      <c r="AH5047" s="9">
        <v>39.230142171980006</v>
      </c>
      <c r="AI5047" s="9">
        <v>41.357809622501556</v>
      </c>
      <c r="AJ5047" s="9">
        <v>3.0428788910505911</v>
      </c>
    </row>
    <row r="5048" spans="1:36" x14ac:dyDescent="0.25">
      <c r="A5048" t="s">
        <v>5411</v>
      </c>
      <c r="B5048" t="s">
        <v>16</v>
      </c>
      <c r="C5048" t="s">
        <v>17</v>
      </c>
      <c r="D5048">
        <v>87185000</v>
      </c>
      <c r="E5048">
        <v>87189999</v>
      </c>
      <c r="F5048" t="s">
        <v>4582</v>
      </c>
      <c r="G5048" t="str">
        <f t="shared" si="156"/>
        <v>PRI II</v>
      </c>
      <c r="H5048" t="s">
        <v>4294</v>
      </c>
      <c r="I5048" t="s">
        <v>20</v>
      </c>
      <c r="J5048" t="s">
        <v>64</v>
      </c>
      <c r="K5048" s="6">
        <v>0.03</v>
      </c>
      <c r="L5048" s="7">
        <f t="shared" si="157"/>
        <v>2E-3</v>
      </c>
      <c r="M5048" s="7">
        <v>3.0000000000000001E-3</v>
      </c>
      <c r="N5048">
        <v>11</v>
      </c>
      <c r="O5048" s="8">
        <v>19.127752698369598</v>
      </c>
      <c r="P5048" s="9">
        <v>19.127752698369598</v>
      </c>
      <c r="Q5048" s="9">
        <v>19.127752698369598</v>
      </c>
      <c r="R5048" s="9">
        <v>19.588754687607715</v>
      </c>
      <c r="S5048" s="9">
        <v>19.892211826137899</v>
      </c>
      <c r="T5048" s="9">
        <v>20.64455772606674</v>
      </c>
      <c r="U5048" s="9">
        <v>22.020224218035128</v>
      </c>
      <c r="V5048" s="9">
        <v>22.020224218035128</v>
      </c>
      <c r="W5048" s="9">
        <v>22.020224218035128</v>
      </c>
      <c r="X5048" s="9">
        <v>24.004435739730138</v>
      </c>
      <c r="Y5048" s="9">
        <v>24.004435739730138</v>
      </c>
      <c r="Z5048" s="9">
        <v>26.075582265671787</v>
      </c>
      <c r="AA5048" s="9">
        <v>26.075582265671787</v>
      </c>
      <c r="AB5048" s="9">
        <v>28.242357296284759</v>
      </c>
      <c r="AC5048" s="9">
        <v>28.242357296284759</v>
      </c>
      <c r="AD5048" s="9">
        <v>32.278785457330969</v>
      </c>
      <c r="AE5048" s="9">
        <v>34.228944830548365</v>
      </c>
      <c r="AF5048" s="9">
        <v>36.293711230319367</v>
      </c>
      <c r="AG5048" s="9">
        <v>36.293711230319367</v>
      </c>
      <c r="AH5048" s="9">
        <v>39.230142171980006</v>
      </c>
      <c r="AI5048" s="9">
        <v>41.357809622501556</v>
      </c>
      <c r="AJ5048" s="9">
        <v>3.0428788910505911</v>
      </c>
    </row>
    <row r="5049" spans="1:36" x14ac:dyDescent="0.25">
      <c r="A5049" t="s">
        <v>5411</v>
      </c>
      <c r="B5049" t="s">
        <v>16</v>
      </c>
      <c r="C5049" t="s">
        <v>17</v>
      </c>
      <c r="D5049">
        <v>87190000</v>
      </c>
      <c r="E5049">
        <v>87199999</v>
      </c>
      <c r="F5049" t="s">
        <v>4583</v>
      </c>
      <c r="G5049" t="str">
        <f t="shared" si="156"/>
        <v>PRI II</v>
      </c>
      <c r="H5049" t="s">
        <v>4294</v>
      </c>
      <c r="I5049" t="s">
        <v>20</v>
      </c>
      <c r="J5049" t="s">
        <v>64</v>
      </c>
      <c r="K5049" s="6">
        <v>0.03</v>
      </c>
      <c r="L5049" s="7">
        <f t="shared" si="157"/>
        <v>2E-3</v>
      </c>
      <c r="M5049" s="7">
        <v>3.0000000000000001E-3</v>
      </c>
      <c r="N5049">
        <v>11</v>
      </c>
      <c r="O5049" s="8">
        <v>19.127752698369598</v>
      </c>
      <c r="P5049" s="9">
        <v>19.127752698369598</v>
      </c>
      <c r="Q5049" s="9">
        <v>19.127752698369598</v>
      </c>
      <c r="R5049" s="9">
        <v>19.588754687607715</v>
      </c>
      <c r="S5049" s="9">
        <v>19.892211826137899</v>
      </c>
      <c r="T5049" s="9">
        <v>20.64455772606674</v>
      </c>
      <c r="U5049" s="9">
        <v>22.020224218035128</v>
      </c>
      <c r="V5049" s="9">
        <v>22.020224218035128</v>
      </c>
      <c r="W5049" s="9">
        <v>22.020224218035128</v>
      </c>
      <c r="X5049" s="9">
        <v>24.004435739730138</v>
      </c>
      <c r="Y5049" s="9">
        <v>24.004435739730138</v>
      </c>
      <c r="Z5049" s="9">
        <v>26.075582265671787</v>
      </c>
      <c r="AA5049" s="9">
        <v>26.075582265671787</v>
      </c>
      <c r="AB5049" s="9">
        <v>28.242357296284759</v>
      </c>
      <c r="AC5049" s="9">
        <v>28.242357296284759</v>
      </c>
      <c r="AD5049" s="9">
        <v>32.278785457330969</v>
      </c>
      <c r="AE5049" s="9">
        <v>34.228944830548365</v>
      </c>
      <c r="AF5049" s="9">
        <v>36.293711230319367</v>
      </c>
      <c r="AG5049" s="9">
        <v>36.293711230319367</v>
      </c>
      <c r="AH5049" s="9">
        <v>39.230142171980006</v>
      </c>
      <c r="AI5049" s="9">
        <v>41.357809622501556</v>
      </c>
      <c r="AJ5049" s="9">
        <v>3.0428788910505911</v>
      </c>
    </row>
    <row r="5050" spans="1:36" x14ac:dyDescent="0.25">
      <c r="A5050" t="s">
        <v>5411</v>
      </c>
      <c r="B5050" t="s">
        <v>16</v>
      </c>
      <c r="C5050" t="s">
        <v>17</v>
      </c>
      <c r="D5050">
        <v>87200000</v>
      </c>
      <c r="E5050">
        <v>87214999</v>
      </c>
      <c r="F5050" t="s">
        <v>4584</v>
      </c>
      <c r="G5050" t="str">
        <f t="shared" si="156"/>
        <v>PRI</v>
      </c>
      <c r="H5050" t="s">
        <v>4294</v>
      </c>
      <c r="I5050" t="s">
        <v>20</v>
      </c>
      <c r="J5050" t="s">
        <v>62</v>
      </c>
      <c r="K5050" s="6">
        <v>0.03</v>
      </c>
      <c r="L5050" s="7">
        <f t="shared" si="157"/>
        <v>2E-3</v>
      </c>
      <c r="M5050" s="7">
        <v>3.0000000000000001E-3</v>
      </c>
      <c r="N5050">
        <v>9</v>
      </c>
      <c r="O5050" s="8">
        <v>16.344178346561137</v>
      </c>
      <c r="P5050" s="9">
        <v>16.344178346561137</v>
      </c>
      <c r="Q5050" s="9">
        <v>16.344178346561137</v>
      </c>
      <c r="R5050" s="9">
        <v>16.766533722582309</v>
      </c>
      <c r="S5050" s="9">
        <v>17.709108795625173</v>
      </c>
      <c r="T5050" s="9">
        <v>18.545760454647645</v>
      </c>
      <c r="U5050" s="9">
        <v>20.10723313448154</v>
      </c>
      <c r="V5050" s="9">
        <v>20.10723313448154</v>
      </c>
      <c r="W5050" s="9">
        <v>20.10723313448154</v>
      </c>
      <c r="X5050" s="9">
        <v>21.240951506551678</v>
      </c>
      <c r="Y5050" s="9">
        <v>21.240951506551678</v>
      </c>
      <c r="Z5050" s="9">
        <v>22.557015615717738</v>
      </c>
      <c r="AA5050" s="9">
        <v>22.557015615717738</v>
      </c>
      <c r="AB5050" s="9">
        <v>26.056112270527457</v>
      </c>
      <c r="AC5050" s="9">
        <v>26.056112270527457</v>
      </c>
      <c r="AD5050" s="9">
        <v>30.142276170369946</v>
      </c>
      <c r="AE5050" s="9">
        <v>32.940531048263779</v>
      </c>
      <c r="AF5050" s="9">
        <v>35.920735279325392</v>
      </c>
      <c r="AG5050" s="9">
        <v>35.920735279325392</v>
      </c>
      <c r="AH5050" s="9">
        <v>38.62832670141978</v>
      </c>
      <c r="AI5050" s="9">
        <v>41.239207360528972</v>
      </c>
      <c r="AJ5050" s="9">
        <v>3.0428788910505911</v>
      </c>
    </row>
    <row r="5051" spans="1:36" x14ac:dyDescent="0.25">
      <c r="A5051" t="s">
        <v>5411</v>
      </c>
      <c r="B5051" t="s">
        <v>16</v>
      </c>
      <c r="C5051" t="s">
        <v>17</v>
      </c>
      <c r="D5051">
        <v>87215000</v>
      </c>
      <c r="E5051">
        <v>87219999</v>
      </c>
      <c r="F5051" t="s">
        <v>4585</v>
      </c>
      <c r="G5051" t="str">
        <f t="shared" si="156"/>
        <v>PRI</v>
      </c>
      <c r="H5051" t="s">
        <v>4294</v>
      </c>
      <c r="I5051" t="s">
        <v>20</v>
      </c>
      <c r="J5051" t="s">
        <v>62</v>
      </c>
      <c r="K5051" s="6">
        <v>0.03</v>
      </c>
      <c r="L5051" s="7">
        <f t="shared" si="157"/>
        <v>2E-3</v>
      </c>
      <c r="M5051" s="7">
        <v>3.0000000000000001E-3</v>
      </c>
      <c r="N5051">
        <v>9</v>
      </c>
      <c r="O5051" s="8">
        <v>16.344178346561137</v>
      </c>
      <c r="P5051" s="9">
        <v>16.344178346561137</v>
      </c>
      <c r="Q5051" s="9">
        <v>16.344178346561137</v>
      </c>
      <c r="R5051" s="9">
        <v>16.766533722582309</v>
      </c>
      <c r="S5051" s="9">
        <v>17.709108795625173</v>
      </c>
      <c r="T5051" s="9">
        <v>18.545760454647645</v>
      </c>
      <c r="U5051" s="9">
        <v>20.10723313448154</v>
      </c>
      <c r="V5051" s="9">
        <v>20.10723313448154</v>
      </c>
      <c r="W5051" s="9">
        <v>20.10723313448154</v>
      </c>
      <c r="X5051" s="9">
        <v>21.240951506551678</v>
      </c>
      <c r="Y5051" s="9">
        <v>21.240951506551678</v>
      </c>
      <c r="Z5051" s="9">
        <v>22.557015615717738</v>
      </c>
      <c r="AA5051" s="9">
        <v>22.557015615717738</v>
      </c>
      <c r="AB5051" s="9">
        <v>26.056112270527457</v>
      </c>
      <c r="AC5051" s="9">
        <v>26.056112270527457</v>
      </c>
      <c r="AD5051" s="9">
        <v>30.142276170369946</v>
      </c>
      <c r="AE5051" s="9">
        <v>32.940531048263779</v>
      </c>
      <c r="AF5051" s="9">
        <v>35.920735279325392</v>
      </c>
      <c r="AG5051" s="9">
        <v>35.920735279325392</v>
      </c>
      <c r="AH5051" s="9">
        <v>38.62832670141978</v>
      </c>
      <c r="AI5051" s="9">
        <v>41.239207360528972</v>
      </c>
      <c r="AJ5051" s="9">
        <v>3.0428788910505911</v>
      </c>
    </row>
    <row r="5052" spans="1:36" x14ac:dyDescent="0.25">
      <c r="A5052" t="s">
        <v>5411</v>
      </c>
      <c r="B5052" t="s">
        <v>16</v>
      </c>
      <c r="C5052" t="s">
        <v>17</v>
      </c>
      <c r="D5052">
        <v>87220000</v>
      </c>
      <c r="E5052">
        <v>87224999</v>
      </c>
      <c r="F5052" t="s">
        <v>2724</v>
      </c>
      <c r="G5052" t="str">
        <f t="shared" si="156"/>
        <v>PRI</v>
      </c>
      <c r="H5052" t="s">
        <v>4294</v>
      </c>
      <c r="I5052" t="s">
        <v>20</v>
      </c>
      <c r="J5052" t="s">
        <v>62</v>
      </c>
      <c r="K5052" s="6">
        <v>0.03</v>
      </c>
      <c r="L5052" s="7">
        <f t="shared" si="157"/>
        <v>2E-3</v>
      </c>
      <c r="M5052" s="7">
        <v>3.0000000000000001E-3</v>
      </c>
      <c r="N5052">
        <v>9</v>
      </c>
      <c r="O5052" s="8">
        <v>16.344178346561137</v>
      </c>
      <c r="P5052" s="9">
        <v>16.344178346561137</v>
      </c>
      <c r="Q5052" s="9">
        <v>16.344178346561137</v>
      </c>
      <c r="R5052" s="9">
        <v>16.766533722582309</v>
      </c>
      <c r="S5052" s="9">
        <v>17.709108795625173</v>
      </c>
      <c r="T5052" s="9">
        <v>18.545760454647645</v>
      </c>
      <c r="U5052" s="9">
        <v>20.10723313448154</v>
      </c>
      <c r="V5052" s="9">
        <v>20.10723313448154</v>
      </c>
      <c r="W5052" s="9">
        <v>20.10723313448154</v>
      </c>
      <c r="X5052" s="9">
        <v>21.240951506551678</v>
      </c>
      <c r="Y5052" s="9">
        <v>21.240951506551678</v>
      </c>
      <c r="Z5052" s="9">
        <v>22.557015615717738</v>
      </c>
      <c r="AA5052" s="9">
        <v>22.557015615717738</v>
      </c>
      <c r="AB5052" s="9">
        <v>26.056112270527457</v>
      </c>
      <c r="AC5052" s="9">
        <v>26.056112270527457</v>
      </c>
      <c r="AD5052" s="9">
        <v>30.142276170369946</v>
      </c>
      <c r="AE5052" s="9">
        <v>32.940531048263779</v>
      </c>
      <c r="AF5052" s="9">
        <v>35.920735279325392</v>
      </c>
      <c r="AG5052" s="9">
        <v>35.920735279325392</v>
      </c>
      <c r="AH5052" s="9">
        <v>38.62832670141978</v>
      </c>
      <c r="AI5052" s="9">
        <v>41.239207360528972</v>
      </c>
      <c r="AJ5052" s="9">
        <v>3.0428788910505911</v>
      </c>
    </row>
    <row r="5053" spans="1:36" x14ac:dyDescent="0.25">
      <c r="A5053" t="s">
        <v>5411</v>
      </c>
      <c r="B5053" t="s">
        <v>16</v>
      </c>
      <c r="C5053" t="s">
        <v>17</v>
      </c>
      <c r="D5053">
        <v>87225000</v>
      </c>
      <c r="E5053">
        <v>87229999</v>
      </c>
      <c r="F5053" t="s">
        <v>3617</v>
      </c>
      <c r="G5053" t="str">
        <f t="shared" si="156"/>
        <v>PRI</v>
      </c>
      <c r="H5053" t="s">
        <v>4294</v>
      </c>
      <c r="I5053" t="s">
        <v>20</v>
      </c>
      <c r="J5053" t="s">
        <v>62</v>
      </c>
      <c r="K5053" s="6">
        <v>0.03</v>
      </c>
      <c r="L5053" s="7">
        <f t="shared" si="157"/>
        <v>2E-3</v>
      </c>
      <c r="M5053" s="7">
        <v>3.0000000000000001E-3</v>
      </c>
      <c r="N5053">
        <v>9</v>
      </c>
      <c r="O5053" s="8">
        <v>16.344178346561137</v>
      </c>
      <c r="P5053" s="9">
        <v>16.344178346561137</v>
      </c>
      <c r="Q5053" s="9">
        <v>16.344178346561137</v>
      </c>
      <c r="R5053" s="9">
        <v>16.766533722582309</v>
      </c>
      <c r="S5053" s="9">
        <v>17.709108795625173</v>
      </c>
      <c r="T5053" s="9">
        <v>18.545760454647645</v>
      </c>
      <c r="U5053" s="9">
        <v>20.10723313448154</v>
      </c>
      <c r="V5053" s="9">
        <v>20.10723313448154</v>
      </c>
      <c r="W5053" s="9">
        <v>20.10723313448154</v>
      </c>
      <c r="X5053" s="9">
        <v>21.240951506551678</v>
      </c>
      <c r="Y5053" s="9">
        <v>21.240951506551678</v>
      </c>
      <c r="Z5053" s="9">
        <v>22.557015615717738</v>
      </c>
      <c r="AA5053" s="9">
        <v>22.557015615717738</v>
      </c>
      <c r="AB5053" s="9">
        <v>26.056112270527457</v>
      </c>
      <c r="AC5053" s="9">
        <v>26.056112270527457</v>
      </c>
      <c r="AD5053" s="9">
        <v>30.142276170369946</v>
      </c>
      <c r="AE5053" s="9">
        <v>32.940531048263779</v>
      </c>
      <c r="AF5053" s="9">
        <v>35.920735279325392</v>
      </c>
      <c r="AG5053" s="9">
        <v>35.920735279325392</v>
      </c>
      <c r="AH5053" s="9">
        <v>38.62832670141978</v>
      </c>
      <c r="AI5053" s="9">
        <v>41.239207360528972</v>
      </c>
      <c r="AJ5053" s="9">
        <v>3.0428788910505911</v>
      </c>
    </row>
    <row r="5054" spans="1:36" x14ac:dyDescent="0.25">
      <c r="A5054" t="s">
        <v>5411</v>
      </c>
      <c r="B5054" t="s">
        <v>16</v>
      </c>
      <c r="C5054" t="s">
        <v>17</v>
      </c>
      <c r="D5054">
        <v>87230000</v>
      </c>
      <c r="E5054">
        <v>87234999</v>
      </c>
      <c r="F5054" t="s">
        <v>1792</v>
      </c>
      <c r="G5054" t="str">
        <f t="shared" si="156"/>
        <v>PRI II</v>
      </c>
      <c r="H5054" t="s">
        <v>4294</v>
      </c>
      <c r="I5054" t="s">
        <v>20</v>
      </c>
      <c r="J5054" t="s">
        <v>64</v>
      </c>
      <c r="K5054" s="6">
        <v>0.03</v>
      </c>
      <c r="L5054" s="7">
        <f t="shared" si="157"/>
        <v>2E-3</v>
      </c>
      <c r="M5054" s="7">
        <v>3.0000000000000001E-3</v>
      </c>
      <c r="N5054">
        <v>11</v>
      </c>
      <c r="O5054" s="8">
        <v>19.127752698369598</v>
      </c>
      <c r="P5054" s="9">
        <v>19.127752698369598</v>
      </c>
      <c r="Q5054" s="9">
        <v>19.127752698369598</v>
      </c>
      <c r="R5054" s="9">
        <v>19.588754687607715</v>
      </c>
      <c r="S5054" s="9">
        <v>19.892211826137899</v>
      </c>
      <c r="T5054" s="9">
        <v>20.64455772606674</v>
      </c>
      <c r="U5054" s="9">
        <v>22.020224218035128</v>
      </c>
      <c r="V5054" s="9">
        <v>22.020224218035128</v>
      </c>
      <c r="W5054" s="9">
        <v>22.020224218035128</v>
      </c>
      <c r="X5054" s="9">
        <v>24.004435739730138</v>
      </c>
      <c r="Y5054" s="9">
        <v>24.004435739730138</v>
      </c>
      <c r="Z5054" s="9">
        <v>26.075582265671787</v>
      </c>
      <c r="AA5054" s="9">
        <v>26.075582265671787</v>
      </c>
      <c r="AB5054" s="9">
        <v>28.242357296284759</v>
      </c>
      <c r="AC5054" s="9">
        <v>28.242357296284759</v>
      </c>
      <c r="AD5054" s="9">
        <v>32.278785457330969</v>
      </c>
      <c r="AE5054" s="9">
        <v>34.228944830548365</v>
      </c>
      <c r="AF5054" s="9">
        <v>36.293711230319367</v>
      </c>
      <c r="AG5054" s="9">
        <v>36.293711230319367</v>
      </c>
      <c r="AH5054" s="9">
        <v>39.230142171980006</v>
      </c>
      <c r="AI5054" s="9">
        <v>41.357809622501556</v>
      </c>
      <c r="AJ5054" s="9">
        <v>3.0428788910505911</v>
      </c>
    </row>
    <row r="5055" spans="1:36" x14ac:dyDescent="0.25">
      <c r="A5055" t="s">
        <v>5411</v>
      </c>
      <c r="B5055" t="s">
        <v>16</v>
      </c>
      <c r="C5055" t="s">
        <v>17</v>
      </c>
      <c r="D5055">
        <v>87235000</v>
      </c>
      <c r="E5055">
        <v>87239999</v>
      </c>
      <c r="F5055" t="s">
        <v>1445</v>
      </c>
      <c r="G5055" t="str">
        <f t="shared" si="156"/>
        <v>PRI</v>
      </c>
      <c r="H5055" t="s">
        <v>4294</v>
      </c>
      <c r="I5055" t="s">
        <v>20</v>
      </c>
      <c r="J5055" t="s">
        <v>62</v>
      </c>
      <c r="K5055" s="6">
        <v>0.03</v>
      </c>
      <c r="L5055" s="7">
        <f t="shared" si="157"/>
        <v>2E-3</v>
      </c>
      <c r="M5055" s="7">
        <v>3.0000000000000001E-3</v>
      </c>
      <c r="N5055">
        <v>11</v>
      </c>
      <c r="O5055" s="8">
        <v>16.344178346561137</v>
      </c>
      <c r="P5055" s="9">
        <v>16.344178346561137</v>
      </c>
      <c r="Q5055" s="9">
        <v>16.344178346561137</v>
      </c>
      <c r="R5055" s="9">
        <v>16.766533722582309</v>
      </c>
      <c r="S5055" s="9">
        <v>17.709108795625173</v>
      </c>
      <c r="T5055" s="9">
        <v>18.545760454647645</v>
      </c>
      <c r="U5055" s="9">
        <v>20.10723313448154</v>
      </c>
      <c r="V5055" s="9">
        <v>20.10723313448154</v>
      </c>
      <c r="W5055" s="9">
        <v>20.10723313448154</v>
      </c>
      <c r="X5055" s="9">
        <v>21.240951506551678</v>
      </c>
      <c r="Y5055" s="9">
        <v>21.240951506551678</v>
      </c>
      <c r="Z5055" s="9">
        <v>22.557015615717738</v>
      </c>
      <c r="AA5055" s="9">
        <v>22.557015615717738</v>
      </c>
      <c r="AB5055" s="9">
        <v>26.056112270527457</v>
      </c>
      <c r="AC5055" s="9">
        <v>26.056112270527457</v>
      </c>
      <c r="AD5055" s="9">
        <v>30.142276170369946</v>
      </c>
      <c r="AE5055" s="9">
        <v>32.940531048263779</v>
      </c>
      <c r="AF5055" s="9">
        <v>35.920735279325392</v>
      </c>
      <c r="AG5055" s="9">
        <v>35.920735279325392</v>
      </c>
      <c r="AH5055" s="9">
        <v>38.62832670141978</v>
      </c>
      <c r="AI5055" s="9">
        <v>41.239207360528972</v>
      </c>
      <c r="AJ5055" s="9">
        <v>3.0428788910505911</v>
      </c>
    </row>
    <row r="5056" spans="1:36" x14ac:dyDescent="0.25">
      <c r="A5056" t="s">
        <v>5411</v>
      </c>
      <c r="B5056" t="s">
        <v>16</v>
      </c>
      <c r="C5056" t="s">
        <v>17</v>
      </c>
      <c r="D5056">
        <v>87240000</v>
      </c>
      <c r="E5056">
        <v>87249999</v>
      </c>
      <c r="F5056" t="s">
        <v>4586</v>
      </c>
      <c r="G5056" t="str">
        <f t="shared" si="156"/>
        <v>PRI II</v>
      </c>
      <c r="H5056" t="s">
        <v>4294</v>
      </c>
      <c r="I5056" t="s">
        <v>20</v>
      </c>
      <c r="J5056" t="s">
        <v>64</v>
      </c>
      <c r="K5056" s="6">
        <v>0.03</v>
      </c>
      <c r="L5056" s="7">
        <f t="shared" si="157"/>
        <v>2E-3</v>
      </c>
      <c r="M5056" s="7">
        <v>3.0000000000000001E-3</v>
      </c>
      <c r="N5056">
        <v>11</v>
      </c>
      <c r="O5056" s="8">
        <v>19.127752698369598</v>
      </c>
      <c r="P5056" s="9">
        <v>19.127752698369598</v>
      </c>
      <c r="Q5056" s="9">
        <v>19.127752698369598</v>
      </c>
      <c r="R5056" s="9">
        <v>19.588754687607715</v>
      </c>
      <c r="S5056" s="9">
        <v>19.892211826137899</v>
      </c>
      <c r="T5056" s="9">
        <v>20.64455772606674</v>
      </c>
      <c r="U5056" s="9">
        <v>22.020224218035128</v>
      </c>
      <c r="V5056" s="9">
        <v>22.020224218035128</v>
      </c>
      <c r="W5056" s="9">
        <v>22.020224218035128</v>
      </c>
      <c r="X5056" s="9">
        <v>24.004435739730138</v>
      </c>
      <c r="Y5056" s="9">
        <v>24.004435739730138</v>
      </c>
      <c r="Z5056" s="9">
        <v>26.075582265671787</v>
      </c>
      <c r="AA5056" s="9">
        <v>26.075582265671787</v>
      </c>
      <c r="AB5056" s="9">
        <v>28.242357296284759</v>
      </c>
      <c r="AC5056" s="9">
        <v>28.242357296284759</v>
      </c>
      <c r="AD5056" s="9">
        <v>32.278785457330969</v>
      </c>
      <c r="AE5056" s="9">
        <v>34.228944830548365</v>
      </c>
      <c r="AF5056" s="9">
        <v>36.293711230319367</v>
      </c>
      <c r="AG5056" s="9">
        <v>36.293711230319367</v>
      </c>
      <c r="AH5056" s="9">
        <v>39.230142171980006</v>
      </c>
      <c r="AI5056" s="9">
        <v>41.357809622501556</v>
      </c>
      <c r="AJ5056" s="9">
        <v>3.0428788910505911</v>
      </c>
    </row>
    <row r="5057" spans="1:36" x14ac:dyDescent="0.25">
      <c r="A5057" t="s">
        <v>5411</v>
      </c>
      <c r="B5057" t="s">
        <v>16</v>
      </c>
      <c r="C5057" t="s">
        <v>17</v>
      </c>
      <c r="D5057">
        <v>87250000</v>
      </c>
      <c r="E5057">
        <v>87259999</v>
      </c>
      <c r="F5057" t="s">
        <v>4587</v>
      </c>
      <c r="G5057" t="str">
        <f t="shared" si="156"/>
        <v>PRI II</v>
      </c>
      <c r="H5057" t="s">
        <v>4294</v>
      </c>
      <c r="I5057" t="s">
        <v>20</v>
      </c>
      <c r="J5057" t="s">
        <v>64</v>
      </c>
      <c r="K5057" s="6">
        <v>0.03</v>
      </c>
      <c r="L5057" s="7">
        <f t="shared" si="157"/>
        <v>2E-3</v>
      </c>
      <c r="M5057" s="7">
        <v>3.0000000000000001E-3</v>
      </c>
      <c r="N5057">
        <v>11</v>
      </c>
      <c r="O5057" s="8">
        <v>19.127752698369598</v>
      </c>
      <c r="P5057" s="9">
        <v>19.127752698369598</v>
      </c>
      <c r="Q5057" s="9">
        <v>19.127752698369598</v>
      </c>
      <c r="R5057" s="9">
        <v>19.588754687607715</v>
      </c>
      <c r="S5057" s="9">
        <v>19.892211826137899</v>
      </c>
      <c r="T5057" s="9">
        <v>20.64455772606674</v>
      </c>
      <c r="U5057" s="9">
        <v>22.020224218035128</v>
      </c>
      <c r="V5057" s="9">
        <v>22.020224218035128</v>
      </c>
      <c r="W5057" s="9">
        <v>22.020224218035128</v>
      </c>
      <c r="X5057" s="9">
        <v>24.004435739730138</v>
      </c>
      <c r="Y5057" s="9">
        <v>24.004435739730138</v>
      </c>
      <c r="Z5057" s="9">
        <v>26.075582265671787</v>
      </c>
      <c r="AA5057" s="9">
        <v>26.075582265671787</v>
      </c>
      <c r="AB5057" s="9">
        <v>28.242357296284759</v>
      </c>
      <c r="AC5057" s="9">
        <v>28.242357296284759</v>
      </c>
      <c r="AD5057" s="9">
        <v>32.278785457330969</v>
      </c>
      <c r="AE5057" s="9">
        <v>34.228944830548365</v>
      </c>
      <c r="AF5057" s="9">
        <v>36.293711230319367</v>
      </c>
      <c r="AG5057" s="9">
        <v>36.293711230319367</v>
      </c>
      <c r="AH5057" s="9">
        <v>39.230142171980006</v>
      </c>
      <c r="AI5057" s="9">
        <v>41.357809622501556</v>
      </c>
      <c r="AJ5057" s="9">
        <v>3.0428788910505911</v>
      </c>
    </row>
    <row r="5058" spans="1:36" x14ac:dyDescent="0.25">
      <c r="A5058" t="s">
        <v>5411</v>
      </c>
      <c r="B5058" t="s">
        <v>16</v>
      </c>
      <c r="C5058" t="s">
        <v>17</v>
      </c>
      <c r="D5058">
        <v>87260000</v>
      </c>
      <c r="E5058">
        <v>87264999</v>
      </c>
      <c r="F5058" t="s">
        <v>2506</v>
      </c>
      <c r="G5058" t="str">
        <f t="shared" si="156"/>
        <v>PRI II</v>
      </c>
      <c r="H5058" t="s">
        <v>4294</v>
      </c>
      <c r="I5058" t="s">
        <v>20</v>
      </c>
      <c r="J5058" t="s">
        <v>64</v>
      </c>
      <c r="K5058" s="6">
        <v>0.03</v>
      </c>
      <c r="L5058" s="7">
        <f t="shared" si="157"/>
        <v>2E-3</v>
      </c>
      <c r="M5058" s="7">
        <v>3.0000000000000001E-3</v>
      </c>
      <c r="N5058">
        <v>11</v>
      </c>
      <c r="O5058" s="8">
        <v>19.127752698369598</v>
      </c>
      <c r="P5058" s="9">
        <v>19.127752698369598</v>
      </c>
      <c r="Q5058" s="9">
        <v>19.127752698369598</v>
      </c>
      <c r="R5058" s="9">
        <v>19.588754687607715</v>
      </c>
      <c r="S5058" s="9">
        <v>19.892211826137899</v>
      </c>
      <c r="T5058" s="9">
        <v>20.64455772606674</v>
      </c>
      <c r="U5058" s="9">
        <v>22.020224218035128</v>
      </c>
      <c r="V5058" s="9">
        <v>22.020224218035128</v>
      </c>
      <c r="W5058" s="9">
        <v>22.020224218035128</v>
      </c>
      <c r="X5058" s="9">
        <v>24.004435739730138</v>
      </c>
      <c r="Y5058" s="9">
        <v>24.004435739730138</v>
      </c>
      <c r="Z5058" s="9">
        <v>26.075582265671787</v>
      </c>
      <c r="AA5058" s="9">
        <v>26.075582265671787</v>
      </c>
      <c r="AB5058" s="9">
        <v>28.242357296284759</v>
      </c>
      <c r="AC5058" s="9">
        <v>28.242357296284759</v>
      </c>
      <c r="AD5058" s="9">
        <v>32.278785457330969</v>
      </c>
      <c r="AE5058" s="9">
        <v>34.228944830548365</v>
      </c>
      <c r="AF5058" s="9">
        <v>36.293711230319367</v>
      </c>
      <c r="AG5058" s="9">
        <v>36.293711230319367</v>
      </c>
      <c r="AH5058" s="9">
        <v>39.230142171980006</v>
      </c>
      <c r="AI5058" s="9">
        <v>41.357809622501556</v>
      </c>
      <c r="AJ5058" s="9">
        <v>3.0428788910505911</v>
      </c>
    </row>
    <row r="5059" spans="1:36" x14ac:dyDescent="0.25">
      <c r="A5059" t="s">
        <v>5411</v>
      </c>
      <c r="B5059" t="s">
        <v>16</v>
      </c>
      <c r="C5059" t="s">
        <v>17</v>
      </c>
      <c r="D5059">
        <v>87265000</v>
      </c>
      <c r="E5059">
        <v>87269999</v>
      </c>
      <c r="F5059" t="s">
        <v>4588</v>
      </c>
      <c r="G5059" t="str">
        <f t="shared" si="156"/>
        <v>PRI II</v>
      </c>
      <c r="H5059" t="s">
        <v>4294</v>
      </c>
      <c r="I5059" t="s">
        <v>20</v>
      </c>
      <c r="J5059" t="s">
        <v>64</v>
      </c>
      <c r="K5059" s="6">
        <v>0.03</v>
      </c>
      <c r="L5059" s="7">
        <f t="shared" si="157"/>
        <v>2E-3</v>
      </c>
      <c r="M5059" s="7">
        <v>3.0000000000000001E-3</v>
      </c>
      <c r="N5059">
        <v>11</v>
      </c>
      <c r="O5059" s="8">
        <v>19.127752698369598</v>
      </c>
      <c r="P5059" s="9">
        <v>19.127752698369598</v>
      </c>
      <c r="Q5059" s="9">
        <v>19.127752698369598</v>
      </c>
      <c r="R5059" s="9">
        <v>19.588754687607715</v>
      </c>
      <c r="S5059" s="9">
        <v>19.892211826137899</v>
      </c>
      <c r="T5059" s="9">
        <v>20.64455772606674</v>
      </c>
      <c r="U5059" s="9">
        <v>22.020224218035128</v>
      </c>
      <c r="V5059" s="9">
        <v>22.020224218035128</v>
      </c>
      <c r="W5059" s="9">
        <v>22.020224218035128</v>
      </c>
      <c r="X5059" s="9">
        <v>24.004435739730138</v>
      </c>
      <c r="Y5059" s="9">
        <v>24.004435739730138</v>
      </c>
      <c r="Z5059" s="9">
        <v>26.075582265671787</v>
      </c>
      <c r="AA5059" s="9">
        <v>26.075582265671787</v>
      </c>
      <c r="AB5059" s="9">
        <v>28.242357296284759</v>
      </c>
      <c r="AC5059" s="9">
        <v>28.242357296284759</v>
      </c>
      <c r="AD5059" s="9">
        <v>32.278785457330969</v>
      </c>
      <c r="AE5059" s="9">
        <v>34.228944830548365</v>
      </c>
      <c r="AF5059" s="9">
        <v>36.293711230319367</v>
      </c>
      <c r="AG5059" s="9">
        <v>36.293711230319367</v>
      </c>
      <c r="AH5059" s="9">
        <v>39.230142171980006</v>
      </c>
      <c r="AI5059" s="9">
        <v>41.357809622501556</v>
      </c>
      <c r="AJ5059" s="9">
        <v>3.0428788910505911</v>
      </c>
    </row>
    <row r="5060" spans="1:36" x14ac:dyDescent="0.25">
      <c r="A5060" t="s">
        <v>5411</v>
      </c>
      <c r="B5060" t="s">
        <v>16</v>
      </c>
      <c r="C5060" t="s">
        <v>17</v>
      </c>
      <c r="D5060">
        <v>87270000</v>
      </c>
      <c r="E5060">
        <v>87279999</v>
      </c>
      <c r="F5060" t="s">
        <v>4589</v>
      </c>
      <c r="G5060" t="str">
        <f t="shared" ref="G5060:G5123" si="158">H5060&amp;IF(J5060="CAPITAL","C",IF(J5060="INTERIOR","I",IF(J5060="INTERIOR II","I II","R")))</f>
        <v>PRI II</v>
      </c>
      <c r="H5060" t="s">
        <v>4294</v>
      </c>
      <c r="I5060" t="s">
        <v>20</v>
      </c>
      <c r="J5060" t="s">
        <v>64</v>
      </c>
      <c r="K5060" s="6">
        <v>0.03</v>
      </c>
      <c r="L5060" s="7">
        <f t="shared" ref="L5060:L5123" si="159">IF(I5060="(0) Não",0.2%,3%)</f>
        <v>2E-3</v>
      </c>
      <c r="M5060" s="7">
        <v>3.0000000000000001E-3</v>
      </c>
      <c r="N5060">
        <v>11</v>
      </c>
      <c r="O5060" s="8">
        <v>19.127752698369598</v>
      </c>
      <c r="P5060" s="9">
        <v>19.127752698369598</v>
      </c>
      <c r="Q5060" s="9">
        <v>19.127752698369598</v>
      </c>
      <c r="R5060" s="9">
        <v>19.588754687607715</v>
      </c>
      <c r="S5060" s="9">
        <v>19.892211826137899</v>
      </c>
      <c r="T5060" s="9">
        <v>20.64455772606674</v>
      </c>
      <c r="U5060" s="9">
        <v>22.020224218035128</v>
      </c>
      <c r="V5060" s="9">
        <v>22.020224218035128</v>
      </c>
      <c r="W5060" s="9">
        <v>22.020224218035128</v>
      </c>
      <c r="X5060" s="9">
        <v>24.004435739730138</v>
      </c>
      <c r="Y5060" s="9">
        <v>24.004435739730138</v>
      </c>
      <c r="Z5060" s="9">
        <v>26.075582265671787</v>
      </c>
      <c r="AA5060" s="9">
        <v>26.075582265671787</v>
      </c>
      <c r="AB5060" s="9">
        <v>28.242357296284759</v>
      </c>
      <c r="AC5060" s="9">
        <v>28.242357296284759</v>
      </c>
      <c r="AD5060" s="9">
        <v>32.278785457330969</v>
      </c>
      <c r="AE5060" s="9">
        <v>34.228944830548365</v>
      </c>
      <c r="AF5060" s="9">
        <v>36.293711230319367</v>
      </c>
      <c r="AG5060" s="9">
        <v>36.293711230319367</v>
      </c>
      <c r="AH5060" s="9">
        <v>39.230142171980006</v>
      </c>
      <c r="AI5060" s="9">
        <v>41.357809622501556</v>
      </c>
      <c r="AJ5060" s="9">
        <v>3.0428788910505911</v>
      </c>
    </row>
    <row r="5061" spans="1:36" x14ac:dyDescent="0.25">
      <c r="A5061" t="s">
        <v>5411</v>
      </c>
      <c r="B5061" t="s">
        <v>16</v>
      </c>
      <c r="C5061" t="s">
        <v>17</v>
      </c>
      <c r="D5061">
        <v>87280000</v>
      </c>
      <c r="E5061">
        <v>87289999</v>
      </c>
      <c r="F5061" t="s">
        <v>4590</v>
      </c>
      <c r="G5061" t="str">
        <f t="shared" si="158"/>
        <v>PRI II</v>
      </c>
      <c r="H5061" t="s">
        <v>4294</v>
      </c>
      <c r="I5061" t="s">
        <v>20</v>
      </c>
      <c r="J5061" t="s">
        <v>64</v>
      </c>
      <c r="K5061" s="6">
        <v>0.03</v>
      </c>
      <c r="L5061" s="7">
        <f t="shared" si="159"/>
        <v>2E-3</v>
      </c>
      <c r="M5061" s="7">
        <v>3.0000000000000001E-3</v>
      </c>
      <c r="N5061">
        <v>11</v>
      </c>
      <c r="O5061" s="8">
        <v>19.127752698369598</v>
      </c>
      <c r="P5061" s="9">
        <v>19.127752698369598</v>
      </c>
      <c r="Q5061" s="9">
        <v>19.127752698369598</v>
      </c>
      <c r="R5061" s="9">
        <v>19.588754687607715</v>
      </c>
      <c r="S5061" s="9">
        <v>19.892211826137899</v>
      </c>
      <c r="T5061" s="9">
        <v>20.64455772606674</v>
      </c>
      <c r="U5061" s="9">
        <v>22.020224218035128</v>
      </c>
      <c r="V5061" s="9">
        <v>22.020224218035128</v>
      </c>
      <c r="W5061" s="9">
        <v>22.020224218035128</v>
      </c>
      <c r="X5061" s="9">
        <v>24.004435739730138</v>
      </c>
      <c r="Y5061" s="9">
        <v>24.004435739730138</v>
      </c>
      <c r="Z5061" s="9">
        <v>26.075582265671787</v>
      </c>
      <c r="AA5061" s="9">
        <v>26.075582265671787</v>
      </c>
      <c r="AB5061" s="9">
        <v>28.242357296284759</v>
      </c>
      <c r="AC5061" s="9">
        <v>28.242357296284759</v>
      </c>
      <c r="AD5061" s="9">
        <v>32.278785457330969</v>
      </c>
      <c r="AE5061" s="9">
        <v>34.228944830548365</v>
      </c>
      <c r="AF5061" s="9">
        <v>36.293711230319367</v>
      </c>
      <c r="AG5061" s="9">
        <v>36.293711230319367</v>
      </c>
      <c r="AH5061" s="9">
        <v>39.230142171980006</v>
      </c>
      <c r="AI5061" s="9">
        <v>41.357809622501556</v>
      </c>
      <c r="AJ5061" s="9">
        <v>3.0428788910505911</v>
      </c>
    </row>
    <row r="5062" spans="1:36" x14ac:dyDescent="0.25">
      <c r="A5062" t="s">
        <v>5411</v>
      </c>
      <c r="B5062" t="s">
        <v>16</v>
      </c>
      <c r="C5062" t="s">
        <v>17</v>
      </c>
      <c r="D5062">
        <v>87290000</v>
      </c>
      <c r="E5062">
        <v>87299999</v>
      </c>
      <c r="F5062" t="s">
        <v>4591</v>
      </c>
      <c r="G5062" t="str">
        <f t="shared" si="158"/>
        <v>PRI II</v>
      </c>
      <c r="H5062" t="s">
        <v>4294</v>
      </c>
      <c r="I5062" t="s">
        <v>20</v>
      </c>
      <c r="J5062" t="s">
        <v>64</v>
      </c>
      <c r="K5062" s="6">
        <v>0.03</v>
      </c>
      <c r="L5062" s="7">
        <f t="shared" si="159"/>
        <v>2E-3</v>
      </c>
      <c r="M5062" s="7">
        <v>3.0000000000000001E-3</v>
      </c>
      <c r="N5062">
        <v>11</v>
      </c>
      <c r="O5062" s="8">
        <v>19.127752698369598</v>
      </c>
      <c r="P5062" s="9">
        <v>19.127752698369598</v>
      </c>
      <c r="Q5062" s="9">
        <v>19.127752698369598</v>
      </c>
      <c r="R5062" s="9">
        <v>19.588754687607715</v>
      </c>
      <c r="S5062" s="9">
        <v>19.892211826137899</v>
      </c>
      <c r="T5062" s="9">
        <v>20.64455772606674</v>
      </c>
      <c r="U5062" s="9">
        <v>22.020224218035128</v>
      </c>
      <c r="V5062" s="9">
        <v>22.020224218035128</v>
      </c>
      <c r="W5062" s="9">
        <v>22.020224218035128</v>
      </c>
      <c r="X5062" s="9">
        <v>24.004435739730138</v>
      </c>
      <c r="Y5062" s="9">
        <v>24.004435739730138</v>
      </c>
      <c r="Z5062" s="9">
        <v>26.075582265671787</v>
      </c>
      <c r="AA5062" s="9">
        <v>26.075582265671787</v>
      </c>
      <c r="AB5062" s="9">
        <v>28.242357296284759</v>
      </c>
      <c r="AC5062" s="9">
        <v>28.242357296284759</v>
      </c>
      <c r="AD5062" s="9">
        <v>32.278785457330969</v>
      </c>
      <c r="AE5062" s="9">
        <v>34.228944830548365</v>
      </c>
      <c r="AF5062" s="9">
        <v>36.293711230319367</v>
      </c>
      <c r="AG5062" s="9">
        <v>36.293711230319367</v>
      </c>
      <c r="AH5062" s="9">
        <v>39.230142171980006</v>
      </c>
      <c r="AI5062" s="9">
        <v>41.357809622501556</v>
      </c>
      <c r="AJ5062" s="9">
        <v>3.0428788910505911</v>
      </c>
    </row>
    <row r="5063" spans="1:36" x14ac:dyDescent="0.25">
      <c r="A5063" t="s">
        <v>5411</v>
      </c>
      <c r="B5063" t="s">
        <v>16</v>
      </c>
      <c r="C5063" t="s">
        <v>17</v>
      </c>
      <c r="D5063">
        <v>87300000</v>
      </c>
      <c r="E5063">
        <v>87319999</v>
      </c>
      <c r="F5063" t="s">
        <v>4592</v>
      </c>
      <c r="G5063" t="str">
        <f t="shared" si="158"/>
        <v>PRI</v>
      </c>
      <c r="H5063" t="s">
        <v>4294</v>
      </c>
      <c r="I5063" t="s">
        <v>20</v>
      </c>
      <c r="J5063" t="s">
        <v>62</v>
      </c>
      <c r="K5063" s="6">
        <v>0.03</v>
      </c>
      <c r="L5063" s="7">
        <f t="shared" si="159"/>
        <v>2E-3</v>
      </c>
      <c r="M5063" s="7">
        <v>3.0000000000000001E-3</v>
      </c>
      <c r="N5063">
        <v>10</v>
      </c>
      <c r="O5063" s="8">
        <v>16.344178346561137</v>
      </c>
      <c r="P5063" s="9">
        <v>16.344178346561137</v>
      </c>
      <c r="Q5063" s="9">
        <v>16.344178346561137</v>
      </c>
      <c r="R5063" s="9">
        <v>16.766533722582309</v>
      </c>
      <c r="S5063" s="9">
        <v>17.709108795625173</v>
      </c>
      <c r="T5063" s="9">
        <v>18.545760454647645</v>
      </c>
      <c r="U5063" s="9">
        <v>20.10723313448154</v>
      </c>
      <c r="V5063" s="9">
        <v>20.10723313448154</v>
      </c>
      <c r="W5063" s="9">
        <v>20.10723313448154</v>
      </c>
      <c r="X5063" s="9">
        <v>21.240951506551678</v>
      </c>
      <c r="Y5063" s="9">
        <v>21.240951506551678</v>
      </c>
      <c r="Z5063" s="9">
        <v>22.557015615717738</v>
      </c>
      <c r="AA5063" s="9">
        <v>22.557015615717738</v>
      </c>
      <c r="AB5063" s="9">
        <v>26.056112270527457</v>
      </c>
      <c r="AC5063" s="9">
        <v>26.056112270527457</v>
      </c>
      <c r="AD5063" s="9">
        <v>30.142276170369946</v>
      </c>
      <c r="AE5063" s="9">
        <v>32.940531048263779</v>
      </c>
      <c r="AF5063" s="9">
        <v>35.920735279325392</v>
      </c>
      <c r="AG5063" s="9">
        <v>35.920735279325392</v>
      </c>
      <c r="AH5063" s="9">
        <v>38.62832670141978</v>
      </c>
      <c r="AI5063" s="9">
        <v>41.239207360528972</v>
      </c>
      <c r="AJ5063" s="9">
        <v>3.0428788910505911</v>
      </c>
    </row>
    <row r="5064" spans="1:36" x14ac:dyDescent="0.25">
      <c r="A5064" t="s">
        <v>5411</v>
      </c>
      <c r="B5064" t="s">
        <v>16</v>
      </c>
      <c r="C5064" t="s">
        <v>17</v>
      </c>
      <c r="D5064">
        <v>87320000</v>
      </c>
      <c r="E5064">
        <v>87324999</v>
      </c>
      <c r="F5064" t="s">
        <v>4593</v>
      </c>
      <c r="G5064" t="str">
        <f t="shared" si="158"/>
        <v>PRI II</v>
      </c>
      <c r="H5064" t="s">
        <v>4294</v>
      </c>
      <c r="I5064" t="s">
        <v>20</v>
      </c>
      <c r="J5064" t="s">
        <v>64</v>
      </c>
      <c r="K5064" s="6">
        <v>0.03</v>
      </c>
      <c r="L5064" s="7">
        <f t="shared" si="159"/>
        <v>2E-3</v>
      </c>
      <c r="M5064" s="7">
        <v>3.0000000000000001E-3</v>
      </c>
      <c r="N5064">
        <v>11</v>
      </c>
      <c r="O5064" s="8">
        <v>19.127752698369598</v>
      </c>
      <c r="P5064" s="9">
        <v>19.127752698369598</v>
      </c>
      <c r="Q5064" s="9">
        <v>19.127752698369598</v>
      </c>
      <c r="R5064" s="9">
        <v>19.588754687607715</v>
      </c>
      <c r="S5064" s="9">
        <v>19.892211826137899</v>
      </c>
      <c r="T5064" s="9">
        <v>20.64455772606674</v>
      </c>
      <c r="U5064" s="9">
        <v>22.020224218035128</v>
      </c>
      <c r="V5064" s="9">
        <v>22.020224218035128</v>
      </c>
      <c r="W5064" s="9">
        <v>22.020224218035128</v>
      </c>
      <c r="X5064" s="9">
        <v>24.004435739730138</v>
      </c>
      <c r="Y5064" s="9">
        <v>24.004435739730138</v>
      </c>
      <c r="Z5064" s="9">
        <v>26.075582265671787</v>
      </c>
      <c r="AA5064" s="9">
        <v>26.075582265671787</v>
      </c>
      <c r="AB5064" s="9">
        <v>28.242357296284759</v>
      </c>
      <c r="AC5064" s="9">
        <v>28.242357296284759</v>
      </c>
      <c r="AD5064" s="9">
        <v>32.278785457330969</v>
      </c>
      <c r="AE5064" s="9">
        <v>34.228944830548365</v>
      </c>
      <c r="AF5064" s="9">
        <v>36.293711230319367</v>
      </c>
      <c r="AG5064" s="9">
        <v>36.293711230319367</v>
      </c>
      <c r="AH5064" s="9">
        <v>39.230142171980006</v>
      </c>
      <c r="AI5064" s="9">
        <v>41.357809622501556</v>
      </c>
      <c r="AJ5064" s="9">
        <v>3.0428788910505911</v>
      </c>
    </row>
    <row r="5065" spans="1:36" x14ac:dyDescent="0.25">
      <c r="A5065" t="s">
        <v>5411</v>
      </c>
      <c r="B5065" t="s">
        <v>16</v>
      </c>
      <c r="C5065" t="s">
        <v>17</v>
      </c>
      <c r="D5065">
        <v>87325000</v>
      </c>
      <c r="E5065">
        <v>87329999</v>
      </c>
      <c r="F5065" t="s">
        <v>4594</v>
      </c>
      <c r="G5065" t="str">
        <f t="shared" si="158"/>
        <v>PRI II</v>
      </c>
      <c r="H5065" t="s">
        <v>4294</v>
      </c>
      <c r="I5065" t="s">
        <v>20</v>
      </c>
      <c r="J5065" t="s">
        <v>64</v>
      </c>
      <c r="K5065" s="6">
        <v>0.03</v>
      </c>
      <c r="L5065" s="7">
        <f t="shared" si="159"/>
        <v>2E-3</v>
      </c>
      <c r="M5065" s="7">
        <v>3.0000000000000001E-3</v>
      </c>
      <c r="N5065">
        <v>11</v>
      </c>
      <c r="O5065" s="8">
        <v>19.127752698369598</v>
      </c>
      <c r="P5065" s="9">
        <v>19.127752698369598</v>
      </c>
      <c r="Q5065" s="9">
        <v>19.127752698369598</v>
      </c>
      <c r="R5065" s="9">
        <v>19.588754687607715</v>
      </c>
      <c r="S5065" s="9">
        <v>19.892211826137899</v>
      </c>
      <c r="T5065" s="9">
        <v>20.64455772606674</v>
      </c>
      <c r="U5065" s="9">
        <v>22.020224218035128</v>
      </c>
      <c r="V5065" s="9">
        <v>22.020224218035128</v>
      </c>
      <c r="W5065" s="9">
        <v>22.020224218035128</v>
      </c>
      <c r="X5065" s="9">
        <v>24.004435739730138</v>
      </c>
      <c r="Y5065" s="9">
        <v>24.004435739730138</v>
      </c>
      <c r="Z5065" s="9">
        <v>26.075582265671787</v>
      </c>
      <c r="AA5065" s="9">
        <v>26.075582265671787</v>
      </c>
      <c r="AB5065" s="9">
        <v>28.242357296284759</v>
      </c>
      <c r="AC5065" s="9">
        <v>28.242357296284759</v>
      </c>
      <c r="AD5065" s="9">
        <v>32.278785457330969</v>
      </c>
      <c r="AE5065" s="9">
        <v>34.228944830548365</v>
      </c>
      <c r="AF5065" s="9">
        <v>36.293711230319367</v>
      </c>
      <c r="AG5065" s="9">
        <v>36.293711230319367</v>
      </c>
      <c r="AH5065" s="9">
        <v>39.230142171980006</v>
      </c>
      <c r="AI5065" s="9">
        <v>41.357809622501556</v>
      </c>
      <c r="AJ5065" s="9">
        <v>3.0428788910505911</v>
      </c>
    </row>
    <row r="5066" spans="1:36" x14ac:dyDescent="0.25">
      <c r="A5066" t="s">
        <v>5411</v>
      </c>
      <c r="B5066" t="s">
        <v>16</v>
      </c>
      <c r="C5066" t="s">
        <v>17</v>
      </c>
      <c r="D5066">
        <v>87330000</v>
      </c>
      <c r="E5066">
        <v>87339999</v>
      </c>
      <c r="F5066" t="s">
        <v>4595</v>
      </c>
      <c r="G5066" t="str">
        <f t="shared" si="158"/>
        <v>PRI II</v>
      </c>
      <c r="H5066" t="s">
        <v>4294</v>
      </c>
      <c r="I5066" t="s">
        <v>20</v>
      </c>
      <c r="J5066" t="s">
        <v>64</v>
      </c>
      <c r="K5066" s="6">
        <v>0.03</v>
      </c>
      <c r="L5066" s="7">
        <f t="shared" si="159"/>
        <v>2E-3</v>
      </c>
      <c r="M5066" s="7">
        <v>3.0000000000000001E-3</v>
      </c>
      <c r="N5066">
        <v>11</v>
      </c>
      <c r="O5066" s="8">
        <v>19.127752698369598</v>
      </c>
      <c r="P5066" s="9">
        <v>19.127752698369598</v>
      </c>
      <c r="Q5066" s="9">
        <v>19.127752698369598</v>
      </c>
      <c r="R5066" s="9">
        <v>19.588754687607715</v>
      </c>
      <c r="S5066" s="9">
        <v>19.892211826137899</v>
      </c>
      <c r="T5066" s="9">
        <v>20.64455772606674</v>
      </c>
      <c r="U5066" s="9">
        <v>22.020224218035128</v>
      </c>
      <c r="V5066" s="9">
        <v>22.020224218035128</v>
      </c>
      <c r="W5066" s="9">
        <v>22.020224218035128</v>
      </c>
      <c r="X5066" s="9">
        <v>24.004435739730138</v>
      </c>
      <c r="Y5066" s="9">
        <v>24.004435739730138</v>
      </c>
      <c r="Z5066" s="9">
        <v>26.075582265671787</v>
      </c>
      <c r="AA5066" s="9">
        <v>26.075582265671787</v>
      </c>
      <c r="AB5066" s="9">
        <v>28.242357296284759</v>
      </c>
      <c r="AC5066" s="9">
        <v>28.242357296284759</v>
      </c>
      <c r="AD5066" s="9">
        <v>32.278785457330969</v>
      </c>
      <c r="AE5066" s="9">
        <v>34.228944830548365</v>
      </c>
      <c r="AF5066" s="9">
        <v>36.293711230319367</v>
      </c>
      <c r="AG5066" s="9">
        <v>36.293711230319367</v>
      </c>
      <c r="AH5066" s="9">
        <v>39.230142171980006</v>
      </c>
      <c r="AI5066" s="9">
        <v>41.357809622501556</v>
      </c>
      <c r="AJ5066" s="9">
        <v>3.0428788910505911</v>
      </c>
    </row>
    <row r="5067" spans="1:36" x14ac:dyDescent="0.25">
      <c r="A5067" t="s">
        <v>5411</v>
      </c>
      <c r="B5067" t="s">
        <v>16</v>
      </c>
      <c r="C5067" t="s">
        <v>17</v>
      </c>
      <c r="D5067">
        <v>87340000</v>
      </c>
      <c r="E5067">
        <v>87344999</v>
      </c>
      <c r="F5067" t="s">
        <v>4596</v>
      </c>
      <c r="G5067" t="str">
        <f t="shared" si="158"/>
        <v>PRI II</v>
      </c>
      <c r="H5067" t="s">
        <v>4294</v>
      </c>
      <c r="I5067" t="s">
        <v>20</v>
      </c>
      <c r="J5067" t="s">
        <v>64</v>
      </c>
      <c r="K5067" s="6">
        <v>0.03</v>
      </c>
      <c r="L5067" s="7">
        <f t="shared" si="159"/>
        <v>2E-3</v>
      </c>
      <c r="M5067" s="7">
        <v>3.0000000000000001E-3</v>
      </c>
      <c r="N5067">
        <v>11</v>
      </c>
      <c r="O5067" s="8">
        <v>19.127752698369598</v>
      </c>
      <c r="P5067" s="9">
        <v>19.127752698369598</v>
      </c>
      <c r="Q5067" s="9">
        <v>19.127752698369598</v>
      </c>
      <c r="R5067" s="9">
        <v>19.588754687607715</v>
      </c>
      <c r="S5067" s="9">
        <v>19.892211826137899</v>
      </c>
      <c r="T5067" s="9">
        <v>20.64455772606674</v>
      </c>
      <c r="U5067" s="9">
        <v>22.020224218035128</v>
      </c>
      <c r="V5067" s="9">
        <v>22.020224218035128</v>
      </c>
      <c r="W5067" s="9">
        <v>22.020224218035128</v>
      </c>
      <c r="X5067" s="9">
        <v>24.004435739730138</v>
      </c>
      <c r="Y5067" s="9">
        <v>24.004435739730138</v>
      </c>
      <c r="Z5067" s="9">
        <v>26.075582265671787</v>
      </c>
      <c r="AA5067" s="9">
        <v>26.075582265671787</v>
      </c>
      <c r="AB5067" s="9">
        <v>28.242357296284759</v>
      </c>
      <c r="AC5067" s="9">
        <v>28.242357296284759</v>
      </c>
      <c r="AD5067" s="9">
        <v>32.278785457330969</v>
      </c>
      <c r="AE5067" s="9">
        <v>34.228944830548365</v>
      </c>
      <c r="AF5067" s="9">
        <v>36.293711230319367</v>
      </c>
      <c r="AG5067" s="9">
        <v>36.293711230319367</v>
      </c>
      <c r="AH5067" s="9">
        <v>39.230142171980006</v>
      </c>
      <c r="AI5067" s="9">
        <v>41.357809622501556</v>
      </c>
      <c r="AJ5067" s="9">
        <v>3.0428788910505911</v>
      </c>
    </row>
    <row r="5068" spans="1:36" x14ac:dyDescent="0.25">
      <c r="A5068" t="s">
        <v>5411</v>
      </c>
      <c r="B5068" t="s">
        <v>16</v>
      </c>
      <c r="C5068" t="s">
        <v>17</v>
      </c>
      <c r="D5068">
        <v>87345000</v>
      </c>
      <c r="E5068">
        <v>87354999</v>
      </c>
      <c r="F5068" t="s">
        <v>4597</v>
      </c>
      <c r="G5068" t="str">
        <f t="shared" si="158"/>
        <v>PRI II</v>
      </c>
      <c r="H5068" t="s">
        <v>4294</v>
      </c>
      <c r="I5068" t="s">
        <v>20</v>
      </c>
      <c r="J5068" t="s">
        <v>64</v>
      </c>
      <c r="K5068" s="6">
        <v>0.03</v>
      </c>
      <c r="L5068" s="7">
        <f t="shared" si="159"/>
        <v>2E-3</v>
      </c>
      <c r="M5068" s="7">
        <v>3.0000000000000001E-3</v>
      </c>
      <c r="N5068">
        <v>11</v>
      </c>
      <c r="O5068" s="8">
        <v>19.127752698369598</v>
      </c>
      <c r="P5068" s="9">
        <v>19.127752698369598</v>
      </c>
      <c r="Q5068" s="9">
        <v>19.127752698369598</v>
      </c>
      <c r="R5068" s="9">
        <v>19.588754687607715</v>
      </c>
      <c r="S5068" s="9">
        <v>19.892211826137899</v>
      </c>
      <c r="T5068" s="9">
        <v>20.64455772606674</v>
      </c>
      <c r="U5068" s="9">
        <v>22.020224218035128</v>
      </c>
      <c r="V5068" s="9">
        <v>22.020224218035128</v>
      </c>
      <c r="W5068" s="9">
        <v>22.020224218035128</v>
      </c>
      <c r="X5068" s="9">
        <v>24.004435739730138</v>
      </c>
      <c r="Y5068" s="9">
        <v>24.004435739730138</v>
      </c>
      <c r="Z5068" s="9">
        <v>26.075582265671787</v>
      </c>
      <c r="AA5068" s="9">
        <v>26.075582265671787</v>
      </c>
      <c r="AB5068" s="9">
        <v>28.242357296284759</v>
      </c>
      <c r="AC5068" s="9">
        <v>28.242357296284759</v>
      </c>
      <c r="AD5068" s="9">
        <v>32.278785457330969</v>
      </c>
      <c r="AE5068" s="9">
        <v>34.228944830548365</v>
      </c>
      <c r="AF5068" s="9">
        <v>36.293711230319367</v>
      </c>
      <c r="AG5068" s="9">
        <v>36.293711230319367</v>
      </c>
      <c r="AH5068" s="9">
        <v>39.230142171980006</v>
      </c>
      <c r="AI5068" s="9">
        <v>41.357809622501556</v>
      </c>
      <c r="AJ5068" s="9">
        <v>3.0428788910505911</v>
      </c>
    </row>
    <row r="5069" spans="1:36" x14ac:dyDescent="0.25">
      <c r="A5069" t="s">
        <v>5411</v>
      </c>
      <c r="B5069" t="s">
        <v>16</v>
      </c>
      <c r="C5069" t="s">
        <v>17</v>
      </c>
      <c r="D5069">
        <v>87355000</v>
      </c>
      <c r="E5069">
        <v>87359999</v>
      </c>
      <c r="F5069" t="s">
        <v>4598</v>
      </c>
      <c r="G5069" t="str">
        <f t="shared" si="158"/>
        <v>PRI II</v>
      </c>
      <c r="H5069" t="s">
        <v>4294</v>
      </c>
      <c r="I5069" t="s">
        <v>20</v>
      </c>
      <c r="J5069" t="s">
        <v>64</v>
      </c>
      <c r="K5069" s="6">
        <v>0.03</v>
      </c>
      <c r="L5069" s="7">
        <f t="shared" si="159"/>
        <v>2E-3</v>
      </c>
      <c r="M5069" s="7">
        <v>3.0000000000000001E-3</v>
      </c>
      <c r="N5069">
        <v>11</v>
      </c>
      <c r="O5069" s="8">
        <v>19.127752698369598</v>
      </c>
      <c r="P5069" s="9">
        <v>19.127752698369598</v>
      </c>
      <c r="Q5069" s="9">
        <v>19.127752698369598</v>
      </c>
      <c r="R5069" s="9">
        <v>19.588754687607715</v>
      </c>
      <c r="S5069" s="9">
        <v>19.892211826137899</v>
      </c>
      <c r="T5069" s="9">
        <v>20.64455772606674</v>
      </c>
      <c r="U5069" s="9">
        <v>22.020224218035128</v>
      </c>
      <c r="V5069" s="9">
        <v>22.020224218035128</v>
      </c>
      <c r="W5069" s="9">
        <v>22.020224218035128</v>
      </c>
      <c r="X5069" s="9">
        <v>24.004435739730138</v>
      </c>
      <c r="Y5069" s="9">
        <v>24.004435739730138</v>
      </c>
      <c r="Z5069" s="9">
        <v>26.075582265671787</v>
      </c>
      <c r="AA5069" s="9">
        <v>26.075582265671787</v>
      </c>
      <c r="AB5069" s="9">
        <v>28.242357296284759</v>
      </c>
      <c r="AC5069" s="9">
        <v>28.242357296284759</v>
      </c>
      <c r="AD5069" s="9">
        <v>32.278785457330969</v>
      </c>
      <c r="AE5069" s="9">
        <v>34.228944830548365</v>
      </c>
      <c r="AF5069" s="9">
        <v>36.293711230319367</v>
      </c>
      <c r="AG5069" s="9">
        <v>36.293711230319367</v>
      </c>
      <c r="AH5069" s="9">
        <v>39.230142171980006</v>
      </c>
      <c r="AI5069" s="9">
        <v>41.357809622501556</v>
      </c>
      <c r="AJ5069" s="9">
        <v>3.0428788910505911</v>
      </c>
    </row>
    <row r="5070" spans="1:36" x14ac:dyDescent="0.25">
      <c r="A5070" t="s">
        <v>5411</v>
      </c>
      <c r="B5070" t="s">
        <v>16</v>
      </c>
      <c r="C5070" t="s">
        <v>17</v>
      </c>
      <c r="D5070">
        <v>87360000</v>
      </c>
      <c r="E5070">
        <v>87364999</v>
      </c>
      <c r="F5070" t="s">
        <v>4599</v>
      </c>
      <c r="G5070" t="str">
        <f t="shared" si="158"/>
        <v>PRI II</v>
      </c>
      <c r="H5070" t="s">
        <v>4294</v>
      </c>
      <c r="I5070" t="s">
        <v>20</v>
      </c>
      <c r="J5070" t="s">
        <v>64</v>
      </c>
      <c r="K5070" s="6">
        <v>0.03</v>
      </c>
      <c r="L5070" s="7">
        <f t="shared" si="159"/>
        <v>2E-3</v>
      </c>
      <c r="M5070" s="7">
        <v>3.0000000000000001E-3</v>
      </c>
      <c r="N5070">
        <v>11</v>
      </c>
      <c r="O5070" s="8">
        <v>19.127752698369598</v>
      </c>
      <c r="P5070" s="9">
        <v>19.127752698369598</v>
      </c>
      <c r="Q5070" s="9">
        <v>19.127752698369598</v>
      </c>
      <c r="R5070" s="9">
        <v>19.588754687607715</v>
      </c>
      <c r="S5070" s="9">
        <v>19.892211826137899</v>
      </c>
      <c r="T5070" s="9">
        <v>20.64455772606674</v>
      </c>
      <c r="U5070" s="9">
        <v>22.020224218035128</v>
      </c>
      <c r="V5070" s="9">
        <v>22.020224218035128</v>
      </c>
      <c r="W5070" s="9">
        <v>22.020224218035128</v>
      </c>
      <c r="X5070" s="9">
        <v>24.004435739730138</v>
      </c>
      <c r="Y5070" s="9">
        <v>24.004435739730138</v>
      </c>
      <c r="Z5070" s="9">
        <v>26.075582265671787</v>
      </c>
      <c r="AA5070" s="9">
        <v>26.075582265671787</v>
      </c>
      <c r="AB5070" s="9">
        <v>28.242357296284759</v>
      </c>
      <c r="AC5070" s="9">
        <v>28.242357296284759</v>
      </c>
      <c r="AD5070" s="9">
        <v>32.278785457330969</v>
      </c>
      <c r="AE5070" s="9">
        <v>34.228944830548365</v>
      </c>
      <c r="AF5070" s="9">
        <v>36.293711230319367</v>
      </c>
      <c r="AG5070" s="9">
        <v>36.293711230319367</v>
      </c>
      <c r="AH5070" s="9">
        <v>39.230142171980006</v>
      </c>
      <c r="AI5070" s="9">
        <v>41.357809622501556</v>
      </c>
      <c r="AJ5070" s="9">
        <v>3.0428788910505911</v>
      </c>
    </row>
    <row r="5071" spans="1:36" x14ac:dyDescent="0.25">
      <c r="A5071" t="s">
        <v>5411</v>
      </c>
      <c r="B5071" t="s">
        <v>16</v>
      </c>
      <c r="C5071" t="s">
        <v>17</v>
      </c>
      <c r="D5071">
        <v>87365000</v>
      </c>
      <c r="E5071">
        <v>87369999</v>
      </c>
      <c r="F5071" t="s">
        <v>4600</v>
      </c>
      <c r="G5071" t="str">
        <f t="shared" si="158"/>
        <v>PRI II</v>
      </c>
      <c r="H5071" t="s">
        <v>4294</v>
      </c>
      <c r="I5071" t="s">
        <v>20</v>
      </c>
      <c r="J5071" t="s">
        <v>64</v>
      </c>
      <c r="K5071" s="6">
        <v>0.03</v>
      </c>
      <c r="L5071" s="7">
        <f t="shared" si="159"/>
        <v>2E-3</v>
      </c>
      <c r="M5071" s="7">
        <v>3.0000000000000001E-3</v>
      </c>
      <c r="N5071">
        <v>11</v>
      </c>
      <c r="O5071" s="8">
        <v>19.127752698369598</v>
      </c>
      <c r="P5071" s="9">
        <v>19.127752698369598</v>
      </c>
      <c r="Q5071" s="9">
        <v>19.127752698369598</v>
      </c>
      <c r="R5071" s="9">
        <v>19.588754687607715</v>
      </c>
      <c r="S5071" s="9">
        <v>19.892211826137899</v>
      </c>
      <c r="T5071" s="9">
        <v>20.64455772606674</v>
      </c>
      <c r="U5071" s="9">
        <v>22.020224218035128</v>
      </c>
      <c r="V5071" s="9">
        <v>22.020224218035128</v>
      </c>
      <c r="W5071" s="9">
        <v>22.020224218035128</v>
      </c>
      <c r="X5071" s="9">
        <v>24.004435739730138</v>
      </c>
      <c r="Y5071" s="9">
        <v>24.004435739730138</v>
      </c>
      <c r="Z5071" s="9">
        <v>26.075582265671787</v>
      </c>
      <c r="AA5071" s="9">
        <v>26.075582265671787</v>
      </c>
      <c r="AB5071" s="9">
        <v>28.242357296284759</v>
      </c>
      <c r="AC5071" s="9">
        <v>28.242357296284759</v>
      </c>
      <c r="AD5071" s="9">
        <v>32.278785457330969</v>
      </c>
      <c r="AE5071" s="9">
        <v>34.228944830548365</v>
      </c>
      <c r="AF5071" s="9">
        <v>36.293711230319367</v>
      </c>
      <c r="AG5071" s="9">
        <v>36.293711230319367</v>
      </c>
      <c r="AH5071" s="9">
        <v>39.230142171980006</v>
      </c>
      <c r="AI5071" s="9">
        <v>41.357809622501556</v>
      </c>
      <c r="AJ5071" s="9">
        <v>3.0428788910505911</v>
      </c>
    </row>
    <row r="5072" spans="1:36" x14ac:dyDescent="0.25">
      <c r="A5072" t="s">
        <v>5411</v>
      </c>
      <c r="B5072" t="s">
        <v>16</v>
      </c>
      <c r="C5072" t="s">
        <v>17</v>
      </c>
      <c r="D5072">
        <v>87370000</v>
      </c>
      <c r="E5072">
        <v>87379999</v>
      </c>
      <c r="F5072" t="s">
        <v>4601</v>
      </c>
      <c r="G5072" t="str">
        <f t="shared" si="158"/>
        <v>PRI II</v>
      </c>
      <c r="H5072" t="s">
        <v>4294</v>
      </c>
      <c r="I5072" t="s">
        <v>20</v>
      </c>
      <c r="J5072" t="s">
        <v>64</v>
      </c>
      <c r="K5072" s="6">
        <v>0.03</v>
      </c>
      <c r="L5072" s="7">
        <f t="shared" si="159"/>
        <v>2E-3</v>
      </c>
      <c r="M5072" s="7">
        <v>3.0000000000000001E-3</v>
      </c>
      <c r="N5072">
        <v>11</v>
      </c>
      <c r="O5072" s="8">
        <v>19.127752698369598</v>
      </c>
      <c r="P5072" s="9">
        <v>19.127752698369598</v>
      </c>
      <c r="Q5072" s="9">
        <v>19.127752698369598</v>
      </c>
      <c r="R5072" s="9">
        <v>19.588754687607715</v>
      </c>
      <c r="S5072" s="9">
        <v>19.892211826137899</v>
      </c>
      <c r="T5072" s="9">
        <v>20.64455772606674</v>
      </c>
      <c r="U5072" s="9">
        <v>22.020224218035128</v>
      </c>
      <c r="V5072" s="9">
        <v>22.020224218035128</v>
      </c>
      <c r="W5072" s="9">
        <v>22.020224218035128</v>
      </c>
      <c r="X5072" s="9">
        <v>24.004435739730138</v>
      </c>
      <c r="Y5072" s="9">
        <v>24.004435739730138</v>
      </c>
      <c r="Z5072" s="9">
        <v>26.075582265671787</v>
      </c>
      <c r="AA5072" s="9">
        <v>26.075582265671787</v>
      </c>
      <c r="AB5072" s="9">
        <v>28.242357296284759</v>
      </c>
      <c r="AC5072" s="9">
        <v>28.242357296284759</v>
      </c>
      <c r="AD5072" s="9">
        <v>32.278785457330969</v>
      </c>
      <c r="AE5072" s="9">
        <v>34.228944830548365</v>
      </c>
      <c r="AF5072" s="9">
        <v>36.293711230319367</v>
      </c>
      <c r="AG5072" s="9">
        <v>36.293711230319367</v>
      </c>
      <c r="AH5072" s="9">
        <v>39.230142171980006</v>
      </c>
      <c r="AI5072" s="9">
        <v>41.357809622501556</v>
      </c>
      <c r="AJ5072" s="9">
        <v>3.0428788910505911</v>
      </c>
    </row>
    <row r="5073" spans="1:36" x14ac:dyDescent="0.25">
      <c r="A5073" t="s">
        <v>5411</v>
      </c>
      <c r="B5073" t="s">
        <v>16</v>
      </c>
      <c r="C5073" t="s">
        <v>17</v>
      </c>
      <c r="D5073">
        <v>87380000</v>
      </c>
      <c r="E5073">
        <v>87389999</v>
      </c>
      <c r="F5073" t="s">
        <v>4602</v>
      </c>
      <c r="G5073" t="str">
        <f t="shared" si="158"/>
        <v>PRI II</v>
      </c>
      <c r="H5073" t="s">
        <v>4294</v>
      </c>
      <c r="I5073" t="s">
        <v>20</v>
      </c>
      <c r="J5073" t="s">
        <v>64</v>
      </c>
      <c r="K5073" s="6">
        <v>0.03</v>
      </c>
      <c r="L5073" s="7">
        <f t="shared" si="159"/>
        <v>2E-3</v>
      </c>
      <c r="M5073" s="7">
        <v>3.0000000000000001E-3</v>
      </c>
      <c r="N5073">
        <v>11</v>
      </c>
      <c r="O5073" s="8">
        <v>19.127752698369598</v>
      </c>
      <c r="P5073" s="9">
        <v>19.127752698369598</v>
      </c>
      <c r="Q5073" s="9">
        <v>19.127752698369598</v>
      </c>
      <c r="R5073" s="9">
        <v>19.588754687607715</v>
      </c>
      <c r="S5073" s="9">
        <v>19.892211826137899</v>
      </c>
      <c r="T5073" s="9">
        <v>20.64455772606674</v>
      </c>
      <c r="U5073" s="9">
        <v>22.020224218035128</v>
      </c>
      <c r="V5073" s="9">
        <v>22.020224218035128</v>
      </c>
      <c r="W5073" s="9">
        <v>22.020224218035128</v>
      </c>
      <c r="X5073" s="9">
        <v>24.004435739730138</v>
      </c>
      <c r="Y5073" s="9">
        <v>24.004435739730138</v>
      </c>
      <c r="Z5073" s="9">
        <v>26.075582265671787</v>
      </c>
      <c r="AA5073" s="9">
        <v>26.075582265671787</v>
      </c>
      <c r="AB5073" s="9">
        <v>28.242357296284759</v>
      </c>
      <c r="AC5073" s="9">
        <v>28.242357296284759</v>
      </c>
      <c r="AD5073" s="9">
        <v>32.278785457330969</v>
      </c>
      <c r="AE5073" s="9">
        <v>34.228944830548365</v>
      </c>
      <c r="AF5073" s="9">
        <v>36.293711230319367</v>
      </c>
      <c r="AG5073" s="9">
        <v>36.293711230319367</v>
      </c>
      <c r="AH5073" s="9">
        <v>39.230142171980006</v>
      </c>
      <c r="AI5073" s="9">
        <v>41.357809622501556</v>
      </c>
      <c r="AJ5073" s="9">
        <v>3.0428788910505911</v>
      </c>
    </row>
    <row r="5074" spans="1:36" x14ac:dyDescent="0.25">
      <c r="A5074" t="s">
        <v>5411</v>
      </c>
      <c r="B5074" t="s">
        <v>16</v>
      </c>
      <c r="C5074" t="s">
        <v>17</v>
      </c>
      <c r="D5074">
        <v>87390000</v>
      </c>
      <c r="E5074">
        <v>87394999</v>
      </c>
      <c r="F5074" t="s">
        <v>837</v>
      </c>
      <c r="G5074" t="str">
        <f t="shared" si="158"/>
        <v>PRI II</v>
      </c>
      <c r="H5074" t="s">
        <v>4294</v>
      </c>
      <c r="I5074" t="s">
        <v>20</v>
      </c>
      <c r="J5074" t="s">
        <v>64</v>
      </c>
      <c r="K5074" s="6">
        <v>0.03</v>
      </c>
      <c r="L5074" s="7">
        <f t="shared" si="159"/>
        <v>2E-3</v>
      </c>
      <c r="M5074" s="7">
        <v>3.0000000000000001E-3</v>
      </c>
      <c r="N5074">
        <v>11</v>
      </c>
      <c r="O5074" s="8">
        <v>19.127752698369598</v>
      </c>
      <c r="P5074" s="9">
        <v>19.127752698369598</v>
      </c>
      <c r="Q5074" s="9">
        <v>19.127752698369598</v>
      </c>
      <c r="R5074" s="9">
        <v>19.588754687607715</v>
      </c>
      <c r="S5074" s="9">
        <v>19.892211826137899</v>
      </c>
      <c r="T5074" s="9">
        <v>20.64455772606674</v>
      </c>
      <c r="U5074" s="9">
        <v>22.020224218035128</v>
      </c>
      <c r="V5074" s="9">
        <v>22.020224218035128</v>
      </c>
      <c r="W5074" s="9">
        <v>22.020224218035128</v>
      </c>
      <c r="X5074" s="9">
        <v>24.004435739730138</v>
      </c>
      <c r="Y5074" s="9">
        <v>24.004435739730138</v>
      </c>
      <c r="Z5074" s="9">
        <v>26.075582265671787</v>
      </c>
      <c r="AA5074" s="9">
        <v>26.075582265671787</v>
      </c>
      <c r="AB5074" s="9">
        <v>28.242357296284759</v>
      </c>
      <c r="AC5074" s="9">
        <v>28.242357296284759</v>
      </c>
      <c r="AD5074" s="9">
        <v>32.278785457330969</v>
      </c>
      <c r="AE5074" s="9">
        <v>34.228944830548365</v>
      </c>
      <c r="AF5074" s="9">
        <v>36.293711230319367</v>
      </c>
      <c r="AG5074" s="9">
        <v>36.293711230319367</v>
      </c>
      <c r="AH5074" s="9">
        <v>39.230142171980006</v>
      </c>
      <c r="AI5074" s="9">
        <v>41.357809622501556</v>
      </c>
      <c r="AJ5074" s="9">
        <v>3.0428788910505911</v>
      </c>
    </row>
    <row r="5075" spans="1:36" x14ac:dyDescent="0.25">
      <c r="A5075" t="s">
        <v>5411</v>
      </c>
      <c r="B5075" t="s">
        <v>16</v>
      </c>
      <c r="C5075" t="s">
        <v>17</v>
      </c>
      <c r="D5075">
        <v>87395000</v>
      </c>
      <c r="E5075">
        <v>87399999</v>
      </c>
      <c r="F5075" t="s">
        <v>4603</v>
      </c>
      <c r="G5075" t="str">
        <f t="shared" si="158"/>
        <v>PRI II</v>
      </c>
      <c r="H5075" t="s">
        <v>4294</v>
      </c>
      <c r="I5075" t="s">
        <v>20</v>
      </c>
      <c r="J5075" t="s">
        <v>64</v>
      </c>
      <c r="K5075" s="6">
        <v>0.03</v>
      </c>
      <c r="L5075" s="7">
        <f t="shared" si="159"/>
        <v>2E-3</v>
      </c>
      <c r="M5075" s="7">
        <v>3.0000000000000001E-3</v>
      </c>
      <c r="N5075">
        <v>11</v>
      </c>
      <c r="O5075" s="8">
        <v>19.127752698369598</v>
      </c>
      <c r="P5075" s="9">
        <v>19.127752698369598</v>
      </c>
      <c r="Q5075" s="9">
        <v>19.127752698369598</v>
      </c>
      <c r="R5075" s="9">
        <v>19.588754687607715</v>
      </c>
      <c r="S5075" s="9">
        <v>19.892211826137899</v>
      </c>
      <c r="T5075" s="9">
        <v>20.64455772606674</v>
      </c>
      <c r="U5075" s="9">
        <v>22.020224218035128</v>
      </c>
      <c r="V5075" s="9">
        <v>22.020224218035128</v>
      </c>
      <c r="W5075" s="9">
        <v>22.020224218035128</v>
      </c>
      <c r="X5075" s="9">
        <v>24.004435739730138</v>
      </c>
      <c r="Y5075" s="9">
        <v>24.004435739730138</v>
      </c>
      <c r="Z5075" s="9">
        <v>26.075582265671787</v>
      </c>
      <c r="AA5075" s="9">
        <v>26.075582265671787</v>
      </c>
      <c r="AB5075" s="9">
        <v>28.242357296284759</v>
      </c>
      <c r="AC5075" s="9">
        <v>28.242357296284759</v>
      </c>
      <c r="AD5075" s="9">
        <v>32.278785457330969</v>
      </c>
      <c r="AE5075" s="9">
        <v>34.228944830548365</v>
      </c>
      <c r="AF5075" s="9">
        <v>36.293711230319367</v>
      </c>
      <c r="AG5075" s="9">
        <v>36.293711230319367</v>
      </c>
      <c r="AH5075" s="9">
        <v>39.230142171980006</v>
      </c>
      <c r="AI5075" s="9">
        <v>41.357809622501556</v>
      </c>
      <c r="AJ5075" s="9">
        <v>3.0428788910505911</v>
      </c>
    </row>
    <row r="5076" spans="1:36" x14ac:dyDescent="0.25">
      <c r="A5076" t="s">
        <v>5411</v>
      </c>
      <c r="B5076" t="s">
        <v>16</v>
      </c>
      <c r="C5076" t="s">
        <v>17</v>
      </c>
      <c r="D5076">
        <v>87400000</v>
      </c>
      <c r="E5076">
        <v>87429999</v>
      </c>
      <c r="F5076" t="s">
        <v>4604</v>
      </c>
      <c r="G5076" t="str">
        <f t="shared" si="158"/>
        <v>PRI II</v>
      </c>
      <c r="H5076" t="s">
        <v>4294</v>
      </c>
      <c r="I5076" t="s">
        <v>20</v>
      </c>
      <c r="J5076" t="s">
        <v>64</v>
      </c>
      <c r="K5076" s="6">
        <v>0.03</v>
      </c>
      <c r="L5076" s="7">
        <f t="shared" si="159"/>
        <v>2E-3</v>
      </c>
      <c r="M5076" s="7">
        <v>3.0000000000000001E-3</v>
      </c>
      <c r="N5076">
        <v>11</v>
      </c>
      <c r="O5076" s="8">
        <v>19.127752698369598</v>
      </c>
      <c r="P5076" s="9">
        <v>19.127752698369598</v>
      </c>
      <c r="Q5076" s="9">
        <v>19.127752698369598</v>
      </c>
      <c r="R5076" s="9">
        <v>19.588754687607715</v>
      </c>
      <c r="S5076" s="9">
        <v>19.892211826137899</v>
      </c>
      <c r="T5076" s="9">
        <v>20.64455772606674</v>
      </c>
      <c r="U5076" s="9">
        <v>22.020224218035128</v>
      </c>
      <c r="V5076" s="9">
        <v>22.020224218035128</v>
      </c>
      <c r="W5076" s="9">
        <v>22.020224218035128</v>
      </c>
      <c r="X5076" s="9">
        <v>24.004435739730138</v>
      </c>
      <c r="Y5076" s="9">
        <v>24.004435739730138</v>
      </c>
      <c r="Z5076" s="9">
        <v>26.075582265671787</v>
      </c>
      <c r="AA5076" s="9">
        <v>26.075582265671787</v>
      </c>
      <c r="AB5076" s="9">
        <v>28.242357296284759</v>
      </c>
      <c r="AC5076" s="9">
        <v>28.242357296284759</v>
      </c>
      <c r="AD5076" s="9">
        <v>32.278785457330969</v>
      </c>
      <c r="AE5076" s="9">
        <v>34.228944830548365</v>
      </c>
      <c r="AF5076" s="9">
        <v>36.293711230319367</v>
      </c>
      <c r="AG5076" s="9">
        <v>36.293711230319367</v>
      </c>
      <c r="AH5076" s="9">
        <v>39.230142171980006</v>
      </c>
      <c r="AI5076" s="9">
        <v>41.357809622501556</v>
      </c>
      <c r="AJ5076" s="9">
        <v>3.0428788910505911</v>
      </c>
    </row>
    <row r="5077" spans="1:36" x14ac:dyDescent="0.25">
      <c r="A5077" t="s">
        <v>5411</v>
      </c>
      <c r="B5077" t="s">
        <v>16</v>
      </c>
      <c r="C5077" t="s">
        <v>17</v>
      </c>
      <c r="D5077">
        <v>87430000</v>
      </c>
      <c r="E5077">
        <v>87449999</v>
      </c>
      <c r="F5077" t="s">
        <v>4605</v>
      </c>
      <c r="G5077" t="str">
        <f t="shared" si="158"/>
        <v>PRI II</v>
      </c>
      <c r="H5077" t="s">
        <v>4294</v>
      </c>
      <c r="I5077" t="s">
        <v>20</v>
      </c>
      <c r="J5077" t="s">
        <v>64</v>
      </c>
      <c r="K5077" s="6">
        <v>0.03</v>
      </c>
      <c r="L5077" s="7">
        <f t="shared" si="159"/>
        <v>2E-3</v>
      </c>
      <c r="M5077" s="7">
        <v>3.0000000000000001E-3</v>
      </c>
      <c r="N5077">
        <v>11</v>
      </c>
      <c r="O5077" s="8">
        <v>19.127752698369598</v>
      </c>
      <c r="P5077" s="9">
        <v>19.127752698369598</v>
      </c>
      <c r="Q5077" s="9">
        <v>19.127752698369598</v>
      </c>
      <c r="R5077" s="9">
        <v>19.588754687607715</v>
      </c>
      <c r="S5077" s="9">
        <v>19.892211826137899</v>
      </c>
      <c r="T5077" s="9">
        <v>20.64455772606674</v>
      </c>
      <c r="U5077" s="9">
        <v>22.020224218035128</v>
      </c>
      <c r="V5077" s="9">
        <v>22.020224218035128</v>
      </c>
      <c r="W5077" s="9">
        <v>22.020224218035128</v>
      </c>
      <c r="X5077" s="9">
        <v>24.004435739730138</v>
      </c>
      <c r="Y5077" s="9">
        <v>24.004435739730138</v>
      </c>
      <c r="Z5077" s="9">
        <v>26.075582265671787</v>
      </c>
      <c r="AA5077" s="9">
        <v>26.075582265671787</v>
      </c>
      <c r="AB5077" s="9">
        <v>28.242357296284759</v>
      </c>
      <c r="AC5077" s="9">
        <v>28.242357296284759</v>
      </c>
      <c r="AD5077" s="9">
        <v>32.278785457330969</v>
      </c>
      <c r="AE5077" s="9">
        <v>34.228944830548365</v>
      </c>
      <c r="AF5077" s="9">
        <v>36.293711230319367</v>
      </c>
      <c r="AG5077" s="9">
        <v>36.293711230319367</v>
      </c>
      <c r="AH5077" s="9">
        <v>39.230142171980006</v>
      </c>
      <c r="AI5077" s="9">
        <v>41.357809622501556</v>
      </c>
      <c r="AJ5077" s="9">
        <v>3.0428788910505911</v>
      </c>
    </row>
    <row r="5078" spans="1:36" x14ac:dyDescent="0.25">
      <c r="A5078" t="s">
        <v>5411</v>
      </c>
      <c r="B5078" t="s">
        <v>16</v>
      </c>
      <c r="C5078" t="s">
        <v>17</v>
      </c>
      <c r="D5078">
        <v>87450000</v>
      </c>
      <c r="E5078">
        <v>87469999</v>
      </c>
      <c r="F5078" t="s">
        <v>4606</v>
      </c>
      <c r="G5078" t="str">
        <f t="shared" si="158"/>
        <v>PRI II</v>
      </c>
      <c r="H5078" t="s">
        <v>4294</v>
      </c>
      <c r="I5078" t="s">
        <v>20</v>
      </c>
      <c r="J5078" t="s">
        <v>64</v>
      </c>
      <c r="K5078" s="6">
        <v>0.03</v>
      </c>
      <c r="L5078" s="7">
        <f t="shared" si="159"/>
        <v>2E-3</v>
      </c>
      <c r="M5078" s="7">
        <v>3.0000000000000001E-3</v>
      </c>
      <c r="N5078">
        <v>11</v>
      </c>
      <c r="O5078" s="8">
        <v>19.127752698369598</v>
      </c>
      <c r="P5078" s="9">
        <v>19.127752698369598</v>
      </c>
      <c r="Q5078" s="9">
        <v>19.127752698369598</v>
      </c>
      <c r="R5078" s="9">
        <v>19.588754687607715</v>
      </c>
      <c r="S5078" s="9">
        <v>19.892211826137899</v>
      </c>
      <c r="T5078" s="9">
        <v>20.64455772606674</v>
      </c>
      <c r="U5078" s="9">
        <v>22.020224218035128</v>
      </c>
      <c r="V5078" s="9">
        <v>22.020224218035128</v>
      </c>
      <c r="W5078" s="9">
        <v>22.020224218035128</v>
      </c>
      <c r="X5078" s="9">
        <v>24.004435739730138</v>
      </c>
      <c r="Y5078" s="9">
        <v>24.004435739730138</v>
      </c>
      <c r="Z5078" s="9">
        <v>26.075582265671787</v>
      </c>
      <c r="AA5078" s="9">
        <v>26.075582265671787</v>
      </c>
      <c r="AB5078" s="9">
        <v>28.242357296284759</v>
      </c>
      <c r="AC5078" s="9">
        <v>28.242357296284759</v>
      </c>
      <c r="AD5078" s="9">
        <v>32.278785457330969</v>
      </c>
      <c r="AE5078" s="9">
        <v>34.228944830548365</v>
      </c>
      <c r="AF5078" s="9">
        <v>36.293711230319367</v>
      </c>
      <c r="AG5078" s="9">
        <v>36.293711230319367</v>
      </c>
      <c r="AH5078" s="9">
        <v>39.230142171980006</v>
      </c>
      <c r="AI5078" s="9">
        <v>41.357809622501556</v>
      </c>
      <c r="AJ5078" s="9">
        <v>3.0428788910505911</v>
      </c>
    </row>
    <row r="5079" spans="1:36" x14ac:dyDescent="0.25">
      <c r="A5079" t="s">
        <v>5411</v>
      </c>
      <c r="B5079" t="s">
        <v>16</v>
      </c>
      <c r="C5079" t="s">
        <v>17</v>
      </c>
      <c r="D5079">
        <v>87470000</v>
      </c>
      <c r="E5079">
        <v>87479999</v>
      </c>
      <c r="F5079" t="s">
        <v>4607</v>
      </c>
      <c r="G5079" t="str">
        <f t="shared" si="158"/>
        <v>PRI II</v>
      </c>
      <c r="H5079" t="s">
        <v>4294</v>
      </c>
      <c r="I5079" t="s">
        <v>20</v>
      </c>
      <c r="J5079" t="s">
        <v>64</v>
      </c>
      <c r="K5079" s="6">
        <v>0.03</v>
      </c>
      <c r="L5079" s="7">
        <f t="shared" si="159"/>
        <v>2E-3</v>
      </c>
      <c r="M5079" s="7">
        <v>3.0000000000000001E-3</v>
      </c>
      <c r="N5079">
        <v>11</v>
      </c>
      <c r="O5079" s="8">
        <v>19.127752698369598</v>
      </c>
      <c r="P5079" s="9">
        <v>19.127752698369598</v>
      </c>
      <c r="Q5079" s="9">
        <v>19.127752698369598</v>
      </c>
      <c r="R5079" s="9">
        <v>19.588754687607715</v>
      </c>
      <c r="S5079" s="9">
        <v>19.892211826137899</v>
      </c>
      <c r="T5079" s="9">
        <v>20.64455772606674</v>
      </c>
      <c r="U5079" s="9">
        <v>22.020224218035128</v>
      </c>
      <c r="V5079" s="9">
        <v>22.020224218035128</v>
      </c>
      <c r="W5079" s="9">
        <v>22.020224218035128</v>
      </c>
      <c r="X5079" s="9">
        <v>24.004435739730138</v>
      </c>
      <c r="Y5079" s="9">
        <v>24.004435739730138</v>
      </c>
      <c r="Z5079" s="9">
        <v>26.075582265671787</v>
      </c>
      <c r="AA5079" s="9">
        <v>26.075582265671787</v>
      </c>
      <c r="AB5079" s="9">
        <v>28.242357296284759</v>
      </c>
      <c r="AC5079" s="9">
        <v>28.242357296284759</v>
      </c>
      <c r="AD5079" s="9">
        <v>32.278785457330969</v>
      </c>
      <c r="AE5079" s="9">
        <v>34.228944830548365</v>
      </c>
      <c r="AF5079" s="9">
        <v>36.293711230319367</v>
      </c>
      <c r="AG5079" s="9">
        <v>36.293711230319367</v>
      </c>
      <c r="AH5079" s="9">
        <v>39.230142171980006</v>
      </c>
      <c r="AI5079" s="9">
        <v>41.357809622501556</v>
      </c>
      <c r="AJ5079" s="9">
        <v>3.0428788910505911</v>
      </c>
    </row>
    <row r="5080" spans="1:36" x14ac:dyDescent="0.25">
      <c r="A5080" t="s">
        <v>5411</v>
      </c>
      <c r="B5080" t="s">
        <v>16</v>
      </c>
      <c r="C5080" t="s">
        <v>17</v>
      </c>
      <c r="D5080">
        <v>87480000</v>
      </c>
      <c r="E5080">
        <v>87484999</v>
      </c>
      <c r="F5080" t="s">
        <v>4608</v>
      </c>
      <c r="G5080" t="str">
        <f t="shared" si="158"/>
        <v>PRI II</v>
      </c>
      <c r="H5080" t="s">
        <v>4294</v>
      </c>
      <c r="I5080" t="s">
        <v>20</v>
      </c>
      <c r="J5080" t="s">
        <v>64</v>
      </c>
      <c r="K5080" s="6">
        <v>0.03</v>
      </c>
      <c r="L5080" s="7">
        <f t="shared" si="159"/>
        <v>2E-3</v>
      </c>
      <c r="M5080" s="7">
        <v>3.0000000000000001E-3</v>
      </c>
      <c r="N5080">
        <v>11</v>
      </c>
      <c r="O5080" s="8">
        <v>19.127752698369598</v>
      </c>
      <c r="P5080" s="9">
        <v>19.127752698369598</v>
      </c>
      <c r="Q5080" s="9">
        <v>19.127752698369598</v>
      </c>
      <c r="R5080" s="9">
        <v>19.588754687607715</v>
      </c>
      <c r="S5080" s="9">
        <v>19.892211826137899</v>
      </c>
      <c r="T5080" s="9">
        <v>20.64455772606674</v>
      </c>
      <c r="U5080" s="9">
        <v>22.020224218035128</v>
      </c>
      <c r="V5080" s="9">
        <v>22.020224218035128</v>
      </c>
      <c r="W5080" s="9">
        <v>22.020224218035128</v>
      </c>
      <c r="X5080" s="9">
        <v>24.004435739730138</v>
      </c>
      <c r="Y5080" s="9">
        <v>24.004435739730138</v>
      </c>
      <c r="Z5080" s="9">
        <v>26.075582265671787</v>
      </c>
      <c r="AA5080" s="9">
        <v>26.075582265671787</v>
      </c>
      <c r="AB5080" s="9">
        <v>28.242357296284759</v>
      </c>
      <c r="AC5080" s="9">
        <v>28.242357296284759</v>
      </c>
      <c r="AD5080" s="9">
        <v>32.278785457330969</v>
      </c>
      <c r="AE5080" s="9">
        <v>34.228944830548365</v>
      </c>
      <c r="AF5080" s="9">
        <v>36.293711230319367</v>
      </c>
      <c r="AG5080" s="9">
        <v>36.293711230319367</v>
      </c>
      <c r="AH5080" s="9">
        <v>39.230142171980006</v>
      </c>
      <c r="AI5080" s="9">
        <v>41.357809622501556</v>
      </c>
      <c r="AJ5080" s="9">
        <v>3.0428788910505911</v>
      </c>
    </row>
    <row r="5081" spans="1:36" x14ac:dyDescent="0.25">
      <c r="A5081" t="s">
        <v>5411</v>
      </c>
      <c r="B5081" t="s">
        <v>16</v>
      </c>
      <c r="C5081" t="s">
        <v>17</v>
      </c>
      <c r="D5081">
        <v>87485000</v>
      </c>
      <c r="E5081">
        <v>87489999</v>
      </c>
      <c r="F5081" t="s">
        <v>4276</v>
      </c>
      <c r="G5081" t="str">
        <f t="shared" si="158"/>
        <v>PRI II</v>
      </c>
      <c r="H5081" t="s">
        <v>4294</v>
      </c>
      <c r="I5081" t="s">
        <v>20</v>
      </c>
      <c r="J5081" t="s">
        <v>64</v>
      </c>
      <c r="K5081" s="6">
        <v>0.03</v>
      </c>
      <c r="L5081" s="7">
        <f t="shared" si="159"/>
        <v>2E-3</v>
      </c>
      <c r="M5081" s="7">
        <v>3.0000000000000001E-3</v>
      </c>
      <c r="N5081">
        <v>11</v>
      </c>
      <c r="O5081" s="8">
        <v>19.127752698369598</v>
      </c>
      <c r="P5081" s="9">
        <v>19.127752698369598</v>
      </c>
      <c r="Q5081" s="9">
        <v>19.127752698369598</v>
      </c>
      <c r="R5081" s="9">
        <v>19.588754687607715</v>
      </c>
      <c r="S5081" s="9">
        <v>19.892211826137899</v>
      </c>
      <c r="T5081" s="9">
        <v>20.64455772606674</v>
      </c>
      <c r="U5081" s="9">
        <v>22.020224218035128</v>
      </c>
      <c r="V5081" s="9">
        <v>22.020224218035128</v>
      </c>
      <c r="W5081" s="9">
        <v>22.020224218035128</v>
      </c>
      <c r="X5081" s="9">
        <v>24.004435739730138</v>
      </c>
      <c r="Y5081" s="9">
        <v>24.004435739730138</v>
      </c>
      <c r="Z5081" s="9">
        <v>26.075582265671787</v>
      </c>
      <c r="AA5081" s="9">
        <v>26.075582265671787</v>
      </c>
      <c r="AB5081" s="9">
        <v>28.242357296284759</v>
      </c>
      <c r="AC5081" s="9">
        <v>28.242357296284759</v>
      </c>
      <c r="AD5081" s="9">
        <v>32.278785457330969</v>
      </c>
      <c r="AE5081" s="9">
        <v>34.228944830548365</v>
      </c>
      <c r="AF5081" s="9">
        <v>36.293711230319367</v>
      </c>
      <c r="AG5081" s="9">
        <v>36.293711230319367</v>
      </c>
      <c r="AH5081" s="9">
        <v>39.230142171980006</v>
      </c>
      <c r="AI5081" s="9">
        <v>41.357809622501556</v>
      </c>
      <c r="AJ5081" s="9">
        <v>3.0428788910505911</v>
      </c>
    </row>
    <row r="5082" spans="1:36" x14ac:dyDescent="0.25">
      <c r="A5082" t="s">
        <v>5411</v>
      </c>
      <c r="B5082" t="s">
        <v>16</v>
      </c>
      <c r="C5082" t="s">
        <v>17</v>
      </c>
      <c r="D5082">
        <v>87490000</v>
      </c>
      <c r="E5082">
        <v>87499999</v>
      </c>
      <c r="F5082" t="s">
        <v>4118</v>
      </c>
      <c r="G5082" t="str">
        <f t="shared" si="158"/>
        <v>PRI II</v>
      </c>
      <c r="H5082" t="s">
        <v>4294</v>
      </c>
      <c r="I5082" t="s">
        <v>20</v>
      </c>
      <c r="J5082" t="s">
        <v>64</v>
      </c>
      <c r="K5082" s="6">
        <v>0.03</v>
      </c>
      <c r="L5082" s="7">
        <f t="shared" si="159"/>
        <v>2E-3</v>
      </c>
      <c r="M5082" s="7">
        <v>3.0000000000000001E-3</v>
      </c>
      <c r="N5082">
        <v>11</v>
      </c>
      <c r="O5082" s="8">
        <v>19.127752698369598</v>
      </c>
      <c r="P5082" s="9">
        <v>19.127752698369598</v>
      </c>
      <c r="Q5082" s="9">
        <v>19.127752698369598</v>
      </c>
      <c r="R5082" s="9">
        <v>19.588754687607715</v>
      </c>
      <c r="S5082" s="9">
        <v>19.892211826137899</v>
      </c>
      <c r="T5082" s="9">
        <v>20.64455772606674</v>
      </c>
      <c r="U5082" s="9">
        <v>22.020224218035128</v>
      </c>
      <c r="V5082" s="9">
        <v>22.020224218035128</v>
      </c>
      <c r="W5082" s="9">
        <v>22.020224218035128</v>
      </c>
      <c r="X5082" s="9">
        <v>24.004435739730138</v>
      </c>
      <c r="Y5082" s="9">
        <v>24.004435739730138</v>
      </c>
      <c r="Z5082" s="9">
        <v>26.075582265671787</v>
      </c>
      <c r="AA5082" s="9">
        <v>26.075582265671787</v>
      </c>
      <c r="AB5082" s="9">
        <v>28.242357296284759</v>
      </c>
      <c r="AC5082" s="9">
        <v>28.242357296284759</v>
      </c>
      <c r="AD5082" s="9">
        <v>32.278785457330969</v>
      </c>
      <c r="AE5082" s="9">
        <v>34.228944830548365</v>
      </c>
      <c r="AF5082" s="9">
        <v>36.293711230319367</v>
      </c>
      <c r="AG5082" s="9">
        <v>36.293711230319367</v>
      </c>
      <c r="AH5082" s="9">
        <v>39.230142171980006</v>
      </c>
      <c r="AI5082" s="9">
        <v>41.357809622501556</v>
      </c>
      <c r="AJ5082" s="9">
        <v>3.0428788910505911</v>
      </c>
    </row>
    <row r="5083" spans="1:36" x14ac:dyDescent="0.25">
      <c r="A5083" t="s">
        <v>5411</v>
      </c>
      <c r="B5083" t="s">
        <v>16</v>
      </c>
      <c r="C5083" t="s">
        <v>17</v>
      </c>
      <c r="D5083">
        <v>87500000</v>
      </c>
      <c r="E5083">
        <v>87524999</v>
      </c>
      <c r="F5083" t="s">
        <v>4609</v>
      </c>
      <c r="G5083" t="str">
        <f t="shared" si="158"/>
        <v>PRI</v>
      </c>
      <c r="H5083" t="s">
        <v>4294</v>
      </c>
      <c r="I5083" t="s">
        <v>20</v>
      </c>
      <c r="J5083" t="s">
        <v>62</v>
      </c>
      <c r="K5083" s="6">
        <v>0.03</v>
      </c>
      <c r="L5083" s="7">
        <f t="shared" si="159"/>
        <v>2E-3</v>
      </c>
      <c r="M5083" s="7">
        <v>3.0000000000000001E-3</v>
      </c>
      <c r="N5083">
        <v>9</v>
      </c>
      <c r="O5083" s="8">
        <v>16.344178346561137</v>
      </c>
      <c r="P5083" s="9">
        <v>16.344178346561137</v>
      </c>
      <c r="Q5083" s="9">
        <v>16.344178346561137</v>
      </c>
      <c r="R5083" s="9">
        <v>16.766533722582309</v>
      </c>
      <c r="S5083" s="9">
        <v>17.709108795625173</v>
      </c>
      <c r="T5083" s="9">
        <v>18.545760454647645</v>
      </c>
      <c r="U5083" s="9">
        <v>20.10723313448154</v>
      </c>
      <c r="V5083" s="9">
        <v>20.10723313448154</v>
      </c>
      <c r="W5083" s="9">
        <v>20.10723313448154</v>
      </c>
      <c r="X5083" s="9">
        <v>21.240951506551678</v>
      </c>
      <c r="Y5083" s="9">
        <v>21.240951506551678</v>
      </c>
      <c r="Z5083" s="9">
        <v>22.557015615717738</v>
      </c>
      <c r="AA5083" s="9">
        <v>22.557015615717738</v>
      </c>
      <c r="AB5083" s="9">
        <v>26.056112270527457</v>
      </c>
      <c r="AC5083" s="9">
        <v>26.056112270527457</v>
      </c>
      <c r="AD5083" s="9">
        <v>30.142276170369946</v>
      </c>
      <c r="AE5083" s="9">
        <v>32.940531048263779</v>
      </c>
      <c r="AF5083" s="9">
        <v>35.920735279325392</v>
      </c>
      <c r="AG5083" s="9">
        <v>35.920735279325392</v>
      </c>
      <c r="AH5083" s="9">
        <v>38.62832670141978</v>
      </c>
      <c r="AI5083" s="9">
        <v>41.239207360528972</v>
      </c>
      <c r="AJ5083" s="9">
        <v>3.0428788910505911</v>
      </c>
    </row>
    <row r="5084" spans="1:36" x14ac:dyDescent="0.25">
      <c r="A5084" t="s">
        <v>5411</v>
      </c>
      <c r="B5084" t="s">
        <v>16</v>
      </c>
      <c r="C5084" t="s">
        <v>17</v>
      </c>
      <c r="D5084">
        <v>87525000</v>
      </c>
      <c r="E5084">
        <v>87527999</v>
      </c>
      <c r="F5084" t="s">
        <v>4610</v>
      </c>
      <c r="G5084" t="str">
        <f t="shared" si="158"/>
        <v>PRI II</v>
      </c>
      <c r="H5084" t="s">
        <v>4294</v>
      </c>
      <c r="I5084" t="s">
        <v>20</v>
      </c>
      <c r="J5084" t="s">
        <v>64</v>
      </c>
      <c r="K5084" s="6">
        <v>0.03</v>
      </c>
      <c r="L5084" s="7">
        <f t="shared" si="159"/>
        <v>2E-3</v>
      </c>
      <c r="M5084" s="7">
        <v>3.0000000000000001E-3</v>
      </c>
      <c r="N5084">
        <v>11</v>
      </c>
      <c r="O5084" s="8">
        <v>19.127752698369598</v>
      </c>
      <c r="P5084" s="9">
        <v>19.127752698369598</v>
      </c>
      <c r="Q5084" s="9">
        <v>19.127752698369598</v>
      </c>
      <c r="R5084" s="9">
        <v>19.588754687607715</v>
      </c>
      <c r="S5084" s="9">
        <v>19.892211826137899</v>
      </c>
      <c r="T5084" s="9">
        <v>20.64455772606674</v>
      </c>
      <c r="U5084" s="9">
        <v>22.020224218035128</v>
      </c>
      <c r="V5084" s="9">
        <v>22.020224218035128</v>
      </c>
      <c r="W5084" s="9">
        <v>22.020224218035128</v>
      </c>
      <c r="X5084" s="9">
        <v>24.004435739730138</v>
      </c>
      <c r="Y5084" s="9">
        <v>24.004435739730138</v>
      </c>
      <c r="Z5084" s="9">
        <v>26.075582265671787</v>
      </c>
      <c r="AA5084" s="9">
        <v>26.075582265671787</v>
      </c>
      <c r="AB5084" s="9">
        <v>28.242357296284759</v>
      </c>
      <c r="AC5084" s="9">
        <v>28.242357296284759</v>
      </c>
      <c r="AD5084" s="9">
        <v>32.278785457330969</v>
      </c>
      <c r="AE5084" s="9">
        <v>34.228944830548365</v>
      </c>
      <c r="AF5084" s="9">
        <v>36.293711230319367</v>
      </c>
      <c r="AG5084" s="9">
        <v>36.293711230319367</v>
      </c>
      <c r="AH5084" s="9">
        <v>39.230142171980006</v>
      </c>
      <c r="AI5084" s="9">
        <v>41.357809622501556</v>
      </c>
      <c r="AJ5084" s="9">
        <v>3.0428788910505911</v>
      </c>
    </row>
    <row r="5085" spans="1:36" x14ac:dyDescent="0.25">
      <c r="A5085" t="s">
        <v>5411</v>
      </c>
      <c r="B5085" t="s">
        <v>16</v>
      </c>
      <c r="C5085" t="s">
        <v>17</v>
      </c>
      <c r="D5085">
        <v>87528000</v>
      </c>
      <c r="E5085">
        <v>87529999</v>
      </c>
      <c r="F5085" t="s">
        <v>3907</v>
      </c>
      <c r="G5085" t="str">
        <f t="shared" si="158"/>
        <v>PRI II</v>
      </c>
      <c r="H5085" t="s">
        <v>4294</v>
      </c>
      <c r="I5085" t="s">
        <v>20</v>
      </c>
      <c r="J5085" t="s">
        <v>64</v>
      </c>
      <c r="K5085" s="6">
        <v>0.03</v>
      </c>
      <c r="L5085" s="7">
        <f t="shared" si="159"/>
        <v>2E-3</v>
      </c>
      <c r="M5085" s="7">
        <v>3.0000000000000001E-3</v>
      </c>
      <c r="N5085">
        <v>11</v>
      </c>
      <c r="O5085" s="8">
        <v>19.127752698369598</v>
      </c>
      <c r="P5085" s="9">
        <v>19.127752698369598</v>
      </c>
      <c r="Q5085" s="9">
        <v>19.127752698369598</v>
      </c>
      <c r="R5085" s="9">
        <v>19.588754687607715</v>
      </c>
      <c r="S5085" s="9">
        <v>19.892211826137899</v>
      </c>
      <c r="T5085" s="9">
        <v>20.64455772606674</v>
      </c>
      <c r="U5085" s="9">
        <v>22.020224218035128</v>
      </c>
      <c r="V5085" s="9">
        <v>22.020224218035128</v>
      </c>
      <c r="W5085" s="9">
        <v>22.020224218035128</v>
      </c>
      <c r="X5085" s="9">
        <v>24.004435739730138</v>
      </c>
      <c r="Y5085" s="9">
        <v>24.004435739730138</v>
      </c>
      <c r="Z5085" s="9">
        <v>26.075582265671787</v>
      </c>
      <c r="AA5085" s="9">
        <v>26.075582265671787</v>
      </c>
      <c r="AB5085" s="9">
        <v>28.242357296284759</v>
      </c>
      <c r="AC5085" s="9">
        <v>28.242357296284759</v>
      </c>
      <c r="AD5085" s="9">
        <v>32.278785457330969</v>
      </c>
      <c r="AE5085" s="9">
        <v>34.228944830548365</v>
      </c>
      <c r="AF5085" s="9">
        <v>36.293711230319367</v>
      </c>
      <c r="AG5085" s="9">
        <v>36.293711230319367</v>
      </c>
      <c r="AH5085" s="9">
        <v>39.230142171980006</v>
      </c>
      <c r="AI5085" s="9">
        <v>41.357809622501556</v>
      </c>
      <c r="AJ5085" s="9">
        <v>3.0428788910505911</v>
      </c>
    </row>
    <row r="5086" spans="1:36" x14ac:dyDescent="0.25">
      <c r="A5086" t="s">
        <v>5411</v>
      </c>
      <c r="B5086" t="s">
        <v>16</v>
      </c>
      <c r="C5086" t="s">
        <v>17</v>
      </c>
      <c r="D5086">
        <v>87530000</v>
      </c>
      <c r="E5086">
        <v>87534999</v>
      </c>
      <c r="F5086" t="s">
        <v>4611</v>
      </c>
      <c r="G5086" t="str">
        <f t="shared" si="158"/>
        <v>PRI II</v>
      </c>
      <c r="H5086" t="s">
        <v>4294</v>
      </c>
      <c r="I5086" t="s">
        <v>20</v>
      </c>
      <c r="J5086" t="s">
        <v>64</v>
      </c>
      <c r="K5086" s="6">
        <v>0.03</v>
      </c>
      <c r="L5086" s="7">
        <f t="shared" si="159"/>
        <v>2E-3</v>
      </c>
      <c r="M5086" s="7">
        <v>3.0000000000000001E-3</v>
      </c>
      <c r="N5086">
        <v>11</v>
      </c>
      <c r="O5086" s="8">
        <v>19.127752698369598</v>
      </c>
      <c r="P5086" s="9">
        <v>19.127752698369598</v>
      </c>
      <c r="Q5086" s="9">
        <v>19.127752698369598</v>
      </c>
      <c r="R5086" s="9">
        <v>19.588754687607715</v>
      </c>
      <c r="S5086" s="9">
        <v>19.892211826137899</v>
      </c>
      <c r="T5086" s="9">
        <v>20.64455772606674</v>
      </c>
      <c r="U5086" s="9">
        <v>22.020224218035128</v>
      </c>
      <c r="V5086" s="9">
        <v>22.020224218035128</v>
      </c>
      <c r="W5086" s="9">
        <v>22.020224218035128</v>
      </c>
      <c r="X5086" s="9">
        <v>24.004435739730138</v>
      </c>
      <c r="Y5086" s="9">
        <v>24.004435739730138</v>
      </c>
      <c r="Z5086" s="9">
        <v>26.075582265671787</v>
      </c>
      <c r="AA5086" s="9">
        <v>26.075582265671787</v>
      </c>
      <c r="AB5086" s="9">
        <v>28.242357296284759</v>
      </c>
      <c r="AC5086" s="9">
        <v>28.242357296284759</v>
      </c>
      <c r="AD5086" s="9">
        <v>32.278785457330969</v>
      </c>
      <c r="AE5086" s="9">
        <v>34.228944830548365</v>
      </c>
      <c r="AF5086" s="9">
        <v>36.293711230319367</v>
      </c>
      <c r="AG5086" s="9">
        <v>36.293711230319367</v>
      </c>
      <c r="AH5086" s="9">
        <v>39.230142171980006</v>
      </c>
      <c r="AI5086" s="9">
        <v>41.357809622501556</v>
      </c>
      <c r="AJ5086" s="9">
        <v>3.0428788910505911</v>
      </c>
    </row>
    <row r="5087" spans="1:36" x14ac:dyDescent="0.25">
      <c r="A5087" t="s">
        <v>5411</v>
      </c>
      <c r="B5087" t="s">
        <v>16</v>
      </c>
      <c r="C5087" t="s">
        <v>17</v>
      </c>
      <c r="D5087">
        <v>87535000</v>
      </c>
      <c r="E5087">
        <v>87537999</v>
      </c>
      <c r="F5087" t="s">
        <v>4612</v>
      </c>
      <c r="G5087" t="str">
        <f t="shared" si="158"/>
        <v>PRI II</v>
      </c>
      <c r="H5087" t="s">
        <v>4294</v>
      </c>
      <c r="I5087" t="s">
        <v>20</v>
      </c>
      <c r="J5087" t="s">
        <v>64</v>
      </c>
      <c r="K5087" s="6">
        <v>0.03</v>
      </c>
      <c r="L5087" s="7">
        <f t="shared" si="159"/>
        <v>2E-3</v>
      </c>
      <c r="M5087" s="7">
        <v>3.0000000000000001E-3</v>
      </c>
      <c r="N5087">
        <v>11</v>
      </c>
      <c r="O5087" s="8">
        <v>19.127752698369598</v>
      </c>
      <c r="P5087" s="9">
        <v>19.127752698369598</v>
      </c>
      <c r="Q5087" s="9">
        <v>19.127752698369598</v>
      </c>
      <c r="R5087" s="9">
        <v>19.588754687607715</v>
      </c>
      <c r="S5087" s="9">
        <v>19.892211826137899</v>
      </c>
      <c r="T5087" s="9">
        <v>20.64455772606674</v>
      </c>
      <c r="U5087" s="9">
        <v>22.020224218035128</v>
      </c>
      <c r="V5087" s="9">
        <v>22.020224218035128</v>
      </c>
      <c r="W5087" s="9">
        <v>22.020224218035128</v>
      </c>
      <c r="X5087" s="9">
        <v>24.004435739730138</v>
      </c>
      <c r="Y5087" s="9">
        <v>24.004435739730138</v>
      </c>
      <c r="Z5087" s="9">
        <v>26.075582265671787</v>
      </c>
      <c r="AA5087" s="9">
        <v>26.075582265671787</v>
      </c>
      <c r="AB5087" s="9">
        <v>28.242357296284759</v>
      </c>
      <c r="AC5087" s="9">
        <v>28.242357296284759</v>
      </c>
      <c r="AD5087" s="9">
        <v>32.278785457330969</v>
      </c>
      <c r="AE5087" s="9">
        <v>34.228944830548365</v>
      </c>
      <c r="AF5087" s="9">
        <v>36.293711230319367</v>
      </c>
      <c r="AG5087" s="9">
        <v>36.293711230319367</v>
      </c>
      <c r="AH5087" s="9">
        <v>39.230142171980006</v>
      </c>
      <c r="AI5087" s="9">
        <v>41.357809622501556</v>
      </c>
      <c r="AJ5087" s="9">
        <v>3.0428788910505911</v>
      </c>
    </row>
    <row r="5088" spans="1:36" x14ac:dyDescent="0.25">
      <c r="A5088" t="s">
        <v>5411</v>
      </c>
      <c r="B5088" t="s">
        <v>16</v>
      </c>
      <c r="C5088" t="s">
        <v>17</v>
      </c>
      <c r="D5088">
        <v>87538000</v>
      </c>
      <c r="E5088">
        <v>87539999</v>
      </c>
      <c r="F5088" t="s">
        <v>4613</v>
      </c>
      <c r="G5088" t="str">
        <f t="shared" si="158"/>
        <v>PRI II</v>
      </c>
      <c r="H5088" t="s">
        <v>4294</v>
      </c>
      <c r="I5088" t="s">
        <v>20</v>
      </c>
      <c r="J5088" t="s">
        <v>64</v>
      </c>
      <c r="K5088" s="6">
        <v>0.03</v>
      </c>
      <c r="L5088" s="7">
        <f t="shared" si="159"/>
        <v>2E-3</v>
      </c>
      <c r="M5088" s="7">
        <v>3.0000000000000001E-3</v>
      </c>
      <c r="N5088">
        <v>11</v>
      </c>
      <c r="O5088" s="8">
        <v>19.127752698369598</v>
      </c>
      <c r="P5088" s="9">
        <v>19.127752698369598</v>
      </c>
      <c r="Q5088" s="9">
        <v>19.127752698369598</v>
      </c>
      <c r="R5088" s="9">
        <v>19.588754687607715</v>
      </c>
      <c r="S5088" s="9">
        <v>19.892211826137899</v>
      </c>
      <c r="T5088" s="9">
        <v>20.64455772606674</v>
      </c>
      <c r="U5088" s="9">
        <v>22.020224218035128</v>
      </c>
      <c r="V5088" s="9">
        <v>22.020224218035128</v>
      </c>
      <c r="W5088" s="9">
        <v>22.020224218035128</v>
      </c>
      <c r="X5088" s="9">
        <v>24.004435739730138</v>
      </c>
      <c r="Y5088" s="9">
        <v>24.004435739730138</v>
      </c>
      <c r="Z5088" s="9">
        <v>26.075582265671787</v>
      </c>
      <c r="AA5088" s="9">
        <v>26.075582265671787</v>
      </c>
      <c r="AB5088" s="9">
        <v>28.242357296284759</v>
      </c>
      <c r="AC5088" s="9">
        <v>28.242357296284759</v>
      </c>
      <c r="AD5088" s="9">
        <v>32.278785457330969</v>
      </c>
      <c r="AE5088" s="9">
        <v>34.228944830548365</v>
      </c>
      <c r="AF5088" s="9">
        <v>36.293711230319367</v>
      </c>
      <c r="AG5088" s="9">
        <v>36.293711230319367</v>
      </c>
      <c r="AH5088" s="9">
        <v>39.230142171980006</v>
      </c>
      <c r="AI5088" s="9">
        <v>41.357809622501556</v>
      </c>
      <c r="AJ5088" s="9">
        <v>3.0428788910505911</v>
      </c>
    </row>
    <row r="5089" spans="1:36" x14ac:dyDescent="0.25">
      <c r="A5089" t="s">
        <v>5411</v>
      </c>
      <c r="B5089" t="s">
        <v>16</v>
      </c>
      <c r="C5089" t="s">
        <v>17</v>
      </c>
      <c r="D5089">
        <v>87540000</v>
      </c>
      <c r="E5089">
        <v>87544999</v>
      </c>
      <c r="F5089" t="s">
        <v>4614</v>
      </c>
      <c r="G5089" t="str">
        <f t="shared" si="158"/>
        <v>PRI II</v>
      </c>
      <c r="H5089" t="s">
        <v>4294</v>
      </c>
      <c r="I5089" t="s">
        <v>20</v>
      </c>
      <c r="J5089" t="s">
        <v>64</v>
      </c>
      <c r="K5089" s="6">
        <v>0.03</v>
      </c>
      <c r="L5089" s="7">
        <f t="shared" si="159"/>
        <v>2E-3</v>
      </c>
      <c r="M5089" s="7">
        <v>3.0000000000000001E-3</v>
      </c>
      <c r="N5089">
        <v>11</v>
      </c>
      <c r="O5089" s="8">
        <v>19.127752698369598</v>
      </c>
      <c r="P5089" s="9">
        <v>19.127752698369598</v>
      </c>
      <c r="Q5089" s="9">
        <v>19.127752698369598</v>
      </c>
      <c r="R5089" s="9">
        <v>19.588754687607715</v>
      </c>
      <c r="S5089" s="9">
        <v>19.892211826137899</v>
      </c>
      <c r="T5089" s="9">
        <v>20.64455772606674</v>
      </c>
      <c r="U5089" s="9">
        <v>22.020224218035128</v>
      </c>
      <c r="V5089" s="9">
        <v>22.020224218035128</v>
      </c>
      <c r="W5089" s="9">
        <v>22.020224218035128</v>
      </c>
      <c r="X5089" s="9">
        <v>24.004435739730138</v>
      </c>
      <c r="Y5089" s="9">
        <v>24.004435739730138</v>
      </c>
      <c r="Z5089" s="9">
        <v>26.075582265671787</v>
      </c>
      <c r="AA5089" s="9">
        <v>26.075582265671787</v>
      </c>
      <c r="AB5089" s="9">
        <v>28.242357296284759</v>
      </c>
      <c r="AC5089" s="9">
        <v>28.242357296284759</v>
      </c>
      <c r="AD5089" s="9">
        <v>32.278785457330969</v>
      </c>
      <c r="AE5089" s="9">
        <v>34.228944830548365</v>
      </c>
      <c r="AF5089" s="9">
        <v>36.293711230319367</v>
      </c>
      <c r="AG5089" s="9">
        <v>36.293711230319367</v>
      </c>
      <c r="AH5089" s="9">
        <v>39.230142171980006</v>
      </c>
      <c r="AI5089" s="9">
        <v>41.357809622501556</v>
      </c>
      <c r="AJ5089" s="9">
        <v>3.0428788910505911</v>
      </c>
    </row>
    <row r="5090" spans="1:36" x14ac:dyDescent="0.25">
      <c r="A5090" t="s">
        <v>5411</v>
      </c>
      <c r="B5090" t="s">
        <v>16</v>
      </c>
      <c r="C5090" t="s">
        <v>17</v>
      </c>
      <c r="D5090">
        <v>87545000</v>
      </c>
      <c r="E5090">
        <v>87549999</v>
      </c>
      <c r="F5090" t="s">
        <v>4615</v>
      </c>
      <c r="G5090" t="str">
        <f t="shared" si="158"/>
        <v>PRI II</v>
      </c>
      <c r="H5090" t="s">
        <v>4294</v>
      </c>
      <c r="I5090" t="s">
        <v>20</v>
      </c>
      <c r="J5090" t="s">
        <v>64</v>
      </c>
      <c r="K5090" s="6">
        <v>0.03</v>
      </c>
      <c r="L5090" s="7">
        <f t="shared" si="159"/>
        <v>2E-3</v>
      </c>
      <c r="M5090" s="7">
        <v>3.0000000000000001E-3</v>
      </c>
      <c r="N5090">
        <v>11</v>
      </c>
      <c r="O5090" s="8">
        <v>19.127752698369598</v>
      </c>
      <c r="P5090" s="9">
        <v>19.127752698369598</v>
      </c>
      <c r="Q5090" s="9">
        <v>19.127752698369598</v>
      </c>
      <c r="R5090" s="9">
        <v>19.588754687607715</v>
      </c>
      <c r="S5090" s="9">
        <v>19.892211826137899</v>
      </c>
      <c r="T5090" s="9">
        <v>20.64455772606674</v>
      </c>
      <c r="U5090" s="9">
        <v>22.020224218035128</v>
      </c>
      <c r="V5090" s="9">
        <v>22.020224218035128</v>
      </c>
      <c r="W5090" s="9">
        <v>22.020224218035128</v>
      </c>
      <c r="X5090" s="9">
        <v>24.004435739730138</v>
      </c>
      <c r="Y5090" s="9">
        <v>24.004435739730138</v>
      </c>
      <c r="Z5090" s="9">
        <v>26.075582265671787</v>
      </c>
      <c r="AA5090" s="9">
        <v>26.075582265671787</v>
      </c>
      <c r="AB5090" s="9">
        <v>28.242357296284759</v>
      </c>
      <c r="AC5090" s="9">
        <v>28.242357296284759</v>
      </c>
      <c r="AD5090" s="9">
        <v>32.278785457330969</v>
      </c>
      <c r="AE5090" s="9">
        <v>34.228944830548365</v>
      </c>
      <c r="AF5090" s="9">
        <v>36.293711230319367</v>
      </c>
      <c r="AG5090" s="9">
        <v>36.293711230319367</v>
      </c>
      <c r="AH5090" s="9">
        <v>39.230142171980006</v>
      </c>
      <c r="AI5090" s="9">
        <v>41.357809622501556</v>
      </c>
      <c r="AJ5090" s="9">
        <v>3.0428788910505911</v>
      </c>
    </row>
    <row r="5091" spans="1:36" x14ac:dyDescent="0.25">
      <c r="A5091" t="s">
        <v>5411</v>
      </c>
      <c r="B5091" t="s">
        <v>16</v>
      </c>
      <c r="C5091" t="s">
        <v>17</v>
      </c>
      <c r="D5091">
        <v>87550000</v>
      </c>
      <c r="E5091">
        <v>87554999</v>
      </c>
      <c r="F5091" t="s">
        <v>4616</v>
      </c>
      <c r="G5091" t="str">
        <f t="shared" si="158"/>
        <v>PRI II</v>
      </c>
      <c r="H5091" t="s">
        <v>4294</v>
      </c>
      <c r="I5091" t="s">
        <v>20</v>
      </c>
      <c r="J5091" t="s">
        <v>64</v>
      </c>
      <c r="K5091" s="6">
        <v>0.03</v>
      </c>
      <c r="L5091" s="7">
        <f t="shared" si="159"/>
        <v>2E-3</v>
      </c>
      <c r="M5091" s="7">
        <v>3.0000000000000001E-3</v>
      </c>
      <c r="N5091">
        <v>11</v>
      </c>
      <c r="O5091" s="8">
        <v>19.127752698369598</v>
      </c>
      <c r="P5091" s="9">
        <v>19.127752698369598</v>
      </c>
      <c r="Q5091" s="9">
        <v>19.127752698369598</v>
      </c>
      <c r="R5091" s="9">
        <v>19.588754687607715</v>
      </c>
      <c r="S5091" s="9">
        <v>19.892211826137899</v>
      </c>
      <c r="T5091" s="9">
        <v>20.64455772606674</v>
      </c>
      <c r="U5091" s="9">
        <v>22.020224218035128</v>
      </c>
      <c r="V5091" s="9">
        <v>22.020224218035128</v>
      </c>
      <c r="W5091" s="9">
        <v>22.020224218035128</v>
      </c>
      <c r="X5091" s="9">
        <v>24.004435739730138</v>
      </c>
      <c r="Y5091" s="9">
        <v>24.004435739730138</v>
      </c>
      <c r="Z5091" s="9">
        <v>26.075582265671787</v>
      </c>
      <c r="AA5091" s="9">
        <v>26.075582265671787</v>
      </c>
      <c r="AB5091" s="9">
        <v>28.242357296284759</v>
      </c>
      <c r="AC5091" s="9">
        <v>28.242357296284759</v>
      </c>
      <c r="AD5091" s="9">
        <v>32.278785457330969</v>
      </c>
      <c r="AE5091" s="9">
        <v>34.228944830548365</v>
      </c>
      <c r="AF5091" s="9">
        <v>36.293711230319367</v>
      </c>
      <c r="AG5091" s="9">
        <v>36.293711230319367</v>
      </c>
      <c r="AH5091" s="9">
        <v>39.230142171980006</v>
      </c>
      <c r="AI5091" s="9">
        <v>41.357809622501556</v>
      </c>
      <c r="AJ5091" s="9">
        <v>3.0428788910505911</v>
      </c>
    </row>
    <row r="5092" spans="1:36" x14ac:dyDescent="0.25">
      <c r="A5092" t="s">
        <v>5411</v>
      </c>
      <c r="B5092" t="s">
        <v>16</v>
      </c>
      <c r="C5092" t="s">
        <v>17</v>
      </c>
      <c r="D5092">
        <v>87555000</v>
      </c>
      <c r="E5092">
        <v>87559999</v>
      </c>
      <c r="F5092" t="s">
        <v>4617</v>
      </c>
      <c r="G5092" t="str">
        <f t="shared" si="158"/>
        <v>PRI II</v>
      </c>
      <c r="H5092" t="s">
        <v>4294</v>
      </c>
      <c r="I5092" t="s">
        <v>20</v>
      </c>
      <c r="J5092" t="s">
        <v>64</v>
      </c>
      <c r="K5092" s="6">
        <v>0.03</v>
      </c>
      <c r="L5092" s="7">
        <f t="shared" si="159"/>
        <v>2E-3</v>
      </c>
      <c r="M5092" s="7">
        <v>3.0000000000000001E-3</v>
      </c>
      <c r="N5092">
        <v>11</v>
      </c>
      <c r="O5092" s="8">
        <v>19.127752698369598</v>
      </c>
      <c r="P5092" s="9">
        <v>19.127752698369598</v>
      </c>
      <c r="Q5092" s="9">
        <v>19.127752698369598</v>
      </c>
      <c r="R5092" s="9">
        <v>19.588754687607715</v>
      </c>
      <c r="S5092" s="9">
        <v>19.892211826137899</v>
      </c>
      <c r="T5092" s="9">
        <v>20.64455772606674</v>
      </c>
      <c r="U5092" s="9">
        <v>22.020224218035128</v>
      </c>
      <c r="V5092" s="9">
        <v>22.020224218035128</v>
      </c>
      <c r="W5092" s="9">
        <v>22.020224218035128</v>
      </c>
      <c r="X5092" s="9">
        <v>24.004435739730138</v>
      </c>
      <c r="Y5092" s="9">
        <v>24.004435739730138</v>
      </c>
      <c r="Z5092" s="9">
        <v>26.075582265671787</v>
      </c>
      <c r="AA5092" s="9">
        <v>26.075582265671787</v>
      </c>
      <c r="AB5092" s="9">
        <v>28.242357296284759</v>
      </c>
      <c r="AC5092" s="9">
        <v>28.242357296284759</v>
      </c>
      <c r="AD5092" s="9">
        <v>32.278785457330969</v>
      </c>
      <c r="AE5092" s="9">
        <v>34.228944830548365</v>
      </c>
      <c r="AF5092" s="9">
        <v>36.293711230319367</v>
      </c>
      <c r="AG5092" s="9">
        <v>36.293711230319367</v>
      </c>
      <c r="AH5092" s="9">
        <v>39.230142171980006</v>
      </c>
      <c r="AI5092" s="9">
        <v>41.357809622501556</v>
      </c>
      <c r="AJ5092" s="9">
        <v>3.0428788910505911</v>
      </c>
    </row>
    <row r="5093" spans="1:36" x14ac:dyDescent="0.25">
      <c r="A5093" t="s">
        <v>5411</v>
      </c>
      <c r="B5093" t="s">
        <v>16</v>
      </c>
      <c r="C5093" t="s">
        <v>17</v>
      </c>
      <c r="D5093">
        <v>87560000</v>
      </c>
      <c r="E5093">
        <v>87564999</v>
      </c>
      <c r="F5093" t="s">
        <v>3833</v>
      </c>
      <c r="G5093" t="str">
        <f t="shared" si="158"/>
        <v>PRI II</v>
      </c>
      <c r="H5093" t="s">
        <v>4294</v>
      </c>
      <c r="I5093" t="s">
        <v>20</v>
      </c>
      <c r="J5093" t="s">
        <v>64</v>
      </c>
      <c r="K5093" s="6">
        <v>0.03</v>
      </c>
      <c r="L5093" s="7">
        <f t="shared" si="159"/>
        <v>2E-3</v>
      </c>
      <c r="M5093" s="7">
        <v>3.0000000000000001E-3</v>
      </c>
      <c r="N5093">
        <v>11</v>
      </c>
      <c r="O5093" s="8">
        <v>19.127752698369598</v>
      </c>
      <c r="P5093" s="9">
        <v>19.127752698369598</v>
      </c>
      <c r="Q5093" s="9">
        <v>19.127752698369598</v>
      </c>
      <c r="R5093" s="9">
        <v>19.588754687607715</v>
      </c>
      <c r="S5093" s="9">
        <v>19.892211826137899</v>
      </c>
      <c r="T5093" s="9">
        <v>20.64455772606674</v>
      </c>
      <c r="U5093" s="9">
        <v>22.020224218035128</v>
      </c>
      <c r="V5093" s="9">
        <v>22.020224218035128</v>
      </c>
      <c r="W5093" s="9">
        <v>22.020224218035128</v>
      </c>
      <c r="X5093" s="9">
        <v>24.004435739730138</v>
      </c>
      <c r="Y5093" s="9">
        <v>24.004435739730138</v>
      </c>
      <c r="Z5093" s="9">
        <v>26.075582265671787</v>
      </c>
      <c r="AA5093" s="9">
        <v>26.075582265671787</v>
      </c>
      <c r="AB5093" s="9">
        <v>28.242357296284759</v>
      </c>
      <c r="AC5093" s="9">
        <v>28.242357296284759</v>
      </c>
      <c r="AD5093" s="9">
        <v>32.278785457330969</v>
      </c>
      <c r="AE5093" s="9">
        <v>34.228944830548365</v>
      </c>
      <c r="AF5093" s="9">
        <v>36.293711230319367</v>
      </c>
      <c r="AG5093" s="9">
        <v>36.293711230319367</v>
      </c>
      <c r="AH5093" s="9">
        <v>39.230142171980006</v>
      </c>
      <c r="AI5093" s="9">
        <v>41.357809622501556</v>
      </c>
      <c r="AJ5093" s="9">
        <v>3.0428788910505911</v>
      </c>
    </row>
    <row r="5094" spans="1:36" x14ac:dyDescent="0.25">
      <c r="A5094" t="s">
        <v>5411</v>
      </c>
      <c r="B5094" t="s">
        <v>16</v>
      </c>
      <c r="C5094" t="s">
        <v>17</v>
      </c>
      <c r="D5094">
        <v>87565000</v>
      </c>
      <c r="E5094">
        <v>87569999</v>
      </c>
      <c r="F5094" t="s">
        <v>4618</v>
      </c>
      <c r="G5094" t="str">
        <f t="shared" si="158"/>
        <v>PRI II</v>
      </c>
      <c r="H5094" t="s">
        <v>4294</v>
      </c>
      <c r="I5094" t="s">
        <v>20</v>
      </c>
      <c r="J5094" t="s">
        <v>64</v>
      </c>
      <c r="K5094" s="6">
        <v>0.03</v>
      </c>
      <c r="L5094" s="7">
        <f t="shared" si="159"/>
        <v>2E-3</v>
      </c>
      <c r="M5094" s="7">
        <v>3.0000000000000001E-3</v>
      </c>
      <c r="N5094">
        <v>11</v>
      </c>
      <c r="O5094" s="8">
        <v>19.127752698369598</v>
      </c>
      <c r="P5094" s="9">
        <v>19.127752698369598</v>
      </c>
      <c r="Q5094" s="9">
        <v>19.127752698369598</v>
      </c>
      <c r="R5094" s="9">
        <v>19.588754687607715</v>
      </c>
      <c r="S5094" s="9">
        <v>19.892211826137899</v>
      </c>
      <c r="T5094" s="9">
        <v>20.64455772606674</v>
      </c>
      <c r="U5094" s="9">
        <v>22.020224218035128</v>
      </c>
      <c r="V5094" s="9">
        <v>22.020224218035128</v>
      </c>
      <c r="W5094" s="9">
        <v>22.020224218035128</v>
      </c>
      <c r="X5094" s="9">
        <v>24.004435739730138</v>
      </c>
      <c r="Y5094" s="9">
        <v>24.004435739730138</v>
      </c>
      <c r="Z5094" s="9">
        <v>26.075582265671787</v>
      </c>
      <c r="AA5094" s="9">
        <v>26.075582265671787</v>
      </c>
      <c r="AB5094" s="9">
        <v>28.242357296284759</v>
      </c>
      <c r="AC5094" s="9">
        <v>28.242357296284759</v>
      </c>
      <c r="AD5094" s="9">
        <v>32.278785457330969</v>
      </c>
      <c r="AE5094" s="9">
        <v>34.228944830548365</v>
      </c>
      <c r="AF5094" s="9">
        <v>36.293711230319367</v>
      </c>
      <c r="AG5094" s="9">
        <v>36.293711230319367</v>
      </c>
      <c r="AH5094" s="9">
        <v>39.230142171980006</v>
      </c>
      <c r="AI5094" s="9">
        <v>41.357809622501556</v>
      </c>
      <c r="AJ5094" s="9">
        <v>3.0428788910505911</v>
      </c>
    </row>
    <row r="5095" spans="1:36" x14ac:dyDescent="0.25">
      <c r="A5095" t="s">
        <v>5411</v>
      </c>
      <c r="B5095" t="s">
        <v>16</v>
      </c>
      <c r="C5095" t="s">
        <v>17</v>
      </c>
      <c r="D5095">
        <v>87570000</v>
      </c>
      <c r="E5095">
        <v>87579999</v>
      </c>
      <c r="F5095" t="s">
        <v>4619</v>
      </c>
      <c r="G5095" t="str">
        <f t="shared" si="158"/>
        <v>PRI II</v>
      </c>
      <c r="H5095" t="s">
        <v>4294</v>
      </c>
      <c r="I5095" t="s">
        <v>20</v>
      </c>
      <c r="J5095" t="s">
        <v>64</v>
      </c>
      <c r="K5095" s="6">
        <v>0.03</v>
      </c>
      <c r="L5095" s="7">
        <f t="shared" si="159"/>
        <v>2E-3</v>
      </c>
      <c r="M5095" s="7">
        <v>3.0000000000000001E-3</v>
      </c>
      <c r="N5095">
        <v>11</v>
      </c>
      <c r="O5095" s="8">
        <v>19.127752698369598</v>
      </c>
      <c r="P5095" s="9">
        <v>19.127752698369598</v>
      </c>
      <c r="Q5095" s="9">
        <v>19.127752698369598</v>
      </c>
      <c r="R5095" s="9">
        <v>19.588754687607715</v>
      </c>
      <c r="S5095" s="9">
        <v>19.892211826137899</v>
      </c>
      <c r="T5095" s="9">
        <v>20.64455772606674</v>
      </c>
      <c r="U5095" s="9">
        <v>22.020224218035128</v>
      </c>
      <c r="V5095" s="9">
        <v>22.020224218035128</v>
      </c>
      <c r="W5095" s="9">
        <v>22.020224218035128</v>
      </c>
      <c r="X5095" s="9">
        <v>24.004435739730138</v>
      </c>
      <c r="Y5095" s="9">
        <v>24.004435739730138</v>
      </c>
      <c r="Z5095" s="9">
        <v>26.075582265671787</v>
      </c>
      <c r="AA5095" s="9">
        <v>26.075582265671787</v>
      </c>
      <c r="AB5095" s="9">
        <v>28.242357296284759</v>
      </c>
      <c r="AC5095" s="9">
        <v>28.242357296284759</v>
      </c>
      <c r="AD5095" s="9">
        <v>32.278785457330969</v>
      </c>
      <c r="AE5095" s="9">
        <v>34.228944830548365</v>
      </c>
      <c r="AF5095" s="9">
        <v>36.293711230319367</v>
      </c>
      <c r="AG5095" s="9">
        <v>36.293711230319367</v>
      </c>
      <c r="AH5095" s="9">
        <v>39.230142171980006</v>
      </c>
      <c r="AI5095" s="9">
        <v>41.357809622501556</v>
      </c>
      <c r="AJ5095" s="9">
        <v>3.0428788910505911</v>
      </c>
    </row>
    <row r="5096" spans="1:36" x14ac:dyDescent="0.25">
      <c r="A5096" t="s">
        <v>5411</v>
      </c>
      <c r="B5096" t="s">
        <v>16</v>
      </c>
      <c r="C5096" t="s">
        <v>17</v>
      </c>
      <c r="D5096">
        <v>87580000</v>
      </c>
      <c r="E5096">
        <v>87594999</v>
      </c>
      <c r="F5096" t="s">
        <v>4620</v>
      </c>
      <c r="G5096" t="str">
        <f t="shared" si="158"/>
        <v>PRI II</v>
      </c>
      <c r="H5096" t="s">
        <v>4294</v>
      </c>
      <c r="I5096" t="s">
        <v>20</v>
      </c>
      <c r="J5096" t="s">
        <v>64</v>
      </c>
      <c r="K5096" s="6">
        <v>0.03</v>
      </c>
      <c r="L5096" s="7">
        <f t="shared" si="159"/>
        <v>2E-3</v>
      </c>
      <c r="M5096" s="7">
        <v>3.0000000000000001E-3</v>
      </c>
      <c r="N5096">
        <v>11</v>
      </c>
      <c r="O5096" s="8">
        <v>19.127752698369598</v>
      </c>
      <c r="P5096" s="9">
        <v>19.127752698369598</v>
      </c>
      <c r="Q5096" s="9">
        <v>19.127752698369598</v>
      </c>
      <c r="R5096" s="9">
        <v>19.588754687607715</v>
      </c>
      <c r="S5096" s="9">
        <v>19.892211826137899</v>
      </c>
      <c r="T5096" s="9">
        <v>20.64455772606674</v>
      </c>
      <c r="U5096" s="9">
        <v>22.020224218035128</v>
      </c>
      <c r="V5096" s="9">
        <v>22.020224218035128</v>
      </c>
      <c r="W5096" s="9">
        <v>22.020224218035128</v>
      </c>
      <c r="X5096" s="9">
        <v>24.004435739730138</v>
      </c>
      <c r="Y5096" s="9">
        <v>24.004435739730138</v>
      </c>
      <c r="Z5096" s="9">
        <v>26.075582265671787</v>
      </c>
      <c r="AA5096" s="9">
        <v>26.075582265671787</v>
      </c>
      <c r="AB5096" s="9">
        <v>28.242357296284759</v>
      </c>
      <c r="AC5096" s="9">
        <v>28.242357296284759</v>
      </c>
      <c r="AD5096" s="9">
        <v>32.278785457330969</v>
      </c>
      <c r="AE5096" s="9">
        <v>34.228944830548365</v>
      </c>
      <c r="AF5096" s="9">
        <v>36.293711230319367</v>
      </c>
      <c r="AG5096" s="9">
        <v>36.293711230319367</v>
      </c>
      <c r="AH5096" s="9">
        <v>39.230142171980006</v>
      </c>
      <c r="AI5096" s="9">
        <v>41.357809622501556</v>
      </c>
      <c r="AJ5096" s="9">
        <v>3.0428788910505911</v>
      </c>
    </row>
    <row r="5097" spans="1:36" x14ac:dyDescent="0.25">
      <c r="A5097" t="s">
        <v>5411</v>
      </c>
      <c r="B5097" t="s">
        <v>16</v>
      </c>
      <c r="C5097" t="s">
        <v>17</v>
      </c>
      <c r="D5097">
        <v>87595000</v>
      </c>
      <c r="E5097">
        <v>87599999</v>
      </c>
      <c r="F5097" t="s">
        <v>4621</v>
      </c>
      <c r="G5097" t="str">
        <f t="shared" si="158"/>
        <v>PRI II</v>
      </c>
      <c r="H5097" t="s">
        <v>4294</v>
      </c>
      <c r="I5097" t="s">
        <v>20</v>
      </c>
      <c r="J5097" t="s">
        <v>64</v>
      </c>
      <c r="K5097" s="6">
        <v>0.03</v>
      </c>
      <c r="L5097" s="7">
        <f t="shared" si="159"/>
        <v>2E-3</v>
      </c>
      <c r="M5097" s="7">
        <v>3.0000000000000001E-3</v>
      </c>
      <c r="N5097">
        <v>11</v>
      </c>
      <c r="O5097" s="8">
        <v>19.127752698369598</v>
      </c>
      <c r="P5097" s="9">
        <v>19.127752698369598</v>
      </c>
      <c r="Q5097" s="9">
        <v>19.127752698369598</v>
      </c>
      <c r="R5097" s="9">
        <v>19.588754687607715</v>
      </c>
      <c r="S5097" s="9">
        <v>19.892211826137899</v>
      </c>
      <c r="T5097" s="9">
        <v>20.64455772606674</v>
      </c>
      <c r="U5097" s="9">
        <v>22.020224218035128</v>
      </c>
      <c r="V5097" s="9">
        <v>22.020224218035128</v>
      </c>
      <c r="W5097" s="9">
        <v>22.020224218035128</v>
      </c>
      <c r="X5097" s="9">
        <v>24.004435739730138</v>
      </c>
      <c r="Y5097" s="9">
        <v>24.004435739730138</v>
      </c>
      <c r="Z5097" s="9">
        <v>26.075582265671787</v>
      </c>
      <c r="AA5097" s="9">
        <v>26.075582265671787</v>
      </c>
      <c r="AB5097" s="9">
        <v>28.242357296284759</v>
      </c>
      <c r="AC5097" s="9">
        <v>28.242357296284759</v>
      </c>
      <c r="AD5097" s="9">
        <v>32.278785457330969</v>
      </c>
      <c r="AE5097" s="9">
        <v>34.228944830548365</v>
      </c>
      <c r="AF5097" s="9">
        <v>36.293711230319367</v>
      </c>
      <c r="AG5097" s="9">
        <v>36.293711230319367</v>
      </c>
      <c r="AH5097" s="9">
        <v>39.230142171980006</v>
      </c>
      <c r="AI5097" s="9">
        <v>41.357809622501556</v>
      </c>
      <c r="AJ5097" s="9">
        <v>3.0428788910505911</v>
      </c>
    </row>
    <row r="5098" spans="1:36" x14ac:dyDescent="0.25">
      <c r="A5098" t="s">
        <v>5411</v>
      </c>
      <c r="B5098" t="s">
        <v>16</v>
      </c>
      <c r="C5098" t="s">
        <v>17</v>
      </c>
      <c r="D5098">
        <v>87600000</v>
      </c>
      <c r="E5098">
        <v>87629999</v>
      </c>
      <c r="F5098" t="s">
        <v>4622</v>
      </c>
      <c r="G5098" t="str">
        <f t="shared" si="158"/>
        <v>PRI</v>
      </c>
      <c r="H5098" t="s">
        <v>4294</v>
      </c>
      <c r="I5098" t="s">
        <v>20</v>
      </c>
      <c r="J5098" t="s">
        <v>62</v>
      </c>
      <c r="K5098" s="6">
        <v>0.03</v>
      </c>
      <c r="L5098" s="7">
        <f t="shared" si="159"/>
        <v>2E-3</v>
      </c>
      <c r="M5098" s="7">
        <v>3.0000000000000001E-3</v>
      </c>
      <c r="N5098">
        <v>9</v>
      </c>
      <c r="O5098" s="8">
        <v>16.344178346561137</v>
      </c>
      <c r="P5098" s="9">
        <v>16.344178346561137</v>
      </c>
      <c r="Q5098" s="9">
        <v>16.344178346561137</v>
      </c>
      <c r="R5098" s="9">
        <v>16.766533722582309</v>
      </c>
      <c r="S5098" s="9">
        <v>17.709108795625173</v>
      </c>
      <c r="T5098" s="9">
        <v>18.545760454647645</v>
      </c>
      <c r="U5098" s="9">
        <v>20.10723313448154</v>
      </c>
      <c r="V5098" s="9">
        <v>20.10723313448154</v>
      </c>
      <c r="W5098" s="9">
        <v>20.10723313448154</v>
      </c>
      <c r="X5098" s="9">
        <v>21.240951506551678</v>
      </c>
      <c r="Y5098" s="9">
        <v>21.240951506551678</v>
      </c>
      <c r="Z5098" s="9">
        <v>22.557015615717738</v>
      </c>
      <c r="AA5098" s="9">
        <v>22.557015615717738</v>
      </c>
      <c r="AB5098" s="9">
        <v>26.056112270527457</v>
      </c>
      <c r="AC5098" s="9">
        <v>26.056112270527457</v>
      </c>
      <c r="AD5098" s="9">
        <v>30.142276170369946</v>
      </c>
      <c r="AE5098" s="9">
        <v>32.940531048263779</v>
      </c>
      <c r="AF5098" s="9">
        <v>35.920735279325392</v>
      </c>
      <c r="AG5098" s="9">
        <v>35.920735279325392</v>
      </c>
      <c r="AH5098" s="9">
        <v>38.62832670141978</v>
      </c>
      <c r="AI5098" s="9">
        <v>41.239207360528972</v>
      </c>
      <c r="AJ5098" s="9">
        <v>3.0428788910505911</v>
      </c>
    </row>
    <row r="5099" spans="1:36" x14ac:dyDescent="0.25">
      <c r="A5099" t="s">
        <v>5411</v>
      </c>
      <c r="B5099" t="s">
        <v>16</v>
      </c>
      <c r="C5099" t="s">
        <v>17</v>
      </c>
      <c r="D5099">
        <v>87630000</v>
      </c>
      <c r="E5099">
        <v>87639999</v>
      </c>
      <c r="F5099" t="s">
        <v>2440</v>
      </c>
      <c r="G5099" t="str">
        <f t="shared" si="158"/>
        <v>PRI</v>
      </c>
      <c r="H5099" t="s">
        <v>4294</v>
      </c>
      <c r="I5099" t="s">
        <v>20</v>
      </c>
      <c r="J5099" t="s">
        <v>62</v>
      </c>
      <c r="K5099" s="6">
        <v>0.03</v>
      </c>
      <c r="L5099" s="7">
        <f t="shared" si="159"/>
        <v>2E-3</v>
      </c>
      <c r="M5099" s="7">
        <v>3.0000000000000001E-3</v>
      </c>
      <c r="N5099">
        <v>9</v>
      </c>
      <c r="O5099" s="8">
        <v>16.344178346561137</v>
      </c>
      <c r="P5099" s="9">
        <v>16.344178346561137</v>
      </c>
      <c r="Q5099" s="9">
        <v>16.344178346561137</v>
      </c>
      <c r="R5099" s="9">
        <v>16.766533722582309</v>
      </c>
      <c r="S5099" s="9">
        <v>17.709108795625173</v>
      </c>
      <c r="T5099" s="9">
        <v>18.545760454647645</v>
      </c>
      <c r="U5099" s="9">
        <v>20.10723313448154</v>
      </c>
      <c r="V5099" s="9">
        <v>20.10723313448154</v>
      </c>
      <c r="W5099" s="9">
        <v>20.10723313448154</v>
      </c>
      <c r="X5099" s="9">
        <v>21.240951506551678</v>
      </c>
      <c r="Y5099" s="9">
        <v>21.240951506551678</v>
      </c>
      <c r="Z5099" s="9">
        <v>22.557015615717738</v>
      </c>
      <c r="AA5099" s="9">
        <v>22.557015615717738</v>
      </c>
      <c r="AB5099" s="9">
        <v>26.056112270527457</v>
      </c>
      <c r="AC5099" s="9">
        <v>26.056112270527457</v>
      </c>
      <c r="AD5099" s="9">
        <v>30.142276170369946</v>
      </c>
      <c r="AE5099" s="9">
        <v>32.940531048263779</v>
      </c>
      <c r="AF5099" s="9">
        <v>35.920735279325392</v>
      </c>
      <c r="AG5099" s="9">
        <v>35.920735279325392</v>
      </c>
      <c r="AH5099" s="9">
        <v>38.62832670141978</v>
      </c>
      <c r="AI5099" s="9">
        <v>41.239207360528972</v>
      </c>
      <c r="AJ5099" s="9">
        <v>3.0428788910505911</v>
      </c>
    </row>
    <row r="5100" spans="1:36" x14ac:dyDescent="0.25">
      <c r="A5100" t="s">
        <v>5411</v>
      </c>
      <c r="B5100" t="s">
        <v>16</v>
      </c>
      <c r="C5100" t="s">
        <v>17</v>
      </c>
      <c r="D5100">
        <v>87640000</v>
      </c>
      <c r="E5100">
        <v>87649999</v>
      </c>
      <c r="F5100" t="s">
        <v>4623</v>
      </c>
      <c r="G5100" t="str">
        <f t="shared" si="158"/>
        <v>PRI</v>
      </c>
      <c r="H5100" t="s">
        <v>4294</v>
      </c>
      <c r="I5100" t="s">
        <v>20</v>
      </c>
      <c r="J5100" t="s">
        <v>62</v>
      </c>
      <c r="K5100" s="6">
        <v>0.03</v>
      </c>
      <c r="L5100" s="7">
        <f t="shared" si="159"/>
        <v>2E-3</v>
      </c>
      <c r="M5100" s="7">
        <v>3.0000000000000001E-3</v>
      </c>
      <c r="N5100">
        <v>9</v>
      </c>
      <c r="O5100" s="8">
        <v>16.344178346561137</v>
      </c>
      <c r="P5100" s="9">
        <v>16.344178346561137</v>
      </c>
      <c r="Q5100" s="9">
        <v>16.344178346561137</v>
      </c>
      <c r="R5100" s="9">
        <v>16.766533722582309</v>
      </c>
      <c r="S5100" s="9">
        <v>17.709108795625173</v>
      </c>
      <c r="T5100" s="9">
        <v>18.545760454647645</v>
      </c>
      <c r="U5100" s="9">
        <v>20.10723313448154</v>
      </c>
      <c r="V5100" s="9">
        <v>20.10723313448154</v>
      </c>
      <c r="W5100" s="9">
        <v>20.10723313448154</v>
      </c>
      <c r="X5100" s="9">
        <v>21.240951506551678</v>
      </c>
      <c r="Y5100" s="9">
        <v>21.240951506551678</v>
      </c>
      <c r="Z5100" s="9">
        <v>22.557015615717738</v>
      </c>
      <c r="AA5100" s="9">
        <v>22.557015615717738</v>
      </c>
      <c r="AB5100" s="9">
        <v>26.056112270527457</v>
      </c>
      <c r="AC5100" s="9">
        <v>26.056112270527457</v>
      </c>
      <c r="AD5100" s="9">
        <v>30.142276170369946</v>
      </c>
      <c r="AE5100" s="9">
        <v>32.940531048263779</v>
      </c>
      <c r="AF5100" s="9">
        <v>35.920735279325392</v>
      </c>
      <c r="AG5100" s="9">
        <v>35.920735279325392</v>
      </c>
      <c r="AH5100" s="9">
        <v>38.62832670141978</v>
      </c>
      <c r="AI5100" s="9">
        <v>41.239207360528972</v>
      </c>
      <c r="AJ5100" s="9">
        <v>3.0428788910505911</v>
      </c>
    </row>
    <row r="5101" spans="1:36" x14ac:dyDescent="0.25">
      <c r="A5101" t="s">
        <v>5411</v>
      </c>
      <c r="B5101" t="s">
        <v>16</v>
      </c>
      <c r="C5101" t="s">
        <v>17</v>
      </c>
      <c r="D5101">
        <v>87650000</v>
      </c>
      <c r="E5101">
        <v>87659999</v>
      </c>
      <c r="F5101" t="s">
        <v>3664</v>
      </c>
      <c r="G5101" t="str">
        <f t="shared" si="158"/>
        <v>PRI II</v>
      </c>
      <c r="H5101" t="s">
        <v>4294</v>
      </c>
      <c r="I5101" t="s">
        <v>20</v>
      </c>
      <c r="J5101" t="s">
        <v>64</v>
      </c>
      <c r="K5101" s="6">
        <v>0.03</v>
      </c>
      <c r="L5101" s="7">
        <f t="shared" si="159"/>
        <v>2E-3</v>
      </c>
      <c r="M5101" s="7">
        <v>3.0000000000000001E-3</v>
      </c>
      <c r="N5101">
        <v>11</v>
      </c>
      <c r="O5101" s="8">
        <v>19.127752698369598</v>
      </c>
      <c r="P5101" s="9">
        <v>19.127752698369598</v>
      </c>
      <c r="Q5101" s="9">
        <v>19.127752698369598</v>
      </c>
      <c r="R5101" s="9">
        <v>19.588754687607715</v>
      </c>
      <c r="S5101" s="9">
        <v>19.892211826137899</v>
      </c>
      <c r="T5101" s="9">
        <v>20.64455772606674</v>
      </c>
      <c r="U5101" s="9">
        <v>22.020224218035128</v>
      </c>
      <c r="V5101" s="9">
        <v>22.020224218035128</v>
      </c>
      <c r="W5101" s="9">
        <v>22.020224218035128</v>
      </c>
      <c r="X5101" s="9">
        <v>24.004435739730138</v>
      </c>
      <c r="Y5101" s="9">
        <v>24.004435739730138</v>
      </c>
      <c r="Z5101" s="9">
        <v>26.075582265671787</v>
      </c>
      <c r="AA5101" s="9">
        <v>26.075582265671787</v>
      </c>
      <c r="AB5101" s="9">
        <v>28.242357296284759</v>
      </c>
      <c r="AC5101" s="9">
        <v>28.242357296284759</v>
      </c>
      <c r="AD5101" s="9">
        <v>32.278785457330969</v>
      </c>
      <c r="AE5101" s="9">
        <v>34.228944830548365</v>
      </c>
      <c r="AF5101" s="9">
        <v>36.293711230319367</v>
      </c>
      <c r="AG5101" s="9">
        <v>36.293711230319367</v>
      </c>
      <c r="AH5101" s="9">
        <v>39.230142171980006</v>
      </c>
      <c r="AI5101" s="9">
        <v>41.357809622501556</v>
      </c>
      <c r="AJ5101" s="9">
        <v>3.0428788910505911</v>
      </c>
    </row>
    <row r="5102" spans="1:36" x14ac:dyDescent="0.25">
      <c r="A5102" t="s">
        <v>5411</v>
      </c>
      <c r="B5102" t="s">
        <v>16</v>
      </c>
      <c r="C5102" t="s">
        <v>17</v>
      </c>
      <c r="D5102">
        <v>87660000</v>
      </c>
      <c r="E5102">
        <v>87669999</v>
      </c>
      <c r="F5102" t="s">
        <v>4624</v>
      </c>
      <c r="G5102" t="str">
        <f t="shared" si="158"/>
        <v>PRI II</v>
      </c>
      <c r="H5102" t="s">
        <v>4294</v>
      </c>
      <c r="I5102" t="s">
        <v>20</v>
      </c>
      <c r="J5102" t="s">
        <v>64</v>
      </c>
      <c r="K5102" s="6">
        <v>0.03</v>
      </c>
      <c r="L5102" s="7">
        <f t="shared" si="159"/>
        <v>2E-3</v>
      </c>
      <c r="M5102" s="7">
        <v>3.0000000000000001E-3</v>
      </c>
      <c r="N5102">
        <v>11</v>
      </c>
      <c r="O5102" s="8">
        <v>19.127752698369598</v>
      </c>
      <c r="P5102" s="9">
        <v>19.127752698369598</v>
      </c>
      <c r="Q5102" s="9">
        <v>19.127752698369598</v>
      </c>
      <c r="R5102" s="9">
        <v>19.588754687607715</v>
      </c>
      <c r="S5102" s="9">
        <v>19.892211826137899</v>
      </c>
      <c r="T5102" s="9">
        <v>20.64455772606674</v>
      </c>
      <c r="U5102" s="9">
        <v>22.020224218035128</v>
      </c>
      <c r="V5102" s="9">
        <v>22.020224218035128</v>
      </c>
      <c r="W5102" s="9">
        <v>22.020224218035128</v>
      </c>
      <c r="X5102" s="9">
        <v>24.004435739730138</v>
      </c>
      <c r="Y5102" s="9">
        <v>24.004435739730138</v>
      </c>
      <c r="Z5102" s="9">
        <v>26.075582265671787</v>
      </c>
      <c r="AA5102" s="9">
        <v>26.075582265671787</v>
      </c>
      <c r="AB5102" s="9">
        <v>28.242357296284759</v>
      </c>
      <c r="AC5102" s="9">
        <v>28.242357296284759</v>
      </c>
      <c r="AD5102" s="9">
        <v>32.278785457330969</v>
      </c>
      <c r="AE5102" s="9">
        <v>34.228944830548365</v>
      </c>
      <c r="AF5102" s="9">
        <v>36.293711230319367</v>
      </c>
      <c r="AG5102" s="9">
        <v>36.293711230319367</v>
      </c>
      <c r="AH5102" s="9">
        <v>39.230142171980006</v>
      </c>
      <c r="AI5102" s="9">
        <v>41.357809622501556</v>
      </c>
      <c r="AJ5102" s="9">
        <v>3.0428788910505911</v>
      </c>
    </row>
    <row r="5103" spans="1:36" x14ac:dyDescent="0.25">
      <c r="A5103" t="s">
        <v>5411</v>
      </c>
      <c r="B5103" t="s">
        <v>16</v>
      </c>
      <c r="C5103" t="s">
        <v>17</v>
      </c>
      <c r="D5103">
        <v>87670000</v>
      </c>
      <c r="E5103">
        <v>87679999</v>
      </c>
      <c r="F5103" t="s">
        <v>2348</v>
      </c>
      <c r="G5103" t="str">
        <f t="shared" si="158"/>
        <v>PRI II</v>
      </c>
      <c r="H5103" t="s">
        <v>4294</v>
      </c>
      <c r="I5103" t="s">
        <v>20</v>
      </c>
      <c r="J5103" t="s">
        <v>64</v>
      </c>
      <c r="K5103" s="6">
        <v>0.03</v>
      </c>
      <c r="L5103" s="7">
        <f t="shared" si="159"/>
        <v>2E-3</v>
      </c>
      <c r="M5103" s="7">
        <v>3.0000000000000001E-3</v>
      </c>
      <c r="N5103">
        <v>11</v>
      </c>
      <c r="O5103" s="8">
        <v>19.127752698369598</v>
      </c>
      <c r="P5103" s="9">
        <v>19.127752698369598</v>
      </c>
      <c r="Q5103" s="9">
        <v>19.127752698369598</v>
      </c>
      <c r="R5103" s="9">
        <v>19.588754687607715</v>
      </c>
      <c r="S5103" s="9">
        <v>19.892211826137899</v>
      </c>
      <c r="T5103" s="9">
        <v>20.64455772606674</v>
      </c>
      <c r="U5103" s="9">
        <v>22.020224218035128</v>
      </c>
      <c r="V5103" s="9">
        <v>22.020224218035128</v>
      </c>
      <c r="W5103" s="9">
        <v>22.020224218035128</v>
      </c>
      <c r="X5103" s="9">
        <v>24.004435739730138</v>
      </c>
      <c r="Y5103" s="9">
        <v>24.004435739730138</v>
      </c>
      <c r="Z5103" s="9">
        <v>26.075582265671787</v>
      </c>
      <c r="AA5103" s="9">
        <v>26.075582265671787</v>
      </c>
      <c r="AB5103" s="9">
        <v>28.242357296284759</v>
      </c>
      <c r="AC5103" s="9">
        <v>28.242357296284759</v>
      </c>
      <c r="AD5103" s="9">
        <v>32.278785457330969</v>
      </c>
      <c r="AE5103" s="9">
        <v>34.228944830548365</v>
      </c>
      <c r="AF5103" s="9">
        <v>36.293711230319367</v>
      </c>
      <c r="AG5103" s="9">
        <v>36.293711230319367</v>
      </c>
      <c r="AH5103" s="9">
        <v>39.230142171980006</v>
      </c>
      <c r="AI5103" s="9">
        <v>41.357809622501556</v>
      </c>
      <c r="AJ5103" s="9">
        <v>3.0428788910505911</v>
      </c>
    </row>
    <row r="5104" spans="1:36" x14ac:dyDescent="0.25">
      <c r="A5104" t="s">
        <v>5411</v>
      </c>
      <c r="B5104" t="s">
        <v>16</v>
      </c>
      <c r="C5104" t="s">
        <v>17</v>
      </c>
      <c r="D5104">
        <v>87680000</v>
      </c>
      <c r="E5104">
        <v>87689999</v>
      </c>
      <c r="F5104" t="s">
        <v>4625</v>
      </c>
      <c r="G5104" t="str">
        <f t="shared" si="158"/>
        <v>PRI II</v>
      </c>
      <c r="H5104" t="s">
        <v>4294</v>
      </c>
      <c r="I5104" t="s">
        <v>20</v>
      </c>
      <c r="J5104" t="s">
        <v>64</v>
      </c>
      <c r="K5104" s="6">
        <v>0.03</v>
      </c>
      <c r="L5104" s="7">
        <f t="shared" si="159"/>
        <v>2E-3</v>
      </c>
      <c r="M5104" s="7">
        <v>3.0000000000000001E-3</v>
      </c>
      <c r="N5104">
        <v>11</v>
      </c>
      <c r="O5104" s="8">
        <v>19.127752698369598</v>
      </c>
      <c r="P5104" s="9">
        <v>19.127752698369598</v>
      </c>
      <c r="Q5104" s="9">
        <v>19.127752698369598</v>
      </c>
      <c r="R5104" s="9">
        <v>19.588754687607715</v>
      </c>
      <c r="S5104" s="9">
        <v>19.892211826137899</v>
      </c>
      <c r="T5104" s="9">
        <v>20.64455772606674</v>
      </c>
      <c r="U5104" s="9">
        <v>22.020224218035128</v>
      </c>
      <c r="V5104" s="9">
        <v>22.020224218035128</v>
      </c>
      <c r="W5104" s="9">
        <v>22.020224218035128</v>
      </c>
      <c r="X5104" s="9">
        <v>24.004435739730138</v>
      </c>
      <c r="Y5104" s="9">
        <v>24.004435739730138</v>
      </c>
      <c r="Z5104" s="9">
        <v>26.075582265671787</v>
      </c>
      <c r="AA5104" s="9">
        <v>26.075582265671787</v>
      </c>
      <c r="AB5104" s="9">
        <v>28.242357296284759</v>
      </c>
      <c r="AC5104" s="9">
        <v>28.242357296284759</v>
      </c>
      <c r="AD5104" s="9">
        <v>32.278785457330969</v>
      </c>
      <c r="AE5104" s="9">
        <v>34.228944830548365</v>
      </c>
      <c r="AF5104" s="9">
        <v>36.293711230319367</v>
      </c>
      <c r="AG5104" s="9">
        <v>36.293711230319367</v>
      </c>
      <c r="AH5104" s="9">
        <v>39.230142171980006</v>
      </c>
      <c r="AI5104" s="9">
        <v>41.357809622501556</v>
      </c>
      <c r="AJ5104" s="9">
        <v>3.0428788910505911</v>
      </c>
    </row>
    <row r="5105" spans="1:36" x14ac:dyDescent="0.25">
      <c r="A5105" t="s">
        <v>5411</v>
      </c>
      <c r="B5105" t="s">
        <v>16</v>
      </c>
      <c r="C5105" t="s">
        <v>17</v>
      </c>
      <c r="D5105">
        <v>87690000</v>
      </c>
      <c r="E5105">
        <v>87699999</v>
      </c>
      <c r="F5105" t="s">
        <v>4626</v>
      </c>
      <c r="G5105" t="str">
        <f t="shared" si="158"/>
        <v>PRI II</v>
      </c>
      <c r="H5105" t="s">
        <v>4294</v>
      </c>
      <c r="I5105" t="s">
        <v>20</v>
      </c>
      <c r="J5105" t="s">
        <v>64</v>
      </c>
      <c r="K5105" s="6">
        <v>0.03</v>
      </c>
      <c r="L5105" s="7">
        <f t="shared" si="159"/>
        <v>2E-3</v>
      </c>
      <c r="M5105" s="7">
        <v>3.0000000000000001E-3</v>
      </c>
      <c r="N5105">
        <v>11</v>
      </c>
      <c r="O5105" s="8">
        <v>19.127752698369598</v>
      </c>
      <c r="P5105" s="9">
        <v>19.127752698369598</v>
      </c>
      <c r="Q5105" s="9">
        <v>19.127752698369598</v>
      </c>
      <c r="R5105" s="9">
        <v>19.588754687607715</v>
      </c>
      <c r="S5105" s="9">
        <v>19.892211826137899</v>
      </c>
      <c r="T5105" s="9">
        <v>20.64455772606674</v>
      </c>
      <c r="U5105" s="9">
        <v>22.020224218035128</v>
      </c>
      <c r="V5105" s="9">
        <v>22.020224218035128</v>
      </c>
      <c r="W5105" s="9">
        <v>22.020224218035128</v>
      </c>
      <c r="X5105" s="9">
        <v>24.004435739730138</v>
      </c>
      <c r="Y5105" s="9">
        <v>24.004435739730138</v>
      </c>
      <c r="Z5105" s="9">
        <v>26.075582265671787</v>
      </c>
      <c r="AA5105" s="9">
        <v>26.075582265671787</v>
      </c>
      <c r="AB5105" s="9">
        <v>28.242357296284759</v>
      </c>
      <c r="AC5105" s="9">
        <v>28.242357296284759</v>
      </c>
      <c r="AD5105" s="9">
        <v>32.278785457330969</v>
      </c>
      <c r="AE5105" s="9">
        <v>34.228944830548365</v>
      </c>
      <c r="AF5105" s="9">
        <v>36.293711230319367</v>
      </c>
      <c r="AG5105" s="9">
        <v>36.293711230319367</v>
      </c>
      <c r="AH5105" s="9">
        <v>39.230142171980006</v>
      </c>
      <c r="AI5105" s="9">
        <v>41.357809622501556</v>
      </c>
      <c r="AJ5105" s="9">
        <v>3.0428788910505911</v>
      </c>
    </row>
    <row r="5106" spans="1:36" x14ac:dyDescent="0.25">
      <c r="A5106" t="s">
        <v>5411</v>
      </c>
      <c r="B5106" t="s">
        <v>16</v>
      </c>
      <c r="C5106" t="s">
        <v>17</v>
      </c>
      <c r="D5106">
        <v>87700000</v>
      </c>
      <c r="E5106">
        <v>87729999</v>
      </c>
      <c r="F5106" t="s">
        <v>4627</v>
      </c>
      <c r="G5106" t="str">
        <f t="shared" si="158"/>
        <v>PRI</v>
      </c>
      <c r="H5106" t="s">
        <v>4294</v>
      </c>
      <c r="I5106" t="s">
        <v>20</v>
      </c>
      <c r="J5106" t="s">
        <v>62</v>
      </c>
      <c r="K5106" s="6">
        <v>0.03</v>
      </c>
      <c r="L5106" s="7">
        <f t="shared" si="159"/>
        <v>2E-3</v>
      </c>
      <c r="M5106" s="7">
        <v>3.0000000000000001E-3</v>
      </c>
      <c r="N5106">
        <v>10</v>
      </c>
      <c r="O5106" s="8">
        <v>16.344178346561137</v>
      </c>
      <c r="P5106" s="9">
        <v>16.344178346561137</v>
      </c>
      <c r="Q5106" s="9">
        <v>16.344178346561137</v>
      </c>
      <c r="R5106" s="9">
        <v>16.766533722582309</v>
      </c>
      <c r="S5106" s="9">
        <v>17.709108795625173</v>
      </c>
      <c r="T5106" s="9">
        <v>18.545760454647645</v>
      </c>
      <c r="U5106" s="9">
        <v>20.10723313448154</v>
      </c>
      <c r="V5106" s="9">
        <v>20.10723313448154</v>
      </c>
      <c r="W5106" s="9">
        <v>20.10723313448154</v>
      </c>
      <c r="X5106" s="9">
        <v>21.240951506551678</v>
      </c>
      <c r="Y5106" s="9">
        <v>21.240951506551678</v>
      </c>
      <c r="Z5106" s="9">
        <v>22.557015615717738</v>
      </c>
      <c r="AA5106" s="9">
        <v>22.557015615717738</v>
      </c>
      <c r="AB5106" s="9">
        <v>26.056112270527457</v>
      </c>
      <c r="AC5106" s="9">
        <v>26.056112270527457</v>
      </c>
      <c r="AD5106" s="9">
        <v>30.142276170369946</v>
      </c>
      <c r="AE5106" s="9">
        <v>32.940531048263779</v>
      </c>
      <c r="AF5106" s="9">
        <v>35.920735279325392</v>
      </c>
      <c r="AG5106" s="9">
        <v>35.920735279325392</v>
      </c>
      <c r="AH5106" s="9">
        <v>38.62832670141978</v>
      </c>
      <c r="AI5106" s="9">
        <v>41.239207360528972</v>
      </c>
      <c r="AJ5106" s="9">
        <v>3.0428788910505911</v>
      </c>
    </row>
    <row r="5107" spans="1:36" x14ac:dyDescent="0.25">
      <c r="A5107" t="s">
        <v>5411</v>
      </c>
      <c r="B5107" t="s">
        <v>16</v>
      </c>
      <c r="C5107" t="s">
        <v>17</v>
      </c>
      <c r="D5107">
        <v>87730000</v>
      </c>
      <c r="E5107">
        <v>87739999</v>
      </c>
      <c r="F5107" t="s">
        <v>4628</v>
      </c>
      <c r="G5107" t="str">
        <f t="shared" si="158"/>
        <v>PRI</v>
      </c>
      <c r="H5107" t="s">
        <v>4294</v>
      </c>
      <c r="I5107" t="s">
        <v>20</v>
      </c>
      <c r="J5107" t="s">
        <v>62</v>
      </c>
      <c r="K5107" s="6">
        <v>0.03</v>
      </c>
      <c r="L5107" s="7">
        <f t="shared" si="159"/>
        <v>2E-3</v>
      </c>
      <c r="M5107" s="7">
        <v>3.0000000000000001E-3</v>
      </c>
      <c r="N5107">
        <v>10</v>
      </c>
      <c r="O5107" s="8">
        <v>16.344178346561137</v>
      </c>
      <c r="P5107" s="9">
        <v>16.344178346561137</v>
      </c>
      <c r="Q5107" s="9">
        <v>16.344178346561137</v>
      </c>
      <c r="R5107" s="9">
        <v>16.766533722582309</v>
      </c>
      <c r="S5107" s="9">
        <v>17.709108795625173</v>
      </c>
      <c r="T5107" s="9">
        <v>18.545760454647645</v>
      </c>
      <c r="U5107" s="9">
        <v>20.10723313448154</v>
      </c>
      <c r="V5107" s="9">
        <v>20.10723313448154</v>
      </c>
      <c r="W5107" s="9">
        <v>20.10723313448154</v>
      </c>
      <c r="X5107" s="9">
        <v>21.240951506551678</v>
      </c>
      <c r="Y5107" s="9">
        <v>21.240951506551678</v>
      </c>
      <c r="Z5107" s="9">
        <v>22.557015615717738</v>
      </c>
      <c r="AA5107" s="9">
        <v>22.557015615717738</v>
      </c>
      <c r="AB5107" s="9">
        <v>26.056112270527457</v>
      </c>
      <c r="AC5107" s="9">
        <v>26.056112270527457</v>
      </c>
      <c r="AD5107" s="9">
        <v>30.142276170369946</v>
      </c>
      <c r="AE5107" s="9">
        <v>32.940531048263779</v>
      </c>
      <c r="AF5107" s="9">
        <v>35.920735279325392</v>
      </c>
      <c r="AG5107" s="9">
        <v>35.920735279325392</v>
      </c>
      <c r="AH5107" s="9">
        <v>38.62832670141978</v>
      </c>
      <c r="AI5107" s="9">
        <v>41.239207360528972</v>
      </c>
      <c r="AJ5107" s="9">
        <v>3.0428788910505911</v>
      </c>
    </row>
    <row r="5108" spans="1:36" x14ac:dyDescent="0.25">
      <c r="A5108" t="s">
        <v>5411</v>
      </c>
      <c r="B5108" t="s">
        <v>16</v>
      </c>
      <c r="C5108" t="s">
        <v>17</v>
      </c>
      <c r="D5108">
        <v>87740000</v>
      </c>
      <c r="E5108">
        <v>87749999</v>
      </c>
      <c r="F5108" t="s">
        <v>4629</v>
      </c>
      <c r="G5108" t="str">
        <f t="shared" si="158"/>
        <v>PRI</v>
      </c>
      <c r="H5108" t="s">
        <v>4294</v>
      </c>
      <c r="I5108" t="s">
        <v>20</v>
      </c>
      <c r="J5108" t="s">
        <v>62</v>
      </c>
      <c r="K5108" s="6">
        <v>0.03</v>
      </c>
      <c r="L5108" s="7">
        <f t="shared" si="159"/>
        <v>2E-3</v>
      </c>
      <c r="M5108" s="7">
        <v>3.0000000000000001E-3</v>
      </c>
      <c r="N5108">
        <v>10</v>
      </c>
      <c r="O5108" s="8">
        <v>16.344178346561137</v>
      </c>
      <c r="P5108" s="9">
        <v>16.344178346561137</v>
      </c>
      <c r="Q5108" s="9">
        <v>16.344178346561137</v>
      </c>
      <c r="R5108" s="9">
        <v>16.766533722582309</v>
      </c>
      <c r="S5108" s="9">
        <v>17.709108795625173</v>
      </c>
      <c r="T5108" s="9">
        <v>18.545760454647645</v>
      </c>
      <c r="U5108" s="9">
        <v>20.10723313448154</v>
      </c>
      <c r="V5108" s="9">
        <v>20.10723313448154</v>
      </c>
      <c r="W5108" s="9">
        <v>20.10723313448154</v>
      </c>
      <c r="X5108" s="9">
        <v>21.240951506551678</v>
      </c>
      <c r="Y5108" s="9">
        <v>21.240951506551678</v>
      </c>
      <c r="Z5108" s="9">
        <v>22.557015615717738</v>
      </c>
      <c r="AA5108" s="9">
        <v>22.557015615717738</v>
      </c>
      <c r="AB5108" s="9">
        <v>26.056112270527457</v>
      </c>
      <c r="AC5108" s="9">
        <v>26.056112270527457</v>
      </c>
      <c r="AD5108" s="9">
        <v>30.142276170369946</v>
      </c>
      <c r="AE5108" s="9">
        <v>32.940531048263779</v>
      </c>
      <c r="AF5108" s="9">
        <v>35.920735279325392</v>
      </c>
      <c r="AG5108" s="9">
        <v>35.920735279325392</v>
      </c>
      <c r="AH5108" s="9">
        <v>38.62832670141978</v>
      </c>
      <c r="AI5108" s="9">
        <v>41.239207360528972</v>
      </c>
      <c r="AJ5108" s="9">
        <v>3.0428788910505911</v>
      </c>
    </row>
    <row r="5109" spans="1:36" x14ac:dyDescent="0.25">
      <c r="A5109" t="s">
        <v>5411</v>
      </c>
      <c r="B5109" t="s">
        <v>16</v>
      </c>
      <c r="C5109" t="s">
        <v>17</v>
      </c>
      <c r="D5109">
        <v>87750000</v>
      </c>
      <c r="E5109">
        <v>87759999</v>
      </c>
      <c r="F5109" t="s">
        <v>4630</v>
      </c>
      <c r="G5109" t="str">
        <f t="shared" si="158"/>
        <v>PRI II</v>
      </c>
      <c r="H5109" t="s">
        <v>4294</v>
      </c>
      <c r="I5109" t="s">
        <v>20</v>
      </c>
      <c r="J5109" t="s">
        <v>64</v>
      </c>
      <c r="K5109" s="6">
        <v>0.03</v>
      </c>
      <c r="L5109" s="7">
        <f t="shared" si="159"/>
        <v>2E-3</v>
      </c>
      <c r="M5109" s="7">
        <v>3.0000000000000001E-3</v>
      </c>
      <c r="N5109">
        <v>11</v>
      </c>
      <c r="O5109" s="8">
        <v>19.127752698369598</v>
      </c>
      <c r="P5109" s="9">
        <v>19.127752698369598</v>
      </c>
      <c r="Q5109" s="9">
        <v>19.127752698369598</v>
      </c>
      <c r="R5109" s="9">
        <v>19.588754687607715</v>
      </c>
      <c r="S5109" s="9">
        <v>19.892211826137899</v>
      </c>
      <c r="T5109" s="9">
        <v>20.64455772606674</v>
      </c>
      <c r="U5109" s="9">
        <v>22.020224218035128</v>
      </c>
      <c r="V5109" s="9">
        <v>22.020224218035128</v>
      </c>
      <c r="W5109" s="9">
        <v>22.020224218035128</v>
      </c>
      <c r="X5109" s="9">
        <v>24.004435739730138</v>
      </c>
      <c r="Y5109" s="9">
        <v>24.004435739730138</v>
      </c>
      <c r="Z5109" s="9">
        <v>26.075582265671787</v>
      </c>
      <c r="AA5109" s="9">
        <v>26.075582265671787</v>
      </c>
      <c r="AB5109" s="9">
        <v>28.242357296284759</v>
      </c>
      <c r="AC5109" s="9">
        <v>28.242357296284759</v>
      </c>
      <c r="AD5109" s="9">
        <v>32.278785457330969</v>
      </c>
      <c r="AE5109" s="9">
        <v>34.228944830548365</v>
      </c>
      <c r="AF5109" s="9">
        <v>36.293711230319367</v>
      </c>
      <c r="AG5109" s="9">
        <v>36.293711230319367</v>
      </c>
      <c r="AH5109" s="9">
        <v>39.230142171980006</v>
      </c>
      <c r="AI5109" s="9">
        <v>41.357809622501556</v>
      </c>
      <c r="AJ5109" s="9">
        <v>3.0428788910505911</v>
      </c>
    </row>
    <row r="5110" spans="1:36" x14ac:dyDescent="0.25">
      <c r="A5110" t="s">
        <v>5411</v>
      </c>
      <c r="B5110" t="s">
        <v>16</v>
      </c>
      <c r="C5110" t="s">
        <v>17</v>
      </c>
      <c r="D5110">
        <v>87760000</v>
      </c>
      <c r="E5110">
        <v>87769999</v>
      </c>
      <c r="F5110" t="s">
        <v>4631</v>
      </c>
      <c r="G5110" t="str">
        <f t="shared" si="158"/>
        <v>PRI II</v>
      </c>
      <c r="H5110" t="s">
        <v>4294</v>
      </c>
      <c r="I5110" t="s">
        <v>20</v>
      </c>
      <c r="J5110" t="s">
        <v>64</v>
      </c>
      <c r="K5110" s="6">
        <v>0.03</v>
      </c>
      <c r="L5110" s="7">
        <f t="shared" si="159"/>
        <v>2E-3</v>
      </c>
      <c r="M5110" s="7">
        <v>3.0000000000000001E-3</v>
      </c>
      <c r="N5110">
        <v>11</v>
      </c>
      <c r="O5110" s="8">
        <v>19.127752698369598</v>
      </c>
      <c r="P5110" s="9">
        <v>19.127752698369598</v>
      </c>
      <c r="Q5110" s="9">
        <v>19.127752698369598</v>
      </c>
      <c r="R5110" s="9">
        <v>19.588754687607715</v>
      </c>
      <c r="S5110" s="9">
        <v>19.892211826137899</v>
      </c>
      <c r="T5110" s="9">
        <v>20.64455772606674</v>
      </c>
      <c r="U5110" s="9">
        <v>22.020224218035128</v>
      </c>
      <c r="V5110" s="9">
        <v>22.020224218035128</v>
      </c>
      <c r="W5110" s="9">
        <v>22.020224218035128</v>
      </c>
      <c r="X5110" s="9">
        <v>24.004435739730138</v>
      </c>
      <c r="Y5110" s="9">
        <v>24.004435739730138</v>
      </c>
      <c r="Z5110" s="9">
        <v>26.075582265671787</v>
      </c>
      <c r="AA5110" s="9">
        <v>26.075582265671787</v>
      </c>
      <c r="AB5110" s="9">
        <v>28.242357296284759</v>
      </c>
      <c r="AC5110" s="9">
        <v>28.242357296284759</v>
      </c>
      <c r="AD5110" s="9">
        <v>32.278785457330969</v>
      </c>
      <c r="AE5110" s="9">
        <v>34.228944830548365</v>
      </c>
      <c r="AF5110" s="9">
        <v>36.293711230319367</v>
      </c>
      <c r="AG5110" s="9">
        <v>36.293711230319367</v>
      </c>
      <c r="AH5110" s="9">
        <v>39.230142171980006</v>
      </c>
      <c r="AI5110" s="9">
        <v>41.357809622501556</v>
      </c>
      <c r="AJ5110" s="9">
        <v>3.0428788910505911</v>
      </c>
    </row>
    <row r="5111" spans="1:36" x14ac:dyDescent="0.25">
      <c r="A5111" t="s">
        <v>5411</v>
      </c>
      <c r="B5111" t="s">
        <v>16</v>
      </c>
      <c r="C5111" t="s">
        <v>17</v>
      </c>
      <c r="D5111">
        <v>87770000</v>
      </c>
      <c r="E5111">
        <v>87779999</v>
      </c>
      <c r="F5111" t="s">
        <v>4632</v>
      </c>
      <c r="G5111" t="str">
        <f t="shared" si="158"/>
        <v>PRI II</v>
      </c>
      <c r="H5111" t="s">
        <v>4294</v>
      </c>
      <c r="I5111" t="s">
        <v>20</v>
      </c>
      <c r="J5111" t="s">
        <v>64</v>
      </c>
      <c r="K5111" s="6">
        <v>0.03</v>
      </c>
      <c r="L5111" s="7">
        <f t="shared" si="159"/>
        <v>2E-3</v>
      </c>
      <c r="M5111" s="7">
        <v>3.0000000000000001E-3</v>
      </c>
      <c r="N5111">
        <v>11</v>
      </c>
      <c r="O5111" s="8">
        <v>19.127752698369598</v>
      </c>
      <c r="P5111" s="9">
        <v>19.127752698369598</v>
      </c>
      <c r="Q5111" s="9">
        <v>19.127752698369598</v>
      </c>
      <c r="R5111" s="9">
        <v>19.588754687607715</v>
      </c>
      <c r="S5111" s="9">
        <v>19.892211826137899</v>
      </c>
      <c r="T5111" s="9">
        <v>20.64455772606674</v>
      </c>
      <c r="U5111" s="9">
        <v>22.020224218035128</v>
      </c>
      <c r="V5111" s="9">
        <v>22.020224218035128</v>
      </c>
      <c r="W5111" s="9">
        <v>22.020224218035128</v>
      </c>
      <c r="X5111" s="9">
        <v>24.004435739730138</v>
      </c>
      <c r="Y5111" s="9">
        <v>24.004435739730138</v>
      </c>
      <c r="Z5111" s="9">
        <v>26.075582265671787</v>
      </c>
      <c r="AA5111" s="9">
        <v>26.075582265671787</v>
      </c>
      <c r="AB5111" s="9">
        <v>28.242357296284759</v>
      </c>
      <c r="AC5111" s="9">
        <v>28.242357296284759</v>
      </c>
      <c r="AD5111" s="9">
        <v>32.278785457330969</v>
      </c>
      <c r="AE5111" s="9">
        <v>34.228944830548365</v>
      </c>
      <c r="AF5111" s="9">
        <v>36.293711230319367</v>
      </c>
      <c r="AG5111" s="9">
        <v>36.293711230319367</v>
      </c>
      <c r="AH5111" s="9">
        <v>39.230142171980006</v>
      </c>
      <c r="AI5111" s="9">
        <v>41.357809622501556</v>
      </c>
      <c r="AJ5111" s="9">
        <v>3.0428788910505911</v>
      </c>
    </row>
    <row r="5112" spans="1:36" x14ac:dyDescent="0.25">
      <c r="A5112" t="s">
        <v>5411</v>
      </c>
      <c r="B5112" t="s">
        <v>16</v>
      </c>
      <c r="C5112" t="s">
        <v>17</v>
      </c>
      <c r="D5112">
        <v>87780000</v>
      </c>
      <c r="E5112">
        <v>87789999</v>
      </c>
      <c r="F5112" t="s">
        <v>4633</v>
      </c>
      <c r="G5112" t="str">
        <f t="shared" si="158"/>
        <v>PRI II</v>
      </c>
      <c r="H5112" t="s">
        <v>4294</v>
      </c>
      <c r="I5112" t="s">
        <v>20</v>
      </c>
      <c r="J5112" t="s">
        <v>64</v>
      </c>
      <c r="K5112" s="6">
        <v>0.03</v>
      </c>
      <c r="L5112" s="7">
        <f t="shared" si="159"/>
        <v>2E-3</v>
      </c>
      <c r="M5112" s="7">
        <v>3.0000000000000001E-3</v>
      </c>
      <c r="N5112">
        <v>11</v>
      </c>
      <c r="O5112" s="8">
        <v>19.127752698369598</v>
      </c>
      <c r="P5112" s="9">
        <v>19.127752698369598</v>
      </c>
      <c r="Q5112" s="9">
        <v>19.127752698369598</v>
      </c>
      <c r="R5112" s="9">
        <v>19.588754687607715</v>
      </c>
      <c r="S5112" s="9">
        <v>19.892211826137899</v>
      </c>
      <c r="T5112" s="9">
        <v>20.64455772606674</v>
      </c>
      <c r="U5112" s="9">
        <v>22.020224218035128</v>
      </c>
      <c r="V5112" s="9">
        <v>22.020224218035128</v>
      </c>
      <c r="W5112" s="9">
        <v>22.020224218035128</v>
      </c>
      <c r="X5112" s="9">
        <v>24.004435739730138</v>
      </c>
      <c r="Y5112" s="9">
        <v>24.004435739730138</v>
      </c>
      <c r="Z5112" s="9">
        <v>26.075582265671787</v>
      </c>
      <c r="AA5112" s="9">
        <v>26.075582265671787</v>
      </c>
      <c r="AB5112" s="9">
        <v>28.242357296284759</v>
      </c>
      <c r="AC5112" s="9">
        <v>28.242357296284759</v>
      </c>
      <c r="AD5112" s="9">
        <v>32.278785457330969</v>
      </c>
      <c r="AE5112" s="9">
        <v>34.228944830548365</v>
      </c>
      <c r="AF5112" s="9">
        <v>36.293711230319367</v>
      </c>
      <c r="AG5112" s="9">
        <v>36.293711230319367</v>
      </c>
      <c r="AH5112" s="9">
        <v>39.230142171980006</v>
      </c>
      <c r="AI5112" s="9">
        <v>41.357809622501556</v>
      </c>
      <c r="AJ5112" s="9">
        <v>3.0428788910505911</v>
      </c>
    </row>
    <row r="5113" spans="1:36" x14ac:dyDescent="0.25">
      <c r="A5113" t="s">
        <v>5411</v>
      </c>
      <c r="B5113" t="s">
        <v>16</v>
      </c>
      <c r="C5113" t="s">
        <v>17</v>
      </c>
      <c r="D5113">
        <v>87790000</v>
      </c>
      <c r="E5113">
        <v>87799999</v>
      </c>
      <c r="F5113" t="s">
        <v>4634</v>
      </c>
      <c r="G5113" t="str">
        <f t="shared" si="158"/>
        <v>PRI II</v>
      </c>
      <c r="H5113" t="s">
        <v>4294</v>
      </c>
      <c r="I5113" t="s">
        <v>20</v>
      </c>
      <c r="J5113" t="s">
        <v>64</v>
      </c>
      <c r="K5113" s="6">
        <v>0.03</v>
      </c>
      <c r="L5113" s="7">
        <f t="shared" si="159"/>
        <v>2E-3</v>
      </c>
      <c r="M5113" s="7">
        <v>3.0000000000000001E-3</v>
      </c>
      <c r="N5113">
        <v>11</v>
      </c>
      <c r="O5113" s="8">
        <v>19.127752698369598</v>
      </c>
      <c r="P5113" s="9">
        <v>19.127752698369598</v>
      </c>
      <c r="Q5113" s="9">
        <v>19.127752698369598</v>
      </c>
      <c r="R5113" s="9">
        <v>19.588754687607715</v>
      </c>
      <c r="S5113" s="9">
        <v>19.892211826137899</v>
      </c>
      <c r="T5113" s="9">
        <v>20.64455772606674</v>
      </c>
      <c r="U5113" s="9">
        <v>22.020224218035128</v>
      </c>
      <c r="V5113" s="9">
        <v>22.020224218035128</v>
      </c>
      <c r="W5113" s="9">
        <v>22.020224218035128</v>
      </c>
      <c r="X5113" s="9">
        <v>24.004435739730138</v>
      </c>
      <c r="Y5113" s="9">
        <v>24.004435739730138</v>
      </c>
      <c r="Z5113" s="9">
        <v>26.075582265671787</v>
      </c>
      <c r="AA5113" s="9">
        <v>26.075582265671787</v>
      </c>
      <c r="AB5113" s="9">
        <v>28.242357296284759</v>
      </c>
      <c r="AC5113" s="9">
        <v>28.242357296284759</v>
      </c>
      <c r="AD5113" s="9">
        <v>32.278785457330969</v>
      </c>
      <c r="AE5113" s="9">
        <v>34.228944830548365</v>
      </c>
      <c r="AF5113" s="9">
        <v>36.293711230319367</v>
      </c>
      <c r="AG5113" s="9">
        <v>36.293711230319367</v>
      </c>
      <c r="AH5113" s="9">
        <v>39.230142171980006</v>
      </c>
      <c r="AI5113" s="9">
        <v>41.357809622501556</v>
      </c>
      <c r="AJ5113" s="9">
        <v>3.0428788910505911</v>
      </c>
    </row>
    <row r="5114" spans="1:36" x14ac:dyDescent="0.25">
      <c r="A5114" t="s">
        <v>5411</v>
      </c>
      <c r="B5114" t="s">
        <v>16</v>
      </c>
      <c r="C5114" t="s">
        <v>17</v>
      </c>
      <c r="D5114">
        <v>87800000</v>
      </c>
      <c r="E5114">
        <v>87809999</v>
      </c>
      <c r="F5114" t="s">
        <v>4635</v>
      </c>
      <c r="G5114" t="str">
        <f t="shared" si="158"/>
        <v>PRI II</v>
      </c>
      <c r="H5114" t="s">
        <v>4294</v>
      </c>
      <c r="I5114" t="s">
        <v>20</v>
      </c>
      <c r="J5114" t="s">
        <v>64</v>
      </c>
      <c r="K5114" s="6">
        <v>0.03</v>
      </c>
      <c r="L5114" s="7">
        <f t="shared" si="159"/>
        <v>2E-3</v>
      </c>
      <c r="M5114" s="7">
        <v>3.0000000000000001E-3</v>
      </c>
      <c r="N5114">
        <v>11</v>
      </c>
      <c r="O5114" s="8">
        <v>19.127752698369598</v>
      </c>
      <c r="P5114" s="9">
        <v>19.127752698369598</v>
      </c>
      <c r="Q5114" s="9">
        <v>19.127752698369598</v>
      </c>
      <c r="R5114" s="9">
        <v>19.588754687607715</v>
      </c>
      <c r="S5114" s="9">
        <v>19.892211826137899</v>
      </c>
      <c r="T5114" s="9">
        <v>20.64455772606674</v>
      </c>
      <c r="U5114" s="9">
        <v>22.020224218035128</v>
      </c>
      <c r="V5114" s="9">
        <v>22.020224218035128</v>
      </c>
      <c r="W5114" s="9">
        <v>22.020224218035128</v>
      </c>
      <c r="X5114" s="9">
        <v>24.004435739730138</v>
      </c>
      <c r="Y5114" s="9">
        <v>24.004435739730138</v>
      </c>
      <c r="Z5114" s="9">
        <v>26.075582265671787</v>
      </c>
      <c r="AA5114" s="9">
        <v>26.075582265671787</v>
      </c>
      <c r="AB5114" s="9">
        <v>28.242357296284759</v>
      </c>
      <c r="AC5114" s="9">
        <v>28.242357296284759</v>
      </c>
      <c r="AD5114" s="9">
        <v>32.278785457330969</v>
      </c>
      <c r="AE5114" s="9">
        <v>34.228944830548365</v>
      </c>
      <c r="AF5114" s="9">
        <v>36.293711230319367</v>
      </c>
      <c r="AG5114" s="9">
        <v>36.293711230319367</v>
      </c>
      <c r="AH5114" s="9">
        <v>39.230142171980006</v>
      </c>
      <c r="AI5114" s="9">
        <v>41.357809622501556</v>
      </c>
      <c r="AJ5114" s="9">
        <v>3.0428788910505911</v>
      </c>
    </row>
    <row r="5115" spans="1:36" x14ac:dyDescent="0.25">
      <c r="A5115" t="s">
        <v>5411</v>
      </c>
      <c r="B5115" t="s">
        <v>16</v>
      </c>
      <c r="C5115" t="s">
        <v>17</v>
      </c>
      <c r="D5115">
        <v>87810000</v>
      </c>
      <c r="E5115">
        <v>87819999</v>
      </c>
      <c r="F5115" t="s">
        <v>4636</v>
      </c>
      <c r="G5115" t="str">
        <f t="shared" si="158"/>
        <v>PRI II</v>
      </c>
      <c r="H5115" t="s">
        <v>4294</v>
      </c>
      <c r="I5115" t="s">
        <v>20</v>
      </c>
      <c r="J5115" t="s">
        <v>64</v>
      </c>
      <c r="K5115" s="6">
        <v>0.03</v>
      </c>
      <c r="L5115" s="7">
        <f t="shared" si="159"/>
        <v>2E-3</v>
      </c>
      <c r="M5115" s="7">
        <v>3.0000000000000001E-3</v>
      </c>
      <c r="N5115">
        <v>11</v>
      </c>
      <c r="O5115" s="8">
        <v>19.127752698369598</v>
      </c>
      <c r="P5115" s="9">
        <v>19.127752698369598</v>
      </c>
      <c r="Q5115" s="9">
        <v>19.127752698369598</v>
      </c>
      <c r="R5115" s="9">
        <v>19.588754687607715</v>
      </c>
      <c r="S5115" s="9">
        <v>19.892211826137899</v>
      </c>
      <c r="T5115" s="9">
        <v>20.64455772606674</v>
      </c>
      <c r="U5115" s="9">
        <v>22.020224218035128</v>
      </c>
      <c r="V5115" s="9">
        <v>22.020224218035128</v>
      </c>
      <c r="W5115" s="9">
        <v>22.020224218035128</v>
      </c>
      <c r="X5115" s="9">
        <v>24.004435739730138</v>
      </c>
      <c r="Y5115" s="9">
        <v>24.004435739730138</v>
      </c>
      <c r="Z5115" s="9">
        <v>26.075582265671787</v>
      </c>
      <c r="AA5115" s="9">
        <v>26.075582265671787</v>
      </c>
      <c r="AB5115" s="9">
        <v>28.242357296284759</v>
      </c>
      <c r="AC5115" s="9">
        <v>28.242357296284759</v>
      </c>
      <c r="AD5115" s="9">
        <v>32.278785457330969</v>
      </c>
      <c r="AE5115" s="9">
        <v>34.228944830548365</v>
      </c>
      <c r="AF5115" s="9">
        <v>36.293711230319367</v>
      </c>
      <c r="AG5115" s="9">
        <v>36.293711230319367</v>
      </c>
      <c r="AH5115" s="9">
        <v>39.230142171980006</v>
      </c>
      <c r="AI5115" s="9">
        <v>41.357809622501556</v>
      </c>
      <c r="AJ5115" s="9">
        <v>3.0428788910505911</v>
      </c>
    </row>
    <row r="5116" spans="1:36" x14ac:dyDescent="0.25">
      <c r="A5116" t="s">
        <v>5411</v>
      </c>
      <c r="B5116" t="s">
        <v>16</v>
      </c>
      <c r="C5116" t="s">
        <v>17</v>
      </c>
      <c r="D5116">
        <v>87820000</v>
      </c>
      <c r="E5116">
        <v>87829999</v>
      </c>
      <c r="F5116" t="s">
        <v>4637</v>
      </c>
      <c r="G5116" t="str">
        <f t="shared" si="158"/>
        <v>PRI II</v>
      </c>
      <c r="H5116" t="s">
        <v>4294</v>
      </c>
      <c r="I5116" t="s">
        <v>20</v>
      </c>
      <c r="J5116" t="s">
        <v>64</v>
      </c>
      <c r="K5116" s="6">
        <v>0.03</v>
      </c>
      <c r="L5116" s="7">
        <f t="shared" si="159"/>
        <v>2E-3</v>
      </c>
      <c r="M5116" s="7">
        <v>3.0000000000000001E-3</v>
      </c>
      <c r="N5116">
        <v>11</v>
      </c>
      <c r="O5116" s="8">
        <v>19.127752698369598</v>
      </c>
      <c r="P5116" s="9">
        <v>19.127752698369598</v>
      </c>
      <c r="Q5116" s="9">
        <v>19.127752698369598</v>
      </c>
      <c r="R5116" s="9">
        <v>19.588754687607715</v>
      </c>
      <c r="S5116" s="9">
        <v>19.892211826137899</v>
      </c>
      <c r="T5116" s="9">
        <v>20.64455772606674</v>
      </c>
      <c r="U5116" s="9">
        <v>22.020224218035128</v>
      </c>
      <c r="V5116" s="9">
        <v>22.020224218035128</v>
      </c>
      <c r="W5116" s="9">
        <v>22.020224218035128</v>
      </c>
      <c r="X5116" s="9">
        <v>24.004435739730138</v>
      </c>
      <c r="Y5116" s="9">
        <v>24.004435739730138</v>
      </c>
      <c r="Z5116" s="9">
        <v>26.075582265671787</v>
      </c>
      <c r="AA5116" s="9">
        <v>26.075582265671787</v>
      </c>
      <c r="AB5116" s="9">
        <v>28.242357296284759</v>
      </c>
      <c r="AC5116" s="9">
        <v>28.242357296284759</v>
      </c>
      <c r="AD5116" s="9">
        <v>32.278785457330969</v>
      </c>
      <c r="AE5116" s="9">
        <v>34.228944830548365</v>
      </c>
      <c r="AF5116" s="9">
        <v>36.293711230319367</v>
      </c>
      <c r="AG5116" s="9">
        <v>36.293711230319367</v>
      </c>
      <c r="AH5116" s="9">
        <v>39.230142171980006</v>
      </c>
      <c r="AI5116" s="9">
        <v>41.357809622501556</v>
      </c>
      <c r="AJ5116" s="9">
        <v>3.0428788910505911</v>
      </c>
    </row>
    <row r="5117" spans="1:36" x14ac:dyDescent="0.25">
      <c r="A5117" t="s">
        <v>5411</v>
      </c>
      <c r="B5117" t="s">
        <v>16</v>
      </c>
      <c r="C5117" t="s">
        <v>17</v>
      </c>
      <c r="D5117">
        <v>87830000</v>
      </c>
      <c r="E5117">
        <v>87839999</v>
      </c>
      <c r="F5117" t="s">
        <v>1415</v>
      </c>
      <c r="G5117" t="str">
        <f t="shared" si="158"/>
        <v>PRI II</v>
      </c>
      <c r="H5117" t="s">
        <v>4294</v>
      </c>
      <c r="I5117" t="s">
        <v>20</v>
      </c>
      <c r="J5117" t="s">
        <v>64</v>
      </c>
      <c r="K5117" s="6">
        <v>0.03</v>
      </c>
      <c r="L5117" s="7">
        <f t="shared" si="159"/>
        <v>2E-3</v>
      </c>
      <c r="M5117" s="7">
        <v>3.0000000000000001E-3</v>
      </c>
      <c r="N5117">
        <v>11</v>
      </c>
      <c r="O5117" s="8">
        <v>19.127752698369598</v>
      </c>
      <c r="P5117" s="9">
        <v>19.127752698369598</v>
      </c>
      <c r="Q5117" s="9">
        <v>19.127752698369598</v>
      </c>
      <c r="R5117" s="9">
        <v>19.588754687607715</v>
      </c>
      <c r="S5117" s="9">
        <v>19.892211826137899</v>
      </c>
      <c r="T5117" s="9">
        <v>20.64455772606674</v>
      </c>
      <c r="U5117" s="9">
        <v>22.020224218035128</v>
      </c>
      <c r="V5117" s="9">
        <v>22.020224218035128</v>
      </c>
      <c r="W5117" s="9">
        <v>22.020224218035128</v>
      </c>
      <c r="X5117" s="9">
        <v>24.004435739730138</v>
      </c>
      <c r="Y5117" s="9">
        <v>24.004435739730138</v>
      </c>
      <c r="Z5117" s="9">
        <v>26.075582265671787</v>
      </c>
      <c r="AA5117" s="9">
        <v>26.075582265671787</v>
      </c>
      <c r="AB5117" s="9">
        <v>28.242357296284759</v>
      </c>
      <c r="AC5117" s="9">
        <v>28.242357296284759</v>
      </c>
      <c r="AD5117" s="9">
        <v>32.278785457330969</v>
      </c>
      <c r="AE5117" s="9">
        <v>34.228944830548365</v>
      </c>
      <c r="AF5117" s="9">
        <v>36.293711230319367</v>
      </c>
      <c r="AG5117" s="9">
        <v>36.293711230319367</v>
      </c>
      <c r="AH5117" s="9">
        <v>39.230142171980006</v>
      </c>
      <c r="AI5117" s="9">
        <v>41.357809622501556</v>
      </c>
      <c r="AJ5117" s="9">
        <v>3.0428788910505911</v>
      </c>
    </row>
    <row r="5118" spans="1:36" x14ac:dyDescent="0.25">
      <c r="A5118" t="s">
        <v>5411</v>
      </c>
      <c r="B5118" t="s">
        <v>16</v>
      </c>
      <c r="C5118" t="s">
        <v>17</v>
      </c>
      <c r="D5118">
        <v>87840000</v>
      </c>
      <c r="E5118">
        <v>87849999</v>
      </c>
      <c r="F5118" t="s">
        <v>3380</v>
      </c>
      <c r="G5118" t="str">
        <f t="shared" si="158"/>
        <v>PRI II</v>
      </c>
      <c r="H5118" t="s">
        <v>4294</v>
      </c>
      <c r="I5118" t="s">
        <v>20</v>
      </c>
      <c r="J5118" t="s">
        <v>64</v>
      </c>
      <c r="K5118" s="6">
        <v>0.03</v>
      </c>
      <c r="L5118" s="7">
        <f t="shared" si="159"/>
        <v>2E-3</v>
      </c>
      <c r="M5118" s="7">
        <v>3.0000000000000001E-3</v>
      </c>
      <c r="N5118">
        <v>11</v>
      </c>
      <c r="O5118" s="8">
        <v>19.127752698369598</v>
      </c>
      <c r="P5118" s="9">
        <v>19.127752698369598</v>
      </c>
      <c r="Q5118" s="9">
        <v>19.127752698369598</v>
      </c>
      <c r="R5118" s="9">
        <v>19.588754687607715</v>
      </c>
      <c r="S5118" s="9">
        <v>19.892211826137899</v>
      </c>
      <c r="T5118" s="9">
        <v>20.64455772606674</v>
      </c>
      <c r="U5118" s="9">
        <v>22.020224218035128</v>
      </c>
      <c r="V5118" s="9">
        <v>22.020224218035128</v>
      </c>
      <c r="W5118" s="9">
        <v>22.020224218035128</v>
      </c>
      <c r="X5118" s="9">
        <v>24.004435739730138</v>
      </c>
      <c r="Y5118" s="9">
        <v>24.004435739730138</v>
      </c>
      <c r="Z5118" s="9">
        <v>26.075582265671787</v>
      </c>
      <c r="AA5118" s="9">
        <v>26.075582265671787</v>
      </c>
      <c r="AB5118" s="9">
        <v>28.242357296284759</v>
      </c>
      <c r="AC5118" s="9">
        <v>28.242357296284759</v>
      </c>
      <c r="AD5118" s="9">
        <v>32.278785457330969</v>
      </c>
      <c r="AE5118" s="9">
        <v>34.228944830548365</v>
      </c>
      <c r="AF5118" s="9">
        <v>36.293711230319367</v>
      </c>
      <c r="AG5118" s="9">
        <v>36.293711230319367</v>
      </c>
      <c r="AH5118" s="9">
        <v>39.230142171980006</v>
      </c>
      <c r="AI5118" s="9">
        <v>41.357809622501556</v>
      </c>
      <c r="AJ5118" s="9">
        <v>3.0428788910505911</v>
      </c>
    </row>
    <row r="5119" spans="1:36" x14ac:dyDescent="0.25">
      <c r="A5119" t="s">
        <v>5411</v>
      </c>
      <c r="B5119" t="s">
        <v>16</v>
      </c>
      <c r="C5119" t="s">
        <v>17</v>
      </c>
      <c r="D5119">
        <v>87850000</v>
      </c>
      <c r="E5119">
        <v>87859999</v>
      </c>
      <c r="F5119" t="s">
        <v>4638</v>
      </c>
      <c r="G5119" t="str">
        <f t="shared" si="158"/>
        <v>PRI II</v>
      </c>
      <c r="H5119" t="s">
        <v>4294</v>
      </c>
      <c r="I5119" t="s">
        <v>20</v>
      </c>
      <c r="J5119" t="s">
        <v>64</v>
      </c>
      <c r="K5119" s="6">
        <v>0.03</v>
      </c>
      <c r="L5119" s="7">
        <f t="shared" si="159"/>
        <v>2E-3</v>
      </c>
      <c r="M5119" s="7">
        <v>3.0000000000000001E-3</v>
      </c>
      <c r="N5119">
        <v>11</v>
      </c>
      <c r="O5119" s="8">
        <v>19.127752698369598</v>
      </c>
      <c r="P5119" s="9">
        <v>19.127752698369598</v>
      </c>
      <c r="Q5119" s="9">
        <v>19.127752698369598</v>
      </c>
      <c r="R5119" s="9">
        <v>19.588754687607715</v>
      </c>
      <c r="S5119" s="9">
        <v>19.892211826137899</v>
      </c>
      <c r="T5119" s="9">
        <v>20.64455772606674</v>
      </c>
      <c r="U5119" s="9">
        <v>22.020224218035128</v>
      </c>
      <c r="V5119" s="9">
        <v>22.020224218035128</v>
      </c>
      <c r="W5119" s="9">
        <v>22.020224218035128</v>
      </c>
      <c r="X5119" s="9">
        <v>24.004435739730138</v>
      </c>
      <c r="Y5119" s="9">
        <v>24.004435739730138</v>
      </c>
      <c r="Z5119" s="9">
        <v>26.075582265671787</v>
      </c>
      <c r="AA5119" s="9">
        <v>26.075582265671787</v>
      </c>
      <c r="AB5119" s="9">
        <v>28.242357296284759</v>
      </c>
      <c r="AC5119" s="9">
        <v>28.242357296284759</v>
      </c>
      <c r="AD5119" s="9">
        <v>32.278785457330969</v>
      </c>
      <c r="AE5119" s="9">
        <v>34.228944830548365</v>
      </c>
      <c r="AF5119" s="9">
        <v>36.293711230319367</v>
      </c>
      <c r="AG5119" s="9">
        <v>36.293711230319367</v>
      </c>
      <c r="AH5119" s="9">
        <v>39.230142171980006</v>
      </c>
      <c r="AI5119" s="9">
        <v>41.357809622501556</v>
      </c>
      <c r="AJ5119" s="9">
        <v>3.0428788910505911</v>
      </c>
    </row>
    <row r="5120" spans="1:36" x14ac:dyDescent="0.25">
      <c r="A5120" t="s">
        <v>5411</v>
      </c>
      <c r="B5120" t="s">
        <v>16</v>
      </c>
      <c r="C5120" t="s">
        <v>17</v>
      </c>
      <c r="D5120">
        <v>87860000</v>
      </c>
      <c r="E5120">
        <v>87879999</v>
      </c>
      <c r="F5120" t="s">
        <v>4639</v>
      </c>
      <c r="G5120" t="str">
        <f t="shared" si="158"/>
        <v>PRI II</v>
      </c>
      <c r="H5120" t="s">
        <v>4294</v>
      </c>
      <c r="I5120" t="s">
        <v>20</v>
      </c>
      <c r="J5120" t="s">
        <v>64</v>
      </c>
      <c r="K5120" s="6">
        <v>0.03</v>
      </c>
      <c r="L5120" s="7">
        <f t="shared" si="159"/>
        <v>2E-3</v>
      </c>
      <c r="M5120" s="7">
        <v>3.0000000000000001E-3</v>
      </c>
      <c r="N5120">
        <v>11</v>
      </c>
      <c r="O5120" s="8">
        <v>19.127752698369598</v>
      </c>
      <c r="P5120" s="9">
        <v>19.127752698369598</v>
      </c>
      <c r="Q5120" s="9">
        <v>19.127752698369598</v>
      </c>
      <c r="R5120" s="9">
        <v>19.588754687607715</v>
      </c>
      <c r="S5120" s="9">
        <v>19.892211826137899</v>
      </c>
      <c r="T5120" s="9">
        <v>20.64455772606674</v>
      </c>
      <c r="U5120" s="9">
        <v>22.020224218035128</v>
      </c>
      <c r="V5120" s="9">
        <v>22.020224218035128</v>
      </c>
      <c r="W5120" s="9">
        <v>22.020224218035128</v>
      </c>
      <c r="X5120" s="9">
        <v>24.004435739730138</v>
      </c>
      <c r="Y5120" s="9">
        <v>24.004435739730138</v>
      </c>
      <c r="Z5120" s="9">
        <v>26.075582265671787</v>
      </c>
      <c r="AA5120" s="9">
        <v>26.075582265671787</v>
      </c>
      <c r="AB5120" s="9">
        <v>28.242357296284759</v>
      </c>
      <c r="AC5120" s="9">
        <v>28.242357296284759</v>
      </c>
      <c r="AD5120" s="9">
        <v>32.278785457330969</v>
      </c>
      <c r="AE5120" s="9">
        <v>34.228944830548365</v>
      </c>
      <c r="AF5120" s="9">
        <v>36.293711230319367</v>
      </c>
      <c r="AG5120" s="9">
        <v>36.293711230319367</v>
      </c>
      <c r="AH5120" s="9">
        <v>39.230142171980006</v>
      </c>
      <c r="AI5120" s="9">
        <v>41.357809622501556</v>
      </c>
      <c r="AJ5120" s="9">
        <v>3.0428788910505911</v>
      </c>
    </row>
    <row r="5121" spans="1:36" x14ac:dyDescent="0.25">
      <c r="A5121" t="s">
        <v>5411</v>
      </c>
      <c r="B5121" t="s">
        <v>16</v>
      </c>
      <c r="C5121" t="s">
        <v>17</v>
      </c>
      <c r="D5121">
        <v>87880000</v>
      </c>
      <c r="E5121">
        <v>87889999</v>
      </c>
      <c r="F5121" t="s">
        <v>4640</v>
      </c>
      <c r="G5121" t="str">
        <f t="shared" si="158"/>
        <v>PRI II</v>
      </c>
      <c r="H5121" t="s">
        <v>4294</v>
      </c>
      <c r="I5121" t="s">
        <v>20</v>
      </c>
      <c r="J5121" t="s">
        <v>64</v>
      </c>
      <c r="K5121" s="6">
        <v>0.03</v>
      </c>
      <c r="L5121" s="7">
        <f t="shared" si="159"/>
        <v>2E-3</v>
      </c>
      <c r="M5121" s="7">
        <v>3.0000000000000001E-3</v>
      </c>
      <c r="N5121">
        <v>11</v>
      </c>
      <c r="O5121" s="8">
        <v>19.127752698369598</v>
      </c>
      <c r="P5121" s="9">
        <v>19.127752698369598</v>
      </c>
      <c r="Q5121" s="9">
        <v>19.127752698369598</v>
      </c>
      <c r="R5121" s="9">
        <v>19.588754687607715</v>
      </c>
      <c r="S5121" s="9">
        <v>19.892211826137899</v>
      </c>
      <c r="T5121" s="9">
        <v>20.64455772606674</v>
      </c>
      <c r="U5121" s="9">
        <v>22.020224218035128</v>
      </c>
      <c r="V5121" s="9">
        <v>22.020224218035128</v>
      </c>
      <c r="W5121" s="9">
        <v>22.020224218035128</v>
      </c>
      <c r="X5121" s="9">
        <v>24.004435739730138</v>
      </c>
      <c r="Y5121" s="9">
        <v>24.004435739730138</v>
      </c>
      <c r="Z5121" s="9">
        <v>26.075582265671787</v>
      </c>
      <c r="AA5121" s="9">
        <v>26.075582265671787</v>
      </c>
      <c r="AB5121" s="9">
        <v>28.242357296284759</v>
      </c>
      <c r="AC5121" s="9">
        <v>28.242357296284759</v>
      </c>
      <c r="AD5121" s="9">
        <v>32.278785457330969</v>
      </c>
      <c r="AE5121" s="9">
        <v>34.228944830548365</v>
      </c>
      <c r="AF5121" s="9">
        <v>36.293711230319367</v>
      </c>
      <c r="AG5121" s="9">
        <v>36.293711230319367</v>
      </c>
      <c r="AH5121" s="9">
        <v>39.230142171980006</v>
      </c>
      <c r="AI5121" s="9">
        <v>41.357809622501556</v>
      </c>
      <c r="AJ5121" s="9">
        <v>3.0428788910505911</v>
      </c>
    </row>
    <row r="5122" spans="1:36" x14ac:dyDescent="0.25">
      <c r="A5122" t="s">
        <v>5411</v>
      </c>
      <c r="B5122" t="s">
        <v>16</v>
      </c>
      <c r="C5122" t="s">
        <v>17</v>
      </c>
      <c r="D5122">
        <v>87890000</v>
      </c>
      <c r="E5122">
        <v>87899999</v>
      </c>
      <c r="F5122" t="s">
        <v>4641</v>
      </c>
      <c r="G5122" t="str">
        <f t="shared" si="158"/>
        <v>PRI II</v>
      </c>
      <c r="H5122" t="s">
        <v>4294</v>
      </c>
      <c r="I5122" t="s">
        <v>20</v>
      </c>
      <c r="J5122" t="s">
        <v>64</v>
      </c>
      <c r="K5122" s="6">
        <v>0.03</v>
      </c>
      <c r="L5122" s="7">
        <f t="shared" si="159"/>
        <v>2E-3</v>
      </c>
      <c r="M5122" s="7">
        <v>3.0000000000000001E-3</v>
      </c>
      <c r="N5122">
        <v>11</v>
      </c>
      <c r="O5122" s="8">
        <v>19.127752698369598</v>
      </c>
      <c r="P5122" s="9">
        <v>19.127752698369598</v>
      </c>
      <c r="Q5122" s="9">
        <v>19.127752698369598</v>
      </c>
      <c r="R5122" s="9">
        <v>19.588754687607715</v>
      </c>
      <c r="S5122" s="9">
        <v>19.892211826137899</v>
      </c>
      <c r="T5122" s="9">
        <v>20.64455772606674</v>
      </c>
      <c r="U5122" s="9">
        <v>22.020224218035128</v>
      </c>
      <c r="V5122" s="9">
        <v>22.020224218035128</v>
      </c>
      <c r="W5122" s="9">
        <v>22.020224218035128</v>
      </c>
      <c r="X5122" s="9">
        <v>24.004435739730138</v>
      </c>
      <c r="Y5122" s="9">
        <v>24.004435739730138</v>
      </c>
      <c r="Z5122" s="9">
        <v>26.075582265671787</v>
      </c>
      <c r="AA5122" s="9">
        <v>26.075582265671787</v>
      </c>
      <c r="AB5122" s="9">
        <v>28.242357296284759</v>
      </c>
      <c r="AC5122" s="9">
        <v>28.242357296284759</v>
      </c>
      <c r="AD5122" s="9">
        <v>32.278785457330969</v>
      </c>
      <c r="AE5122" s="9">
        <v>34.228944830548365</v>
      </c>
      <c r="AF5122" s="9">
        <v>36.293711230319367</v>
      </c>
      <c r="AG5122" s="9">
        <v>36.293711230319367</v>
      </c>
      <c r="AH5122" s="9">
        <v>39.230142171980006</v>
      </c>
      <c r="AI5122" s="9">
        <v>41.357809622501556</v>
      </c>
      <c r="AJ5122" s="9">
        <v>3.0428788910505911</v>
      </c>
    </row>
    <row r="5123" spans="1:36" x14ac:dyDescent="0.25">
      <c r="A5123" t="s">
        <v>5411</v>
      </c>
      <c r="B5123" t="s">
        <v>16</v>
      </c>
      <c r="C5123" t="s">
        <v>17</v>
      </c>
      <c r="D5123">
        <v>87900000</v>
      </c>
      <c r="E5123">
        <v>87909999</v>
      </c>
      <c r="F5123" t="s">
        <v>4642</v>
      </c>
      <c r="G5123" t="str">
        <f t="shared" si="158"/>
        <v>PRI II</v>
      </c>
      <c r="H5123" t="s">
        <v>4294</v>
      </c>
      <c r="I5123" t="s">
        <v>20</v>
      </c>
      <c r="J5123" t="s">
        <v>64</v>
      </c>
      <c r="K5123" s="6">
        <v>0.03</v>
      </c>
      <c r="L5123" s="7">
        <f t="shared" si="159"/>
        <v>2E-3</v>
      </c>
      <c r="M5123" s="7">
        <v>3.0000000000000001E-3</v>
      </c>
      <c r="N5123">
        <v>11</v>
      </c>
      <c r="O5123" s="8">
        <v>19.127752698369598</v>
      </c>
      <c r="P5123" s="9">
        <v>19.127752698369598</v>
      </c>
      <c r="Q5123" s="9">
        <v>19.127752698369598</v>
      </c>
      <c r="R5123" s="9">
        <v>19.588754687607715</v>
      </c>
      <c r="S5123" s="9">
        <v>19.892211826137899</v>
      </c>
      <c r="T5123" s="9">
        <v>20.64455772606674</v>
      </c>
      <c r="U5123" s="9">
        <v>22.020224218035128</v>
      </c>
      <c r="V5123" s="9">
        <v>22.020224218035128</v>
      </c>
      <c r="W5123" s="9">
        <v>22.020224218035128</v>
      </c>
      <c r="X5123" s="9">
        <v>24.004435739730138</v>
      </c>
      <c r="Y5123" s="9">
        <v>24.004435739730138</v>
      </c>
      <c r="Z5123" s="9">
        <v>26.075582265671787</v>
      </c>
      <c r="AA5123" s="9">
        <v>26.075582265671787</v>
      </c>
      <c r="AB5123" s="9">
        <v>28.242357296284759</v>
      </c>
      <c r="AC5123" s="9">
        <v>28.242357296284759</v>
      </c>
      <c r="AD5123" s="9">
        <v>32.278785457330969</v>
      </c>
      <c r="AE5123" s="9">
        <v>34.228944830548365</v>
      </c>
      <c r="AF5123" s="9">
        <v>36.293711230319367</v>
      </c>
      <c r="AG5123" s="9">
        <v>36.293711230319367</v>
      </c>
      <c r="AH5123" s="9">
        <v>39.230142171980006</v>
      </c>
      <c r="AI5123" s="9">
        <v>41.357809622501556</v>
      </c>
      <c r="AJ5123" s="9">
        <v>3.0428788910505911</v>
      </c>
    </row>
    <row r="5124" spans="1:36" x14ac:dyDescent="0.25">
      <c r="A5124" t="s">
        <v>5411</v>
      </c>
      <c r="B5124" t="s">
        <v>16</v>
      </c>
      <c r="C5124" t="s">
        <v>17</v>
      </c>
      <c r="D5124">
        <v>87910000</v>
      </c>
      <c r="E5124">
        <v>87914999</v>
      </c>
      <c r="F5124" t="s">
        <v>4643</v>
      </c>
      <c r="G5124" t="str">
        <f t="shared" ref="G5124:G5187" si="160">H5124&amp;IF(J5124="CAPITAL","C",IF(J5124="INTERIOR","I",IF(J5124="INTERIOR II","I II","R")))</f>
        <v>PRI II</v>
      </c>
      <c r="H5124" t="s">
        <v>4294</v>
      </c>
      <c r="I5124" t="s">
        <v>20</v>
      </c>
      <c r="J5124" t="s">
        <v>64</v>
      </c>
      <c r="K5124" s="6">
        <v>0.03</v>
      </c>
      <c r="L5124" s="7">
        <f t="shared" ref="L5124:L5187" si="161">IF(I5124="(0) Não",0.2%,3%)</f>
        <v>2E-3</v>
      </c>
      <c r="M5124" s="7">
        <v>3.0000000000000001E-3</v>
      </c>
      <c r="N5124">
        <v>11</v>
      </c>
      <c r="O5124" s="8">
        <v>19.127752698369598</v>
      </c>
      <c r="P5124" s="9">
        <v>19.127752698369598</v>
      </c>
      <c r="Q5124" s="9">
        <v>19.127752698369598</v>
      </c>
      <c r="R5124" s="9">
        <v>19.588754687607715</v>
      </c>
      <c r="S5124" s="9">
        <v>19.892211826137899</v>
      </c>
      <c r="T5124" s="9">
        <v>20.64455772606674</v>
      </c>
      <c r="U5124" s="9">
        <v>22.020224218035128</v>
      </c>
      <c r="V5124" s="9">
        <v>22.020224218035128</v>
      </c>
      <c r="W5124" s="9">
        <v>22.020224218035128</v>
      </c>
      <c r="X5124" s="9">
        <v>24.004435739730138</v>
      </c>
      <c r="Y5124" s="9">
        <v>24.004435739730138</v>
      </c>
      <c r="Z5124" s="9">
        <v>26.075582265671787</v>
      </c>
      <c r="AA5124" s="9">
        <v>26.075582265671787</v>
      </c>
      <c r="AB5124" s="9">
        <v>28.242357296284759</v>
      </c>
      <c r="AC5124" s="9">
        <v>28.242357296284759</v>
      </c>
      <c r="AD5124" s="9">
        <v>32.278785457330969</v>
      </c>
      <c r="AE5124" s="9">
        <v>34.228944830548365</v>
      </c>
      <c r="AF5124" s="9">
        <v>36.293711230319367</v>
      </c>
      <c r="AG5124" s="9">
        <v>36.293711230319367</v>
      </c>
      <c r="AH5124" s="9">
        <v>39.230142171980006</v>
      </c>
      <c r="AI5124" s="9">
        <v>41.357809622501556</v>
      </c>
      <c r="AJ5124" s="9">
        <v>3.0428788910505911</v>
      </c>
    </row>
    <row r="5125" spans="1:36" x14ac:dyDescent="0.25">
      <c r="A5125" t="s">
        <v>5411</v>
      </c>
      <c r="B5125" t="s">
        <v>16</v>
      </c>
      <c r="C5125" t="s">
        <v>17</v>
      </c>
      <c r="D5125">
        <v>87915000</v>
      </c>
      <c r="E5125">
        <v>87919999</v>
      </c>
      <c r="F5125" t="s">
        <v>4644</v>
      </c>
      <c r="G5125" t="str">
        <f t="shared" si="160"/>
        <v>PRI II</v>
      </c>
      <c r="H5125" t="s">
        <v>4294</v>
      </c>
      <c r="I5125" t="s">
        <v>20</v>
      </c>
      <c r="J5125" t="s">
        <v>64</v>
      </c>
      <c r="K5125" s="6">
        <v>0.03</v>
      </c>
      <c r="L5125" s="7">
        <f t="shared" si="161"/>
        <v>2E-3</v>
      </c>
      <c r="M5125" s="7">
        <v>3.0000000000000001E-3</v>
      </c>
      <c r="N5125">
        <v>11</v>
      </c>
      <c r="O5125" s="8">
        <v>19.127752698369598</v>
      </c>
      <c r="P5125" s="9">
        <v>19.127752698369598</v>
      </c>
      <c r="Q5125" s="9">
        <v>19.127752698369598</v>
      </c>
      <c r="R5125" s="9">
        <v>19.588754687607715</v>
      </c>
      <c r="S5125" s="9">
        <v>19.892211826137899</v>
      </c>
      <c r="T5125" s="9">
        <v>20.64455772606674</v>
      </c>
      <c r="U5125" s="9">
        <v>22.020224218035128</v>
      </c>
      <c r="V5125" s="9">
        <v>22.020224218035128</v>
      </c>
      <c r="W5125" s="9">
        <v>22.020224218035128</v>
      </c>
      <c r="X5125" s="9">
        <v>24.004435739730138</v>
      </c>
      <c r="Y5125" s="9">
        <v>24.004435739730138</v>
      </c>
      <c r="Z5125" s="9">
        <v>26.075582265671787</v>
      </c>
      <c r="AA5125" s="9">
        <v>26.075582265671787</v>
      </c>
      <c r="AB5125" s="9">
        <v>28.242357296284759</v>
      </c>
      <c r="AC5125" s="9">
        <v>28.242357296284759</v>
      </c>
      <c r="AD5125" s="9">
        <v>32.278785457330969</v>
      </c>
      <c r="AE5125" s="9">
        <v>34.228944830548365</v>
      </c>
      <c r="AF5125" s="9">
        <v>36.293711230319367</v>
      </c>
      <c r="AG5125" s="9">
        <v>36.293711230319367</v>
      </c>
      <c r="AH5125" s="9">
        <v>39.230142171980006</v>
      </c>
      <c r="AI5125" s="9">
        <v>41.357809622501556</v>
      </c>
      <c r="AJ5125" s="9">
        <v>3.0428788910505911</v>
      </c>
    </row>
    <row r="5126" spans="1:36" x14ac:dyDescent="0.25">
      <c r="A5126" t="s">
        <v>5411</v>
      </c>
      <c r="B5126" t="s">
        <v>16</v>
      </c>
      <c r="C5126" t="s">
        <v>17</v>
      </c>
      <c r="D5126">
        <v>87920000</v>
      </c>
      <c r="E5126">
        <v>87929999</v>
      </c>
      <c r="F5126" t="s">
        <v>4645</v>
      </c>
      <c r="G5126" t="str">
        <f t="shared" si="160"/>
        <v>PRI II</v>
      </c>
      <c r="H5126" t="s">
        <v>4294</v>
      </c>
      <c r="I5126" t="s">
        <v>20</v>
      </c>
      <c r="J5126" t="s">
        <v>64</v>
      </c>
      <c r="K5126" s="6">
        <v>0.03</v>
      </c>
      <c r="L5126" s="7">
        <f t="shared" si="161"/>
        <v>2E-3</v>
      </c>
      <c r="M5126" s="7">
        <v>3.0000000000000001E-3</v>
      </c>
      <c r="N5126">
        <v>11</v>
      </c>
      <c r="O5126" s="8">
        <v>19.127752698369598</v>
      </c>
      <c r="P5126" s="9">
        <v>19.127752698369598</v>
      </c>
      <c r="Q5126" s="9">
        <v>19.127752698369598</v>
      </c>
      <c r="R5126" s="9">
        <v>19.588754687607715</v>
      </c>
      <c r="S5126" s="9">
        <v>19.892211826137899</v>
      </c>
      <c r="T5126" s="9">
        <v>20.64455772606674</v>
      </c>
      <c r="U5126" s="9">
        <v>22.020224218035128</v>
      </c>
      <c r="V5126" s="9">
        <v>22.020224218035128</v>
      </c>
      <c r="W5126" s="9">
        <v>22.020224218035128</v>
      </c>
      <c r="X5126" s="9">
        <v>24.004435739730138</v>
      </c>
      <c r="Y5126" s="9">
        <v>24.004435739730138</v>
      </c>
      <c r="Z5126" s="9">
        <v>26.075582265671787</v>
      </c>
      <c r="AA5126" s="9">
        <v>26.075582265671787</v>
      </c>
      <c r="AB5126" s="9">
        <v>28.242357296284759</v>
      </c>
      <c r="AC5126" s="9">
        <v>28.242357296284759</v>
      </c>
      <c r="AD5126" s="9">
        <v>32.278785457330969</v>
      </c>
      <c r="AE5126" s="9">
        <v>34.228944830548365</v>
      </c>
      <c r="AF5126" s="9">
        <v>36.293711230319367</v>
      </c>
      <c r="AG5126" s="9">
        <v>36.293711230319367</v>
      </c>
      <c r="AH5126" s="9">
        <v>39.230142171980006</v>
      </c>
      <c r="AI5126" s="9">
        <v>41.357809622501556</v>
      </c>
      <c r="AJ5126" s="9">
        <v>3.0428788910505911</v>
      </c>
    </row>
    <row r="5127" spans="1:36" x14ac:dyDescent="0.25">
      <c r="A5127" t="s">
        <v>5411</v>
      </c>
      <c r="B5127" t="s">
        <v>16</v>
      </c>
      <c r="C5127" t="s">
        <v>17</v>
      </c>
      <c r="D5127">
        <v>87930000</v>
      </c>
      <c r="E5127">
        <v>87949999</v>
      </c>
      <c r="F5127" t="s">
        <v>4646</v>
      </c>
      <c r="G5127" t="str">
        <f t="shared" si="160"/>
        <v>PRI II</v>
      </c>
      <c r="H5127" t="s">
        <v>4294</v>
      </c>
      <c r="I5127" t="s">
        <v>20</v>
      </c>
      <c r="J5127" t="s">
        <v>64</v>
      </c>
      <c r="K5127" s="6">
        <v>0.03</v>
      </c>
      <c r="L5127" s="7">
        <f t="shared" si="161"/>
        <v>2E-3</v>
      </c>
      <c r="M5127" s="7">
        <v>3.0000000000000001E-3</v>
      </c>
      <c r="N5127">
        <v>11</v>
      </c>
      <c r="O5127" s="8">
        <v>19.127752698369598</v>
      </c>
      <c r="P5127" s="9">
        <v>19.127752698369598</v>
      </c>
      <c r="Q5127" s="9">
        <v>19.127752698369598</v>
      </c>
      <c r="R5127" s="9">
        <v>19.588754687607715</v>
      </c>
      <c r="S5127" s="9">
        <v>19.892211826137899</v>
      </c>
      <c r="T5127" s="9">
        <v>20.64455772606674</v>
      </c>
      <c r="U5127" s="9">
        <v>22.020224218035128</v>
      </c>
      <c r="V5127" s="9">
        <v>22.020224218035128</v>
      </c>
      <c r="W5127" s="9">
        <v>22.020224218035128</v>
      </c>
      <c r="X5127" s="9">
        <v>24.004435739730138</v>
      </c>
      <c r="Y5127" s="9">
        <v>24.004435739730138</v>
      </c>
      <c r="Z5127" s="9">
        <v>26.075582265671787</v>
      </c>
      <c r="AA5127" s="9">
        <v>26.075582265671787</v>
      </c>
      <c r="AB5127" s="9">
        <v>28.242357296284759</v>
      </c>
      <c r="AC5127" s="9">
        <v>28.242357296284759</v>
      </c>
      <c r="AD5127" s="9">
        <v>32.278785457330969</v>
      </c>
      <c r="AE5127" s="9">
        <v>34.228944830548365</v>
      </c>
      <c r="AF5127" s="9">
        <v>36.293711230319367</v>
      </c>
      <c r="AG5127" s="9">
        <v>36.293711230319367</v>
      </c>
      <c r="AH5127" s="9">
        <v>39.230142171980006</v>
      </c>
      <c r="AI5127" s="9">
        <v>41.357809622501556</v>
      </c>
      <c r="AJ5127" s="9">
        <v>3.0428788910505911</v>
      </c>
    </row>
    <row r="5128" spans="1:36" x14ac:dyDescent="0.25">
      <c r="A5128" t="s">
        <v>5411</v>
      </c>
      <c r="B5128" t="s">
        <v>16</v>
      </c>
      <c r="C5128" t="s">
        <v>17</v>
      </c>
      <c r="D5128">
        <v>87950000</v>
      </c>
      <c r="E5128">
        <v>87954999</v>
      </c>
      <c r="F5128" t="s">
        <v>4647</v>
      </c>
      <c r="G5128" t="str">
        <f t="shared" si="160"/>
        <v>PRI II</v>
      </c>
      <c r="H5128" t="s">
        <v>4294</v>
      </c>
      <c r="I5128" t="s">
        <v>20</v>
      </c>
      <c r="J5128" t="s">
        <v>64</v>
      </c>
      <c r="K5128" s="6">
        <v>0.03</v>
      </c>
      <c r="L5128" s="7">
        <f t="shared" si="161"/>
        <v>2E-3</v>
      </c>
      <c r="M5128" s="7">
        <v>3.0000000000000001E-3</v>
      </c>
      <c r="N5128">
        <v>11</v>
      </c>
      <c r="O5128" s="8">
        <v>19.127752698369598</v>
      </c>
      <c r="P5128" s="9">
        <v>19.127752698369598</v>
      </c>
      <c r="Q5128" s="9">
        <v>19.127752698369598</v>
      </c>
      <c r="R5128" s="9">
        <v>19.588754687607715</v>
      </c>
      <c r="S5128" s="9">
        <v>19.892211826137899</v>
      </c>
      <c r="T5128" s="9">
        <v>20.64455772606674</v>
      </c>
      <c r="U5128" s="9">
        <v>22.020224218035128</v>
      </c>
      <c r="V5128" s="9">
        <v>22.020224218035128</v>
      </c>
      <c r="W5128" s="9">
        <v>22.020224218035128</v>
      </c>
      <c r="X5128" s="9">
        <v>24.004435739730138</v>
      </c>
      <c r="Y5128" s="9">
        <v>24.004435739730138</v>
      </c>
      <c r="Z5128" s="9">
        <v>26.075582265671787</v>
      </c>
      <c r="AA5128" s="9">
        <v>26.075582265671787</v>
      </c>
      <c r="AB5128" s="9">
        <v>28.242357296284759</v>
      </c>
      <c r="AC5128" s="9">
        <v>28.242357296284759</v>
      </c>
      <c r="AD5128" s="9">
        <v>32.278785457330969</v>
      </c>
      <c r="AE5128" s="9">
        <v>34.228944830548365</v>
      </c>
      <c r="AF5128" s="9">
        <v>36.293711230319367</v>
      </c>
      <c r="AG5128" s="9">
        <v>36.293711230319367</v>
      </c>
      <c r="AH5128" s="9">
        <v>39.230142171980006</v>
      </c>
      <c r="AI5128" s="9">
        <v>41.357809622501556</v>
      </c>
      <c r="AJ5128" s="9">
        <v>3.0428788910505911</v>
      </c>
    </row>
    <row r="5129" spans="1:36" x14ac:dyDescent="0.25">
      <c r="A5129" t="s">
        <v>5411</v>
      </c>
      <c r="B5129" t="s">
        <v>16</v>
      </c>
      <c r="C5129" t="s">
        <v>17</v>
      </c>
      <c r="D5129">
        <v>87955000</v>
      </c>
      <c r="E5129">
        <v>87959999</v>
      </c>
      <c r="F5129" t="s">
        <v>4648</v>
      </c>
      <c r="G5129" t="str">
        <f t="shared" si="160"/>
        <v>PRI II</v>
      </c>
      <c r="H5129" t="s">
        <v>4294</v>
      </c>
      <c r="I5129" t="s">
        <v>20</v>
      </c>
      <c r="J5129" t="s">
        <v>64</v>
      </c>
      <c r="K5129" s="6">
        <v>0.03</v>
      </c>
      <c r="L5129" s="7">
        <f t="shared" si="161"/>
        <v>2E-3</v>
      </c>
      <c r="M5129" s="7">
        <v>3.0000000000000001E-3</v>
      </c>
      <c r="N5129">
        <v>11</v>
      </c>
      <c r="O5129" s="8">
        <v>19.127752698369598</v>
      </c>
      <c r="P5129" s="9">
        <v>19.127752698369598</v>
      </c>
      <c r="Q5129" s="9">
        <v>19.127752698369598</v>
      </c>
      <c r="R5129" s="9">
        <v>19.588754687607715</v>
      </c>
      <c r="S5129" s="9">
        <v>19.892211826137899</v>
      </c>
      <c r="T5129" s="9">
        <v>20.64455772606674</v>
      </c>
      <c r="U5129" s="9">
        <v>22.020224218035128</v>
      </c>
      <c r="V5129" s="9">
        <v>22.020224218035128</v>
      </c>
      <c r="W5129" s="9">
        <v>22.020224218035128</v>
      </c>
      <c r="X5129" s="9">
        <v>24.004435739730138</v>
      </c>
      <c r="Y5129" s="9">
        <v>24.004435739730138</v>
      </c>
      <c r="Z5129" s="9">
        <v>26.075582265671787</v>
      </c>
      <c r="AA5129" s="9">
        <v>26.075582265671787</v>
      </c>
      <c r="AB5129" s="9">
        <v>28.242357296284759</v>
      </c>
      <c r="AC5129" s="9">
        <v>28.242357296284759</v>
      </c>
      <c r="AD5129" s="9">
        <v>32.278785457330969</v>
      </c>
      <c r="AE5129" s="9">
        <v>34.228944830548365</v>
      </c>
      <c r="AF5129" s="9">
        <v>36.293711230319367</v>
      </c>
      <c r="AG5129" s="9">
        <v>36.293711230319367</v>
      </c>
      <c r="AH5129" s="9">
        <v>39.230142171980006</v>
      </c>
      <c r="AI5129" s="9">
        <v>41.357809622501556</v>
      </c>
      <c r="AJ5129" s="9">
        <v>3.0428788910505911</v>
      </c>
    </row>
    <row r="5130" spans="1:36" x14ac:dyDescent="0.25">
      <c r="A5130" t="s">
        <v>5411</v>
      </c>
      <c r="B5130" t="s">
        <v>16</v>
      </c>
      <c r="C5130" t="s">
        <v>17</v>
      </c>
      <c r="D5130">
        <v>87960000</v>
      </c>
      <c r="E5130">
        <v>87969999</v>
      </c>
      <c r="F5130" t="s">
        <v>4649</v>
      </c>
      <c r="G5130" t="str">
        <f t="shared" si="160"/>
        <v>PRI II</v>
      </c>
      <c r="H5130" t="s">
        <v>4294</v>
      </c>
      <c r="I5130" t="s">
        <v>20</v>
      </c>
      <c r="J5130" t="s">
        <v>64</v>
      </c>
      <c r="K5130" s="6">
        <v>0.03</v>
      </c>
      <c r="L5130" s="7">
        <f t="shared" si="161"/>
        <v>2E-3</v>
      </c>
      <c r="M5130" s="7">
        <v>3.0000000000000001E-3</v>
      </c>
      <c r="N5130">
        <v>11</v>
      </c>
      <c r="O5130" s="8">
        <v>19.127752698369598</v>
      </c>
      <c r="P5130" s="9">
        <v>19.127752698369598</v>
      </c>
      <c r="Q5130" s="9">
        <v>19.127752698369598</v>
      </c>
      <c r="R5130" s="9">
        <v>19.588754687607715</v>
      </c>
      <c r="S5130" s="9">
        <v>19.892211826137899</v>
      </c>
      <c r="T5130" s="9">
        <v>20.64455772606674</v>
      </c>
      <c r="U5130" s="9">
        <v>22.020224218035128</v>
      </c>
      <c r="V5130" s="9">
        <v>22.020224218035128</v>
      </c>
      <c r="W5130" s="9">
        <v>22.020224218035128</v>
      </c>
      <c r="X5130" s="9">
        <v>24.004435739730138</v>
      </c>
      <c r="Y5130" s="9">
        <v>24.004435739730138</v>
      </c>
      <c r="Z5130" s="9">
        <v>26.075582265671787</v>
      </c>
      <c r="AA5130" s="9">
        <v>26.075582265671787</v>
      </c>
      <c r="AB5130" s="9">
        <v>28.242357296284759</v>
      </c>
      <c r="AC5130" s="9">
        <v>28.242357296284759</v>
      </c>
      <c r="AD5130" s="9">
        <v>32.278785457330969</v>
      </c>
      <c r="AE5130" s="9">
        <v>34.228944830548365</v>
      </c>
      <c r="AF5130" s="9">
        <v>36.293711230319367</v>
      </c>
      <c r="AG5130" s="9">
        <v>36.293711230319367</v>
      </c>
      <c r="AH5130" s="9">
        <v>39.230142171980006</v>
      </c>
      <c r="AI5130" s="9">
        <v>41.357809622501556</v>
      </c>
      <c r="AJ5130" s="9">
        <v>3.0428788910505911</v>
      </c>
    </row>
    <row r="5131" spans="1:36" x14ac:dyDescent="0.25">
      <c r="A5131" t="s">
        <v>5411</v>
      </c>
      <c r="B5131" t="s">
        <v>16</v>
      </c>
      <c r="C5131" t="s">
        <v>17</v>
      </c>
      <c r="D5131">
        <v>87970000</v>
      </c>
      <c r="E5131">
        <v>87979999</v>
      </c>
      <c r="F5131" t="s">
        <v>4650</v>
      </c>
      <c r="G5131" t="str">
        <f t="shared" si="160"/>
        <v>PRI II</v>
      </c>
      <c r="H5131" t="s">
        <v>4294</v>
      </c>
      <c r="I5131" t="s">
        <v>20</v>
      </c>
      <c r="J5131" t="s">
        <v>64</v>
      </c>
      <c r="K5131" s="6">
        <v>0.03</v>
      </c>
      <c r="L5131" s="7">
        <f t="shared" si="161"/>
        <v>2E-3</v>
      </c>
      <c r="M5131" s="7">
        <v>3.0000000000000001E-3</v>
      </c>
      <c r="N5131">
        <v>11</v>
      </c>
      <c r="O5131" s="8">
        <v>19.127752698369598</v>
      </c>
      <c r="P5131" s="9">
        <v>19.127752698369598</v>
      </c>
      <c r="Q5131" s="9">
        <v>19.127752698369598</v>
      </c>
      <c r="R5131" s="9">
        <v>19.588754687607715</v>
      </c>
      <c r="S5131" s="9">
        <v>19.892211826137899</v>
      </c>
      <c r="T5131" s="9">
        <v>20.64455772606674</v>
      </c>
      <c r="U5131" s="9">
        <v>22.020224218035128</v>
      </c>
      <c r="V5131" s="9">
        <v>22.020224218035128</v>
      </c>
      <c r="W5131" s="9">
        <v>22.020224218035128</v>
      </c>
      <c r="X5131" s="9">
        <v>24.004435739730138</v>
      </c>
      <c r="Y5131" s="9">
        <v>24.004435739730138</v>
      </c>
      <c r="Z5131" s="9">
        <v>26.075582265671787</v>
      </c>
      <c r="AA5131" s="9">
        <v>26.075582265671787</v>
      </c>
      <c r="AB5131" s="9">
        <v>28.242357296284759</v>
      </c>
      <c r="AC5131" s="9">
        <v>28.242357296284759</v>
      </c>
      <c r="AD5131" s="9">
        <v>32.278785457330969</v>
      </c>
      <c r="AE5131" s="9">
        <v>34.228944830548365</v>
      </c>
      <c r="AF5131" s="9">
        <v>36.293711230319367</v>
      </c>
      <c r="AG5131" s="9">
        <v>36.293711230319367</v>
      </c>
      <c r="AH5131" s="9">
        <v>39.230142171980006</v>
      </c>
      <c r="AI5131" s="9">
        <v>41.357809622501556</v>
      </c>
      <c r="AJ5131" s="9">
        <v>3.0428788910505911</v>
      </c>
    </row>
    <row r="5132" spans="1:36" x14ac:dyDescent="0.25">
      <c r="A5132" t="s">
        <v>5411</v>
      </c>
      <c r="B5132" t="s">
        <v>16</v>
      </c>
      <c r="C5132" t="s">
        <v>17</v>
      </c>
      <c r="D5132">
        <v>87980000</v>
      </c>
      <c r="E5132">
        <v>87989999</v>
      </c>
      <c r="F5132" t="s">
        <v>4651</v>
      </c>
      <c r="G5132" t="str">
        <f t="shared" si="160"/>
        <v>PRI II</v>
      </c>
      <c r="H5132" t="s">
        <v>4294</v>
      </c>
      <c r="I5132" t="s">
        <v>20</v>
      </c>
      <c r="J5132" t="s">
        <v>64</v>
      </c>
      <c r="K5132" s="6">
        <v>0.03</v>
      </c>
      <c r="L5132" s="7">
        <f t="shared" si="161"/>
        <v>2E-3</v>
      </c>
      <c r="M5132" s="7">
        <v>3.0000000000000001E-3</v>
      </c>
      <c r="N5132">
        <v>11</v>
      </c>
      <c r="O5132" s="8">
        <v>19.127752698369598</v>
      </c>
      <c r="P5132" s="9">
        <v>19.127752698369598</v>
      </c>
      <c r="Q5132" s="9">
        <v>19.127752698369598</v>
      </c>
      <c r="R5132" s="9">
        <v>19.588754687607715</v>
      </c>
      <c r="S5132" s="9">
        <v>19.892211826137899</v>
      </c>
      <c r="T5132" s="9">
        <v>20.64455772606674</v>
      </c>
      <c r="U5132" s="9">
        <v>22.020224218035128</v>
      </c>
      <c r="V5132" s="9">
        <v>22.020224218035128</v>
      </c>
      <c r="W5132" s="9">
        <v>22.020224218035128</v>
      </c>
      <c r="X5132" s="9">
        <v>24.004435739730138</v>
      </c>
      <c r="Y5132" s="9">
        <v>24.004435739730138</v>
      </c>
      <c r="Z5132" s="9">
        <v>26.075582265671787</v>
      </c>
      <c r="AA5132" s="9">
        <v>26.075582265671787</v>
      </c>
      <c r="AB5132" s="9">
        <v>28.242357296284759</v>
      </c>
      <c r="AC5132" s="9">
        <v>28.242357296284759</v>
      </c>
      <c r="AD5132" s="9">
        <v>32.278785457330969</v>
      </c>
      <c r="AE5132" s="9">
        <v>34.228944830548365</v>
      </c>
      <c r="AF5132" s="9">
        <v>36.293711230319367</v>
      </c>
      <c r="AG5132" s="9">
        <v>36.293711230319367</v>
      </c>
      <c r="AH5132" s="9">
        <v>39.230142171980006</v>
      </c>
      <c r="AI5132" s="9">
        <v>41.357809622501556</v>
      </c>
      <c r="AJ5132" s="9">
        <v>3.0428788910505911</v>
      </c>
    </row>
    <row r="5133" spans="1:36" x14ac:dyDescent="0.25">
      <c r="A5133" t="s">
        <v>5411</v>
      </c>
      <c r="B5133" t="s">
        <v>16</v>
      </c>
      <c r="C5133" t="s">
        <v>17</v>
      </c>
      <c r="D5133">
        <v>87990000</v>
      </c>
      <c r="E5133">
        <v>87999999</v>
      </c>
      <c r="F5133" t="s">
        <v>4652</v>
      </c>
      <c r="G5133" t="str">
        <f t="shared" si="160"/>
        <v>PRI II</v>
      </c>
      <c r="H5133" t="s">
        <v>4294</v>
      </c>
      <c r="I5133" t="s">
        <v>20</v>
      </c>
      <c r="J5133" t="s">
        <v>64</v>
      </c>
      <c r="K5133" s="6">
        <v>0.03</v>
      </c>
      <c r="L5133" s="7">
        <f t="shared" si="161"/>
        <v>2E-3</v>
      </c>
      <c r="M5133" s="7">
        <v>3.0000000000000001E-3</v>
      </c>
      <c r="N5133">
        <v>11</v>
      </c>
      <c r="O5133" s="8">
        <v>19.127752698369598</v>
      </c>
      <c r="P5133" s="9">
        <v>19.127752698369598</v>
      </c>
      <c r="Q5133" s="9">
        <v>19.127752698369598</v>
      </c>
      <c r="R5133" s="9">
        <v>19.588754687607715</v>
      </c>
      <c r="S5133" s="9">
        <v>19.892211826137899</v>
      </c>
      <c r="T5133" s="9">
        <v>20.64455772606674</v>
      </c>
      <c r="U5133" s="9">
        <v>22.020224218035128</v>
      </c>
      <c r="V5133" s="9">
        <v>22.020224218035128</v>
      </c>
      <c r="W5133" s="9">
        <v>22.020224218035128</v>
      </c>
      <c r="X5133" s="9">
        <v>24.004435739730138</v>
      </c>
      <c r="Y5133" s="9">
        <v>24.004435739730138</v>
      </c>
      <c r="Z5133" s="9">
        <v>26.075582265671787</v>
      </c>
      <c r="AA5133" s="9">
        <v>26.075582265671787</v>
      </c>
      <c r="AB5133" s="9">
        <v>28.242357296284759</v>
      </c>
      <c r="AC5133" s="9">
        <v>28.242357296284759</v>
      </c>
      <c r="AD5133" s="9">
        <v>32.278785457330969</v>
      </c>
      <c r="AE5133" s="9">
        <v>34.228944830548365</v>
      </c>
      <c r="AF5133" s="9">
        <v>36.293711230319367</v>
      </c>
      <c r="AG5133" s="9">
        <v>36.293711230319367</v>
      </c>
      <c r="AH5133" s="9">
        <v>39.230142171980006</v>
      </c>
      <c r="AI5133" s="9">
        <v>41.357809622501556</v>
      </c>
      <c r="AJ5133" s="9">
        <v>3.0428788910505911</v>
      </c>
    </row>
    <row r="5134" spans="1:36" x14ac:dyDescent="0.25">
      <c r="A5134" t="s">
        <v>5411</v>
      </c>
      <c r="B5134" t="s">
        <v>16</v>
      </c>
      <c r="C5134" t="s">
        <v>17</v>
      </c>
      <c r="D5134">
        <v>88000000</v>
      </c>
      <c r="E5134">
        <v>88009999</v>
      </c>
      <c r="F5134" t="s">
        <v>4653</v>
      </c>
      <c r="G5134" t="str">
        <f t="shared" si="160"/>
        <v>SCC</v>
      </c>
      <c r="H5134" t="s">
        <v>4654</v>
      </c>
      <c r="I5134" t="s">
        <v>20</v>
      </c>
      <c r="J5134" t="s">
        <v>21</v>
      </c>
      <c r="K5134" s="6">
        <v>0.03</v>
      </c>
      <c r="L5134" s="7">
        <f t="shared" si="161"/>
        <v>2E-3</v>
      </c>
      <c r="M5134" s="7">
        <v>3.0000000000000001E-3</v>
      </c>
      <c r="N5134">
        <v>7</v>
      </c>
      <c r="O5134" s="8">
        <v>11.913855217525144</v>
      </c>
      <c r="P5134" s="9">
        <v>11.913855217525144</v>
      </c>
      <c r="Q5134" s="9">
        <v>11.913855217525144</v>
      </c>
      <c r="R5134" s="9">
        <v>12.218010591446777</v>
      </c>
      <c r="S5134" s="9">
        <v>13.098441438143986</v>
      </c>
      <c r="T5134" s="9">
        <v>13.466923191603852</v>
      </c>
      <c r="U5134" s="9">
        <v>15.563138085888387</v>
      </c>
      <c r="V5134" s="9">
        <v>15.563138085888387</v>
      </c>
      <c r="W5134" s="9">
        <v>15.563138085888387</v>
      </c>
      <c r="X5134" s="9">
        <v>17.487703853113263</v>
      </c>
      <c r="Y5134" s="9">
        <v>17.487703853113263</v>
      </c>
      <c r="Z5134" s="9">
        <v>19.567138129048967</v>
      </c>
      <c r="AA5134" s="9">
        <v>19.567138129048967</v>
      </c>
      <c r="AB5134" s="9">
        <v>23.317755525654952</v>
      </c>
      <c r="AC5134" s="9">
        <v>23.317755525654952</v>
      </c>
      <c r="AD5134" s="9">
        <v>25.388530971640378</v>
      </c>
      <c r="AE5134" s="9">
        <v>27.539801857517215</v>
      </c>
      <c r="AF5134" s="9">
        <v>29.779617727274616</v>
      </c>
      <c r="AG5134" s="9">
        <v>29.779617727274616</v>
      </c>
      <c r="AH5134" s="9">
        <v>32.116833079300633</v>
      </c>
      <c r="AI5134" s="9">
        <v>34.005593386538443</v>
      </c>
      <c r="AJ5134" s="9">
        <v>3.0428788910505911</v>
      </c>
    </row>
    <row r="5135" spans="1:36" x14ac:dyDescent="0.25">
      <c r="A5135" t="s">
        <v>5411</v>
      </c>
      <c r="B5135" t="s">
        <v>16</v>
      </c>
      <c r="C5135" t="s">
        <v>17</v>
      </c>
      <c r="D5135">
        <v>88010000</v>
      </c>
      <c r="E5135">
        <v>88099999</v>
      </c>
      <c r="F5135" t="s">
        <v>4653</v>
      </c>
      <c r="G5135" t="str">
        <f t="shared" si="160"/>
        <v>SCC</v>
      </c>
      <c r="H5135" t="s">
        <v>4654</v>
      </c>
      <c r="I5135" t="s">
        <v>20</v>
      </c>
      <c r="J5135" t="s">
        <v>21</v>
      </c>
      <c r="K5135" s="6">
        <v>0.03</v>
      </c>
      <c r="L5135" s="7">
        <f t="shared" si="161"/>
        <v>2E-3</v>
      </c>
      <c r="M5135" s="7">
        <v>3.0000000000000001E-3</v>
      </c>
      <c r="N5135">
        <v>7</v>
      </c>
      <c r="O5135" s="8">
        <v>11.913855217525144</v>
      </c>
      <c r="P5135" s="9">
        <v>11.913855217525144</v>
      </c>
      <c r="Q5135" s="9">
        <v>11.913855217525144</v>
      </c>
      <c r="R5135" s="9">
        <v>12.218010591446777</v>
      </c>
      <c r="S5135" s="9">
        <v>13.098441438143986</v>
      </c>
      <c r="T5135" s="9">
        <v>13.466923191603852</v>
      </c>
      <c r="U5135" s="9">
        <v>15.563138085888387</v>
      </c>
      <c r="V5135" s="9">
        <v>15.563138085888387</v>
      </c>
      <c r="W5135" s="9">
        <v>15.563138085888387</v>
      </c>
      <c r="X5135" s="9">
        <v>17.487703853113263</v>
      </c>
      <c r="Y5135" s="9">
        <v>17.487703853113263</v>
      </c>
      <c r="Z5135" s="9">
        <v>19.567138129048967</v>
      </c>
      <c r="AA5135" s="9">
        <v>19.567138129048967</v>
      </c>
      <c r="AB5135" s="9">
        <v>23.317755525654952</v>
      </c>
      <c r="AC5135" s="9">
        <v>23.317755525654952</v>
      </c>
      <c r="AD5135" s="9">
        <v>25.388530971640378</v>
      </c>
      <c r="AE5135" s="9">
        <v>27.539801857517215</v>
      </c>
      <c r="AF5135" s="9">
        <v>29.779617727274616</v>
      </c>
      <c r="AG5135" s="9">
        <v>29.779617727274616</v>
      </c>
      <c r="AH5135" s="9">
        <v>32.116833079300633</v>
      </c>
      <c r="AI5135" s="9">
        <v>34.005593386538443</v>
      </c>
      <c r="AJ5135" s="9">
        <v>3.0428788910505911</v>
      </c>
    </row>
    <row r="5136" spans="1:36" x14ac:dyDescent="0.25">
      <c r="A5136" t="s">
        <v>5411</v>
      </c>
      <c r="B5136" t="s">
        <v>16</v>
      </c>
      <c r="C5136" t="s">
        <v>17</v>
      </c>
      <c r="D5136">
        <v>88100000</v>
      </c>
      <c r="E5136">
        <v>88100999</v>
      </c>
      <c r="F5136" t="s">
        <v>4655</v>
      </c>
      <c r="G5136" t="str">
        <f t="shared" si="160"/>
        <v>SCI</v>
      </c>
      <c r="H5136" t="s">
        <v>4654</v>
      </c>
      <c r="I5136" t="s">
        <v>20</v>
      </c>
      <c r="J5136" t="s">
        <v>62</v>
      </c>
      <c r="K5136" s="6">
        <v>0.03</v>
      </c>
      <c r="L5136" s="7">
        <f t="shared" si="161"/>
        <v>2E-3</v>
      </c>
      <c r="M5136" s="7">
        <v>3.0000000000000001E-3</v>
      </c>
      <c r="N5136">
        <v>7</v>
      </c>
      <c r="O5136" s="8">
        <v>16.631361039134706</v>
      </c>
      <c r="P5136" s="9">
        <v>16.631361039134706</v>
      </c>
      <c r="Q5136" s="9">
        <v>16.631361039134706</v>
      </c>
      <c r="R5136" s="9">
        <v>17.060180136455905</v>
      </c>
      <c r="S5136" s="9">
        <v>18.024171003933382</v>
      </c>
      <c r="T5136" s="9">
        <v>18.868116637328029</v>
      </c>
      <c r="U5136" s="9">
        <v>20.58817720770605</v>
      </c>
      <c r="V5136" s="9">
        <v>20.58817720770605</v>
      </c>
      <c r="W5136" s="9">
        <v>20.58817720770605</v>
      </c>
      <c r="X5136" s="9">
        <v>22.864259828555831</v>
      </c>
      <c r="Y5136" s="9">
        <v>22.864259828555831</v>
      </c>
      <c r="Z5136" s="9">
        <v>25.323053608820352</v>
      </c>
      <c r="AA5136" s="9">
        <v>25.323053608820352</v>
      </c>
      <c r="AB5136" s="9">
        <v>28.021815637038035</v>
      </c>
      <c r="AC5136" s="9">
        <v>28.021815637038035</v>
      </c>
      <c r="AD5136" s="9">
        <v>30.863654196486234</v>
      </c>
      <c r="AE5136" s="9">
        <v>33.866973124126531</v>
      </c>
      <c r="AF5136" s="9">
        <v>37.052606032896897</v>
      </c>
      <c r="AG5136" s="9">
        <v>37.052606032896897</v>
      </c>
      <c r="AH5136" s="9">
        <v>39.965079814445566</v>
      </c>
      <c r="AI5136" s="9">
        <v>42.780649023864797</v>
      </c>
      <c r="AJ5136" s="9">
        <v>3.0428788910505911</v>
      </c>
    </row>
    <row r="5137" spans="1:36" x14ac:dyDescent="0.25">
      <c r="A5137" t="s">
        <v>5411</v>
      </c>
      <c r="B5137" t="s">
        <v>16</v>
      </c>
      <c r="C5137" t="s">
        <v>17</v>
      </c>
      <c r="D5137">
        <v>88101000</v>
      </c>
      <c r="E5137">
        <v>88124999</v>
      </c>
      <c r="F5137" t="s">
        <v>4655</v>
      </c>
      <c r="G5137" t="str">
        <f t="shared" si="160"/>
        <v>SCI</v>
      </c>
      <c r="H5137" t="s">
        <v>4654</v>
      </c>
      <c r="I5137" t="s">
        <v>20</v>
      </c>
      <c r="J5137" t="s">
        <v>62</v>
      </c>
      <c r="K5137" s="6">
        <v>0.03</v>
      </c>
      <c r="L5137" s="7">
        <f t="shared" si="161"/>
        <v>2E-3</v>
      </c>
      <c r="M5137" s="7">
        <v>3.0000000000000001E-3</v>
      </c>
      <c r="N5137">
        <v>8</v>
      </c>
      <c r="O5137" s="8">
        <v>16.631361039134706</v>
      </c>
      <c r="P5137" s="9">
        <v>16.631361039134706</v>
      </c>
      <c r="Q5137" s="9">
        <v>16.631361039134706</v>
      </c>
      <c r="R5137" s="9">
        <v>17.060180136455905</v>
      </c>
      <c r="S5137" s="9">
        <v>18.024171003933382</v>
      </c>
      <c r="T5137" s="9">
        <v>18.868116637328029</v>
      </c>
      <c r="U5137" s="9">
        <v>20.58817720770605</v>
      </c>
      <c r="V5137" s="9">
        <v>20.58817720770605</v>
      </c>
      <c r="W5137" s="9">
        <v>20.58817720770605</v>
      </c>
      <c r="X5137" s="9">
        <v>22.864259828555831</v>
      </c>
      <c r="Y5137" s="9">
        <v>22.864259828555831</v>
      </c>
      <c r="Z5137" s="9">
        <v>25.323053608820352</v>
      </c>
      <c r="AA5137" s="9">
        <v>25.323053608820352</v>
      </c>
      <c r="AB5137" s="9">
        <v>28.021815637038035</v>
      </c>
      <c r="AC5137" s="9">
        <v>28.021815637038035</v>
      </c>
      <c r="AD5137" s="9">
        <v>30.863654196486234</v>
      </c>
      <c r="AE5137" s="9">
        <v>33.866973124126531</v>
      </c>
      <c r="AF5137" s="9">
        <v>37.052606032896897</v>
      </c>
      <c r="AG5137" s="9">
        <v>37.052606032896897</v>
      </c>
      <c r="AH5137" s="9">
        <v>39.965079814445566</v>
      </c>
      <c r="AI5137" s="9">
        <v>42.780649023864797</v>
      </c>
      <c r="AJ5137" s="9">
        <v>3.0428788910505911</v>
      </c>
    </row>
    <row r="5138" spans="1:36" x14ac:dyDescent="0.25">
      <c r="A5138" t="s">
        <v>5411</v>
      </c>
      <c r="B5138" t="s">
        <v>16</v>
      </c>
      <c r="C5138" t="s">
        <v>17</v>
      </c>
      <c r="D5138">
        <v>88125000</v>
      </c>
      <c r="E5138">
        <v>88129999</v>
      </c>
      <c r="F5138" t="s">
        <v>4656</v>
      </c>
      <c r="G5138" t="str">
        <f t="shared" si="160"/>
        <v>SCI II</v>
      </c>
      <c r="H5138" t="s">
        <v>4654</v>
      </c>
      <c r="I5138" t="s">
        <v>20</v>
      </c>
      <c r="J5138" t="s">
        <v>64</v>
      </c>
      <c r="K5138" s="6">
        <v>0.03</v>
      </c>
      <c r="L5138" s="7">
        <f t="shared" si="161"/>
        <v>2E-3</v>
      </c>
      <c r="M5138" s="7">
        <v>3.0000000000000001E-3</v>
      </c>
      <c r="N5138">
        <v>11</v>
      </c>
      <c r="O5138" s="8">
        <v>19.475693895950801</v>
      </c>
      <c r="P5138" s="9">
        <v>19.475693895950801</v>
      </c>
      <c r="Q5138" s="9">
        <v>19.475693895950801</v>
      </c>
      <c r="R5138" s="9">
        <v>20.024452706180426</v>
      </c>
      <c r="S5138" s="9">
        <v>20.875099128492941</v>
      </c>
      <c r="T5138" s="9">
        <v>21.733350185946453</v>
      </c>
      <c r="U5138" s="9">
        <v>23.861555618318132</v>
      </c>
      <c r="V5138" s="9">
        <v>23.861555618318132</v>
      </c>
      <c r="W5138" s="9">
        <v>23.861555618318132</v>
      </c>
      <c r="X5138" s="9">
        <v>26.599525609534091</v>
      </c>
      <c r="Y5138" s="9">
        <v>26.599525609534091</v>
      </c>
      <c r="Z5138" s="9">
        <v>29.424604823442099</v>
      </c>
      <c r="AA5138" s="9">
        <v>29.424604823442099</v>
      </c>
      <c r="AB5138" s="9">
        <v>32.345504182311352</v>
      </c>
      <c r="AC5138" s="9">
        <v>32.345504182311352</v>
      </c>
      <c r="AD5138" s="9">
        <v>37.073967958020759</v>
      </c>
      <c r="AE5138" s="9">
        <v>39.537280452065687</v>
      </c>
      <c r="AF5138" s="9">
        <v>42.115429646064094</v>
      </c>
      <c r="AG5138" s="9">
        <v>42.115429646064094</v>
      </c>
      <c r="AH5138" s="9">
        <v>45.566990204681431</v>
      </c>
      <c r="AI5138" s="9">
        <v>48.2081665036403</v>
      </c>
      <c r="AJ5138" s="9">
        <v>3.0428788910505911</v>
      </c>
    </row>
    <row r="5139" spans="1:36" x14ac:dyDescent="0.25">
      <c r="A5139" t="s">
        <v>5411</v>
      </c>
      <c r="B5139" t="s">
        <v>16</v>
      </c>
      <c r="C5139" t="s">
        <v>17</v>
      </c>
      <c r="D5139">
        <v>88130000</v>
      </c>
      <c r="E5139">
        <v>88139999</v>
      </c>
      <c r="F5139" t="s">
        <v>4657</v>
      </c>
      <c r="G5139" t="str">
        <f t="shared" si="160"/>
        <v>SCI</v>
      </c>
      <c r="H5139" t="s">
        <v>4654</v>
      </c>
      <c r="I5139" t="s">
        <v>20</v>
      </c>
      <c r="J5139" t="s">
        <v>62</v>
      </c>
      <c r="K5139" s="6">
        <v>0.03</v>
      </c>
      <c r="L5139" s="7">
        <f t="shared" si="161"/>
        <v>2E-3</v>
      </c>
      <c r="M5139" s="7">
        <v>3.0000000000000001E-3</v>
      </c>
      <c r="N5139">
        <v>8</v>
      </c>
      <c r="O5139" s="8">
        <v>16.631361039134706</v>
      </c>
      <c r="P5139" s="9">
        <v>16.631361039134706</v>
      </c>
      <c r="Q5139" s="9">
        <v>16.631361039134706</v>
      </c>
      <c r="R5139" s="9">
        <v>17.060180136455905</v>
      </c>
      <c r="S5139" s="9">
        <v>18.024171003933382</v>
      </c>
      <c r="T5139" s="9">
        <v>18.868116637328029</v>
      </c>
      <c r="U5139" s="9">
        <v>20.58817720770605</v>
      </c>
      <c r="V5139" s="9">
        <v>20.58817720770605</v>
      </c>
      <c r="W5139" s="9">
        <v>20.58817720770605</v>
      </c>
      <c r="X5139" s="9">
        <v>22.864259828555831</v>
      </c>
      <c r="Y5139" s="9">
        <v>22.864259828555831</v>
      </c>
      <c r="Z5139" s="9">
        <v>25.323053608820352</v>
      </c>
      <c r="AA5139" s="9">
        <v>25.323053608820352</v>
      </c>
      <c r="AB5139" s="9">
        <v>28.021815637038035</v>
      </c>
      <c r="AC5139" s="9">
        <v>28.021815637038035</v>
      </c>
      <c r="AD5139" s="9">
        <v>30.863654196486234</v>
      </c>
      <c r="AE5139" s="9">
        <v>33.866973124126531</v>
      </c>
      <c r="AF5139" s="9">
        <v>37.052606032896897</v>
      </c>
      <c r="AG5139" s="9">
        <v>37.052606032896897</v>
      </c>
      <c r="AH5139" s="9">
        <v>39.965079814445566</v>
      </c>
      <c r="AI5139" s="9">
        <v>42.780649023864797</v>
      </c>
      <c r="AJ5139" s="9">
        <v>3.0428788910505911</v>
      </c>
    </row>
    <row r="5140" spans="1:36" x14ac:dyDescent="0.25">
      <c r="A5140" t="s">
        <v>5411</v>
      </c>
      <c r="B5140" t="s">
        <v>16</v>
      </c>
      <c r="C5140" t="s">
        <v>17</v>
      </c>
      <c r="D5140">
        <v>88140000</v>
      </c>
      <c r="E5140">
        <v>88149999</v>
      </c>
      <c r="F5140" t="s">
        <v>4658</v>
      </c>
      <c r="G5140" t="str">
        <f t="shared" si="160"/>
        <v>SCI II</v>
      </c>
      <c r="H5140" t="s">
        <v>4654</v>
      </c>
      <c r="I5140" t="s">
        <v>20</v>
      </c>
      <c r="J5140" t="s">
        <v>64</v>
      </c>
      <c r="K5140" s="6">
        <v>0.03</v>
      </c>
      <c r="L5140" s="7">
        <f t="shared" si="161"/>
        <v>2E-3</v>
      </c>
      <c r="M5140" s="7">
        <v>3.0000000000000001E-3</v>
      </c>
      <c r="N5140">
        <v>11</v>
      </c>
      <c r="O5140" s="8">
        <v>19.475693895950801</v>
      </c>
      <c r="P5140" s="9">
        <v>19.475693895950801</v>
      </c>
      <c r="Q5140" s="9">
        <v>19.475693895950801</v>
      </c>
      <c r="R5140" s="9">
        <v>20.024452706180426</v>
      </c>
      <c r="S5140" s="9">
        <v>20.875099128492941</v>
      </c>
      <c r="T5140" s="9">
        <v>21.733350185946453</v>
      </c>
      <c r="U5140" s="9">
        <v>23.861555618318132</v>
      </c>
      <c r="V5140" s="9">
        <v>23.861555618318132</v>
      </c>
      <c r="W5140" s="9">
        <v>23.861555618318132</v>
      </c>
      <c r="X5140" s="9">
        <v>26.599525609534091</v>
      </c>
      <c r="Y5140" s="9">
        <v>26.599525609534091</v>
      </c>
      <c r="Z5140" s="9">
        <v>29.424604823442099</v>
      </c>
      <c r="AA5140" s="9">
        <v>29.424604823442099</v>
      </c>
      <c r="AB5140" s="9">
        <v>32.345504182311352</v>
      </c>
      <c r="AC5140" s="9">
        <v>32.345504182311352</v>
      </c>
      <c r="AD5140" s="9">
        <v>37.073967958020759</v>
      </c>
      <c r="AE5140" s="9">
        <v>39.537280452065687</v>
      </c>
      <c r="AF5140" s="9">
        <v>42.115429646064094</v>
      </c>
      <c r="AG5140" s="9">
        <v>42.115429646064094</v>
      </c>
      <c r="AH5140" s="9">
        <v>45.566990204681431</v>
      </c>
      <c r="AI5140" s="9">
        <v>48.2081665036403</v>
      </c>
      <c r="AJ5140" s="9">
        <v>3.0428788910505911</v>
      </c>
    </row>
    <row r="5141" spans="1:36" x14ac:dyDescent="0.25">
      <c r="A5141" t="s">
        <v>5411</v>
      </c>
      <c r="B5141" t="s">
        <v>16</v>
      </c>
      <c r="C5141" t="s">
        <v>17</v>
      </c>
      <c r="D5141">
        <v>88150000</v>
      </c>
      <c r="E5141">
        <v>88159999</v>
      </c>
      <c r="F5141" t="s">
        <v>4659</v>
      </c>
      <c r="G5141" t="str">
        <f t="shared" si="160"/>
        <v>SCI II</v>
      </c>
      <c r="H5141" t="s">
        <v>4654</v>
      </c>
      <c r="I5141" t="s">
        <v>20</v>
      </c>
      <c r="J5141" t="s">
        <v>64</v>
      </c>
      <c r="K5141" s="6">
        <v>0.03</v>
      </c>
      <c r="L5141" s="7">
        <f t="shared" si="161"/>
        <v>2E-3</v>
      </c>
      <c r="M5141" s="7">
        <v>3.0000000000000001E-3</v>
      </c>
      <c r="N5141">
        <v>11</v>
      </c>
      <c r="O5141" s="8">
        <v>19.475693895950801</v>
      </c>
      <c r="P5141" s="9">
        <v>19.475693895950801</v>
      </c>
      <c r="Q5141" s="9">
        <v>19.475693895950801</v>
      </c>
      <c r="R5141" s="9">
        <v>20.024452706180426</v>
      </c>
      <c r="S5141" s="9">
        <v>20.875099128492941</v>
      </c>
      <c r="T5141" s="9">
        <v>21.733350185946453</v>
      </c>
      <c r="U5141" s="9">
        <v>23.861555618318132</v>
      </c>
      <c r="V5141" s="9">
        <v>23.861555618318132</v>
      </c>
      <c r="W5141" s="9">
        <v>23.861555618318132</v>
      </c>
      <c r="X5141" s="9">
        <v>26.599525609534091</v>
      </c>
      <c r="Y5141" s="9">
        <v>26.599525609534091</v>
      </c>
      <c r="Z5141" s="9">
        <v>29.424604823442099</v>
      </c>
      <c r="AA5141" s="9">
        <v>29.424604823442099</v>
      </c>
      <c r="AB5141" s="9">
        <v>32.345504182311352</v>
      </c>
      <c r="AC5141" s="9">
        <v>32.345504182311352</v>
      </c>
      <c r="AD5141" s="9">
        <v>37.073967958020759</v>
      </c>
      <c r="AE5141" s="9">
        <v>39.537280452065687</v>
      </c>
      <c r="AF5141" s="9">
        <v>42.115429646064094</v>
      </c>
      <c r="AG5141" s="9">
        <v>42.115429646064094</v>
      </c>
      <c r="AH5141" s="9">
        <v>45.566990204681431</v>
      </c>
      <c r="AI5141" s="9">
        <v>48.2081665036403</v>
      </c>
      <c r="AJ5141" s="9">
        <v>3.0428788910505911</v>
      </c>
    </row>
    <row r="5142" spans="1:36" x14ac:dyDescent="0.25">
      <c r="A5142" t="s">
        <v>5411</v>
      </c>
      <c r="B5142" t="s">
        <v>16</v>
      </c>
      <c r="C5142" t="s">
        <v>17</v>
      </c>
      <c r="D5142">
        <v>88160000</v>
      </c>
      <c r="E5142">
        <v>88179999</v>
      </c>
      <c r="F5142" t="s">
        <v>4660</v>
      </c>
      <c r="G5142" t="str">
        <f t="shared" si="160"/>
        <v>SCI</v>
      </c>
      <c r="H5142" t="s">
        <v>4654</v>
      </c>
      <c r="I5142" t="s">
        <v>20</v>
      </c>
      <c r="J5142" t="s">
        <v>62</v>
      </c>
      <c r="K5142" s="6">
        <v>0.03</v>
      </c>
      <c r="L5142" s="7">
        <f t="shared" si="161"/>
        <v>2E-3</v>
      </c>
      <c r="M5142" s="7">
        <v>3.0000000000000001E-3</v>
      </c>
      <c r="N5142">
        <v>10</v>
      </c>
      <c r="O5142" s="8">
        <v>16.631361039134706</v>
      </c>
      <c r="P5142" s="9">
        <v>16.631361039134706</v>
      </c>
      <c r="Q5142" s="9">
        <v>16.631361039134706</v>
      </c>
      <c r="R5142" s="9">
        <v>17.060180136455905</v>
      </c>
      <c r="S5142" s="9">
        <v>18.024171003933382</v>
      </c>
      <c r="T5142" s="9">
        <v>18.868116637328029</v>
      </c>
      <c r="U5142" s="9">
        <v>20.58817720770605</v>
      </c>
      <c r="V5142" s="9">
        <v>20.58817720770605</v>
      </c>
      <c r="W5142" s="9">
        <v>20.58817720770605</v>
      </c>
      <c r="X5142" s="9">
        <v>22.864259828555831</v>
      </c>
      <c r="Y5142" s="9">
        <v>22.864259828555831</v>
      </c>
      <c r="Z5142" s="9">
        <v>25.323053608820352</v>
      </c>
      <c r="AA5142" s="9">
        <v>25.323053608820352</v>
      </c>
      <c r="AB5142" s="9">
        <v>28.021815637038035</v>
      </c>
      <c r="AC5142" s="9">
        <v>28.021815637038035</v>
      </c>
      <c r="AD5142" s="9">
        <v>30.863654196486234</v>
      </c>
      <c r="AE5142" s="9">
        <v>33.866973124126531</v>
      </c>
      <c r="AF5142" s="9">
        <v>37.052606032896897</v>
      </c>
      <c r="AG5142" s="9">
        <v>37.052606032896897</v>
      </c>
      <c r="AH5142" s="9">
        <v>39.965079814445566</v>
      </c>
      <c r="AI5142" s="9">
        <v>42.780649023864797</v>
      </c>
      <c r="AJ5142" s="9">
        <v>3.0428788910505911</v>
      </c>
    </row>
    <row r="5143" spans="1:36" x14ac:dyDescent="0.25">
      <c r="A5143" t="s">
        <v>5411</v>
      </c>
      <c r="B5143" t="s">
        <v>16</v>
      </c>
      <c r="C5143" t="s">
        <v>17</v>
      </c>
      <c r="D5143">
        <v>88180000</v>
      </c>
      <c r="E5143">
        <v>88189999</v>
      </c>
      <c r="F5143" t="s">
        <v>1103</v>
      </c>
      <c r="G5143" t="str">
        <f t="shared" si="160"/>
        <v>SCI II</v>
      </c>
      <c r="H5143" t="s">
        <v>4654</v>
      </c>
      <c r="I5143" t="s">
        <v>20</v>
      </c>
      <c r="J5143" t="s">
        <v>64</v>
      </c>
      <c r="K5143" s="6">
        <v>0.03</v>
      </c>
      <c r="L5143" s="7">
        <f t="shared" si="161"/>
        <v>2E-3</v>
      </c>
      <c r="M5143" s="7">
        <v>3.0000000000000001E-3</v>
      </c>
      <c r="N5143">
        <v>11</v>
      </c>
      <c r="O5143" s="8">
        <v>19.475693895950801</v>
      </c>
      <c r="P5143" s="9">
        <v>19.475693895950801</v>
      </c>
      <c r="Q5143" s="9">
        <v>19.475693895950801</v>
      </c>
      <c r="R5143" s="9">
        <v>20.024452706180426</v>
      </c>
      <c r="S5143" s="9">
        <v>20.875099128492941</v>
      </c>
      <c r="T5143" s="9">
        <v>21.733350185946453</v>
      </c>
      <c r="U5143" s="9">
        <v>23.861555618318132</v>
      </c>
      <c r="V5143" s="9">
        <v>23.861555618318132</v>
      </c>
      <c r="W5143" s="9">
        <v>23.861555618318132</v>
      </c>
      <c r="X5143" s="9">
        <v>26.599525609534091</v>
      </c>
      <c r="Y5143" s="9">
        <v>26.599525609534091</v>
      </c>
      <c r="Z5143" s="9">
        <v>29.424604823442099</v>
      </c>
      <c r="AA5143" s="9">
        <v>29.424604823442099</v>
      </c>
      <c r="AB5143" s="9">
        <v>32.345504182311352</v>
      </c>
      <c r="AC5143" s="9">
        <v>32.345504182311352</v>
      </c>
      <c r="AD5143" s="9">
        <v>37.073967958020759</v>
      </c>
      <c r="AE5143" s="9">
        <v>39.537280452065687</v>
      </c>
      <c r="AF5143" s="9">
        <v>42.115429646064094</v>
      </c>
      <c r="AG5143" s="9">
        <v>42.115429646064094</v>
      </c>
      <c r="AH5143" s="9">
        <v>45.566990204681431</v>
      </c>
      <c r="AI5143" s="9">
        <v>48.2081665036403</v>
      </c>
      <c r="AJ5143" s="9">
        <v>3.0428788910505911</v>
      </c>
    </row>
    <row r="5144" spans="1:36" x14ac:dyDescent="0.25">
      <c r="A5144" t="s">
        <v>5411</v>
      </c>
      <c r="B5144" t="s">
        <v>16</v>
      </c>
      <c r="C5144" t="s">
        <v>17</v>
      </c>
      <c r="D5144">
        <v>88190000</v>
      </c>
      <c r="E5144">
        <v>88199999</v>
      </c>
      <c r="F5144" t="s">
        <v>4661</v>
      </c>
      <c r="G5144" t="str">
        <f t="shared" si="160"/>
        <v>SCI II</v>
      </c>
      <c r="H5144" t="s">
        <v>4654</v>
      </c>
      <c r="I5144" t="s">
        <v>20</v>
      </c>
      <c r="J5144" t="s">
        <v>64</v>
      </c>
      <c r="K5144" s="6">
        <v>0.03</v>
      </c>
      <c r="L5144" s="7">
        <f t="shared" si="161"/>
        <v>2E-3</v>
      </c>
      <c r="M5144" s="7">
        <v>3.0000000000000001E-3</v>
      </c>
      <c r="N5144">
        <v>11</v>
      </c>
      <c r="O5144" s="8">
        <v>19.475693895950801</v>
      </c>
      <c r="P5144" s="9">
        <v>19.475693895950801</v>
      </c>
      <c r="Q5144" s="9">
        <v>19.475693895950801</v>
      </c>
      <c r="R5144" s="9">
        <v>20.024452706180426</v>
      </c>
      <c r="S5144" s="9">
        <v>20.875099128492941</v>
      </c>
      <c r="T5144" s="9">
        <v>21.733350185946453</v>
      </c>
      <c r="U5144" s="9">
        <v>23.861555618318132</v>
      </c>
      <c r="V5144" s="9">
        <v>23.861555618318132</v>
      </c>
      <c r="W5144" s="9">
        <v>23.861555618318132</v>
      </c>
      <c r="X5144" s="9">
        <v>26.599525609534091</v>
      </c>
      <c r="Y5144" s="9">
        <v>26.599525609534091</v>
      </c>
      <c r="Z5144" s="9">
        <v>29.424604823442099</v>
      </c>
      <c r="AA5144" s="9">
        <v>29.424604823442099</v>
      </c>
      <c r="AB5144" s="9">
        <v>32.345504182311352</v>
      </c>
      <c r="AC5144" s="9">
        <v>32.345504182311352</v>
      </c>
      <c r="AD5144" s="9">
        <v>37.073967958020759</v>
      </c>
      <c r="AE5144" s="9">
        <v>39.537280452065687</v>
      </c>
      <c r="AF5144" s="9">
        <v>42.115429646064094</v>
      </c>
      <c r="AG5144" s="9">
        <v>42.115429646064094</v>
      </c>
      <c r="AH5144" s="9">
        <v>45.566990204681431</v>
      </c>
      <c r="AI5144" s="9">
        <v>48.2081665036403</v>
      </c>
      <c r="AJ5144" s="9">
        <v>3.0428788910505911</v>
      </c>
    </row>
    <row r="5145" spans="1:36" x14ac:dyDescent="0.25">
      <c r="A5145" t="s">
        <v>5411</v>
      </c>
      <c r="B5145" t="s">
        <v>16</v>
      </c>
      <c r="C5145" t="s">
        <v>17</v>
      </c>
      <c r="D5145">
        <v>88200000</v>
      </c>
      <c r="E5145">
        <v>88209999</v>
      </c>
      <c r="F5145" t="s">
        <v>4662</v>
      </c>
      <c r="G5145" t="str">
        <f t="shared" si="160"/>
        <v>SCI</v>
      </c>
      <c r="H5145" t="s">
        <v>4654</v>
      </c>
      <c r="I5145" t="s">
        <v>20</v>
      </c>
      <c r="J5145" t="s">
        <v>62</v>
      </c>
      <c r="K5145" s="6">
        <v>0.03</v>
      </c>
      <c r="L5145" s="7">
        <f t="shared" si="161"/>
        <v>2E-3</v>
      </c>
      <c r="M5145" s="7">
        <v>3.0000000000000001E-3</v>
      </c>
      <c r="N5145">
        <v>10</v>
      </c>
      <c r="O5145" s="8">
        <v>16.631361039134706</v>
      </c>
      <c r="P5145" s="9">
        <v>16.631361039134706</v>
      </c>
      <c r="Q5145" s="9">
        <v>16.631361039134706</v>
      </c>
      <c r="R5145" s="9">
        <v>17.060180136455905</v>
      </c>
      <c r="S5145" s="9">
        <v>18.024171003933382</v>
      </c>
      <c r="T5145" s="9">
        <v>18.868116637328029</v>
      </c>
      <c r="U5145" s="9">
        <v>20.58817720770605</v>
      </c>
      <c r="V5145" s="9">
        <v>20.58817720770605</v>
      </c>
      <c r="W5145" s="9">
        <v>20.58817720770605</v>
      </c>
      <c r="X5145" s="9">
        <v>22.864259828555831</v>
      </c>
      <c r="Y5145" s="9">
        <v>22.864259828555831</v>
      </c>
      <c r="Z5145" s="9">
        <v>25.323053608820352</v>
      </c>
      <c r="AA5145" s="9">
        <v>25.323053608820352</v>
      </c>
      <c r="AB5145" s="9">
        <v>28.021815637038035</v>
      </c>
      <c r="AC5145" s="9">
        <v>28.021815637038035</v>
      </c>
      <c r="AD5145" s="9">
        <v>30.863654196486234</v>
      </c>
      <c r="AE5145" s="9">
        <v>33.866973124126531</v>
      </c>
      <c r="AF5145" s="9">
        <v>37.052606032896897</v>
      </c>
      <c r="AG5145" s="9">
        <v>37.052606032896897</v>
      </c>
      <c r="AH5145" s="9">
        <v>39.965079814445566</v>
      </c>
      <c r="AI5145" s="9">
        <v>42.780649023864797</v>
      </c>
      <c r="AJ5145" s="9">
        <v>3.0428788910505911</v>
      </c>
    </row>
    <row r="5146" spans="1:36" x14ac:dyDescent="0.25">
      <c r="A5146" t="s">
        <v>5411</v>
      </c>
      <c r="B5146" t="s">
        <v>16</v>
      </c>
      <c r="C5146" t="s">
        <v>17</v>
      </c>
      <c r="D5146">
        <v>88210000</v>
      </c>
      <c r="E5146">
        <v>88214999</v>
      </c>
      <c r="F5146" t="s">
        <v>4663</v>
      </c>
      <c r="G5146" t="str">
        <f t="shared" si="160"/>
        <v>SCI II</v>
      </c>
      <c r="H5146" t="s">
        <v>4654</v>
      </c>
      <c r="I5146" t="s">
        <v>20</v>
      </c>
      <c r="J5146" t="s">
        <v>64</v>
      </c>
      <c r="K5146" s="6">
        <v>0.03</v>
      </c>
      <c r="L5146" s="7">
        <f t="shared" si="161"/>
        <v>2E-3</v>
      </c>
      <c r="M5146" s="7">
        <v>3.0000000000000001E-3</v>
      </c>
      <c r="N5146">
        <v>10</v>
      </c>
      <c r="O5146" s="8">
        <v>19.475693895950801</v>
      </c>
      <c r="P5146" s="9">
        <v>19.475693895950801</v>
      </c>
      <c r="Q5146" s="9">
        <v>19.475693895950801</v>
      </c>
      <c r="R5146" s="9">
        <v>20.024452706180426</v>
      </c>
      <c r="S5146" s="9">
        <v>20.875099128492941</v>
      </c>
      <c r="T5146" s="9">
        <v>21.733350185946453</v>
      </c>
      <c r="U5146" s="9">
        <v>23.861555618318132</v>
      </c>
      <c r="V5146" s="9">
        <v>23.861555618318132</v>
      </c>
      <c r="W5146" s="9">
        <v>23.861555618318132</v>
      </c>
      <c r="X5146" s="9">
        <v>26.599525609534091</v>
      </c>
      <c r="Y5146" s="9">
        <v>26.599525609534091</v>
      </c>
      <c r="Z5146" s="9">
        <v>29.424604823442099</v>
      </c>
      <c r="AA5146" s="9">
        <v>29.424604823442099</v>
      </c>
      <c r="AB5146" s="9">
        <v>32.345504182311352</v>
      </c>
      <c r="AC5146" s="9">
        <v>32.345504182311352</v>
      </c>
      <c r="AD5146" s="9">
        <v>37.073967958020759</v>
      </c>
      <c r="AE5146" s="9">
        <v>39.537280452065687</v>
      </c>
      <c r="AF5146" s="9">
        <v>42.115429646064094</v>
      </c>
      <c r="AG5146" s="9">
        <v>42.115429646064094</v>
      </c>
      <c r="AH5146" s="9">
        <v>45.566990204681431</v>
      </c>
      <c r="AI5146" s="9">
        <v>48.2081665036403</v>
      </c>
      <c r="AJ5146" s="9">
        <v>3.0428788910505911</v>
      </c>
    </row>
    <row r="5147" spans="1:36" x14ac:dyDescent="0.25">
      <c r="A5147" t="s">
        <v>5411</v>
      </c>
      <c r="B5147" t="s">
        <v>16</v>
      </c>
      <c r="C5147" t="s">
        <v>17</v>
      </c>
      <c r="D5147">
        <v>88215000</v>
      </c>
      <c r="E5147">
        <v>88219999</v>
      </c>
      <c r="F5147" t="s">
        <v>4664</v>
      </c>
      <c r="G5147" t="str">
        <f t="shared" si="160"/>
        <v>SCI II</v>
      </c>
      <c r="H5147" t="s">
        <v>4654</v>
      </c>
      <c r="I5147" t="s">
        <v>20</v>
      </c>
      <c r="J5147" t="s">
        <v>64</v>
      </c>
      <c r="K5147" s="6">
        <v>0.03</v>
      </c>
      <c r="L5147" s="7">
        <f t="shared" si="161"/>
        <v>2E-3</v>
      </c>
      <c r="M5147" s="7">
        <v>3.0000000000000001E-3</v>
      </c>
      <c r="N5147">
        <v>11</v>
      </c>
      <c r="O5147" s="8">
        <v>19.475693895950801</v>
      </c>
      <c r="P5147" s="9">
        <v>19.475693895950801</v>
      </c>
      <c r="Q5147" s="9">
        <v>19.475693895950801</v>
      </c>
      <c r="R5147" s="9">
        <v>20.024452706180426</v>
      </c>
      <c r="S5147" s="9">
        <v>20.875099128492941</v>
      </c>
      <c r="T5147" s="9">
        <v>21.733350185946453</v>
      </c>
      <c r="U5147" s="9">
        <v>23.861555618318132</v>
      </c>
      <c r="V5147" s="9">
        <v>23.861555618318132</v>
      </c>
      <c r="W5147" s="9">
        <v>23.861555618318132</v>
      </c>
      <c r="X5147" s="9">
        <v>26.599525609534091</v>
      </c>
      <c r="Y5147" s="9">
        <v>26.599525609534091</v>
      </c>
      <c r="Z5147" s="9">
        <v>29.424604823442099</v>
      </c>
      <c r="AA5147" s="9">
        <v>29.424604823442099</v>
      </c>
      <c r="AB5147" s="9">
        <v>32.345504182311352</v>
      </c>
      <c r="AC5147" s="9">
        <v>32.345504182311352</v>
      </c>
      <c r="AD5147" s="9">
        <v>37.073967958020759</v>
      </c>
      <c r="AE5147" s="9">
        <v>39.537280452065687</v>
      </c>
      <c r="AF5147" s="9">
        <v>42.115429646064094</v>
      </c>
      <c r="AG5147" s="9">
        <v>42.115429646064094</v>
      </c>
      <c r="AH5147" s="9">
        <v>45.566990204681431</v>
      </c>
      <c r="AI5147" s="9">
        <v>48.2081665036403</v>
      </c>
      <c r="AJ5147" s="9">
        <v>3.0428788910505911</v>
      </c>
    </row>
    <row r="5148" spans="1:36" x14ac:dyDescent="0.25">
      <c r="A5148" t="s">
        <v>5411</v>
      </c>
      <c r="B5148" t="s">
        <v>16</v>
      </c>
      <c r="C5148" t="s">
        <v>17</v>
      </c>
      <c r="D5148">
        <v>88220000</v>
      </c>
      <c r="E5148">
        <v>88229999</v>
      </c>
      <c r="F5148" t="s">
        <v>4665</v>
      </c>
      <c r="G5148" t="str">
        <f t="shared" si="160"/>
        <v>SCI</v>
      </c>
      <c r="H5148" t="s">
        <v>4654</v>
      </c>
      <c r="I5148" t="s">
        <v>20</v>
      </c>
      <c r="J5148" t="s">
        <v>62</v>
      </c>
      <c r="K5148" s="6">
        <v>0.03</v>
      </c>
      <c r="L5148" s="7">
        <f t="shared" si="161"/>
        <v>2E-3</v>
      </c>
      <c r="M5148" s="7">
        <v>3.0000000000000001E-3</v>
      </c>
      <c r="N5148">
        <v>10</v>
      </c>
      <c r="O5148" s="8">
        <v>16.631361039134706</v>
      </c>
      <c r="P5148" s="9">
        <v>16.631361039134706</v>
      </c>
      <c r="Q5148" s="9">
        <v>16.631361039134706</v>
      </c>
      <c r="R5148" s="9">
        <v>17.060180136455905</v>
      </c>
      <c r="S5148" s="9">
        <v>18.024171003933382</v>
      </c>
      <c r="T5148" s="9">
        <v>18.868116637328029</v>
      </c>
      <c r="U5148" s="9">
        <v>20.58817720770605</v>
      </c>
      <c r="V5148" s="9">
        <v>20.58817720770605</v>
      </c>
      <c r="W5148" s="9">
        <v>20.58817720770605</v>
      </c>
      <c r="X5148" s="9">
        <v>22.864259828555831</v>
      </c>
      <c r="Y5148" s="9">
        <v>22.864259828555831</v>
      </c>
      <c r="Z5148" s="9">
        <v>25.323053608820352</v>
      </c>
      <c r="AA5148" s="9">
        <v>25.323053608820352</v>
      </c>
      <c r="AB5148" s="9">
        <v>28.021815637038035</v>
      </c>
      <c r="AC5148" s="9">
        <v>28.021815637038035</v>
      </c>
      <c r="AD5148" s="9">
        <v>30.863654196486234</v>
      </c>
      <c r="AE5148" s="9">
        <v>33.866973124126531</v>
      </c>
      <c r="AF5148" s="9">
        <v>37.052606032896897</v>
      </c>
      <c r="AG5148" s="9">
        <v>37.052606032896897</v>
      </c>
      <c r="AH5148" s="9">
        <v>39.965079814445566</v>
      </c>
      <c r="AI5148" s="9">
        <v>42.780649023864797</v>
      </c>
      <c r="AJ5148" s="9">
        <v>3.0428788910505911</v>
      </c>
    </row>
    <row r="5149" spans="1:36" x14ac:dyDescent="0.25">
      <c r="A5149" t="s">
        <v>5411</v>
      </c>
      <c r="B5149" t="s">
        <v>16</v>
      </c>
      <c r="C5149" t="s">
        <v>17</v>
      </c>
      <c r="D5149">
        <v>88230000</v>
      </c>
      <c r="E5149">
        <v>88239999</v>
      </c>
      <c r="F5149" t="s">
        <v>4666</v>
      </c>
      <c r="G5149" t="str">
        <f t="shared" si="160"/>
        <v>SCI II</v>
      </c>
      <c r="H5149" t="s">
        <v>4654</v>
      </c>
      <c r="I5149" t="s">
        <v>20</v>
      </c>
      <c r="J5149" t="s">
        <v>64</v>
      </c>
      <c r="K5149" s="6">
        <v>0.03</v>
      </c>
      <c r="L5149" s="7">
        <f t="shared" si="161"/>
        <v>2E-3</v>
      </c>
      <c r="M5149" s="7">
        <v>3.0000000000000001E-3</v>
      </c>
      <c r="N5149">
        <v>11</v>
      </c>
      <c r="O5149" s="8">
        <v>19.475693895950801</v>
      </c>
      <c r="P5149" s="9">
        <v>19.475693895950801</v>
      </c>
      <c r="Q5149" s="9">
        <v>19.475693895950801</v>
      </c>
      <c r="R5149" s="9">
        <v>20.024452706180426</v>
      </c>
      <c r="S5149" s="9">
        <v>20.875099128492941</v>
      </c>
      <c r="T5149" s="9">
        <v>21.733350185946453</v>
      </c>
      <c r="U5149" s="9">
        <v>23.861555618318132</v>
      </c>
      <c r="V5149" s="9">
        <v>23.861555618318132</v>
      </c>
      <c r="W5149" s="9">
        <v>23.861555618318132</v>
      </c>
      <c r="X5149" s="9">
        <v>26.599525609534091</v>
      </c>
      <c r="Y5149" s="9">
        <v>26.599525609534091</v>
      </c>
      <c r="Z5149" s="9">
        <v>29.424604823442099</v>
      </c>
      <c r="AA5149" s="9">
        <v>29.424604823442099</v>
      </c>
      <c r="AB5149" s="9">
        <v>32.345504182311352</v>
      </c>
      <c r="AC5149" s="9">
        <v>32.345504182311352</v>
      </c>
      <c r="AD5149" s="9">
        <v>37.073967958020759</v>
      </c>
      <c r="AE5149" s="9">
        <v>39.537280452065687</v>
      </c>
      <c r="AF5149" s="9">
        <v>42.115429646064094</v>
      </c>
      <c r="AG5149" s="9">
        <v>42.115429646064094</v>
      </c>
      <c r="AH5149" s="9">
        <v>45.566990204681431</v>
      </c>
      <c r="AI5149" s="9">
        <v>48.2081665036403</v>
      </c>
      <c r="AJ5149" s="9">
        <v>3.0428788910505911</v>
      </c>
    </row>
    <row r="5150" spans="1:36" x14ac:dyDescent="0.25">
      <c r="A5150" t="s">
        <v>5411</v>
      </c>
      <c r="B5150" t="s">
        <v>16</v>
      </c>
      <c r="C5150" t="s">
        <v>17</v>
      </c>
      <c r="D5150">
        <v>88240000</v>
      </c>
      <c r="E5150">
        <v>88259999</v>
      </c>
      <c r="F5150" t="s">
        <v>3236</v>
      </c>
      <c r="G5150" t="str">
        <f t="shared" si="160"/>
        <v>SCI II</v>
      </c>
      <c r="H5150" t="s">
        <v>4654</v>
      </c>
      <c r="I5150" t="s">
        <v>20</v>
      </c>
      <c r="J5150" t="s">
        <v>64</v>
      </c>
      <c r="K5150" s="6">
        <v>0.03</v>
      </c>
      <c r="L5150" s="7">
        <f t="shared" si="161"/>
        <v>2E-3</v>
      </c>
      <c r="M5150" s="7">
        <v>3.0000000000000001E-3</v>
      </c>
      <c r="N5150">
        <v>11</v>
      </c>
      <c r="O5150" s="8">
        <v>19.475693895950801</v>
      </c>
      <c r="P5150" s="9">
        <v>19.475693895950801</v>
      </c>
      <c r="Q5150" s="9">
        <v>19.475693895950801</v>
      </c>
      <c r="R5150" s="9">
        <v>20.024452706180426</v>
      </c>
      <c r="S5150" s="9">
        <v>20.875099128492941</v>
      </c>
      <c r="T5150" s="9">
        <v>21.733350185946453</v>
      </c>
      <c r="U5150" s="9">
        <v>23.861555618318132</v>
      </c>
      <c r="V5150" s="9">
        <v>23.861555618318132</v>
      </c>
      <c r="W5150" s="9">
        <v>23.861555618318132</v>
      </c>
      <c r="X5150" s="9">
        <v>26.599525609534091</v>
      </c>
      <c r="Y5150" s="9">
        <v>26.599525609534091</v>
      </c>
      <c r="Z5150" s="9">
        <v>29.424604823442099</v>
      </c>
      <c r="AA5150" s="9">
        <v>29.424604823442099</v>
      </c>
      <c r="AB5150" s="9">
        <v>32.345504182311352</v>
      </c>
      <c r="AC5150" s="9">
        <v>32.345504182311352</v>
      </c>
      <c r="AD5150" s="9">
        <v>37.073967958020759</v>
      </c>
      <c r="AE5150" s="9">
        <v>39.537280452065687</v>
      </c>
      <c r="AF5150" s="9">
        <v>42.115429646064094</v>
      </c>
      <c r="AG5150" s="9">
        <v>42.115429646064094</v>
      </c>
      <c r="AH5150" s="9">
        <v>45.566990204681431</v>
      </c>
      <c r="AI5150" s="9">
        <v>48.2081665036403</v>
      </c>
      <c r="AJ5150" s="9">
        <v>3.0428788910505911</v>
      </c>
    </row>
    <row r="5151" spans="1:36" x14ac:dyDescent="0.25">
      <c r="A5151" t="s">
        <v>5411</v>
      </c>
      <c r="B5151" t="s">
        <v>16</v>
      </c>
      <c r="C5151" t="s">
        <v>17</v>
      </c>
      <c r="D5151">
        <v>88260000</v>
      </c>
      <c r="E5151">
        <v>88269999</v>
      </c>
      <c r="F5151" t="s">
        <v>4667</v>
      </c>
      <c r="G5151" t="str">
        <f t="shared" si="160"/>
        <v>SCI II</v>
      </c>
      <c r="H5151" t="s">
        <v>4654</v>
      </c>
      <c r="I5151" t="s">
        <v>20</v>
      </c>
      <c r="J5151" t="s">
        <v>64</v>
      </c>
      <c r="K5151" s="6">
        <v>0.03</v>
      </c>
      <c r="L5151" s="7">
        <f t="shared" si="161"/>
        <v>2E-3</v>
      </c>
      <c r="M5151" s="7">
        <v>3.0000000000000001E-3</v>
      </c>
      <c r="N5151">
        <v>11</v>
      </c>
      <c r="O5151" s="8">
        <v>19.475693895950801</v>
      </c>
      <c r="P5151" s="9">
        <v>19.475693895950801</v>
      </c>
      <c r="Q5151" s="9">
        <v>19.475693895950801</v>
      </c>
      <c r="R5151" s="9">
        <v>20.024452706180426</v>
      </c>
      <c r="S5151" s="9">
        <v>20.875099128492941</v>
      </c>
      <c r="T5151" s="9">
        <v>21.733350185946453</v>
      </c>
      <c r="U5151" s="9">
        <v>23.861555618318132</v>
      </c>
      <c r="V5151" s="9">
        <v>23.861555618318132</v>
      </c>
      <c r="W5151" s="9">
        <v>23.861555618318132</v>
      </c>
      <c r="X5151" s="9">
        <v>26.599525609534091</v>
      </c>
      <c r="Y5151" s="9">
        <v>26.599525609534091</v>
      </c>
      <c r="Z5151" s="9">
        <v>29.424604823442099</v>
      </c>
      <c r="AA5151" s="9">
        <v>29.424604823442099</v>
      </c>
      <c r="AB5151" s="9">
        <v>32.345504182311352</v>
      </c>
      <c r="AC5151" s="9">
        <v>32.345504182311352</v>
      </c>
      <c r="AD5151" s="9">
        <v>37.073967958020759</v>
      </c>
      <c r="AE5151" s="9">
        <v>39.537280452065687</v>
      </c>
      <c r="AF5151" s="9">
        <v>42.115429646064094</v>
      </c>
      <c r="AG5151" s="9">
        <v>42.115429646064094</v>
      </c>
      <c r="AH5151" s="9">
        <v>45.566990204681431</v>
      </c>
      <c r="AI5151" s="9">
        <v>48.2081665036403</v>
      </c>
      <c r="AJ5151" s="9">
        <v>3.0428788910505911</v>
      </c>
    </row>
    <row r="5152" spans="1:36" x14ac:dyDescent="0.25">
      <c r="A5152" t="s">
        <v>5411</v>
      </c>
      <c r="B5152" t="s">
        <v>16</v>
      </c>
      <c r="C5152" t="s">
        <v>17</v>
      </c>
      <c r="D5152">
        <v>88270000</v>
      </c>
      <c r="E5152">
        <v>88294999</v>
      </c>
      <c r="F5152" t="s">
        <v>4668</v>
      </c>
      <c r="G5152" t="str">
        <f t="shared" si="160"/>
        <v>SCI II</v>
      </c>
      <c r="H5152" t="s">
        <v>4654</v>
      </c>
      <c r="I5152" t="s">
        <v>20</v>
      </c>
      <c r="J5152" t="s">
        <v>64</v>
      </c>
      <c r="K5152" s="6">
        <v>0.03</v>
      </c>
      <c r="L5152" s="7">
        <f t="shared" si="161"/>
        <v>2E-3</v>
      </c>
      <c r="M5152" s="7">
        <v>3.0000000000000001E-3</v>
      </c>
      <c r="N5152">
        <v>11</v>
      </c>
      <c r="O5152" s="8">
        <v>19.475693895950801</v>
      </c>
      <c r="P5152" s="9">
        <v>19.475693895950801</v>
      </c>
      <c r="Q5152" s="9">
        <v>19.475693895950801</v>
      </c>
      <c r="R5152" s="9">
        <v>20.024452706180426</v>
      </c>
      <c r="S5152" s="9">
        <v>20.875099128492941</v>
      </c>
      <c r="T5152" s="9">
        <v>21.733350185946453</v>
      </c>
      <c r="U5152" s="9">
        <v>23.861555618318132</v>
      </c>
      <c r="V5152" s="9">
        <v>23.861555618318132</v>
      </c>
      <c r="W5152" s="9">
        <v>23.861555618318132</v>
      </c>
      <c r="X5152" s="9">
        <v>26.599525609534091</v>
      </c>
      <c r="Y5152" s="9">
        <v>26.599525609534091</v>
      </c>
      <c r="Z5152" s="9">
        <v>29.424604823442099</v>
      </c>
      <c r="AA5152" s="9">
        <v>29.424604823442099</v>
      </c>
      <c r="AB5152" s="9">
        <v>32.345504182311352</v>
      </c>
      <c r="AC5152" s="9">
        <v>32.345504182311352</v>
      </c>
      <c r="AD5152" s="9">
        <v>37.073967958020759</v>
      </c>
      <c r="AE5152" s="9">
        <v>39.537280452065687</v>
      </c>
      <c r="AF5152" s="9">
        <v>42.115429646064094</v>
      </c>
      <c r="AG5152" s="9">
        <v>42.115429646064094</v>
      </c>
      <c r="AH5152" s="9">
        <v>45.566990204681431</v>
      </c>
      <c r="AI5152" s="9">
        <v>48.2081665036403</v>
      </c>
      <c r="AJ5152" s="9">
        <v>3.0428788910505911</v>
      </c>
    </row>
    <row r="5153" spans="1:36" x14ac:dyDescent="0.25">
      <c r="A5153" t="s">
        <v>5411</v>
      </c>
      <c r="B5153" t="s">
        <v>16</v>
      </c>
      <c r="C5153" t="s">
        <v>17</v>
      </c>
      <c r="D5153">
        <v>88295000</v>
      </c>
      <c r="E5153">
        <v>88299999</v>
      </c>
      <c r="F5153" t="s">
        <v>4669</v>
      </c>
      <c r="G5153" t="str">
        <f t="shared" si="160"/>
        <v>SCI II</v>
      </c>
      <c r="H5153" t="s">
        <v>4654</v>
      </c>
      <c r="I5153" t="s">
        <v>20</v>
      </c>
      <c r="J5153" t="s">
        <v>64</v>
      </c>
      <c r="K5153" s="6">
        <v>0.03</v>
      </c>
      <c r="L5153" s="7">
        <f t="shared" si="161"/>
        <v>2E-3</v>
      </c>
      <c r="M5153" s="7">
        <v>3.0000000000000001E-3</v>
      </c>
      <c r="N5153">
        <v>11</v>
      </c>
      <c r="O5153" s="8">
        <v>19.475693895950801</v>
      </c>
      <c r="P5153" s="9">
        <v>19.475693895950801</v>
      </c>
      <c r="Q5153" s="9">
        <v>19.475693895950801</v>
      </c>
      <c r="R5153" s="9">
        <v>20.024452706180426</v>
      </c>
      <c r="S5153" s="9">
        <v>20.875099128492941</v>
      </c>
      <c r="T5153" s="9">
        <v>21.733350185946453</v>
      </c>
      <c r="U5153" s="9">
        <v>23.861555618318132</v>
      </c>
      <c r="V5153" s="9">
        <v>23.861555618318132</v>
      </c>
      <c r="W5153" s="9">
        <v>23.861555618318132</v>
      </c>
      <c r="X5153" s="9">
        <v>26.599525609534091</v>
      </c>
      <c r="Y5153" s="9">
        <v>26.599525609534091</v>
      </c>
      <c r="Z5153" s="9">
        <v>29.424604823442099</v>
      </c>
      <c r="AA5153" s="9">
        <v>29.424604823442099</v>
      </c>
      <c r="AB5153" s="9">
        <v>32.345504182311352</v>
      </c>
      <c r="AC5153" s="9">
        <v>32.345504182311352</v>
      </c>
      <c r="AD5153" s="9">
        <v>37.073967958020759</v>
      </c>
      <c r="AE5153" s="9">
        <v>39.537280452065687</v>
      </c>
      <c r="AF5153" s="9">
        <v>42.115429646064094</v>
      </c>
      <c r="AG5153" s="9">
        <v>42.115429646064094</v>
      </c>
      <c r="AH5153" s="9">
        <v>45.566990204681431</v>
      </c>
      <c r="AI5153" s="9">
        <v>48.2081665036403</v>
      </c>
      <c r="AJ5153" s="9">
        <v>3.0428788910505911</v>
      </c>
    </row>
    <row r="5154" spans="1:36" x14ac:dyDescent="0.25">
      <c r="A5154" t="s">
        <v>5411</v>
      </c>
      <c r="B5154" t="s">
        <v>16</v>
      </c>
      <c r="C5154" t="s">
        <v>17</v>
      </c>
      <c r="D5154">
        <v>88300000</v>
      </c>
      <c r="E5154">
        <v>88319999</v>
      </c>
      <c r="F5154" t="s">
        <v>4670</v>
      </c>
      <c r="G5154" t="str">
        <f t="shared" si="160"/>
        <v>SCI</v>
      </c>
      <c r="H5154" t="s">
        <v>4654</v>
      </c>
      <c r="I5154" t="s">
        <v>20</v>
      </c>
      <c r="J5154" t="s">
        <v>62</v>
      </c>
      <c r="K5154" s="6">
        <v>0.03</v>
      </c>
      <c r="L5154" s="7">
        <f t="shared" si="161"/>
        <v>2E-3</v>
      </c>
      <c r="M5154" s="7">
        <v>3.0000000000000001E-3</v>
      </c>
      <c r="N5154">
        <v>9</v>
      </c>
      <c r="O5154" s="8">
        <v>16.631361039134706</v>
      </c>
      <c r="P5154" s="9">
        <v>16.631361039134706</v>
      </c>
      <c r="Q5154" s="9">
        <v>16.631361039134706</v>
      </c>
      <c r="R5154" s="9">
        <v>17.060180136455905</v>
      </c>
      <c r="S5154" s="9">
        <v>18.024171003933382</v>
      </c>
      <c r="T5154" s="9">
        <v>18.868116637328029</v>
      </c>
      <c r="U5154" s="9">
        <v>20.58817720770605</v>
      </c>
      <c r="V5154" s="9">
        <v>20.58817720770605</v>
      </c>
      <c r="W5154" s="9">
        <v>20.58817720770605</v>
      </c>
      <c r="X5154" s="9">
        <v>22.864259828555831</v>
      </c>
      <c r="Y5154" s="9">
        <v>22.864259828555831</v>
      </c>
      <c r="Z5154" s="9">
        <v>25.323053608820352</v>
      </c>
      <c r="AA5154" s="9">
        <v>25.323053608820352</v>
      </c>
      <c r="AB5154" s="9">
        <v>28.021815637038035</v>
      </c>
      <c r="AC5154" s="9">
        <v>28.021815637038035</v>
      </c>
      <c r="AD5154" s="9">
        <v>30.863654196486234</v>
      </c>
      <c r="AE5154" s="9">
        <v>33.866973124126531</v>
      </c>
      <c r="AF5154" s="9">
        <v>37.052606032896897</v>
      </c>
      <c r="AG5154" s="9">
        <v>37.052606032896897</v>
      </c>
      <c r="AH5154" s="9">
        <v>39.965079814445566</v>
      </c>
      <c r="AI5154" s="9">
        <v>42.780649023864797</v>
      </c>
      <c r="AJ5154" s="9">
        <v>3.0428788910505911</v>
      </c>
    </row>
    <row r="5155" spans="1:36" x14ac:dyDescent="0.25">
      <c r="A5155" t="s">
        <v>5411</v>
      </c>
      <c r="B5155" t="s">
        <v>16</v>
      </c>
      <c r="C5155" t="s">
        <v>17</v>
      </c>
      <c r="D5155">
        <v>88320000</v>
      </c>
      <c r="E5155">
        <v>88329999</v>
      </c>
      <c r="F5155" t="s">
        <v>4671</v>
      </c>
      <c r="G5155" t="str">
        <f t="shared" si="160"/>
        <v>SCI II</v>
      </c>
      <c r="H5155" t="s">
        <v>4654</v>
      </c>
      <c r="I5155" t="s">
        <v>20</v>
      </c>
      <c r="J5155" t="s">
        <v>64</v>
      </c>
      <c r="K5155" s="6">
        <v>0.03</v>
      </c>
      <c r="L5155" s="7">
        <f t="shared" si="161"/>
        <v>2E-3</v>
      </c>
      <c r="M5155" s="7">
        <v>3.0000000000000001E-3</v>
      </c>
      <c r="N5155">
        <v>11</v>
      </c>
      <c r="O5155" s="8">
        <v>19.475693895950801</v>
      </c>
      <c r="P5155" s="9">
        <v>19.475693895950801</v>
      </c>
      <c r="Q5155" s="9">
        <v>19.475693895950801</v>
      </c>
      <c r="R5155" s="9">
        <v>20.024452706180426</v>
      </c>
      <c r="S5155" s="9">
        <v>20.875099128492941</v>
      </c>
      <c r="T5155" s="9">
        <v>21.733350185946453</v>
      </c>
      <c r="U5155" s="9">
        <v>23.861555618318132</v>
      </c>
      <c r="V5155" s="9">
        <v>23.861555618318132</v>
      </c>
      <c r="W5155" s="9">
        <v>23.861555618318132</v>
      </c>
      <c r="X5155" s="9">
        <v>26.599525609534091</v>
      </c>
      <c r="Y5155" s="9">
        <v>26.599525609534091</v>
      </c>
      <c r="Z5155" s="9">
        <v>29.424604823442099</v>
      </c>
      <c r="AA5155" s="9">
        <v>29.424604823442099</v>
      </c>
      <c r="AB5155" s="9">
        <v>32.345504182311352</v>
      </c>
      <c r="AC5155" s="9">
        <v>32.345504182311352</v>
      </c>
      <c r="AD5155" s="9">
        <v>37.073967958020759</v>
      </c>
      <c r="AE5155" s="9">
        <v>39.537280452065687</v>
      </c>
      <c r="AF5155" s="9">
        <v>42.115429646064094</v>
      </c>
      <c r="AG5155" s="9">
        <v>42.115429646064094</v>
      </c>
      <c r="AH5155" s="9">
        <v>45.566990204681431</v>
      </c>
      <c r="AI5155" s="9">
        <v>48.2081665036403</v>
      </c>
      <c r="AJ5155" s="9">
        <v>3.0428788910505911</v>
      </c>
    </row>
    <row r="5156" spans="1:36" x14ac:dyDescent="0.25">
      <c r="A5156" t="s">
        <v>5411</v>
      </c>
      <c r="B5156" t="s">
        <v>16</v>
      </c>
      <c r="C5156" t="s">
        <v>17</v>
      </c>
      <c r="D5156">
        <v>88330000</v>
      </c>
      <c r="E5156">
        <v>88339999</v>
      </c>
      <c r="F5156" t="s">
        <v>4672</v>
      </c>
      <c r="G5156" t="str">
        <f t="shared" si="160"/>
        <v>SCI</v>
      </c>
      <c r="H5156" t="s">
        <v>4654</v>
      </c>
      <c r="I5156" t="s">
        <v>20</v>
      </c>
      <c r="J5156" t="s">
        <v>62</v>
      </c>
      <c r="K5156" s="6">
        <v>0.03</v>
      </c>
      <c r="L5156" s="7">
        <f t="shared" si="161"/>
        <v>2E-3</v>
      </c>
      <c r="M5156" s="7">
        <v>3.0000000000000001E-3</v>
      </c>
      <c r="N5156">
        <v>9</v>
      </c>
      <c r="O5156" s="8">
        <v>16.631361039134706</v>
      </c>
      <c r="P5156" s="9">
        <v>16.631361039134706</v>
      </c>
      <c r="Q5156" s="9">
        <v>16.631361039134706</v>
      </c>
      <c r="R5156" s="9">
        <v>17.060180136455905</v>
      </c>
      <c r="S5156" s="9">
        <v>18.024171003933382</v>
      </c>
      <c r="T5156" s="9">
        <v>18.868116637328029</v>
      </c>
      <c r="U5156" s="9">
        <v>20.58817720770605</v>
      </c>
      <c r="V5156" s="9">
        <v>20.58817720770605</v>
      </c>
      <c r="W5156" s="9">
        <v>20.58817720770605</v>
      </c>
      <c r="X5156" s="9">
        <v>22.864259828555831</v>
      </c>
      <c r="Y5156" s="9">
        <v>22.864259828555831</v>
      </c>
      <c r="Z5156" s="9">
        <v>25.323053608820352</v>
      </c>
      <c r="AA5156" s="9">
        <v>25.323053608820352</v>
      </c>
      <c r="AB5156" s="9">
        <v>28.021815637038035</v>
      </c>
      <c r="AC5156" s="9">
        <v>28.021815637038035</v>
      </c>
      <c r="AD5156" s="9">
        <v>30.863654196486234</v>
      </c>
      <c r="AE5156" s="9">
        <v>33.866973124126531</v>
      </c>
      <c r="AF5156" s="9">
        <v>37.052606032896897</v>
      </c>
      <c r="AG5156" s="9">
        <v>37.052606032896897</v>
      </c>
      <c r="AH5156" s="9">
        <v>39.965079814445566</v>
      </c>
      <c r="AI5156" s="9">
        <v>42.780649023864797</v>
      </c>
      <c r="AJ5156" s="9">
        <v>3.0428788910505911</v>
      </c>
    </row>
    <row r="5157" spans="1:36" x14ac:dyDescent="0.25">
      <c r="A5157" t="s">
        <v>5411</v>
      </c>
      <c r="B5157" t="s">
        <v>16</v>
      </c>
      <c r="C5157" t="s">
        <v>17</v>
      </c>
      <c r="D5157">
        <v>88340000</v>
      </c>
      <c r="E5157">
        <v>88349999</v>
      </c>
      <c r="F5157" t="s">
        <v>4673</v>
      </c>
      <c r="G5157" t="str">
        <f t="shared" si="160"/>
        <v>SCI</v>
      </c>
      <c r="H5157" t="s">
        <v>4654</v>
      </c>
      <c r="I5157" t="s">
        <v>20</v>
      </c>
      <c r="J5157" t="s">
        <v>62</v>
      </c>
      <c r="K5157" s="6">
        <v>0.03</v>
      </c>
      <c r="L5157" s="7">
        <f t="shared" si="161"/>
        <v>2E-3</v>
      </c>
      <c r="M5157" s="7">
        <v>3.0000000000000001E-3</v>
      </c>
      <c r="N5157">
        <v>10</v>
      </c>
      <c r="O5157" s="8">
        <v>16.631361039134706</v>
      </c>
      <c r="P5157" s="9">
        <v>16.631361039134706</v>
      </c>
      <c r="Q5157" s="9">
        <v>16.631361039134706</v>
      </c>
      <c r="R5157" s="9">
        <v>17.060180136455905</v>
      </c>
      <c r="S5157" s="9">
        <v>18.024171003933382</v>
      </c>
      <c r="T5157" s="9">
        <v>18.868116637328029</v>
      </c>
      <c r="U5157" s="9">
        <v>20.58817720770605</v>
      </c>
      <c r="V5157" s="9">
        <v>20.58817720770605</v>
      </c>
      <c r="W5157" s="9">
        <v>20.58817720770605</v>
      </c>
      <c r="X5157" s="9">
        <v>22.864259828555831</v>
      </c>
      <c r="Y5157" s="9">
        <v>22.864259828555831</v>
      </c>
      <c r="Z5157" s="9">
        <v>25.323053608820352</v>
      </c>
      <c r="AA5157" s="9">
        <v>25.323053608820352</v>
      </c>
      <c r="AB5157" s="9">
        <v>28.021815637038035</v>
      </c>
      <c r="AC5157" s="9">
        <v>28.021815637038035</v>
      </c>
      <c r="AD5157" s="9">
        <v>30.863654196486234</v>
      </c>
      <c r="AE5157" s="9">
        <v>33.866973124126531</v>
      </c>
      <c r="AF5157" s="9">
        <v>37.052606032896897</v>
      </c>
      <c r="AG5157" s="9">
        <v>37.052606032896897</v>
      </c>
      <c r="AH5157" s="9">
        <v>39.965079814445566</v>
      </c>
      <c r="AI5157" s="9">
        <v>42.780649023864797</v>
      </c>
      <c r="AJ5157" s="9">
        <v>3.0428788910505911</v>
      </c>
    </row>
    <row r="5158" spans="1:36" x14ac:dyDescent="0.25">
      <c r="A5158" t="s">
        <v>5411</v>
      </c>
      <c r="B5158" t="s">
        <v>16</v>
      </c>
      <c r="C5158" t="s">
        <v>17</v>
      </c>
      <c r="D5158">
        <v>88350000</v>
      </c>
      <c r="E5158">
        <v>88359999</v>
      </c>
      <c r="F5158" t="s">
        <v>4674</v>
      </c>
      <c r="G5158" t="str">
        <f t="shared" si="160"/>
        <v>SCI</v>
      </c>
      <c r="H5158" t="s">
        <v>4654</v>
      </c>
      <c r="I5158" t="s">
        <v>20</v>
      </c>
      <c r="J5158" t="s">
        <v>62</v>
      </c>
      <c r="K5158" s="6">
        <v>0.03</v>
      </c>
      <c r="L5158" s="7">
        <f t="shared" si="161"/>
        <v>2E-3</v>
      </c>
      <c r="M5158" s="7">
        <v>3.0000000000000001E-3</v>
      </c>
      <c r="N5158">
        <v>10</v>
      </c>
      <c r="O5158" s="8">
        <v>16.631361039134706</v>
      </c>
      <c r="P5158" s="9">
        <v>16.631361039134706</v>
      </c>
      <c r="Q5158" s="9">
        <v>16.631361039134706</v>
      </c>
      <c r="R5158" s="9">
        <v>17.060180136455905</v>
      </c>
      <c r="S5158" s="9">
        <v>18.024171003933382</v>
      </c>
      <c r="T5158" s="9">
        <v>18.868116637328029</v>
      </c>
      <c r="U5158" s="9">
        <v>20.58817720770605</v>
      </c>
      <c r="V5158" s="9">
        <v>20.58817720770605</v>
      </c>
      <c r="W5158" s="9">
        <v>20.58817720770605</v>
      </c>
      <c r="X5158" s="9">
        <v>22.864259828555831</v>
      </c>
      <c r="Y5158" s="9">
        <v>22.864259828555831</v>
      </c>
      <c r="Z5158" s="9">
        <v>25.323053608820352</v>
      </c>
      <c r="AA5158" s="9">
        <v>25.323053608820352</v>
      </c>
      <c r="AB5158" s="9">
        <v>28.021815637038035</v>
      </c>
      <c r="AC5158" s="9">
        <v>28.021815637038035</v>
      </c>
      <c r="AD5158" s="9">
        <v>30.863654196486234</v>
      </c>
      <c r="AE5158" s="9">
        <v>33.866973124126531</v>
      </c>
      <c r="AF5158" s="9">
        <v>37.052606032896897</v>
      </c>
      <c r="AG5158" s="9">
        <v>37.052606032896897</v>
      </c>
      <c r="AH5158" s="9">
        <v>39.965079814445566</v>
      </c>
      <c r="AI5158" s="9">
        <v>42.780649023864797</v>
      </c>
      <c r="AJ5158" s="9">
        <v>3.0428788910505911</v>
      </c>
    </row>
    <row r="5159" spans="1:36" x14ac:dyDescent="0.25">
      <c r="A5159" t="s">
        <v>5411</v>
      </c>
      <c r="B5159" t="s">
        <v>16</v>
      </c>
      <c r="C5159" t="s">
        <v>17</v>
      </c>
      <c r="D5159">
        <v>88360000</v>
      </c>
      <c r="E5159">
        <v>88369999</v>
      </c>
      <c r="F5159" t="s">
        <v>4675</v>
      </c>
      <c r="G5159" t="str">
        <f t="shared" si="160"/>
        <v>SCI II</v>
      </c>
      <c r="H5159" t="s">
        <v>4654</v>
      </c>
      <c r="I5159" t="s">
        <v>20</v>
      </c>
      <c r="J5159" t="s">
        <v>64</v>
      </c>
      <c r="K5159" s="6">
        <v>0.03</v>
      </c>
      <c r="L5159" s="7">
        <f t="shared" si="161"/>
        <v>2E-3</v>
      </c>
      <c r="M5159" s="7">
        <v>3.0000000000000001E-3</v>
      </c>
      <c r="N5159">
        <v>11</v>
      </c>
      <c r="O5159" s="8">
        <v>19.475693895950801</v>
      </c>
      <c r="P5159" s="9">
        <v>19.475693895950801</v>
      </c>
      <c r="Q5159" s="9">
        <v>19.475693895950801</v>
      </c>
      <c r="R5159" s="9">
        <v>20.024452706180426</v>
      </c>
      <c r="S5159" s="9">
        <v>20.875099128492941</v>
      </c>
      <c r="T5159" s="9">
        <v>21.733350185946453</v>
      </c>
      <c r="U5159" s="9">
        <v>23.861555618318132</v>
      </c>
      <c r="V5159" s="9">
        <v>23.861555618318132</v>
      </c>
      <c r="W5159" s="9">
        <v>23.861555618318132</v>
      </c>
      <c r="X5159" s="9">
        <v>26.599525609534091</v>
      </c>
      <c r="Y5159" s="9">
        <v>26.599525609534091</v>
      </c>
      <c r="Z5159" s="9">
        <v>29.424604823442099</v>
      </c>
      <c r="AA5159" s="9">
        <v>29.424604823442099</v>
      </c>
      <c r="AB5159" s="9">
        <v>32.345504182311352</v>
      </c>
      <c r="AC5159" s="9">
        <v>32.345504182311352</v>
      </c>
      <c r="AD5159" s="9">
        <v>37.073967958020759</v>
      </c>
      <c r="AE5159" s="9">
        <v>39.537280452065687</v>
      </c>
      <c r="AF5159" s="9">
        <v>42.115429646064094</v>
      </c>
      <c r="AG5159" s="9">
        <v>42.115429646064094</v>
      </c>
      <c r="AH5159" s="9">
        <v>45.566990204681431</v>
      </c>
      <c r="AI5159" s="9">
        <v>48.2081665036403</v>
      </c>
      <c r="AJ5159" s="9">
        <v>3.0428788910505911</v>
      </c>
    </row>
    <row r="5160" spans="1:36" x14ac:dyDescent="0.25">
      <c r="A5160" t="s">
        <v>5411</v>
      </c>
      <c r="B5160" t="s">
        <v>16</v>
      </c>
      <c r="C5160" t="s">
        <v>17</v>
      </c>
      <c r="D5160">
        <v>88370000</v>
      </c>
      <c r="E5160">
        <v>88374999</v>
      </c>
      <c r="F5160" t="s">
        <v>4676</v>
      </c>
      <c r="G5160" t="str">
        <f t="shared" si="160"/>
        <v>SCI</v>
      </c>
      <c r="H5160" t="s">
        <v>4654</v>
      </c>
      <c r="I5160" t="s">
        <v>20</v>
      </c>
      <c r="J5160" t="s">
        <v>62</v>
      </c>
      <c r="K5160" s="6">
        <v>0.03</v>
      </c>
      <c r="L5160" s="7">
        <f t="shared" si="161"/>
        <v>2E-3</v>
      </c>
      <c r="M5160" s="7">
        <v>3.0000000000000001E-3</v>
      </c>
      <c r="N5160">
        <v>10</v>
      </c>
      <c r="O5160" s="8">
        <v>16.631361039134706</v>
      </c>
      <c r="P5160" s="9">
        <v>16.631361039134706</v>
      </c>
      <c r="Q5160" s="9">
        <v>16.631361039134706</v>
      </c>
      <c r="R5160" s="9">
        <v>17.060180136455905</v>
      </c>
      <c r="S5160" s="9">
        <v>18.024171003933382</v>
      </c>
      <c r="T5160" s="9">
        <v>18.868116637328029</v>
      </c>
      <c r="U5160" s="9">
        <v>20.58817720770605</v>
      </c>
      <c r="V5160" s="9">
        <v>20.58817720770605</v>
      </c>
      <c r="W5160" s="9">
        <v>20.58817720770605</v>
      </c>
      <c r="X5160" s="9">
        <v>22.864259828555831</v>
      </c>
      <c r="Y5160" s="9">
        <v>22.864259828555831</v>
      </c>
      <c r="Z5160" s="9">
        <v>25.323053608820352</v>
      </c>
      <c r="AA5160" s="9">
        <v>25.323053608820352</v>
      </c>
      <c r="AB5160" s="9">
        <v>28.021815637038035</v>
      </c>
      <c r="AC5160" s="9">
        <v>28.021815637038035</v>
      </c>
      <c r="AD5160" s="9">
        <v>30.863654196486234</v>
      </c>
      <c r="AE5160" s="9">
        <v>33.866973124126531</v>
      </c>
      <c r="AF5160" s="9">
        <v>37.052606032896897</v>
      </c>
      <c r="AG5160" s="9">
        <v>37.052606032896897</v>
      </c>
      <c r="AH5160" s="9">
        <v>39.965079814445566</v>
      </c>
      <c r="AI5160" s="9">
        <v>42.780649023864797</v>
      </c>
      <c r="AJ5160" s="9">
        <v>3.0428788910505911</v>
      </c>
    </row>
    <row r="5161" spans="1:36" x14ac:dyDescent="0.25">
      <c r="A5161" t="s">
        <v>5411</v>
      </c>
      <c r="B5161" t="s">
        <v>16</v>
      </c>
      <c r="C5161" t="s">
        <v>17</v>
      </c>
      <c r="D5161">
        <v>88375000</v>
      </c>
      <c r="E5161">
        <v>88379999</v>
      </c>
      <c r="F5161" t="s">
        <v>4676</v>
      </c>
      <c r="G5161" t="str">
        <f t="shared" si="160"/>
        <v>SCI</v>
      </c>
      <c r="H5161" t="s">
        <v>4654</v>
      </c>
      <c r="I5161" t="s">
        <v>20</v>
      </c>
      <c r="J5161" t="s">
        <v>62</v>
      </c>
      <c r="K5161" s="6">
        <v>0.03</v>
      </c>
      <c r="L5161" s="7">
        <f t="shared" si="161"/>
        <v>2E-3</v>
      </c>
      <c r="M5161" s="7">
        <v>3.0000000000000001E-3</v>
      </c>
      <c r="N5161">
        <v>10</v>
      </c>
      <c r="O5161" s="8">
        <v>16.631361039134706</v>
      </c>
      <c r="P5161" s="9">
        <v>16.631361039134706</v>
      </c>
      <c r="Q5161" s="9">
        <v>16.631361039134706</v>
      </c>
      <c r="R5161" s="9">
        <v>17.060180136455905</v>
      </c>
      <c r="S5161" s="9">
        <v>18.024171003933382</v>
      </c>
      <c r="T5161" s="9">
        <v>18.868116637328029</v>
      </c>
      <c r="U5161" s="9">
        <v>20.58817720770605</v>
      </c>
      <c r="V5161" s="9">
        <v>20.58817720770605</v>
      </c>
      <c r="W5161" s="9">
        <v>20.58817720770605</v>
      </c>
      <c r="X5161" s="9">
        <v>22.864259828555831</v>
      </c>
      <c r="Y5161" s="9">
        <v>22.864259828555831</v>
      </c>
      <c r="Z5161" s="9">
        <v>25.323053608820352</v>
      </c>
      <c r="AA5161" s="9">
        <v>25.323053608820352</v>
      </c>
      <c r="AB5161" s="9">
        <v>28.021815637038035</v>
      </c>
      <c r="AC5161" s="9">
        <v>28.021815637038035</v>
      </c>
      <c r="AD5161" s="9">
        <v>30.863654196486234</v>
      </c>
      <c r="AE5161" s="9">
        <v>33.866973124126531</v>
      </c>
      <c r="AF5161" s="9">
        <v>37.052606032896897</v>
      </c>
      <c r="AG5161" s="9">
        <v>37.052606032896897</v>
      </c>
      <c r="AH5161" s="9">
        <v>39.965079814445566</v>
      </c>
      <c r="AI5161" s="9">
        <v>42.780649023864797</v>
      </c>
      <c r="AJ5161" s="9">
        <v>3.0428788910505911</v>
      </c>
    </row>
    <row r="5162" spans="1:36" x14ac:dyDescent="0.25">
      <c r="A5162" t="s">
        <v>5411</v>
      </c>
      <c r="B5162" t="s">
        <v>16</v>
      </c>
      <c r="C5162" t="s">
        <v>17</v>
      </c>
      <c r="D5162">
        <v>88380000</v>
      </c>
      <c r="E5162">
        <v>88384999</v>
      </c>
      <c r="F5162" t="s">
        <v>4677</v>
      </c>
      <c r="G5162" t="str">
        <f t="shared" si="160"/>
        <v>SCI II</v>
      </c>
      <c r="H5162" t="s">
        <v>4654</v>
      </c>
      <c r="I5162" t="s">
        <v>20</v>
      </c>
      <c r="J5162" t="s">
        <v>64</v>
      </c>
      <c r="K5162" s="6">
        <v>0.03</v>
      </c>
      <c r="L5162" s="7">
        <f t="shared" si="161"/>
        <v>2E-3</v>
      </c>
      <c r="M5162" s="7">
        <v>3.0000000000000001E-3</v>
      </c>
      <c r="N5162">
        <v>11</v>
      </c>
      <c r="O5162" s="8">
        <v>19.475693895950801</v>
      </c>
      <c r="P5162" s="9">
        <v>19.475693895950801</v>
      </c>
      <c r="Q5162" s="9">
        <v>19.475693895950801</v>
      </c>
      <c r="R5162" s="9">
        <v>20.024452706180426</v>
      </c>
      <c r="S5162" s="9">
        <v>20.875099128492941</v>
      </c>
      <c r="T5162" s="9">
        <v>21.733350185946453</v>
      </c>
      <c r="U5162" s="9">
        <v>23.861555618318132</v>
      </c>
      <c r="V5162" s="9">
        <v>23.861555618318132</v>
      </c>
      <c r="W5162" s="9">
        <v>23.861555618318132</v>
      </c>
      <c r="X5162" s="9">
        <v>26.599525609534091</v>
      </c>
      <c r="Y5162" s="9">
        <v>26.599525609534091</v>
      </c>
      <c r="Z5162" s="9">
        <v>29.424604823442099</v>
      </c>
      <c r="AA5162" s="9">
        <v>29.424604823442099</v>
      </c>
      <c r="AB5162" s="9">
        <v>32.345504182311352</v>
      </c>
      <c r="AC5162" s="9">
        <v>32.345504182311352</v>
      </c>
      <c r="AD5162" s="9">
        <v>37.073967958020759</v>
      </c>
      <c r="AE5162" s="9">
        <v>39.537280452065687</v>
      </c>
      <c r="AF5162" s="9">
        <v>42.115429646064094</v>
      </c>
      <c r="AG5162" s="9">
        <v>42.115429646064094</v>
      </c>
      <c r="AH5162" s="9">
        <v>45.566990204681431</v>
      </c>
      <c r="AI5162" s="9">
        <v>48.2081665036403</v>
      </c>
      <c r="AJ5162" s="9">
        <v>3.0428788910505911</v>
      </c>
    </row>
    <row r="5163" spans="1:36" x14ac:dyDescent="0.25">
      <c r="A5163" t="s">
        <v>5411</v>
      </c>
      <c r="B5163" t="s">
        <v>16</v>
      </c>
      <c r="C5163" t="s">
        <v>17</v>
      </c>
      <c r="D5163">
        <v>88385000</v>
      </c>
      <c r="E5163">
        <v>88389999</v>
      </c>
      <c r="F5163" t="s">
        <v>4678</v>
      </c>
      <c r="G5163" t="str">
        <f t="shared" si="160"/>
        <v>SCI</v>
      </c>
      <c r="H5163" t="s">
        <v>4654</v>
      </c>
      <c r="I5163" t="s">
        <v>20</v>
      </c>
      <c r="J5163" t="s">
        <v>62</v>
      </c>
      <c r="K5163" s="6">
        <v>0.03</v>
      </c>
      <c r="L5163" s="7">
        <f t="shared" si="161"/>
        <v>2E-3</v>
      </c>
      <c r="M5163" s="7">
        <v>3.0000000000000001E-3</v>
      </c>
      <c r="N5163">
        <v>9</v>
      </c>
      <c r="O5163" s="8">
        <v>16.631361039134706</v>
      </c>
      <c r="P5163" s="9">
        <v>16.631361039134706</v>
      </c>
      <c r="Q5163" s="9">
        <v>16.631361039134706</v>
      </c>
      <c r="R5163" s="9">
        <v>17.060180136455905</v>
      </c>
      <c r="S5163" s="9">
        <v>18.024171003933382</v>
      </c>
      <c r="T5163" s="9">
        <v>18.868116637328029</v>
      </c>
      <c r="U5163" s="9">
        <v>20.58817720770605</v>
      </c>
      <c r="V5163" s="9">
        <v>20.58817720770605</v>
      </c>
      <c r="W5163" s="9">
        <v>20.58817720770605</v>
      </c>
      <c r="X5163" s="9">
        <v>22.864259828555831</v>
      </c>
      <c r="Y5163" s="9">
        <v>22.864259828555831</v>
      </c>
      <c r="Z5163" s="9">
        <v>25.323053608820352</v>
      </c>
      <c r="AA5163" s="9">
        <v>25.323053608820352</v>
      </c>
      <c r="AB5163" s="9">
        <v>28.021815637038035</v>
      </c>
      <c r="AC5163" s="9">
        <v>28.021815637038035</v>
      </c>
      <c r="AD5163" s="9">
        <v>30.863654196486234</v>
      </c>
      <c r="AE5163" s="9">
        <v>33.866973124126531</v>
      </c>
      <c r="AF5163" s="9">
        <v>37.052606032896897</v>
      </c>
      <c r="AG5163" s="9">
        <v>37.052606032896897</v>
      </c>
      <c r="AH5163" s="9">
        <v>39.965079814445566</v>
      </c>
      <c r="AI5163" s="9">
        <v>42.780649023864797</v>
      </c>
      <c r="AJ5163" s="9">
        <v>3.0428788910505911</v>
      </c>
    </row>
    <row r="5164" spans="1:36" x14ac:dyDescent="0.25">
      <c r="A5164" t="s">
        <v>5411</v>
      </c>
      <c r="B5164" t="s">
        <v>16</v>
      </c>
      <c r="C5164" t="s">
        <v>17</v>
      </c>
      <c r="D5164">
        <v>88390000</v>
      </c>
      <c r="E5164">
        <v>88394999</v>
      </c>
      <c r="F5164" t="s">
        <v>4679</v>
      </c>
      <c r="G5164" t="str">
        <f t="shared" si="160"/>
        <v>SCI II</v>
      </c>
      <c r="H5164" t="s">
        <v>4654</v>
      </c>
      <c r="I5164" t="s">
        <v>20</v>
      </c>
      <c r="J5164" t="s">
        <v>64</v>
      </c>
      <c r="K5164" s="6">
        <v>0.03</v>
      </c>
      <c r="L5164" s="7">
        <f t="shared" si="161"/>
        <v>2E-3</v>
      </c>
      <c r="M5164" s="7">
        <v>3.0000000000000001E-3</v>
      </c>
      <c r="N5164">
        <v>10</v>
      </c>
      <c r="O5164" s="8">
        <v>19.475693895950801</v>
      </c>
      <c r="P5164" s="9">
        <v>19.475693895950801</v>
      </c>
      <c r="Q5164" s="9">
        <v>19.475693895950801</v>
      </c>
      <c r="R5164" s="9">
        <v>20.024452706180426</v>
      </c>
      <c r="S5164" s="9">
        <v>20.875099128492941</v>
      </c>
      <c r="T5164" s="9">
        <v>21.733350185946453</v>
      </c>
      <c r="U5164" s="9">
        <v>23.861555618318132</v>
      </c>
      <c r="V5164" s="9">
        <v>23.861555618318132</v>
      </c>
      <c r="W5164" s="9">
        <v>23.861555618318132</v>
      </c>
      <c r="X5164" s="9">
        <v>26.599525609534091</v>
      </c>
      <c r="Y5164" s="9">
        <v>26.599525609534091</v>
      </c>
      <c r="Z5164" s="9">
        <v>29.424604823442099</v>
      </c>
      <c r="AA5164" s="9">
        <v>29.424604823442099</v>
      </c>
      <c r="AB5164" s="9">
        <v>32.345504182311352</v>
      </c>
      <c r="AC5164" s="9">
        <v>32.345504182311352</v>
      </c>
      <c r="AD5164" s="9">
        <v>37.073967958020759</v>
      </c>
      <c r="AE5164" s="9">
        <v>39.537280452065687</v>
      </c>
      <c r="AF5164" s="9">
        <v>42.115429646064094</v>
      </c>
      <c r="AG5164" s="9">
        <v>42.115429646064094</v>
      </c>
      <c r="AH5164" s="9">
        <v>45.566990204681431</v>
      </c>
      <c r="AI5164" s="9">
        <v>48.2081665036403</v>
      </c>
      <c r="AJ5164" s="9">
        <v>3.0428788910505911</v>
      </c>
    </row>
    <row r="5165" spans="1:36" x14ac:dyDescent="0.25">
      <c r="A5165" t="s">
        <v>5411</v>
      </c>
      <c r="B5165" t="s">
        <v>16</v>
      </c>
      <c r="C5165" t="s">
        <v>17</v>
      </c>
      <c r="D5165">
        <v>88395000</v>
      </c>
      <c r="E5165">
        <v>88399999</v>
      </c>
      <c r="F5165" t="s">
        <v>4680</v>
      </c>
      <c r="G5165" t="str">
        <f t="shared" si="160"/>
        <v>SCI II</v>
      </c>
      <c r="H5165" t="s">
        <v>4654</v>
      </c>
      <c r="I5165" t="s">
        <v>20</v>
      </c>
      <c r="J5165" t="s">
        <v>64</v>
      </c>
      <c r="K5165" s="6">
        <v>0.03</v>
      </c>
      <c r="L5165" s="7">
        <f t="shared" si="161"/>
        <v>2E-3</v>
      </c>
      <c r="M5165" s="7">
        <v>3.0000000000000001E-3</v>
      </c>
      <c r="N5165">
        <v>11</v>
      </c>
      <c r="O5165" s="8">
        <v>19.475693895950801</v>
      </c>
      <c r="P5165" s="9">
        <v>19.475693895950801</v>
      </c>
      <c r="Q5165" s="9">
        <v>19.475693895950801</v>
      </c>
      <c r="R5165" s="9">
        <v>20.024452706180426</v>
      </c>
      <c r="S5165" s="9">
        <v>20.875099128492941</v>
      </c>
      <c r="T5165" s="9">
        <v>21.733350185946453</v>
      </c>
      <c r="U5165" s="9">
        <v>23.861555618318132</v>
      </c>
      <c r="V5165" s="9">
        <v>23.861555618318132</v>
      </c>
      <c r="W5165" s="9">
        <v>23.861555618318132</v>
      </c>
      <c r="X5165" s="9">
        <v>26.599525609534091</v>
      </c>
      <c r="Y5165" s="9">
        <v>26.599525609534091</v>
      </c>
      <c r="Z5165" s="9">
        <v>29.424604823442099</v>
      </c>
      <c r="AA5165" s="9">
        <v>29.424604823442099</v>
      </c>
      <c r="AB5165" s="9">
        <v>32.345504182311352</v>
      </c>
      <c r="AC5165" s="9">
        <v>32.345504182311352</v>
      </c>
      <c r="AD5165" s="9">
        <v>37.073967958020759</v>
      </c>
      <c r="AE5165" s="9">
        <v>39.537280452065687</v>
      </c>
      <c r="AF5165" s="9">
        <v>42.115429646064094</v>
      </c>
      <c r="AG5165" s="9">
        <v>42.115429646064094</v>
      </c>
      <c r="AH5165" s="9">
        <v>45.566990204681431</v>
      </c>
      <c r="AI5165" s="9">
        <v>48.2081665036403</v>
      </c>
      <c r="AJ5165" s="9">
        <v>3.0428788910505911</v>
      </c>
    </row>
    <row r="5166" spans="1:36" x14ac:dyDescent="0.25">
      <c r="A5166" t="s">
        <v>5411</v>
      </c>
      <c r="B5166" t="s">
        <v>16</v>
      </c>
      <c r="C5166" t="s">
        <v>17</v>
      </c>
      <c r="D5166">
        <v>88400000</v>
      </c>
      <c r="E5166">
        <v>88406999</v>
      </c>
      <c r="F5166" t="s">
        <v>4681</v>
      </c>
      <c r="G5166" t="str">
        <f t="shared" si="160"/>
        <v>SCI II</v>
      </c>
      <c r="H5166" t="s">
        <v>4654</v>
      </c>
      <c r="I5166" t="s">
        <v>20</v>
      </c>
      <c r="J5166" t="s">
        <v>64</v>
      </c>
      <c r="K5166" s="6">
        <v>0.03</v>
      </c>
      <c r="L5166" s="7">
        <f t="shared" si="161"/>
        <v>2E-3</v>
      </c>
      <c r="M5166" s="7">
        <v>3.0000000000000001E-3</v>
      </c>
      <c r="N5166">
        <v>10</v>
      </c>
      <c r="O5166" s="8">
        <v>19.475693895950801</v>
      </c>
      <c r="P5166" s="9">
        <v>19.475693895950801</v>
      </c>
      <c r="Q5166" s="9">
        <v>19.475693895950801</v>
      </c>
      <c r="R5166" s="9">
        <v>20.024452706180426</v>
      </c>
      <c r="S5166" s="9">
        <v>20.875099128492941</v>
      </c>
      <c r="T5166" s="9">
        <v>21.733350185946453</v>
      </c>
      <c r="U5166" s="9">
        <v>23.861555618318132</v>
      </c>
      <c r="V5166" s="9">
        <v>23.861555618318132</v>
      </c>
      <c r="W5166" s="9">
        <v>23.861555618318132</v>
      </c>
      <c r="X5166" s="9">
        <v>26.599525609534091</v>
      </c>
      <c r="Y5166" s="9">
        <v>26.599525609534091</v>
      </c>
      <c r="Z5166" s="9">
        <v>29.424604823442099</v>
      </c>
      <c r="AA5166" s="9">
        <v>29.424604823442099</v>
      </c>
      <c r="AB5166" s="9">
        <v>32.345504182311352</v>
      </c>
      <c r="AC5166" s="9">
        <v>32.345504182311352</v>
      </c>
      <c r="AD5166" s="9">
        <v>37.073967958020759</v>
      </c>
      <c r="AE5166" s="9">
        <v>39.537280452065687</v>
      </c>
      <c r="AF5166" s="9">
        <v>42.115429646064094</v>
      </c>
      <c r="AG5166" s="9">
        <v>42.115429646064094</v>
      </c>
      <c r="AH5166" s="9">
        <v>45.566990204681431</v>
      </c>
      <c r="AI5166" s="9">
        <v>48.2081665036403</v>
      </c>
      <c r="AJ5166" s="9">
        <v>3.0428788910505911</v>
      </c>
    </row>
    <row r="5167" spans="1:36" x14ac:dyDescent="0.25">
      <c r="A5167" t="s">
        <v>5411</v>
      </c>
      <c r="B5167" t="s">
        <v>16</v>
      </c>
      <c r="C5167" t="s">
        <v>17</v>
      </c>
      <c r="D5167">
        <v>88407000</v>
      </c>
      <c r="E5167">
        <v>88409999</v>
      </c>
      <c r="F5167" t="s">
        <v>4682</v>
      </c>
      <c r="G5167" t="str">
        <f t="shared" si="160"/>
        <v>SCI II</v>
      </c>
      <c r="H5167" t="s">
        <v>4654</v>
      </c>
      <c r="I5167" t="s">
        <v>20</v>
      </c>
      <c r="J5167" t="s">
        <v>64</v>
      </c>
      <c r="K5167" s="6">
        <v>0.03</v>
      </c>
      <c r="L5167" s="7">
        <f t="shared" si="161"/>
        <v>2E-3</v>
      </c>
      <c r="M5167" s="7">
        <v>3.0000000000000001E-3</v>
      </c>
      <c r="N5167">
        <v>11</v>
      </c>
      <c r="O5167" s="8">
        <v>19.475693895950801</v>
      </c>
      <c r="P5167" s="9">
        <v>19.475693895950801</v>
      </c>
      <c r="Q5167" s="9">
        <v>19.475693895950801</v>
      </c>
      <c r="R5167" s="9">
        <v>20.024452706180426</v>
      </c>
      <c r="S5167" s="9">
        <v>20.875099128492941</v>
      </c>
      <c r="T5167" s="9">
        <v>21.733350185946453</v>
      </c>
      <c r="U5167" s="9">
        <v>23.861555618318132</v>
      </c>
      <c r="V5167" s="9">
        <v>23.861555618318132</v>
      </c>
      <c r="W5167" s="9">
        <v>23.861555618318132</v>
      </c>
      <c r="X5167" s="9">
        <v>26.599525609534091</v>
      </c>
      <c r="Y5167" s="9">
        <v>26.599525609534091</v>
      </c>
      <c r="Z5167" s="9">
        <v>29.424604823442099</v>
      </c>
      <c r="AA5167" s="9">
        <v>29.424604823442099</v>
      </c>
      <c r="AB5167" s="9">
        <v>32.345504182311352</v>
      </c>
      <c r="AC5167" s="9">
        <v>32.345504182311352</v>
      </c>
      <c r="AD5167" s="9">
        <v>37.073967958020759</v>
      </c>
      <c r="AE5167" s="9">
        <v>39.537280452065687</v>
      </c>
      <c r="AF5167" s="9">
        <v>42.115429646064094</v>
      </c>
      <c r="AG5167" s="9">
        <v>42.115429646064094</v>
      </c>
      <c r="AH5167" s="9">
        <v>45.566990204681431</v>
      </c>
      <c r="AI5167" s="9">
        <v>48.2081665036403</v>
      </c>
      <c r="AJ5167" s="9">
        <v>3.0428788910505911</v>
      </c>
    </row>
    <row r="5168" spans="1:36" x14ac:dyDescent="0.25">
      <c r="A5168" t="s">
        <v>5411</v>
      </c>
      <c r="B5168" t="s">
        <v>16</v>
      </c>
      <c r="C5168" t="s">
        <v>17</v>
      </c>
      <c r="D5168">
        <v>88410000</v>
      </c>
      <c r="E5168">
        <v>88419999</v>
      </c>
      <c r="F5168" t="s">
        <v>4683</v>
      </c>
      <c r="G5168" t="str">
        <f t="shared" si="160"/>
        <v>SCI II</v>
      </c>
      <c r="H5168" t="s">
        <v>4654</v>
      </c>
      <c r="I5168" t="s">
        <v>20</v>
      </c>
      <c r="J5168" t="s">
        <v>64</v>
      </c>
      <c r="K5168" s="6">
        <v>0.03</v>
      </c>
      <c r="L5168" s="7">
        <f t="shared" si="161"/>
        <v>2E-3</v>
      </c>
      <c r="M5168" s="7">
        <v>3.0000000000000001E-3</v>
      </c>
      <c r="N5168">
        <v>10</v>
      </c>
      <c r="O5168" s="8">
        <v>19.475693895950801</v>
      </c>
      <c r="P5168" s="9">
        <v>19.475693895950801</v>
      </c>
      <c r="Q5168" s="9">
        <v>19.475693895950801</v>
      </c>
      <c r="R5168" s="9">
        <v>20.024452706180426</v>
      </c>
      <c r="S5168" s="9">
        <v>20.875099128492941</v>
      </c>
      <c r="T5168" s="9">
        <v>21.733350185946453</v>
      </c>
      <c r="U5168" s="9">
        <v>23.861555618318132</v>
      </c>
      <c r="V5168" s="9">
        <v>23.861555618318132</v>
      </c>
      <c r="W5168" s="9">
        <v>23.861555618318132</v>
      </c>
      <c r="X5168" s="9">
        <v>26.599525609534091</v>
      </c>
      <c r="Y5168" s="9">
        <v>26.599525609534091</v>
      </c>
      <c r="Z5168" s="9">
        <v>29.424604823442099</v>
      </c>
      <c r="AA5168" s="9">
        <v>29.424604823442099</v>
      </c>
      <c r="AB5168" s="9">
        <v>32.345504182311352</v>
      </c>
      <c r="AC5168" s="9">
        <v>32.345504182311352</v>
      </c>
      <c r="AD5168" s="9">
        <v>37.073967958020759</v>
      </c>
      <c r="AE5168" s="9">
        <v>39.537280452065687</v>
      </c>
      <c r="AF5168" s="9">
        <v>42.115429646064094</v>
      </c>
      <c r="AG5168" s="9">
        <v>42.115429646064094</v>
      </c>
      <c r="AH5168" s="9">
        <v>45.566990204681431</v>
      </c>
      <c r="AI5168" s="9">
        <v>48.2081665036403</v>
      </c>
      <c r="AJ5168" s="9">
        <v>3.0428788910505911</v>
      </c>
    </row>
    <row r="5169" spans="1:36" x14ac:dyDescent="0.25">
      <c r="A5169" t="s">
        <v>5411</v>
      </c>
      <c r="B5169" t="s">
        <v>16</v>
      </c>
      <c r="C5169" t="s">
        <v>17</v>
      </c>
      <c r="D5169">
        <v>88420000</v>
      </c>
      <c r="E5169">
        <v>88429999</v>
      </c>
      <c r="F5169" t="s">
        <v>4684</v>
      </c>
      <c r="G5169" t="str">
        <f t="shared" si="160"/>
        <v>SCI II</v>
      </c>
      <c r="H5169" t="s">
        <v>4654</v>
      </c>
      <c r="I5169" t="s">
        <v>20</v>
      </c>
      <c r="J5169" t="s">
        <v>64</v>
      </c>
      <c r="K5169" s="6">
        <v>0.03</v>
      </c>
      <c r="L5169" s="7">
        <f t="shared" si="161"/>
        <v>2E-3</v>
      </c>
      <c r="M5169" s="7">
        <v>3.0000000000000001E-3</v>
      </c>
      <c r="N5169">
        <v>11</v>
      </c>
      <c r="O5169" s="8">
        <v>19.475693895950801</v>
      </c>
      <c r="P5169" s="9">
        <v>19.475693895950801</v>
      </c>
      <c r="Q5169" s="9">
        <v>19.475693895950801</v>
      </c>
      <c r="R5169" s="9">
        <v>20.024452706180426</v>
      </c>
      <c r="S5169" s="9">
        <v>20.875099128492941</v>
      </c>
      <c r="T5169" s="9">
        <v>21.733350185946453</v>
      </c>
      <c r="U5169" s="9">
        <v>23.861555618318132</v>
      </c>
      <c r="V5169" s="9">
        <v>23.861555618318132</v>
      </c>
      <c r="W5169" s="9">
        <v>23.861555618318132</v>
      </c>
      <c r="X5169" s="9">
        <v>26.599525609534091</v>
      </c>
      <c r="Y5169" s="9">
        <v>26.599525609534091</v>
      </c>
      <c r="Z5169" s="9">
        <v>29.424604823442099</v>
      </c>
      <c r="AA5169" s="9">
        <v>29.424604823442099</v>
      </c>
      <c r="AB5169" s="9">
        <v>32.345504182311352</v>
      </c>
      <c r="AC5169" s="9">
        <v>32.345504182311352</v>
      </c>
      <c r="AD5169" s="9">
        <v>37.073967958020759</v>
      </c>
      <c r="AE5169" s="9">
        <v>39.537280452065687</v>
      </c>
      <c r="AF5169" s="9">
        <v>42.115429646064094</v>
      </c>
      <c r="AG5169" s="9">
        <v>42.115429646064094</v>
      </c>
      <c r="AH5169" s="9">
        <v>45.566990204681431</v>
      </c>
      <c r="AI5169" s="9">
        <v>48.2081665036403</v>
      </c>
      <c r="AJ5169" s="9">
        <v>3.0428788910505911</v>
      </c>
    </row>
    <row r="5170" spans="1:36" x14ac:dyDescent="0.25">
      <c r="A5170" t="s">
        <v>5411</v>
      </c>
      <c r="B5170" t="s">
        <v>16</v>
      </c>
      <c r="C5170" t="s">
        <v>17</v>
      </c>
      <c r="D5170">
        <v>88430000</v>
      </c>
      <c r="E5170">
        <v>88439999</v>
      </c>
      <c r="F5170" t="s">
        <v>2341</v>
      </c>
      <c r="G5170" t="str">
        <f t="shared" si="160"/>
        <v>SCI II</v>
      </c>
      <c r="H5170" t="s">
        <v>4654</v>
      </c>
      <c r="I5170" t="s">
        <v>20</v>
      </c>
      <c r="J5170" t="s">
        <v>64</v>
      </c>
      <c r="K5170" s="6">
        <v>0.03</v>
      </c>
      <c r="L5170" s="7">
        <f t="shared" si="161"/>
        <v>2E-3</v>
      </c>
      <c r="M5170" s="7">
        <v>3.0000000000000001E-3</v>
      </c>
      <c r="N5170">
        <v>10</v>
      </c>
      <c r="O5170" s="8">
        <v>19.475693895950801</v>
      </c>
      <c r="P5170" s="9">
        <v>19.475693895950801</v>
      </c>
      <c r="Q5170" s="9">
        <v>19.475693895950801</v>
      </c>
      <c r="R5170" s="9">
        <v>20.024452706180426</v>
      </c>
      <c r="S5170" s="9">
        <v>20.875099128492941</v>
      </c>
      <c r="T5170" s="9">
        <v>21.733350185946453</v>
      </c>
      <c r="U5170" s="9">
        <v>23.861555618318132</v>
      </c>
      <c r="V5170" s="9">
        <v>23.861555618318132</v>
      </c>
      <c r="W5170" s="9">
        <v>23.861555618318132</v>
      </c>
      <c r="X5170" s="9">
        <v>26.599525609534091</v>
      </c>
      <c r="Y5170" s="9">
        <v>26.599525609534091</v>
      </c>
      <c r="Z5170" s="9">
        <v>29.424604823442099</v>
      </c>
      <c r="AA5170" s="9">
        <v>29.424604823442099</v>
      </c>
      <c r="AB5170" s="9">
        <v>32.345504182311352</v>
      </c>
      <c r="AC5170" s="9">
        <v>32.345504182311352</v>
      </c>
      <c r="AD5170" s="9">
        <v>37.073967958020759</v>
      </c>
      <c r="AE5170" s="9">
        <v>39.537280452065687</v>
      </c>
      <c r="AF5170" s="9">
        <v>42.115429646064094</v>
      </c>
      <c r="AG5170" s="9">
        <v>42.115429646064094</v>
      </c>
      <c r="AH5170" s="9">
        <v>45.566990204681431</v>
      </c>
      <c r="AI5170" s="9">
        <v>48.2081665036403</v>
      </c>
      <c r="AJ5170" s="9">
        <v>3.0428788910505911</v>
      </c>
    </row>
    <row r="5171" spans="1:36" x14ac:dyDescent="0.25">
      <c r="A5171" t="s">
        <v>5411</v>
      </c>
      <c r="B5171" t="s">
        <v>16</v>
      </c>
      <c r="C5171" t="s">
        <v>17</v>
      </c>
      <c r="D5171">
        <v>88440000</v>
      </c>
      <c r="E5171">
        <v>88442999</v>
      </c>
      <c r="F5171" t="s">
        <v>4685</v>
      </c>
      <c r="G5171" t="str">
        <f t="shared" si="160"/>
        <v>SCI II</v>
      </c>
      <c r="H5171" t="s">
        <v>4654</v>
      </c>
      <c r="I5171" t="s">
        <v>20</v>
      </c>
      <c r="J5171" t="s">
        <v>64</v>
      </c>
      <c r="K5171" s="6">
        <v>0.03</v>
      </c>
      <c r="L5171" s="7">
        <f t="shared" si="161"/>
        <v>2E-3</v>
      </c>
      <c r="M5171" s="7">
        <v>3.0000000000000001E-3</v>
      </c>
      <c r="N5171">
        <v>10</v>
      </c>
      <c r="O5171" s="8">
        <v>19.475693895950801</v>
      </c>
      <c r="P5171" s="9">
        <v>19.475693895950801</v>
      </c>
      <c r="Q5171" s="9">
        <v>19.475693895950801</v>
      </c>
      <c r="R5171" s="9">
        <v>20.024452706180426</v>
      </c>
      <c r="S5171" s="9">
        <v>20.875099128492941</v>
      </c>
      <c r="T5171" s="9">
        <v>21.733350185946453</v>
      </c>
      <c r="U5171" s="9">
        <v>23.861555618318132</v>
      </c>
      <c r="V5171" s="9">
        <v>23.861555618318132</v>
      </c>
      <c r="W5171" s="9">
        <v>23.861555618318132</v>
      </c>
      <c r="X5171" s="9">
        <v>26.599525609534091</v>
      </c>
      <c r="Y5171" s="9">
        <v>26.599525609534091</v>
      </c>
      <c r="Z5171" s="9">
        <v>29.424604823442099</v>
      </c>
      <c r="AA5171" s="9">
        <v>29.424604823442099</v>
      </c>
      <c r="AB5171" s="9">
        <v>32.345504182311352</v>
      </c>
      <c r="AC5171" s="9">
        <v>32.345504182311352</v>
      </c>
      <c r="AD5171" s="9">
        <v>37.073967958020759</v>
      </c>
      <c r="AE5171" s="9">
        <v>39.537280452065687</v>
      </c>
      <c r="AF5171" s="9">
        <v>42.115429646064094</v>
      </c>
      <c r="AG5171" s="9">
        <v>42.115429646064094</v>
      </c>
      <c r="AH5171" s="9">
        <v>45.566990204681431</v>
      </c>
      <c r="AI5171" s="9">
        <v>48.2081665036403</v>
      </c>
      <c r="AJ5171" s="9">
        <v>3.0428788910505911</v>
      </c>
    </row>
    <row r="5172" spans="1:36" x14ac:dyDescent="0.25">
      <c r="A5172" t="s">
        <v>5411</v>
      </c>
      <c r="B5172" t="s">
        <v>16</v>
      </c>
      <c r="C5172" t="s">
        <v>17</v>
      </c>
      <c r="D5172">
        <v>88443000</v>
      </c>
      <c r="E5172">
        <v>88444999</v>
      </c>
      <c r="F5172" t="s">
        <v>4686</v>
      </c>
      <c r="G5172" t="str">
        <f t="shared" si="160"/>
        <v>SCI II</v>
      </c>
      <c r="H5172" t="s">
        <v>4654</v>
      </c>
      <c r="I5172" t="s">
        <v>20</v>
      </c>
      <c r="J5172" t="s">
        <v>64</v>
      </c>
      <c r="K5172" s="6">
        <v>0.03</v>
      </c>
      <c r="L5172" s="7">
        <f t="shared" si="161"/>
        <v>2E-3</v>
      </c>
      <c r="M5172" s="7">
        <v>3.0000000000000001E-3</v>
      </c>
      <c r="N5172">
        <v>11</v>
      </c>
      <c r="O5172" s="8">
        <v>19.475693895950801</v>
      </c>
      <c r="P5172" s="9">
        <v>19.475693895950801</v>
      </c>
      <c r="Q5172" s="9">
        <v>19.475693895950801</v>
      </c>
      <c r="R5172" s="9">
        <v>20.024452706180426</v>
      </c>
      <c r="S5172" s="9">
        <v>20.875099128492941</v>
      </c>
      <c r="T5172" s="9">
        <v>21.733350185946453</v>
      </c>
      <c r="U5172" s="9">
        <v>23.861555618318132</v>
      </c>
      <c r="V5172" s="9">
        <v>23.861555618318132</v>
      </c>
      <c r="W5172" s="9">
        <v>23.861555618318132</v>
      </c>
      <c r="X5172" s="9">
        <v>26.599525609534091</v>
      </c>
      <c r="Y5172" s="9">
        <v>26.599525609534091</v>
      </c>
      <c r="Z5172" s="9">
        <v>29.424604823442099</v>
      </c>
      <c r="AA5172" s="9">
        <v>29.424604823442099</v>
      </c>
      <c r="AB5172" s="9">
        <v>32.345504182311352</v>
      </c>
      <c r="AC5172" s="9">
        <v>32.345504182311352</v>
      </c>
      <c r="AD5172" s="9">
        <v>37.073967958020759</v>
      </c>
      <c r="AE5172" s="9">
        <v>39.537280452065687</v>
      </c>
      <c r="AF5172" s="9">
        <v>42.115429646064094</v>
      </c>
      <c r="AG5172" s="9">
        <v>42.115429646064094</v>
      </c>
      <c r="AH5172" s="9">
        <v>45.566990204681431</v>
      </c>
      <c r="AI5172" s="9">
        <v>48.2081665036403</v>
      </c>
      <c r="AJ5172" s="9">
        <v>3.0428788910505911</v>
      </c>
    </row>
    <row r="5173" spans="1:36" x14ac:dyDescent="0.25">
      <c r="A5173" t="s">
        <v>5411</v>
      </c>
      <c r="B5173" t="s">
        <v>16</v>
      </c>
      <c r="C5173" t="s">
        <v>17</v>
      </c>
      <c r="D5173">
        <v>88445000</v>
      </c>
      <c r="E5173">
        <v>88449999</v>
      </c>
      <c r="F5173" t="s">
        <v>4687</v>
      </c>
      <c r="G5173" t="str">
        <f t="shared" si="160"/>
        <v>SCI II</v>
      </c>
      <c r="H5173" t="s">
        <v>4654</v>
      </c>
      <c r="I5173" t="s">
        <v>20</v>
      </c>
      <c r="J5173" t="s">
        <v>64</v>
      </c>
      <c r="K5173" s="6">
        <v>0.03</v>
      </c>
      <c r="L5173" s="7">
        <f t="shared" si="161"/>
        <v>2E-3</v>
      </c>
      <c r="M5173" s="7">
        <v>3.0000000000000001E-3</v>
      </c>
      <c r="N5173">
        <v>10</v>
      </c>
      <c r="O5173" s="8">
        <v>19.475693895950801</v>
      </c>
      <c r="P5173" s="9">
        <v>19.475693895950801</v>
      </c>
      <c r="Q5173" s="9">
        <v>19.475693895950801</v>
      </c>
      <c r="R5173" s="9">
        <v>20.024452706180426</v>
      </c>
      <c r="S5173" s="9">
        <v>20.875099128492941</v>
      </c>
      <c r="T5173" s="9">
        <v>21.733350185946453</v>
      </c>
      <c r="U5173" s="9">
        <v>23.861555618318132</v>
      </c>
      <c r="V5173" s="9">
        <v>23.861555618318132</v>
      </c>
      <c r="W5173" s="9">
        <v>23.861555618318132</v>
      </c>
      <c r="X5173" s="9">
        <v>26.599525609534091</v>
      </c>
      <c r="Y5173" s="9">
        <v>26.599525609534091</v>
      </c>
      <c r="Z5173" s="9">
        <v>29.424604823442099</v>
      </c>
      <c r="AA5173" s="9">
        <v>29.424604823442099</v>
      </c>
      <c r="AB5173" s="9">
        <v>32.345504182311352</v>
      </c>
      <c r="AC5173" s="9">
        <v>32.345504182311352</v>
      </c>
      <c r="AD5173" s="9">
        <v>37.073967958020759</v>
      </c>
      <c r="AE5173" s="9">
        <v>39.537280452065687</v>
      </c>
      <c r="AF5173" s="9">
        <v>42.115429646064094</v>
      </c>
      <c r="AG5173" s="9">
        <v>42.115429646064094</v>
      </c>
      <c r="AH5173" s="9">
        <v>45.566990204681431</v>
      </c>
      <c r="AI5173" s="9">
        <v>48.2081665036403</v>
      </c>
      <c r="AJ5173" s="9">
        <v>3.0428788910505911</v>
      </c>
    </row>
    <row r="5174" spans="1:36" x14ac:dyDescent="0.25">
      <c r="A5174" t="s">
        <v>5411</v>
      </c>
      <c r="B5174" t="s">
        <v>16</v>
      </c>
      <c r="C5174" t="s">
        <v>17</v>
      </c>
      <c r="D5174">
        <v>88450000</v>
      </c>
      <c r="E5174">
        <v>88459999</v>
      </c>
      <c r="F5174" t="s">
        <v>4688</v>
      </c>
      <c r="G5174" t="str">
        <f t="shared" si="160"/>
        <v>SCI II</v>
      </c>
      <c r="H5174" t="s">
        <v>4654</v>
      </c>
      <c r="I5174" t="s">
        <v>20</v>
      </c>
      <c r="J5174" t="s">
        <v>64</v>
      </c>
      <c r="K5174" s="6">
        <v>0.03</v>
      </c>
      <c r="L5174" s="7">
        <f t="shared" si="161"/>
        <v>2E-3</v>
      </c>
      <c r="M5174" s="7">
        <v>3.0000000000000001E-3</v>
      </c>
      <c r="N5174">
        <v>10</v>
      </c>
      <c r="O5174" s="8">
        <v>19.475693895950801</v>
      </c>
      <c r="P5174" s="9">
        <v>19.475693895950801</v>
      </c>
      <c r="Q5174" s="9">
        <v>19.475693895950801</v>
      </c>
      <c r="R5174" s="9">
        <v>20.024452706180426</v>
      </c>
      <c r="S5174" s="9">
        <v>20.875099128492941</v>
      </c>
      <c r="T5174" s="9">
        <v>21.733350185946453</v>
      </c>
      <c r="U5174" s="9">
        <v>23.861555618318132</v>
      </c>
      <c r="V5174" s="9">
        <v>23.861555618318132</v>
      </c>
      <c r="W5174" s="9">
        <v>23.861555618318132</v>
      </c>
      <c r="X5174" s="9">
        <v>26.599525609534091</v>
      </c>
      <c r="Y5174" s="9">
        <v>26.599525609534091</v>
      </c>
      <c r="Z5174" s="9">
        <v>29.424604823442099</v>
      </c>
      <c r="AA5174" s="9">
        <v>29.424604823442099</v>
      </c>
      <c r="AB5174" s="9">
        <v>32.345504182311352</v>
      </c>
      <c r="AC5174" s="9">
        <v>32.345504182311352</v>
      </c>
      <c r="AD5174" s="9">
        <v>37.073967958020759</v>
      </c>
      <c r="AE5174" s="9">
        <v>39.537280452065687</v>
      </c>
      <c r="AF5174" s="9">
        <v>42.115429646064094</v>
      </c>
      <c r="AG5174" s="9">
        <v>42.115429646064094</v>
      </c>
      <c r="AH5174" s="9">
        <v>45.566990204681431</v>
      </c>
      <c r="AI5174" s="9">
        <v>48.2081665036403</v>
      </c>
      <c r="AJ5174" s="9">
        <v>3.0428788910505911</v>
      </c>
    </row>
    <row r="5175" spans="1:36" x14ac:dyDescent="0.25">
      <c r="A5175" t="s">
        <v>5411</v>
      </c>
      <c r="B5175" t="s">
        <v>16</v>
      </c>
      <c r="C5175" t="s">
        <v>17</v>
      </c>
      <c r="D5175">
        <v>88460000</v>
      </c>
      <c r="E5175">
        <v>88469999</v>
      </c>
      <c r="F5175" t="s">
        <v>4689</v>
      </c>
      <c r="G5175" t="str">
        <f t="shared" si="160"/>
        <v>SCI II</v>
      </c>
      <c r="H5175" t="s">
        <v>4654</v>
      </c>
      <c r="I5175" t="s">
        <v>20</v>
      </c>
      <c r="J5175" t="s">
        <v>64</v>
      </c>
      <c r="K5175" s="6">
        <v>0.03</v>
      </c>
      <c r="L5175" s="7">
        <f t="shared" si="161"/>
        <v>2E-3</v>
      </c>
      <c r="M5175" s="7">
        <v>3.0000000000000001E-3</v>
      </c>
      <c r="N5175">
        <v>11</v>
      </c>
      <c r="O5175" s="8">
        <v>19.475693895950801</v>
      </c>
      <c r="P5175" s="9">
        <v>19.475693895950801</v>
      </c>
      <c r="Q5175" s="9">
        <v>19.475693895950801</v>
      </c>
      <c r="R5175" s="9">
        <v>20.024452706180426</v>
      </c>
      <c r="S5175" s="9">
        <v>20.875099128492941</v>
      </c>
      <c r="T5175" s="9">
        <v>21.733350185946453</v>
      </c>
      <c r="U5175" s="9">
        <v>23.861555618318132</v>
      </c>
      <c r="V5175" s="9">
        <v>23.861555618318132</v>
      </c>
      <c r="W5175" s="9">
        <v>23.861555618318132</v>
      </c>
      <c r="X5175" s="9">
        <v>26.599525609534091</v>
      </c>
      <c r="Y5175" s="9">
        <v>26.599525609534091</v>
      </c>
      <c r="Z5175" s="9">
        <v>29.424604823442099</v>
      </c>
      <c r="AA5175" s="9">
        <v>29.424604823442099</v>
      </c>
      <c r="AB5175" s="9">
        <v>32.345504182311352</v>
      </c>
      <c r="AC5175" s="9">
        <v>32.345504182311352</v>
      </c>
      <c r="AD5175" s="9">
        <v>37.073967958020759</v>
      </c>
      <c r="AE5175" s="9">
        <v>39.537280452065687</v>
      </c>
      <c r="AF5175" s="9">
        <v>42.115429646064094</v>
      </c>
      <c r="AG5175" s="9">
        <v>42.115429646064094</v>
      </c>
      <c r="AH5175" s="9">
        <v>45.566990204681431</v>
      </c>
      <c r="AI5175" s="9">
        <v>48.2081665036403</v>
      </c>
      <c r="AJ5175" s="9">
        <v>3.0428788910505911</v>
      </c>
    </row>
    <row r="5176" spans="1:36" x14ac:dyDescent="0.25">
      <c r="A5176" t="s">
        <v>5411</v>
      </c>
      <c r="B5176" t="s">
        <v>16</v>
      </c>
      <c r="C5176" t="s">
        <v>17</v>
      </c>
      <c r="D5176">
        <v>88470000</v>
      </c>
      <c r="E5176">
        <v>88474999</v>
      </c>
      <c r="F5176" t="s">
        <v>4690</v>
      </c>
      <c r="G5176" t="str">
        <f t="shared" si="160"/>
        <v>SCI II</v>
      </c>
      <c r="H5176" t="s">
        <v>4654</v>
      </c>
      <c r="I5176" t="s">
        <v>20</v>
      </c>
      <c r="J5176" t="s">
        <v>64</v>
      </c>
      <c r="K5176" s="6">
        <v>0.03</v>
      </c>
      <c r="L5176" s="7">
        <f t="shared" si="161"/>
        <v>2E-3</v>
      </c>
      <c r="M5176" s="7">
        <v>3.0000000000000001E-3</v>
      </c>
      <c r="N5176">
        <v>11</v>
      </c>
      <c r="O5176" s="8">
        <v>19.475693895950801</v>
      </c>
      <c r="P5176" s="9">
        <v>19.475693895950801</v>
      </c>
      <c r="Q5176" s="9">
        <v>19.475693895950801</v>
      </c>
      <c r="R5176" s="9">
        <v>20.024452706180426</v>
      </c>
      <c r="S5176" s="9">
        <v>20.875099128492941</v>
      </c>
      <c r="T5176" s="9">
        <v>21.733350185946453</v>
      </c>
      <c r="U5176" s="9">
        <v>23.861555618318132</v>
      </c>
      <c r="V5176" s="9">
        <v>23.861555618318132</v>
      </c>
      <c r="W5176" s="9">
        <v>23.861555618318132</v>
      </c>
      <c r="X5176" s="9">
        <v>26.599525609534091</v>
      </c>
      <c r="Y5176" s="9">
        <v>26.599525609534091</v>
      </c>
      <c r="Z5176" s="9">
        <v>29.424604823442099</v>
      </c>
      <c r="AA5176" s="9">
        <v>29.424604823442099</v>
      </c>
      <c r="AB5176" s="9">
        <v>32.345504182311352</v>
      </c>
      <c r="AC5176" s="9">
        <v>32.345504182311352</v>
      </c>
      <c r="AD5176" s="9">
        <v>37.073967958020759</v>
      </c>
      <c r="AE5176" s="9">
        <v>39.537280452065687</v>
      </c>
      <c r="AF5176" s="9">
        <v>42.115429646064094</v>
      </c>
      <c r="AG5176" s="9">
        <v>42.115429646064094</v>
      </c>
      <c r="AH5176" s="9">
        <v>45.566990204681431</v>
      </c>
      <c r="AI5176" s="9">
        <v>48.2081665036403</v>
      </c>
      <c r="AJ5176" s="9">
        <v>3.0428788910505911</v>
      </c>
    </row>
    <row r="5177" spans="1:36" x14ac:dyDescent="0.25">
      <c r="A5177" t="s">
        <v>5411</v>
      </c>
      <c r="B5177" t="s">
        <v>16</v>
      </c>
      <c r="C5177" t="s">
        <v>17</v>
      </c>
      <c r="D5177">
        <v>88475000</v>
      </c>
      <c r="E5177">
        <v>88484999</v>
      </c>
      <c r="F5177" t="s">
        <v>4691</v>
      </c>
      <c r="G5177" t="str">
        <f t="shared" si="160"/>
        <v>SCI II</v>
      </c>
      <c r="H5177" t="s">
        <v>4654</v>
      </c>
      <c r="I5177" t="s">
        <v>20</v>
      </c>
      <c r="J5177" t="s">
        <v>64</v>
      </c>
      <c r="K5177" s="6">
        <v>0.03</v>
      </c>
      <c r="L5177" s="7">
        <f t="shared" si="161"/>
        <v>2E-3</v>
      </c>
      <c r="M5177" s="7">
        <v>3.0000000000000001E-3</v>
      </c>
      <c r="N5177">
        <v>11</v>
      </c>
      <c r="O5177" s="8">
        <v>19.475693895950801</v>
      </c>
      <c r="P5177" s="9">
        <v>19.475693895950801</v>
      </c>
      <c r="Q5177" s="9">
        <v>19.475693895950801</v>
      </c>
      <c r="R5177" s="9">
        <v>20.024452706180426</v>
      </c>
      <c r="S5177" s="9">
        <v>20.875099128492941</v>
      </c>
      <c r="T5177" s="9">
        <v>21.733350185946453</v>
      </c>
      <c r="U5177" s="9">
        <v>23.861555618318132</v>
      </c>
      <c r="V5177" s="9">
        <v>23.861555618318132</v>
      </c>
      <c r="W5177" s="9">
        <v>23.861555618318132</v>
      </c>
      <c r="X5177" s="9">
        <v>26.599525609534091</v>
      </c>
      <c r="Y5177" s="9">
        <v>26.599525609534091</v>
      </c>
      <c r="Z5177" s="9">
        <v>29.424604823442099</v>
      </c>
      <c r="AA5177" s="9">
        <v>29.424604823442099</v>
      </c>
      <c r="AB5177" s="9">
        <v>32.345504182311352</v>
      </c>
      <c r="AC5177" s="9">
        <v>32.345504182311352</v>
      </c>
      <c r="AD5177" s="9">
        <v>37.073967958020759</v>
      </c>
      <c r="AE5177" s="9">
        <v>39.537280452065687</v>
      </c>
      <c r="AF5177" s="9">
        <v>42.115429646064094</v>
      </c>
      <c r="AG5177" s="9">
        <v>42.115429646064094</v>
      </c>
      <c r="AH5177" s="9">
        <v>45.566990204681431</v>
      </c>
      <c r="AI5177" s="9">
        <v>48.2081665036403</v>
      </c>
      <c r="AJ5177" s="9">
        <v>3.0428788910505911</v>
      </c>
    </row>
    <row r="5178" spans="1:36" x14ac:dyDescent="0.25">
      <c r="A5178" t="s">
        <v>5411</v>
      </c>
      <c r="B5178" t="s">
        <v>16</v>
      </c>
      <c r="C5178" t="s">
        <v>17</v>
      </c>
      <c r="D5178">
        <v>88485000</v>
      </c>
      <c r="E5178">
        <v>88489999</v>
      </c>
      <c r="F5178" t="s">
        <v>4692</v>
      </c>
      <c r="G5178" t="str">
        <f t="shared" si="160"/>
        <v>SCI II</v>
      </c>
      <c r="H5178" t="s">
        <v>4654</v>
      </c>
      <c r="I5178" t="s">
        <v>20</v>
      </c>
      <c r="J5178" t="s">
        <v>64</v>
      </c>
      <c r="K5178" s="6">
        <v>0.03</v>
      </c>
      <c r="L5178" s="7">
        <f t="shared" si="161"/>
        <v>2E-3</v>
      </c>
      <c r="M5178" s="7">
        <v>3.0000000000000001E-3</v>
      </c>
      <c r="N5178">
        <v>11</v>
      </c>
      <c r="O5178" s="8">
        <v>19.475693895950801</v>
      </c>
      <c r="P5178" s="9">
        <v>19.475693895950801</v>
      </c>
      <c r="Q5178" s="9">
        <v>19.475693895950801</v>
      </c>
      <c r="R5178" s="9">
        <v>20.024452706180426</v>
      </c>
      <c r="S5178" s="9">
        <v>20.875099128492941</v>
      </c>
      <c r="T5178" s="9">
        <v>21.733350185946453</v>
      </c>
      <c r="U5178" s="9">
        <v>23.861555618318132</v>
      </c>
      <c r="V5178" s="9">
        <v>23.861555618318132</v>
      </c>
      <c r="W5178" s="9">
        <v>23.861555618318132</v>
      </c>
      <c r="X5178" s="9">
        <v>26.599525609534091</v>
      </c>
      <c r="Y5178" s="9">
        <v>26.599525609534091</v>
      </c>
      <c r="Z5178" s="9">
        <v>29.424604823442099</v>
      </c>
      <c r="AA5178" s="9">
        <v>29.424604823442099</v>
      </c>
      <c r="AB5178" s="9">
        <v>32.345504182311352</v>
      </c>
      <c r="AC5178" s="9">
        <v>32.345504182311352</v>
      </c>
      <c r="AD5178" s="9">
        <v>37.073967958020759</v>
      </c>
      <c r="AE5178" s="9">
        <v>39.537280452065687</v>
      </c>
      <c r="AF5178" s="9">
        <v>42.115429646064094</v>
      </c>
      <c r="AG5178" s="9">
        <v>42.115429646064094</v>
      </c>
      <c r="AH5178" s="9">
        <v>45.566990204681431</v>
      </c>
      <c r="AI5178" s="9">
        <v>48.2081665036403</v>
      </c>
      <c r="AJ5178" s="9">
        <v>3.0428788910505911</v>
      </c>
    </row>
    <row r="5179" spans="1:36" x14ac:dyDescent="0.25">
      <c r="A5179" t="s">
        <v>5411</v>
      </c>
      <c r="B5179" t="s">
        <v>16</v>
      </c>
      <c r="C5179" t="s">
        <v>17</v>
      </c>
      <c r="D5179">
        <v>88490000</v>
      </c>
      <c r="E5179">
        <v>88494999</v>
      </c>
      <c r="F5179" t="s">
        <v>4693</v>
      </c>
      <c r="G5179" t="str">
        <f t="shared" si="160"/>
        <v>SCI II</v>
      </c>
      <c r="H5179" t="s">
        <v>4654</v>
      </c>
      <c r="I5179" t="s">
        <v>20</v>
      </c>
      <c r="J5179" t="s">
        <v>64</v>
      </c>
      <c r="K5179" s="6">
        <v>0.03</v>
      </c>
      <c r="L5179" s="7">
        <f t="shared" si="161"/>
        <v>2E-3</v>
      </c>
      <c r="M5179" s="7">
        <v>3.0000000000000001E-3</v>
      </c>
      <c r="N5179">
        <v>11</v>
      </c>
      <c r="O5179" s="8">
        <v>19.475693895950801</v>
      </c>
      <c r="P5179" s="9">
        <v>19.475693895950801</v>
      </c>
      <c r="Q5179" s="9">
        <v>19.475693895950801</v>
      </c>
      <c r="R5179" s="9">
        <v>20.024452706180426</v>
      </c>
      <c r="S5179" s="9">
        <v>20.875099128492941</v>
      </c>
      <c r="T5179" s="9">
        <v>21.733350185946453</v>
      </c>
      <c r="U5179" s="9">
        <v>23.861555618318132</v>
      </c>
      <c r="V5179" s="9">
        <v>23.861555618318132</v>
      </c>
      <c r="W5179" s="9">
        <v>23.861555618318132</v>
      </c>
      <c r="X5179" s="9">
        <v>26.599525609534091</v>
      </c>
      <c r="Y5179" s="9">
        <v>26.599525609534091</v>
      </c>
      <c r="Z5179" s="9">
        <v>29.424604823442099</v>
      </c>
      <c r="AA5179" s="9">
        <v>29.424604823442099</v>
      </c>
      <c r="AB5179" s="9">
        <v>32.345504182311352</v>
      </c>
      <c r="AC5179" s="9">
        <v>32.345504182311352</v>
      </c>
      <c r="AD5179" s="9">
        <v>37.073967958020759</v>
      </c>
      <c r="AE5179" s="9">
        <v>39.537280452065687</v>
      </c>
      <c r="AF5179" s="9">
        <v>42.115429646064094</v>
      </c>
      <c r="AG5179" s="9">
        <v>42.115429646064094</v>
      </c>
      <c r="AH5179" s="9">
        <v>45.566990204681431</v>
      </c>
      <c r="AI5179" s="9">
        <v>48.2081665036403</v>
      </c>
      <c r="AJ5179" s="9">
        <v>3.0428788910505911</v>
      </c>
    </row>
    <row r="5180" spans="1:36" x14ac:dyDescent="0.25">
      <c r="A5180" t="s">
        <v>5411</v>
      </c>
      <c r="B5180" t="s">
        <v>16</v>
      </c>
      <c r="C5180" t="s">
        <v>17</v>
      </c>
      <c r="D5180">
        <v>88495000</v>
      </c>
      <c r="E5180">
        <v>88499999</v>
      </c>
      <c r="F5180" t="s">
        <v>4694</v>
      </c>
      <c r="G5180" t="str">
        <f t="shared" si="160"/>
        <v>SCI II</v>
      </c>
      <c r="H5180" t="s">
        <v>4654</v>
      </c>
      <c r="I5180" t="s">
        <v>20</v>
      </c>
      <c r="J5180" t="s">
        <v>64</v>
      </c>
      <c r="K5180" s="6">
        <v>0.03</v>
      </c>
      <c r="L5180" s="7">
        <f t="shared" si="161"/>
        <v>2E-3</v>
      </c>
      <c r="M5180" s="7">
        <v>3.0000000000000001E-3</v>
      </c>
      <c r="N5180">
        <v>11</v>
      </c>
      <c r="O5180" s="8">
        <v>19.475693895950801</v>
      </c>
      <c r="P5180" s="9">
        <v>19.475693895950801</v>
      </c>
      <c r="Q5180" s="9">
        <v>19.475693895950801</v>
      </c>
      <c r="R5180" s="9">
        <v>20.024452706180426</v>
      </c>
      <c r="S5180" s="9">
        <v>20.875099128492941</v>
      </c>
      <c r="T5180" s="9">
        <v>21.733350185946453</v>
      </c>
      <c r="U5180" s="9">
        <v>23.861555618318132</v>
      </c>
      <c r="V5180" s="9">
        <v>23.861555618318132</v>
      </c>
      <c r="W5180" s="9">
        <v>23.861555618318132</v>
      </c>
      <c r="X5180" s="9">
        <v>26.599525609534091</v>
      </c>
      <c r="Y5180" s="9">
        <v>26.599525609534091</v>
      </c>
      <c r="Z5180" s="9">
        <v>29.424604823442099</v>
      </c>
      <c r="AA5180" s="9">
        <v>29.424604823442099</v>
      </c>
      <c r="AB5180" s="9">
        <v>32.345504182311352</v>
      </c>
      <c r="AC5180" s="9">
        <v>32.345504182311352</v>
      </c>
      <c r="AD5180" s="9">
        <v>37.073967958020759</v>
      </c>
      <c r="AE5180" s="9">
        <v>39.537280452065687</v>
      </c>
      <c r="AF5180" s="9">
        <v>42.115429646064094</v>
      </c>
      <c r="AG5180" s="9">
        <v>42.115429646064094</v>
      </c>
      <c r="AH5180" s="9">
        <v>45.566990204681431</v>
      </c>
      <c r="AI5180" s="9">
        <v>48.2081665036403</v>
      </c>
      <c r="AJ5180" s="9">
        <v>3.0428788910505911</v>
      </c>
    </row>
    <row r="5181" spans="1:36" x14ac:dyDescent="0.25">
      <c r="A5181" t="s">
        <v>5411</v>
      </c>
      <c r="B5181" t="s">
        <v>16</v>
      </c>
      <c r="C5181" t="s">
        <v>17</v>
      </c>
      <c r="D5181">
        <v>88500000</v>
      </c>
      <c r="E5181">
        <v>88534999</v>
      </c>
      <c r="F5181" t="s">
        <v>4695</v>
      </c>
      <c r="G5181" t="str">
        <f t="shared" si="160"/>
        <v>SCI</v>
      </c>
      <c r="H5181" t="s">
        <v>4654</v>
      </c>
      <c r="I5181" t="s">
        <v>20</v>
      </c>
      <c r="J5181" t="s">
        <v>62</v>
      </c>
      <c r="K5181" s="6">
        <v>0.03</v>
      </c>
      <c r="L5181" s="7">
        <f t="shared" si="161"/>
        <v>2E-3</v>
      </c>
      <c r="M5181" s="7">
        <v>3.0000000000000001E-3</v>
      </c>
      <c r="N5181">
        <v>9</v>
      </c>
      <c r="O5181" s="8">
        <v>16.631361039134706</v>
      </c>
      <c r="P5181" s="9">
        <v>16.631361039134706</v>
      </c>
      <c r="Q5181" s="9">
        <v>16.631361039134706</v>
      </c>
      <c r="R5181" s="9">
        <v>17.060180136455905</v>
      </c>
      <c r="S5181" s="9">
        <v>18.024171003933382</v>
      </c>
      <c r="T5181" s="9">
        <v>18.868116637328029</v>
      </c>
      <c r="U5181" s="9">
        <v>20.58817720770605</v>
      </c>
      <c r="V5181" s="9">
        <v>20.58817720770605</v>
      </c>
      <c r="W5181" s="9">
        <v>20.58817720770605</v>
      </c>
      <c r="X5181" s="9">
        <v>22.864259828555831</v>
      </c>
      <c r="Y5181" s="9">
        <v>22.864259828555831</v>
      </c>
      <c r="Z5181" s="9">
        <v>25.323053608820352</v>
      </c>
      <c r="AA5181" s="9">
        <v>25.323053608820352</v>
      </c>
      <c r="AB5181" s="9">
        <v>28.021815637038035</v>
      </c>
      <c r="AC5181" s="9">
        <v>28.021815637038035</v>
      </c>
      <c r="AD5181" s="9">
        <v>30.863654196486234</v>
      </c>
      <c r="AE5181" s="9">
        <v>33.866973124126531</v>
      </c>
      <c r="AF5181" s="9">
        <v>37.052606032896897</v>
      </c>
      <c r="AG5181" s="9">
        <v>37.052606032896897</v>
      </c>
      <c r="AH5181" s="9">
        <v>39.965079814445566</v>
      </c>
      <c r="AI5181" s="9">
        <v>42.780649023864797</v>
      </c>
      <c r="AJ5181" s="9">
        <v>3.0428788910505911</v>
      </c>
    </row>
    <row r="5182" spans="1:36" x14ac:dyDescent="0.25">
      <c r="A5182" t="s">
        <v>5411</v>
      </c>
      <c r="B5182" t="s">
        <v>16</v>
      </c>
      <c r="C5182" t="s">
        <v>17</v>
      </c>
      <c r="D5182">
        <v>88535000</v>
      </c>
      <c r="E5182">
        <v>88537999</v>
      </c>
      <c r="F5182" t="s">
        <v>4696</v>
      </c>
      <c r="G5182" t="str">
        <f t="shared" si="160"/>
        <v>SCI II</v>
      </c>
      <c r="H5182" t="s">
        <v>4654</v>
      </c>
      <c r="I5182" t="s">
        <v>20</v>
      </c>
      <c r="J5182" t="s">
        <v>64</v>
      </c>
      <c r="K5182" s="6">
        <v>0.03</v>
      </c>
      <c r="L5182" s="7">
        <f t="shared" si="161"/>
        <v>2E-3</v>
      </c>
      <c r="M5182" s="7">
        <v>3.0000000000000001E-3</v>
      </c>
      <c r="N5182">
        <v>11</v>
      </c>
      <c r="O5182" s="8">
        <v>19.475693895950801</v>
      </c>
      <c r="P5182" s="9">
        <v>19.475693895950801</v>
      </c>
      <c r="Q5182" s="9">
        <v>19.475693895950801</v>
      </c>
      <c r="R5182" s="9">
        <v>20.024452706180426</v>
      </c>
      <c r="S5182" s="9">
        <v>20.875099128492941</v>
      </c>
      <c r="T5182" s="9">
        <v>21.733350185946453</v>
      </c>
      <c r="U5182" s="9">
        <v>23.861555618318132</v>
      </c>
      <c r="V5182" s="9">
        <v>23.861555618318132</v>
      </c>
      <c r="W5182" s="9">
        <v>23.861555618318132</v>
      </c>
      <c r="X5182" s="9">
        <v>26.599525609534091</v>
      </c>
      <c r="Y5182" s="9">
        <v>26.599525609534091</v>
      </c>
      <c r="Z5182" s="9">
        <v>29.424604823442099</v>
      </c>
      <c r="AA5182" s="9">
        <v>29.424604823442099</v>
      </c>
      <c r="AB5182" s="9">
        <v>32.345504182311352</v>
      </c>
      <c r="AC5182" s="9">
        <v>32.345504182311352</v>
      </c>
      <c r="AD5182" s="9">
        <v>37.073967958020759</v>
      </c>
      <c r="AE5182" s="9">
        <v>39.537280452065687</v>
      </c>
      <c r="AF5182" s="9">
        <v>42.115429646064094</v>
      </c>
      <c r="AG5182" s="9">
        <v>42.115429646064094</v>
      </c>
      <c r="AH5182" s="9">
        <v>45.566990204681431</v>
      </c>
      <c r="AI5182" s="9">
        <v>48.2081665036403</v>
      </c>
      <c r="AJ5182" s="9">
        <v>3.0428788910505911</v>
      </c>
    </row>
    <row r="5183" spans="1:36" x14ac:dyDescent="0.25">
      <c r="A5183" t="s">
        <v>5411</v>
      </c>
      <c r="B5183" t="s">
        <v>16</v>
      </c>
      <c r="C5183" t="s">
        <v>17</v>
      </c>
      <c r="D5183">
        <v>88538000</v>
      </c>
      <c r="E5183">
        <v>88539999</v>
      </c>
      <c r="F5183" t="s">
        <v>4697</v>
      </c>
      <c r="G5183" t="str">
        <f t="shared" si="160"/>
        <v>SCI II</v>
      </c>
      <c r="H5183" t="s">
        <v>4654</v>
      </c>
      <c r="I5183" t="s">
        <v>20</v>
      </c>
      <c r="J5183" t="s">
        <v>64</v>
      </c>
      <c r="K5183" s="6">
        <v>0.03</v>
      </c>
      <c r="L5183" s="7">
        <f t="shared" si="161"/>
        <v>2E-3</v>
      </c>
      <c r="M5183" s="7">
        <v>3.0000000000000001E-3</v>
      </c>
      <c r="N5183">
        <v>11</v>
      </c>
      <c r="O5183" s="8">
        <v>19.475693895950801</v>
      </c>
      <c r="P5183" s="9">
        <v>19.475693895950801</v>
      </c>
      <c r="Q5183" s="9">
        <v>19.475693895950801</v>
      </c>
      <c r="R5183" s="9">
        <v>20.024452706180426</v>
      </c>
      <c r="S5183" s="9">
        <v>20.875099128492941</v>
      </c>
      <c r="T5183" s="9">
        <v>21.733350185946453</v>
      </c>
      <c r="U5183" s="9">
        <v>23.861555618318132</v>
      </c>
      <c r="V5183" s="9">
        <v>23.861555618318132</v>
      </c>
      <c r="W5183" s="9">
        <v>23.861555618318132</v>
      </c>
      <c r="X5183" s="9">
        <v>26.599525609534091</v>
      </c>
      <c r="Y5183" s="9">
        <v>26.599525609534091</v>
      </c>
      <c r="Z5183" s="9">
        <v>29.424604823442099</v>
      </c>
      <c r="AA5183" s="9">
        <v>29.424604823442099</v>
      </c>
      <c r="AB5183" s="9">
        <v>32.345504182311352</v>
      </c>
      <c r="AC5183" s="9">
        <v>32.345504182311352</v>
      </c>
      <c r="AD5183" s="9">
        <v>37.073967958020759</v>
      </c>
      <c r="AE5183" s="9">
        <v>39.537280452065687</v>
      </c>
      <c r="AF5183" s="9">
        <v>42.115429646064094</v>
      </c>
      <c r="AG5183" s="9">
        <v>42.115429646064094</v>
      </c>
      <c r="AH5183" s="9">
        <v>45.566990204681431</v>
      </c>
      <c r="AI5183" s="9">
        <v>48.2081665036403</v>
      </c>
      <c r="AJ5183" s="9">
        <v>3.0428788910505911</v>
      </c>
    </row>
    <row r="5184" spans="1:36" x14ac:dyDescent="0.25">
      <c r="A5184" t="s">
        <v>5411</v>
      </c>
      <c r="B5184" t="s">
        <v>16</v>
      </c>
      <c r="C5184" t="s">
        <v>17</v>
      </c>
      <c r="D5184">
        <v>88540000</v>
      </c>
      <c r="E5184">
        <v>88542999</v>
      </c>
      <c r="F5184" t="s">
        <v>4698</v>
      </c>
      <c r="G5184" t="str">
        <f t="shared" si="160"/>
        <v>SCI II</v>
      </c>
      <c r="H5184" t="s">
        <v>4654</v>
      </c>
      <c r="I5184" t="s">
        <v>20</v>
      </c>
      <c r="J5184" t="s">
        <v>64</v>
      </c>
      <c r="K5184" s="6">
        <v>0.03</v>
      </c>
      <c r="L5184" s="7">
        <f t="shared" si="161"/>
        <v>2E-3</v>
      </c>
      <c r="M5184" s="7">
        <v>3.0000000000000001E-3</v>
      </c>
      <c r="N5184">
        <v>11</v>
      </c>
      <c r="O5184" s="8">
        <v>19.475693895950801</v>
      </c>
      <c r="P5184" s="9">
        <v>19.475693895950801</v>
      </c>
      <c r="Q5184" s="9">
        <v>19.475693895950801</v>
      </c>
      <c r="R5184" s="9">
        <v>20.024452706180426</v>
      </c>
      <c r="S5184" s="9">
        <v>20.875099128492941</v>
      </c>
      <c r="T5184" s="9">
        <v>21.733350185946453</v>
      </c>
      <c r="U5184" s="9">
        <v>23.861555618318132</v>
      </c>
      <c r="V5184" s="9">
        <v>23.861555618318132</v>
      </c>
      <c r="W5184" s="9">
        <v>23.861555618318132</v>
      </c>
      <c r="X5184" s="9">
        <v>26.599525609534091</v>
      </c>
      <c r="Y5184" s="9">
        <v>26.599525609534091</v>
      </c>
      <c r="Z5184" s="9">
        <v>29.424604823442099</v>
      </c>
      <c r="AA5184" s="9">
        <v>29.424604823442099</v>
      </c>
      <c r="AB5184" s="9">
        <v>32.345504182311352</v>
      </c>
      <c r="AC5184" s="9">
        <v>32.345504182311352</v>
      </c>
      <c r="AD5184" s="9">
        <v>37.073967958020759</v>
      </c>
      <c r="AE5184" s="9">
        <v>39.537280452065687</v>
      </c>
      <c r="AF5184" s="9">
        <v>42.115429646064094</v>
      </c>
      <c r="AG5184" s="9">
        <v>42.115429646064094</v>
      </c>
      <c r="AH5184" s="9">
        <v>45.566990204681431</v>
      </c>
      <c r="AI5184" s="9">
        <v>48.2081665036403</v>
      </c>
      <c r="AJ5184" s="9">
        <v>3.0428788910505911</v>
      </c>
    </row>
    <row r="5185" spans="1:36" x14ac:dyDescent="0.25">
      <c r="A5185" t="s">
        <v>5411</v>
      </c>
      <c r="B5185" t="s">
        <v>16</v>
      </c>
      <c r="C5185" t="s">
        <v>17</v>
      </c>
      <c r="D5185">
        <v>88543000</v>
      </c>
      <c r="E5185">
        <v>88544999</v>
      </c>
      <c r="F5185" t="s">
        <v>4699</v>
      </c>
      <c r="G5185" t="str">
        <f t="shared" si="160"/>
        <v>SCI II</v>
      </c>
      <c r="H5185" t="s">
        <v>4654</v>
      </c>
      <c r="I5185" t="s">
        <v>20</v>
      </c>
      <c r="J5185" t="s">
        <v>64</v>
      </c>
      <c r="K5185" s="6">
        <v>0.03</v>
      </c>
      <c r="L5185" s="7">
        <f t="shared" si="161"/>
        <v>2E-3</v>
      </c>
      <c r="M5185" s="7">
        <v>3.0000000000000001E-3</v>
      </c>
      <c r="N5185">
        <v>11</v>
      </c>
      <c r="O5185" s="8">
        <v>19.475693895950801</v>
      </c>
      <c r="P5185" s="9">
        <v>19.475693895950801</v>
      </c>
      <c r="Q5185" s="9">
        <v>19.475693895950801</v>
      </c>
      <c r="R5185" s="9">
        <v>20.024452706180426</v>
      </c>
      <c r="S5185" s="9">
        <v>20.875099128492941</v>
      </c>
      <c r="T5185" s="9">
        <v>21.733350185946453</v>
      </c>
      <c r="U5185" s="9">
        <v>23.861555618318132</v>
      </c>
      <c r="V5185" s="9">
        <v>23.861555618318132</v>
      </c>
      <c r="W5185" s="9">
        <v>23.861555618318132</v>
      </c>
      <c r="X5185" s="9">
        <v>26.599525609534091</v>
      </c>
      <c r="Y5185" s="9">
        <v>26.599525609534091</v>
      </c>
      <c r="Z5185" s="9">
        <v>29.424604823442099</v>
      </c>
      <c r="AA5185" s="9">
        <v>29.424604823442099</v>
      </c>
      <c r="AB5185" s="9">
        <v>32.345504182311352</v>
      </c>
      <c r="AC5185" s="9">
        <v>32.345504182311352</v>
      </c>
      <c r="AD5185" s="9">
        <v>37.073967958020759</v>
      </c>
      <c r="AE5185" s="9">
        <v>39.537280452065687</v>
      </c>
      <c r="AF5185" s="9">
        <v>42.115429646064094</v>
      </c>
      <c r="AG5185" s="9">
        <v>42.115429646064094</v>
      </c>
      <c r="AH5185" s="9">
        <v>45.566990204681431</v>
      </c>
      <c r="AI5185" s="9">
        <v>48.2081665036403</v>
      </c>
      <c r="AJ5185" s="9">
        <v>3.0428788910505911</v>
      </c>
    </row>
    <row r="5186" spans="1:36" x14ac:dyDescent="0.25">
      <c r="A5186" t="s">
        <v>5411</v>
      </c>
      <c r="B5186" t="s">
        <v>16</v>
      </c>
      <c r="C5186" t="s">
        <v>17</v>
      </c>
      <c r="D5186">
        <v>88545000</v>
      </c>
      <c r="E5186">
        <v>88547999</v>
      </c>
      <c r="F5186" t="s">
        <v>4331</v>
      </c>
      <c r="G5186" t="str">
        <f t="shared" si="160"/>
        <v>SCI II</v>
      </c>
      <c r="H5186" t="s">
        <v>4654</v>
      </c>
      <c r="I5186" t="s">
        <v>20</v>
      </c>
      <c r="J5186" t="s">
        <v>64</v>
      </c>
      <c r="K5186" s="6">
        <v>0.03</v>
      </c>
      <c r="L5186" s="7">
        <f t="shared" si="161"/>
        <v>2E-3</v>
      </c>
      <c r="M5186" s="7">
        <v>3.0000000000000001E-3</v>
      </c>
      <c r="N5186">
        <v>11</v>
      </c>
      <c r="O5186" s="8">
        <v>19.475693895950801</v>
      </c>
      <c r="P5186" s="9">
        <v>19.475693895950801</v>
      </c>
      <c r="Q5186" s="9">
        <v>19.475693895950801</v>
      </c>
      <c r="R5186" s="9">
        <v>20.024452706180426</v>
      </c>
      <c r="S5186" s="9">
        <v>20.875099128492941</v>
      </c>
      <c r="T5186" s="9">
        <v>21.733350185946453</v>
      </c>
      <c r="U5186" s="9">
        <v>23.861555618318132</v>
      </c>
      <c r="V5186" s="9">
        <v>23.861555618318132</v>
      </c>
      <c r="W5186" s="9">
        <v>23.861555618318132</v>
      </c>
      <c r="X5186" s="9">
        <v>26.599525609534091</v>
      </c>
      <c r="Y5186" s="9">
        <v>26.599525609534091</v>
      </c>
      <c r="Z5186" s="9">
        <v>29.424604823442099</v>
      </c>
      <c r="AA5186" s="9">
        <v>29.424604823442099</v>
      </c>
      <c r="AB5186" s="9">
        <v>32.345504182311352</v>
      </c>
      <c r="AC5186" s="9">
        <v>32.345504182311352</v>
      </c>
      <c r="AD5186" s="9">
        <v>37.073967958020759</v>
      </c>
      <c r="AE5186" s="9">
        <v>39.537280452065687</v>
      </c>
      <c r="AF5186" s="9">
        <v>42.115429646064094</v>
      </c>
      <c r="AG5186" s="9">
        <v>42.115429646064094</v>
      </c>
      <c r="AH5186" s="9">
        <v>45.566990204681431</v>
      </c>
      <c r="AI5186" s="9">
        <v>48.2081665036403</v>
      </c>
      <c r="AJ5186" s="9">
        <v>3.0428788910505911</v>
      </c>
    </row>
    <row r="5187" spans="1:36" x14ac:dyDescent="0.25">
      <c r="A5187" t="s">
        <v>5411</v>
      </c>
      <c r="B5187" t="s">
        <v>16</v>
      </c>
      <c r="C5187" t="s">
        <v>17</v>
      </c>
      <c r="D5187">
        <v>88548000</v>
      </c>
      <c r="E5187">
        <v>88549999</v>
      </c>
      <c r="F5187" t="s">
        <v>4700</v>
      </c>
      <c r="G5187" t="str">
        <f t="shared" si="160"/>
        <v>SCI II</v>
      </c>
      <c r="H5187" t="s">
        <v>4654</v>
      </c>
      <c r="I5187" t="s">
        <v>20</v>
      </c>
      <c r="J5187" t="s">
        <v>64</v>
      </c>
      <c r="K5187" s="6">
        <v>0.03</v>
      </c>
      <c r="L5187" s="7">
        <f t="shared" si="161"/>
        <v>2E-3</v>
      </c>
      <c r="M5187" s="7">
        <v>3.0000000000000001E-3</v>
      </c>
      <c r="N5187">
        <v>11</v>
      </c>
      <c r="O5187" s="8">
        <v>19.475693895950801</v>
      </c>
      <c r="P5187" s="9">
        <v>19.475693895950801</v>
      </c>
      <c r="Q5187" s="9">
        <v>19.475693895950801</v>
      </c>
      <c r="R5187" s="9">
        <v>20.024452706180426</v>
      </c>
      <c r="S5187" s="9">
        <v>20.875099128492941</v>
      </c>
      <c r="T5187" s="9">
        <v>21.733350185946453</v>
      </c>
      <c r="U5187" s="9">
        <v>23.861555618318132</v>
      </c>
      <c r="V5187" s="9">
        <v>23.861555618318132</v>
      </c>
      <c r="W5187" s="9">
        <v>23.861555618318132</v>
      </c>
      <c r="X5187" s="9">
        <v>26.599525609534091</v>
      </c>
      <c r="Y5187" s="9">
        <v>26.599525609534091</v>
      </c>
      <c r="Z5187" s="9">
        <v>29.424604823442099</v>
      </c>
      <c r="AA5187" s="9">
        <v>29.424604823442099</v>
      </c>
      <c r="AB5187" s="9">
        <v>32.345504182311352</v>
      </c>
      <c r="AC5187" s="9">
        <v>32.345504182311352</v>
      </c>
      <c r="AD5187" s="9">
        <v>37.073967958020759</v>
      </c>
      <c r="AE5187" s="9">
        <v>39.537280452065687</v>
      </c>
      <c r="AF5187" s="9">
        <v>42.115429646064094</v>
      </c>
      <c r="AG5187" s="9">
        <v>42.115429646064094</v>
      </c>
      <c r="AH5187" s="9">
        <v>45.566990204681431</v>
      </c>
      <c r="AI5187" s="9">
        <v>48.2081665036403</v>
      </c>
      <c r="AJ5187" s="9">
        <v>3.0428788910505911</v>
      </c>
    </row>
    <row r="5188" spans="1:36" x14ac:dyDescent="0.25">
      <c r="A5188" t="s">
        <v>5411</v>
      </c>
      <c r="B5188" t="s">
        <v>16</v>
      </c>
      <c r="C5188" t="s">
        <v>17</v>
      </c>
      <c r="D5188">
        <v>88550000</v>
      </c>
      <c r="E5188">
        <v>88569999</v>
      </c>
      <c r="F5188" t="s">
        <v>4701</v>
      </c>
      <c r="G5188" t="str">
        <f t="shared" ref="G5188:G5251" si="162">H5188&amp;IF(J5188="CAPITAL","C",IF(J5188="INTERIOR","I",IF(J5188="INTERIOR II","I II","R")))</f>
        <v>SCI II</v>
      </c>
      <c r="H5188" t="s">
        <v>4654</v>
      </c>
      <c r="I5188" t="s">
        <v>20</v>
      </c>
      <c r="J5188" t="s">
        <v>64</v>
      </c>
      <c r="K5188" s="6">
        <v>0.03</v>
      </c>
      <c r="L5188" s="7">
        <f t="shared" ref="L5188:L5251" si="163">IF(I5188="(0) Não",0.2%,3%)</f>
        <v>2E-3</v>
      </c>
      <c r="M5188" s="7">
        <v>3.0000000000000001E-3</v>
      </c>
      <c r="N5188">
        <v>11</v>
      </c>
      <c r="O5188" s="8">
        <v>19.475693895950801</v>
      </c>
      <c r="P5188" s="9">
        <v>19.475693895950801</v>
      </c>
      <c r="Q5188" s="9">
        <v>19.475693895950801</v>
      </c>
      <c r="R5188" s="9">
        <v>20.024452706180426</v>
      </c>
      <c r="S5188" s="9">
        <v>20.875099128492941</v>
      </c>
      <c r="T5188" s="9">
        <v>21.733350185946453</v>
      </c>
      <c r="U5188" s="9">
        <v>23.861555618318132</v>
      </c>
      <c r="V5188" s="9">
        <v>23.861555618318132</v>
      </c>
      <c r="W5188" s="9">
        <v>23.861555618318132</v>
      </c>
      <c r="X5188" s="9">
        <v>26.599525609534091</v>
      </c>
      <c r="Y5188" s="9">
        <v>26.599525609534091</v>
      </c>
      <c r="Z5188" s="9">
        <v>29.424604823442099</v>
      </c>
      <c r="AA5188" s="9">
        <v>29.424604823442099</v>
      </c>
      <c r="AB5188" s="9">
        <v>32.345504182311352</v>
      </c>
      <c r="AC5188" s="9">
        <v>32.345504182311352</v>
      </c>
      <c r="AD5188" s="9">
        <v>37.073967958020759</v>
      </c>
      <c r="AE5188" s="9">
        <v>39.537280452065687</v>
      </c>
      <c r="AF5188" s="9">
        <v>42.115429646064094</v>
      </c>
      <c r="AG5188" s="9">
        <v>42.115429646064094</v>
      </c>
      <c r="AH5188" s="9">
        <v>45.566990204681431</v>
      </c>
      <c r="AI5188" s="9">
        <v>48.2081665036403</v>
      </c>
      <c r="AJ5188" s="9">
        <v>3.0428788910505911</v>
      </c>
    </row>
    <row r="5189" spans="1:36" x14ac:dyDescent="0.25">
      <c r="A5189" t="s">
        <v>5411</v>
      </c>
      <c r="B5189" t="s">
        <v>16</v>
      </c>
      <c r="C5189" t="s">
        <v>17</v>
      </c>
      <c r="D5189">
        <v>88570000</v>
      </c>
      <c r="E5189">
        <v>88579999</v>
      </c>
      <c r="F5189" t="s">
        <v>4702</v>
      </c>
      <c r="G5189" t="str">
        <f t="shared" si="162"/>
        <v>SCI II</v>
      </c>
      <c r="H5189" t="s">
        <v>4654</v>
      </c>
      <c r="I5189" t="s">
        <v>20</v>
      </c>
      <c r="J5189" t="s">
        <v>64</v>
      </c>
      <c r="K5189" s="6">
        <v>0.03</v>
      </c>
      <c r="L5189" s="7">
        <f t="shared" si="163"/>
        <v>2E-3</v>
      </c>
      <c r="M5189" s="7">
        <v>3.0000000000000001E-3</v>
      </c>
      <c r="N5189">
        <v>11</v>
      </c>
      <c r="O5189" s="8">
        <v>19.475693895950801</v>
      </c>
      <c r="P5189" s="9">
        <v>19.475693895950801</v>
      </c>
      <c r="Q5189" s="9">
        <v>19.475693895950801</v>
      </c>
      <c r="R5189" s="9">
        <v>20.024452706180426</v>
      </c>
      <c r="S5189" s="9">
        <v>20.875099128492941</v>
      </c>
      <c r="T5189" s="9">
        <v>21.733350185946453</v>
      </c>
      <c r="U5189" s="9">
        <v>23.861555618318132</v>
      </c>
      <c r="V5189" s="9">
        <v>23.861555618318132</v>
      </c>
      <c r="W5189" s="9">
        <v>23.861555618318132</v>
      </c>
      <c r="X5189" s="9">
        <v>26.599525609534091</v>
      </c>
      <c r="Y5189" s="9">
        <v>26.599525609534091</v>
      </c>
      <c r="Z5189" s="9">
        <v>29.424604823442099</v>
      </c>
      <c r="AA5189" s="9">
        <v>29.424604823442099</v>
      </c>
      <c r="AB5189" s="9">
        <v>32.345504182311352</v>
      </c>
      <c r="AC5189" s="9">
        <v>32.345504182311352</v>
      </c>
      <c r="AD5189" s="9">
        <v>37.073967958020759</v>
      </c>
      <c r="AE5189" s="9">
        <v>39.537280452065687</v>
      </c>
      <c r="AF5189" s="9">
        <v>42.115429646064094</v>
      </c>
      <c r="AG5189" s="9">
        <v>42.115429646064094</v>
      </c>
      <c r="AH5189" s="9">
        <v>45.566990204681431</v>
      </c>
      <c r="AI5189" s="9">
        <v>48.2081665036403</v>
      </c>
      <c r="AJ5189" s="9">
        <v>3.0428788910505911</v>
      </c>
    </row>
    <row r="5190" spans="1:36" x14ac:dyDescent="0.25">
      <c r="A5190" t="s">
        <v>5411</v>
      </c>
      <c r="B5190" t="s">
        <v>16</v>
      </c>
      <c r="C5190" t="s">
        <v>17</v>
      </c>
      <c r="D5190">
        <v>88580000</v>
      </c>
      <c r="E5190">
        <v>88584999</v>
      </c>
      <c r="F5190" t="s">
        <v>4703</v>
      </c>
      <c r="G5190" t="str">
        <f t="shared" si="162"/>
        <v>SCI II</v>
      </c>
      <c r="H5190" t="s">
        <v>4654</v>
      </c>
      <c r="I5190" t="s">
        <v>20</v>
      </c>
      <c r="J5190" t="s">
        <v>64</v>
      </c>
      <c r="K5190" s="6">
        <v>0.03</v>
      </c>
      <c r="L5190" s="7">
        <f t="shared" si="163"/>
        <v>2E-3</v>
      </c>
      <c r="M5190" s="7">
        <v>3.0000000000000001E-3</v>
      </c>
      <c r="N5190">
        <v>11</v>
      </c>
      <c r="O5190" s="8">
        <v>19.475693895950801</v>
      </c>
      <c r="P5190" s="9">
        <v>19.475693895950801</v>
      </c>
      <c r="Q5190" s="9">
        <v>19.475693895950801</v>
      </c>
      <c r="R5190" s="9">
        <v>20.024452706180426</v>
      </c>
      <c r="S5190" s="9">
        <v>20.875099128492941</v>
      </c>
      <c r="T5190" s="9">
        <v>21.733350185946453</v>
      </c>
      <c r="U5190" s="9">
        <v>23.861555618318132</v>
      </c>
      <c r="V5190" s="9">
        <v>23.861555618318132</v>
      </c>
      <c r="W5190" s="9">
        <v>23.861555618318132</v>
      </c>
      <c r="X5190" s="9">
        <v>26.599525609534091</v>
      </c>
      <c r="Y5190" s="9">
        <v>26.599525609534091</v>
      </c>
      <c r="Z5190" s="9">
        <v>29.424604823442099</v>
      </c>
      <c r="AA5190" s="9">
        <v>29.424604823442099</v>
      </c>
      <c r="AB5190" s="9">
        <v>32.345504182311352</v>
      </c>
      <c r="AC5190" s="9">
        <v>32.345504182311352</v>
      </c>
      <c r="AD5190" s="9">
        <v>37.073967958020759</v>
      </c>
      <c r="AE5190" s="9">
        <v>39.537280452065687</v>
      </c>
      <c r="AF5190" s="9">
        <v>42.115429646064094</v>
      </c>
      <c r="AG5190" s="9">
        <v>42.115429646064094</v>
      </c>
      <c r="AH5190" s="9">
        <v>45.566990204681431</v>
      </c>
      <c r="AI5190" s="9">
        <v>48.2081665036403</v>
      </c>
      <c r="AJ5190" s="9">
        <v>3.0428788910505911</v>
      </c>
    </row>
    <row r="5191" spans="1:36" x14ac:dyDescent="0.25">
      <c r="A5191" t="s">
        <v>5411</v>
      </c>
      <c r="B5191" t="s">
        <v>16</v>
      </c>
      <c r="C5191" t="s">
        <v>17</v>
      </c>
      <c r="D5191">
        <v>88585000</v>
      </c>
      <c r="E5191">
        <v>88589999</v>
      </c>
      <c r="F5191" t="s">
        <v>4704</v>
      </c>
      <c r="G5191" t="str">
        <f t="shared" si="162"/>
        <v>SCI II</v>
      </c>
      <c r="H5191" t="s">
        <v>4654</v>
      </c>
      <c r="I5191" t="s">
        <v>20</v>
      </c>
      <c r="J5191" t="s">
        <v>64</v>
      </c>
      <c r="K5191" s="6">
        <v>0.03</v>
      </c>
      <c r="L5191" s="7">
        <f t="shared" si="163"/>
        <v>2E-3</v>
      </c>
      <c r="M5191" s="7">
        <v>3.0000000000000001E-3</v>
      </c>
      <c r="N5191">
        <v>11</v>
      </c>
      <c r="O5191" s="8">
        <v>19.475693895950801</v>
      </c>
      <c r="P5191" s="9">
        <v>19.475693895950801</v>
      </c>
      <c r="Q5191" s="9">
        <v>19.475693895950801</v>
      </c>
      <c r="R5191" s="9">
        <v>20.024452706180426</v>
      </c>
      <c r="S5191" s="9">
        <v>20.875099128492941</v>
      </c>
      <c r="T5191" s="9">
        <v>21.733350185946453</v>
      </c>
      <c r="U5191" s="9">
        <v>23.861555618318132</v>
      </c>
      <c r="V5191" s="9">
        <v>23.861555618318132</v>
      </c>
      <c r="W5191" s="9">
        <v>23.861555618318132</v>
      </c>
      <c r="X5191" s="9">
        <v>26.599525609534091</v>
      </c>
      <c r="Y5191" s="9">
        <v>26.599525609534091</v>
      </c>
      <c r="Z5191" s="9">
        <v>29.424604823442099</v>
      </c>
      <c r="AA5191" s="9">
        <v>29.424604823442099</v>
      </c>
      <c r="AB5191" s="9">
        <v>32.345504182311352</v>
      </c>
      <c r="AC5191" s="9">
        <v>32.345504182311352</v>
      </c>
      <c r="AD5191" s="9">
        <v>37.073967958020759</v>
      </c>
      <c r="AE5191" s="9">
        <v>39.537280452065687</v>
      </c>
      <c r="AF5191" s="9">
        <v>42.115429646064094</v>
      </c>
      <c r="AG5191" s="9">
        <v>42.115429646064094</v>
      </c>
      <c r="AH5191" s="9">
        <v>45.566990204681431</v>
      </c>
      <c r="AI5191" s="9">
        <v>48.2081665036403</v>
      </c>
      <c r="AJ5191" s="9">
        <v>3.0428788910505911</v>
      </c>
    </row>
    <row r="5192" spans="1:36" x14ac:dyDescent="0.25">
      <c r="A5192" t="s">
        <v>5411</v>
      </c>
      <c r="B5192" t="s">
        <v>16</v>
      </c>
      <c r="C5192" t="s">
        <v>17</v>
      </c>
      <c r="D5192">
        <v>88590000</v>
      </c>
      <c r="E5192">
        <v>88597999</v>
      </c>
      <c r="F5192" t="s">
        <v>4705</v>
      </c>
      <c r="G5192" t="str">
        <f t="shared" si="162"/>
        <v>SCI II</v>
      </c>
      <c r="H5192" t="s">
        <v>4654</v>
      </c>
      <c r="I5192" t="s">
        <v>20</v>
      </c>
      <c r="J5192" t="s">
        <v>64</v>
      </c>
      <c r="K5192" s="6">
        <v>0.03</v>
      </c>
      <c r="L5192" s="7">
        <f t="shared" si="163"/>
        <v>2E-3</v>
      </c>
      <c r="M5192" s="7">
        <v>3.0000000000000001E-3</v>
      </c>
      <c r="N5192">
        <v>11</v>
      </c>
      <c r="O5192" s="8">
        <v>19.475693895950801</v>
      </c>
      <c r="P5192" s="9">
        <v>19.475693895950801</v>
      </c>
      <c r="Q5192" s="9">
        <v>19.475693895950801</v>
      </c>
      <c r="R5192" s="9">
        <v>20.024452706180426</v>
      </c>
      <c r="S5192" s="9">
        <v>20.875099128492941</v>
      </c>
      <c r="T5192" s="9">
        <v>21.733350185946453</v>
      </c>
      <c r="U5192" s="9">
        <v>23.861555618318132</v>
      </c>
      <c r="V5192" s="9">
        <v>23.861555618318132</v>
      </c>
      <c r="W5192" s="9">
        <v>23.861555618318132</v>
      </c>
      <c r="X5192" s="9">
        <v>26.599525609534091</v>
      </c>
      <c r="Y5192" s="9">
        <v>26.599525609534091</v>
      </c>
      <c r="Z5192" s="9">
        <v>29.424604823442099</v>
      </c>
      <c r="AA5192" s="9">
        <v>29.424604823442099</v>
      </c>
      <c r="AB5192" s="9">
        <v>32.345504182311352</v>
      </c>
      <c r="AC5192" s="9">
        <v>32.345504182311352</v>
      </c>
      <c r="AD5192" s="9">
        <v>37.073967958020759</v>
      </c>
      <c r="AE5192" s="9">
        <v>39.537280452065687</v>
      </c>
      <c r="AF5192" s="9">
        <v>42.115429646064094</v>
      </c>
      <c r="AG5192" s="9">
        <v>42.115429646064094</v>
      </c>
      <c r="AH5192" s="9">
        <v>45.566990204681431</v>
      </c>
      <c r="AI5192" s="9">
        <v>48.2081665036403</v>
      </c>
      <c r="AJ5192" s="9">
        <v>3.0428788910505911</v>
      </c>
    </row>
    <row r="5193" spans="1:36" x14ac:dyDescent="0.25">
      <c r="A5193" t="s">
        <v>5411</v>
      </c>
      <c r="B5193" t="s">
        <v>16</v>
      </c>
      <c r="C5193" t="s">
        <v>17</v>
      </c>
      <c r="D5193">
        <v>88598000</v>
      </c>
      <c r="E5193">
        <v>88599999</v>
      </c>
      <c r="F5193" t="s">
        <v>4706</v>
      </c>
      <c r="G5193" t="str">
        <f t="shared" si="162"/>
        <v>SCI II</v>
      </c>
      <c r="H5193" t="s">
        <v>4654</v>
      </c>
      <c r="I5193" t="s">
        <v>20</v>
      </c>
      <c r="J5193" t="s">
        <v>64</v>
      </c>
      <c r="K5193" s="6">
        <v>0.03</v>
      </c>
      <c r="L5193" s="7">
        <f t="shared" si="163"/>
        <v>2E-3</v>
      </c>
      <c r="M5193" s="7">
        <v>3.0000000000000001E-3</v>
      </c>
      <c r="N5193">
        <v>11</v>
      </c>
      <c r="O5193" s="8">
        <v>19.475693895950801</v>
      </c>
      <c r="P5193" s="9">
        <v>19.475693895950801</v>
      </c>
      <c r="Q5193" s="9">
        <v>19.475693895950801</v>
      </c>
      <c r="R5193" s="9">
        <v>20.024452706180426</v>
      </c>
      <c r="S5193" s="9">
        <v>20.875099128492941</v>
      </c>
      <c r="T5193" s="9">
        <v>21.733350185946453</v>
      </c>
      <c r="U5193" s="9">
        <v>23.861555618318132</v>
      </c>
      <c r="V5193" s="9">
        <v>23.861555618318132</v>
      </c>
      <c r="W5193" s="9">
        <v>23.861555618318132</v>
      </c>
      <c r="X5193" s="9">
        <v>26.599525609534091</v>
      </c>
      <c r="Y5193" s="9">
        <v>26.599525609534091</v>
      </c>
      <c r="Z5193" s="9">
        <v>29.424604823442099</v>
      </c>
      <c r="AA5193" s="9">
        <v>29.424604823442099</v>
      </c>
      <c r="AB5193" s="9">
        <v>32.345504182311352</v>
      </c>
      <c r="AC5193" s="9">
        <v>32.345504182311352</v>
      </c>
      <c r="AD5193" s="9">
        <v>37.073967958020759</v>
      </c>
      <c r="AE5193" s="9">
        <v>39.537280452065687</v>
      </c>
      <c r="AF5193" s="9">
        <v>42.115429646064094</v>
      </c>
      <c r="AG5193" s="9">
        <v>42.115429646064094</v>
      </c>
      <c r="AH5193" s="9">
        <v>45.566990204681431</v>
      </c>
      <c r="AI5193" s="9">
        <v>48.2081665036403</v>
      </c>
      <c r="AJ5193" s="9">
        <v>3.0428788910505911</v>
      </c>
    </row>
    <row r="5194" spans="1:36" x14ac:dyDescent="0.25">
      <c r="A5194" t="s">
        <v>5411</v>
      </c>
      <c r="B5194" t="s">
        <v>16</v>
      </c>
      <c r="C5194" t="s">
        <v>17</v>
      </c>
      <c r="D5194">
        <v>88600000</v>
      </c>
      <c r="E5194">
        <v>88624999</v>
      </c>
      <c r="F5194" t="s">
        <v>4707</v>
      </c>
      <c r="G5194" t="str">
        <f t="shared" si="162"/>
        <v>SCI II</v>
      </c>
      <c r="H5194" t="s">
        <v>4654</v>
      </c>
      <c r="I5194" t="s">
        <v>20</v>
      </c>
      <c r="J5194" t="s">
        <v>64</v>
      </c>
      <c r="K5194" s="6">
        <v>0.03</v>
      </c>
      <c r="L5194" s="7">
        <f t="shared" si="163"/>
        <v>2E-3</v>
      </c>
      <c r="M5194" s="7">
        <v>3.0000000000000001E-3</v>
      </c>
      <c r="N5194">
        <v>10</v>
      </c>
      <c r="O5194" s="8">
        <v>19.475693895950801</v>
      </c>
      <c r="P5194" s="9">
        <v>19.475693895950801</v>
      </c>
      <c r="Q5194" s="9">
        <v>19.475693895950801</v>
      </c>
      <c r="R5194" s="9">
        <v>20.024452706180426</v>
      </c>
      <c r="S5194" s="9">
        <v>20.875099128492941</v>
      </c>
      <c r="T5194" s="9">
        <v>21.733350185946453</v>
      </c>
      <c r="U5194" s="9">
        <v>23.861555618318132</v>
      </c>
      <c r="V5194" s="9">
        <v>23.861555618318132</v>
      </c>
      <c r="W5194" s="9">
        <v>23.861555618318132</v>
      </c>
      <c r="X5194" s="9">
        <v>26.599525609534091</v>
      </c>
      <c r="Y5194" s="9">
        <v>26.599525609534091</v>
      </c>
      <c r="Z5194" s="9">
        <v>29.424604823442099</v>
      </c>
      <c r="AA5194" s="9">
        <v>29.424604823442099</v>
      </c>
      <c r="AB5194" s="9">
        <v>32.345504182311352</v>
      </c>
      <c r="AC5194" s="9">
        <v>32.345504182311352</v>
      </c>
      <c r="AD5194" s="9">
        <v>37.073967958020759</v>
      </c>
      <c r="AE5194" s="9">
        <v>39.537280452065687</v>
      </c>
      <c r="AF5194" s="9">
        <v>42.115429646064094</v>
      </c>
      <c r="AG5194" s="9">
        <v>42.115429646064094</v>
      </c>
      <c r="AH5194" s="9">
        <v>45.566990204681431</v>
      </c>
      <c r="AI5194" s="9">
        <v>48.2081665036403</v>
      </c>
      <c r="AJ5194" s="9">
        <v>3.0428788910505911</v>
      </c>
    </row>
    <row r="5195" spans="1:36" x14ac:dyDescent="0.25">
      <c r="A5195" t="s">
        <v>5411</v>
      </c>
      <c r="B5195" t="s">
        <v>16</v>
      </c>
      <c r="C5195" t="s">
        <v>17</v>
      </c>
      <c r="D5195">
        <v>88625000</v>
      </c>
      <c r="E5195">
        <v>88639999</v>
      </c>
      <c r="F5195" t="s">
        <v>4708</v>
      </c>
      <c r="G5195" t="str">
        <f t="shared" si="162"/>
        <v>SCI II</v>
      </c>
      <c r="H5195" t="s">
        <v>4654</v>
      </c>
      <c r="I5195" t="s">
        <v>20</v>
      </c>
      <c r="J5195" t="s">
        <v>64</v>
      </c>
      <c r="K5195" s="6">
        <v>0.03</v>
      </c>
      <c r="L5195" s="7">
        <f t="shared" si="163"/>
        <v>2E-3</v>
      </c>
      <c r="M5195" s="7">
        <v>3.0000000000000001E-3</v>
      </c>
      <c r="N5195">
        <v>11</v>
      </c>
      <c r="O5195" s="8">
        <v>19.475693895950801</v>
      </c>
      <c r="P5195" s="9">
        <v>19.475693895950801</v>
      </c>
      <c r="Q5195" s="9">
        <v>19.475693895950801</v>
      </c>
      <c r="R5195" s="9">
        <v>20.024452706180426</v>
      </c>
      <c r="S5195" s="9">
        <v>20.875099128492941</v>
      </c>
      <c r="T5195" s="9">
        <v>21.733350185946453</v>
      </c>
      <c r="U5195" s="9">
        <v>23.861555618318132</v>
      </c>
      <c r="V5195" s="9">
        <v>23.861555618318132</v>
      </c>
      <c r="W5195" s="9">
        <v>23.861555618318132</v>
      </c>
      <c r="X5195" s="9">
        <v>26.599525609534091</v>
      </c>
      <c r="Y5195" s="9">
        <v>26.599525609534091</v>
      </c>
      <c r="Z5195" s="9">
        <v>29.424604823442099</v>
      </c>
      <c r="AA5195" s="9">
        <v>29.424604823442099</v>
      </c>
      <c r="AB5195" s="9">
        <v>32.345504182311352</v>
      </c>
      <c r="AC5195" s="9">
        <v>32.345504182311352</v>
      </c>
      <c r="AD5195" s="9">
        <v>37.073967958020759</v>
      </c>
      <c r="AE5195" s="9">
        <v>39.537280452065687</v>
      </c>
      <c r="AF5195" s="9">
        <v>42.115429646064094</v>
      </c>
      <c r="AG5195" s="9">
        <v>42.115429646064094</v>
      </c>
      <c r="AH5195" s="9">
        <v>45.566990204681431</v>
      </c>
      <c r="AI5195" s="9">
        <v>48.2081665036403</v>
      </c>
      <c r="AJ5195" s="9">
        <v>3.0428788910505911</v>
      </c>
    </row>
    <row r="5196" spans="1:36" x14ac:dyDescent="0.25">
      <c r="A5196" t="s">
        <v>5411</v>
      </c>
      <c r="B5196" t="s">
        <v>16</v>
      </c>
      <c r="C5196" t="s">
        <v>17</v>
      </c>
      <c r="D5196">
        <v>88640000</v>
      </c>
      <c r="E5196">
        <v>88649999</v>
      </c>
      <c r="F5196" t="s">
        <v>4709</v>
      </c>
      <c r="G5196" t="str">
        <f t="shared" si="162"/>
        <v>SCI II</v>
      </c>
      <c r="H5196" t="s">
        <v>4654</v>
      </c>
      <c r="I5196" t="s">
        <v>20</v>
      </c>
      <c r="J5196" t="s">
        <v>64</v>
      </c>
      <c r="K5196" s="6">
        <v>0.03</v>
      </c>
      <c r="L5196" s="7">
        <f t="shared" si="163"/>
        <v>2E-3</v>
      </c>
      <c r="M5196" s="7">
        <v>3.0000000000000001E-3</v>
      </c>
      <c r="N5196">
        <v>11</v>
      </c>
      <c r="O5196" s="8">
        <v>19.475693895950801</v>
      </c>
      <c r="P5196" s="9">
        <v>19.475693895950801</v>
      </c>
      <c r="Q5196" s="9">
        <v>19.475693895950801</v>
      </c>
      <c r="R5196" s="9">
        <v>20.024452706180426</v>
      </c>
      <c r="S5196" s="9">
        <v>20.875099128492941</v>
      </c>
      <c r="T5196" s="9">
        <v>21.733350185946453</v>
      </c>
      <c r="U5196" s="9">
        <v>23.861555618318132</v>
      </c>
      <c r="V5196" s="9">
        <v>23.861555618318132</v>
      </c>
      <c r="W5196" s="9">
        <v>23.861555618318132</v>
      </c>
      <c r="X5196" s="9">
        <v>26.599525609534091</v>
      </c>
      <c r="Y5196" s="9">
        <v>26.599525609534091</v>
      </c>
      <c r="Z5196" s="9">
        <v>29.424604823442099</v>
      </c>
      <c r="AA5196" s="9">
        <v>29.424604823442099</v>
      </c>
      <c r="AB5196" s="9">
        <v>32.345504182311352</v>
      </c>
      <c r="AC5196" s="9">
        <v>32.345504182311352</v>
      </c>
      <c r="AD5196" s="9">
        <v>37.073967958020759</v>
      </c>
      <c r="AE5196" s="9">
        <v>39.537280452065687</v>
      </c>
      <c r="AF5196" s="9">
        <v>42.115429646064094</v>
      </c>
      <c r="AG5196" s="9">
        <v>42.115429646064094</v>
      </c>
      <c r="AH5196" s="9">
        <v>45.566990204681431</v>
      </c>
      <c r="AI5196" s="9">
        <v>48.2081665036403</v>
      </c>
      <c r="AJ5196" s="9">
        <v>3.0428788910505911</v>
      </c>
    </row>
    <row r="5197" spans="1:36" x14ac:dyDescent="0.25">
      <c r="A5197" t="s">
        <v>5411</v>
      </c>
      <c r="B5197" t="s">
        <v>16</v>
      </c>
      <c r="C5197" t="s">
        <v>17</v>
      </c>
      <c r="D5197">
        <v>88650000</v>
      </c>
      <c r="E5197">
        <v>88657999</v>
      </c>
      <c r="F5197" t="s">
        <v>4710</v>
      </c>
      <c r="G5197" t="str">
        <f t="shared" si="162"/>
        <v>SCI II</v>
      </c>
      <c r="H5197" t="s">
        <v>4654</v>
      </c>
      <c r="I5197" t="s">
        <v>20</v>
      </c>
      <c r="J5197" t="s">
        <v>64</v>
      </c>
      <c r="K5197" s="6">
        <v>0.03</v>
      </c>
      <c r="L5197" s="7">
        <f t="shared" si="163"/>
        <v>2E-3</v>
      </c>
      <c r="M5197" s="7">
        <v>3.0000000000000001E-3</v>
      </c>
      <c r="N5197">
        <v>10</v>
      </c>
      <c r="O5197" s="8">
        <v>19.475693895950801</v>
      </c>
      <c r="P5197" s="9">
        <v>19.475693895950801</v>
      </c>
      <c r="Q5197" s="9">
        <v>19.475693895950801</v>
      </c>
      <c r="R5197" s="9">
        <v>20.024452706180426</v>
      </c>
      <c r="S5197" s="9">
        <v>20.875099128492941</v>
      </c>
      <c r="T5197" s="9">
        <v>21.733350185946453</v>
      </c>
      <c r="U5197" s="9">
        <v>23.861555618318132</v>
      </c>
      <c r="V5197" s="9">
        <v>23.861555618318132</v>
      </c>
      <c r="W5197" s="9">
        <v>23.861555618318132</v>
      </c>
      <c r="X5197" s="9">
        <v>26.599525609534091</v>
      </c>
      <c r="Y5197" s="9">
        <v>26.599525609534091</v>
      </c>
      <c r="Z5197" s="9">
        <v>29.424604823442099</v>
      </c>
      <c r="AA5197" s="9">
        <v>29.424604823442099</v>
      </c>
      <c r="AB5197" s="9">
        <v>32.345504182311352</v>
      </c>
      <c r="AC5197" s="9">
        <v>32.345504182311352</v>
      </c>
      <c r="AD5197" s="9">
        <v>37.073967958020759</v>
      </c>
      <c r="AE5197" s="9">
        <v>39.537280452065687</v>
      </c>
      <c r="AF5197" s="9">
        <v>42.115429646064094</v>
      </c>
      <c r="AG5197" s="9">
        <v>42.115429646064094</v>
      </c>
      <c r="AH5197" s="9">
        <v>45.566990204681431</v>
      </c>
      <c r="AI5197" s="9">
        <v>48.2081665036403</v>
      </c>
      <c r="AJ5197" s="9">
        <v>3.0428788910505911</v>
      </c>
    </row>
    <row r="5198" spans="1:36" x14ac:dyDescent="0.25">
      <c r="A5198" t="s">
        <v>5411</v>
      </c>
      <c r="B5198" t="s">
        <v>16</v>
      </c>
      <c r="C5198" t="s">
        <v>17</v>
      </c>
      <c r="D5198">
        <v>88658000</v>
      </c>
      <c r="E5198">
        <v>88679999</v>
      </c>
      <c r="F5198" t="s">
        <v>4711</v>
      </c>
      <c r="G5198" t="str">
        <f t="shared" si="162"/>
        <v>SCI II</v>
      </c>
      <c r="H5198" t="s">
        <v>4654</v>
      </c>
      <c r="I5198" t="s">
        <v>20</v>
      </c>
      <c r="J5198" t="s">
        <v>64</v>
      </c>
      <c r="K5198" s="6">
        <v>0.03</v>
      </c>
      <c r="L5198" s="7">
        <f t="shared" si="163"/>
        <v>2E-3</v>
      </c>
      <c r="M5198" s="7">
        <v>3.0000000000000001E-3</v>
      </c>
      <c r="N5198">
        <v>11</v>
      </c>
      <c r="O5198" s="8">
        <v>19.475693895950801</v>
      </c>
      <c r="P5198" s="9">
        <v>19.475693895950801</v>
      </c>
      <c r="Q5198" s="9">
        <v>19.475693895950801</v>
      </c>
      <c r="R5198" s="9">
        <v>20.024452706180426</v>
      </c>
      <c r="S5198" s="9">
        <v>20.875099128492941</v>
      </c>
      <c r="T5198" s="9">
        <v>21.733350185946453</v>
      </c>
      <c r="U5198" s="9">
        <v>23.861555618318132</v>
      </c>
      <c r="V5198" s="9">
        <v>23.861555618318132</v>
      </c>
      <c r="W5198" s="9">
        <v>23.861555618318132</v>
      </c>
      <c r="X5198" s="9">
        <v>26.599525609534091</v>
      </c>
      <c r="Y5198" s="9">
        <v>26.599525609534091</v>
      </c>
      <c r="Z5198" s="9">
        <v>29.424604823442099</v>
      </c>
      <c r="AA5198" s="9">
        <v>29.424604823442099</v>
      </c>
      <c r="AB5198" s="9">
        <v>32.345504182311352</v>
      </c>
      <c r="AC5198" s="9">
        <v>32.345504182311352</v>
      </c>
      <c r="AD5198" s="9">
        <v>37.073967958020759</v>
      </c>
      <c r="AE5198" s="9">
        <v>39.537280452065687</v>
      </c>
      <c r="AF5198" s="9">
        <v>42.115429646064094</v>
      </c>
      <c r="AG5198" s="9">
        <v>42.115429646064094</v>
      </c>
      <c r="AH5198" s="9">
        <v>45.566990204681431</v>
      </c>
      <c r="AI5198" s="9">
        <v>48.2081665036403</v>
      </c>
      <c r="AJ5198" s="9">
        <v>3.0428788910505911</v>
      </c>
    </row>
    <row r="5199" spans="1:36" x14ac:dyDescent="0.25">
      <c r="A5199" t="s">
        <v>5411</v>
      </c>
      <c r="B5199" t="s">
        <v>16</v>
      </c>
      <c r="C5199" t="s">
        <v>17</v>
      </c>
      <c r="D5199">
        <v>88680000</v>
      </c>
      <c r="E5199">
        <v>88699999</v>
      </c>
      <c r="F5199" t="s">
        <v>4712</v>
      </c>
      <c r="G5199" t="str">
        <f t="shared" si="162"/>
        <v>SCI II</v>
      </c>
      <c r="H5199" t="s">
        <v>4654</v>
      </c>
      <c r="I5199" t="s">
        <v>20</v>
      </c>
      <c r="J5199" t="s">
        <v>64</v>
      </c>
      <c r="K5199" s="6">
        <v>0.03</v>
      </c>
      <c r="L5199" s="7">
        <f t="shared" si="163"/>
        <v>2E-3</v>
      </c>
      <c r="M5199" s="7">
        <v>3.0000000000000001E-3</v>
      </c>
      <c r="N5199">
        <v>10</v>
      </c>
      <c r="O5199" s="8">
        <v>19.475693895950801</v>
      </c>
      <c r="P5199" s="9">
        <v>19.475693895950801</v>
      </c>
      <c r="Q5199" s="9">
        <v>19.475693895950801</v>
      </c>
      <c r="R5199" s="9">
        <v>20.024452706180426</v>
      </c>
      <c r="S5199" s="9">
        <v>20.875099128492941</v>
      </c>
      <c r="T5199" s="9">
        <v>21.733350185946453</v>
      </c>
      <c r="U5199" s="9">
        <v>23.861555618318132</v>
      </c>
      <c r="V5199" s="9">
        <v>23.861555618318132</v>
      </c>
      <c r="W5199" s="9">
        <v>23.861555618318132</v>
      </c>
      <c r="X5199" s="9">
        <v>26.599525609534091</v>
      </c>
      <c r="Y5199" s="9">
        <v>26.599525609534091</v>
      </c>
      <c r="Z5199" s="9">
        <v>29.424604823442099</v>
      </c>
      <c r="AA5199" s="9">
        <v>29.424604823442099</v>
      </c>
      <c r="AB5199" s="9">
        <v>32.345504182311352</v>
      </c>
      <c r="AC5199" s="9">
        <v>32.345504182311352</v>
      </c>
      <c r="AD5199" s="9">
        <v>37.073967958020759</v>
      </c>
      <c r="AE5199" s="9">
        <v>39.537280452065687</v>
      </c>
      <c r="AF5199" s="9">
        <v>42.115429646064094</v>
      </c>
      <c r="AG5199" s="9">
        <v>42.115429646064094</v>
      </c>
      <c r="AH5199" s="9">
        <v>45.566990204681431</v>
      </c>
      <c r="AI5199" s="9">
        <v>48.2081665036403</v>
      </c>
      <c r="AJ5199" s="9">
        <v>3.0428788910505911</v>
      </c>
    </row>
    <row r="5200" spans="1:36" x14ac:dyDescent="0.25">
      <c r="A5200" t="s">
        <v>5411</v>
      </c>
      <c r="B5200" t="s">
        <v>16</v>
      </c>
      <c r="C5200" t="s">
        <v>17</v>
      </c>
      <c r="D5200">
        <v>88700000</v>
      </c>
      <c r="E5200">
        <v>88709999</v>
      </c>
      <c r="F5200" t="s">
        <v>4713</v>
      </c>
      <c r="G5200" t="str">
        <f t="shared" si="162"/>
        <v>SCI</v>
      </c>
      <c r="H5200" t="s">
        <v>4654</v>
      </c>
      <c r="I5200" t="s">
        <v>20</v>
      </c>
      <c r="J5200" t="s">
        <v>62</v>
      </c>
      <c r="K5200" s="6">
        <v>0.03</v>
      </c>
      <c r="L5200" s="7">
        <f t="shared" si="163"/>
        <v>2E-3</v>
      </c>
      <c r="M5200" s="7">
        <v>3.0000000000000001E-3</v>
      </c>
      <c r="N5200">
        <v>9</v>
      </c>
      <c r="O5200" s="8">
        <v>16.631361039134706</v>
      </c>
      <c r="P5200" s="9">
        <v>16.631361039134706</v>
      </c>
      <c r="Q5200" s="9">
        <v>16.631361039134706</v>
      </c>
      <c r="R5200" s="9">
        <v>17.060180136455905</v>
      </c>
      <c r="S5200" s="9">
        <v>18.024171003933382</v>
      </c>
      <c r="T5200" s="9">
        <v>18.868116637328029</v>
      </c>
      <c r="U5200" s="9">
        <v>20.58817720770605</v>
      </c>
      <c r="V5200" s="9">
        <v>20.58817720770605</v>
      </c>
      <c r="W5200" s="9">
        <v>20.58817720770605</v>
      </c>
      <c r="X5200" s="9">
        <v>22.864259828555831</v>
      </c>
      <c r="Y5200" s="9">
        <v>22.864259828555831</v>
      </c>
      <c r="Z5200" s="9">
        <v>25.323053608820352</v>
      </c>
      <c r="AA5200" s="9">
        <v>25.323053608820352</v>
      </c>
      <c r="AB5200" s="9">
        <v>28.021815637038035</v>
      </c>
      <c r="AC5200" s="9">
        <v>28.021815637038035</v>
      </c>
      <c r="AD5200" s="9">
        <v>30.863654196486234</v>
      </c>
      <c r="AE5200" s="9">
        <v>33.866973124126531</v>
      </c>
      <c r="AF5200" s="9">
        <v>37.052606032896897</v>
      </c>
      <c r="AG5200" s="9">
        <v>37.052606032896897</v>
      </c>
      <c r="AH5200" s="9">
        <v>39.965079814445566</v>
      </c>
      <c r="AI5200" s="9">
        <v>42.780649023864797</v>
      </c>
      <c r="AJ5200" s="9">
        <v>3.0428788910505911</v>
      </c>
    </row>
    <row r="5201" spans="1:36" x14ac:dyDescent="0.25">
      <c r="A5201" t="s">
        <v>5411</v>
      </c>
      <c r="B5201" t="s">
        <v>16</v>
      </c>
      <c r="C5201" t="s">
        <v>17</v>
      </c>
      <c r="D5201">
        <v>88710000</v>
      </c>
      <c r="E5201">
        <v>88714999</v>
      </c>
      <c r="F5201" t="s">
        <v>4714</v>
      </c>
      <c r="G5201" t="str">
        <f t="shared" si="162"/>
        <v>SCI II</v>
      </c>
      <c r="H5201" t="s">
        <v>4654</v>
      </c>
      <c r="I5201" t="s">
        <v>20</v>
      </c>
      <c r="J5201" t="s">
        <v>64</v>
      </c>
      <c r="K5201" s="6">
        <v>0.03</v>
      </c>
      <c r="L5201" s="7">
        <f t="shared" si="163"/>
        <v>2E-3</v>
      </c>
      <c r="M5201" s="7">
        <v>3.0000000000000001E-3</v>
      </c>
      <c r="N5201">
        <v>11</v>
      </c>
      <c r="O5201" s="8">
        <v>19.475693895950801</v>
      </c>
      <c r="P5201" s="9">
        <v>19.475693895950801</v>
      </c>
      <c r="Q5201" s="9">
        <v>19.475693895950801</v>
      </c>
      <c r="R5201" s="9">
        <v>20.024452706180426</v>
      </c>
      <c r="S5201" s="9">
        <v>20.875099128492941</v>
      </c>
      <c r="T5201" s="9">
        <v>21.733350185946453</v>
      </c>
      <c r="U5201" s="9">
        <v>23.861555618318132</v>
      </c>
      <c r="V5201" s="9">
        <v>23.861555618318132</v>
      </c>
      <c r="W5201" s="9">
        <v>23.861555618318132</v>
      </c>
      <c r="X5201" s="9">
        <v>26.599525609534091</v>
      </c>
      <c r="Y5201" s="9">
        <v>26.599525609534091</v>
      </c>
      <c r="Z5201" s="9">
        <v>29.424604823442099</v>
      </c>
      <c r="AA5201" s="9">
        <v>29.424604823442099</v>
      </c>
      <c r="AB5201" s="9">
        <v>32.345504182311352</v>
      </c>
      <c r="AC5201" s="9">
        <v>32.345504182311352</v>
      </c>
      <c r="AD5201" s="9">
        <v>37.073967958020759</v>
      </c>
      <c r="AE5201" s="9">
        <v>39.537280452065687</v>
      </c>
      <c r="AF5201" s="9">
        <v>42.115429646064094</v>
      </c>
      <c r="AG5201" s="9">
        <v>42.115429646064094</v>
      </c>
      <c r="AH5201" s="9">
        <v>45.566990204681431</v>
      </c>
      <c r="AI5201" s="9">
        <v>48.2081665036403</v>
      </c>
      <c r="AJ5201" s="9">
        <v>3.0428788910505911</v>
      </c>
    </row>
    <row r="5202" spans="1:36" x14ac:dyDescent="0.25">
      <c r="A5202" t="s">
        <v>5411</v>
      </c>
      <c r="B5202" t="s">
        <v>16</v>
      </c>
      <c r="C5202" t="s">
        <v>17</v>
      </c>
      <c r="D5202">
        <v>88715000</v>
      </c>
      <c r="E5202">
        <v>88716999</v>
      </c>
      <c r="F5202" t="s">
        <v>4715</v>
      </c>
      <c r="G5202" t="str">
        <f t="shared" si="162"/>
        <v>SCI II</v>
      </c>
      <c r="H5202" t="s">
        <v>4654</v>
      </c>
      <c r="I5202" t="s">
        <v>20</v>
      </c>
      <c r="J5202" t="s">
        <v>64</v>
      </c>
      <c r="K5202" s="6">
        <v>0.03</v>
      </c>
      <c r="L5202" s="7">
        <f t="shared" si="163"/>
        <v>2E-3</v>
      </c>
      <c r="M5202" s="7">
        <v>3.0000000000000001E-3</v>
      </c>
      <c r="N5202">
        <v>11</v>
      </c>
      <c r="O5202" s="8">
        <v>19.475693895950801</v>
      </c>
      <c r="P5202" s="9">
        <v>19.475693895950801</v>
      </c>
      <c r="Q5202" s="9">
        <v>19.475693895950801</v>
      </c>
      <c r="R5202" s="9">
        <v>20.024452706180426</v>
      </c>
      <c r="S5202" s="9">
        <v>20.875099128492941</v>
      </c>
      <c r="T5202" s="9">
        <v>21.733350185946453</v>
      </c>
      <c r="U5202" s="9">
        <v>23.861555618318132</v>
      </c>
      <c r="V5202" s="9">
        <v>23.861555618318132</v>
      </c>
      <c r="W5202" s="9">
        <v>23.861555618318132</v>
      </c>
      <c r="X5202" s="9">
        <v>26.599525609534091</v>
      </c>
      <c r="Y5202" s="9">
        <v>26.599525609534091</v>
      </c>
      <c r="Z5202" s="9">
        <v>29.424604823442099</v>
      </c>
      <c r="AA5202" s="9">
        <v>29.424604823442099</v>
      </c>
      <c r="AB5202" s="9">
        <v>32.345504182311352</v>
      </c>
      <c r="AC5202" s="9">
        <v>32.345504182311352</v>
      </c>
      <c r="AD5202" s="9">
        <v>37.073967958020759</v>
      </c>
      <c r="AE5202" s="9">
        <v>39.537280452065687</v>
      </c>
      <c r="AF5202" s="9">
        <v>42.115429646064094</v>
      </c>
      <c r="AG5202" s="9">
        <v>42.115429646064094</v>
      </c>
      <c r="AH5202" s="9">
        <v>45.566990204681431</v>
      </c>
      <c r="AI5202" s="9">
        <v>48.2081665036403</v>
      </c>
      <c r="AJ5202" s="9">
        <v>3.0428788910505911</v>
      </c>
    </row>
    <row r="5203" spans="1:36" x14ac:dyDescent="0.25">
      <c r="A5203" t="s">
        <v>5411</v>
      </c>
      <c r="B5203" t="s">
        <v>16</v>
      </c>
      <c r="C5203" t="s">
        <v>17</v>
      </c>
      <c r="D5203">
        <v>88717000</v>
      </c>
      <c r="E5203">
        <v>88719999</v>
      </c>
      <c r="F5203" t="s">
        <v>4716</v>
      </c>
      <c r="G5203" t="str">
        <f t="shared" si="162"/>
        <v>SCI II</v>
      </c>
      <c r="H5203" t="s">
        <v>4654</v>
      </c>
      <c r="I5203" t="s">
        <v>20</v>
      </c>
      <c r="J5203" t="s">
        <v>64</v>
      </c>
      <c r="K5203" s="6">
        <v>0.03</v>
      </c>
      <c r="L5203" s="7">
        <f t="shared" si="163"/>
        <v>2E-3</v>
      </c>
      <c r="M5203" s="7">
        <v>3.0000000000000001E-3</v>
      </c>
      <c r="N5203">
        <v>11</v>
      </c>
      <c r="O5203" s="8">
        <v>19.475693895950801</v>
      </c>
      <c r="P5203" s="9">
        <v>19.475693895950801</v>
      </c>
      <c r="Q5203" s="9">
        <v>19.475693895950801</v>
      </c>
      <c r="R5203" s="9">
        <v>20.024452706180426</v>
      </c>
      <c r="S5203" s="9">
        <v>20.875099128492941</v>
      </c>
      <c r="T5203" s="9">
        <v>21.733350185946453</v>
      </c>
      <c r="U5203" s="9">
        <v>23.861555618318132</v>
      </c>
      <c r="V5203" s="9">
        <v>23.861555618318132</v>
      </c>
      <c r="W5203" s="9">
        <v>23.861555618318132</v>
      </c>
      <c r="X5203" s="9">
        <v>26.599525609534091</v>
      </c>
      <c r="Y5203" s="9">
        <v>26.599525609534091</v>
      </c>
      <c r="Z5203" s="9">
        <v>29.424604823442099</v>
      </c>
      <c r="AA5203" s="9">
        <v>29.424604823442099</v>
      </c>
      <c r="AB5203" s="9">
        <v>32.345504182311352</v>
      </c>
      <c r="AC5203" s="9">
        <v>32.345504182311352</v>
      </c>
      <c r="AD5203" s="9">
        <v>37.073967958020759</v>
      </c>
      <c r="AE5203" s="9">
        <v>39.537280452065687</v>
      </c>
      <c r="AF5203" s="9">
        <v>42.115429646064094</v>
      </c>
      <c r="AG5203" s="9">
        <v>42.115429646064094</v>
      </c>
      <c r="AH5203" s="9">
        <v>45.566990204681431</v>
      </c>
      <c r="AI5203" s="9">
        <v>48.2081665036403</v>
      </c>
      <c r="AJ5203" s="9">
        <v>3.0428788910505911</v>
      </c>
    </row>
    <row r="5204" spans="1:36" x14ac:dyDescent="0.25">
      <c r="A5204" t="s">
        <v>5411</v>
      </c>
      <c r="B5204" t="s">
        <v>16</v>
      </c>
      <c r="C5204" t="s">
        <v>17</v>
      </c>
      <c r="D5204">
        <v>88720000</v>
      </c>
      <c r="E5204">
        <v>88729999</v>
      </c>
      <c r="F5204" t="s">
        <v>4717</v>
      </c>
      <c r="G5204" t="str">
        <f t="shared" si="162"/>
        <v>SCI II</v>
      </c>
      <c r="H5204" t="s">
        <v>4654</v>
      </c>
      <c r="I5204" t="s">
        <v>20</v>
      </c>
      <c r="J5204" t="s">
        <v>64</v>
      </c>
      <c r="K5204" s="6">
        <v>0.03</v>
      </c>
      <c r="L5204" s="7">
        <f t="shared" si="163"/>
        <v>2E-3</v>
      </c>
      <c r="M5204" s="7">
        <v>3.0000000000000001E-3</v>
      </c>
      <c r="N5204">
        <v>11</v>
      </c>
      <c r="O5204" s="8">
        <v>19.475693895950801</v>
      </c>
      <c r="P5204" s="9">
        <v>19.475693895950801</v>
      </c>
      <c r="Q5204" s="9">
        <v>19.475693895950801</v>
      </c>
      <c r="R5204" s="9">
        <v>20.024452706180426</v>
      </c>
      <c r="S5204" s="9">
        <v>20.875099128492941</v>
      </c>
      <c r="T5204" s="9">
        <v>21.733350185946453</v>
      </c>
      <c r="U5204" s="9">
        <v>23.861555618318132</v>
      </c>
      <c r="V5204" s="9">
        <v>23.861555618318132</v>
      </c>
      <c r="W5204" s="9">
        <v>23.861555618318132</v>
      </c>
      <c r="X5204" s="9">
        <v>26.599525609534091</v>
      </c>
      <c r="Y5204" s="9">
        <v>26.599525609534091</v>
      </c>
      <c r="Z5204" s="9">
        <v>29.424604823442099</v>
      </c>
      <c r="AA5204" s="9">
        <v>29.424604823442099</v>
      </c>
      <c r="AB5204" s="9">
        <v>32.345504182311352</v>
      </c>
      <c r="AC5204" s="9">
        <v>32.345504182311352</v>
      </c>
      <c r="AD5204" s="9">
        <v>37.073967958020759</v>
      </c>
      <c r="AE5204" s="9">
        <v>39.537280452065687</v>
      </c>
      <c r="AF5204" s="9">
        <v>42.115429646064094</v>
      </c>
      <c r="AG5204" s="9">
        <v>42.115429646064094</v>
      </c>
      <c r="AH5204" s="9">
        <v>45.566990204681431</v>
      </c>
      <c r="AI5204" s="9">
        <v>48.2081665036403</v>
      </c>
      <c r="AJ5204" s="9">
        <v>3.0428788910505911</v>
      </c>
    </row>
    <row r="5205" spans="1:36" x14ac:dyDescent="0.25">
      <c r="A5205" t="s">
        <v>5411</v>
      </c>
      <c r="B5205" t="s">
        <v>16</v>
      </c>
      <c r="C5205" t="s">
        <v>17</v>
      </c>
      <c r="D5205">
        <v>88730000</v>
      </c>
      <c r="E5205">
        <v>88734999</v>
      </c>
      <c r="F5205" t="s">
        <v>4718</v>
      </c>
      <c r="G5205" t="str">
        <f t="shared" si="162"/>
        <v>SCI II</v>
      </c>
      <c r="H5205" t="s">
        <v>4654</v>
      </c>
      <c r="I5205" t="s">
        <v>20</v>
      </c>
      <c r="J5205" t="s">
        <v>64</v>
      </c>
      <c r="K5205" s="6">
        <v>0.03</v>
      </c>
      <c r="L5205" s="7">
        <f t="shared" si="163"/>
        <v>2E-3</v>
      </c>
      <c r="M5205" s="7">
        <v>3.0000000000000001E-3</v>
      </c>
      <c r="N5205">
        <v>11</v>
      </c>
      <c r="O5205" s="8">
        <v>19.475693895950801</v>
      </c>
      <c r="P5205" s="9">
        <v>19.475693895950801</v>
      </c>
      <c r="Q5205" s="9">
        <v>19.475693895950801</v>
      </c>
      <c r="R5205" s="9">
        <v>20.024452706180426</v>
      </c>
      <c r="S5205" s="9">
        <v>20.875099128492941</v>
      </c>
      <c r="T5205" s="9">
        <v>21.733350185946453</v>
      </c>
      <c r="U5205" s="9">
        <v>23.861555618318132</v>
      </c>
      <c r="V5205" s="9">
        <v>23.861555618318132</v>
      </c>
      <c r="W5205" s="9">
        <v>23.861555618318132</v>
      </c>
      <c r="X5205" s="9">
        <v>26.599525609534091</v>
      </c>
      <c r="Y5205" s="9">
        <v>26.599525609534091</v>
      </c>
      <c r="Z5205" s="9">
        <v>29.424604823442099</v>
      </c>
      <c r="AA5205" s="9">
        <v>29.424604823442099</v>
      </c>
      <c r="AB5205" s="9">
        <v>32.345504182311352</v>
      </c>
      <c r="AC5205" s="9">
        <v>32.345504182311352</v>
      </c>
      <c r="AD5205" s="9">
        <v>37.073967958020759</v>
      </c>
      <c r="AE5205" s="9">
        <v>39.537280452065687</v>
      </c>
      <c r="AF5205" s="9">
        <v>42.115429646064094</v>
      </c>
      <c r="AG5205" s="9">
        <v>42.115429646064094</v>
      </c>
      <c r="AH5205" s="9">
        <v>45.566990204681431</v>
      </c>
      <c r="AI5205" s="9">
        <v>48.2081665036403</v>
      </c>
      <c r="AJ5205" s="9">
        <v>3.0428788910505911</v>
      </c>
    </row>
    <row r="5206" spans="1:36" x14ac:dyDescent="0.25">
      <c r="A5206" t="s">
        <v>5411</v>
      </c>
      <c r="B5206" t="s">
        <v>16</v>
      </c>
      <c r="C5206" t="s">
        <v>17</v>
      </c>
      <c r="D5206">
        <v>88735000</v>
      </c>
      <c r="E5206">
        <v>88739999</v>
      </c>
      <c r="F5206" t="s">
        <v>4719</v>
      </c>
      <c r="G5206" t="str">
        <f t="shared" si="162"/>
        <v>SCI II</v>
      </c>
      <c r="H5206" t="s">
        <v>4654</v>
      </c>
      <c r="I5206" t="s">
        <v>20</v>
      </c>
      <c r="J5206" t="s">
        <v>64</v>
      </c>
      <c r="K5206" s="6">
        <v>0.03</v>
      </c>
      <c r="L5206" s="7">
        <f t="shared" si="163"/>
        <v>2E-3</v>
      </c>
      <c r="M5206" s="7">
        <v>3.0000000000000001E-3</v>
      </c>
      <c r="N5206">
        <v>11</v>
      </c>
      <c r="O5206" s="8">
        <v>19.475693895950801</v>
      </c>
      <c r="P5206" s="9">
        <v>19.475693895950801</v>
      </c>
      <c r="Q5206" s="9">
        <v>19.475693895950801</v>
      </c>
      <c r="R5206" s="9">
        <v>20.024452706180426</v>
      </c>
      <c r="S5206" s="9">
        <v>20.875099128492941</v>
      </c>
      <c r="T5206" s="9">
        <v>21.733350185946453</v>
      </c>
      <c r="U5206" s="9">
        <v>23.861555618318132</v>
      </c>
      <c r="V5206" s="9">
        <v>23.861555618318132</v>
      </c>
      <c r="W5206" s="9">
        <v>23.861555618318132</v>
      </c>
      <c r="X5206" s="9">
        <v>26.599525609534091</v>
      </c>
      <c r="Y5206" s="9">
        <v>26.599525609534091</v>
      </c>
      <c r="Z5206" s="9">
        <v>29.424604823442099</v>
      </c>
      <c r="AA5206" s="9">
        <v>29.424604823442099</v>
      </c>
      <c r="AB5206" s="9">
        <v>32.345504182311352</v>
      </c>
      <c r="AC5206" s="9">
        <v>32.345504182311352</v>
      </c>
      <c r="AD5206" s="9">
        <v>37.073967958020759</v>
      </c>
      <c r="AE5206" s="9">
        <v>39.537280452065687</v>
      </c>
      <c r="AF5206" s="9">
        <v>42.115429646064094</v>
      </c>
      <c r="AG5206" s="9">
        <v>42.115429646064094</v>
      </c>
      <c r="AH5206" s="9">
        <v>45.566990204681431</v>
      </c>
      <c r="AI5206" s="9">
        <v>48.2081665036403</v>
      </c>
      <c r="AJ5206" s="9">
        <v>3.0428788910505911</v>
      </c>
    </row>
    <row r="5207" spans="1:36" x14ac:dyDescent="0.25">
      <c r="A5207" t="s">
        <v>5411</v>
      </c>
      <c r="B5207" t="s">
        <v>16</v>
      </c>
      <c r="C5207" t="s">
        <v>17</v>
      </c>
      <c r="D5207">
        <v>88740000</v>
      </c>
      <c r="E5207">
        <v>88744999</v>
      </c>
      <c r="F5207" t="s">
        <v>4720</v>
      </c>
      <c r="G5207" t="str">
        <f t="shared" si="162"/>
        <v>SCI II</v>
      </c>
      <c r="H5207" t="s">
        <v>4654</v>
      </c>
      <c r="I5207" t="s">
        <v>20</v>
      </c>
      <c r="J5207" t="s">
        <v>64</v>
      </c>
      <c r="K5207" s="6">
        <v>0.03</v>
      </c>
      <c r="L5207" s="7">
        <f t="shared" si="163"/>
        <v>2E-3</v>
      </c>
      <c r="M5207" s="7">
        <v>3.0000000000000001E-3</v>
      </c>
      <c r="N5207">
        <v>11</v>
      </c>
      <c r="O5207" s="8">
        <v>19.475693895950801</v>
      </c>
      <c r="P5207" s="9">
        <v>19.475693895950801</v>
      </c>
      <c r="Q5207" s="9">
        <v>19.475693895950801</v>
      </c>
      <c r="R5207" s="9">
        <v>20.024452706180426</v>
      </c>
      <c r="S5207" s="9">
        <v>20.875099128492941</v>
      </c>
      <c r="T5207" s="9">
        <v>21.733350185946453</v>
      </c>
      <c r="U5207" s="9">
        <v>23.861555618318132</v>
      </c>
      <c r="V5207" s="9">
        <v>23.861555618318132</v>
      </c>
      <c r="W5207" s="9">
        <v>23.861555618318132</v>
      </c>
      <c r="X5207" s="9">
        <v>26.599525609534091</v>
      </c>
      <c r="Y5207" s="9">
        <v>26.599525609534091</v>
      </c>
      <c r="Z5207" s="9">
        <v>29.424604823442099</v>
      </c>
      <c r="AA5207" s="9">
        <v>29.424604823442099</v>
      </c>
      <c r="AB5207" s="9">
        <v>32.345504182311352</v>
      </c>
      <c r="AC5207" s="9">
        <v>32.345504182311352</v>
      </c>
      <c r="AD5207" s="9">
        <v>37.073967958020759</v>
      </c>
      <c r="AE5207" s="9">
        <v>39.537280452065687</v>
      </c>
      <c r="AF5207" s="9">
        <v>42.115429646064094</v>
      </c>
      <c r="AG5207" s="9">
        <v>42.115429646064094</v>
      </c>
      <c r="AH5207" s="9">
        <v>45.566990204681431</v>
      </c>
      <c r="AI5207" s="9">
        <v>48.2081665036403</v>
      </c>
      <c r="AJ5207" s="9">
        <v>3.0428788910505911</v>
      </c>
    </row>
    <row r="5208" spans="1:36" x14ac:dyDescent="0.25">
      <c r="A5208" t="s">
        <v>5411</v>
      </c>
      <c r="B5208" t="s">
        <v>16</v>
      </c>
      <c r="C5208" t="s">
        <v>17</v>
      </c>
      <c r="D5208">
        <v>88745000</v>
      </c>
      <c r="E5208">
        <v>88749999</v>
      </c>
      <c r="F5208" t="s">
        <v>4721</v>
      </c>
      <c r="G5208" t="str">
        <f t="shared" si="162"/>
        <v>SCI II</v>
      </c>
      <c r="H5208" t="s">
        <v>4654</v>
      </c>
      <c r="I5208" t="s">
        <v>20</v>
      </c>
      <c r="J5208" t="s">
        <v>64</v>
      </c>
      <c r="K5208" s="6">
        <v>0.03</v>
      </c>
      <c r="L5208" s="7">
        <f t="shared" si="163"/>
        <v>2E-3</v>
      </c>
      <c r="M5208" s="7">
        <v>3.0000000000000001E-3</v>
      </c>
      <c r="N5208">
        <v>11</v>
      </c>
      <c r="O5208" s="8">
        <v>19.475693895950801</v>
      </c>
      <c r="P5208" s="9">
        <v>19.475693895950801</v>
      </c>
      <c r="Q5208" s="9">
        <v>19.475693895950801</v>
      </c>
      <c r="R5208" s="9">
        <v>20.024452706180426</v>
      </c>
      <c r="S5208" s="9">
        <v>20.875099128492941</v>
      </c>
      <c r="T5208" s="9">
        <v>21.733350185946453</v>
      </c>
      <c r="U5208" s="9">
        <v>23.861555618318132</v>
      </c>
      <c r="V5208" s="9">
        <v>23.861555618318132</v>
      </c>
      <c r="W5208" s="9">
        <v>23.861555618318132</v>
      </c>
      <c r="X5208" s="9">
        <v>26.599525609534091</v>
      </c>
      <c r="Y5208" s="9">
        <v>26.599525609534091</v>
      </c>
      <c r="Z5208" s="9">
        <v>29.424604823442099</v>
      </c>
      <c r="AA5208" s="9">
        <v>29.424604823442099</v>
      </c>
      <c r="AB5208" s="9">
        <v>32.345504182311352</v>
      </c>
      <c r="AC5208" s="9">
        <v>32.345504182311352</v>
      </c>
      <c r="AD5208" s="9">
        <v>37.073967958020759</v>
      </c>
      <c r="AE5208" s="9">
        <v>39.537280452065687</v>
      </c>
      <c r="AF5208" s="9">
        <v>42.115429646064094</v>
      </c>
      <c r="AG5208" s="9">
        <v>42.115429646064094</v>
      </c>
      <c r="AH5208" s="9">
        <v>45.566990204681431</v>
      </c>
      <c r="AI5208" s="9">
        <v>48.2081665036403</v>
      </c>
      <c r="AJ5208" s="9">
        <v>3.0428788910505911</v>
      </c>
    </row>
    <row r="5209" spans="1:36" x14ac:dyDescent="0.25">
      <c r="A5209" t="s">
        <v>5411</v>
      </c>
      <c r="B5209" t="s">
        <v>16</v>
      </c>
      <c r="C5209" t="s">
        <v>17</v>
      </c>
      <c r="D5209">
        <v>88750000</v>
      </c>
      <c r="E5209">
        <v>88759999</v>
      </c>
      <c r="F5209" t="s">
        <v>4722</v>
      </c>
      <c r="G5209" t="str">
        <f t="shared" si="162"/>
        <v>SCI</v>
      </c>
      <c r="H5209" t="s">
        <v>4654</v>
      </c>
      <c r="I5209" t="s">
        <v>20</v>
      </c>
      <c r="J5209" t="s">
        <v>62</v>
      </c>
      <c r="K5209" s="6">
        <v>0.03</v>
      </c>
      <c r="L5209" s="7">
        <f t="shared" si="163"/>
        <v>2E-3</v>
      </c>
      <c r="M5209" s="7">
        <v>3.0000000000000001E-3</v>
      </c>
      <c r="N5209">
        <v>10</v>
      </c>
      <c r="O5209" s="8">
        <v>16.631361039134706</v>
      </c>
      <c r="P5209" s="9">
        <v>16.631361039134706</v>
      </c>
      <c r="Q5209" s="9">
        <v>16.631361039134706</v>
      </c>
      <c r="R5209" s="9">
        <v>17.060180136455905</v>
      </c>
      <c r="S5209" s="9">
        <v>18.024171003933382</v>
      </c>
      <c r="T5209" s="9">
        <v>18.868116637328029</v>
      </c>
      <c r="U5209" s="9">
        <v>20.58817720770605</v>
      </c>
      <c r="V5209" s="9">
        <v>20.58817720770605</v>
      </c>
      <c r="W5209" s="9">
        <v>20.58817720770605</v>
      </c>
      <c r="X5209" s="9">
        <v>22.864259828555831</v>
      </c>
      <c r="Y5209" s="9">
        <v>22.864259828555831</v>
      </c>
      <c r="Z5209" s="9">
        <v>25.323053608820352</v>
      </c>
      <c r="AA5209" s="9">
        <v>25.323053608820352</v>
      </c>
      <c r="AB5209" s="9">
        <v>28.021815637038035</v>
      </c>
      <c r="AC5209" s="9">
        <v>28.021815637038035</v>
      </c>
      <c r="AD5209" s="9">
        <v>30.863654196486234</v>
      </c>
      <c r="AE5209" s="9">
        <v>33.866973124126531</v>
      </c>
      <c r="AF5209" s="9">
        <v>37.052606032896897</v>
      </c>
      <c r="AG5209" s="9">
        <v>37.052606032896897</v>
      </c>
      <c r="AH5209" s="9">
        <v>39.965079814445566</v>
      </c>
      <c r="AI5209" s="9">
        <v>42.780649023864797</v>
      </c>
      <c r="AJ5209" s="9">
        <v>3.0428788910505911</v>
      </c>
    </row>
    <row r="5210" spans="1:36" x14ac:dyDescent="0.25">
      <c r="A5210" t="s">
        <v>5411</v>
      </c>
      <c r="B5210" t="s">
        <v>16</v>
      </c>
      <c r="C5210" t="s">
        <v>17</v>
      </c>
      <c r="D5210">
        <v>88760000</v>
      </c>
      <c r="E5210">
        <v>88762999</v>
      </c>
      <c r="F5210" t="s">
        <v>4723</v>
      </c>
      <c r="G5210" t="str">
        <f t="shared" si="162"/>
        <v>SCI II</v>
      </c>
      <c r="H5210" t="s">
        <v>4654</v>
      </c>
      <c r="I5210" t="s">
        <v>20</v>
      </c>
      <c r="J5210" t="s">
        <v>64</v>
      </c>
      <c r="K5210" s="6">
        <v>0.03</v>
      </c>
      <c r="L5210" s="7">
        <f t="shared" si="163"/>
        <v>2E-3</v>
      </c>
      <c r="M5210" s="7">
        <v>3.0000000000000001E-3</v>
      </c>
      <c r="N5210">
        <v>11</v>
      </c>
      <c r="O5210" s="8">
        <v>19.475693895950801</v>
      </c>
      <c r="P5210" s="9">
        <v>19.475693895950801</v>
      </c>
      <c r="Q5210" s="9">
        <v>19.475693895950801</v>
      </c>
      <c r="R5210" s="9">
        <v>20.024452706180426</v>
      </c>
      <c r="S5210" s="9">
        <v>20.875099128492941</v>
      </c>
      <c r="T5210" s="9">
        <v>21.733350185946453</v>
      </c>
      <c r="U5210" s="9">
        <v>23.861555618318132</v>
      </c>
      <c r="V5210" s="9">
        <v>23.861555618318132</v>
      </c>
      <c r="W5210" s="9">
        <v>23.861555618318132</v>
      </c>
      <c r="X5210" s="9">
        <v>26.599525609534091</v>
      </c>
      <c r="Y5210" s="9">
        <v>26.599525609534091</v>
      </c>
      <c r="Z5210" s="9">
        <v>29.424604823442099</v>
      </c>
      <c r="AA5210" s="9">
        <v>29.424604823442099</v>
      </c>
      <c r="AB5210" s="9">
        <v>32.345504182311352</v>
      </c>
      <c r="AC5210" s="9">
        <v>32.345504182311352</v>
      </c>
      <c r="AD5210" s="9">
        <v>37.073967958020759</v>
      </c>
      <c r="AE5210" s="9">
        <v>39.537280452065687</v>
      </c>
      <c r="AF5210" s="9">
        <v>42.115429646064094</v>
      </c>
      <c r="AG5210" s="9">
        <v>42.115429646064094</v>
      </c>
      <c r="AH5210" s="9">
        <v>45.566990204681431</v>
      </c>
      <c r="AI5210" s="9">
        <v>48.2081665036403</v>
      </c>
      <c r="AJ5210" s="9">
        <v>3.0428788910505911</v>
      </c>
    </row>
    <row r="5211" spans="1:36" x14ac:dyDescent="0.25">
      <c r="A5211" t="s">
        <v>5411</v>
      </c>
      <c r="B5211" t="s">
        <v>16</v>
      </c>
      <c r="C5211" t="s">
        <v>17</v>
      </c>
      <c r="D5211">
        <v>88763000</v>
      </c>
      <c r="E5211">
        <v>88764999</v>
      </c>
      <c r="F5211" t="s">
        <v>2160</v>
      </c>
      <c r="G5211" t="str">
        <f t="shared" si="162"/>
        <v>SCI II</v>
      </c>
      <c r="H5211" t="s">
        <v>4654</v>
      </c>
      <c r="I5211" t="s">
        <v>20</v>
      </c>
      <c r="J5211" t="s">
        <v>64</v>
      </c>
      <c r="K5211" s="6">
        <v>0.03</v>
      </c>
      <c r="L5211" s="7">
        <f t="shared" si="163"/>
        <v>2E-3</v>
      </c>
      <c r="M5211" s="7">
        <v>3.0000000000000001E-3</v>
      </c>
      <c r="N5211">
        <v>11</v>
      </c>
      <c r="O5211" s="8">
        <v>19.475693895950801</v>
      </c>
      <c r="P5211" s="9">
        <v>19.475693895950801</v>
      </c>
      <c r="Q5211" s="9">
        <v>19.475693895950801</v>
      </c>
      <c r="R5211" s="9">
        <v>20.024452706180426</v>
      </c>
      <c r="S5211" s="9">
        <v>20.875099128492941</v>
      </c>
      <c r="T5211" s="9">
        <v>21.733350185946453</v>
      </c>
      <c r="U5211" s="9">
        <v>23.861555618318132</v>
      </c>
      <c r="V5211" s="9">
        <v>23.861555618318132</v>
      </c>
      <c r="W5211" s="9">
        <v>23.861555618318132</v>
      </c>
      <c r="X5211" s="9">
        <v>26.599525609534091</v>
      </c>
      <c r="Y5211" s="9">
        <v>26.599525609534091</v>
      </c>
      <c r="Z5211" s="9">
        <v>29.424604823442099</v>
      </c>
      <c r="AA5211" s="9">
        <v>29.424604823442099</v>
      </c>
      <c r="AB5211" s="9">
        <v>32.345504182311352</v>
      </c>
      <c r="AC5211" s="9">
        <v>32.345504182311352</v>
      </c>
      <c r="AD5211" s="9">
        <v>37.073967958020759</v>
      </c>
      <c r="AE5211" s="9">
        <v>39.537280452065687</v>
      </c>
      <c r="AF5211" s="9">
        <v>42.115429646064094</v>
      </c>
      <c r="AG5211" s="9">
        <v>42.115429646064094</v>
      </c>
      <c r="AH5211" s="9">
        <v>45.566990204681431</v>
      </c>
      <c r="AI5211" s="9">
        <v>48.2081665036403</v>
      </c>
      <c r="AJ5211" s="9">
        <v>3.0428788910505911</v>
      </c>
    </row>
    <row r="5212" spans="1:36" x14ac:dyDescent="0.25">
      <c r="A5212" t="s">
        <v>5411</v>
      </c>
      <c r="B5212" t="s">
        <v>16</v>
      </c>
      <c r="C5212" t="s">
        <v>17</v>
      </c>
      <c r="D5212">
        <v>88765000</v>
      </c>
      <c r="E5212">
        <v>88769999</v>
      </c>
      <c r="F5212" t="s">
        <v>4724</v>
      </c>
      <c r="G5212" t="str">
        <f t="shared" si="162"/>
        <v>SCI II</v>
      </c>
      <c r="H5212" t="s">
        <v>4654</v>
      </c>
      <c r="I5212" t="s">
        <v>20</v>
      </c>
      <c r="J5212" t="s">
        <v>64</v>
      </c>
      <c r="K5212" s="6">
        <v>0.03</v>
      </c>
      <c r="L5212" s="7">
        <f t="shared" si="163"/>
        <v>2E-3</v>
      </c>
      <c r="M5212" s="7">
        <v>3.0000000000000001E-3</v>
      </c>
      <c r="N5212">
        <v>11</v>
      </c>
      <c r="O5212" s="8">
        <v>19.475693895950801</v>
      </c>
      <c r="P5212" s="9">
        <v>19.475693895950801</v>
      </c>
      <c r="Q5212" s="9">
        <v>19.475693895950801</v>
      </c>
      <c r="R5212" s="9">
        <v>20.024452706180426</v>
      </c>
      <c r="S5212" s="9">
        <v>20.875099128492941</v>
      </c>
      <c r="T5212" s="9">
        <v>21.733350185946453</v>
      </c>
      <c r="U5212" s="9">
        <v>23.861555618318132</v>
      </c>
      <c r="V5212" s="9">
        <v>23.861555618318132</v>
      </c>
      <c r="W5212" s="9">
        <v>23.861555618318132</v>
      </c>
      <c r="X5212" s="9">
        <v>26.599525609534091</v>
      </c>
      <c r="Y5212" s="9">
        <v>26.599525609534091</v>
      </c>
      <c r="Z5212" s="9">
        <v>29.424604823442099</v>
      </c>
      <c r="AA5212" s="9">
        <v>29.424604823442099</v>
      </c>
      <c r="AB5212" s="9">
        <v>32.345504182311352</v>
      </c>
      <c r="AC5212" s="9">
        <v>32.345504182311352</v>
      </c>
      <c r="AD5212" s="9">
        <v>37.073967958020759</v>
      </c>
      <c r="AE5212" s="9">
        <v>39.537280452065687</v>
      </c>
      <c r="AF5212" s="9">
        <v>42.115429646064094</v>
      </c>
      <c r="AG5212" s="9">
        <v>42.115429646064094</v>
      </c>
      <c r="AH5212" s="9">
        <v>45.566990204681431</v>
      </c>
      <c r="AI5212" s="9">
        <v>48.2081665036403</v>
      </c>
      <c r="AJ5212" s="9">
        <v>3.0428788910505911</v>
      </c>
    </row>
    <row r="5213" spans="1:36" x14ac:dyDescent="0.25">
      <c r="A5213" t="s">
        <v>5411</v>
      </c>
      <c r="B5213" t="s">
        <v>16</v>
      </c>
      <c r="C5213" t="s">
        <v>17</v>
      </c>
      <c r="D5213">
        <v>88770000</v>
      </c>
      <c r="E5213">
        <v>88779999</v>
      </c>
      <c r="F5213" t="s">
        <v>4725</v>
      </c>
      <c r="G5213" t="str">
        <f t="shared" si="162"/>
        <v>SCI II</v>
      </c>
      <c r="H5213" t="s">
        <v>4654</v>
      </c>
      <c r="I5213" t="s">
        <v>20</v>
      </c>
      <c r="J5213" t="s">
        <v>64</v>
      </c>
      <c r="K5213" s="6">
        <v>0.03</v>
      </c>
      <c r="L5213" s="7">
        <f t="shared" si="163"/>
        <v>2E-3</v>
      </c>
      <c r="M5213" s="7">
        <v>3.0000000000000001E-3</v>
      </c>
      <c r="N5213">
        <v>11</v>
      </c>
      <c r="O5213" s="8">
        <v>19.475693895950801</v>
      </c>
      <c r="P5213" s="9">
        <v>19.475693895950801</v>
      </c>
      <c r="Q5213" s="9">
        <v>19.475693895950801</v>
      </c>
      <c r="R5213" s="9">
        <v>20.024452706180426</v>
      </c>
      <c r="S5213" s="9">
        <v>20.875099128492941</v>
      </c>
      <c r="T5213" s="9">
        <v>21.733350185946453</v>
      </c>
      <c r="U5213" s="9">
        <v>23.861555618318132</v>
      </c>
      <c r="V5213" s="9">
        <v>23.861555618318132</v>
      </c>
      <c r="W5213" s="9">
        <v>23.861555618318132</v>
      </c>
      <c r="X5213" s="9">
        <v>26.599525609534091</v>
      </c>
      <c r="Y5213" s="9">
        <v>26.599525609534091</v>
      </c>
      <c r="Z5213" s="9">
        <v>29.424604823442099</v>
      </c>
      <c r="AA5213" s="9">
        <v>29.424604823442099</v>
      </c>
      <c r="AB5213" s="9">
        <v>32.345504182311352</v>
      </c>
      <c r="AC5213" s="9">
        <v>32.345504182311352</v>
      </c>
      <c r="AD5213" s="9">
        <v>37.073967958020759</v>
      </c>
      <c r="AE5213" s="9">
        <v>39.537280452065687</v>
      </c>
      <c r="AF5213" s="9">
        <v>42.115429646064094</v>
      </c>
      <c r="AG5213" s="9">
        <v>42.115429646064094</v>
      </c>
      <c r="AH5213" s="9">
        <v>45.566990204681431</v>
      </c>
      <c r="AI5213" s="9">
        <v>48.2081665036403</v>
      </c>
      <c r="AJ5213" s="9">
        <v>3.0428788910505911</v>
      </c>
    </row>
    <row r="5214" spans="1:36" x14ac:dyDescent="0.25">
      <c r="A5214" t="s">
        <v>5411</v>
      </c>
      <c r="B5214" t="s">
        <v>16</v>
      </c>
      <c r="C5214" t="s">
        <v>17</v>
      </c>
      <c r="D5214">
        <v>88780000</v>
      </c>
      <c r="E5214">
        <v>88789999</v>
      </c>
      <c r="F5214" t="s">
        <v>4726</v>
      </c>
      <c r="G5214" t="str">
        <f t="shared" si="162"/>
        <v>SCI</v>
      </c>
      <c r="H5214" t="s">
        <v>4654</v>
      </c>
      <c r="I5214" t="s">
        <v>20</v>
      </c>
      <c r="J5214" t="s">
        <v>62</v>
      </c>
      <c r="K5214" s="6">
        <v>0.03</v>
      </c>
      <c r="L5214" s="7">
        <f t="shared" si="163"/>
        <v>2E-3</v>
      </c>
      <c r="M5214" s="7">
        <v>3.0000000000000001E-3</v>
      </c>
      <c r="N5214">
        <v>10</v>
      </c>
      <c r="O5214" s="8">
        <v>16.631361039134706</v>
      </c>
      <c r="P5214" s="9">
        <v>16.631361039134706</v>
      </c>
      <c r="Q5214" s="9">
        <v>16.631361039134706</v>
      </c>
      <c r="R5214" s="9">
        <v>17.060180136455905</v>
      </c>
      <c r="S5214" s="9">
        <v>18.024171003933382</v>
      </c>
      <c r="T5214" s="9">
        <v>18.868116637328029</v>
      </c>
      <c r="U5214" s="9">
        <v>20.58817720770605</v>
      </c>
      <c r="V5214" s="9">
        <v>20.58817720770605</v>
      </c>
      <c r="W5214" s="9">
        <v>20.58817720770605</v>
      </c>
      <c r="X5214" s="9">
        <v>22.864259828555831</v>
      </c>
      <c r="Y5214" s="9">
        <v>22.864259828555831</v>
      </c>
      <c r="Z5214" s="9">
        <v>25.323053608820352</v>
      </c>
      <c r="AA5214" s="9">
        <v>25.323053608820352</v>
      </c>
      <c r="AB5214" s="9">
        <v>28.021815637038035</v>
      </c>
      <c r="AC5214" s="9">
        <v>28.021815637038035</v>
      </c>
      <c r="AD5214" s="9">
        <v>30.863654196486234</v>
      </c>
      <c r="AE5214" s="9">
        <v>33.866973124126531</v>
      </c>
      <c r="AF5214" s="9">
        <v>37.052606032896897</v>
      </c>
      <c r="AG5214" s="9">
        <v>37.052606032896897</v>
      </c>
      <c r="AH5214" s="9">
        <v>39.965079814445566</v>
      </c>
      <c r="AI5214" s="9">
        <v>42.780649023864797</v>
      </c>
      <c r="AJ5214" s="9">
        <v>3.0428788910505911</v>
      </c>
    </row>
    <row r="5215" spans="1:36" x14ac:dyDescent="0.25">
      <c r="A5215" t="s">
        <v>5411</v>
      </c>
      <c r="B5215" t="s">
        <v>16</v>
      </c>
      <c r="C5215" t="s">
        <v>17</v>
      </c>
      <c r="D5215">
        <v>88790000</v>
      </c>
      <c r="E5215">
        <v>88797999</v>
      </c>
      <c r="F5215" t="s">
        <v>4727</v>
      </c>
      <c r="G5215" t="str">
        <f t="shared" si="162"/>
        <v>SCI</v>
      </c>
      <c r="H5215" t="s">
        <v>4654</v>
      </c>
      <c r="I5215" t="s">
        <v>20</v>
      </c>
      <c r="J5215" t="s">
        <v>62</v>
      </c>
      <c r="K5215" s="6">
        <v>0.03</v>
      </c>
      <c r="L5215" s="7">
        <f t="shared" si="163"/>
        <v>2E-3</v>
      </c>
      <c r="M5215" s="7">
        <v>3.0000000000000001E-3</v>
      </c>
      <c r="N5215">
        <v>10</v>
      </c>
      <c r="O5215" s="8">
        <v>16.631361039134706</v>
      </c>
      <c r="P5215" s="9">
        <v>16.631361039134706</v>
      </c>
      <c r="Q5215" s="9">
        <v>16.631361039134706</v>
      </c>
      <c r="R5215" s="9">
        <v>17.060180136455905</v>
      </c>
      <c r="S5215" s="9">
        <v>18.024171003933382</v>
      </c>
      <c r="T5215" s="9">
        <v>18.868116637328029</v>
      </c>
      <c r="U5215" s="9">
        <v>20.58817720770605</v>
      </c>
      <c r="V5215" s="9">
        <v>20.58817720770605</v>
      </c>
      <c r="W5215" s="9">
        <v>20.58817720770605</v>
      </c>
      <c r="X5215" s="9">
        <v>22.864259828555831</v>
      </c>
      <c r="Y5215" s="9">
        <v>22.864259828555831</v>
      </c>
      <c r="Z5215" s="9">
        <v>25.323053608820352</v>
      </c>
      <c r="AA5215" s="9">
        <v>25.323053608820352</v>
      </c>
      <c r="AB5215" s="9">
        <v>28.021815637038035</v>
      </c>
      <c r="AC5215" s="9">
        <v>28.021815637038035</v>
      </c>
      <c r="AD5215" s="9">
        <v>30.863654196486234</v>
      </c>
      <c r="AE5215" s="9">
        <v>33.866973124126531</v>
      </c>
      <c r="AF5215" s="9">
        <v>37.052606032896897</v>
      </c>
      <c r="AG5215" s="9">
        <v>37.052606032896897</v>
      </c>
      <c r="AH5215" s="9">
        <v>39.965079814445566</v>
      </c>
      <c r="AI5215" s="9">
        <v>42.780649023864797</v>
      </c>
      <c r="AJ5215" s="9">
        <v>3.0428788910505911</v>
      </c>
    </row>
    <row r="5216" spans="1:36" x14ac:dyDescent="0.25">
      <c r="A5216" t="s">
        <v>5411</v>
      </c>
      <c r="B5216" t="s">
        <v>16</v>
      </c>
      <c r="C5216" t="s">
        <v>17</v>
      </c>
      <c r="D5216">
        <v>88798000</v>
      </c>
      <c r="E5216">
        <v>88799999</v>
      </c>
      <c r="F5216" t="s">
        <v>4728</v>
      </c>
      <c r="G5216" t="str">
        <f t="shared" si="162"/>
        <v>SCI</v>
      </c>
      <c r="H5216" t="s">
        <v>4654</v>
      </c>
      <c r="I5216" t="s">
        <v>20</v>
      </c>
      <c r="J5216" t="s">
        <v>62</v>
      </c>
      <c r="K5216" s="6">
        <v>0.03</v>
      </c>
      <c r="L5216" s="7">
        <f t="shared" si="163"/>
        <v>2E-3</v>
      </c>
      <c r="M5216" s="7">
        <v>3.0000000000000001E-3</v>
      </c>
      <c r="N5216">
        <v>10</v>
      </c>
      <c r="O5216" s="8">
        <v>16.631361039134706</v>
      </c>
      <c r="P5216" s="9">
        <v>16.631361039134706</v>
      </c>
      <c r="Q5216" s="9">
        <v>16.631361039134706</v>
      </c>
      <c r="R5216" s="9">
        <v>17.060180136455905</v>
      </c>
      <c r="S5216" s="9">
        <v>18.024171003933382</v>
      </c>
      <c r="T5216" s="9">
        <v>18.868116637328029</v>
      </c>
      <c r="U5216" s="9">
        <v>20.58817720770605</v>
      </c>
      <c r="V5216" s="9">
        <v>20.58817720770605</v>
      </c>
      <c r="W5216" s="9">
        <v>20.58817720770605</v>
      </c>
      <c r="X5216" s="9">
        <v>22.864259828555831</v>
      </c>
      <c r="Y5216" s="9">
        <v>22.864259828555831</v>
      </c>
      <c r="Z5216" s="9">
        <v>25.323053608820352</v>
      </c>
      <c r="AA5216" s="9">
        <v>25.323053608820352</v>
      </c>
      <c r="AB5216" s="9">
        <v>28.021815637038035</v>
      </c>
      <c r="AC5216" s="9">
        <v>28.021815637038035</v>
      </c>
      <c r="AD5216" s="9">
        <v>30.863654196486234</v>
      </c>
      <c r="AE5216" s="9">
        <v>33.866973124126531</v>
      </c>
      <c r="AF5216" s="9">
        <v>37.052606032896897</v>
      </c>
      <c r="AG5216" s="9">
        <v>37.052606032896897</v>
      </c>
      <c r="AH5216" s="9">
        <v>39.965079814445566</v>
      </c>
      <c r="AI5216" s="9">
        <v>42.780649023864797</v>
      </c>
      <c r="AJ5216" s="9">
        <v>3.0428788910505911</v>
      </c>
    </row>
    <row r="5217" spans="1:36" x14ac:dyDescent="0.25">
      <c r="A5217" t="s">
        <v>5411</v>
      </c>
      <c r="B5217" t="s">
        <v>16</v>
      </c>
      <c r="C5217" t="s">
        <v>17</v>
      </c>
      <c r="D5217">
        <v>88800000</v>
      </c>
      <c r="E5217">
        <v>88819999</v>
      </c>
      <c r="F5217" t="s">
        <v>4729</v>
      </c>
      <c r="G5217" t="str">
        <f t="shared" si="162"/>
        <v>SCI</v>
      </c>
      <c r="H5217" t="s">
        <v>4654</v>
      </c>
      <c r="I5217" t="s">
        <v>20</v>
      </c>
      <c r="J5217" t="s">
        <v>62</v>
      </c>
      <c r="K5217" s="6">
        <v>0.03</v>
      </c>
      <c r="L5217" s="7">
        <f t="shared" si="163"/>
        <v>2E-3</v>
      </c>
      <c r="M5217" s="7">
        <v>3.0000000000000001E-3</v>
      </c>
      <c r="N5217">
        <v>9</v>
      </c>
      <c r="O5217" s="8">
        <v>16.631361039134706</v>
      </c>
      <c r="P5217" s="9">
        <v>16.631361039134706</v>
      </c>
      <c r="Q5217" s="9">
        <v>16.631361039134706</v>
      </c>
      <c r="R5217" s="9">
        <v>17.060180136455905</v>
      </c>
      <c r="S5217" s="9">
        <v>18.024171003933382</v>
      </c>
      <c r="T5217" s="9">
        <v>18.868116637328029</v>
      </c>
      <c r="U5217" s="9">
        <v>20.58817720770605</v>
      </c>
      <c r="V5217" s="9">
        <v>20.58817720770605</v>
      </c>
      <c r="W5217" s="9">
        <v>20.58817720770605</v>
      </c>
      <c r="X5217" s="9">
        <v>22.864259828555831</v>
      </c>
      <c r="Y5217" s="9">
        <v>22.864259828555831</v>
      </c>
      <c r="Z5217" s="9">
        <v>25.323053608820352</v>
      </c>
      <c r="AA5217" s="9">
        <v>25.323053608820352</v>
      </c>
      <c r="AB5217" s="9">
        <v>28.021815637038035</v>
      </c>
      <c r="AC5217" s="9">
        <v>28.021815637038035</v>
      </c>
      <c r="AD5217" s="9">
        <v>30.863654196486234</v>
      </c>
      <c r="AE5217" s="9">
        <v>33.866973124126531</v>
      </c>
      <c r="AF5217" s="9">
        <v>37.052606032896897</v>
      </c>
      <c r="AG5217" s="9">
        <v>37.052606032896897</v>
      </c>
      <c r="AH5217" s="9">
        <v>39.965079814445566</v>
      </c>
      <c r="AI5217" s="9">
        <v>42.780649023864797</v>
      </c>
      <c r="AJ5217" s="9">
        <v>3.0428788910505911</v>
      </c>
    </row>
    <row r="5218" spans="1:36" x14ac:dyDescent="0.25">
      <c r="A5218" t="s">
        <v>5411</v>
      </c>
      <c r="B5218" t="s">
        <v>16</v>
      </c>
      <c r="C5218" t="s">
        <v>17</v>
      </c>
      <c r="D5218">
        <v>88820000</v>
      </c>
      <c r="E5218">
        <v>88827999</v>
      </c>
      <c r="F5218" t="s">
        <v>4730</v>
      </c>
      <c r="G5218" t="str">
        <f t="shared" si="162"/>
        <v>SCI</v>
      </c>
      <c r="H5218" t="s">
        <v>4654</v>
      </c>
      <c r="I5218" t="s">
        <v>20</v>
      </c>
      <c r="J5218" t="s">
        <v>62</v>
      </c>
      <c r="K5218" s="6">
        <v>0.03</v>
      </c>
      <c r="L5218" s="7">
        <f t="shared" si="163"/>
        <v>2E-3</v>
      </c>
      <c r="M5218" s="7">
        <v>3.0000000000000001E-3</v>
      </c>
      <c r="N5218">
        <v>10</v>
      </c>
      <c r="O5218" s="8">
        <v>16.631361039134706</v>
      </c>
      <c r="P5218" s="9">
        <v>16.631361039134706</v>
      </c>
      <c r="Q5218" s="9">
        <v>16.631361039134706</v>
      </c>
      <c r="R5218" s="9">
        <v>17.060180136455905</v>
      </c>
      <c r="S5218" s="9">
        <v>18.024171003933382</v>
      </c>
      <c r="T5218" s="9">
        <v>18.868116637328029</v>
      </c>
      <c r="U5218" s="9">
        <v>20.58817720770605</v>
      </c>
      <c r="V5218" s="9">
        <v>20.58817720770605</v>
      </c>
      <c r="W5218" s="9">
        <v>20.58817720770605</v>
      </c>
      <c r="X5218" s="9">
        <v>22.864259828555831</v>
      </c>
      <c r="Y5218" s="9">
        <v>22.864259828555831</v>
      </c>
      <c r="Z5218" s="9">
        <v>25.323053608820352</v>
      </c>
      <c r="AA5218" s="9">
        <v>25.323053608820352</v>
      </c>
      <c r="AB5218" s="9">
        <v>28.021815637038035</v>
      </c>
      <c r="AC5218" s="9">
        <v>28.021815637038035</v>
      </c>
      <c r="AD5218" s="9">
        <v>30.863654196486234</v>
      </c>
      <c r="AE5218" s="9">
        <v>33.866973124126531</v>
      </c>
      <c r="AF5218" s="9">
        <v>37.052606032896897</v>
      </c>
      <c r="AG5218" s="9">
        <v>37.052606032896897</v>
      </c>
      <c r="AH5218" s="9">
        <v>39.965079814445566</v>
      </c>
      <c r="AI5218" s="9">
        <v>42.780649023864797</v>
      </c>
      <c r="AJ5218" s="9">
        <v>3.0428788910505911</v>
      </c>
    </row>
    <row r="5219" spans="1:36" x14ac:dyDescent="0.25">
      <c r="A5219" t="s">
        <v>5411</v>
      </c>
      <c r="B5219" t="s">
        <v>16</v>
      </c>
      <c r="C5219" t="s">
        <v>17</v>
      </c>
      <c r="D5219">
        <v>88828000</v>
      </c>
      <c r="E5219">
        <v>88829999</v>
      </c>
      <c r="F5219" t="s">
        <v>4731</v>
      </c>
      <c r="G5219" t="str">
        <f t="shared" si="162"/>
        <v>SCI II</v>
      </c>
      <c r="H5219" t="s">
        <v>4654</v>
      </c>
      <c r="I5219" t="s">
        <v>20</v>
      </c>
      <c r="J5219" t="s">
        <v>64</v>
      </c>
      <c r="K5219" s="6">
        <v>0.03</v>
      </c>
      <c r="L5219" s="7">
        <f t="shared" si="163"/>
        <v>2E-3</v>
      </c>
      <c r="M5219" s="7">
        <v>3.0000000000000001E-3</v>
      </c>
      <c r="N5219">
        <v>11</v>
      </c>
      <c r="O5219" s="8">
        <v>19.475693895950801</v>
      </c>
      <c r="P5219" s="9">
        <v>19.475693895950801</v>
      </c>
      <c r="Q5219" s="9">
        <v>19.475693895950801</v>
      </c>
      <c r="R5219" s="9">
        <v>20.024452706180426</v>
      </c>
      <c r="S5219" s="9">
        <v>20.875099128492941</v>
      </c>
      <c r="T5219" s="9">
        <v>21.733350185946453</v>
      </c>
      <c r="U5219" s="9">
        <v>23.861555618318132</v>
      </c>
      <c r="V5219" s="9">
        <v>23.861555618318132</v>
      </c>
      <c r="W5219" s="9">
        <v>23.861555618318132</v>
      </c>
      <c r="X5219" s="9">
        <v>26.599525609534091</v>
      </c>
      <c r="Y5219" s="9">
        <v>26.599525609534091</v>
      </c>
      <c r="Z5219" s="9">
        <v>29.424604823442099</v>
      </c>
      <c r="AA5219" s="9">
        <v>29.424604823442099</v>
      </c>
      <c r="AB5219" s="9">
        <v>32.345504182311352</v>
      </c>
      <c r="AC5219" s="9">
        <v>32.345504182311352</v>
      </c>
      <c r="AD5219" s="9">
        <v>37.073967958020759</v>
      </c>
      <c r="AE5219" s="9">
        <v>39.537280452065687</v>
      </c>
      <c r="AF5219" s="9">
        <v>42.115429646064094</v>
      </c>
      <c r="AG5219" s="9">
        <v>42.115429646064094</v>
      </c>
      <c r="AH5219" s="9">
        <v>45.566990204681431</v>
      </c>
      <c r="AI5219" s="9">
        <v>48.2081665036403</v>
      </c>
      <c r="AJ5219" s="9">
        <v>3.0428788910505911</v>
      </c>
    </row>
    <row r="5220" spans="1:36" x14ac:dyDescent="0.25">
      <c r="A5220" t="s">
        <v>5411</v>
      </c>
      <c r="B5220" t="s">
        <v>16</v>
      </c>
      <c r="C5220" t="s">
        <v>17</v>
      </c>
      <c r="D5220">
        <v>88830000</v>
      </c>
      <c r="E5220">
        <v>88839999</v>
      </c>
      <c r="F5220" t="s">
        <v>4732</v>
      </c>
      <c r="G5220" t="str">
        <f t="shared" si="162"/>
        <v>SCI II</v>
      </c>
      <c r="H5220" t="s">
        <v>4654</v>
      </c>
      <c r="I5220" t="s">
        <v>20</v>
      </c>
      <c r="J5220" t="s">
        <v>64</v>
      </c>
      <c r="K5220" s="6">
        <v>0.03</v>
      </c>
      <c r="L5220" s="7">
        <f t="shared" si="163"/>
        <v>2E-3</v>
      </c>
      <c r="M5220" s="7">
        <v>3.0000000000000001E-3</v>
      </c>
      <c r="N5220">
        <v>11</v>
      </c>
      <c r="O5220" s="8">
        <v>19.475693895950801</v>
      </c>
      <c r="P5220" s="9">
        <v>19.475693895950801</v>
      </c>
      <c r="Q5220" s="9">
        <v>19.475693895950801</v>
      </c>
      <c r="R5220" s="9">
        <v>20.024452706180426</v>
      </c>
      <c r="S5220" s="9">
        <v>20.875099128492941</v>
      </c>
      <c r="T5220" s="9">
        <v>21.733350185946453</v>
      </c>
      <c r="U5220" s="9">
        <v>23.861555618318132</v>
      </c>
      <c r="V5220" s="9">
        <v>23.861555618318132</v>
      </c>
      <c r="W5220" s="9">
        <v>23.861555618318132</v>
      </c>
      <c r="X5220" s="9">
        <v>26.599525609534091</v>
      </c>
      <c r="Y5220" s="9">
        <v>26.599525609534091</v>
      </c>
      <c r="Z5220" s="9">
        <v>29.424604823442099</v>
      </c>
      <c r="AA5220" s="9">
        <v>29.424604823442099</v>
      </c>
      <c r="AB5220" s="9">
        <v>32.345504182311352</v>
      </c>
      <c r="AC5220" s="9">
        <v>32.345504182311352</v>
      </c>
      <c r="AD5220" s="9">
        <v>37.073967958020759</v>
      </c>
      <c r="AE5220" s="9">
        <v>39.537280452065687</v>
      </c>
      <c r="AF5220" s="9">
        <v>42.115429646064094</v>
      </c>
      <c r="AG5220" s="9">
        <v>42.115429646064094</v>
      </c>
      <c r="AH5220" s="9">
        <v>45.566990204681431</v>
      </c>
      <c r="AI5220" s="9">
        <v>48.2081665036403</v>
      </c>
      <c r="AJ5220" s="9">
        <v>3.0428788910505911</v>
      </c>
    </row>
    <row r="5221" spans="1:36" x14ac:dyDescent="0.25">
      <c r="A5221" t="s">
        <v>5411</v>
      </c>
      <c r="B5221" t="s">
        <v>16</v>
      </c>
      <c r="C5221" t="s">
        <v>17</v>
      </c>
      <c r="D5221">
        <v>88840000</v>
      </c>
      <c r="E5221">
        <v>88844999</v>
      </c>
      <c r="F5221" t="s">
        <v>4733</v>
      </c>
      <c r="G5221" t="str">
        <f t="shared" si="162"/>
        <v>SCI II</v>
      </c>
      <c r="H5221" t="s">
        <v>4654</v>
      </c>
      <c r="I5221" t="s">
        <v>20</v>
      </c>
      <c r="J5221" t="s">
        <v>64</v>
      </c>
      <c r="K5221" s="6">
        <v>0.03</v>
      </c>
      <c r="L5221" s="7">
        <f t="shared" si="163"/>
        <v>2E-3</v>
      </c>
      <c r="M5221" s="7">
        <v>3.0000000000000001E-3</v>
      </c>
      <c r="N5221">
        <v>11</v>
      </c>
      <c r="O5221" s="8">
        <v>19.475693895950801</v>
      </c>
      <c r="P5221" s="9">
        <v>19.475693895950801</v>
      </c>
      <c r="Q5221" s="9">
        <v>19.475693895950801</v>
      </c>
      <c r="R5221" s="9">
        <v>20.024452706180426</v>
      </c>
      <c r="S5221" s="9">
        <v>20.875099128492941</v>
      </c>
      <c r="T5221" s="9">
        <v>21.733350185946453</v>
      </c>
      <c r="U5221" s="9">
        <v>23.861555618318132</v>
      </c>
      <c r="V5221" s="9">
        <v>23.861555618318132</v>
      </c>
      <c r="W5221" s="9">
        <v>23.861555618318132</v>
      </c>
      <c r="X5221" s="9">
        <v>26.599525609534091</v>
      </c>
      <c r="Y5221" s="9">
        <v>26.599525609534091</v>
      </c>
      <c r="Z5221" s="9">
        <v>29.424604823442099</v>
      </c>
      <c r="AA5221" s="9">
        <v>29.424604823442099</v>
      </c>
      <c r="AB5221" s="9">
        <v>32.345504182311352</v>
      </c>
      <c r="AC5221" s="9">
        <v>32.345504182311352</v>
      </c>
      <c r="AD5221" s="9">
        <v>37.073967958020759</v>
      </c>
      <c r="AE5221" s="9">
        <v>39.537280452065687</v>
      </c>
      <c r="AF5221" s="9">
        <v>42.115429646064094</v>
      </c>
      <c r="AG5221" s="9">
        <v>42.115429646064094</v>
      </c>
      <c r="AH5221" s="9">
        <v>45.566990204681431</v>
      </c>
      <c r="AI5221" s="9">
        <v>48.2081665036403</v>
      </c>
      <c r="AJ5221" s="9">
        <v>3.0428788910505911</v>
      </c>
    </row>
    <row r="5222" spans="1:36" x14ac:dyDescent="0.25">
      <c r="A5222" t="s">
        <v>5411</v>
      </c>
      <c r="B5222" t="s">
        <v>16</v>
      </c>
      <c r="C5222" t="s">
        <v>17</v>
      </c>
      <c r="D5222">
        <v>88845000</v>
      </c>
      <c r="E5222">
        <v>88849999</v>
      </c>
      <c r="F5222" t="s">
        <v>4734</v>
      </c>
      <c r="G5222" t="str">
        <f t="shared" si="162"/>
        <v>SCI II</v>
      </c>
      <c r="H5222" t="s">
        <v>4654</v>
      </c>
      <c r="I5222" t="s">
        <v>20</v>
      </c>
      <c r="J5222" t="s">
        <v>64</v>
      </c>
      <c r="K5222" s="6">
        <v>0.03</v>
      </c>
      <c r="L5222" s="7">
        <f t="shared" si="163"/>
        <v>2E-3</v>
      </c>
      <c r="M5222" s="7">
        <v>3.0000000000000001E-3</v>
      </c>
      <c r="N5222">
        <v>11</v>
      </c>
      <c r="O5222" s="8">
        <v>19.475693895950801</v>
      </c>
      <c r="P5222" s="9">
        <v>19.475693895950801</v>
      </c>
      <c r="Q5222" s="9">
        <v>19.475693895950801</v>
      </c>
      <c r="R5222" s="9">
        <v>20.024452706180426</v>
      </c>
      <c r="S5222" s="9">
        <v>20.875099128492941</v>
      </c>
      <c r="T5222" s="9">
        <v>21.733350185946453</v>
      </c>
      <c r="U5222" s="9">
        <v>23.861555618318132</v>
      </c>
      <c r="V5222" s="9">
        <v>23.861555618318132</v>
      </c>
      <c r="W5222" s="9">
        <v>23.861555618318132</v>
      </c>
      <c r="X5222" s="9">
        <v>26.599525609534091</v>
      </c>
      <c r="Y5222" s="9">
        <v>26.599525609534091</v>
      </c>
      <c r="Z5222" s="9">
        <v>29.424604823442099</v>
      </c>
      <c r="AA5222" s="9">
        <v>29.424604823442099</v>
      </c>
      <c r="AB5222" s="9">
        <v>32.345504182311352</v>
      </c>
      <c r="AC5222" s="9">
        <v>32.345504182311352</v>
      </c>
      <c r="AD5222" s="9">
        <v>37.073967958020759</v>
      </c>
      <c r="AE5222" s="9">
        <v>39.537280452065687</v>
      </c>
      <c r="AF5222" s="9">
        <v>42.115429646064094</v>
      </c>
      <c r="AG5222" s="9">
        <v>42.115429646064094</v>
      </c>
      <c r="AH5222" s="9">
        <v>45.566990204681431</v>
      </c>
      <c r="AI5222" s="9">
        <v>48.2081665036403</v>
      </c>
      <c r="AJ5222" s="9">
        <v>3.0428788910505911</v>
      </c>
    </row>
    <row r="5223" spans="1:36" x14ac:dyDescent="0.25">
      <c r="A5223" t="s">
        <v>5411</v>
      </c>
      <c r="B5223" t="s">
        <v>16</v>
      </c>
      <c r="C5223" t="s">
        <v>17</v>
      </c>
      <c r="D5223">
        <v>88850000</v>
      </c>
      <c r="E5223">
        <v>88859999</v>
      </c>
      <c r="F5223" t="s">
        <v>4735</v>
      </c>
      <c r="G5223" t="str">
        <f t="shared" si="162"/>
        <v>SCI II</v>
      </c>
      <c r="H5223" t="s">
        <v>4654</v>
      </c>
      <c r="I5223" t="s">
        <v>20</v>
      </c>
      <c r="J5223" t="s">
        <v>64</v>
      </c>
      <c r="K5223" s="6">
        <v>0.03</v>
      </c>
      <c r="L5223" s="7">
        <f t="shared" si="163"/>
        <v>2E-3</v>
      </c>
      <c r="M5223" s="7">
        <v>3.0000000000000001E-3</v>
      </c>
      <c r="N5223">
        <v>11</v>
      </c>
      <c r="O5223" s="8">
        <v>19.475693895950801</v>
      </c>
      <c r="P5223" s="9">
        <v>19.475693895950801</v>
      </c>
      <c r="Q5223" s="9">
        <v>19.475693895950801</v>
      </c>
      <c r="R5223" s="9">
        <v>20.024452706180426</v>
      </c>
      <c r="S5223" s="9">
        <v>20.875099128492941</v>
      </c>
      <c r="T5223" s="9">
        <v>21.733350185946453</v>
      </c>
      <c r="U5223" s="9">
        <v>23.861555618318132</v>
      </c>
      <c r="V5223" s="9">
        <v>23.861555618318132</v>
      </c>
      <c r="W5223" s="9">
        <v>23.861555618318132</v>
      </c>
      <c r="X5223" s="9">
        <v>26.599525609534091</v>
      </c>
      <c r="Y5223" s="9">
        <v>26.599525609534091</v>
      </c>
      <c r="Z5223" s="9">
        <v>29.424604823442099</v>
      </c>
      <c r="AA5223" s="9">
        <v>29.424604823442099</v>
      </c>
      <c r="AB5223" s="9">
        <v>32.345504182311352</v>
      </c>
      <c r="AC5223" s="9">
        <v>32.345504182311352</v>
      </c>
      <c r="AD5223" s="9">
        <v>37.073967958020759</v>
      </c>
      <c r="AE5223" s="9">
        <v>39.537280452065687</v>
      </c>
      <c r="AF5223" s="9">
        <v>42.115429646064094</v>
      </c>
      <c r="AG5223" s="9">
        <v>42.115429646064094</v>
      </c>
      <c r="AH5223" s="9">
        <v>45.566990204681431</v>
      </c>
      <c r="AI5223" s="9">
        <v>48.2081665036403</v>
      </c>
      <c r="AJ5223" s="9">
        <v>3.0428788910505911</v>
      </c>
    </row>
    <row r="5224" spans="1:36" x14ac:dyDescent="0.25">
      <c r="A5224" t="s">
        <v>5411</v>
      </c>
      <c r="B5224" t="s">
        <v>16</v>
      </c>
      <c r="C5224" t="s">
        <v>17</v>
      </c>
      <c r="D5224">
        <v>88860000</v>
      </c>
      <c r="E5224">
        <v>88861999</v>
      </c>
      <c r="F5224" t="s">
        <v>4736</v>
      </c>
      <c r="G5224" t="str">
        <f t="shared" si="162"/>
        <v>SCI II</v>
      </c>
      <c r="H5224" t="s">
        <v>4654</v>
      </c>
      <c r="I5224" t="s">
        <v>20</v>
      </c>
      <c r="J5224" t="s">
        <v>64</v>
      </c>
      <c r="K5224" s="6">
        <v>0.03</v>
      </c>
      <c r="L5224" s="7">
        <f t="shared" si="163"/>
        <v>2E-3</v>
      </c>
      <c r="M5224" s="7">
        <v>3.0000000000000001E-3</v>
      </c>
      <c r="N5224">
        <v>11</v>
      </c>
      <c r="O5224" s="8">
        <v>19.475693895950801</v>
      </c>
      <c r="P5224" s="9">
        <v>19.475693895950801</v>
      </c>
      <c r="Q5224" s="9">
        <v>19.475693895950801</v>
      </c>
      <c r="R5224" s="9">
        <v>20.024452706180426</v>
      </c>
      <c r="S5224" s="9">
        <v>20.875099128492941</v>
      </c>
      <c r="T5224" s="9">
        <v>21.733350185946453</v>
      </c>
      <c r="U5224" s="9">
        <v>23.861555618318132</v>
      </c>
      <c r="V5224" s="9">
        <v>23.861555618318132</v>
      </c>
      <c r="W5224" s="9">
        <v>23.861555618318132</v>
      </c>
      <c r="X5224" s="9">
        <v>26.599525609534091</v>
      </c>
      <c r="Y5224" s="9">
        <v>26.599525609534091</v>
      </c>
      <c r="Z5224" s="9">
        <v>29.424604823442099</v>
      </c>
      <c r="AA5224" s="9">
        <v>29.424604823442099</v>
      </c>
      <c r="AB5224" s="9">
        <v>32.345504182311352</v>
      </c>
      <c r="AC5224" s="9">
        <v>32.345504182311352</v>
      </c>
      <c r="AD5224" s="9">
        <v>37.073967958020759</v>
      </c>
      <c r="AE5224" s="9">
        <v>39.537280452065687</v>
      </c>
      <c r="AF5224" s="9">
        <v>42.115429646064094</v>
      </c>
      <c r="AG5224" s="9">
        <v>42.115429646064094</v>
      </c>
      <c r="AH5224" s="9">
        <v>45.566990204681431</v>
      </c>
      <c r="AI5224" s="9">
        <v>48.2081665036403</v>
      </c>
      <c r="AJ5224" s="9">
        <v>3.0428788910505911</v>
      </c>
    </row>
    <row r="5225" spans="1:36" x14ac:dyDescent="0.25">
      <c r="A5225" t="s">
        <v>5411</v>
      </c>
      <c r="B5225" t="s">
        <v>16</v>
      </c>
      <c r="C5225" t="s">
        <v>17</v>
      </c>
      <c r="D5225">
        <v>88862000</v>
      </c>
      <c r="E5225">
        <v>88864999</v>
      </c>
      <c r="F5225" t="s">
        <v>4737</v>
      </c>
      <c r="G5225" t="str">
        <f t="shared" si="162"/>
        <v>SCI II</v>
      </c>
      <c r="H5225" t="s">
        <v>4654</v>
      </c>
      <c r="I5225" t="s">
        <v>20</v>
      </c>
      <c r="J5225" t="s">
        <v>64</v>
      </c>
      <c r="K5225" s="6">
        <v>0.03</v>
      </c>
      <c r="L5225" s="7">
        <f t="shared" si="163"/>
        <v>2E-3</v>
      </c>
      <c r="M5225" s="7">
        <v>3.0000000000000001E-3</v>
      </c>
      <c r="N5225">
        <v>11</v>
      </c>
      <c r="O5225" s="8">
        <v>19.475693895950801</v>
      </c>
      <c r="P5225" s="9">
        <v>19.475693895950801</v>
      </c>
      <c r="Q5225" s="9">
        <v>19.475693895950801</v>
      </c>
      <c r="R5225" s="9">
        <v>20.024452706180426</v>
      </c>
      <c r="S5225" s="9">
        <v>20.875099128492941</v>
      </c>
      <c r="T5225" s="9">
        <v>21.733350185946453</v>
      </c>
      <c r="U5225" s="9">
        <v>23.861555618318132</v>
      </c>
      <c r="V5225" s="9">
        <v>23.861555618318132</v>
      </c>
      <c r="W5225" s="9">
        <v>23.861555618318132</v>
      </c>
      <c r="X5225" s="9">
        <v>26.599525609534091</v>
      </c>
      <c r="Y5225" s="9">
        <v>26.599525609534091</v>
      </c>
      <c r="Z5225" s="9">
        <v>29.424604823442099</v>
      </c>
      <c r="AA5225" s="9">
        <v>29.424604823442099</v>
      </c>
      <c r="AB5225" s="9">
        <v>32.345504182311352</v>
      </c>
      <c r="AC5225" s="9">
        <v>32.345504182311352</v>
      </c>
      <c r="AD5225" s="9">
        <v>37.073967958020759</v>
      </c>
      <c r="AE5225" s="9">
        <v>39.537280452065687</v>
      </c>
      <c r="AF5225" s="9">
        <v>42.115429646064094</v>
      </c>
      <c r="AG5225" s="9">
        <v>42.115429646064094</v>
      </c>
      <c r="AH5225" s="9">
        <v>45.566990204681431</v>
      </c>
      <c r="AI5225" s="9">
        <v>48.2081665036403</v>
      </c>
      <c r="AJ5225" s="9">
        <v>3.0428788910505911</v>
      </c>
    </row>
    <row r="5226" spans="1:36" x14ac:dyDescent="0.25">
      <c r="A5226" t="s">
        <v>5411</v>
      </c>
      <c r="B5226" t="s">
        <v>16</v>
      </c>
      <c r="C5226" t="s">
        <v>17</v>
      </c>
      <c r="D5226">
        <v>88865000</v>
      </c>
      <c r="E5226">
        <v>88869999</v>
      </c>
      <c r="F5226" t="s">
        <v>3748</v>
      </c>
      <c r="G5226" t="str">
        <f t="shared" si="162"/>
        <v>SCI II</v>
      </c>
      <c r="H5226" t="s">
        <v>4654</v>
      </c>
      <c r="I5226" t="s">
        <v>20</v>
      </c>
      <c r="J5226" t="s">
        <v>64</v>
      </c>
      <c r="K5226" s="6">
        <v>0.03</v>
      </c>
      <c r="L5226" s="7">
        <f t="shared" si="163"/>
        <v>2E-3</v>
      </c>
      <c r="M5226" s="7">
        <v>3.0000000000000001E-3</v>
      </c>
      <c r="N5226">
        <v>11</v>
      </c>
      <c r="O5226" s="8">
        <v>19.475693895950801</v>
      </c>
      <c r="P5226" s="9">
        <v>19.475693895950801</v>
      </c>
      <c r="Q5226" s="9">
        <v>19.475693895950801</v>
      </c>
      <c r="R5226" s="9">
        <v>20.024452706180426</v>
      </c>
      <c r="S5226" s="9">
        <v>20.875099128492941</v>
      </c>
      <c r="T5226" s="9">
        <v>21.733350185946453</v>
      </c>
      <c r="U5226" s="9">
        <v>23.861555618318132</v>
      </c>
      <c r="V5226" s="9">
        <v>23.861555618318132</v>
      </c>
      <c r="W5226" s="9">
        <v>23.861555618318132</v>
      </c>
      <c r="X5226" s="9">
        <v>26.599525609534091</v>
      </c>
      <c r="Y5226" s="9">
        <v>26.599525609534091</v>
      </c>
      <c r="Z5226" s="9">
        <v>29.424604823442099</v>
      </c>
      <c r="AA5226" s="9">
        <v>29.424604823442099</v>
      </c>
      <c r="AB5226" s="9">
        <v>32.345504182311352</v>
      </c>
      <c r="AC5226" s="9">
        <v>32.345504182311352</v>
      </c>
      <c r="AD5226" s="9">
        <v>37.073967958020759</v>
      </c>
      <c r="AE5226" s="9">
        <v>39.537280452065687</v>
      </c>
      <c r="AF5226" s="9">
        <v>42.115429646064094</v>
      </c>
      <c r="AG5226" s="9">
        <v>42.115429646064094</v>
      </c>
      <c r="AH5226" s="9">
        <v>45.566990204681431</v>
      </c>
      <c r="AI5226" s="9">
        <v>48.2081665036403</v>
      </c>
      <c r="AJ5226" s="9">
        <v>3.0428788910505911</v>
      </c>
    </row>
    <row r="5227" spans="1:36" x14ac:dyDescent="0.25">
      <c r="A5227" t="s">
        <v>5411</v>
      </c>
      <c r="B5227" t="s">
        <v>16</v>
      </c>
      <c r="C5227" t="s">
        <v>17</v>
      </c>
      <c r="D5227">
        <v>88870000</v>
      </c>
      <c r="E5227">
        <v>88879999</v>
      </c>
      <c r="F5227" t="s">
        <v>4738</v>
      </c>
      <c r="G5227" t="str">
        <f t="shared" si="162"/>
        <v>SCI</v>
      </c>
      <c r="H5227" t="s">
        <v>4654</v>
      </c>
      <c r="I5227" t="s">
        <v>20</v>
      </c>
      <c r="J5227" t="s">
        <v>62</v>
      </c>
      <c r="K5227" s="6">
        <v>0.03</v>
      </c>
      <c r="L5227" s="7">
        <f t="shared" si="163"/>
        <v>2E-3</v>
      </c>
      <c r="M5227" s="7">
        <v>3.0000000000000001E-3</v>
      </c>
      <c r="N5227">
        <v>10</v>
      </c>
      <c r="O5227" s="8">
        <v>16.631361039134706</v>
      </c>
      <c r="P5227" s="9">
        <v>16.631361039134706</v>
      </c>
      <c r="Q5227" s="9">
        <v>16.631361039134706</v>
      </c>
      <c r="R5227" s="9">
        <v>17.060180136455905</v>
      </c>
      <c r="S5227" s="9">
        <v>18.024171003933382</v>
      </c>
      <c r="T5227" s="9">
        <v>18.868116637328029</v>
      </c>
      <c r="U5227" s="9">
        <v>20.58817720770605</v>
      </c>
      <c r="V5227" s="9">
        <v>20.58817720770605</v>
      </c>
      <c r="W5227" s="9">
        <v>20.58817720770605</v>
      </c>
      <c r="X5227" s="9">
        <v>22.864259828555831</v>
      </c>
      <c r="Y5227" s="9">
        <v>22.864259828555831</v>
      </c>
      <c r="Z5227" s="9">
        <v>25.323053608820352</v>
      </c>
      <c r="AA5227" s="9">
        <v>25.323053608820352</v>
      </c>
      <c r="AB5227" s="9">
        <v>28.021815637038035</v>
      </c>
      <c r="AC5227" s="9">
        <v>28.021815637038035</v>
      </c>
      <c r="AD5227" s="9">
        <v>30.863654196486234</v>
      </c>
      <c r="AE5227" s="9">
        <v>33.866973124126531</v>
      </c>
      <c r="AF5227" s="9">
        <v>37.052606032896897</v>
      </c>
      <c r="AG5227" s="9">
        <v>37.052606032896897</v>
      </c>
      <c r="AH5227" s="9">
        <v>39.965079814445566</v>
      </c>
      <c r="AI5227" s="9">
        <v>42.780649023864797</v>
      </c>
      <c r="AJ5227" s="9">
        <v>3.0428788910505911</v>
      </c>
    </row>
    <row r="5228" spans="1:36" x14ac:dyDescent="0.25">
      <c r="A5228" t="s">
        <v>5411</v>
      </c>
      <c r="B5228" t="s">
        <v>16</v>
      </c>
      <c r="C5228" t="s">
        <v>17</v>
      </c>
      <c r="D5228">
        <v>88880000</v>
      </c>
      <c r="E5228">
        <v>88889999</v>
      </c>
      <c r="F5228" t="s">
        <v>4739</v>
      </c>
      <c r="G5228" t="str">
        <f t="shared" si="162"/>
        <v>SCI II</v>
      </c>
      <c r="H5228" t="s">
        <v>4654</v>
      </c>
      <c r="I5228" t="s">
        <v>20</v>
      </c>
      <c r="J5228" t="s">
        <v>64</v>
      </c>
      <c r="K5228" s="6">
        <v>0.03</v>
      </c>
      <c r="L5228" s="7">
        <f t="shared" si="163"/>
        <v>2E-3</v>
      </c>
      <c r="M5228" s="7">
        <v>3.0000000000000001E-3</v>
      </c>
      <c r="N5228">
        <v>11</v>
      </c>
      <c r="O5228" s="8">
        <v>19.475693895950801</v>
      </c>
      <c r="P5228" s="9">
        <v>19.475693895950801</v>
      </c>
      <c r="Q5228" s="9">
        <v>19.475693895950801</v>
      </c>
      <c r="R5228" s="9">
        <v>20.024452706180426</v>
      </c>
      <c r="S5228" s="9">
        <v>20.875099128492941</v>
      </c>
      <c r="T5228" s="9">
        <v>21.733350185946453</v>
      </c>
      <c r="U5228" s="9">
        <v>23.861555618318132</v>
      </c>
      <c r="V5228" s="9">
        <v>23.861555618318132</v>
      </c>
      <c r="W5228" s="9">
        <v>23.861555618318132</v>
      </c>
      <c r="X5228" s="9">
        <v>26.599525609534091</v>
      </c>
      <c r="Y5228" s="9">
        <v>26.599525609534091</v>
      </c>
      <c r="Z5228" s="9">
        <v>29.424604823442099</v>
      </c>
      <c r="AA5228" s="9">
        <v>29.424604823442099</v>
      </c>
      <c r="AB5228" s="9">
        <v>32.345504182311352</v>
      </c>
      <c r="AC5228" s="9">
        <v>32.345504182311352</v>
      </c>
      <c r="AD5228" s="9">
        <v>37.073967958020759</v>
      </c>
      <c r="AE5228" s="9">
        <v>39.537280452065687</v>
      </c>
      <c r="AF5228" s="9">
        <v>42.115429646064094</v>
      </c>
      <c r="AG5228" s="9">
        <v>42.115429646064094</v>
      </c>
      <c r="AH5228" s="9">
        <v>45.566990204681431</v>
      </c>
      <c r="AI5228" s="9">
        <v>48.2081665036403</v>
      </c>
      <c r="AJ5228" s="9">
        <v>3.0428788910505911</v>
      </c>
    </row>
    <row r="5229" spans="1:36" x14ac:dyDescent="0.25">
      <c r="A5229" t="s">
        <v>5411</v>
      </c>
      <c r="B5229" t="s">
        <v>16</v>
      </c>
      <c r="C5229" t="s">
        <v>17</v>
      </c>
      <c r="D5229">
        <v>88890000</v>
      </c>
      <c r="E5229">
        <v>88899999</v>
      </c>
      <c r="F5229" t="s">
        <v>4740</v>
      </c>
      <c r="G5229" t="str">
        <f t="shared" si="162"/>
        <v>SCI II</v>
      </c>
      <c r="H5229" t="s">
        <v>4654</v>
      </c>
      <c r="I5229" t="s">
        <v>20</v>
      </c>
      <c r="J5229" t="s">
        <v>64</v>
      </c>
      <c r="K5229" s="6">
        <v>0.03</v>
      </c>
      <c r="L5229" s="7">
        <f t="shared" si="163"/>
        <v>2E-3</v>
      </c>
      <c r="M5229" s="7">
        <v>3.0000000000000001E-3</v>
      </c>
      <c r="N5229">
        <v>11</v>
      </c>
      <c r="O5229" s="8">
        <v>19.475693895950801</v>
      </c>
      <c r="P5229" s="9">
        <v>19.475693895950801</v>
      </c>
      <c r="Q5229" s="9">
        <v>19.475693895950801</v>
      </c>
      <c r="R5229" s="9">
        <v>20.024452706180426</v>
      </c>
      <c r="S5229" s="9">
        <v>20.875099128492941</v>
      </c>
      <c r="T5229" s="9">
        <v>21.733350185946453</v>
      </c>
      <c r="U5229" s="9">
        <v>23.861555618318132</v>
      </c>
      <c r="V5229" s="9">
        <v>23.861555618318132</v>
      </c>
      <c r="W5229" s="9">
        <v>23.861555618318132</v>
      </c>
      <c r="X5229" s="9">
        <v>26.599525609534091</v>
      </c>
      <c r="Y5229" s="9">
        <v>26.599525609534091</v>
      </c>
      <c r="Z5229" s="9">
        <v>29.424604823442099</v>
      </c>
      <c r="AA5229" s="9">
        <v>29.424604823442099</v>
      </c>
      <c r="AB5229" s="9">
        <v>32.345504182311352</v>
      </c>
      <c r="AC5229" s="9">
        <v>32.345504182311352</v>
      </c>
      <c r="AD5229" s="9">
        <v>37.073967958020759</v>
      </c>
      <c r="AE5229" s="9">
        <v>39.537280452065687</v>
      </c>
      <c r="AF5229" s="9">
        <v>42.115429646064094</v>
      </c>
      <c r="AG5229" s="9">
        <v>42.115429646064094</v>
      </c>
      <c r="AH5229" s="9">
        <v>45.566990204681431</v>
      </c>
      <c r="AI5229" s="9">
        <v>48.2081665036403</v>
      </c>
      <c r="AJ5229" s="9">
        <v>3.0428788910505911</v>
      </c>
    </row>
    <row r="5230" spans="1:36" x14ac:dyDescent="0.25">
      <c r="A5230" t="s">
        <v>5411</v>
      </c>
      <c r="B5230" t="s">
        <v>16</v>
      </c>
      <c r="C5230" t="s">
        <v>17</v>
      </c>
      <c r="D5230">
        <v>88900000</v>
      </c>
      <c r="E5230">
        <v>88913999</v>
      </c>
      <c r="F5230" t="s">
        <v>4741</v>
      </c>
      <c r="G5230" t="str">
        <f t="shared" si="162"/>
        <v>SCI</v>
      </c>
      <c r="H5230" t="s">
        <v>4654</v>
      </c>
      <c r="I5230" t="s">
        <v>20</v>
      </c>
      <c r="J5230" t="s">
        <v>62</v>
      </c>
      <c r="K5230" s="6">
        <v>0.03</v>
      </c>
      <c r="L5230" s="7">
        <f t="shared" si="163"/>
        <v>2E-3</v>
      </c>
      <c r="M5230" s="7">
        <v>3.0000000000000001E-3</v>
      </c>
      <c r="N5230">
        <v>10</v>
      </c>
      <c r="O5230" s="8">
        <v>16.631361039134706</v>
      </c>
      <c r="P5230" s="9">
        <v>16.631361039134706</v>
      </c>
      <c r="Q5230" s="9">
        <v>16.631361039134706</v>
      </c>
      <c r="R5230" s="9">
        <v>17.060180136455905</v>
      </c>
      <c r="S5230" s="9">
        <v>18.024171003933382</v>
      </c>
      <c r="T5230" s="9">
        <v>18.868116637328029</v>
      </c>
      <c r="U5230" s="9">
        <v>20.58817720770605</v>
      </c>
      <c r="V5230" s="9">
        <v>20.58817720770605</v>
      </c>
      <c r="W5230" s="9">
        <v>20.58817720770605</v>
      </c>
      <c r="X5230" s="9">
        <v>22.864259828555831</v>
      </c>
      <c r="Y5230" s="9">
        <v>22.864259828555831</v>
      </c>
      <c r="Z5230" s="9">
        <v>25.323053608820352</v>
      </c>
      <c r="AA5230" s="9">
        <v>25.323053608820352</v>
      </c>
      <c r="AB5230" s="9">
        <v>28.021815637038035</v>
      </c>
      <c r="AC5230" s="9">
        <v>28.021815637038035</v>
      </c>
      <c r="AD5230" s="9">
        <v>30.863654196486234</v>
      </c>
      <c r="AE5230" s="9">
        <v>33.866973124126531</v>
      </c>
      <c r="AF5230" s="9">
        <v>37.052606032896897</v>
      </c>
      <c r="AG5230" s="9">
        <v>37.052606032896897</v>
      </c>
      <c r="AH5230" s="9">
        <v>39.965079814445566</v>
      </c>
      <c r="AI5230" s="9">
        <v>42.780649023864797</v>
      </c>
      <c r="AJ5230" s="9">
        <v>3.0428788910505911</v>
      </c>
    </row>
    <row r="5231" spans="1:36" x14ac:dyDescent="0.25">
      <c r="A5231" t="s">
        <v>5411</v>
      </c>
      <c r="B5231" t="s">
        <v>16</v>
      </c>
      <c r="C5231" t="s">
        <v>17</v>
      </c>
      <c r="D5231">
        <v>88914000</v>
      </c>
      <c r="E5231">
        <v>88914999</v>
      </c>
      <c r="F5231" t="s">
        <v>4742</v>
      </c>
      <c r="G5231" t="str">
        <f t="shared" si="162"/>
        <v>SCI II</v>
      </c>
      <c r="H5231" t="s">
        <v>4654</v>
      </c>
      <c r="I5231" t="s">
        <v>20</v>
      </c>
      <c r="J5231" t="s">
        <v>64</v>
      </c>
      <c r="K5231" s="6">
        <v>0.03</v>
      </c>
      <c r="L5231" s="7">
        <f t="shared" si="163"/>
        <v>2E-3</v>
      </c>
      <c r="M5231" s="7">
        <v>3.0000000000000001E-3</v>
      </c>
      <c r="N5231">
        <v>11</v>
      </c>
      <c r="O5231" s="8">
        <v>19.475693895950801</v>
      </c>
      <c r="P5231" s="9">
        <v>19.475693895950801</v>
      </c>
      <c r="Q5231" s="9">
        <v>19.475693895950801</v>
      </c>
      <c r="R5231" s="9">
        <v>20.024452706180426</v>
      </c>
      <c r="S5231" s="9">
        <v>20.875099128492941</v>
      </c>
      <c r="T5231" s="9">
        <v>21.733350185946453</v>
      </c>
      <c r="U5231" s="9">
        <v>23.861555618318132</v>
      </c>
      <c r="V5231" s="9">
        <v>23.861555618318132</v>
      </c>
      <c r="W5231" s="9">
        <v>23.861555618318132</v>
      </c>
      <c r="X5231" s="9">
        <v>26.599525609534091</v>
      </c>
      <c r="Y5231" s="9">
        <v>26.599525609534091</v>
      </c>
      <c r="Z5231" s="9">
        <v>29.424604823442099</v>
      </c>
      <c r="AA5231" s="9">
        <v>29.424604823442099</v>
      </c>
      <c r="AB5231" s="9">
        <v>32.345504182311352</v>
      </c>
      <c r="AC5231" s="9">
        <v>32.345504182311352</v>
      </c>
      <c r="AD5231" s="9">
        <v>37.073967958020759</v>
      </c>
      <c r="AE5231" s="9">
        <v>39.537280452065687</v>
      </c>
      <c r="AF5231" s="9">
        <v>42.115429646064094</v>
      </c>
      <c r="AG5231" s="9">
        <v>42.115429646064094</v>
      </c>
      <c r="AH5231" s="9">
        <v>45.566990204681431</v>
      </c>
      <c r="AI5231" s="9">
        <v>48.2081665036403</v>
      </c>
      <c r="AJ5231" s="9">
        <v>3.0428788910505911</v>
      </c>
    </row>
    <row r="5232" spans="1:36" x14ac:dyDescent="0.25">
      <c r="A5232" t="s">
        <v>5411</v>
      </c>
      <c r="B5232" t="s">
        <v>16</v>
      </c>
      <c r="C5232" t="s">
        <v>17</v>
      </c>
      <c r="D5232">
        <v>88915000</v>
      </c>
      <c r="E5232">
        <v>88919999</v>
      </c>
      <c r="F5232" t="s">
        <v>4743</v>
      </c>
      <c r="G5232" t="str">
        <f t="shared" si="162"/>
        <v>SCI II</v>
      </c>
      <c r="H5232" t="s">
        <v>4654</v>
      </c>
      <c r="I5232" t="s">
        <v>20</v>
      </c>
      <c r="J5232" t="s">
        <v>64</v>
      </c>
      <c r="K5232" s="6">
        <v>0.03</v>
      </c>
      <c r="L5232" s="7">
        <f t="shared" si="163"/>
        <v>2E-3</v>
      </c>
      <c r="M5232" s="7">
        <v>3.0000000000000001E-3</v>
      </c>
      <c r="N5232">
        <v>11</v>
      </c>
      <c r="O5232" s="8">
        <v>19.475693895950801</v>
      </c>
      <c r="P5232" s="9">
        <v>19.475693895950801</v>
      </c>
      <c r="Q5232" s="9">
        <v>19.475693895950801</v>
      </c>
      <c r="R5232" s="9">
        <v>20.024452706180426</v>
      </c>
      <c r="S5232" s="9">
        <v>20.875099128492941</v>
      </c>
      <c r="T5232" s="9">
        <v>21.733350185946453</v>
      </c>
      <c r="U5232" s="9">
        <v>23.861555618318132</v>
      </c>
      <c r="V5232" s="9">
        <v>23.861555618318132</v>
      </c>
      <c r="W5232" s="9">
        <v>23.861555618318132</v>
      </c>
      <c r="X5232" s="9">
        <v>26.599525609534091</v>
      </c>
      <c r="Y5232" s="9">
        <v>26.599525609534091</v>
      </c>
      <c r="Z5232" s="9">
        <v>29.424604823442099</v>
      </c>
      <c r="AA5232" s="9">
        <v>29.424604823442099</v>
      </c>
      <c r="AB5232" s="9">
        <v>32.345504182311352</v>
      </c>
      <c r="AC5232" s="9">
        <v>32.345504182311352</v>
      </c>
      <c r="AD5232" s="9">
        <v>37.073967958020759</v>
      </c>
      <c r="AE5232" s="9">
        <v>39.537280452065687</v>
      </c>
      <c r="AF5232" s="9">
        <v>42.115429646064094</v>
      </c>
      <c r="AG5232" s="9">
        <v>42.115429646064094</v>
      </c>
      <c r="AH5232" s="9">
        <v>45.566990204681431</v>
      </c>
      <c r="AI5232" s="9">
        <v>48.2081665036403</v>
      </c>
      <c r="AJ5232" s="9">
        <v>3.0428788910505911</v>
      </c>
    </row>
    <row r="5233" spans="1:36" x14ac:dyDescent="0.25">
      <c r="A5233" t="s">
        <v>5411</v>
      </c>
      <c r="B5233" t="s">
        <v>16</v>
      </c>
      <c r="C5233" t="s">
        <v>17</v>
      </c>
      <c r="D5233">
        <v>88920000</v>
      </c>
      <c r="E5233">
        <v>88924999</v>
      </c>
      <c r="F5233" t="s">
        <v>4744</v>
      </c>
      <c r="G5233" t="str">
        <f t="shared" si="162"/>
        <v>SCI II</v>
      </c>
      <c r="H5233" t="s">
        <v>4654</v>
      </c>
      <c r="I5233" t="s">
        <v>20</v>
      </c>
      <c r="J5233" t="s">
        <v>64</v>
      </c>
      <c r="K5233" s="6">
        <v>0.03</v>
      </c>
      <c r="L5233" s="7">
        <f t="shared" si="163"/>
        <v>2E-3</v>
      </c>
      <c r="M5233" s="7">
        <v>3.0000000000000001E-3</v>
      </c>
      <c r="N5233">
        <v>11</v>
      </c>
      <c r="O5233" s="8">
        <v>19.475693895950801</v>
      </c>
      <c r="P5233" s="9">
        <v>19.475693895950801</v>
      </c>
      <c r="Q5233" s="9">
        <v>19.475693895950801</v>
      </c>
      <c r="R5233" s="9">
        <v>20.024452706180426</v>
      </c>
      <c r="S5233" s="9">
        <v>20.875099128492941</v>
      </c>
      <c r="T5233" s="9">
        <v>21.733350185946453</v>
      </c>
      <c r="U5233" s="9">
        <v>23.861555618318132</v>
      </c>
      <c r="V5233" s="9">
        <v>23.861555618318132</v>
      </c>
      <c r="W5233" s="9">
        <v>23.861555618318132</v>
      </c>
      <c r="X5233" s="9">
        <v>26.599525609534091</v>
      </c>
      <c r="Y5233" s="9">
        <v>26.599525609534091</v>
      </c>
      <c r="Z5233" s="9">
        <v>29.424604823442099</v>
      </c>
      <c r="AA5233" s="9">
        <v>29.424604823442099</v>
      </c>
      <c r="AB5233" s="9">
        <v>32.345504182311352</v>
      </c>
      <c r="AC5233" s="9">
        <v>32.345504182311352</v>
      </c>
      <c r="AD5233" s="9">
        <v>37.073967958020759</v>
      </c>
      <c r="AE5233" s="9">
        <v>39.537280452065687</v>
      </c>
      <c r="AF5233" s="9">
        <v>42.115429646064094</v>
      </c>
      <c r="AG5233" s="9">
        <v>42.115429646064094</v>
      </c>
      <c r="AH5233" s="9">
        <v>45.566990204681431</v>
      </c>
      <c r="AI5233" s="9">
        <v>48.2081665036403</v>
      </c>
      <c r="AJ5233" s="9">
        <v>3.0428788910505911</v>
      </c>
    </row>
    <row r="5234" spans="1:36" x14ac:dyDescent="0.25">
      <c r="A5234" t="s">
        <v>5411</v>
      </c>
      <c r="B5234" t="s">
        <v>16</v>
      </c>
      <c r="C5234" t="s">
        <v>17</v>
      </c>
      <c r="D5234">
        <v>88925000</v>
      </c>
      <c r="E5234">
        <v>88929999</v>
      </c>
      <c r="F5234" t="s">
        <v>4745</v>
      </c>
      <c r="G5234" t="str">
        <f t="shared" si="162"/>
        <v>SCI II</v>
      </c>
      <c r="H5234" t="s">
        <v>4654</v>
      </c>
      <c r="I5234" t="s">
        <v>20</v>
      </c>
      <c r="J5234" t="s">
        <v>64</v>
      </c>
      <c r="K5234" s="6">
        <v>0.03</v>
      </c>
      <c r="L5234" s="7">
        <f t="shared" si="163"/>
        <v>2E-3</v>
      </c>
      <c r="M5234" s="7">
        <v>3.0000000000000001E-3</v>
      </c>
      <c r="N5234">
        <v>11</v>
      </c>
      <c r="O5234" s="8">
        <v>19.475693895950801</v>
      </c>
      <c r="P5234" s="9">
        <v>19.475693895950801</v>
      </c>
      <c r="Q5234" s="9">
        <v>19.475693895950801</v>
      </c>
      <c r="R5234" s="9">
        <v>20.024452706180426</v>
      </c>
      <c r="S5234" s="9">
        <v>20.875099128492941</v>
      </c>
      <c r="T5234" s="9">
        <v>21.733350185946453</v>
      </c>
      <c r="U5234" s="9">
        <v>23.861555618318132</v>
      </c>
      <c r="V5234" s="9">
        <v>23.861555618318132</v>
      </c>
      <c r="W5234" s="9">
        <v>23.861555618318132</v>
      </c>
      <c r="X5234" s="9">
        <v>26.599525609534091</v>
      </c>
      <c r="Y5234" s="9">
        <v>26.599525609534091</v>
      </c>
      <c r="Z5234" s="9">
        <v>29.424604823442099</v>
      </c>
      <c r="AA5234" s="9">
        <v>29.424604823442099</v>
      </c>
      <c r="AB5234" s="9">
        <v>32.345504182311352</v>
      </c>
      <c r="AC5234" s="9">
        <v>32.345504182311352</v>
      </c>
      <c r="AD5234" s="9">
        <v>37.073967958020759</v>
      </c>
      <c r="AE5234" s="9">
        <v>39.537280452065687</v>
      </c>
      <c r="AF5234" s="9">
        <v>42.115429646064094</v>
      </c>
      <c r="AG5234" s="9">
        <v>42.115429646064094</v>
      </c>
      <c r="AH5234" s="9">
        <v>45.566990204681431</v>
      </c>
      <c r="AI5234" s="9">
        <v>48.2081665036403</v>
      </c>
      <c r="AJ5234" s="9">
        <v>3.0428788910505911</v>
      </c>
    </row>
    <row r="5235" spans="1:36" x14ac:dyDescent="0.25">
      <c r="A5235" t="s">
        <v>5411</v>
      </c>
      <c r="B5235" t="s">
        <v>16</v>
      </c>
      <c r="C5235" t="s">
        <v>17</v>
      </c>
      <c r="D5235">
        <v>88930000</v>
      </c>
      <c r="E5235">
        <v>88934999</v>
      </c>
      <c r="F5235" t="s">
        <v>4380</v>
      </c>
      <c r="G5235" t="str">
        <f t="shared" si="162"/>
        <v>SCI II</v>
      </c>
      <c r="H5235" t="s">
        <v>4654</v>
      </c>
      <c r="I5235" t="s">
        <v>20</v>
      </c>
      <c r="J5235" t="s">
        <v>64</v>
      </c>
      <c r="K5235" s="6">
        <v>0.03</v>
      </c>
      <c r="L5235" s="7">
        <f t="shared" si="163"/>
        <v>2E-3</v>
      </c>
      <c r="M5235" s="7">
        <v>3.0000000000000001E-3</v>
      </c>
      <c r="N5235">
        <v>11</v>
      </c>
      <c r="O5235" s="8">
        <v>19.475693895950801</v>
      </c>
      <c r="P5235" s="9">
        <v>19.475693895950801</v>
      </c>
      <c r="Q5235" s="9">
        <v>19.475693895950801</v>
      </c>
      <c r="R5235" s="9">
        <v>20.024452706180426</v>
      </c>
      <c r="S5235" s="9">
        <v>20.875099128492941</v>
      </c>
      <c r="T5235" s="9">
        <v>21.733350185946453</v>
      </c>
      <c r="U5235" s="9">
        <v>23.861555618318132</v>
      </c>
      <c r="V5235" s="9">
        <v>23.861555618318132</v>
      </c>
      <c r="W5235" s="9">
        <v>23.861555618318132</v>
      </c>
      <c r="X5235" s="9">
        <v>26.599525609534091</v>
      </c>
      <c r="Y5235" s="9">
        <v>26.599525609534091</v>
      </c>
      <c r="Z5235" s="9">
        <v>29.424604823442099</v>
      </c>
      <c r="AA5235" s="9">
        <v>29.424604823442099</v>
      </c>
      <c r="AB5235" s="9">
        <v>32.345504182311352</v>
      </c>
      <c r="AC5235" s="9">
        <v>32.345504182311352</v>
      </c>
      <c r="AD5235" s="9">
        <v>37.073967958020759</v>
      </c>
      <c r="AE5235" s="9">
        <v>39.537280452065687</v>
      </c>
      <c r="AF5235" s="9">
        <v>42.115429646064094</v>
      </c>
      <c r="AG5235" s="9">
        <v>42.115429646064094</v>
      </c>
      <c r="AH5235" s="9">
        <v>45.566990204681431</v>
      </c>
      <c r="AI5235" s="9">
        <v>48.2081665036403</v>
      </c>
      <c r="AJ5235" s="9">
        <v>3.0428788910505911</v>
      </c>
    </row>
    <row r="5236" spans="1:36" x14ac:dyDescent="0.25">
      <c r="A5236" t="s">
        <v>5411</v>
      </c>
      <c r="B5236" t="s">
        <v>16</v>
      </c>
      <c r="C5236" t="s">
        <v>17</v>
      </c>
      <c r="D5236">
        <v>88935000</v>
      </c>
      <c r="E5236">
        <v>88939999</v>
      </c>
      <c r="F5236" t="s">
        <v>4746</v>
      </c>
      <c r="G5236" t="str">
        <f t="shared" si="162"/>
        <v>SCI II</v>
      </c>
      <c r="H5236" t="s">
        <v>4654</v>
      </c>
      <c r="I5236" t="s">
        <v>20</v>
      </c>
      <c r="J5236" t="s">
        <v>64</v>
      </c>
      <c r="K5236" s="6">
        <v>0.03</v>
      </c>
      <c r="L5236" s="7">
        <f t="shared" si="163"/>
        <v>2E-3</v>
      </c>
      <c r="M5236" s="7">
        <v>3.0000000000000001E-3</v>
      </c>
      <c r="N5236">
        <v>11</v>
      </c>
      <c r="O5236" s="8">
        <v>19.475693895950801</v>
      </c>
      <c r="P5236" s="9">
        <v>19.475693895950801</v>
      </c>
      <c r="Q5236" s="9">
        <v>19.475693895950801</v>
      </c>
      <c r="R5236" s="9">
        <v>20.024452706180426</v>
      </c>
      <c r="S5236" s="9">
        <v>20.875099128492941</v>
      </c>
      <c r="T5236" s="9">
        <v>21.733350185946453</v>
      </c>
      <c r="U5236" s="9">
        <v>23.861555618318132</v>
      </c>
      <c r="V5236" s="9">
        <v>23.861555618318132</v>
      </c>
      <c r="W5236" s="9">
        <v>23.861555618318132</v>
      </c>
      <c r="X5236" s="9">
        <v>26.599525609534091</v>
      </c>
      <c r="Y5236" s="9">
        <v>26.599525609534091</v>
      </c>
      <c r="Z5236" s="9">
        <v>29.424604823442099</v>
      </c>
      <c r="AA5236" s="9">
        <v>29.424604823442099</v>
      </c>
      <c r="AB5236" s="9">
        <v>32.345504182311352</v>
      </c>
      <c r="AC5236" s="9">
        <v>32.345504182311352</v>
      </c>
      <c r="AD5236" s="9">
        <v>37.073967958020759</v>
      </c>
      <c r="AE5236" s="9">
        <v>39.537280452065687</v>
      </c>
      <c r="AF5236" s="9">
        <v>42.115429646064094</v>
      </c>
      <c r="AG5236" s="9">
        <v>42.115429646064094</v>
      </c>
      <c r="AH5236" s="9">
        <v>45.566990204681431</v>
      </c>
      <c r="AI5236" s="9">
        <v>48.2081665036403</v>
      </c>
      <c r="AJ5236" s="9">
        <v>3.0428788910505911</v>
      </c>
    </row>
    <row r="5237" spans="1:36" x14ac:dyDescent="0.25">
      <c r="A5237" t="s">
        <v>5411</v>
      </c>
      <c r="B5237" t="s">
        <v>16</v>
      </c>
      <c r="C5237" t="s">
        <v>17</v>
      </c>
      <c r="D5237">
        <v>88940000</v>
      </c>
      <c r="E5237">
        <v>88949999</v>
      </c>
      <c r="F5237" t="s">
        <v>4747</v>
      </c>
      <c r="G5237" t="str">
        <f t="shared" si="162"/>
        <v>SCI II</v>
      </c>
      <c r="H5237" t="s">
        <v>4654</v>
      </c>
      <c r="I5237" t="s">
        <v>20</v>
      </c>
      <c r="J5237" t="s">
        <v>64</v>
      </c>
      <c r="K5237" s="6">
        <v>0.03</v>
      </c>
      <c r="L5237" s="7">
        <f t="shared" si="163"/>
        <v>2E-3</v>
      </c>
      <c r="M5237" s="7">
        <v>3.0000000000000001E-3</v>
      </c>
      <c r="N5237">
        <v>11</v>
      </c>
      <c r="O5237" s="8">
        <v>19.475693895950801</v>
      </c>
      <c r="P5237" s="9">
        <v>19.475693895950801</v>
      </c>
      <c r="Q5237" s="9">
        <v>19.475693895950801</v>
      </c>
      <c r="R5237" s="9">
        <v>20.024452706180426</v>
      </c>
      <c r="S5237" s="9">
        <v>20.875099128492941</v>
      </c>
      <c r="T5237" s="9">
        <v>21.733350185946453</v>
      </c>
      <c r="U5237" s="9">
        <v>23.861555618318132</v>
      </c>
      <c r="V5237" s="9">
        <v>23.861555618318132</v>
      </c>
      <c r="W5237" s="9">
        <v>23.861555618318132</v>
      </c>
      <c r="X5237" s="9">
        <v>26.599525609534091</v>
      </c>
      <c r="Y5237" s="9">
        <v>26.599525609534091</v>
      </c>
      <c r="Z5237" s="9">
        <v>29.424604823442099</v>
      </c>
      <c r="AA5237" s="9">
        <v>29.424604823442099</v>
      </c>
      <c r="AB5237" s="9">
        <v>32.345504182311352</v>
      </c>
      <c r="AC5237" s="9">
        <v>32.345504182311352</v>
      </c>
      <c r="AD5237" s="9">
        <v>37.073967958020759</v>
      </c>
      <c r="AE5237" s="9">
        <v>39.537280452065687</v>
      </c>
      <c r="AF5237" s="9">
        <v>42.115429646064094</v>
      </c>
      <c r="AG5237" s="9">
        <v>42.115429646064094</v>
      </c>
      <c r="AH5237" s="9">
        <v>45.566990204681431</v>
      </c>
      <c r="AI5237" s="9">
        <v>48.2081665036403</v>
      </c>
      <c r="AJ5237" s="9">
        <v>3.0428788910505911</v>
      </c>
    </row>
    <row r="5238" spans="1:36" x14ac:dyDescent="0.25">
      <c r="A5238" t="s">
        <v>5411</v>
      </c>
      <c r="B5238" t="s">
        <v>16</v>
      </c>
      <c r="C5238" t="s">
        <v>17</v>
      </c>
      <c r="D5238">
        <v>88950000</v>
      </c>
      <c r="E5238">
        <v>88954999</v>
      </c>
      <c r="F5238" t="s">
        <v>4748</v>
      </c>
      <c r="G5238" t="str">
        <f t="shared" si="162"/>
        <v>SCI II</v>
      </c>
      <c r="H5238" t="s">
        <v>4654</v>
      </c>
      <c r="I5238" t="s">
        <v>20</v>
      </c>
      <c r="J5238" t="s">
        <v>64</v>
      </c>
      <c r="K5238" s="6">
        <v>0.03</v>
      </c>
      <c r="L5238" s="7">
        <f t="shared" si="163"/>
        <v>2E-3</v>
      </c>
      <c r="M5238" s="7">
        <v>3.0000000000000001E-3</v>
      </c>
      <c r="N5238">
        <v>11</v>
      </c>
      <c r="O5238" s="8">
        <v>19.475693895950801</v>
      </c>
      <c r="P5238" s="9">
        <v>19.475693895950801</v>
      </c>
      <c r="Q5238" s="9">
        <v>19.475693895950801</v>
      </c>
      <c r="R5238" s="9">
        <v>20.024452706180426</v>
      </c>
      <c r="S5238" s="9">
        <v>20.875099128492941</v>
      </c>
      <c r="T5238" s="9">
        <v>21.733350185946453</v>
      </c>
      <c r="U5238" s="9">
        <v>23.861555618318132</v>
      </c>
      <c r="V5238" s="9">
        <v>23.861555618318132</v>
      </c>
      <c r="W5238" s="9">
        <v>23.861555618318132</v>
      </c>
      <c r="X5238" s="9">
        <v>26.599525609534091</v>
      </c>
      <c r="Y5238" s="9">
        <v>26.599525609534091</v>
      </c>
      <c r="Z5238" s="9">
        <v>29.424604823442099</v>
      </c>
      <c r="AA5238" s="9">
        <v>29.424604823442099</v>
      </c>
      <c r="AB5238" s="9">
        <v>32.345504182311352</v>
      </c>
      <c r="AC5238" s="9">
        <v>32.345504182311352</v>
      </c>
      <c r="AD5238" s="9">
        <v>37.073967958020759</v>
      </c>
      <c r="AE5238" s="9">
        <v>39.537280452065687</v>
      </c>
      <c r="AF5238" s="9">
        <v>42.115429646064094</v>
      </c>
      <c r="AG5238" s="9">
        <v>42.115429646064094</v>
      </c>
      <c r="AH5238" s="9">
        <v>45.566990204681431</v>
      </c>
      <c r="AI5238" s="9">
        <v>48.2081665036403</v>
      </c>
      <c r="AJ5238" s="9">
        <v>3.0428788910505911</v>
      </c>
    </row>
    <row r="5239" spans="1:36" x14ac:dyDescent="0.25">
      <c r="A5239" t="s">
        <v>5411</v>
      </c>
      <c r="B5239" t="s">
        <v>16</v>
      </c>
      <c r="C5239" t="s">
        <v>17</v>
      </c>
      <c r="D5239">
        <v>88955000</v>
      </c>
      <c r="E5239">
        <v>88959999</v>
      </c>
      <c r="F5239" t="s">
        <v>4749</v>
      </c>
      <c r="G5239" t="str">
        <f t="shared" si="162"/>
        <v>SCI II</v>
      </c>
      <c r="H5239" t="s">
        <v>4654</v>
      </c>
      <c r="I5239" t="s">
        <v>20</v>
      </c>
      <c r="J5239" t="s">
        <v>64</v>
      </c>
      <c r="K5239" s="6">
        <v>0.03</v>
      </c>
      <c r="L5239" s="7">
        <f t="shared" si="163"/>
        <v>2E-3</v>
      </c>
      <c r="M5239" s="7">
        <v>3.0000000000000001E-3</v>
      </c>
      <c r="N5239">
        <v>11</v>
      </c>
      <c r="O5239" s="8">
        <v>19.475693895950801</v>
      </c>
      <c r="P5239" s="9">
        <v>19.475693895950801</v>
      </c>
      <c r="Q5239" s="9">
        <v>19.475693895950801</v>
      </c>
      <c r="R5239" s="9">
        <v>20.024452706180426</v>
      </c>
      <c r="S5239" s="9">
        <v>20.875099128492941</v>
      </c>
      <c r="T5239" s="9">
        <v>21.733350185946453</v>
      </c>
      <c r="U5239" s="9">
        <v>23.861555618318132</v>
      </c>
      <c r="V5239" s="9">
        <v>23.861555618318132</v>
      </c>
      <c r="W5239" s="9">
        <v>23.861555618318132</v>
      </c>
      <c r="X5239" s="9">
        <v>26.599525609534091</v>
      </c>
      <c r="Y5239" s="9">
        <v>26.599525609534091</v>
      </c>
      <c r="Z5239" s="9">
        <v>29.424604823442099</v>
      </c>
      <c r="AA5239" s="9">
        <v>29.424604823442099</v>
      </c>
      <c r="AB5239" s="9">
        <v>32.345504182311352</v>
      </c>
      <c r="AC5239" s="9">
        <v>32.345504182311352</v>
      </c>
      <c r="AD5239" s="9">
        <v>37.073967958020759</v>
      </c>
      <c r="AE5239" s="9">
        <v>39.537280452065687</v>
      </c>
      <c r="AF5239" s="9">
        <v>42.115429646064094</v>
      </c>
      <c r="AG5239" s="9">
        <v>42.115429646064094</v>
      </c>
      <c r="AH5239" s="9">
        <v>45.566990204681431</v>
      </c>
      <c r="AI5239" s="9">
        <v>48.2081665036403</v>
      </c>
      <c r="AJ5239" s="9">
        <v>3.0428788910505911</v>
      </c>
    </row>
    <row r="5240" spans="1:36" x14ac:dyDescent="0.25">
      <c r="A5240" t="s">
        <v>5411</v>
      </c>
      <c r="B5240" t="s">
        <v>16</v>
      </c>
      <c r="C5240" t="s">
        <v>17</v>
      </c>
      <c r="D5240">
        <v>88960000</v>
      </c>
      <c r="E5240">
        <v>88964999</v>
      </c>
      <c r="F5240" t="s">
        <v>4750</v>
      </c>
      <c r="G5240" t="str">
        <f t="shared" si="162"/>
        <v>SCI II</v>
      </c>
      <c r="H5240" t="s">
        <v>4654</v>
      </c>
      <c r="I5240" t="s">
        <v>20</v>
      </c>
      <c r="J5240" t="s">
        <v>64</v>
      </c>
      <c r="K5240" s="6">
        <v>0.03</v>
      </c>
      <c r="L5240" s="7">
        <f t="shared" si="163"/>
        <v>2E-3</v>
      </c>
      <c r="M5240" s="7">
        <v>3.0000000000000001E-3</v>
      </c>
      <c r="N5240">
        <v>11</v>
      </c>
      <c r="O5240" s="8">
        <v>19.475693895950801</v>
      </c>
      <c r="P5240" s="9">
        <v>19.475693895950801</v>
      </c>
      <c r="Q5240" s="9">
        <v>19.475693895950801</v>
      </c>
      <c r="R5240" s="9">
        <v>20.024452706180426</v>
      </c>
      <c r="S5240" s="9">
        <v>20.875099128492941</v>
      </c>
      <c r="T5240" s="9">
        <v>21.733350185946453</v>
      </c>
      <c r="U5240" s="9">
        <v>23.861555618318132</v>
      </c>
      <c r="V5240" s="9">
        <v>23.861555618318132</v>
      </c>
      <c r="W5240" s="9">
        <v>23.861555618318132</v>
      </c>
      <c r="X5240" s="9">
        <v>26.599525609534091</v>
      </c>
      <c r="Y5240" s="9">
        <v>26.599525609534091</v>
      </c>
      <c r="Z5240" s="9">
        <v>29.424604823442099</v>
      </c>
      <c r="AA5240" s="9">
        <v>29.424604823442099</v>
      </c>
      <c r="AB5240" s="9">
        <v>32.345504182311352</v>
      </c>
      <c r="AC5240" s="9">
        <v>32.345504182311352</v>
      </c>
      <c r="AD5240" s="9">
        <v>37.073967958020759</v>
      </c>
      <c r="AE5240" s="9">
        <v>39.537280452065687</v>
      </c>
      <c r="AF5240" s="9">
        <v>42.115429646064094</v>
      </c>
      <c r="AG5240" s="9">
        <v>42.115429646064094</v>
      </c>
      <c r="AH5240" s="9">
        <v>45.566990204681431</v>
      </c>
      <c r="AI5240" s="9">
        <v>48.2081665036403</v>
      </c>
      <c r="AJ5240" s="9">
        <v>3.0428788910505911</v>
      </c>
    </row>
    <row r="5241" spans="1:36" x14ac:dyDescent="0.25">
      <c r="A5241" t="s">
        <v>5411</v>
      </c>
      <c r="B5241" t="s">
        <v>16</v>
      </c>
      <c r="C5241" t="s">
        <v>17</v>
      </c>
      <c r="D5241">
        <v>88965000</v>
      </c>
      <c r="E5241">
        <v>88969999</v>
      </c>
      <c r="F5241" t="s">
        <v>4751</v>
      </c>
      <c r="G5241" t="str">
        <f t="shared" si="162"/>
        <v>SCI II</v>
      </c>
      <c r="H5241" t="s">
        <v>4654</v>
      </c>
      <c r="I5241" t="s">
        <v>20</v>
      </c>
      <c r="J5241" t="s">
        <v>64</v>
      </c>
      <c r="K5241" s="6">
        <v>0.03</v>
      </c>
      <c r="L5241" s="7">
        <f t="shared" si="163"/>
        <v>2E-3</v>
      </c>
      <c r="M5241" s="7">
        <v>3.0000000000000001E-3</v>
      </c>
      <c r="N5241">
        <v>11</v>
      </c>
      <c r="O5241" s="8">
        <v>19.475693895950801</v>
      </c>
      <c r="P5241" s="9">
        <v>19.475693895950801</v>
      </c>
      <c r="Q5241" s="9">
        <v>19.475693895950801</v>
      </c>
      <c r="R5241" s="9">
        <v>20.024452706180426</v>
      </c>
      <c r="S5241" s="9">
        <v>20.875099128492941</v>
      </c>
      <c r="T5241" s="9">
        <v>21.733350185946453</v>
      </c>
      <c r="U5241" s="9">
        <v>23.861555618318132</v>
      </c>
      <c r="V5241" s="9">
        <v>23.861555618318132</v>
      </c>
      <c r="W5241" s="9">
        <v>23.861555618318132</v>
      </c>
      <c r="X5241" s="9">
        <v>26.599525609534091</v>
      </c>
      <c r="Y5241" s="9">
        <v>26.599525609534091</v>
      </c>
      <c r="Z5241" s="9">
        <v>29.424604823442099</v>
      </c>
      <c r="AA5241" s="9">
        <v>29.424604823442099</v>
      </c>
      <c r="AB5241" s="9">
        <v>32.345504182311352</v>
      </c>
      <c r="AC5241" s="9">
        <v>32.345504182311352</v>
      </c>
      <c r="AD5241" s="9">
        <v>37.073967958020759</v>
      </c>
      <c r="AE5241" s="9">
        <v>39.537280452065687</v>
      </c>
      <c r="AF5241" s="9">
        <v>42.115429646064094</v>
      </c>
      <c r="AG5241" s="9">
        <v>42.115429646064094</v>
      </c>
      <c r="AH5241" s="9">
        <v>45.566990204681431</v>
      </c>
      <c r="AI5241" s="9">
        <v>48.2081665036403</v>
      </c>
      <c r="AJ5241" s="9">
        <v>3.0428788910505911</v>
      </c>
    </row>
    <row r="5242" spans="1:36" x14ac:dyDescent="0.25">
      <c r="A5242" t="s">
        <v>5411</v>
      </c>
      <c r="B5242" t="s">
        <v>16</v>
      </c>
      <c r="C5242" t="s">
        <v>17</v>
      </c>
      <c r="D5242">
        <v>88970000</v>
      </c>
      <c r="E5242">
        <v>88979999</v>
      </c>
      <c r="F5242" t="s">
        <v>4752</v>
      </c>
      <c r="G5242" t="str">
        <f t="shared" si="162"/>
        <v>SCI II</v>
      </c>
      <c r="H5242" t="s">
        <v>4654</v>
      </c>
      <c r="I5242" t="s">
        <v>20</v>
      </c>
      <c r="J5242" t="s">
        <v>64</v>
      </c>
      <c r="K5242" s="6">
        <v>0.03</v>
      </c>
      <c r="L5242" s="7">
        <f t="shared" si="163"/>
        <v>2E-3</v>
      </c>
      <c r="M5242" s="7">
        <v>3.0000000000000001E-3</v>
      </c>
      <c r="N5242">
        <v>11</v>
      </c>
      <c r="O5242" s="8">
        <v>19.475693895950801</v>
      </c>
      <c r="P5242" s="9">
        <v>19.475693895950801</v>
      </c>
      <c r="Q5242" s="9">
        <v>19.475693895950801</v>
      </c>
      <c r="R5242" s="9">
        <v>20.024452706180426</v>
      </c>
      <c r="S5242" s="9">
        <v>20.875099128492941</v>
      </c>
      <c r="T5242" s="9">
        <v>21.733350185946453</v>
      </c>
      <c r="U5242" s="9">
        <v>23.861555618318132</v>
      </c>
      <c r="V5242" s="9">
        <v>23.861555618318132</v>
      </c>
      <c r="W5242" s="9">
        <v>23.861555618318132</v>
      </c>
      <c r="X5242" s="9">
        <v>26.599525609534091</v>
      </c>
      <c r="Y5242" s="9">
        <v>26.599525609534091</v>
      </c>
      <c r="Z5242" s="9">
        <v>29.424604823442099</v>
      </c>
      <c r="AA5242" s="9">
        <v>29.424604823442099</v>
      </c>
      <c r="AB5242" s="9">
        <v>32.345504182311352</v>
      </c>
      <c r="AC5242" s="9">
        <v>32.345504182311352</v>
      </c>
      <c r="AD5242" s="9">
        <v>37.073967958020759</v>
      </c>
      <c r="AE5242" s="9">
        <v>39.537280452065687</v>
      </c>
      <c r="AF5242" s="9">
        <v>42.115429646064094</v>
      </c>
      <c r="AG5242" s="9">
        <v>42.115429646064094</v>
      </c>
      <c r="AH5242" s="9">
        <v>45.566990204681431</v>
      </c>
      <c r="AI5242" s="9">
        <v>48.2081665036403</v>
      </c>
      <c r="AJ5242" s="9">
        <v>3.0428788910505911</v>
      </c>
    </row>
    <row r="5243" spans="1:36" x14ac:dyDescent="0.25">
      <c r="A5243" t="s">
        <v>5411</v>
      </c>
      <c r="B5243" t="s">
        <v>16</v>
      </c>
      <c r="C5243" t="s">
        <v>17</v>
      </c>
      <c r="D5243">
        <v>88980000</v>
      </c>
      <c r="E5243">
        <v>88989999</v>
      </c>
      <c r="F5243" t="s">
        <v>4753</v>
      </c>
      <c r="G5243" t="str">
        <f t="shared" si="162"/>
        <v>SCI II</v>
      </c>
      <c r="H5243" t="s">
        <v>4654</v>
      </c>
      <c r="I5243" t="s">
        <v>20</v>
      </c>
      <c r="J5243" t="s">
        <v>64</v>
      </c>
      <c r="K5243" s="6">
        <v>0.03</v>
      </c>
      <c r="L5243" s="7">
        <f t="shared" si="163"/>
        <v>2E-3</v>
      </c>
      <c r="M5243" s="7">
        <v>3.0000000000000001E-3</v>
      </c>
      <c r="N5243">
        <v>11</v>
      </c>
      <c r="O5243" s="8">
        <v>19.475693895950801</v>
      </c>
      <c r="P5243" s="9">
        <v>19.475693895950801</v>
      </c>
      <c r="Q5243" s="9">
        <v>19.475693895950801</v>
      </c>
      <c r="R5243" s="9">
        <v>20.024452706180426</v>
      </c>
      <c r="S5243" s="9">
        <v>20.875099128492941</v>
      </c>
      <c r="T5243" s="9">
        <v>21.733350185946453</v>
      </c>
      <c r="U5243" s="9">
        <v>23.861555618318132</v>
      </c>
      <c r="V5243" s="9">
        <v>23.861555618318132</v>
      </c>
      <c r="W5243" s="9">
        <v>23.861555618318132</v>
      </c>
      <c r="X5243" s="9">
        <v>26.599525609534091</v>
      </c>
      <c r="Y5243" s="9">
        <v>26.599525609534091</v>
      </c>
      <c r="Z5243" s="9">
        <v>29.424604823442099</v>
      </c>
      <c r="AA5243" s="9">
        <v>29.424604823442099</v>
      </c>
      <c r="AB5243" s="9">
        <v>32.345504182311352</v>
      </c>
      <c r="AC5243" s="9">
        <v>32.345504182311352</v>
      </c>
      <c r="AD5243" s="9">
        <v>37.073967958020759</v>
      </c>
      <c r="AE5243" s="9">
        <v>39.537280452065687</v>
      </c>
      <c r="AF5243" s="9">
        <v>42.115429646064094</v>
      </c>
      <c r="AG5243" s="9">
        <v>42.115429646064094</v>
      </c>
      <c r="AH5243" s="9">
        <v>45.566990204681431</v>
      </c>
      <c r="AI5243" s="9">
        <v>48.2081665036403</v>
      </c>
      <c r="AJ5243" s="9">
        <v>3.0428788910505911</v>
      </c>
    </row>
    <row r="5244" spans="1:36" x14ac:dyDescent="0.25">
      <c r="A5244" t="s">
        <v>5411</v>
      </c>
      <c r="B5244" t="s">
        <v>16</v>
      </c>
      <c r="C5244" t="s">
        <v>17</v>
      </c>
      <c r="D5244">
        <v>88990000</v>
      </c>
      <c r="E5244">
        <v>88999999</v>
      </c>
      <c r="F5244" t="s">
        <v>72</v>
      </c>
      <c r="G5244" t="str">
        <f t="shared" si="162"/>
        <v>SCI II</v>
      </c>
      <c r="H5244" t="s">
        <v>4654</v>
      </c>
      <c r="I5244" t="s">
        <v>20</v>
      </c>
      <c r="J5244" t="s">
        <v>64</v>
      </c>
      <c r="K5244" s="6">
        <v>0.03</v>
      </c>
      <c r="L5244" s="7">
        <f t="shared" si="163"/>
        <v>2E-3</v>
      </c>
      <c r="M5244" s="7">
        <v>3.0000000000000001E-3</v>
      </c>
      <c r="N5244">
        <v>11</v>
      </c>
      <c r="O5244" s="8">
        <v>19.475693895950801</v>
      </c>
      <c r="P5244" s="9">
        <v>19.475693895950801</v>
      </c>
      <c r="Q5244" s="9">
        <v>19.475693895950801</v>
      </c>
      <c r="R5244" s="9">
        <v>20.024452706180426</v>
      </c>
      <c r="S5244" s="9">
        <v>20.875099128492941</v>
      </c>
      <c r="T5244" s="9">
        <v>21.733350185946453</v>
      </c>
      <c r="U5244" s="9">
        <v>23.861555618318132</v>
      </c>
      <c r="V5244" s="9">
        <v>23.861555618318132</v>
      </c>
      <c r="W5244" s="9">
        <v>23.861555618318132</v>
      </c>
      <c r="X5244" s="9">
        <v>26.599525609534091</v>
      </c>
      <c r="Y5244" s="9">
        <v>26.599525609534091</v>
      </c>
      <c r="Z5244" s="9">
        <v>29.424604823442099</v>
      </c>
      <c r="AA5244" s="9">
        <v>29.424604823442099</v>
      </c>
      <c r="AB5244" s="9">
        <v>32.345504182311352</v>
      </c>
      <c r="AC5244" s="9">
        <v>32.345504182311352</v>
      </c>
      <c r="AD5244" s="9">
        <v>37.073967958020759</v>
      </c>
      <c r="AE5244" s="9">
        <v>39.537280452065687</v>
      </c>
      <c r="AF5244" s="9">
        <v>42.115429646064094</v>
      </c>
      <c r="AG5244" s="9">
        <v>42.115429646064094</v>
      </c>
      <c r="AH5244" s="9">
        <v>45.566990204681431</v>
      </c>
      <c r="AI5244" s="9">
        <v>48.2081665036403</v>
      </c>
      <c r="AJ5244" s="9">
        <v>3.0428788910505911</v>
      </c>
    </row>
    <row r="5245" spans="1:36" x14ac:dyDescent="0.25">
      <c r="A5245" t="s">
        <v>5411</v>
      </c>
      <c r="B5245" t="s">
        <v>16</v>
      </c>
      <c r="C5245" t="s">
        <v>17</v>
      </c>
      <c r="D5245">
        <v>89000000</v>
      </c>
      <c r="E5245">
        <v>89079999</v>
      </c>
      <c r="F5245" t="s">
        <v>4754</v>
      </c>
      <c r="G5245" t="str">
        <f t="shared" si="162"/>
        <v>SCI</v>
      </c>
      <c r="H5245" t="s">
        <v>4654</v>
      </c>
      <c r="I5245" t="s">
        <v>20</v>
      </c>
      <c r="J5245" t="s">
        <v>62</v>
      </c>
      <c r="K5245" s="6">
        <v>0.03</v>
      </c>
      <c r="L5245" s="7">
        <f t="shared" si="163"/>
        <v>2E-3</v>
      </c>
      <c r="M5245" s="7">
        <v>3.0000000000000001E-3</v>
      </c>
      <c r="N5245">
        <v>8</v>
      </c>
      <c r="O5245" s="8">
        <v>16.631361039134706</v>
      </c>
      <c r="P5245" s="9">
        <v>16.631361039134706</v>
      </c>
      <c r="Q5245" s="9">
        <v>16.631361039134706</v>
      </c>
      <c r="R5245" s="9">
        <v>17.060180136455905</v>
      </c>
      <c r="S5245" s="9">
        <v>18.024171003933382</v>
      </c>
      <c r="T5245" s="9">
        <v>18.868116637328029</v>
      </c>
      <c r="U5245" s="9">
        <v>20.58817720770605</v>
      </c>
      <c r="V5245" s="9">
        <v>20.58817720770605</v>
      </c>
      <c r="W5245" s="9">
        <v>20.58817720770605</v>
      </c>
      <c r="X5245" s="9">
        <v>22.864259828555831</v>
      </c>
      <c r="Y5245" s="9">
        <v>22.864259828555831</v>
      </c>
      <c r="Z5245" s="9">
        <v>25.323053608820352</v>
      </c>
      <c r="AA5245" s="9">
        <v>25.323053608820352</v>
      </c>
      <c r="AB5245" s="9">
        <v>28.021815637038035</v>
      </c>
      <c r="AC5245" s="9">
        <v>28.021815637038035</v>
      </c>
      <c r="AD5245" s="9">
        <v>30.863654196486234</v>
      </c>
      <c r="AE5245" s="9">
        <v>33.866973124126531</v>
      </c>
      <c r="AF5245" s="9">
        <v>37.052606032896897</v>
      </c>
      <c r="AG5245" s="9">
        <v>37.052606032896897</v>
      </c>
      <c r="AH5245" s="9">
        <v>39.965079814445566</v>
      </c>
      <c r="AI5245" s="9">
        <v>42.780649023864797</v>
      </c>
      <c r="AJ5245" s="9">
        <v>3.0428788910505911</v>
      </c>
    </row>
    <row r="5246" spans="1:36" x14ac:dyDescent="0.25">
      <c r="A5246" t="s">
        <v>5411</v>
      </c>
      <c r="B5246" t="s">
        <v>16</v>
      </c>
      <c r="C5246" t="s">
        <v>17</v>
      </c>
      <c r="D5246">
        <v>89080000</v>
      </c>
      <c r="E5246">
        <v>89106999</v>
      </c>
      <c r="F5246" t="s">
        <v>4755</v>
      </c>
      <c r="G5246" t="str">
        <f t="shared" si="162"/>
        <v>SCI</v>
      </c>
      <c r="H5246" t="s">
        <v>4654</v>
      </c>
      <c r="I5246" t="s">
        <v>20</v>
      </c>
      <c r="J5246" t="s">
        <v>62</v>
      </c>
      <c r="K5246" s="6">
        <v>0.03</v>
      </c>
      <c r="L5246" s="7">
        <f t="shared" si="163"/>
        <v>2E-3</v>
      </c>
      <c r="M5246" s="7">
        <v>3.0000000000000001E-3</v>
      </c>
      <c r="N5246">
        <v>8</v>
      </c>
      <c r="O5246" s="8">
        <v>16.631361039134706</v>
      </c>
      <c r="P5246" s="9">
        <v>16.631361039134706</v>
      </c>
      <c r="Q5246" s="9">
        <v>16.631361039134706</v>
      </c>
      <c r="R5246" s="9">
        <v>17.060180136455905</v>
      </c>
      <c r="S5246" s="9">
        <v>18.024171003933382</v>
      </c>
      <c r="T5246" s="9">
        <v>18.868116637328029</v>
      </c>
      <c r="U5246" s="9">
        <v>20.58817720770605</v>
      </c>
      <c r="V5246" s="9">
        <v>20.58817720770605</v>
      </c>
      <c r="W5246" s="9">
        <v>20.58817720770605</v>
      </c>
      <c r="X5246" s="9">
        <v>22.864259828555831</v>
      </c>
      <c r="Y5246" s="9">
        <v>22.864259828555831</v>
      </c>
      <c r="Z5246" s="9">
        <v>25.323053608820352</v>
      </c>
      <c r="AA5246" s="9">
        <v>25.323053608820352</v>
      </c>
      <c r="AB5246" s="9">
        <v>28.021815637038035</v>
      </c>
      <c r="AC5246" s="9">
        <v>28.021815637038035</v>
      </c>
      <c r="AD5246" s="9">
        <v>30.863654196486234</v>
      </c>
      <c r="AE5246" s="9">
        <v>33.866973124126531</v>
      </c>
      <c r="AF5246" s="9">
        <v>37.052606032896897</v>
      </c>
      <c r="AG5246" s="9">
        <v>37.052606032896897</v>
      </c>
      <c r="AH5246" s="9">
        <v>39.965079814445566</v>
      </c>
      <c r="AI5246" s="9">
        <v>42.780649023864797</v>
      </c>
      <c r="AJ5246" s="9">
        <v>3.0428788910505911</v>
      </c>
    </row>
    <row r="5247" spans="1:36" x14ac:dyDescent="0.25">
      <c r="A5247" t="s">
        <v>5411</v>
      </c>
      <c r="B5247" t="s">
        <v>16</v>
      </c>
      <c r="C5247" t="s">
        <v>17</v>
      </c>
      <c r="D5247">
        <v>89107000</v>
      </c>
      <c r="E5247">
        <v>89107999</v>
      </c>
      <c r="F5247" t="s">
        <v>4756</v>
      </c>
      <c r="G5247" t="str">
        <f t="shared" si="162"/>
        <v>SCI</v>
      </c>
      <c r="H5247" t="s">
        <v>4654</v>
      </c>
      <c r="I5247" t="s">
        <v>20</v>
      </c>
      <c r="J5247" t="s">
        <v>62</v>
      </c>
      <c r="K5247" s="6">
        <v>0.03</v>
      </c>
      <c r="L5247" s="7">
        <f t="shared" si="163"/>
        <v>2E-3</v>
      </c>
      <c r="M5247" s="7">
        <v>3.0000000000000001E-3</v>
      </c>
      <c r="N5247">
        <v>9</v>
      </c>
      <c r="O5247" s="8">
        <v>16.631361039134706</v>
      </c>
      <c r="P5247" s="9">
        <v>16.631361039134706</v>
      </c>
      <c r="Q5247" s="9">
        <v>16.631361039134706</v>
      </c>
      <c r="R5247" s="9">
        <v>17.060180136455905</v>
      </c>
      <c r="S5247" s="9">
        <v>18.024171003933382</v>
      </c>
      <c r="T5247" s="9">
        <v>18.868116637328029</v>
      </c>
      <c r="U5247" s="9">
        <v>20.58817720770605</v>
      </c>
      <c r="V5247" s="9">
        <v>20.58817720770605</v>
      </c>
      <c r="W5247" s="9">
        <v>20.58817720770605</v>
      </c>
      <c r="X5247" s="9">
        <v>22.864259828555831</v>
      </c>
      <c r="Y5247" s="9">
        <v>22.864259828555831</v>
      </c>
      <c r="Z5247" s="9">
        <v>25.323053608820352</v>
      </c>
      <c r="AA5247" s="9">
        <v>25.323053608820352</v>
      </c>
      <c r="AB5247" s="9">
        <v>28.021815637038035</v>
      </c>
      <c r="AC5247" s="9">
        <v>28.021815637038035</v>
      </c>
      <c r="AD5247" s="9">
        <v>30.863654196486234</v>
      </c>
      <c r="AE5247" s="9">
        <v>33.866973124126531</v>
      </c>
      <c r="AF5247" s="9">
        <v>37.052606032896897</v>
      </c>
      <c r="AG5247" s="9">
        <v>37.052606032896897</v>
      </c>
      <c r="AH5247" s="9">
        <v>39.965079814445566</v>
      </c>
      <c r="AI5247" s="9">
        <v>42.780649023864797</v>
      </c>
      <c r="AJ5247" s="9">
        <v>3.0428788910505911</v>
      </c>
    </row>
    <row r="5248" spans="1:36" x14ac:dyDescent="0.25">
      <c r="A5248" t="s">
        <v>5411</v>
      </c>
      <c r="B5248" t="s">
        <v>16</v>
      </c>
      <c r="C5248" t="s">
        <v>17</v>
      </c>
      <c r="D5248">
        <v>89108000</v>
      </c>
      <c r="E5248">
        <v>89109999</v>
      </c>
      <c r="F5248" t="s">
        <v>2476</v>
      </c>
      <c r="G5248" t="str">
        <f t="shared" si="162"/>
        <v>SCI II</v>
      </c>
      <c r="H5248" t="s">
        <v>4654</v>
      </c>
      <c r="I5248" t="s">
        <v>20</v>
      </c>
      <c r="J5248" t="s">
        <v>64</v>
      </c>
      <c r="K5248" s="6">
        <v>0.03</v>
      </c>
      <c r="L5248" s="7">
        <f t="shared" si="163"/>
        <v>2E-3</v>
      </c>
      <c r="M5248" s="7">
        <v>3.0000000000000001E-3</v>
      </c>
      <c r="N5248">
        <v>11</v>
      </c>
      <c r="O5248" s="8">
        <v>19.475693895950801</v>
      </c>
      <c r="P5248" s="9">
        <v>19.475693895950801</v>
      </c>
      <c r="Q5248" s="9">
        <v>19.475693895950801</v>
      </c>
      <c r="R5248" s="9">
        <v>20.024452706180426</v>
      </c>
      <c r="S5248" s="9">
        <v>20.875099128492941</v>
      </c>
      <c r="T5248" s="9">
        <v>21.733350185946453</v>
      </c>
      <c r="U5248" s="9">
        <v>23.861555618318132</v>
      </c>
      <c r="V5248" s="9">
        <v>23.861555618318132</v>
      </c>
      <c r="W5248" s="9">
        <v>23.861555618318132</v>
      </c>
      <c r="X5248" s="9">
        <v>26.599525609534091</v>
      </c>
      <c r="Y5248" s="9">
        <v>26.599525609534091</v>
      </c>
      <c r="Z5248" s="9">
        <v>29.424604823442099</v>
      </c>
      <c r="AA5248" s="9">
        <v>29.424604823442099</v>
      </c>
      <c r="AB5248" s="9">
        <v>32.345504182311352</v>
      </c>
      <c r="AC5248" s="9">
        <v>32.345504182311352</v>
      </c>
      <c r="AD5248" s="9">
        <v>37.073967958020759</v>
      </c>
      <c r="AE5248" s="9">
        <v>39.537280452065687</v>
      </c>
      <c r="AF5248" s="9">
        <v>42.115429646064094</v>
      </c>
      <c r="AG5248" s="9">
        <v>42.115429646064094</v>
      </c>
      <c r="AH5248" s="9">
        <v>45.566990204681431</v>
      </c>
      <c r="AI5248" s="9">
        <v>48.2081665036403</v>
      </c>
      <c r="AJ5248" s="9">
        <v>3.0428788910505911</v>
      </c>
    </row>
    <row r="5249" spans="1:36" x14ac:dyDescent="0.25">
      <c r="A5249" t="s">
        <v>5411</v>
      </c>
      <c r="B5249" t="s">
        <v>16</v>
      </c>
      <c r="C5249" t="s">
        <v>17</v>
      </c>
      <c r="D5249">
        <v>89110000</v>
      </c>
      <c r="E5249">
        <v>89114999</v>
      </c>
      <c r="F5249" t="s">
        <v>4757</v>
      </c>
      <c r="G5249" t="str">
        <f t="shared" si="162"/>
        <v>SCI</v>
      </c>
      <c r="H5249" t="s">
        <v>4654</v>
      </c>
      <c r="I5249" t="s">
        <v>20</v>
      </c>
      <c r="J5249" t="s">
        <v>62</v>
      </c>
      <c r="K5249" s="6">
        <v>0.03</v>
      </c>
      <c r="L5249" s="7">
        <f t="shared" si="163"/>
        <v>2E-3</v>
      </c>
      <c r="M5249" s="7">
        <v>3.0000000000000001E-3</v>
      </c>
      <c r="N5249">
        <v>9</v>
      </c>
      <c r="O5249" s="8">
        <v>16.631361039134706</v>
      </c>
      <c r="P5249" s="9">
        <v>16.631361039134706</v>
      </c>
      <c r="Q5249" s="9">
        <v>16.631361039134706</v>
      </c>
      <c r="R5249" s="9">
        <v>17.060180136455905</v>
      </c>
      <c r="S5249" s="9">
        <v>18.024171003933382</v>
      </c>
      <c r="T5249" s="9">
        <v>18.868116637328029</v>
      </c>
      <c r="U5249" s="9">
        <v>20.58817720770605</v>
      </c>
      <c r="V5249" s="9">
        <v>20.58817720770605</v>
      </c>
      <c r="W5249" s="9">
        <v>20.58817720770605</v>
      </c>
      <c r="X5249" s="9">
        <v>22.864259828555831</v>
      </c>
      <c r="Y5249" s="9">
        <v>22.864259828555831</v>
      </c>
      <c r="Z5249" s="9">
        <v>25.323053608820352</v>
      </c>
      <c r="AA5249" s="9">
        <v>25.323053608820352</v>
      </c>
      <c r="AB5249" s="9">
        <v>28.021815637038035</v>
      </c>
      <c r="AC5249" s="9">
        <v>28.021815637038035</v>
      </c>
      <c r="AD5249" s="9">
        <v>30.863654196486234</v>
      </c>
      <c r="AE5249" s="9">
        <v>33.866973124126531</v>
      </c>
      <c r="AF5249" s="9">
        <v>37.052606032896897</v>
      </c>
      <c r="AG5249" s="9">
        <v>37.052606032896897</v>
      </c>
      <c r="AH5249" s="9">
        <v>39.965079814445566</v>
      </c>
      <c r="AI5249" s="9">
        <v>42.780649023864797</v>
      </c>
      <c r="AJ5249" s="9">
        <v>3.0428788910505911</v>
      </c>
    </row>
    <row r="5250" spans="1:36" x14ac:dyDescent="0.25">
      <c r="A5250" t="s">
        <v>5411</v>
      </c>
      <c r="B5250" t="s">
        <v>16</v>
      </c>
      <c r="C5250" t="s">
        <v>17</v>
      </c>
      <c r="D5250">
        <v>89115000</v>
      </c>
      <c r="E5250">
        <v>89119999</v>
      </c>
      <c r="F5250" t="s">
        <v>4758</v>
      </c>
      <c r="G5250" t="str">
        <f t="shared" si="162"/>
        <v>SCI II</v>
      </c>
      <c r="H5250" t="s">
        <v>4654</v>
      </c>
      <c r="I5250" t="s">
        <v>20</v>
      </c>
      <c r="J5250" t="s">
        <v>64</v>
      </c>
      <c r="K5250" s="6">
        <v>0.03</v>
      </c>
      <c r="L5250" s="7">
        <f t="shared" si="163"/>
        <v>2E-3</v>
      </c>
      <c r="M5250" s="7">
        <v>3.0000000000000001E-3</v>
      </c>
      <c r="N5250">
        <v>11</v>
      </c>
      <c r="O5250" s="8">
        <v>19.475693895950801</v>
      </c>
      <c r="P5250" s="9">
        <v>19.475693895950801</v>
      </c>
      <c r="Q5250" s="9">
        <v>19.475693895950801</v>
      </c>
      <c r="R5250" s="9">
        <v>20.024452706180426</v>
      </c>
      <c r="S5250" s="9">
        <v>20.875099128492941</v>
      </c>
      <c r="T5250" s="9">
        <v>21.733350185946453</v>
      </c>
      <c r="U5250" s="9">
        <v>23.861555618318132</v>
      </c>
      <c r="V5250" s="9">
        <v>23.861555618318132</v>
      </c>
      <c r="W5250" s="9">
        <v>23.861555618318132</v>
      </c>
      <c r="X5250" s="9">
        <v>26.599525609534091</v>
      </c>
      <c r="Y5250" s="9">
        <v>26.599525609534091</v>
      </c>
      <c r="Z5250" s="9">
        <v>29.424604823442099</v>
      </c>
      <c r="AA5250" s="9">
        <v>29.424604823442099</v>
      </c>
      <c r="AB5250" s="9">
        <v>32.345504182311352</v>
      </c>
      <c r="AC5250" s="9">
        <v>32.345504182311352</v>
      </c>
      <c r="AD5250" s="9">
        <v>37.073967958020759</v>
      </c>
      <c r="AE5250" s="9">
        <v>39.537280452065687</v>
      </c>
      <c r="AF5250" s="9">
        <v>42.115429646064094</v>
      </c>
      <c r="AG5250" s="9">
        <v>42.115429646064094</v>
      </c>
      <c r="AH5250" s="9">
        <v>45.566990204681431</v>
      </c>
      <c r="AI5250" s="9">
        <v>48.2081665036403</v>
      </c>
      <c r="AJ5250" s="9">
        <v>3.0428788910505911</v>
      </c>
    </row>
    <row r="5251" spans="1:36" x14ac:dyDescent="0.25">
      <c r="A5251" t="s">
        <v>5411</v>
      </c>
      <c r="B5251" t="s">
        <v>16</v>
      </c>
      <c r="C5251" t="s">
        <v>17</v>
      </c>
      <c r="D5251">
        <v>89120000</v>
      </c>
      <c r="E5251">
        <v>89120999</v>
      </c>
      <c r="F5251" t="s">
        <v>4759</v>
      </c>
      <c r="G5251" t="str">
        <f t="shared" si="162"/>
        <v>SCI</v>
      </c>
      <c r="H5251" t="s">
        <v>4654</v>
      </c>
      <c r="I5251" t="s">
        <v>20</v>
      </c>
      <c r="J5251" t="s">
        <v>62</v>
      </c>
      <c r="K5251" s="6">
        <v>0.03</v>
      </c>
      <c r="L5251" s="7">
        <f t="shared" si="163"/>
        <v>2E-3</v>
      </c>
      <c r="M5251" s="7">
        <v>3.0000000000000001E-3</v>
      </c>
      <c r="N5251">
        <v>9</v>
      </c>
      <c r="O5251" s="8">
        <v>16.631361039134706</v>
      </c>
      <c r="P5251" s="9">
        <v>16.631361039134706</v>
      </c>
      <c r="Q5251" s="9">
        <v>16.631361039134706</v>
      </c>
      <c r="R5251" s="9">
        <v>17.060180136455905</v>
      </c>
      <c r="S5251" s="9">
        <v>18.024171003933382</v>
      </c>
      <c r="T5251" s="9">
        <v>18.868116637328029</v>
      </c>
      <c r="U5251" s="9">
        <v>20.58817720770605</v>
      </c>
      <c r="V5251" s="9">
        <v>20.58817720770605</v>
      </c>
      <c r="W5251" s="9">
        <v>20.58817720770605</v>
      </c>
      <c r="X5251" s="9">
        <v>22.864259828555831</v>
      </c>
      <c r="Y5251" s="9">
        <v>22.864259828555831</v>
      </c>
      <c r="Z5251" s="9">
        <v>25.323053608820352</v>
      </c>
      <c r="AA5251" s="9">
        <v>25.323053608820352</v>
      </c>
      <c r="AB5251" s="9">
        <v>28.021815637038035</v>
      </c>
      <c r="AC5251" s="9">
        <v>28.021815637038035</v>
      </c>
      <c r="AD5251" s="9">
        <v>30.863654196486234</v>
      </c>
      <c r="AE5251" s="9">
        <v>33.866973124126531</v>
      </c>
      <c r="AF5251" s="9">
        <v>37.052606032896897</v>
      </c>
      <c r="AG5251" s="9">
        <v>37.052606032896897</v>
      </c>
      <c r="AH5251" s="9">
        <v>39.965079814445566</v>
      </c>
      <c r="AI5251" s="9">
        <v>42.780649023864797</v>
      </c>
      <c r="AJ5251" s="9">
        <v>3.0428788910505911</v>
      </c>
    </row>
    <row r="5252" spans="1:36" x14ac:dyDescent="0.25">
      <c r="A5252" t="s">
        <v>5411</v>
      </c>
      <c r="B5252" t="s">
        <v>16</v>
      </c>
      <c r="C5252" t="s">
        <v>17</v>
      </c>
      <c r="D5252">
        <v>89121000</v>
      </c>
      <c r="E5252">
        <v>89123999</v>
      </c>
      <c r="F5252" t="s">
        <v>4760</v>
      </c>
      <c r="G5252" t="str">
        <f t="shared" ref="G5252:G5315" si="164">H5252&amp;IF(J5252="CAPITAL","C",IF(J5252="INTERIOR","I",IF(J5252="INTERIOR II","I II","R")))</f>
        <v>SCI II</v>
      </c>
      <c r="H5252" t="s">
        <v>4654</v>
      </c>
      <c r="I5252" t="s">
        <v>20</v>
      </c>
      <c r="J5252" t="s">
        <v>64</v>
      </c>
      <c r="K5252" s="6">
        <v>0.03</v>
      </c>
      <c r="L5252" s="7">
        <f t="shared" ref="L5252:L5315" si="165">IF(I5252="(0) Não",0.2%,3%)</f>
        <v>2E-3</v>
      </c>
      <c r="M5252" s="7">
        <v>3.0000000000000001E-3</v>
      </c>
      <c r="N5252">
        <v>11</v>
      </c>
      <c r="O5252" s="8">
        <v>19.475693895950801</v>
      </c>
      <c r="P5252" s="9">
        <v>19.475693895950801</v>
      </c>
      <c r="Q5252" s="9">
        <v>19.475693895950801</v>
      </c>
      <c r="R5252" s="9">
        <v>20.024452706180426</v>
      </c>
      <c r="S5252" s="9">
        <v>20.875099128492941</v>
      </c>
      <c r="T5252" s="9">
        <v>21.733350185946453</v>
      </c>
      <c r="U5252" s="9">
        <v>23.861555618318132</v>
      </c>
      <c r="V5252" s="9">
        <v>23.861555618318132</v>
      </c>
      <c r="W5252" s="9">
        <v>23.861555618318132</v>
      </c>
      <c r="X5252" s="9">
        <v>26.599525609534091</v>
      </c>
      <c r="Y5252" s="9">
        <v>26.599525609534091</v>
      </c>
      <c r="Z5252" s="9">
        <v>29.424604823442099</v>
      </c>
      <c r="AA5252" s="9">
        <v>29.424604823442099</v>
      </c>
      <c r="AB5252" s="9">
        <v>32.345504182311352</v>
      </c>
      <c r="AC5252" s="9">
        <v>32.345504182311352</v>
      </c>
      <c r="AD5252" s="9">
        <v>37.073967958020759</v>
      </c>
      <c r="AE5252" s="9">
        <v>39.537280452065687</v>
      </c>
      <c r="AF5252" s="9">
        <v>42.115429646064094</v>
      </c>
      <c r="AG5252" s="9">
        <v>42.115429646064094</v>
      </c>
      <c r="AH5252" s="9">
        <v>45.566990204681431</v>
      </c>
      <c r="AI5252" s="9">
        <v>48.2081665036403</v>
      </c>
      <c r="AJ5252" s="9">
        <v>3.0428788910505911</v>
      </c>
    </row>
    <row r="5253" spans="1:36" x14ac:dyDescent="0.25">
      <c r="A5253" t="s">
        <v>5411</v>
      </c>
      <c r="B5253" t="s">
        <v>16</v>
      </c>
      <c r="C5253" t="s">
        <v>17</v>
      </c>
      <c r="D5253">
        <v>89124000</v>
      </c>
      <c r="E5253">
        <v>89125999</v>
      </c>
      <c r="F5253" t="s">
        <v>4761</v>
      </c>
      <c r="G5253" t="str">
        <f t="shared" si="164"/>
        <v>SCI II</v>
      </c>
      <c r="H5253" t="s">
        <v>4654</v>
      </c>
      <c r="I5253" t="s">
        <v>20</v>
      </c>
      <c r="J5253" t="s">
        <v>64</v>
      </c>
      <c r="K5253" s="6">
        <v>0.03</v>
      </c>
      <c r="L5253" s="7">
        <f t="shared" si="165"/>
        <v>2E-3</v>
      </c>
      <c r="M5253" s="7">
        <v>3.0000000000000001E-3</v>
      </c>
      <c r="N5253">
        <v>11</v>
      </c>
      <c r="O5253" s="8">
        <v>19.475693895950801</v>
      </c>
      <c r="P5253" s="9">
        <v>19.475693895950801</v>
      </c>
      <c r="Q5253" s="9">
        <v>19.475693895950801</v>
      </c>
      <c r="R5253" s="9">
        <v>20.024452706180426</v>
      </c>
      <c r="S5253" s="9">
        <v>20.875099128492941</v>
      </c>
      <c r="T5253" s="9">
        <v>21.733350185946453</v>
      </c>
      <c r="U5253" s="9">
        <v>23.861555618318132</v>
      </c>
      <c r="V5253" s="9">
        <v>23.861555618318132</v>
      </c>
      <c r="W5253" s="9">
        <v>23.861555618318132</v>
      </c>
      <c r="X5253" s="9">
        <v>26.599525609534091</v>
      </c>
      <c r="Y5253" s="9">
        <v>26.599525609534091</v>
      </c>
      <c r="Z5253" s="9">
        <v>29.424604823442099</v>
      </c>
      <c r="AA5253" s="9">
        <v>29.424604823442099</v>
      </c>
      <c r="AB5253" s="9">
        <v>32.345504182311352</v>
      </c>
      <c r="AC5253" s="9">
        <v>32.345504182311352</v>
      </c>
      <c r="AD5253" s="9">
        <v>37.073967958020759</v>
      </c>
      <c r="AE5253" s="9">
        <v>39.537280452065687</v>
      </c>
      <c r="AF5253" s="9">
        <v>42.115429646064094</v>
      </c>
      <c r="AG5253" s="9">
        <v>42.115429646064094</v>
      </c>
      <c r="AH5253" s="9">
        <v>45.566990204681431</v>
      </c>
      <c r="AI5253" s="9">
        <v>48.2081665036403</v>
      </c>
      <c r="AJ5253" s="9">
        <v>3.0428788910505911</v>
      </c>
    </row>
    <row r="5254" spans="1:36" x14ac:dyDescent="0.25">
      <c r="A5254" t="s">
        <v>5411</v>
      </c>
      <c r="B5254" t="s">
        <v>16</v>
      </c>
      <c r="C5254" t="s">
        <v>17</v>
      </c>
      <c r="D5254">
        <v>89126000</v>
      </c>
      <c r="E5254">
        <v>89127999</v>
      </c>
      <c r="F5254" t="s">
        <v>4762</v>
      </c>
      <c r="G5254" t="str">
        <f t="shared" si="164"/>
        <v>SCI II</v>
      </c>
      <c r="H5254" t="s">
        <v>4654</v>
      </c>
      <c r="I5254" t="s">
        <v>20</v>
      </c>
      <c r="J5254" t="s">
        <v>64</v>
      </c>
      <c r="K5254" s="6">
        <v>0.03</v>
      </c>
      <c r="L5254" s="7">
        <f t="shared" si="165"/>
        <v>2E-3</v>
      </c>
      <c r="M5254" s="7">
        <v>3.0000000000000001E-3</v>
      </c>
      <c r="N5254">
        <v>11</v>
      </c>
      <c r="O5254" s="8">
        <v>19.475693895950801</v>
      </c>
      <c r="P5254" s="9">
        <v>19.475693895950801</v>
      </c>
      <c r="Q5254" s="9">
        <v>19.475693895950801</v>
      </c>
      <c r="R5254" s="9">
        <v>20.024452706180426</v>
      </c>
      <c r="S5254" s="9">
        <v>20.875099128492941</v>
      </c>
      <c r="T5254" s="9">
        <v>21.733350185946453</v>
      </c>
      <c r="U5254" s="9">
        <v>23.861555618318132</v>
      </c>
      <c r="V5254" s="9">
        <v>23.861555618318132</v>
      </c>
      <c r="W5254" s="9">
        <v>23.861555618318132</v>
      </c>
      <c r="X5254" s="9">
        <v>26.599525609534091</v>
      </c>
      <c r="Y5254" s="9">
        <v>26.599525609534091</v>
      </c>
      <c r="Z5254" s="9">
        <v>29.424604823442099</v>
      </c>
      <c r="AA5254" s="9">
        <v>29.424604823442099</v>
      </c>
      <c r="AB5254" s="9">
        <v>32.345504182311352</v>
      </c>
      <c r="AC5254" s="9">
        <v>32.345504182311352</v>
      </c>
      <c r="AD5254" s="9">
        <v>37.073967958020759</v>
      </c>
      <c r="AE5254" s="9">
        <v>39.537280452065687</v>
      </c>
      <c r="AF5254" s="9">
        <v>42.115429646064094</v>
      </c>
      <c r="AG5254" s="9">
        <v>42.115429646064094</v>
      </c>
      <c r="AH5254" s="9">
        <v>45.566990204681431</v>
      </c>
      <c r="AI5254" s="9">
        <v>48.2081665036403</v>
      </c>
      <c r="AJ5254" s="9">
        <v>3.0428788910505911</v>
      </c>
    </row>
    <row r="5255" spans="1:36" x14ac:dyDescent="0.25">
      <c r="A5255" t="s">
        <v>5411</v>
      </c>
      <c r="B5255" t="s">
        <v>16</v>
      </c>
      <c r="C5255" t="s">
        <v>17</v>
      </c>
      <c r="D5255">
        <v>89128000</v>
      </c>
      <c r="E5255">
        <v>89134999</v>
      </c>
      <c r="F5255" t="s">
        <v>4758</v>
      </c>
      <c r="G5255" t="str">
        <f t="shared" si="164"/>
        <v>SCI II</v>
      </c>
      <c r="H5255" t="s">
        <v>4654</v>
      </c>
      <c r="I5255" t="s">
        <v>20</v>
      </c>
      <c r="J5255" t="s">
        <v>64</v>
      </c>
      <c r="K5255" s="6">
        <v>0.03</v>
      </c>
      <c r="L5255" s="7">
        <f t="shared" si="165"/>
        <v>2E-3</v>
      </c>
      <c r="M5255" s="7">
        <v>3.0000000000000001E-3</v>
      </c>
      <c r="N5255">
        <v>11</v>
      </c>
      <c r="O5255" s="8">
        <v>19.475693895950801</v>
      </c>
      <c r="P5255" s="9">
        <v>19.475693895950801</v>
      </c>
      <c r="Q5255" s="9">
        <v>19.475693895950801</v>
      </c>
      <c r="R5255" s="9">
        <v>20.024452706180426</v>
      </c>
      <c r="S5255" s="9">
        <v>20.875099128492941</v>
      </c>
      <c r="T5255" s="9">
        <v>21.733350185946453</v>
      </c>
      <c r="U5255" s="9">
        <v>23.861555618318132</v>
      </c>
      <c r="V5255" s="9">
        <v>23.861555618318132</v>
      </c>
      <c r="W5255" s="9">
        <v>23.861555618318132</v>
      </c>
      <c r="X5255" s="9">
        <v>26.599525609534091</v>
      </c>
      <c r="Y5255" s="9">
        <v>26.599525609534091</v>
      </c>
      <c r="Z5255" s="9">
        <v>29.424604823442099</v>
      </c>
      <c r="AA5255" s="9">
        <v>29.424604823442099</v>
      </c>
      <c r="AB5255" s="9">
        <v>32.345504182311352</v>
      </c>
      <c r="AC5255" s="9">
        <v>32.345504182311352</v>
      </c>
      <c r="AD5255" s="9">
        <v>37.073967958020759</v>
      </c>
      <c r="AE5255" s="9">
        <v>39.537280452065687</v>
      </c>
      <c r="AF5255" s="9">
        <v>42.115429646064094</v>
      </c>
      <c r="AG5255" s="9">
        <v>42.115429646064094</v>
      </c>
      <c r="AH5255" s="9">
        <v>45.566990204681431</v>
      </c>
      <c r="AI5255" s="9">
        <v>48.2081665036403</v>
      </c>
      <c r="AJ5255" s="9">
        <v>3.0428788910505911</v>
      </c>
    </row>
    <row r="5256" spans="1:36" x14ac:dyDescent="0.25">
      <c r="A5256" t="s">
        <v>5411</v>
      </c>
      <c r="B5256" t="s">
        <v>16</v>
      </c>
      <c r="C5256" t="s">
        <v>17</v>
      </c>
      <c r="D5256">
        <v>89135000</v>
      </c>
      <c r="E5256">
        <v>89135999</v>
      </c>
      <c r="F5256" t="s">
        <v>4763</v>
      </c>
      <c r="G5256" t="str">
        <f t="shared" si="164"/>
        <v>SCI II</v>
      </c>
      <c r="H5256" t="s">
        <v>4654</v>
      </c>
      <c r="I5256" t="s">
        <v>20</v>
      </c>
      <c r="J5256" t="s">
        <v>64</v>
      </c>
      <c r="K5256" s="6">
        <v>0.03</v>
      </c>
      <c r="L5256" s="7">
        <f t="shared" si="165"/>
        <v>2E-3</v>
      </c>
      <c r="M5256" s="7">
        <v>3.0000000000000001E-3</v>
      </c>
      <c r="N5256">
        <v>11</v>
      </c>
      <c r="O5256" s="8">
        <v>19.475693895950801</v>
      </c>
      <c r="P5256" s="9">
        <v>19.475693895950801</v>
      </c>
      <c r="Q5256" s="9">
        <v>19.475693895950801</v>
      </c>
      <c r="R5256" s="9">
        <v>20.024452706180426</v>
      </c>
      <c r="S5256" s="9">
        <v>20.875099128492941</v>
      </c>
      <c r="T5256" s="9">
        <v>21.733350185946453</v>
      </c>
      <c r="U5256" s="9">
        <v>23.861555618318132</v>
      </c>
      <c r="V5256" s="9">
        <v>23.861555618318132</v>
      </c>
      <c r="W5256" s="9">
        <v>23.861555618318132</v>
      </c>
      <c r="X5256" s="9">
        <v>26.599525609534091</v>
      </c>
      <c r="Y5256" s="9">
        <v>26.599525609534091</v>
      </c>
      <c r="Z5256" s="9">
        <v>29.424604823442099</v>
      </c>
      <c r="AA5256" s="9">
        <v>29.424604823442099</v>
      </c>
      <c r="AB5256" s="9">
        <v>32.345504182311352</v>
      </c>
      <c r="AC5256" s="9">
        <v>32.345504182311352</v>
      </c>
      <c r="AD5256" s="9">
        <v>37.073967958020759</v>
      </c>
      <c r="AE5256" s="9">
        <v>39.537280452065687</v>
      </c>
      <c r="AF5256" s="9">
        <v>42.115429646064094</v>
      </c>
      <c r="AG5256" s="9">
        <v>42.115429646064094</v>
      </c>
      <c r="AH5256" s="9">
        <v>45.566990204681431</v>
      </c>
      <c r="AI5256" s="9">
        <v>48.2081665036403</v>
      </c>
      <c r="AJ5256" s="9">
        <v>3.0428788910505911</v>
      </c>
    </row>
    <row r="5257" spans="1:36" x14ac:dyDescent="0.25">
      <c r="A5257" t="s">
        <v>5411</v>
      </c>
      <c r="B5257" t="s">
        <v>16</v>
      </c>
      <c r="C5257" t="s">
        <v>17</v>
      </c>
      <c r="D5257">
        <v>89136000</v>
      </c>
      <c r="E5257">
        <v>89137999</v>
      </c>
      <c r="F5257" t="s">
        <v>4764</v>
      </c>
      <c r="G5257" t="str">
        <f t="shared" si="164"/>
        <v>SCI II</v>
      </c>
      <c r="H5257" t="s">
        <v>4654</v>
      </c>
      <c r="I5257" t="s">
        <v>20</v>
      </c>
      <c r="J5257" t="s">
        <v>64</v>
      </c>
      <c r="K5257" s="6">
        <v>0.03</v>
      </c>
      <c r="L5257" s="7">
        <f t="shared" si="165"/>
        <v>2E-3</v>
      </c>
      <c r="M5257" s="7">
        <v>3.0000000000000001E-3</v>
      </c>
      <c r="N5257">
        <v>11</v>
      </c>
      <c r="O5257" s="8">
        <v>19.475693895950801</v>
      </c>
      <c r="P5257" s="9">
        <v>19.475693895950801</v>
      </c>
      <c r="Q5257" s="9">
        <v>19.475693895950801</v>
      </c>
      <c r="R5257" s="9">
        <v>20.024452706180426</v>
      </c>
      <c r="S5257" s="9">
        <v>20.875099128492941</v>
      </c>
      <c r="T5257" s="9">
        <v>21.733350185946453</v>
      </c>
      <c r="U5257" s="9">
        <v>23.861555618318132</v>
      </c>
      <c r="V5257" s="9">
        <v>23.861555618318132</v>
      </c>
      <c r="W5257" s="9">
        <v>23.861555618318132</v>
      </c>
      <c r="X5257" s="9">
        <v>26.599525609534091</v>
      </c>
      <c r="Y5257" s="9">
        <v>26.599525609534091</v>
      </c>
      <c r="Z5257" s="9">
        <v>29.424604823442099</v>
      </c>
      <c r="AA5257" s="9">
        <v>29.424604823442099</v>
      </c>
      <c r="AB5257" s="9">
        <v>32.345504182311352</v>
      </c>
      <c r="AC5257" s="9">
        <v>32.345504182311352</v>
      </c>
      <c r="AD5257" s="9">
        <v>37.073967958020759</v>
      </c>
      <c r="AE5257" s="9">
        <v>39.537280452065687</v>
      </c>
      <c r="AF5257" s="9">
        <v>42.115429646064094</v>
      </c>
      <c r="AG5257" s="9">
        <v>42.115429646064094</v>
      </c>
      <c r="AH5257" s="9">
        <v>45.566990204681431</v>
      </c>
      <c r="AI5257" s="9">
        <v>48.2081665036403</v>
      </c>
      <c r="AJ5257" s="9">
        <v>3.0428788910505911</v>
      </c>
    </row>
    <row r="5258" spans="1:36" x14ac:dyDescent="0.25">
      <c r="A5258" t="s">
        <v>5411</v>
      </c>
      <c r="B5258" t="s">
        <v>16</v>
      </c>
      <c r="C5258" t="s">
        <v>17</v>
      </c>
      <c r="D5258">
        <v>89138000</v>
      </c>
      <c r="E5258">
        <v>89139999</v>
      </c>
      <c r="F5258" t="s">
        <v>4765</v>
      </c>
      <c r="G5258" t="str">
        <f t="shared" si="164"/>
        <v>SCI II</v>
      </c>
      <c r="H5258" t="s">
        <v>4654</v>
      </c>
      <c r="I5258" t="s">
        <v>20</v>
      </c>
      <c r="J5258" t="s">
        <v>64</v>
      </c>
      <c r="K5258" s="6">
        <v>0.03</v>
      </c>
      <c r="L5258" s="7">
        <f t="shared" si="165"/>
        <v>2E-3</v>
      </c>
      <c r="M5258" s="7">
        <v>3.0000000000000001E-3</v>
      </c>
      <c r="N5258">
        <v>11</v>
      </c>
      <c r="O5258" s="8">
        <v>19.475693895950801</v>
      </c>
      <c r="P5258" s="9">
        <v>19.475693895950801</v>
      </c>
      <c r="Q5258" s="9">
        <v>19.475693895950801</v>
      </c>
      <c r="R5258" s="9">
        <v>20.024452706180426</v>
      </c>
      <c r="S5258" s="9">
        <v>20.875099128492941</v>
      </c>
      <c r="T5258" s="9">
        <v>21.733350185946453</v>
      </c>
      <c r="U5258" s="9">
        <v>23.861555618318132</v>
      </c>
      <c r="V5258" s="9">
        <v>23.861555618318132</v>
      </c>
      <c r="W5258" s="9">
        <v>23.861555618318132</v>
      </c>
      <c r="X5258" s="9">
        <v>26.599525609534091</v>
      </c>
      <c r="Y5258" s="9">
        <v>26.599525609534091</v>
      </c>
      <c r="Z5258" s="9">
        <v>29.424604823442099</v>
      </c>
      <c r="AA5258" s="9">
        <v>29.424604823442099</v>
      </c>
      <c r="AB5258" s="9">
        <v>32.345504182311352</v>
      </c>
      <c r="AC5258" s="9">
        <v>32.345504182311352</v>
      </c>
      <c r="AD5258" s="9">
        <v>37.073967958020759</v>
      </c>
      <c r="AE5258" s="9">
        <v>39.537280452065687</v>
      </c>
      <c r="AF5258" s="9">
        <v>42.115429646064094</v>
      </c>
      <c r="AG5258" s="9">
        <v>42.115429646064094</v>
      </c>
      <c r="AH5258" s="9">
        <v>45.566990204681431</v>
      </c>
      <c r="AI5258" s="9">
        <v>48.2081665036403</v>
      </c>
      <c r="AJ5258" s="9">
        <v>3.0428788910505911</v>
      </c>
    </row>
    <row r="5259" spans="1:36" x14ac:dyDescent="0.25">
      <c r="A5259" t="s">
        <v>5411</v>
      </c>
      <c r="B5259" t="s">
        <v>16</v>
      </c>
      <c r="C5259" t="s">
        <v>17</v>
      </c>
      <c r="D5259">
        <v>89140000</v>
      </c>
      <c r="E5259">
        <v>89144999</v>
      </c>
      <c r="F5259" t="s">
        <v>4766</v>
      </c>
      <c r="G5259" t="str">
        <f t="shared" si="164"/>
        <v>SCI II</v>
      </c>
      <c r="H5259" t="s">
        <v>4654</v>
      </c>
      <c r="I5259" t="s">
        <v>20</v>
      </c>
      <c r="J5259" t="s">
        <v>64</v>
      </c>
      <c r="K5259" s="6">
        <v>0.03</v>
      </c>
      <c r="L5259" s="7">
        <f t="shared" si="165"/>
        <v>2E-3</v>
      </c>
      <c r="M5259" s="7">
        <v>3.0000000000000001E-3</v>
      </c>
      <c r="N5259">
        <v>10</v>
      </c>
      <c r="O5259" s="8">
        <v>19.475693895950801</v>
      </c>
      <c r="P5259" s="9">
        <v>19.475693895950801</v>
      </c>
      <c r="Q5259" s="9">
        <v>19.475693895950801</v>
      </c>
      <c r="R5259" s="9">
        <v>20.024452706180426</v>
      </c>
      <c r="S5259" s="9">
        <v>20.875099128492941</v>
      </c>
      <c r="T5259" s="9">
        <v>21.733350185946453</v>
      </c>
      <c r="U5259" s="9">
        <v>23.861555618318132</v>
      </c>
      <c r="V5259" s="9">
        <v>23.861555618318132</v>
      </c>
      <c r="W5259" s="9">
        <v>23.861555618318132</v>
      </c>
      <c r="X5259" s="9">
        <v>26.599525609534091</v>
      </c>
      <c r="Y5259" s="9">
        <v>26.599525609534091</v>
      </c>
      <c r="Z5259" s="9">
        <v>29.424604823442099</v>
      </c>
      <c r="AA5259" s="9">
        <v>29.424604823442099</v>
      </c>
      <c r="AB5259" s="9">
        <v>32.345504182311352</v>
      </c>
      <c r="AC5259" s="9">
        <v>32.345504182311352</v>
      </c>
      <c r="AD5259" s="9">
        <v>37.073967958020759</v>
      </c>
      <c r="AE5259" s="9">
        <v>39.537280452065687</v>
      </c>
      <c r="AF5259" s="9">
        <v>42.115429646064094</v>
      </c>
      <c r="AG5259" s="9">
        <v>42.115429646064094</v>
      </c>
      <c r="AH5259" s="9">
        <v>45.566990204681431</v>
      </c>
      <c r="AI5259" s="9">
        <v>48.2081665036403</v>
      </c>
      <c r="AJ5259" s="9">
        <v>3.0428788910505911</v>
      </c>
    </row>
    <row r="5260" spans="1:36" x14ac:dyDescent="0.25">
      <c r="A5260" t="s">
        <v>5411</v>
      </c>
      <c r="B5260" t="s">
        <v>16</v>
      </c>
      <c r="C5260" t="s">
        <v>17</v>
      </c>
      <c r="D5260">
        <v>89145000</v>
      </c>
      <c r="E5260">
        <v>89147999</v>
      </c>
      <c r="F5260" t="s">
        <v>4767</v>
      </c>
      <c r="G5260" t="str">
        <f t="shared" si="164"/>
        <v>SCI II</v>
      </c>
      <c r="H5260" t="s">
        <v>4654</v>
      </c>
      <c r="I5260" t="s">
        <v>20</v>
      </c>
      <c r="J5260" t="s">
        <v>64</v>
      </c>
      <c r="K5260" s="6">
        <v>0.03</v>
      </c>
      <c r="L5260" s="7">
        <f t="shared" si="165"/>
        <v>2E-3</v>
      </c>
      <c r="M5260" s="7">
        <v>3.0000000000000001E-3</v>
      </c>
      <c r="N5260">
        <v>10</v>
      </c>
      <c r="O5260" s="8">
        <v>19.475693895950801</v>
      </c>
      <c r="P5260" s="9">
        <v>19.475693895950801</v>
      </c>
      <c r="Q5260" s="9">
        <v>19.475693895950801</v>
      </c>
      <c r="R5260" s="9">
        <v>20.024452706180426</v>
      </c>
      <c r="S5260" s="9">
        <v>20.875099128492941</v>
      </c>
      <c r="T5260" s="9">
        <v>21.733350185946453</v>
      </c>
      <c r="U5260" s="9">
        <v>23.861555618318132</v>
      </c>
      <c r="V5260" s="9">
        <v>23.861555618318132</v>
      </c>
      <c r="W5260" s="9">
        <v>23.861555618318132</v>
      </c>
      <c r="X5260" s="9">
        <v>26.599525609534091</v>
      </c>
      <c r="Y5260" s="9">
        <v>26.599525609534091</v>
      </c>
      <c r="Z5260" s="9">
        <v>29.424604823442099</v>
      </c>
      <c r="AA5260" s="9">
        <v>29.424604823442099</v>
      </c>
      <c r="AB5260" s="9">
        <v>32.345504182311352</v>
      </c>
      <c r="AC5260" s="9">
        <v>32.345504182311352</v>
      </c>
      <c r="AD5260" s="9">
        <v>37.073967958020759</v>
      </c>
      <c r="AE5260" s="9">
        <v>39.537280452065687</v>
      </c>
      <c r="AF5260" s="9">
        <v>42.115429646064094</v>
      </c>
      <c r="AG5260" s="9">
        <v>42.115429646064094</v>
      </c>
      <c r="AH5260" s="9">
        <v>45.566990204681431</v>
      </c>
      <c r="AI5260" s="9">
        <v>48.2081665036403</v>
      </c>
      <c r="AJ5260" s="9">
        <v>3.0428788910505911</v>
      </c>
    </row>
    <row r="5261" spans="1:36" x14ac:dyDescent="0.25">
      <c r="A5261" t="s">
        <v>5411</v>
      </c>
      <c r="B5261" t="s">
        <v>16</v>
      </c>
      <c r="C5261" t="s">
        <v>17</v>
      </c>
      <c r="D5261">
        <v>89148000</v>
      </c>
      <c r="E5261">
        <v>89149999</v>
      </c>
      <c r="F5261" t="s">
        <v>4768</v>
      </c>
      <c r="G5261" t="str">
        <f t="shared" si="164"/>
        <v>SCI II</v>
      </c>
      <c r="H5261" t="s">
        <v>4654</v>
      </c>
      <c r="I5261" t="s">
        <v>20</v>
      </c>
      <c r="J5261" t="s">
        <v>64</v>
      </c>
      <c r="K5261" s="6">
        <v>0.03</v>
      </c>
      <c r="L5261" s="7">
        <f t="shared" si="165"/>
        <v>2E-3</v>
      </c>
      <c r="M5261" s="7">
        <v>3.0000000000000001E-3</v>
      </c>
      <c r="N5261">
        <v>11</v>
      </c>
      <c r="O5261" s="8">
        <v>19.475693895950801</v>
      </c>
      <c r="P5261" s="9">
        <v>19.475693895950801</v>
      </c>
      <c r="Q5261" s="9">
        <v>19.475693895950801</v>
      </c>
      <c r="R5261" s="9">
        <v>20.024452706180426</v>
      </c>
      <c r="S5261" s="9">
        <v>20.875099128492941</v>
      </c>
      <c r="T5261" s="9">
        <v>21.733350185946453</v>
      </c>
      <c r="U5261" s="9">
        <v>23.861555618318132</v>
      </c>
      <c r="V5261" s="9">
        <v>23.861555618318132</v>
      </c>
      <c r="W5261" s="9">
        <v>23.861555618318132</v>
      </c>
      <c r="X5261" s="9">
        <v>26.599525609534091</v>
      </c>
      <c r="Y5261" s="9">
        <v>26.599525609534091</v>
      </c>
      <c r="Z5261" s="9">
        <v>29.424604823442099</v>
      </c>
      <c r="AA5261" s="9">
        <v>29.424604823442099</v>
      </c>
      <c r="AB5261" s="9">
        <v>32.345504182311352</v>
      </c>
      <c r="AC5261" s="9">
        <v>32.345504182311352</v>
      </c>
      <c r="AD5261" s="9">
        <v>37.073967958020759</v>
      </c>
      <c r="AE5261" s="9">
        <v>39.537280452065687</v>
      </c>
      <c r="AF5261" s="9">
        <v>42.115429646064094</v>
      </c>
      <c r="AG5261" s="9">
        <v>42.115429646064094</v>
      </c>
      <c r="AH5261" s="9">
        <v>45.566990204681431</v>
      </c>
      <c r="AI5261" s="9">
        <v>48.2081665036403</v>
      </c>
      <c r="AJ5261" s="9">
        <v>3.0428788910505911</v>
      </c>
    </row>
    <row r="5262" spans="1:36" x14ac:dyDescent="0.25">
      <c r="A5262" t="s">
        <v>5411</v>
      </c>
      <c r="B5262" t="s">
        <v>16</v>
      </c>
      <c r="C5262" t="s">
        <v>17</v>
      </c>
      <c r="D5262">
        <v>89150000</v>
      </c>
      <c r="E5262">
        <v>89154999</v>
      </c>
      <c r="F5262" t="s">
        <v>4769</v>
      </c>
      <c r="G5262" t="str">
        <f t="shared" si="164"/>
        <v>SCI II</v>
      </c>
      <c r="H5262" t="s">
        <v>4654</v>
      </c>
      <c r="I5262" t="s">
        <v>20</v>
      </c>
      <c r="J5262" t="s">
        <v>64</v>
      </c>
      <c r="K5262" s="6">
        <v>0.03</v>
      </c>
      <c r="L5262" s="7">
        <f t="shared" si="165"/>
        <v>2E-3</v>
      </c>
      <c r="M5262" s="7">
        <v>3.0000000000000001E-3</v>
      </c>
      <c r="N5262">
        <v>10</v>
      </c>
      <c r="O5262" s="8">
        <v>19.475693895950801</v>
      </c>
      <c r="P5262" s="9">
        <v>19.475693895950801</v>
      </c>
      <c r="Q5262" s="9">
        <v>19.475693895950801</v>
      </c>
      <c r="R5262" s="9">
        <v>20.024452706180426</v>
      </c>
      <c r="S5262" s="9">
        <v>20.875099128492941</v>
      </c>
      <c r="T5262" s="9">
        <v>21.733350185946453</v>
      </c>
      <c r="U5262" s="9">
        <v>23.861555618318132</v>
      </c>
      <c r="V5262" s="9">
        <v>23.861555618318132</v>
      </c>
      <c r="W5262" s="9">
        <v>23.861555618318132</v>
      </c>
      <c r="X5262" s="9">
        <v>26.599525609534091</v>
      </c>
      <c r="Y5262" s="9">
        <v>26.599525609534091</v>
      </c>
      <c r="Z5262" s="9">
        <v>29.424604823442099</v>
      </c>
      <c r="AA5262" s="9">
        <v>29.424604823442099</v>
      </c>
      <c r="AB5262" s="9">
        <v>32.345504182311352</v>
      </c>
      <c r="AC5262" s="9">
        <v>32.345504182311352</v>
      </c>
      <c r="AD5262" s="9">
        <v>37.073967958020759</v>
      </c>
      <c r="AE5262" s="9">
        <v>39.537280452065687</v>
      </c>
      <c r="AF5262" s="9">
        <v>42.115429646064094</v>
      </c>
      <c r="AG5262" s="9">
        <v>42.115429646064094</v>
      </c>
      <c r="AH5262" s="9">
        <v>45.566990204681431</v>
      </c>
      <c r="AI5262" s="9">
        <v>48.2081665036403</v>
      </c>
      <c r="AJ5262" s="9">
        <v>3.0428788910505911</v>
      </c>
    </row>
    <row r="5263" spans="1:36" x14ac:dyDescent="0.25">
      <c r="A5263" t="s">
        <v>5411</v>
      </c>
      <c r="B5263" t="s">
        <v>16</v>
      </c>
      <c r="C5263" t="s">
        <v>17</v>
      </c>
      <c r="D5263">
        <v>89155000</v>
      </c>
      <c r="E5263">
        <v>89156999</v>
      </c>
      <c r="F5263" t="s">
        <v>4770</v>
      </c>
      <c r="G5263" t="str">
        <f t="shared" si="164"/>
        <v>SCI II</v>
      </c>
      <c r="H5263" t="s">
        <v>4654</v>
      </c>
      <c r="I5263" t="s">
        <v>20</v>
      </c>
      <c r="J5263" t="s">
        <v>64</v>
      </c>
      <c r="K5263" s="6">
        <v>0.03</v>
      </c>
      <c r="L5263" s="7">
        <f t="shared" si="165"/>
        <v>2E-3</v>
      </c>
      <c r="M5263" s="7">
        <v>3.0000000000000001E-3</v>
      </c>
      <c r="N5263">
        <v>10</v>
      </c>
      <c r="O5263" s="8">
        <v>19.475693895950801</v>
      </c>
      <c r="P5263" s="9">
        <v>19.475693895950801</v>
      </c>
      <c r="Q5263" s="9">
        <v>19.475693895950801</v>
      </c>
      <c r="R5263" s="9">
        <v>20.024452706180426</v>
      </c>
      <c r="S5263" s="9">
        <v>20.875099128492941</v>
      </c>
      <c r="T5263" s="9">
        <v>21.733350185946453</v>
      </c>
      <c r="U5263" s="9">
        <v>23.861555618318132</v>
      </c>
      <c r="V5263" s="9">
        <v>23.861555618318132</v>
      </c>
      <c r="W5263" s="9">
        <v>23.861555618318132</v>
      </c>
      <c r="X5263" s="9">
        <v>26.599525609534091</v>
      </c>
      <c r="Y5263" s="9">
        <v>26.599525609534091</v>
      </c>
      <c r="Z5263" s="9">
        <v>29.424604823442099</v>
      </c>
      <c r="AA5263" s="9">
        <v>29.424604823442099</v>
      </c>
      <c r="AB5263" s="9">
        <v>32.345504182311352</v>
      </c>
      <c r="AC5263" s="9">
        <v>32.345504182311352</v>
      </c>
      <c r="AD5263" s="9">
        <v>37.073967958020759</v>
      </c>
      <c r="AE5263" s="9">
        <v>39.537280452065687</v>
      </c>
      <c r="AF5263" s="9">
        <v>42.115429646064094</v>
      </c>
      <c r="AG5263" s="9">
        <v>42.115429646064094</v>
      </c>
      <c r="AH5263" s="9">
        <v>45.566990204681431</v>
      </c>
      <c r="AI5263" s="9">
        <v>48.2081665036403</v>
      </c>
      <c r="AJ5263" s="9">
        <v>3.0428788910505911</v>
      </c>
    </row>
    <row r="5264" spans="1:36" x14ac:dyDescent="0.25">
      <c r="A5264" t="s">
        <v>5411</v>
      </c>
      <c r="B5264" t="s">
        <v>16</v>
      </c>
      <c r="C5264" t="s">
        <v>17</v>
      </c>
      <c r="D5264">
        <v>89157000</v>
      </c>
      <c r="E5264">
        <v>89159999</v>
      </c>
      <c r="F5264" t="s">
        <v>4771</v>
      </c>
      <c r="G5264" t="str">
        <f t="shared" si="164"/>
        <v>SCI II</v>
      </c>
      <c r="H5264" t="s">
        <v>4654</v>
      </c>
      <c r="I5264" t="s">
        <v>20</v>
      </c>
      <c r="J5264" t="s">
        <v>64</v>
      </c>
      <c r="K5264" s="6">
        <v>0.03</v>
      </c>
      <c r="L5264" s="7">
        <f t="shared" si="165"/>
        <v>2E-3</v>
      </c>
      <c r="M5264" s="7">
        <v>3.0000000000000001E-3</v>
      </c>
      <c r="N5264">
        <v>11</v>
      </c>
      <c r="O5264" s="8">
        <v>19.475693895950801</v>
      </c>
      <c r="P5264" s="9">
        <v>19.475693895950801</v>
      </c>
      <c r="Q5264" s="9">
        <v>19.475693895950801</v>
      </c>
      <c r="R5264" s="9">
        <v>20.024452706180426</v>
      </c>
      <c r="S5264" s="9">
        <v>20.875099128492941</v>
      </c>
      <c r="T5264" s="9">
        <v>21.733350185946453</v>
      </c>
      <c r="U5264" s="9">
        <v>23.861555618318132</v>
      </c>
      <c r="V5264" s="9">
        <v>23.861555618318132</v>
      </c>
      <c r="W5264" s="9">
        <v>23.861555618318132</v>
      </c>
      <c r="X5264" s="9">
        <v>26.599525609534091</v>
      </c>
      <c r="Y5264" s="9">
        <v>26.599525609534091</v>
      </c>
      <c r="Z5264" s="9">
        <v>29.424604823442099</v>
      </c>
      <c r="AA5264" s="9">
        <v>29.424604823442099</v>
      </c>
      <c r="AB5264" s="9">
        <v>32.345504182311352</v>
      </c>
      <c r="AC5264" s="9">
        <v>32.345504182311352</v>
      </c>
      <c r="AD5264" s="9">
        <v>37.073967958020759</v>
      </c>
      <c r="AE5264" s="9">
        <v>39.537280452065687</v>
      </c>
      <c r="AF5264" s="9">
        <v>42.115429646064094</v>
      </c>
      <c r="AG5264" s="9">
        <v>42.115429646064094</v>
      </c>
      <c r="AH5264" s="9">
        <v>45.566990204681431</v>
      </c>
      <c r="AI5264" s="9">
        <v>48.2081665036403</v>
      </c>
      <c r="AJ5264" s="9">
        <v>3.0428788910505911</v>
      </c>
    </row>
    <row r="5265" spans="1:36" x14ac:dyDescent="0.25">
      <c r="A5265" t="s">
        <v>5411</v>
      </c>
      <c r="B5265" t="s">
        <v>16</v>
      </c>
      <c r="C5265" t="s">
        <v>17</v>
      </c>
      <c r="D5265">
        <v>89160000</v>
      </c>
      <c r="E5265">
        <v>89169999</v>
      </c>
      <c r="F5265" t="s">
        <v>4772</v>
      </c>
      <c r="G5265" t="str">
        <f t="shared" si="164"/>
        <v>SCI</v>
      </c>
      <c r="H5265" t="s">
        <v>4654</v>
      </c>
      <c r="I5265" t="s">
        <v>20</v>
      </c>
      <c r="J5265" t="s">
        <v>62</v>
      </c>
      <c r="K5265" s="6">
        <v>0.03</v>
      </c>
      <c r="L5265" s="7">
        <f t="shared" si="165"/>
        <v>2E-3</v>
      </c>
      <c r="M5265" s="7">
        <v>3.0000000000000001E-3</v>
      </c>
      <c r="N5265">
        <v>9</v>
      </c>
      <c r="O5265" s="8">
        <v>16.631361039134706</v>
      </c>
      <c r="P5265" s="9">
        <v>16.631361039134706</v>
      </c>
      <c r="Q5265" s="9">
        <v>16.631361039134706</v>
      </c>
      <c r="R5265" s="9">
        <v>17.060180136455905</v>
      </c>
      <c r="S5265" s="9">
        <v>18.024171003933382</v>
      </c>
      <c r="T5265" s="9">
        <v>18.868116637328029</v>
      </c>
      <c r="U5265" s="9">
        <v>20.58817720770605</v>
      </c>
      <c r="V5265" s="9">
        <v>20.58817720770605</v>
      </c>
      <c r="W5265" s="9">
        <v>20.58817720770605</v>
      </c>
      <c r="X5265" s="9">
        <v>22.864259828555831</v>
      </c>
      <c r="Y5265" s="9">
        <v>22.864259828555831</v>
      </c>
      <c r="Z5265" s="9">
        <v>25.323053608820352</v>
      </c>
      <c r="AA5265" s="9">
        <v>25.323053608820352</v>
      </c>
      <c r="AB5265" s="9">
        <v>28.021815637038035</v>
      </c>
      <c r="AC5265" s="9">
        <v>28.021815637038035</v>
      </c>
      <c r="AD5265" s="9">
        <v>30.863654196486234</v>
      </c>
      <c r="AE5265" s="9">
        <v>33.866973124126531</v>
      </c>
      <c r="AF5265" s="9">
        <v>37.052606032896897</v>
      </c>
      <c r="AG5265" s="9">
        <v>37.052606032896897</v>
      </c>
      <c r="AH5265" s="9">
        <v>39.965079814445566</v>
      </c>
      <c r="AI5265" s="9">
        <v>42.780649023864797</v>
      </c>
      <c r="AJ5265" s="9">
        <v>3.0428788910505911</v>
      </c>
    </row>
    <row r="5266" spans="1:36" x14ac:dyDescent="0.25">
      <c r="A5266" t="s">
        <v>5411</v>
      </c>
      <c r="B5266" t="s">
        <v>16</v>
      </c>
      <c r="C5266" t="s">
        <v>17</v>
      </c>
      <c r="D5266">
        <v>89170000</v>
      </c>
      <c r="E5266">
        <v>89171999</v>
      </c>
      <c r="F5266" t="s">
        <v>4773</v>
      </c>
      <c r="G5266" t="str">
        <f t="shared" si="164"/>
        <v>SCI II</v>
      </c>
      <c r="H5266" t="s">
        <v>4654</v>
      </c>
      <c r="I5266" t="s">
        <v>20</v>
      </c>
      <c r="J5266" t="s">
        <v>64</v>
      </c>
      <c r="K5266" s="6">
        <v>0.03</v>
      </c>
      <c r="L5266" s="7">
        <f t="shared" si="165"/>
        <v>2E-3</v>
      </c>
      <c r="M5266" s="7">
        <v>3.0000000000000001E-3</v>
      </c>
      <c r="N5266">
        <v>10</v>
      </c>
      <c r="O5266" s="8">
        <v>19.475693895950801</v>
      </c>
      <c r="P5266" s="9">
        <v>19.475693895950801</v>
      </c>
      <c r="Q5266" s="9">
        <v>19.475693895950801</v>
      </c>
      <c r="R5266" s="9">
        <v>20.024452706180426</v>
      </c>
      <c r="S5266" s="9">
        <v>20.875099128492941</v>
      </c>
      <c r="T5266" s="9">
        <v>21.733350185946453</v>
      </c>
      <c r="U5266" s="9">
        <v>23.861555618318132</v>
      </c>
      <c r="V5266" s="9">
        <v>23.861555618318132</v>
      </c>
      <c r="W5266" s="9">
        <v>23.861555618318132</v>
      </c>
      <c r="X5266" s="9">
        <v>26.599525609534091</v>
      </c>
      <c r="Y5266" s="9">
        <v>26.599525609534091</v>
      </c>
      <c r="Z5266" s="9">
        <v>29.424604823442099</v>
      </c>
      <c r="AA5266" s="9">
        <v>29.424604823442099</v>
      </c>
      <c r="AB5266" s="9">
        <v>32.345504182311352</v>
      </c>
      <c r="AC5266" s="9">
        <v>32.345504182311352</v>
      </c>
      <c r="AD5266" s="9">
        <v>37.073967958020759</v>
      </c>
      <c r="AE5266" s="9">
        <v>39.537280452065687</v>
      </c>
      <c r="AF5266" s="9">
        <v>42.115429646064094</v>
      </c>
      <c r="AG5266" s="9">
        <v>42.115429646064094</v>
      </c>
      <c r="AH5266" s="9">
        <v>45.566990204681431</v>
      </c>
      <c r="AI5266" s="9">
        <v>48.2081665036403</v>
      </c>
      <c r="AJ5266" s="9">
        <v>3.0428788910505911</v>
      </c>
    </row>
    <row r="5267" spans="1:36" x14ac:dyDescent="0.25">
      <c r="A5267" t="s">
        <v>5411</v>
      </c>
      <c r="B5267" t="s">
        <v>16</v>
      </c>
      <c r="C5267" t="s">
        <v>17</v>
      </c>
      <c r="D5267">
        <v>89172000</v>
      </c>
      <c r="E5267">
        <v>89175999</v>
      </c>
      <c r="F5267" t="s">
        <v>4774</v>
      </c>
      <c r="G5267" t="str">
        <f t="shared" si="164"/>
        <v>SCI II</v>
      </c>
      <c r="H5267" t="s">
        <v>4654</v>
      </c>
      <c r="I5267" t="s">
        <v>20</v>
      </c>
      <c r="J5267" t="s">
        <v>64</v>
      </c>
      <c r="K5267" s="6">
        <v>0.03</v>
      </c>
      <c r="L5267" s="7">
        <f t="shared" si="165"/>
        <v>2E-3</v>
      </c>
      <c r="M5267" s="7">
        <v>3.0000000000000001E-3</v>
      </c>
      <c r="N5267">
        <v>10</v>
      </c>
      <c r="O5267" s="8">
        <v>19.475693895950801</v>
      </c>
      <c r="P5267" s="9">
        <v>19.475693895950801</v>
      </c>
      <c r="Q5267" s="9">
        <v>19.475693895950801</v>
      </c>
      <c r="R5267" s="9">
        <v>20.024452706180426</v>
      </c>
      <c r="S5267" s="9">
        <v>20.875099128492941</v>
      </c>
      <c r="T5267" s="9">
        <v>21.733350185946453</v>
      </c>
      <c r="U5267" s="9">
        <v>23.861555618318132</v>
      </c>
      <c r="V5267" s="9">
        <v>23.861555618318132</v>
      </c>
      <c r="W5267" s="9">
        <v>23.861555618318132</v>
      </c>
      <c r="X5267" s="9">
        <v>26.599525609534091</v>
      </c>
      <c r="Y5267" s="9">
        <v>26.599525609534091</v>
      </c>
      <c r="Z5267" s="9">
        <v>29.424604823442099</v>
      </c>
      <c r="AA5267" s="9">
        <v>29.424604823442099</v>
      </c>
      <c r="AB5267" s="9">
        <v>32.345504182311352</v>
      </c>
      <c r="AC5267" s="9">
        <v>32.345504182311352</v>
      </c>
      <c r="AD5267" s="9">
        <v>37.073967958020759</v>
      </c>
      <c r="AE5267" s="9">
        <v>39.537280452065687</v>
      </c>
      <c r="AF5267" s="9">
        <v>42.115429646064094</v>
      </c>
      <c r="AG5267" s="9">
        <v>42.115429646064094</v>
      </c>
      <c r="AH5267" s="9">
        <v>45.566990204681431</v>
      </c>
      <c r="AI5267" s="9">
        <v>48.2081665036403</v>
      </c>
      <c r="AJ5267" s="9">
        <v>3.0428788910505911</v>
      </c>
    </row>
    <row r="5268" spans="1:36" x14ac:dyDescent="0.25">
      <c r="A5268" t="s">
        <v>5411</v>
      </c>
      <c r="B5268" t="s">
        <v>16</v>
      </c>
      <c r="C5268" t="s">
        <v>17</v>
      </c>
      <c r="D5268">
        <v>89176000</v>
      </c>
      <c r="E5268">
        <v>89177999</v>
      </c>
      <c r="F5268" t="s">
        <v>4775</v>
      </c>
      <c r="G5268" t="str">
        <f t="shared" si="164"/>
        <v>SCI II</v>
      </c>
      <c r="H5268" t="s">
        <v>4654</v>
      </c>
      <c r="I5268" t="s">
        <v>20</v>
      </c>
      <c r="J5268" t="s">
        <v>64</v>
      </c>
      <c r="K5268" s="6">
        <v>0.03</v>
      </c>
      <c r="L5268" s="7">
        <f t="shared" si="165"/>
        <v>2E-3</v>
      </c>
      <c r="M5268" s="7">
        <v>3.0000000000000001E-3</v>
      </c>
      <c r="N5268">
        <v>10</v>
      </c>
      <c r="O5268" s="8">
        <v>19.475693895950801</v>
      </c>
      <c r="P5268" s="9">
        <v>19.475693895950801</v>
      </c>
      <c r="Q5268" s="9">
        <v>19.475693895950801</v>
      </c>
      <c r="R5268" s="9">
        <v>20.024452706180426</v>
      </c>
      <c r="S5268" s="9">
        <v>20.875099128492941</v>
      </c>
      <c r="T5268" s="9">
        <v>21.733350185946453</v>
      </c>
      <c r="U5268" s="9">
        <v>23.861555618318132</v>
      </c>
      <c r="V5268" s="9">
        <v>23.861555618318132</v>
      </c>
      <c r="W5268" s="9">
        <v>23.861555618318132</v>
      </c>
      <c r="X5268" s="9">
        <v>26.599525609534091</v>
      </c>
      <c r="Y5268" s="9">
        <v>26.599525609534091</v>
      </c>
      <c r="Z5268" s="9">
        <v>29.424604823442099</v>
      </c>
      <c r="AA5268" s="9">
        <v>29.424604823442099</v>
      </c>
      <c r="AB5268" s="9">
        <v>32.345504182311352</v>
      </c>
      <c r="AC5268" s="9">
        <v>32.345504182311352</v>
      </c>
      <c r="AD5268" s="9">
        <v>37.073967958020759</v>
      </c>
      <c r="AE5268" s="9">
        <v>39.537280452065687</v>
      </c>
      <c r="AF5268" s="9">
        <v>42.115429646064094</v>
      </c>
      <c r="AG5268" s="9">
        <v>42.115429646064094</v>
      </c>
      <c r="AH5268" s="9">
        <v>45.566990204681431</v>
      </c>
      <c r="AI5268" s="9">
        <v>48.2081665036403</v>
      </c>
      <c r="AJ5268" s="9">
        <v>3.0428788910505911</v>
      </c>
    </row>
    <row r="5269" spans="1:36" x14ac:dyDescent="0.25">
      <c r="A5269" t="s">
        <v>5411</v>
      </c>
      <c r="B5269" t="s">
        <v>16</v>
      </c>
      <c r="C5269" t="s">
        <v>17</v>
      </c>
      <c r="D5269">
        <v>89178000</v>
      </c>
      <c r="E5269">
        <v>89179999</v>
      </c>
      <c r="F5269" t="s">
        <v>4776</v>
      </c>
      <c r="G5269" t="str">
        <f t="shared" si="164"/>
        <v>SCI II</v>
      </c>
      <c r="H5269" t="s">
        <v>4654</v>
      </c>
      <c r="I5269" t="s">
        <v>20</v>
      </c>
      <c r="J5269" t="s">
        <v>64</v>
      </c>
      <c r="K5269" s="6">
        <v>0.03</v>
      </c>
      <c r="L5269" s="7">
        <f t="shared" si="165"/>
        <v>2E-3</v>
      </c>
      <c r="M5269" s="7">
        <v>3.0000000000000001E-3</v>
      </c>
      <c r="N5269">
        <v>10</v>
      </c>
      <c r="O5269" s="8">
        <v>19.475693895950801</v>
      </c>
      <c r="P5269" s="9">
        <v>19.475693895950801</v>
      </c>
      <c r="Q5269" s="9">
        <v>19.475693895950801</v>
      </c>
      <c r="R5269" s="9">
        <v>20.024452706180426</v>
      </c>
      <c r="S5269" s="9">
        <v>20.875099128492941</v>
      </c>
      <c r="T5269" s="9">
        <v>21.733350185946453</v>
      </c>
      <c r="U5269" s="9">
        <v>23.861555618318132</v>
      </c>
      <c r="V5269" s="9">
        <v>23.861555618318132</v>
      </c>
      <c r="W5269" s="9">
        <v>23.861555618318132</v>
      </c>
      <c r="X5269" s="9">
        <v>26.599525609534091</v>
      </c>
      <c r="Y5269" s="9">
        <v>26.599525609534091</v>
      </c>
      <c r="Z5269" s="9">
        <v>29.424604823442099</v>
      </c>
      <c r="AA5269" s="9">
        <v>29.424604823442099</v>
      </c>
      <c r="AB5269" s="9">
        <v>32.345504182311352</v>
      </c>
      <c r="AC5269" s="9">
        <v>32.345504182311352</v>
      </c>
      <c r="AD5269" s="9">
        <v>37.073967958020759</v>
      </c>
      <c r="AE5269" s="9">
        <v>39.537280452065687</v>
      </c>
      <c r="AF5269" s="9">
        <v>42.115429646064094</v>
      </c>
      <c r="AG5269" s="9">
        <v>42.115429646064094</v>
      </c>
      <c r="AH5269" s="9">
        <v>45.566990204681431</v>
      </c>
      <c r="AI5269" s="9">
        <v>48.2081665036403</v>
      </c>
      <c r="AJ5269" s="9">
        <v>3.0428788910505911</v>
      </c>
    </row>
    <row r="5270" spans="1:36" x14ac:dyDescent="0.25">
      <c r="A5270" t="s">
        <v>5411</v>
      </c>
      <c r="B5270" t="s">
        <v>16</v>
      </c>
      <c r="C5270" t="s">
        <v>17</v>
      </c>
      <c r="D5270">
        <v>89180000</v>
      </c>
      <c r="E5270">
        <v>89181999</v>
      </c>
      <c r="F5270" t="s">
        <v>4777</v>
      </c>
      <c r="G5270" t="str">
        <f t="shared" si="164"/>
        <v>SCI II</v>
      </c>
      <c r="H5270" t="s">
        <v>4654</v>
      </c>
      <c r="I5270" t="s">
        <v>20</v>
      </c>
      <c r="J5270" t="s">
        <v>64</v>
      </c>
      <c r="K5270" s="6">
        <v>0.03</v>
      </c>
      <c r="L5270" s="7">
        <f t="shared" si="165"/>
        <v>2E-3</v>
      </c>
      <c r="M5270" s="7">
        <v>3.0000000000000001E-3</v>
      </c>
      <c r="N5270">
        <v>10</v>
      </c>
      <c r="O5270" s="8">
        <v>19.475693895950801</v>
      </c>
      <c r="P5270" s="9">
        <v>19.475693895950801</v>
      </c>
      <c r="Q5270" s="9">
        <v>19.475693895950801</v>
      </c>
      <c r="R5270" s="9">
        <v>20.024452706180426</v>
      </c>
      <c r="S5270" s="9">
        <v>20.875099128492941</v>
      </c>
      <c r="T5270" s="9">
        <v>21.733350185946453</v>
      </c>
      <c r="U5270" s="9">
        <v>23.861555618318132</v>
      </c>
      <c r="V5270" s="9">
        <v>23.861555618318132</v>
      </c>
      <c r="W5270" s="9">
        <v>23.861555618318132</v>
      </c>
      <c r="X5270" s="9">
        <v>26.599525609534091</v>
      </c>
      <c r="Y5270" s="9">
        <v>26.599525609534091</v>
      </c>
      <c r="Z5270" s="9">
        <v>29.424604823442099</v>
      </c>
      <c r="AA5270" s="9">
        <v>29.424604823442099</v>
      </c>
      <c r="AB5270" s="9">
        <v>32.345504182311352</v>
      </c>
      <c r="AC5270" s="9">
        <v>32.345504182311352</v>
      </c>
      <c r="AD5270" s="9">
        <v>37.073967958020759</v>
      </c>
      <c r="AE5270" s="9">
        <v>39.537280452065687</v>
      </c>
      <c r="AF5270" s="9">
        <v>42.115429646064094</v>
      </c>
      <c r="AG5270" s="9">
        <v>42.115429646064094</v>
      </c>
      <c r="AH5270" s="9">
        <v>45.566990204681431</v>
      </c>
      <c r="AI5270" s="9">
        <v>48.2081665036403</v>
      </c>
      <c r="AJ5270" s="9">
        <v>3.0428788910505911</v>
      </c>
    </row>
    <row r="5271" spans="1:36" x14ac:dyDescent="0.25">
      <c r="A5271" t="s">
        <v>5411</v>
      </c>
      <c r="B5271" t="s">
        <v>16</v>
      </c>
      <c r="C5271" t="s">
        <v>17</v>
      </c>
      <c r="D5271">
        <v>89182000</v>
      </c>
      <c r="E5271">
        <v>89183999</v>
      </c>
      <c r="F5271" t="s">
        <v>4778</v>
      </c>
      <c r="G5271" t="str">
        <f t="shared" si="164"/>
        <v>SCI II</v>
      </c>
      <c r="H5271" t="s">
        <v>4654</v>
      </c>
      <c r="I5271" t="s">
        <v>20</v>
      </c>
      <c r="J5271" t="s">
        <v>64</v>
      </c>
      <c r="K5271" s="6">
        <v>0.03</v>
      </c>
      <c r="L5271" s="7">
        <f t="shared" si="165"/>
        <v>2E-3</v>
      </c>
      <c r="M5271" s="7">
        <v>3.0000000000000001E-3</v>
      </c>
      <c r="N5271">
        <v>10</v>
      </c>
      <c r="O5271" s="8">
        <v>19.475693895950801</v>
      </c>
      <c r="P5271" s="9">
        <v>19.475693895950801</v>
      </c>
      <c r="Q5271" s="9">
        <v>19.475693895950801</v>
      </c>
      <c r="R5271" s="9">
        <v>20.024452706180426</v>
      </c>
      <c r="S5271" s="9">
        <v>20.875099128492941</v>
      </c>
      <c r="T5271" s="9">
        <v>21.733350185946453</v>
      </c>
      <c r="U5271" s="9">
        <v>23.861555618318132</v>
      </c>
      <c r="V5271" s="9">
        <v>23.861555618318132</v>
      </c>
      <c r="W5271" s="9">
        <v>23.861555618318132</v>
      </c>
      <c r="X5271" s="9">
        <v>26.599525609534091</v>
      </c>
      <c r="Y5271" s="9">
        <v>26.599525609534091</v>
      </c>
      <c r="Z5271" s="9">
        <v>29.424604823442099</v>
      </c>
      <c r="AA5271" s="9">
        <v>29.424604823442099</v>
      </c>
      <c r="AB5271" s="9">
        <v>32.345504182311352</v>
      </c>
      <c r="AC5271" s="9">
        <v>32.345504182311352</v>
      </c>
      <c r="AD5271" s="9">
        <v>37.073967958020759</v>
      </c>
      <c r="AE5271" s="9">
        <v>39.537280452065687</v>
      </c>
      <c r="AF5271" s="9">
        <v>42.115429646064094</v>
      </c>
      <c r="AG5271" s="9">
        <v>42.115429646064094</v>
      </c>
      <c r="AH5271" s="9">
        <v>45.566990204681431</v>
      </c>
      <c r="AI5271" s="9">
        <v>48.2081665036403</v>
      </c>
      <c r="AJ5271" s="9">
        <v>3.0428788910505911</v>
      </c>
    </row>
    <row r="5272" spans="1:36" x14ac:dyDescent="0.25">
      <c r="A5272" t="s">
        <v>5411</v>
      </c>
      <c r="B5272" t="s">
        <v>16</v>
      </c>
      <c r="C5272" t="s">
        <v>17</v>
      </c>
      <c r="D5272">
        <v>89184000</v>
      </c>
      <c r="E5272">
        <v>89185999</v>
      </c>
      <c r="F5272" t="s">
        <v>4779</v>
      </c>
      <c r="G5272" t="str">
        <f t="shared" si="164"/>
        <v>SCI II</v>
      </c>
      <c r="H5272" t="s">
        <v>4654</v>
      </c>
      <c r="I5272" t="s">
        <v>20</v>
      </c>
      <c r="J5272" t="s">
        <v>64</v>
      </c>
      <c r="K5272" s="6">
        <v>0.03</v>
      </c>
      <c r="L5272" s="7">
        <f t="shared" si="165"/>
        <v>2E-3</v>
      </c>
      <c r="M5272" s="7">
        <v>3.0000000000000001E-3</v>
      </c>
      <c r="N5272">
        <v>10</v>
      </c>
      <c r="O5272" s="8">
        <v>19.475693895950801</v>
      </c>
      <c r="P5272" s="9">
        <v>19.475693895950801</v>
      </c>
      <c r="Q5272" s="9">
        <v>19.475693895950801</v>
      </c>
      <c r="R5272" s="9">
        <v>20.024452706180426</v>
      </c>
      <c r="S5272" s="9">
        <v>20.875099128492941</v>
      </c>
      <c r="T5272" s="9">
        <v>21.733350185946453</v>
      </c>
      <c r="U5272" s="9">
        <v>23.861555618318132</v>
      </c>
      <c r="V5272" s="9">
        <v>23.861555618318132</v>
      </c>
      <c r="W5272" s="9">
        <v>23.861555618318132</v>
      </c>
      <c r="X5272" s="9">
        <v>26.599525609534091</v>
      </c>
      <c r="Y5272" s="9">
        <v>26.599525609534091</v>
      </c>
      <c r="Z5272" s="9">
        <v>29.424604823442099</v>
      </c>
      <c r="AA5272" s="9">
        <v>29.424604823442099</v>
      </c>
      <c r="AB5272" s="9">
        <v>32.345504182311352</v>
      </c>
      <c r="AC5272" s="9">
        <v>32.345504182311352</v>
      </c>
      <c r="AD5272" s="9">
        <v>37.073967958020759</v>
      </c>
      <c r="AE5272" s="9">
        <v>39.537280452065687</v>
      </c>
      <c r="AF5272" s="9">
        <v>42.115429646064094</v>
      </c>
      <c r="AG5272" s="9">
        <v>42.115429646064094</v>
      </c>
      <c r="AH5272" s="9">
        <v>45.566990204681431</v>
      </c>
      <c r="AI5272" s="9">
        <v>48.2081665036403</v>
      </c>
      <c r="AJ5272" s="9">
        <v>3.0428788910505911</v>
      </c>
    </row>
    <row r="5273" spans="1:36" x14ac:dyDescent="0.25">
      <c r="A5273" t="s">
        <v>5411</v>
      </c>
      <c r="B5273" t="s">
        <v>16</v>
      </c>
      <c r="C5273" t="s">
        <v>17</v>
      </c>
      <c r="D5273">
        <v>89186000</v>
      </c>
      <c r="E5273">
        <v>89187999</v>
      </c>
      <c r="F5273" t="s">
        <v>2953</v>
      </c>
      <c r="G5273" t="str">
        <f t="shared" si="164"/>
        <v>SCI II</v>
      </c>
      <c r="H5273" t="s">
        <v>4654</v>
      </c>
      <c r="I5273" t="s">
        <v>20</v>
      </c>
      <c r="J5273" t="s">
        <v>64</v>
      </c>
      <c r="K5273" s="6">
        <v>0.03</v>
      </c>
      <c r="L5273" s="7">
        <f t="shared" si="165"/>
        <v>2E-3</v>
      </c>
      <c r="M5273" s="7">
        <v>3.0000000000000001E-3</v>
      </c>
      <c r="N5273">
        <v>10</v>
      </c>
      <c r="O5273" s="8">
        <v>19.475693895950801</v>
      </c>
      <c r="P5273" s="9">
        <v>19.475693895950801</v>
      </c>
      <c r="Q5273" s="9">
        <v>19.475693895950801</v>
      </c>
      <c r="R5273" s="9">
        <v>20.024452706180426</v>
      </c>
      <c r="S5273" s="9">
        <v>20.875099128492941</v>
      </c>
      <c r="T5273" s="9">
        <v>21.733350185946453</v>
      </c>
      <c r="U5273" s="9">
        <v>23.861555618318132</v>
      </c>
      <c r="V5273" s="9">
        <v>23.861555618318132</v>
      </c>
      <c r="W5273" s="9">
        <v>23.861555618318132</v>
      </c>
      <c r="X5273" s="9">
        <v>26.599525609534091</v>
      </c>
      <c r="Y5273" s="9">
        <v>26.599525609534091</v>
      </c>
      <c r="Z5273" s="9">
        <v>29.424604823442099</v>
      </c>
      <c r="AA5273" s="9">
        <v>29.424604823442099</v>
      </c>
      <c r="AB5273" s="9">
        <v>32.345504182311352</v>
      </c>
      <c r="AC5273" s="9">
        <v>32.345504182311352</v>
      </c>
      <c r="AD5273" s="9">
        <v>37.073967958020759</v>
      </c>
      <c r="AE5273" s="9">
        <v>39.537280452065687</v>
      </c>
      <c r="AF5273" s="9">
        <v>42.115429646064094</v>
      </c>
      <c r="AG5273" s="9">
        <v>42.115429646064094</v>
      </c>
      <c r="AH5273" s="9">
        <v>45.566990204681431</v>
      </c>
      <c r="AI5273" s="9">
        <v>48.2081665036403</v>
      </c>
      <c r="AJ5273" s="9">
        <v>3.0428788910505911</v>
      </c>
    </row>
    <row r="5274" spans="1:36" x14ac:dyDescent="0.25">
      <c r="A5274" t="s">
        <v>5411</v>
      </c>
      <c r="B5274" t="s">
        <v>16</v>
      </c>
      <c r="C5274" t="s">
        <v>17</v>
      </c>
      <c r="D5274">
        <v>89188000</v>
      </c>
      <c r="E5274">
        <v>89189999</v>
      </c>
      <c r="F5274" t="s">
        <v>4780</v>
      </c>
      <c r="G5274" t="str">
        <f t="shared" si="164"/>
        <v>SCI II</v>
      </c>
      <c r="H5274" t="s">
        <v>4654</v>
      </c>
      <c r="I5274" t="s">
        <v>20</v>
      </c>
      <c r="J5274" t="s">
        <v>64</v>
      </c>
      <c r="K5274" s="6">
        <v>0.03</v>
      </c>
      <c r="L5274" s="7">
        <f t="shared" si="165"/>
        <v>2E-3</v>
      </c>
      <c r="M5274" s="7">
        <v>3.0000000000000001E-3</v>
      </c>
      <c r="N5274">
        <v>11</v>
      </c>
      <c r="O5274" s="8">
        <v>19.475693895950801</v>
      </c>
      <c r="P5274" s="9">
        <v>19.475693895950801</v>
      </c>
      <c r="Q5274" s="9">
        <v>19.475693895950801</v>
      </c>
      <c r="R5274" s="9">
        <v>20.024452706180426</v>
      </c>
      <c r="S5274" s="9">
        <v>20.875099128492941</v>
      </c>
      <c r="T5274" s="9">
        <v>21.733350185946453</v>
      </c>
      <c r="U5274" s="9">
        <v>23.861555618318132</v>
      </c>
      <c r="V5274" s="9">
        <v>23.861555618318132</v>
      </c>
      <c r="W5274" s="9">
        <v>23.861555618318132</v>
      </c>
      <c r="X5274" s="9">
        <v>26.599525609534091</v>
      </c>
      <c r="Y5274" s="9">
        <v>26.599525609534091</v>
      </c>
      <c r="Z5274" s="9">
        <v>29.424604823442099</v>
      </c>
      <c r="AA5274" s="9">
        <v>29.424604823442099</v>
      </c>
      <c r="AB5274" s="9">
        <v>32.345504182311352</v>
      </c>
      <c r="AC5274" s="9">
        <v>32.345504182311352</v>
      </c>
      <c r="AD5274" s="9">
        <v>37.073967958020759</v>
      </c>
      <c r="AE5274" s="9">
        <v>39.537280452065687</v>
      </c>
      <c r="AF5274" s="9">
        <v>42.115429646064094</v>
      </c>
      <c r="AG5274" s="9">
        <v>42.115429646064094</v>
      </c>
      <c r="AH5274" s="9">
        <v>45.566990204681431</v>
      </c>
      <c r="AI5274" s="9">
        <v>48.2081665036403</v>
      </c>
      <c r="AJ5274" s="9">
        <v>3.0428788910505911</v>
      </c>
    </row>
    <row r="5275" spans="1:36" x14ac:dyDescent="0.25">
      <c r="A5275" t="s">
        <v>5411</v>
      </c>
      <c r="B5275" t="s">
        <v>16</v>
      </c>
      <c r="C5275" t="s">
        <v>17</v>
      </c>
      <c r="D5275">
        <v>89190000</v>
      </c>
      <c r="E5275">
        <v>89193999</v>
      </c>
      <c r="F5275" t="s">
        <v>4781</v>
      </c>
      <c r="G5275" t="str">
        <f t="shared" si="164"/>
        <v>SCI II</v>
      </c>
      <c r="H5275" t="s">
        <v>4654</v>
      </c>
      <c r="I5275" t="s">
        <v>20</v>
      </c>
      <c r="J5275" t="s">
        <v>64</v>
      </c>
      <c r="K5275" s="6">
        <v>0.03</v>
      </c>
      <c r="L5275" s="7">
        <f t="shared" si="165"/>
        <v>2E-3</v>
      </c>
      <c r="M5275" s="7">
        <v>3.0000000000000001E-3</v>
      </c>
      <c r="N5275">
        <v>10</v>
      </c>
      <c r="O5275" s="8">
        <v>19.475693895950801</v>
      </c>
      <c r="P5275" s="9">
        <v>19.475693895950801</v>
      </c>
      <c r="Q5275" s="9">
        <v>19.475693895950801</v>
      </c>
      <c r="R5275" s="9">
        <v>20.024452706180426</v>
      </c>
      <c r="S5275" s="9">
        <v>20.875099128492941</v>
      </c>
      <c r="T5275" s="9">
        <v>21.733350185946453</v>
      </c>
      <c r="U5275" s="9">
        <v>23.861555618318132</v>
      </c>
      <c r="V5275" s="9">
        <v>23.861555618318132</v>
      </c>
      <c r="W5275" s="9">
        <v>23.861555618318132</v>
      </c>
      <c r="X5275" s="9">
        <v>26.599525609534091</v>
      </c>
      <c r="Y5275" s="9">
        <v>26.599525609534091</v>
      </c>
      <c r="Z5275" s="9">
        <v>29.424604823442099</v>
      </c>
      <c r="AA5275" s="9">
        <v>29.424604823442099</v>
      </c>
      <c r="AB5275" s="9">
        <v>32.345504182311352</v>
      </c>
      <c r="AC5275" s="9">
        <v>32.345504182311352</v>
      </c>
      <c r="AD5275" s="9">
        <v>37.073967958020759</v>
      </c>
      <c r="AE5275" s="9">
        <v>39.537280452065687</v>
      </c>
      <c r="AF5275" s="9">
        <v>42.115429646064094</v>
      </c>
      <c r="AG5275" s="9">
        <v>42.115429646064094</v>
      </c>
      <c r="AH5275" s="9">
        <v>45.566990204681431</v>
      </c>
      <c r="AI5275" s="9">
        <v>48.2081665036403</v>
      </c>
      <c r="AJ5275" s="9">
        <v>3.0428788910505911</v>
      </c>
    </row>
    <row r="5276" spans="1:36" x14ac:dyDescent="0.25">
      <c r="A5276" t="s">
        <v>5411</v>
      </c>
      <c r="B5276" t="s">
        <v>16</v>
      </c>
      <c r="C5276" t="s">
        <v>17</v>
      </c>
      <c r="D5276">
        <v>89194000</v>
      </c>
      <c r="E5276">
        <v>89195999</v>
      </c>
      <c r="F5276" t="s">
        <v>4782</v>
      </c>
      <c r="G5276" t="str">
        <f t="shared" si="164"/>
        <v>SCI II</v>
      </c>
      <c r="H5276" t="s">
        <v>4654</v>
      </c>
      <c r="I5276" t="s">
        <v>20</v>
      </c>
      <c r="J5276" t="s">
        <v>64</v>
      </c>
      <c r="K5276" s="6">
        <v>0.03</v>
      </c>
      <c r="L5276" s="7">
        <f t="shared" si="165"/>
        <v>2E-3</v>
      </c>
      <c r="M5276" s="7">
        <v>3.0000000000000001E-3</v>
      </c>
      <c r="N5276">
        <v>10</v>
      </c>
      <c r="O5276" s="8">
        <v>19.475693895950801</v>
      </c>
      <c r="P5276" s="9">
        <v>19.475693895950801</v>
      </c>
      <c r="Q5276" s="9">
        <v>19.475693895950801</v>
      </c>
      <c r="R5276" s="9">
        <v>20.024452706180426</v>
      </c>
      <c r="S5276" s="9">
        <v>20.875099128492941</v>
      </c>
      <c r="T5276" s="9">
        <v>21.733350185946453</v>
      </c>
      <c r="U5276" s="9">
        <v>23.861555618318132</v>
      </c>
      <c r="V5276" s="9">
        <v>23.861555618318132</v>
      </c>
      <c r="W5276" s="9">
        <v>23.861555618318132</v>
      </c>
      <c r="X5276" s="9">
        <v>26.599525609534091</v>
      </c>
      <c r="Y5276" s="9">
        <v>26.599525609534091</v>
      </c>
      <c r="Z5276" s="9">
        <v>29.424604823442099</v>
      </c>
      <c r="AA5276" s="9">
        <v>29.424604823442099</v>
      </c>
      <c r="AB5276" s="9">
        <v>32.345504182311352</v>
      </c>
      <c r="AC5276" s="9">
        <v>32.345504182311352</v>
      </c>
      <c r="AD5276" s="9">
        <v>37.073967958020759</v>
      </c>
      <c r="AE5276" s="9">
        <v>39.537280452065687</v>
      </c>
      <c r="AF5276" s="9">
        <v>42.115429646064094</v>
      </c>
      <c r="AG5276" s="9">
        <v>42.115429646064094</v>
      </c>
      <c r="AH5276" s="9">
        <v>45.566990204681431</v>
      </c>
      <c r="AI5276" s="9">
        <v>48.2081665036403</v>
      </c>
      <c r="AJ5276" s="9">
        <v>3.0428788910505911</v>
      </c>
    </row>
    <row r="5277" spans="1:36" x14ac:dyDescent="0.25">
      <c r="A5277" t="s">
        <v>5411</v>
      </c>
      <c r="B5277" t="s">
        <v>16</v>
      </c>
      <c r="C5277" t="s">
        <v>17</v>
      </c>
      <c r="D5277">
        <v>89196000</v>
      </c>
      <c r="E5277">
        <v>89197999</v>
      </c>
      <c r="F5277" t="s">
        <v>4783</v>
      </c>
      <c r="G5277" t="str">
        <f t="shared" si="164"/>
        <v>SCI II</v>
      </c>
      <c r="H5277" t="s">
        <v>4654</v>
      </c>
      <c r="I5277" t="s">
        <v>20</v>
      </c>
      <c r="J5277" t="s">
        <v>64</v>
      </c>
      <c r="K5277" s="6">
        <v>0.03</v>
      </c>
      <c r="L5277" s="7">
        <f t="shared" si="165"/>
        <v>2E-3</v>
      </c>
      <c r="M5277" s="7">
        <v>3.0000000000000001E-3</v>
      </c>
      <c r="N5277">
        <v>10</v>
      </c>
      <c r="O5277" s="8">
        <v>19.475693895950801</v>
      </c>
      <c r="P5277" s="9">
        <v>19.475693895950801</v>
      </c>
      <c r="Q5277" s="9">
        <v>19.475693895950801</v>
      </c>
      <c r="R5277" s="9">
        <v>20.024452706180426</v>
      </c>
      <c r="S5277" s="9">
        <v>20.875099128492941</v>
      </c>
      <c r="T5277" s="9">
        <v>21.733350185946453</v>
      </c>
      <c r="U5277" s="9">
        <v>23.861555618318132</v>
      </c>
      <c r="V5277" s="9">
        <v>23.861555618318132</v>
      </c>
      <c r="W5277" s="9">
        <v>23.861555618318132</v>
      </c>
      <c r="X5277" s="9">
        <v>26.599525609534091</v>
      </c>
      <c r="Y5277" s="9">
        <v>26.599525609534091</v>
      </c>
      <c r="Z5277" s="9">
        <v>29.424604823442099</v>
      </c>
      <c r="AA5277" s="9">
        <v>29.424604823442099</v>
      </c>
      <c r="AB5277" s="9">
        <v>32.345504182311352</v>
      </c>
      <c r="AC5277" s="9">
        <v>32.345504182311352</v>
      </c>
      <c r="AD5277" s="9">
        <v>37.073967958020759</v>
      </c>
      <c r="AE5277" s="9">
        <v>39.537280452065687</v>
      </c>
      <c r="AF5277" s="9">
        <v>42.115429646064094</v>
      </c>
      <c r="AG5277" s="9">
        <v>42.115429646064094</v>
      </c>
      <c r="AH5277" s="9">
        <v>45.566990204681431</v>
      </c>
      <c r="AI5277" s="9">
        <v>48.2081665036403</v>
      </c>
      <c r="AJ5277" s="9">
        <v>3.0428788910505911</v>
      </c>
    </row>
    <row r="5278" spans="1:36" x14ac:dyDescent="0.25">
      <c r="A5278" t="s">
        <v>5411</v>
      </c>
      <c r="B5278" t="s">
        <v>16</v>
      </c>
      <c r="C5278" t="s">
        <v>17</v>
      </c>
      <c r="D5278">
        <v>89198000</v>
      </c>
      <c r="E5278">
        <v>89198999</v>
      </c>
      <c r="F5278" t="s">
        <v>4784</v>
      </c>
      <c r="G5278" t="str">
        <f t="shared" si="164"/>
        <v>SCI II</v>
      </c>
      <c r="H5278" t="s">
        <v>4654</v>
      </c>
      <c r="I5278" t="s">
        <v>20</v>
      </c>
      <c r="J5278" t="s">
        <v>64</v>
      </c>
      <c r="K5278" s="6">
        <v>0.03</v>
      </c>
      <c r="L5278" s="7">
        <f t="shared" si="165"/>
        <v>2E-3</v>
      </c>
      <c r="M5278" s="7">
        <v>3.0000000000000001E-3</v>
      </c>
      <c r="N5278">
        <v>10</v>
      </c>
      <c r="O5278" s="8">
        <v>19.475693895950801</v>
      </c>
      <c r="P5278" s="9">
        <v>19.475693895950801</v>
      </c>
      <c r="Q5278" s="9">
        <v>19.475693895950801</v>
      </c>
      <c r="R5278" s="9">
        <v>20.024452706180426</v>
      </c>
      <c r="S5278" s="9">
        <v>20.875099128492941</v>
      </c>
      <c r="T5278" s="9">
        <v>21.733350185946453</v>
      </c>
      <c r="U5278" s="9">
        <v>23.861555618318132</v>
      </c>
      <c r="V5278" s="9">
        <v>23.861555618318132</v>
      </c>
      <c r="W5278" s="9">
        <v>23.861555618318132</v>
      </c>
      <c r="X5278" s="9">
        <v>26.599525609534091</v>
      </c>
      <c r="Y5278" s="9">
        <v>26.599525609534091</v>
      </c>
      <c r="Z5278" s="9">
        <v>29.424604823442099</v>
      </c>
      <c r="AA5278" s="9">
        <v>29.424604823442099</v>
      </c>
      <c r="AB5278" s="9">
        <v>32.345504182311352</v>
      </c>
      <c r="AC5278" s="9">
        <v>32.345504182311352</v>
      </c>
      <c r="AD5278" s="9">
        <v>37.073967958020759</v>
      </c>
      <c r="AE5278" s="9">
        <v>39.537280452065687</v>
      </c>
      <c r="AF5278" s="9">
        <v>42.115429646064094</v>
      </c>
      <c r="AG5278" s="9">
        <v>42.115429646064094</v>
      </c>
      <c r="AH5278" s="9">
        <v>45.566990204681431</v>
      </c>
      <c r="AI5278" s="9">
        <v>48.2081665036403</v>
      </c>
      <c r="AJ5278" s="9">
        <v>3.0428788910505911</v>
      </c>
    </row>
    <row r="5279" spans="1:36" x14ac:dyDescent="0.25">
      <c r="A5279" t="s">
        <v>5411</v>
      </c>
      <c r="B5279" t="s">
        <v>16</v>
      </c>
      <c r="C5279" t="s">
        <v>17</v>
      </c>
      <c r="D5279">
        <v>89199000</v>
      </c>
      <c r="E5279">
        <v>89199999</v>
      </c>
      <c r="F5279" t="s">
        <v>1746</v>
      </c>
      <c r="G5279" t="str">
        <f t="shared" si="164"/>
        <v>SCI II</v>
      </c>
      <c r="H5279" t="s">
        <v>4654</v>
      </c>
      <c r="I5279" t="s">
        <v>20</v>
      </c>
      <c r="J5279" t="s">
        <v>64</v>
      </c>
      <c r="K5279" s="6">
        <v>0.03</v>
      </c>
      <c r="L5279" s="7">
        <f t="shared" si="165"/>
        <v>2E-3</v>
      </c>
      <c r="M5279" s="7">
        <v>3.0000000000000001E-3</v>
      </c>
      <c r="N5279">
        <v>11</v>
      </c>
      <c r="O5279" s="8">
        <v>19.475693895950801</v>
      </c>
      <c r="P5279" s="9">
        <v>19.475693895950801</v>
      </c>
      <c r="Q5279" s="9">
        <v>19.475693895950801</v>
      </c>
      <c r="R5279" s="9">
        <v>20.024452706180426</v>
      </c>
      <c r="S5279" s="9">
        <v>20.875099128492941</v>
      </c>
      <c r="T5279" s="9">
        <v>21.733350185946453</v>
      </c>
      <c r="U5279" s="9">
        <v>23.861555618318132</v>
      </c>
      <c r="V5279" s="9">
        <v>23.861555618318132</v>
      </c>
      <c r="W5279" s="9">
        <v>23.861555618318132</v>
      </c>
      <c r="X5279" s="9">
        <v>26.599525609534091</v>
      </c>
      <c r="Y5279" s="9">
        <v>26.599525609534091</v>
      </c>
      <c r="Z5279" s="9">
        <v>29.424604823442099</v>
      </c>
      <c r="AA5279" s="9">
        <v>29.424604823442099</v>
      </c>
      <c r="AB5279" s="9">
        <v>32.345504182311352</v>
      </c>
      <c r="AC5279" s="9">
        <v>32.345504182311352</v>
      </c>
      <c r="AD5279" s="9">
        <v>37.073967958020759</v>
      </c>
      <c r="AE5279" s="9">
        <v>39.537280452065687</v>
      </c>
      <c r="AF5279" s="9">
        <v>42.115429646064094</v>
      </c>
      <c r="AG5279" s="9">
        <v>42.115429646064094</v>
      </c>
      <c r="AH5279" s="9">
        <v>45.566990204681431</v>
      </c>
      <c r="AI5279" s="9">
        <v>48.2081665036403</v>
      </c>
      <c r="AJ5279" s="9">
        <v>3.0428788910505911</v>
      </c>
    </row>
    <row r="5280" spans="1:36" x14ac:dyDescent="0.25">
      <c r="A5280" t="s">
        <v>5411</v>
      </c>
      <c r="B5280" t="s">
        <v>16</v>
      </c>
      <c r="C5280" t="s">
        <v>17</v>
      </c>
      <c r="D5280">
        <v>89200000</v>
      </c>
      <c r="E5280">
        <v>89239999</v>
      </c>
      <c r="F5280" t="s">
        <v>4785</v>
      </c>
      <c r="G5280" t="str">
        <f t="shared" si="164"/>
        <v>SCI</v>
      </c>
      <c r="H5280" t="s">
        <v>4654</v>
      </c>
      <c r="I5280" t="s">
        <v>20</v>
      </c>
      <c r="J5280" t="s">
        <v>62</v>
      </c>
      <c r="K5280" s="6">
        <v>0.03</v>
      </c>
      <c r="L5280" s="7">
        <f t="shared" si="165"/>
        <v>2E-3</v>
      </c>
      <c r="M5280" s="7">
        <v>3.0000000000000001E-3</v>
      </c>
      <c r="N5280">
        <v>7</v>
      </c>
      <c r="O5280" s="8">
        <v>16.631361039134706</v>
      </c>
      <c r="P5280" s="9">
        <v>16.631361039134706</v>
      </c>
      <c r="Q5280" s="9">
        <v>16.631361039134706</v>
      </c>
      <c r="R5280" s="9">
        <v>17.060180136455905</v>
      </c>
      <c r="S5280" s="9">
        <v>18.024171003933382</v>
      </c>
      <c r="T5280" s="9">
        <v>18.868116637328029</v>
      </c>
      <c r="U5280" s="9">
        <v>20.58817720770605</v>
      </c>
      <c r="V5280" s="9">
        <v>20.58817720770605</v>
      </c>
      <c r="W5280" s="9">
        <v>20.58817720770605</v>
      </c>
      <c r="X5280" s="9">
        <v>22.864259828555831</v>
      </c>
      <c r="Y5280" s="9">
        <v>22.864259828555831</v>
      </c>
      <c r="Z5280" s="9">
        <v>25.323053608820352</v>
      </c>
      <c r="AA5280" s="9">
        <v>25.323053608820352</v>
      </c>
      <c r="AB5280" s="9">
        <v>28.021815637038035</v>
      </c>
      <c r="AC5280" s="9">
        <v>28.021815637038035</v>
      </c>
      <c r="AD5280" s="9">
        <v>30.863654196486234</v>
      </c>
      <c r="AE5280" s="9">
        <v>33.866973124126531</v>
      </c>
      <c r="AF5280" s="9">
        <v>37.052606032896897</v>
      </c>
      <c r="AG5280" s="9">
        <v>37.052606032896897</v>
      </c>
      <c r="AH5280" s="9">
        <v>39.965079814445566</v>
      </c>
      <c r="AI5280" s="9">
        <v>42.780649023864797</v>
      </c>
      <c r="AJ5280" s="9">
        <v>3.0428788910505911</v>
      </c>
    </row>
    <row r="5281" spans="1:36" x14ac:dyDescent="0.25">
      <c r="A5281" t="s">
        <v>5411</v>
      </c>
      <c r="B5281" t="s">
        <v>16</v>
      </c>
      <c r="C5281" t="s">
        <v>17</v>
      </c>
      <c r="D5281">
        <v>89240000</v>
      </c>
      <c r="E5281">
        <v>89244999</v>
      </c>
      <c r="F5281" t="s">
        <v>4786</v>
      </c>
      <c r="G5281" t="str">
        <f t="shared" si="164"/>
        <v>SCI</v>
      </c>
      <c r="H5281" t="s">
        <v>4654</v>
      </c>
      <c r="I5281" t="s">
        <v>20</v>
      </c>
      <c r="J5281" t="s">
        <v>62</v>
      </c>
      <c r="K5281" s="6">
        <v>0.03</v>
      </c>
      <c r="L5281" s="7">
        <f t="shared" si="165"/>
        <v>2E-3</v>
      </c>
      <c r="M5281" s="7">
        <v>3.0000000000000001E-3</v>
      </c>
      <c r="N5281">
        <v>9</v>
      </c>
      <c r="O5281" s="8">
        <v>16.631361039134706</v>
      </c>
      <c r="P5281" s="9">
        <v>16.631361039134706</v>
      </c>
      <c r="Q5281" s="9">
        <v>16.631361039134706</v>
      </c>
      <c r="R5281" s="9">
        <v>17.060180136455905</v>
      </c>
      <c r="S5281" s="9">
        <v>18.024171003933382</v>
      </c>
      <c r="T5281" s="9">
        <v>18.868116637328029</v>
      </c>
      <c r="U5281" s="9">
        <v>20.58817720770605</v>
      </c>
      <c r="V5281" s="9">
        <v>20.58817720770605</v>
      </c>
      <c r="W5281" s="9">
        <v>20.58817720770605</v>
      </c>
      <c r="X5281" s="9">
        <v>22.864259828555831</v>
      </c>
      <c r="Y5281" s="9">
        <v>22.864259828555831</v>
      </c>
      <c r="Z5281" s="9">
        <v>25.323053608820352</v>
      </c>
      <c r="AA5281" s="9">
        <v>25.323053608820352</v>
      </c>
      <c r="AB5281" s="9">
        <v>28.021815637038035</v>
      </c>
      <c r="AC5281" s="9">
        <v>28.021815637038035</v>
      </c>
      <c r="AD5281" s="9">
        <v>30.863654196486234</v>
      </c>
      <c r="AE5281" s="9">
        <v>33.866973124126531</v>
      </c>
      <c r="AF5281" s="9">
        <v>37.052606032896897</v>
      </c>
      <c r="AG5281" s="9">
        <v>37.052606032896897</v>
      </c>
      <c r="AH5281" s="9">
        <v>39.965079814445566</v>
      </c>
      <c r="AI5281" s="9">
        <v>42.780649023864797</v>
      </c>
      <c r="AJ5281" s="9">
        <v>3.0428788910505911</v>
      </c>
    </row>
    <row r="5282" spans="1:36" x14ac:dyDescent="0.25">
      <c r="A5282" t="s">
        <v>5411</v>
      </c>
      <c r="B5282" t="s">
        <v>16</v>
      </c>
      <c r="C5282" t="s">
        <v>17</v>
      </c>
      <c r="D5282">
        <v>89245000</v>
      </c>
      <c r="E5282">
        <v>89246999</v>
      </c>
      <c r="F5282" t="s">
        <v>4787</v>
      </c>
      <c r="G5282" t="str">
        <f t="shared" si="164"/>
        <v>SCI II</v>
      </c>
      <c r="H5282" t="s">
        <v>4654</v>
      </c>
      <c r="I5282" t="s">
        <v>20</v>
      </c>
      <c r="J5282" t="s">
        <v>64</v>
      </c>
      <c r="K5282" s="6">
        <v>0.03</v>
      </c>
      <c r="L5282" s="7">
        <f t="shared" si="165"/>
        <v>2E-3</v>
      </c>
      <c r="M5282" s="7">
        <v>3.0000000000000001E-3</v>
      </c>
      <c r="N5282">
        <v>10</v>
      </c>
      <c r="O5282" s="8">
        <v>19.475693895950801</v>
      </c>
      <c r="P5282" s="9">
        <v>19.475693895950801</v>
      </c>
      <c r="Q5282" s="9">
        <v>19.475693895950801</v>
      </c>
      <c r="R5282" s="9">
        <v>20.024452706180426</v>
      </c>
      <c r="S5282" s="9">
        <v>20.875099128492941</v>
      </c>
      <c r="T5282" s="9">
        <v>21.733350185946453</v>
      </c>
      <c r="U5282" s="9">
        <v>23.861555618318132</v>
      </c>
      <c r="V5282" s="9">
        <v>23.861555618318132</v>
      </c>
      <c r="W5282" s="9">
        <v>23.861555618318132</v>
      </c>
      <c r="X5282" s="9">
        <v>26.599525609534091</v>
      </c>
      <c r="Y5282" s="9">
        <v>26.599525609534091</v>
      </c>
      <c r="Z5282" s="9">
        <v>29.424604823442099</v>
      </c>
      <c r="AA5282" s="9">
        <v>29.424604823442099</v>
      </c>
      <c r="AB5282" s="9">
        <v>32.345504182311352</v>
      </c>
      <c r="AC5282" s="9">
        <v>32.345504182311352</v>
      </c>
      <c r="AD5282" s="9">
        <v>37.073967958020759</v>
      </c>
      <c r="AE5282" s="9">
        <v>39.537280452065687</v>
      </c>
      <c r="AF5282" s="9">
        <v>42.115429646064094</v>
      </c>
      <c r="AG5282" s="9">
        <v>42.115429646064094</v>
      </c>
      <c r="AH5282" s="9">
        <v>45.566990204681431</v>
      </c>
      <c r="AI5282" s="9">
        <v>48.2081665036403</v>
      </c>
      <c r="AJ5282" s="9">
        <v>3.0428788910505911</v>
      </c>
    </row>
    <row r="5283" spans="1:36" x14ac:dyDescent="0.25">
      <c r="A5283" t="s">
        <v>5411</v>
      </c>
      <c r="B5283" t="s">
        <v>16</v>
      </c>
      <c r="C5283" t="s">
        <v>17</v>
      </c>
      <c r="D5283">
        <v>89247000</v>
      </c>
      <c r="E5283">
        <v>89247999</v>
      </c>
      <c r="F5283" t="s">
        <v>4788</v>
      </c>
      <c r="G5283" t="str">
        <f t="shared" si="164"/>
        <v>SCI II</v>
      </c>
      <c r="H5283" t="s">
        <v>4654</v>
      </c>
      <c r="I5283" t="s">
        <v>20</v>
      </c>
      <c r="J5283" t="s">
        <v>64</v>
      </c>
      <c r="K5283" s="6">
        <v>0.03</v>
      </c>
      <c r="L5283" s="7">
        <f t="shared" si="165"/>
        <v>2E-3</v>
      </c>
      <c r="M5283" s="7">
        <v>3.0000000000000001E-3</v>
      </c>
      <c r="N5283">
        <v>11</v>
      </c>
      <c r="O5283" s="8">
        <v>19.475693895950801</v>
      </c>
      <c r="P5283" s="9">
        <v>19.475693895950801</v>
      </c>
      <c r="Q5283" s="9">
        <v>19.475693895950801</v>
      </c>
      <c r="R5283" s="9">
        <v>20.024452706180426</v>
      </c>
      <c r="S5283" s="9">
        <v>20.875099128492941</v>
      </c>
      <c r="T5283" s="9">
        <v>21.733350185946453</v>
      </c>
      <c r="U5283" s="9">
        <v>23.861555618318132</v>
      </c>
      <c r="V5283" s="9">
        <v>23.861555618318132</v>
      </c>
      <c r="W5283" s="9">
        <v>23.861555618318132</v>
      </c>
      <c r="X5283" s="9">
        <v>26.599525609534091</v>
      </c>
      <c r="Y5283" s="9">
        <v>26.599525609534091</v>
      </c>
      <c r="Z5283" s="9">
        <v>29.424604823442099</v>
      </c>
      <c r="AA5283" s="9">
        <v>29.424604823442099</v>
      </c>
      <c r="AB5283" s="9">
        <v>32.345504182311352</v>
      </c>
      <c r="AC5283" s="9">
        <v>32.345504182311352</v>
      </c>
      <c r="AD5283" s="9">
        <v>37.073967958020759</v>
      </c>
      <c r="AE5283" s="9">
        <v>39.537280452065687</v>
      </c>
      <c r="AF5283" s="9">
        <v>42.115429646064094</v>
      </c>
      <c r="AG5283" s="9">
        <v>42.115429646064094</v>
      </c>
      <c r="AH5283" s="9">
        <v>45.566990204681431</v>
      </c>
      <c r="AI5283" s="9">
        <v>48.2081665036403</v>
      </c>
      <c r="AJ5283" s="9">
        <v>3.0428788910505911</v>
      </c>
    </row>
    <row r="5284" spans="1:36" x14ac:dyDescent="0.25">
      <c r="A5284" t="s">
        <v>5411</v>
      </c>
      <c r="B5284" t="s">
        <v>16</v>
      </c>
      <c r="C5284" t="s">
        <v>17</v>
      </c>
      <c r="D5284">
        <v>89248000</v>
      </c>
      <c r="E5284">
        <v>89248999</v>
      </c>
      <c r="F5284" t="s">
        <v>4789</v>
      </c>
      <c r="G5284" t="str">
        <f t="shared" si="164"/>
        <v>SCI II</v>
      </c>
      <c r="H5284" t="s">
        <v>4654</v>
      </c>
      <c r="I5284" t="s">
        <v>20</v>
      </c>
      <c r="J5284" t="s">
        <v>64</v>
      </c>
      <c r="K5284" s="6">
        <v>0.03</v>
      </c>
      <c r="L5284" s="7">
        <f t="shared" si="165"/>
        <v>2E-3</v>
      </c>
      <c r="M5284" s="7">
        <v>3.0000000000000001E-3</v>
      </c>
      <c r="N5284">
        <v>11</v>
      </c>
      <c r="O5284" s="8">
        <v>19.475693895950801</v>
      </c>
      <c r="P5284" s="9">
        <v>19.475693895950801</v>
      </c>
      <c r="Q5284" s="9">
        <v>19.475693895950801</v>
      </c>
      <c r="R5284" s="9">
        <v>20.024452706180426</v>
      </c>
      <c r="S5284" s="9">
        <v>20.875099128492941</v>
      </c>
      <c r="T5284" s="9">
        <v>21.733350185946453</v>
      </c>
      <c r="U5284" s="9">
        <v>23.861555618318132</v>
      </c>
      <c r="V5284" s="9">
        <v>23.861555618318132</v>
      </c>
      <c r="W5284" s="9">
        <v>23.861555618318132</v>
      </c>
      <c r="X5284" s="9">
        <v>26.599525609534091</v>
      </c>
      <c r="Y5284" s="9">
        <v>26.599525609534091</v>
      </c>
      <c r="Z5284" s="9">
        <v>29.424604823442099</v>
      </c>
      <c r="AA5284" s="9">
        <v>29.424604823442099</v>
      </c>
      <c r="AB5284" s="9">
        <v>32.345504182311352</v>
      </c>
      <c r="AC5284" s="9">
        <v>32.345504182311352</v>
      </c>
      <c r="AD5284" s="9">
        <v>37.073967958020759</v>
      </c>
      <c r="AE5284" s="9">
        <v>39.537280452065687</v>
      </c>
      <c r="AF5284" s="9">
        <v>42.115429646064094</v>
      </c>
      <c r="AG5284" s="9">
        <v>42.115429646064094</v>
      </c>
      <c r="AH5284" s="9">
        <v>45.566990204681431</v>
      </c>
      <c r="AI5284" s="9">
        <v>48.2081665036403</v>
      </c>
      <c r="AJ5284" s="9">
        <v>3.0428788910505911</v>
      </c>
    </row>
    <row r="5285" spans="1:36" x14ac:dyDescent="0.25">
      <c r="A5285" t="s">
        <v>5411</v>
      </c>
      <c r="B5285" t="s">
        <v>16</v>
      </c>
      <c r="C5285" t="s">
        <v>17</v>
      </c>
      <c r="D5285">
        <v>89249000</v>
      </c>
      <c r="E5285">
        <v>89249999</v>
      </c>
      <c r="F5285" t="s">
        <v>4790</v>
      </c>
      <c r="G5285" t="str">
        <f t="shared" si="164"/>
        <v>SCI II</v>
      </c>
      <c r="H5285" t="s">
        <v>4654</v>
      </c>
      <c r="I5285" t="s">
        <v>20</v>
      </c>
      <c r="J5285" t="s">
        <v>64</v>
      </c>
      <c r="K5285" s="6">
        <v>0.03</v>
      </c>
      <c r="L5285" s="7">
        <f t="shared" si="165"/>
        <v>2E-3</v>
      </c>
      <c r="M5285" s="7">
        <v>3.0000000000000001E-3</v>
      </c>
      <c r="N5285">
        <v>11</v>
      </c>
      <c r="O5285" s="8">
        <v>19.475693895950801</v>
      </c>
      <c r="P5285" s="9">
        <v>19.475693895950801</v>
      </c>
      <c r="Q5285" s="9">
        <v>19.475693895950801</v>
      </c>
      <c r="R5285" s="9">
        <v>20.024452706180426</v>
      </c>
      <c r="S5285" s="9">
        <v>20.875099128492941</v>
      </c>
      <c r="T5285" s="9">
        <v>21.733350185946453</v>
      </c>
      <c r="U5285" s="9">
        <v>23.861555618318132</v>
      </c>
      <c r="V5285" s="9">
        <v>23.861555618318132</v>
      </c>
      <c r="W5285" s="9">
        <v>23.861555618318132</v>
      </c>
      <c r="X5285" s="9">
        <v>26.599525609534091</v>
      </c>
      <c r="Y5285" s="9">
        <v>26.599525609534091</v>
      </c>
      <c r="Z5285" s="9">
        <v>29.424604823442099</v>
      </c>
      <c r="AA5285" s="9">
        <v>29.424604823442099</v>
      </c>
      <c r="AB5285" s="9">
        <v>32.345504182311352</v>
      </c>
      <c r="AC5285" s="9">
        <v>32.345504182311352</v>
      </c>
      <c r="AD5285" s="9">
        <v>37.073967958020759</v>
      </c>
      <c r="AE5285" s="9">
        <v>39.537280452065687</v>
      </c>
      <c r="AF5285" s="9">
        <v>42.115429646064094</v>
      </c>
      <c r="AG5285" s="9">
        <v>42.115429646064094</v>
      </c>
      <c r="AH5285" s="9">
        <v>45.566990204681431</v>
      </c>
      <c r="AI5285" s="9">
        <v>48.2081665036403</v>
      </c>
      <c r="AJ5285" s="9">
        <v>3.0428788910505911</v>
      </c>
    </row>
    <row r="5286" spans="1:36" x14ac:dyDescent="0.25">
      <c r="A5286" t="s">
        <v>5411</v>
      </c>
      <c r="B5286" t="s">
        <v>16</v>
      </c>
      <c r="C5286" t="s">
        <v>17</v>
      </c>
      <c r="D5286">
        <v>89250000</v>
      </c>
      <c r="E5286">
        <v>89269999</v>
      </c>
      <c r="F5286" t="s">
        <v>4791</v>
      </c>
      <c r="G5286" t="str">
        <f t="shared" si="164"/>
        <v>SCI</v>
      </c>
      <c r="H5286" t="s">
        <v>4654</v>
      </c>
      <c r="I5286" t="s">
        <v>20</v>
      </c>
      <c r="J5286" t="s">
        <v>62</v>
      </c>
      <c r="K5286" s="6">
        <v>0.03</v>
      </c>
      <c r="L5286" s="7">
        <f t="shared" si="165"/>
        <v>2E-3</v>
      </c>
      <c r="M5286" s="7">
        <v>3.0000000000000001E-3</v>
      </c>
      <c r="N5286">
        <v>9</v>
      </c>
      <c r="O5286" s="8">
        <v>16.631361039134706</v>
      </c>
      <c r="P5286" s="9">
        <v>16.631361039134706</v>
      </c>
      <c r="Q5286" s="9">
        <v>16.631361039134706</v>
      </c>
      <c r="R5286" s="9">
        <v>17.060180136455905</v>
      </c>
      <c r="S5286" s="9">
        <v>18.024171003933382</v>
      </c>
      <c r="T5286" s="9">
        <v>18.868116637328029</v>
      </c>
      <c r="U5286" s="9">
        <v>20.58817720770605</v>
      </c>
      <c r="V5286" s="9">
        <v>20.58817720770605</v>
      </c>
      <c r="W5286" s="9">
        <v>20.58817720770605</v>
      </c>
      <c r="X5286" s="9">
        <v>22.864259828555831</v>
      </c>
      <c r="Y5286" s="9">
        <v>22.864259828555831</v>
      </c>
      <c r="Z5286" s="9">
        <v>25.323053608820352</v>
      </c>
      <c r="AA5286" s="9">
        <v>25.323053608820352</v>
      </c>
      <c r="AB5286" s="9">
        <v>28.021815637038035</v>
      </c>
      <c r="AC5286" s="9">
        <v>28.021815637038035</v>
      </c>
      <c r="AD5286" s="9">
        <v>30.863654196486234</v>
      </c>
      <c r="AE5286" s="9">
        <v>33.866973124126531</v>
      </c>
      <c r="AF5286" s="9">
        <v>37.052606032896897</v>
      </c>
      <c r="AG5286" s="9">
        <v>37.052606032896897</v>
      </c>
      <c r="AH5286" s="9">
        <v>39.965079814445566</v>
      </c>
      <c r="AI5286" s="9">
        <v>42.780649023864797</v>
      </c>
      <c r="AJ5286" s="9">
        <v>3.0428788910505911</v>
      </c>
    </row>
    <row r="5287" spans="1:36" x14ac:dyDescent="0.25">
      <c r="A5287" t="s">
        <v>5411</v>
      </c>
      <c r="B5287" t="s">
        <v>16</v>
      </c>
      <c r="C5287" t="s">
        <v>17</v>
      </c>
      <c r="D5287">
        <v>89270000</v>
      </c>
      <c r="E5287">
        <v>89274999</v>
      </c>
      <c r="F5287" t="s">
        <v>4792</v>
      </c>
      <c r="G5287" t="str">
        <f t="shared" si="164"/>
        <v>SCI</v>
      </c>
      <c r="H5287" t="s">
        <v>4654</v>
      </c>
      <c r="I5287" t="s">
        <v>20</v>
      </c>
      <c r="J5287" t="s">
        <v>62</v>
      </c>
      <c r="K5287" s="6">
        <v>0.03</v>
      </c>
      <c r="L5287" s="7">
        <f t="shared" si="165"/>
        <v>2E-3</v>
      </c>
      <c r="M5287" s="7">
        <v>3.0000000000000001E-3</v>
      </c>
      <c r="N5287">
        <v>9</v>
      </c>
      <c r="O5287" s="8">
        <v>16.631361039134706</v>
      </c>
      <c r="P5287" s="9">
        <v>16.631361039134706</v>
      </c>
      <c r="Q5287" s="9">
        <v>16.631361039134706</v>
      </c>
      <c r="R5287" s="9">
        <v>17.060180136455905</v>
      </c>
      <c r="S5287" s="9">
        <v>18.024171003933382</v>
      </c>
      <c r="T5287" s="9">
        <v>18.868116637328029</v>
      </c>
      <c r="U5287" s="9">
        <v>20.58817720770605</v>
      </c>
      <c r="V5287" s="9">
        <v>20.58817720770605</v>
      </c>
      <c r="W5287" s="9">
        <v>20.58817720770605</v>
      </c>
      <c r="X5287" s="9">
        <v>22.864259828555831</v>
      </c>
      <c r="Y5287" s="9">
        <v>22.864259828555831</v>
      </c>
      <c r="Z5287" s="9">
        <v>25.323053608820352</v>
      </c>
      <c r="AA5287" s="9">
        <v>25.323053608820352</v>
      </c>
      <c r="AB5287" s="9">
        <v>28.021815637038035</v>
      </c>
      <c r="AC5287" s="9">
        <v>28.021815637038035</v>
      </c>
      <c r="AD5287" s="9">
        <v>30.863654196486234</v>
      </c>
      <c r="AE5287" s="9">
        <v>33.866973124126531</v>
      </c>
      <c r="AF5287" s="9">
        <v>37.052606032896897</v>
      </c>
      <c r="AG5287" s="9">
        <v>37.052606032896897</v>
      </c>
      <c r="AH5287" s="9">
        <v>39.965079814445566</v>
      </c>
      <c r="AI5287" s="9">
        <v>42.780649023864797</v>
      </c>
      <c r="AJ5287" s="9">
        <v>3.0428788910505911</v>
      </c>
    </row>
    <row r="5288" spans="1:36" x14ac:dyDescent="0.25">
      <c r="A5288" t="s">
        <v>5411</v>
      </c>
      <c r="B5288" t="s">
        <v>16</v>
      </c>
      <c r="C5288" t="s">
        <v>17</v>
      </c>
      <c r="D5288">
        <v>89275000</v>
      </c>
      <c r="E5288">
        <v>89277999</v>
      </c>
      <c r="F5288" t="s">
        <v>4793</v>
      </c>
      <c r="G5288" t="str">
        <f t="shared" si="164"/>
        <v>SCI II</v>
      </c>
      <c r="H5288" t="s">
        <v>4654</v>
      </c>
      <c r="I5288" t="s">
        <v>20</v>
      </c>
      <c r="J5288" t="s">
        <v>64</v>
      </c>
      <c r="K5288" s="6">
        <v>0.03</v>
      </c>
      <c r="L5288" s="7">
        <f t="shared" si="165"/>
        <v>2E-3</v>
      </c>
      <c r="M5288" s="7">
        <v>3.0000000000000001E-3</v>
      </c>
      <c r="N5288">
        <v>10</v>
      </c>
      <c r="O5288" s="8">
        <v>19.475693895950801</v>
      </c>
      <c r="P5288" s="9">
        <v>19.475693895950801</v>
      </c>
      <c r="Q5288" s="9">
        <v>19.475693895950801</v>
      </c>
      <c r="R5288" s="9">
        <v>20.024452706180426</v>
      </c>
      <c r="S5288" s="9">
        <v>20.875099128492941</v>
      </c>
      <c r="T5288" s="9">
        <v>21.733350185946453</v>
      </c>
      <c r="U5288" s="9">
        <v>23.861555618318132</v>
      </c>
      <c r="V5288" s="9">
        <v>23.861555618318132</v>
      </c>
      <c r="W5288" s="9">
        <v>23.861555618318132</v>
      </c>
      <c r="X5288" s="9">
        <v>26.599525609534091</v>
      </c>
      <c r="Y5288" s="9">
        <v>26.599525609534091</v>
      </c>
      <c r="Z5288" s="9">
        <v>29.424604823442099</v>
      </c>
      <c r="AA5288" s="9">
        <v>29.424604823442099</v>
      </c>
      <c r="AB5288" s="9">
        <v>32.345504182311352</v>
      </c>
      <c r="AC5288" s="9">
        <v>32.345504182311352</v>
      </c>
      <c r="AD5288" s="9">
        <v>37.073967958020759</v>
      </c>
      <c r="AE5288" s="9">
        <v>39.537280452065687</v>
      </c>
      <c r="AF5288" s="9">
        <v>42.115429646064094</v>
      </c>
      <c r="AG5288" s="9">
        <v>42.115429646064094</v>
      </c>
      <c r="AH5288" s="9">
        <v>45.566990204681431</v>
      </c>
      <c r="AI5288" s="9">
        <v>48.2081665036403</v>
      </c>
      <c r="AJ5288" s="9">
        <v>3.0428788910505911</v>
      </c>
    </row>
    <row r="5289" spans="1:36" x14ac:dyDescent="0.25">
      <c r="A5289" t="s">
        <v>5411</v>
      </c>
      <c r="B5289" t="s">
        <v>16</v>
      </c>
      <c r="C5289" t="s">
        <v>17</v>
      </c>
      <c r="D5289">
        <v>89278000</v>
      </c>
      <c r="E5289">
        <v>89279999</v>
      </c>
      <c r="F5289" t="s">
        <v>4794</v>
      </c>
      <c r="G5289" t="str">
        <f t="shared" si="164"/>
        <v>SCI II</v>
      </c>
      <c r="H5289" t="s">
        <v>4654</v>
      </c>
      <c r="I5289" t="s">
        <v>20</v>
      </c>
      <c r="J5289" t="s">
        <v>64</v>
      </c>
      <c r="K5289" s="6">
        <v>0.03</v>
      </c>
      <c r="L5289" s="7">
        <f t="shared" si="165"/>
        <v>2E-3</v>
      </c>
      <c r="M5289" s="7">
        <v>3.0000000000000001E-3</v>
      </c>
      <c r="N5289">
        <v>10</v>
      </c>
      <c r="O5289" s="8">
        <v>19.475693895950801</v>
      </c>
      <c r="P5289" s="9">
        <v>19.475693895950801</v>
      </c>
      <c r="Q5289" s="9">
        <v>19.475693895950801</v>
      </c>
      <c r="R5289" s="9">
        <v>20.024452706180426</v>
      </c>
      <c r="S5289" s="9">
        <v>20.875099128492941</v>
      </c>
      <c r="T5289" s="9">
        <v>21.733350185946453</v>
      </c>
      <c r="U5289" s="9">
        <v>23.861555618318132</v>
      </c>
      <c r="V5289" s="9">
        <v>23.861555618318132</v>
      </c>
      <c r="W5289" s="9">
        <v>23.861555618318132</v>
      </c>
      <c r="X5289" s="9">
        <v>26.599525609534091</v>
      </c>
      <c r="Y5289" s="9">
        <v>26.599525609534091</v>
      </c>
      <c r="Z5289" s="9">
        <v>29.424604823442099</v>
      </c>
      <c r="AA5289" s="9">
        <v>29.424604823442099</v>
      </c>
      <c r="AB5289" s="9">
        <v>32.345504182311352</v>
      </c>
      <c r="AC5289" s="9">
        <v>32.345504182311352</v>
      </c>
      <c r="AD5289" s="9">
        <v>37.073967958020759</v>
      </c>
      <c r="AE5289" s="9">
        <v>39.537280452065687</v>
      </c>
      <c r="AF5289" s="9">
        <v>42.115429646064094</v>
      </c>
      <c r="AG5289" s="9">
        <v>42.115429646064094</v>
      </c>
      <c r="AH5289" s="9">
        <v>45.566990204681431</v>
      </c>
      <c r="AI5289" s="9">
        <v>48.2081665036403</v>
      </c>
      <c r="AJ5289" s="9">
        <v>3.0428788910505911</v>
      </c>
    </row>
    <row r="5290" spans="1:36" x14ac:dyDescent="0.25">
      <c r="A5290" t="s">
        <v>5411</v>
      </c>
      <c r="B5290" t="s">
        <v>16</v>
      </c>
      <c r="C5290" t="s">
        <v>17</v>
      </c>
      <c r="D5290">
        <v>89280000</v>
      </c>
      <c r="E5290">
        <v>89293999</v>
      </c>
      <c r="F5290" t="s">
        <v>4795</v>
      </c>
      <c r="G5290" t="str">
        <f t="shared" si="164"/>
        <v>SCI</v>
      </c>
      <c r="H5290" t="s">
        <v>4654</v>
      </c>
      <c r="I5290" t="s">
        <v>20</v>
      </c>
      <c r="J5290" t="s">
        <v>62</v>
      </c>
      <c r="K5290" s="6">
        <v>0.03</v>
      </c>
      <c r="L5290" s="7">
        <f t="shared" si="165"/>
        <v>2E-3</v>
      </c>
      <c r="M5290" s="7">
        <v>3.0000000000000001E-3</v>
      </c>
      <c r="N5290">
        <v>10</v>
      </c>
      <c r="O5290" s="8">
        <v>16.631361039134706</v>
      </c>
      <c r="P5290" s="9">
        <v>16.631361039134706</v>
      </c>
      <c r="Q5290" s="9">
        <v>16.631361039134706</v>
      </c>
      <c r="R5290" s="9">
        <v>17.060180136455905</v>
      </c>
      <c r="S5290" s="9">
        <v>18.024171003933382</v>
      </c>
      <c r="T5290" s="9">
        <v>18.868116637328029</v>
      </c>
      <c r="U5290" s="9">
        <v>20.58817720770605</v>
      </c>
      <c r="V5290" s="9">
        <v>20.58817720770605</v>
      </c>
      <c r="W5290" s="9">
        <v>20.58817720770605</v>
      </c>
      <c r="X5290" s="9">
        <v>22.864259828555831</v>
      </c>
      <c r="Y5290" s="9">
        <v>22.864259828555831</v>
      </c>
      <c r="Z5290" s="9">
        <v>25.323053608820352</v>
      </c>
      <c r="AA5290" s="9">
        <v>25.323053608820352</v>
      </c>
      <c r="AB5290" s="9">
        <v>28.021815637038035</v>
      </c>
      <c r="AC5290" s="9">
        <v>28.021815637038035</v>
      </c>
      <c r="AD5290" s="9">
        <v>30.863654196486234</v>
      </c>
      <c r="AE5290" s="9">
        <v>33.866973124126531</v>
      </c>
      <c r="AF5290" s="9">
        <v>37.052606032896897</v>
      </c>
      <c r="AG5290" s="9">
        <v>37.052606032896897</v>
      </c>
      <c r="AH5290" s="9">
        <v>39.965079814445566</v>
      </c>
      <c r="AI5290" s="9">
        <v>42.780649023864797</v>
      </c>
      <c r="AJ5290" s="9">
        <v>3.0428788910505911</v>
      </c>
    </row>
    <row r="5291" spans="1:36" x14ac:dyDescent="0.25">
      <c r="A5291" t="s">
        <v>5411</v>
      </c>
      <c r="B5291" t="s">
        <v>16</v>
      </c>
      <c r="C5291" t="s">
        <v>17</v>
      </c>
      <c r="D5291">
        <v>89294000</v>
      </c>
      <c r="E5291">
        <v>89294999</v>
      </c>
      <c r="F5291" t="s">
        <v>2386</v>
      </c>
      <c r="G5291" t="str">
        <f t="shared" si="164"/>
        <v>SCI II</v>
      </c>
      <c r="H5291" t="s">
        <v>4654</v>
      </c>
      <c r="I5291" t="s">
        <v>20</v>
      </c>
      <c r="J5291" t="s">
        <v>64</v>
      </c>
      <c r="K5291" s="6">
        <v>0.03</v>
      </c>
      <c r="L5291" s="7">
        <f t="shared" si="165"/>
        <v>2E-3</v>
      </c>
      <c r="M5291" s="7">
        <v>3.0000000000000001E-3</v>
      </c>
      <c r="N5291">
        <v>11</v>
      </c>
      <c r="O5291" s="8">
        <v>19.475693895950801</v>
      </c>
      <c r="P5291" s="9">
        <v>19.475693895950801</v>
      </c>
      <c r="Q5291" s="9">
        <v>19.475693895950801</v>
      </c>
      <c r="R5291" s="9">
        <v>20.024452706180426</v>
      </c>
      <c r="S5291" s="9">
        <v>20.875099128492941</v>
      </c>
      <c r="T5291" s="9">
        <v>21.733350185946453</v>
      </c>
      <c r="U5291" s="9">
        <v>23.861555618318132</v>
      </c>
      <c r="V5291" s="9">
        <v>23.861555618318132</v>
      </c>
      <c r="W5291" s="9">
        <v>23.861555618318132</v>
      </c>
      <c r="X5291" s="9">
        <v>26.599525609534091</v>
      </c>
      <c r="Y5291" s="9">
        <v>26.599525609534091</v>
      </c>
      <c r="Z5291" s="9">
        <v>29.424604823442099</v>
      </c>
      <c r="AA5291" s="9">
        <v>29.424604823442099</v>
      </c>
      <c r="AB5291" s="9">
        <v>32.345504182311352</v>
      </c>
      <c r="AC5291" s="9">
        <v>32.345504182311352</v>
      </c>
      <c r="AD5291" s="9">
        <v>37.073967958020759</v>
      </c>
      <c r="AE5291" s="9">
        <v>39.537280452065687</v>
      </c>
      <c r="AF5291" s="9">
        <v>42.115429646064094</v>
      </c>
      <c r="AG5291" s="9">
        <v>42.115429646064094</v>
      </c>
      <c r="AH5291" s="9">
        <v>45.566990204681431</v>
      </c>
      <c r="AI5291" s="9">
        <v>48.2081665036403</v>
      </c>
      <c r="AJ5291" s="9">
        <v>3.0428788910505911</v>
      </c>
    </row>
    <row r="5292" spans="1:36" x14ac:dyDescent="0.25">
      <c r="A5292" t="s">
        <v>5411</v>
      </c>
      <c r="B5292" t="s">
        <v>16</v>
      </c>
      <c r="C5292" t="s">
        <v>17</v>
      </c>
      <c r="D5292">
        <v>89295000</v>
      </c>
      <c r="E5292">
        <v>89299999</v>
      </c>
      <c r="F5292" t="s">
        <v>4796</v>
      </c>
      <c r="G5292" t="str">
        <f t="shared" si="164"/>
        <v>SCI</v>
      </c>
      <c r="H5292" t="s">
        <v>4654</v>
      </c>
      <c r="I5292" t="s">
        <v>20</v>
      </c>
      <c r="J5292" t="s">
        <v>62</v>
      </c>
      <c r="K5292" s="6">
        <v>0.03</v>
      </c>
      <c r="L5292" s="7">
        <f t="shared" si="165"/>
        <v>2E-3</v>
      </c>
      <c r="M5292" s="7">
        <v>3.0000000000000001E-3</v>
      </c>
      <c r="N5292">
        <v>10</v>
      </c>
      <c r="O5292" s="8">
        <v>16.631361039134706</v>
      </c>
      <c r="P5292" s="9">
        <v>16.631361039134706</v>
      </c>
      <c r="Q5292" s="9">
        <v>16.631361039134706</v>
      </c>
      <c r="R5292" s="9">
        <v>17.060180136455905</v>
      </c>
      <c r="S5292" s="9">
        <v>18.024171003933382</v>
      </c>
      <c r="T5292" s="9">
        <v>18.868116637328029</v>
      </c>
      <c r="U5292" s="9">
        <v>20.58817720770605</v>
      </c>
      <c r="V5292" s="9">
        <v>20.58817720770605</v>
      </c>
      <c r="W5292" s="9">
        <v>20.58817720770605</v>
      </c>
      <c r="X5292" s="9">
        <v>22.864259828555831</v>
      </c>
      <c r="Y5292" s="9">
        <v>22.864259828555831</v>
      </c>
      <c r="Z5292" s="9">
        <v>25.323053608820352</v>
      </c>
      <c r="AA5292" s="9">
        <v>25.323053608820352</v>
      </c>
      <c r="AB5292" s="9">
        <v>28.021815637038035</v>
      </c>
      <c r="AC5292" s="9">
        <v>28.021815637038035</v>
      </c>
      <c r="AD5292" s="9">
        <v>30.863654196486234</v>
      </c>
      <c r="AE5292" s="9">
        <v>33.866973124126531</v>
      </c>
      <c r="AF5292" s="9">
        <v>37.052606032896897</v>
      </c>
      <c r="AG5292" s="9">
        <v>37.052606032896897</v>
      </c>
      <c r="AH5292" s="9">
        <v>39.965079814445566</v>
      </c>
      <c r="AI5292" s="9">
        <v>42.780649023864797</v>
      </c>
      <c r="AJ5292" s="9">
        <v>3.0428788910505911</v>
      </c>
    </row>
    <row r="5293" spans="1:36" x14ac:dyDescent="0.25">
      <c r="A5293" t="s">
        <v>5411</v>
      </c>
      <c r="B5293" t="s">
        <v>16</v>
      </c>
      <c r="C5293" t="s">
        <v>17</v>
      </c>
      <c r="D5293">
        <v>89300000</v>
      </c>
      <c r="E5293">
        <v>89339999</v>
      </c>
      <c r="F5293" t="s">
        <v>4797</v>
      </c>
      <c r="G5293" t="str">
        <f t="shared" si="164"/>
        <v>SCI</v>
      </c>
      <c r="H5293" t="s">
        <v>4654</v>
      </c>
      <c r="I5293" t="s">
        <v>20</v>
      </c>
      <c r="J5293" t="s">
        <v>62</v>
      </c>
      <c r="K5293" s="6">
        <v>0.03</v>
      </c>
      <c r="L5293" s="7">
        <f t="shared" si="165"/>
        <v>2E-3</v>
      </c>
      <c r="M5293" s="7">
        <v>3.0000000000000001E-3</v>
      </c>
      <c r="N5293">
        <v>9</v>
      </c>
      <c r="O5293" s="8">
        <v>16.631361039134706</v>
      </c>
      <c r="P5293" s="9">
        <v>16.631361039134706</v>
      </c>
      <c r="Q5293" s="9">
        <v>16.631361039134706</v>
      </c>
      <c r="R5293" s="9">
        <v>17.060180136455905</v>
      </c>
      <c r="S5293" s="9">
        <v>18.024171003933382</v>
      </c>
      <c r="T5293" s="9">
        <v>18.868116637328029</v>
      </c>
      <c r="U5293" s="9">
        <v>20.58817720770605</v>
      </c>
      <c r="V5293" s="9">
        <v>20.58817720770605</v>
      </c>
      <c r="W5293" s="9">
        <v>20.58817720770605</v>
      </c>
      <c r="X5293" s="9">
        <v>22.864259828555831</v>
      </c>
      <c r="Y5293" s="9">
        <v>22.864259828555831</v>
      </c>
      <c r="Z5293" s="9">
        <v>25.323053608820352</v>
      </c>
      <c r="AA5293" s="9">
        <v>25.323053608820352</v>
      </c>
      <c r="AB5293" s="9">
        <v>28.021815637038035</v>
      </c>
      <c r="AC5293" s="9">
        <v>28.021815637038035</v>
      </c>
      <c r="AD5293" s="9">
        <v>30.863654196486234</v>
      </c>
      <c r="AE5293" s="9">
        <v>33.866973124126531</v>
      </c>
      <c r="AF5293" s="9">
        <v>37.052606032896897</v>
      </c>
      <c r="AG5293" s="9">
        <v>37.052606032896897</v>
      </c>
      <c r="AH5293" s="9">
        <v>39.965079814445566</v>
      </c>
      <c r="AI5293" s="9">
        <v>42.780649023864797</v>
      </c>
      <c r="AJ5293" s="9">
        <v>3.0428788910505911</v>
      </c>
    </row>
    <row r="5294" spans="1:36" x14ac:dyDescent="0.25">
      <c r="A5294" t="s">
        <v>5411</v>
      </c>
      <c r="B5294" t="s">
        <v>16</v>
      </c>
      <c r="C5294" t="s">
        <v>17</v>
      </c>
      <c r="D5294">
        <v>89340000</v>
      </c>
      <c r="E5294">
        <v>89369999</v>
      </c>
      <c r="F5294" t="s">
        <v>4798</v>
      </c>
      <c r="G5294" t="str">
        <f t="shared" si="164"/>
        <v>SCI II</v>
      </c>
      <c r="H5294" t="s">
        <v>4654</v>
      </c>
      <c r="I5294" t="s">
        <v>20</v>
      </c>
      <c r="J5294" t="s">
        <v>64</v>
      </c>
      <c r="K5294" s="6">
        <v>0.03</v>
      </c>
      <c r="L5294" s="7">
        <f t="shared" si="165"/>
        <v>2E-3</v>
      </c>
      <c r="M5294" s="7">
        <v>3.0000000000000001E-3</v>
      </c>
      <c r="N5294">
        <v>10</v>
      </c>
      <c r="O5294" s="8">
        <v>19.475693895950801</v>
      </c>
      <c r="P5294" s="9">
        <v>19.475693895950801</v>
      </c>
      <c r="Q5294" s="9">
        <v>19.475693895950801</v>
      </c>
      <c r="R5294" s="9">
        <v>20.024452706180426</v>
      </c>
      <c r="S5294" s="9">
        <v>20.875099128492941</v>
      </c>
      <c r="T5294" s="9">
        <v>21.733350185946453</v>
      </c>
      <c r="U5294" s="9">
        <v>23.861555618318132</v>
      </c>
      <c r="V5294" s="9">
        <v>23.861555618318132</v>
      </c>
      <c r="W5294" s="9">
        <v>23.861555618318132</v>
      </c>
      <c r="X5294" s="9">
        <v>26.599525609534091</v>
      </c>
      <c r="Y5294" s="9">
        <v>26.599525609534091</v>
      </c>
      <c r="Z5294" s="9">
        <v>29.424604823442099</v>
      </c>
      <c r="AA5294" s="9">
        <v>29.424604823442099</v>
      </c>
      <c r="AB5294" s="9">
        <v>32.345504182311352</v>
      </c>
      <c r="AC5294" s="9">
        <v>32.345504182311352</v>
      </c>
      <c r="AD5294" s="9">
        <v>37.073967958020759</v>
      </c>
      <c r="AE5294" s="9">
        <v>39.537280452065687</v>
      </c>
      <c r="AF5294" s="9">
        <v>42.115429646064094</v>
      </c>
      <c r="AG5294" s="9">
        <v>42.115429646064094</v>
      </c>
      <c r="AH5294" s="9">
        <v>45.566990204681431</v>
      </c>
      <c r="AI5294" s="9">
        <v>48.2081665036403</v>
      </c>
      <c r="AJ5294" s="9">
        <v>3.0428788910505911</v>
      </c>
    </row>
    <row r="5295" spans="1:36" x14ac:dyDescent="0.25">
      <c r="A5295" t="s">
        <v>5411</v>
      </c>
      <c r="B5295" t="s">
        <v>16</v>
      </c>
      <c r="C5295" t="s">
        <v>17</v>
      </c>
      <c r="D5295">
        <v>89370000</v>
      </c>
      <c r="E5295">
        <v>89379999</v>
      </c>
      <c r="F5295" t="s">
        <v>4799</v>
      </c>
      <c r="G5295" t="str">
        <f t="shared" si="164"/>
        <v>SCI II</v>
      </c>
      <c r="H5295" t="s">
        <v>4654</v>
      </c>
      <c r="I5295" t="s">
        <v>20</v>
      </c>
      <c r="J5295" t="s">
        <v>64</v>
      </c>
      <c r="K5295" s="6">
        <v>0.03</v>
      </c>
      <c r="L5295" s="7">
        <f t="shared" si="165"/>
        <v>2E-3</v>
      </c>
      <c r="M5295" s="7">
        <v>3.0000000000000001E-3</v>
      </c>
      <c r="N5295">
        <v>10</v>
      </c>
      <c r="O5295" s="8">
        <v>19.475693895950801</v>
      </c>
      <c r="P5295" s="9">
        <v>19.475693895950801</v>
      </c>
      <c r="Q5295" s="9">
        <v>19.475693895950801</v>
      </c>
      <c r="R5295" s="9">
        <v>20.024452706180426</v>
      </c>
      <c r="S5295" s="9">
        <v>20.875099128492941</v>
      </c>
      <c r="T5295" s="9">
        <v>21.733350185946453</v>
      </c>
      <c r="U5295" s="9">
        <v>23.861555618318132</v>
      </c>
      <c r="V5295" s="9">
        <v>23.861555618318132</v>
      </c>
      <c r="W5295" s="9">
        <v>23.861555618318132</v>
      </c>
      <c r="X5295" s="9">
        <v>26.599525609534091</v>
      </c>
      <c r="Y5295" s="9">
        <v>26.599525609534091</v>
      </c>
      <c r="Z5295" s="9">
        <v>29.424604823442099</v>
      </c>
      <c r="AA5295" s="9">
        <v>29.424604823442099</v>
      </c>
      <c r="AB5295" s="9">
        <v>32.345504182311352</v>
      </c>
      <c r="AC5295" s="9">
        <v>32.345504182311352</v>
      </c>
      <c r="AD5295" s="9">
        <v>37.073967958020759</v>
      </c>
      <c r="AE5295" s="9">
        <v>39.537280452065687</v>
      </c>
      <c r="AF5295" s="9">
        <v>42.115429646064094</v>
      </c>
      <c r="AG5295" s="9">
        <v>42.115429646064094</v>
      </c>
      <c r="AH5295" s="9">
        <v>45.566990204681431</v>
      </c>
      <c r="AI5295" s="9">
        <v>48.2081665036403</v>
      </c>
      <c r="AJ5295" s="9">
        <v>3.0428788910505911</v>
      </c>
    </row>
    <row r="5296" spans="1:36" x14ac:dyDescent="0.25">
      <c r="A5296" t="s">
        <v>5411</v>
      </c>
      <c r="B5296" t="s">
        <v>16</v>
      </c>
      <c r="C5296" t="s">
        <v>17</v>
      </c>
      <c r="D5296">
        <v>89380000</v>
      </c>
      <c r="E5296">
        <v>89399999</v>
      </c>
      <c r="F5296" t="s">
        <v>521</v>
      </c>
      <c r="G5296" t="str">
        <f t="shared" si="164"/>
        <v>SCI II</v>
      </c>
      <c r="H5296" t="s">
        <v>4654</v>
      </c>
      <c r="I5296" t="s">
        <v>20</v>
      </c>
      <c r="J5296" t="s">
        <v>64</v>
      </c>
      <c r="K5296" s="6">
        <v>0.03</v>
      </c>
      <c r="L5296" s="7">
        <f t="shared" si="165"/>
        <v>2E-3</v>
      </c>
      <c r="M5296" s="7">
        <v>3.0000000000000001E-3</v>
      </c>
      <c r="N5296">
        <v>10</v>
      </c>
      <c r="O5296" s="8">
        <v>19.475693895950801</v>
      </c>
      <c r="P5296" s="9">
        <v>19.475693895950801</v>
      </c>
      <c r="Q5296" s="9">
        <v>19.475693895950801</v>
      </c>
      <c r="R5296" s="9">
        <v>20.024452706180426</v>
      </c>
      <c r="S5296" s="9">
        <v>20.875099128492941</v>
      </c>
      <c r="T5296" s="9">
        <v>21.733350185946453</v>
      </c>
      <c r="U5296" s="9">
        <v>23.861555618318132</v>
      </c>
      <c r="V5296" s="9">
        <v>23.861555618318132</v>
      </c>
      <c r="W5296" s="9">
        <v>23.861555618318132</v>
      </c>
      <c r="X5296" s="9">
        <v>26.599525609534091</v>
      </c>
      <c r="Y5296" s="9">
        <v>26.599525609534091</v>
      </c>
      <c r="Z5296" s="9">
        <v>29.424604823442099</v>
      </c>
      <c r="AA5296" s="9">
        <v>29.424604823442099</v>
      </c>
      <c r="AB5296" s="9">
        <v>32.345504182311352</v>
      </c>
      <c r="AC5296" s="9">
        <v>32.345504182311352</v>
      </c>
      <c r="AD5296" s="9">
        <v>37.073967958020759</v>
      </c>
      <c r="AE5296" s="9">
        <v>39.537280452065687</v>
      </c>
      <c r="AF5296" s="9">
        <v>42.115429646064094</v>
      </c>
      <c r="AG5296" s="9">
        <v>42.115429646064094</v>
      </c>
      <c r="AH5296" s="9">
        <v>45.566990204681431</v>
      </c>
      <c r="AI5296" s="9">
        <v>48.2081665036403</v>
      </c>
      <c r="AJ5296" s="9">
        <v>3.0428788910505911</v>
      </c>
    </row>
    <row r="5297" spans="1:36" x14ac:dyDescent="0.25">
      <c r="A5297" t="s">
        <v>5411</v>
      </c>
      <c r="B5297" t="s">
        <v>16</v>
      </c>
      <c r="C5297" t="s">
        <v>17</v>
      </c>
      <c r="D5297">
        <v>89400000</v>
      </c>
      <c r="E5297">
        <v>89419999</v>
      </c>
      <c r="F5297" t="s">
        <v>4800</v>
      </c>
      <c r="G5297" t="str">
        <f t="shared" si="164"/>
        <v>SCI</v>
      </c>
      <c r="H5297" t="s">
        <v>4654</v>
      </c>
      <c r="I5297" t="s">
        <v>20</v>
      </c>
      <c r="J5297" t="s">
        <v>62</v>
      </c>
      <c r="K5297" s="6">
        <v>0.03</v>
      </c>
      <c r="L5297" s="7">
        <f t="shared" si="165"/>
        <v>2E-3</v>
      </c>
      <c r="M5297" s="7">
        <v>3.0000000000000001E-3</v>
      </c>
      <c r="N5297">
        <v>10</v>
      </c>
      <c r="O5297" s="8">
        <v>16.631361039134706</v>
      </c>
      <c r="P5297" s="9">
        <v>16.631361039134706</v>
      </c>
      <c r="Q5297" s="9">
        <v>16.631361039134706</v>
      </c>
      <c r="R5297" s="9">
        <v>17.060180136455905</v>
      </c>
      <c r="S5297" s="9">
        <v>18.024171003933382</v>
      </c>
      <c r="T5297" s="9">
        <v>18.868116637328029</v>
      </c>
      <c r="U5297" s="9">
        <v>20.58817720770605</v>
      </c>
      <c r="V5297" s="9">
        <v>20.58817720770605</v>
      </c>
      <c r="W5297" s="9">
        <v>20.58817720770605</v>
      </c>
      <c r="X5297" s="9">
        <v>22.864259828555831</v>
      </c>
      <c r="Y5297" s="9">
        <v>22.864259828555831</v>
      </c>
      <c r="Z5297" s="9">
        <v>25.323053608820352</v>
      </c>
      <c r="AA5297" s="9">
        <v>25.323053608820352</v>
      </c>
      <c r="AB5297" s="9">
        <v>28.021815637038035</v>
      </c>
      <c r="AC5297" s="9">
        <v>28.021815637038035</v>
      </c>
      <c r="AD5297" s="9">
        <v>30.863654196486234</v>
      </c>
      <c r="AE5297" s="9">
        <v>33.866973124126531</v>
      </c>
      <c r="AF5297" s="9">
        <v>37.052606032896897</v>
      </c>
      <c r="AG5297" s="9">
        <v>37.052606032896897</v>
      </c>
      <c r="AH5297" s="9">
        <v>39.965079814445566</v>
      </c>
      <c r="AI5297" s="9">
        <v>42.780649023864797</v>
      </c>
      <c r="AJ5297" s="9">
        <v>3.0428788910505911</v>
      </c>
    </row>
    <row r="5298" spans="1:36" x14ac:dyDescent="0.25">
      <c r="A5298" t="s">
        <v>5411</v>
      </c>
      <c r="B5298" t="s">
        <v>16</v>
      </c>
      <c r="C5298" t="s">
        <v>17</v>
      </c>
      <c r="D5298">
        <v>89420000</v>
      </c>
      <c r="E5298">
        <v>89429999</v>
      </c>
      <c r="F5298" t="s">
        <v>4801</v>
      </c>
      <c r="G5298" t="str">
        <f t="shared" si="164"/>
        <v>SCI II</v>
      </c>
      <c r="H5298" t="s">
        <v>4654</v>
      </c>
      <c r="I5298" t="s">
        <v>20</v>
      </c>
      <c r="J5298" t="s">
        <v>64</v>
      </c>
      <c r="K5298" s="6">
        <v>0.03</v>
      </c>
      <c r="L5298" s="7">
        <f t="shared" si="165"/>
        <v>2E-3</v>
      </c>
      <c r="M5298" s="7">
        <v>3.0000000000000001E-3</v>
      </c>
      <c r="N5298">
        <v>11</v>
      </c>
      <c r="O5298" s="8">
        <v>19.475693895950801</v>
      </c>
      <c r="P5298" s="9">
        <v>19.475693895950801</v>
      </c>
      <c r="Q5298" s="9">
        <v>19.475693895950801</v>
      </c>
      <c r="R5298" s="9">
        <v>20.024452706180426</v>
      </c>
      <c r="S5298" s="9">
        <v>20.875099128492941</v>
      </c>
      <c r="T5298" s="9">
        <v>21.733350185946453</v>
      </c>
      <c r="U5298" s="9">
        <v>23.861555618318132</v>
      </c>
      <c r="V5298" s="9">
        <v>23.861555618318132</v>
      </c>
      <c r="W5298" s="9">
        <v>23.861555618318132</v>
      </c>
      <c r="X5298" s="9">
        <v>26.599525609534091</v>
      </c>
      <c r="Y5298" s="9">
        <v>26.599525609534091</v>
      </c>
      <c r="Z5298" s="9">
        <v>29.424604823442099</v>
      </c>
      <c r="AA5298" s="9">
        <v>29.424604823442099</v>
      </c>
      <c r="AB5298" s="9">
        <v>32.345504182311352</v>
      </c>
      <c r="AC5298" s="9">
        <v>32.345504182311352</v>
      </c>
      <c r="AD5298" s="9">
        <v>37.073967958020759</v>
      </c>
      <c r="AE5298" s="9">
        <v>39.537280452065687</v>
      </c>
      <c r="AF5298" s="9">
        <v>42.115429646064094</v>
      </c>
      <c r="AG5298" s="9">
        <v>42.115429646064094</v>
      </c>
      <c r="AH5298" s="9">
        <v>45.566990204681431</v>
      </c>
      <c r="AI5298" s="9">
        <v>48.2081665036403</v>
      </c>
      <c r="AJ5298" s="9">
        <v>3.0428788910505911</v>
      </c>
    </row>
    <row r="5299" spans="1:36" x14ac:dyDescent="0.25">
      <c r="A5299" t="s">
        <v>5411</v>
      </c>
      <c r="B5299" t="s">
        <v>16</v>
      </c>
      <c r="C5299" t="s">
        <v>17</v>
      </c>
      <c r="D5299">
        <v>89430000</v>
      </c>
      <c r="E5299">
        <v>89439999</v>
      </c>
      <c r="F5299" t="s">
        <v>4802</v>
      </c>
      <c r="G5299" t="str">
        <f t="shared" si="164"/>
        <v>SCI II</v>
      </c>
      <c r="H5299" t="s">
        <v>4654</v>
      </c>
      <c r="I5299" t="s">
        <v>20</v>
      </c>
      <c r="J5299" t="s">
        <v>64</v>
      </c>
      <c r="K5299" s="6">
        <v>0.03</v>
      </c>
      <c r="L5299" s="7">
        <f t="shared" si="165"/>
        <v>2E-3</v>
      </c>
      <c r="M5299" s="7">
        <v>3.0000000000000001E-3</v>
      </c>
      <c r="N5299">
        <v>11</v>
      </c>
      <c r="O5299" s="8">
        <v>19.475693895950801</v>
      </c>
      <c r="P5299" s="9">
        <v>19.475693895950801</v>
      </c>
      <c r="Q5299" s="9">
        <v>19.475693895950801</v>
      </c>
      <c r="R5299" s="9">
        <v>20.024452706180426</v>
      </c>
      <c r="S5299" s="9">
        <v>20.875099128492941</v>
      </c>
      <c r="T5299" s="9">
        <v>21.733350185946453</v>
      </c>
      <c r="U5299" s="9">
        <v>23.861555618318132</v>
      </c>
      <c r="V5299" s="9">
        <v>23.861555618318132</v>
      </c>
      <c r="W5299" s="9">
        <v>23.861555618318132</v>
      </c>
      <c r="X5299" s="9">
        <v>26.599525609534091</v>
      </c>
      <c r="Y5299" s="9">
        <v>26.599525609534091</v>
      </c>
      <c r="Z5299" s="9">
        <v>29.424604823442099</v>
      </c>
      <c r="AA5299" s="9">
        <v>29.424604823442099</v>
      </c>
      <c r="AB5299" s="9">
        <v>32.345504182311352</v>
      </c>
      <c r="AC5299" s="9">
        <v>32.345504182311352</v>
      </c>
      <c r="AD5299" s="9">
        <v>37.073967958020759</v>
      </c>
      <c r="AE5299" s="9">
        <v>39.537280452065687</v>
      </c>
      <c r="AF5299" s="9">
        <v>42.115429646064094</v>
      </c>
      <c r="AG5299" s="9">
        <v>42.115429646064094</v>
      </c>
      <c r="AH5299" s="9">
        <v>45.566990204681431</v>
      </c>
      <c r="AI5299" s="9">
        <v>48.2081665036403</v>
      </c>
      <c r="AJ5299" s="9">
        <v>3.0428788910505911</v>
      </c>
    </row>
    <row r="5300" spans="1:36" x14ac:dyDescent="0.25">
      <c r="A5300" t="s">
        <v>5411</v>
      </c>
      <c r="B5300" t="s">
        <v>16</v>
      </c>
      <c r="C5300" t="s">
        <v>17</v>
      </c>
      <c r="D5300">
        <v>89440000</v>
      </c>
      <c r="E5300">
        <v>89459999</v>
      </c>
      <c r="F5300" t="s">
        <v>4803</v>
      </c>
      <c r="G5300" t="str">
        <f t="shared" si="164"/>
        <v>SCI II</v>
      </c>
      <c r="H5300" t="s">
        <v>4654</v>
      </c>
      <c r="I5300" t="s">
        <v>20</v>
      </c>
      <c r="J5300" t="s">
        <v>64</v>
      </c>
      <c r="K5300" s="6">
        <v>0.03</v>
      </c>
      <c r="L5300" s="7">
        <f t="shared" si="165"/>
        <v>2E-3</v>
      </c>
      <c r="M5300" s="7">
        <v>3.0000000000000001E-3</v>
      </c>
      <c r="N5300">
        <v>11</v>
      </c>
      <c r="O5300" s="8">
        <v>19.475693895950801</v>
      </c>
      <c r="P5300" s="9">
        <v>19.475693895950801</v>
      </c>
      <c r="Q5300" s="9">
        <v>19.475693895950801</v>
      </c>
      <c r="R5300" s="9">
        <v>20.024452706180426</v>
      </c>
      <c r="S5300" s="9">
        <v>20.875099128492941</v>
      </c>
      <c r="T5300" s="9">
        <v>21.733350185946453</v>
      </c>
      <c r="U5300" s="9">
        <v>23.861555618318132</v>
      </c>
      <c r="V5300" s="9">
        <v>23.861555618318132</v>
      </c>
      <c r="W5300" s="9">
        <v>23.861555618318132</v>
      </c>
      <c r="X5300" s="9">
        <v>26.599525609534091</v>
      </c>
      <c r="Y5300" s="9">
        <v>26.599525609534091</v>
      </c>
      <c r="Z5300" s="9">
        <v>29.424604823442099</v>
      </c>
      <c r="AA5300" s="9">
        <v>29.424604823442099</v>
      </c>
      <c r="AB5300" s="9">
        <v>32.345504182311352</v>
      </c>
      <c r="AC5300" s="9">
        <v>32.345504182311352</v>
      </c>
      <c r="AD5300" s="9">
        <v>37.073967958020759</v>
      </c>
      <c r="AE5300" s="9">
        <v>39.537280452065687</v>
      </c>
      <c r="AF5300" s="9">
        <v>42.115429646064094</v>
      </c>
      <c r="AG5300" s="9">
        <v>42.115429646064094</v>
      </c>
      <c r="AH5300" s="9">
        <v>45.566990204681431</v>
      </c>
      <c r="AI5300" s="9">
        <v>48.2081665036403</v>
      </c>
      <c r="AJ5300" s="9">
        <v>3.0428788910505911</v>
      </c>
    </row>
    <row r="5301" spans="1:36" x14ac:dyDescent="0.25">
      <c r="A5301" t="s">
        <v>5411</v>
      </c>
      <c r="B5301" t="s">
        <v>16</v>
      </c>
      <c r="C5301" t="s">
        <v>17</v>
      </c>
      <c r="D5301">
        <v>89460000</v>
      </c>
      <c r="E5301">
        <v>89477999</v>
      </c>
      <c r="F5301" t="s">
        <v>4804</v>
      </c>
      <c r="G5301" t="str">
        <f t="shared" si="164"/>
        <v>SCI</v>
      </c>
      <c r="H5301" t="s">
        <v>4654</v>
      </c>
      <c r="I5301" t="s">
        <v>20</v>
      </c>
      <c r="J5301" t="s">
        <v>62</v>
      </c>
      <c r="K5301" s="6">
        <v>0.03</v>
      </c>
      <c r="L5301" s="7">
        <f t="shared" si="165"/>
        <v>2E-3</v>
      </c>
      <c r="M5301" s="7">
        <v>3.0000000000000001E-3</v>
      </c>
      <c r="N5301">
        <v>10</v>
      </c>
      <c r="O5301" s="8">
        <v>16.631361039134706</v>
      </c>
      <c r="P5301" s="9">
        <v>16.631361039134706</v>
      </c>
      <c r="Q5301" s="9">
        <v>16.631361039134706</v>
      </c>
      <c r="R5301" s="9">
        <v>17.060180136455905</v>
      </c>
      <c r="S5301" s="9">
        <v>18.024171003933382</v>
      </c>
      <c r="T5301" s="9">
        <v>18.868116637328029</v>
      </c>
      <c r="U5301" s="9">
        <v>20.58817720770605</v>
      </c>
      <c r="V5301" s="9">
        <v>20.58817720770605</v>
      </c>
      <c r="W5301" s="9">
        <v>20.58817720770605</v>
      </c>
      <c r="X5301" s="9">
        <v>22.864259828555831</v>
      </c>
      <c r="Y5301" s="9">
        <v>22.864259828555831</v>
      </c>
      <c r="Z5301" s="9">
        <v>25.323053608820352</v>
      </c>
      <c r="AA5301" s="9">
        <v>25.323053608820352</v>
      </c>
      <c r="AB5301" s="9">
        <v>28.021815637038035</v>
      </c>
      <c r="AC5301" s="9">
        <v>28.021815637038035</v>
      </c>
      <c r="AD5301" s="9">
        <v>30.863654196486234</v>
      </c>
      <c r="AE5301" s="9">
        <v>33.866973124126531</v>
      </c>
      <c r="AF5301" s="9">
        <v>37.052606032896897</v>
      </c>
      <c r="AG5301" s="9">
        <v>37.052606032896897</v>
      </c>
      <c r="AH5301" s="9">
        <v>39.965079814445566</v>
      </c>
      <c r="AI5301" s="9">
        <v>42.780649023864797</v>
      </c>
      <c r="AJ5301" s="9">
        <v>3.0428788910505911</v>
      </c>
    </row>
    <row r="5302" spans="1:36" x14ac:dyDescent="0.25">
      <c r="A5302" t="s">
        <v>5411</v>
      </c>
      <c r="B5302" t="s">
        <v>16</v>
      </c>
      <c r="C5302" t="s">
        <v>17</v>
      </c>
      <c r="D5302">
        <v>89478000</v>
      </c>
      <c r="E5302">
        <v>89479999</v>
      </c>
      <c r="F5302" t="s">
        <v>4805</v>
      </c>
      <c r="G5302" t="str">
        <f t="shared" si="164"/>
        <v>SCI II</v>
      </c>
      <c r="H5302" t="s">
        <v>4654</v>
      </c>
      <c r="I5302" t="s">
        <v>20</v>
      </c>
      <c r="J5302" t="s">
        <v>64</v>
      </c>
      <c r="K5302" s="6">
        <v>0.03</v>
      </c>
      <c r="L5302" s="7">
        <f t="shared" si="165"/>
        <v>2E-3</v>
      </c>
      <c r="M5302" s="7">
        <v>3.0000000000000001E-3</v>
      </c>
      <c r="N5302">
        <v>11</v>
      </c>
      <c r="O5302" s="8">
        <v>19.475693895950801</v>
      </c>
      <c r="P5302" s="9">
        <v>19.475693895950801</v>
      </c>
      <c r="Q5302" s="9">
        <v>19.475693895950801</v>
      </c>
      <c r="R5302" s="9">
        <v>20.024452706180426</v>
      </c>
      <c r="S5302" s="9">
        <v>20.875099128492941</v>
      </c>
      <c r="T5302" s="9">
        <v>21.733350185946453</v>
      </c>
      <c r="U5302" s="9">
        <v>23.861555618318132</v>
      </c>
      <c r="V5302" s="9">
        <v>23.861555618318132</v>
      </c>
      <c r="W5302" s="9">
        <v>23.861555618318132</v>
      </c>
      <c r="X5302" s="9">
        <v>26.599525609534091</v>
      </c>
      <c r="Y5302" s="9">
        <v>26.599525609534091</v>
      </c>
      <c r="Z5302" s="9">
        <v>29.424604823442099</v>
      </c>
      <c r="AA5302" s="9">
        <v>29.424604823442099</v>
      </c>
      <c r="AB5302" s="9">
        <v>32.345504182311352</v>
      </c>
      <c r="AC5302" s="9">
        <v>32.345504182311352</v>
      </c>
      <c r="AD5302" s="9">
        <v>37.073967958020759</v>
      </c>
      <c r="AE5302" s="9">
        <v>39.537280452065687</v>
      </c>
      <c r="AF5302" s="9">
        <v>42.115429646064094</v>
      </c>
      <c r="AG5302" s="9">
        <v>42.115429646064094</v>
      </c>
      <c r="AH5302" s="9">
        <v>45.566990204681431</v>
      </c>
      <c r="AI5302" s="9">
        <v>48.2081665036403</v>
      </c>
      <c r="AJ5302" s="9">
        <v>3.0428788910505911</v>
      </c>
    </row>
    <row r="5303" spans="1:36" x14ac:dyDescent="0.25">
      <c r="A5303" t="s">
        <v>5411</v>
      </c>
      <c r="B5303" t="s">
        <v>16</v>
      </c>
      <c r="C5303" t="s">
        <v>17</v>
      </c>
      <c r="D5303">
        <v>89480000</v>
      </c>
      <c r="E5303">
        <v>89489999</v>
      </c>
      <c r="F5303" t="s">
        <v>4806</v>
      </c>
      <c r="G5303" t="str">
        <f t="shared" si="164"/>
        <v>SCI II</v>
      </c>
      <c r="H5303" t="s">
        <v>4654</v>
      </c>
      <c r="I5303" t="s">
        <v>20</v>
      </c>
      <c r="J5303" t="s">
        <v>64</v>
      </c>
      <c r="K5303" s="6">
        <v>0.03</v>
      </c>
      <c r="L5303" s="7">
        <f t="shared" si="165"/>
        <v>2E-3</v>
      </c>
      <c r="M5303" s="7">
        <v>3.0000000000000001E-3</v>
      </c>
      <c r="N5303">
        <v>11</v>
      </c>
      <c r="O5303" s="8">
        <v>19.475693895950801</v>
      </c>
      <c r="P5303" s="9">
        <v>19.475693895950801</v>
      </c>
      <c r="Q5303" s="9">
        <v>19.475693895950801</v>
      </c>
      <c r="R5303" s="9">
        <v>20.024452706180426</v>
      </c>
      <c r="S5303" s="9">
        <v>20.875099128492941</v>
      </c>
      <c r="T5303" s="9">
        <v>21.733350185946453</v>
      </c>
      <c r="U5303" s="9">
        <v>23.861555618318132</v>
      </c>
      <c r="V5303" s="9">
        <v>23.861555618318132</v>
      </c>
      <c r="W5303" s="9">
        <v>23.861555618318132</v>
      </c>
      <c r="X5303" s="9">
        <v>26.599525609534091</v>
      </c>
      <c r="Y5303" s="9">
        <v>26.599525609534091</v>
      </c>
      <c r="Z5303" s="9">
        <v>29.424604823442099</v>
      </c>
      <c r="AA5303" s="9">
        <v>29.424604823442099</v>
      </c>
      <c r="AB5303" s="9">
        <v>32.345504182311352</v>
      </c>
      <c r="AC5303" s="9">
        <v>32.345504182311352</v>
      </c>
      <c r="AD5303" s="9">
        <v>37.073967958020759</v>
      </c>
      <c r="AE5303" s="9">
        <v>39.537280452065687</v>
      </c>
      <c r="AF5303" s="9">
        <v>42.115429646064094</v>
      </c>
      <c r="AG5303" s="9">
        <v>42.115429646064094</v>
      </c>
      <c r="AH5303" s="9">
        <v>45.566990204681431</v>
      </c>
      <c r="AI5303" s="9">
        <v>48.2081665036403</v>
      </c>
      <c r="AJ5303" s="9">
        <v>3.0428788910505911</v>
      </c>
    </row>
    <row r="5304" spans="1:36" x14ac:dyDescent="0.25">
      <c r="A5304" t="s">
        <v>5411</v>
      </c>
      <c r="B5304" t="s">
        <v>16</v>
      </c>
      <c r="C5304" t="s">
        <v>17</v>
      </c>
      <c r="D5304">
        <v>89490000</v>
      </c>
      <c r="E5304">
        <v>89499999</v>
      </c>
      <c r="F5304" t="s">
        <v>4807</v>
      </c>
      <c r="G5304" t="str">
        <f t="shared" si="164"/>
        <v>SCI II</v>
      </c>
      <c r="H5304" t="s">
        <v>4654</v>
      </c>
      <c r="I5304" t="s">
        <v>20</v>
      </c>
      <c r="J5304" t="s">
        <v>64</v>
      </c>
      <c r="K5304" s="6">
        <v>0.03</v>
      </c>
      <c r="L5304" s="7">
        <f t="shared" si="165"/>
        <v>2E-3</v>
      </c>
      <c r="M5304" s="7">
        <v>3.0000000000000001E-3</v>
      </c>
      <c r="N5304">
        <v>11</v>
      </c>
      <c r="O5304" s="8">
        <v>19.475693895950801</v>
      </c>
      <c r="P5304" s="9">
        <v>19.475693895950801</v>
      </c>
      <c r="Q5304" s="9">
        <v>19.475693895950801</v>
      </c>
      <c r="R5304" s="9">
        <v>20.024452706180426</v>
      </c>
      <c r="S5304" s="9">
        <v>20.875099128492941</v>
      </c>
      <c r="T5304" s="9">
        <v>21.733350185946453</v>
      </c>
      <c r="U5304" s="9">
        <v>23.861555618318132</v>
      </c>
      <c r="V5304" s="9">
        <v>23.861555618318132</v>
      </c>
      <c r="W5304" s="9">
        <v>23.861555618318132</v>
      </c>
      <c r="X5304" s="9">
        <v>26.599525609534091</v>
      </c>
      <c r="Y5304" s="9">
        <v>26.599525609534091</v>
      </c>
      <c r="Z5304" s="9">
        <v>29.424604823442099</v>
      </c>
      <c r="AA5304" s="9">
        <v>29.424604823442099</v>
      </c>
      <c r="AB5304" s="9">
        <v>32.345504182311352</v>
      </c>
      <c r="AC5304" s="9">
        <v>32.345504182311352</v>
      </c>
      <c r="AD5304" s="9">
        <v>37.073967958020759</v>
      </c>
      <c r="AE5304" s="9">
        <v>39.537280452065687</v>
      </c>
      <c r="AF5304" s="9">
        <v>42.115429646064094</v>
      </c>
      <c r="AG5304" s="9">
        <v>42.115429646064094</v>
      </c>
      <c r="AH5304" s="9">
        <v>45.566990204681431</v>
      </c>
      <c r="AI5304" s="9">
        <v>48.2081665036403</v>
      </c>
      <c r="AJ5304" s="9">
        <v>3.0428788910505911</v>
      </c>
    </row>
    <row r="5305" spans="1:36" x14ac:dyDescent="0.25">
      <c r="A5305" t="s">
        <v>5411</v>
      </c>
      <c r="B5305" t="s">
        <v>16</v>
      </c>
      <c r="C5305" t="s">
        <v>17</v>
      </c>
      <c r="D5305">
        <v>89500000</v>
      </c>
      <c r="E5305">
        <v>89514999</v>
      </c>
      <c r="F5305" t="s">
        <v>4808</v>
      </c>
      <c r="G5305" t="str">
        <f t="shared" si="164"/>
        <v>SCI</v>
      </c>
      <c r="H5305" t="s">
        <v>4654</v>
      </c>
      <c r="I5305" t="s">
        <v>20</v>
      </c>
      <c r="J5305" t="s">
        <v>62</v>
      </c>
      <c r="K5305" s="6">
        <v>0.03</v>
      </c>
      <c r="L5305" s="7">
        <f t="shared" si="165"/>
        <v>2E-3</v>
      </c>
      <c r="M5305" s="7">
        <v>3.0000000000000001E-3</v>
      </c>
      <c r="N5305">
        <v>10</v>
      </c>
      <c r="O5305" s="8">
        <v>16.631361039134706</v>
      </c>
      <c r="P5305" s="9">
        <v>16.631361039134706</v>
      </c>
      <c r="Q5305" s="9">
        <v>16.631361039134706</v>
      </c>
      <c r="R5305" s="9">
        <v>17.060180136455905</v>
      </c>
      <c r="S5305" s="9">
        <v>18.024171003933382</v>
      </c>
      <c r="T5305" s="9">
        <v>18.868116637328029</v>
      </c>
      <c r="U5305" s="9">
        <v>20.58817720770605</v>
      </c>
      <c r="V5305" s="9">
        <v>20.58817720770605</v>
      </c>
      <c r="W5305" s="9">
        <v>20.58817720770605</v>
      </c>
      <c r="X5305" s="9">
        <v>22.864259828555831</v>
      </c>
      <c r="Y5305" s="9">
        <v>22.864259828555831</v>
      </c>
      <c r="Z5305" s="9">
        <v>25.323053608820352</v>
      </c>
      <c r="AA5305" s="9">
        <v>25.323053608820352</v>
      </c>
      <c r="AB5305" s="9">
        <v>28.021815637038035</v>
      </c>
      <c r="AC5305" s="9">
        <v>28.021815637038035</v>
      </c>
      <c r="AD5305" s="9">
        <v>30.863654196486234</v>
      </c>
      <c r="AE5305" s="9">
        <v>33.866973124126531</v>
      </c>
      <c r="AF5305" s="9">
        <v>37.052606032896897</v>
      </c>
      <c r="AG5305" s="9">
        <v>37.052606032896897</v>
      </c>
      <c r="AH5305" s="9">
        <v>39.965079814445566</v>
      </c>
      <c r="AI5305" s="9">
        <v>42.780649023864797</v>
      </c>
      <c r="AJ5305" s="9">
        <v>3.0428788910505911</v>
      </c>
    </row>
    <row r="5306" spans="1:36" x14ac:dyDescent="0.25">
      <c r="A5306" t="s">
        <v>5411</v>
      </c>
      <c r="B5306" t="s">
        <v>16</v>
      </c>
      <c r="C5306" t="s">
        <v>17</v>
      </c>
      <c r="D5306">
        <v>89515000</v>
      </c>
      <c r="E5306">
        <v>89517999</v>
      </c>
      <c r="F5306" t="s">
        <v>4809</v>
      </c>
      <c r="G5306" t="str">
        <f t="shared" si="164"/>
        <v>SCI II</v>
      </c>
      <c r="H5306" t="s">
        <v>4654</v>
      </c>
      <c r="I5306" t="s">
        <v>20</v>
      </c>
      <c r="J5306" t="s">
        <v>64</v>
      </c>
      <c r="K5306" s="6">
        <v>0.03</v>
      </c>
      <c r="L5306" s="7">
        <f t="shared" si="165"/>
        <v>2E-3</v>
      </c>
      <c r="M5306" s="7">
        <v>3.0000000000000001E-3</v>
      </c>
      <c r="N5306">
        <v>10</v>
      </c>
      <c r="O5306" s="8">
        <v>19.475693895950801</v>
      </c>
      <c r="P5306" s="9">
        <v>19.475693895950801</v>
      </c>
      <c r="Q5306" s="9">
        <v>19.475693895950801</v>
      </c>
      <c r="R5306" s="9">
        <v>20.024452706180426</v>
      </c>
      <c r="S5306" s="9">
        <v>20.875099128492941</v>
      </c>
      <c r="T5306" s="9">
        <v>21.733350185946453</v>
      </c>
      <c r="U5306" s="9">
        <v>23.861555618318132</v>
      </c>
      <c r="V5306" s="9">
        <v>23.861555618318132</v>
      </c>
      <c r="W5306" s="9">
        <v>23.861555618318132</v>
      </c>
      <c r="X5306" s="9">
        <v>26.599525609534091</v>
      </c>
      <c r="Y5306" s="9">
        <v>26.599525609534091</v>
      </c>
      <c r="Z5306" s="9">
        <v>29.424604823442099</v>
      </c>
      <c r="AA5306" s="9">
        <v>29.424604823442099</v>
      </c>
      <c r="AB5306" s="9">
        <v>32.345504182311352</v>
      </c>
      <c r="AC5306" s="9">
        <v>32.345504182311352</v>
      </c>
      <c r="AD5306" s="9">
        <v>37.073967958020759</v>
      </c>
      <c r="AE5306" s="9">
        <v>39.537280452065687</v>
      </c>
      <c r="AF5306" s="9">
        <v>42.115429646064094</v>
      </c>
      <c r="AG5306" s="9">
        <v>42.115429646064094</v>
      </c>
      <c r="AH5306" s="9">
        <v>45.566990204681431</v>
      </c>
      <c r="AI5306" s="9">
        <v>48.2081665036403</v>
      </c>
      <c r="AJ5306" s="9">
        <v>3.0428788910505911</v>
      </c>
    </row>
    <row r="5307" spans="1:36" x14ac:dyDescent="0.25">
      <c r="A5307" t="s">
        <v>5411</v>
      </c>
      <c r="B5307" t="s">
        <v>16</v>
      </c>
      <c r="C5307" t="s">
        <v>17</v>
      </c>
      <c r="D5307">
        <v>89518000</v>
      </c>
      <c r="E5307">
        <v>89519999</v>
      </c>
      <c r="F5307" t="s">
        <v>4810</v>
      </c>
      <c r="G5307" t="str">
        <f t="shared" si="164"/>
        <v>SCI II</v>
      </c>
      <c r="H5307" t="s">
        <v>4654</v>
      </c>
      <c r="I5307" t="s">
        <v>20</v>
      </c>
      <c r="J5307" t="s">
        <v>64</v>
      </c>
      <c r="K5307" s="6">
        <v>0.03</v>
      </c>
      <c r="L5307" s="7">
        <f t="shared" si="165"/>
        <v>2E-3</v>
      </c>
      <c r="M5307" s="7">
        <v>3.0000000000000001E-3</v>
      </c>
      <c r="N5307">
        <v>11</v>
      </c>
      <c r="O5307" s="8">
        <v>19.475693895950801</v>
      </c>
      <c r="P5307" s="9">
        <v>19.475693895950801</v>
      </c>
      <c r="Q5307" s="9">
        <v>19.475693895950801</v>
      </c>
      <c r="R5307" s="9">
        <v>20.024452706180426</v>
      </c>
      <c r="S5307" s="9">
        <v>20.875099128492941</v>
      </c>
      <c r="T5307" s="9">
        <v>21.733350185946453</v>
      </c>
      <c r="U5307" s="9">
        <v>23.861555618318132</v>
      </c>
      <c r="V5307" s="9">
        <v>23.861555618318132</v>
      </c>
      <c r="W5307" s="9">
        <v>23.861555618318132</v>
      </c>
      <c r="X5307" s="9">
        <v>26.599525609534091</v>
      </c>
      <c r="Y5307" s="9">
        <v>26.599525609534091</v>
      </c>
      <c r="Z5307" s="9">
        <v>29.424604823442099</v>
      </c>
      <c r="AA5307" s="9">
        <v>29.424604823442099</v>
      </c>
      <c r="AB5307" s="9">
        <v>32.345504182311352</v>
      </c>
      <c r="AC5307" s="9">
        <v>32.345504182311352</v>
      </c>
      <c r="AD5307" s="9">
        <v>37.073967958020759</v>
      </c>
      <c r="AE5307" s="9">
        <v>39.537280452065687</v>
      </c>
      <c r="AF5307" s="9">
        <v>42.115429646064094</v>
      </c>
      <c r="AG5307" s="9">
        <v>42.115429646064094</v>
      </c>
      <c r="AH5307" s="9">
        <v>45.566990204681431</v>
      </c>
      <c r="AI5307" s="9">
        <v>48.2081665036403</v>
      </c>
      <c r="AJ5307" s="9">
        <v>3.0428788910505911</v>
      </c>
    </row>
    <row r="5308" spans="1:36" x14ac:dyDescent="0.25">
      <c r="A5308" t="s">
        <v>5411</v>
      </c>
      <c r="B5308" t="s">
        <v>16</v>
      </c>
      <c r="C5308" t="s">
        <v>17</v>
      </c>
      <c r="D5308">
        <v>89520000</v>
      </c>
      <c r="E5308">
        <v>89529999</v>
      </c>
      <c r="F5308" t="s">
        <v>4811</v>
      </c>
      <c r="G5308" t="str">
        <f t="shared" si="164"/>
        <v>SCI</v>
      </c>
      <c r="H5308" t="s">
        <v>4654</v>
      </c>
      <c r="I5308" t="s">
        <v>20</v>
      </c>
      <c r="J5308" t="s">
        <v>62</v>
      </c>
      <c r="K5308" s="6">
        <v>0.03</v>
      </c>
      <c r="L5308" s="7">
        <f t="shared" si="165"/>
        <v>2E-3</v>
      </c>
      <c r="M5308" s="7">
        <v>3.0000000000000001E-3</v>
      </c>
      <c r="N5308">
        <v>9</v>
      </c>
      <c r="O5308" s="8">
        <v>16.631361039134706</v>
      </c>
      <c r="P5308" s="9">
        <v>16.631361039134706</v>
      </c>
      <c r="Q5308" s="9">
        <v>16.631361039134706</v>
      </c>
      <c r="R5308" s="9">
        <v>17.060180136455905</v>
      </c>
      <c r="S5308" s="9">
        <v>18.024171003933382</v>
      </c>
      <c r="T5308" s="9">
        <v>18.868116637328029</v>
      </c>
      <c r="U5308" s="9">
        <v>20.58817720770605</v>
      </c>
      <c r="V5308" s="9">
        <v>20.58817720770605</v>
      </c>
      <c r="W5308" s="9">
        <v>20.58817720770605</v>
      </c>
      <c r="X5308" s="9">
        <v>22.864259828555831</v>
      </c>
      <c r="Y5308" s="9">
        <v>22.864259828555831</v>
      </c>
      <c r="Z5308" s="9">
        <v>25.323053608820352</v>
      </c>
      <c r="AA5308" s="9">
        <v>25.323053608820352</v>
      </c>
      <c r="AB5308" s="9">
        <v>28.021815637038035</v>
      </c>
      <c r="AC5308" s="9">
        <v>28.021815637038035</v>
      </c>
      <c r="AD5308" s="9">
        <v>30.863654196486234</v>
      </c>
      <c r="AE5308" s="9">
        <v>33.866973124126531</v>
      </c>
      <c r="AF5308" s="9">
        <v>37.052606032896897</v>
      </c>
      <c r="AG5308" s="9">
        <v>37.052606032896897</v>
      </c>
      <c r="AH5308" s="9">
        <v>39.965079814445566</v>
      </c>
      <c r="AI5308" s="9">
        <v>42.780649023864797</v>
      </c>
      <c r="AJ5308" s="9">
        <v>3.0428788910505911</v>
      </c>
    </row>
    <row r="5309" spans="1:36" x14ac:dyDescent="0.25">
      <c r="A5309" t="s">
        <v>5411</v>
      </c>
      <c r="B5309" t="s">
        <v>16</v>
      </c>
      <c r="C5309" t="s">
        <v>17</v>
      </c>
      <c r="D5309">
        <v>89530000</v>
      </c>
      <c r="E5309">
        <v>89532999</v>
      </c>
      <c r="F5309" t="s">
        <v>4812</v>
      </c>
      <c r="G5309" t="str">
        <f t="shared" si="164"/>
        <v>SCI</v>
      </c>
      <c r="H5309" t="s">
        <v>4654</v>
      </c>
      <c r="I5309" t="s">
        <v>20</v>
      </c>
      <c r="J5309" t="s">
        <v>62</v>
      </c>
      <c r="K5309" s="6">
        <v>0.03</v>
      </c>
      <c r="L5309" s="7">
        <f t="shared" si="165"/>
        <v>2E-3</v>
      </c>
      <c r="M5309" s="7">
        <v>3.0000000000000001E-3</v>
      </c>
      <c r="N5309">
        <v>9</v>
      </c>
      <c r="O5309" s="8">
        <v>16.631361039134706</v>
      </c>
      <c r="P5309" s="9">
        <v>16.631361039134706</v>
      </c>
      <c r="Q5309" s="9">
        <v>16.631361039134706</v>
      </c>
      <c r="R5309" s="9">
        <v>17.060180136455905</v>
      </c>
      <c r="S5309" s="9">
        <v>18.024171003933382</v>
      </c>
      <c r="T5309" s="9">
        <v>18.868116637328029</v>
      </c>
      <c r="U5309" s="9">
        <v>20.58817720770605</v>
      </c>
      <c r="V5309" s="9">
        <v>20.58817720770605</v>
      </c>
      <c r="W5309" s="9">
        <v>20.58817720770605</v>
      </c>
      <c r="X5309" s="9">
        <v>22.864259828555831</v>
      </c>
      <c r="Y5309" s="9">
        <v>22.864259828555831</v>
      </c>
      <c r="Z5309" s="9">
        <v>25.323053608820352</v>
      </c>
      <c r="AA5309" s="9">
        <v>25.323053608820352</v>
      </c>
      <c r="AB5309" s="9">
        <v>28.021815637038035</v>
      </c>
      <c r="AC5309" s="9">
        <v>28.021815637038035</v>
      </c>
      <c r="AD5309" s="9">
        <v>30.863654196486234</v>
      </c>
      <c r="AE5309" s="9">
        <v>33.866973124126531</v>
      </c>
      <c r="AF5309" s="9">
        <v>37.052606032896897</v>
      </c>
      <c r="AG5309" s="9">
        <v>37.052606032896897</v>
      </c>
      <c r="AH5309" s="9">
        <v>39.965079814445566</v>
      </c>
      <c r="AI5309" s="9">
        <v>42.780649023864797</v>
      </c>
      <c r="AJ5309" s="9">
        <v>3.0428788910505911</v>
      </c>
    </row>
    <row r="5310" spans="1:36" x14ac:dyDescent="0.25">
      <c r="A5310" t="s">
        <v>5411</v>
      </c>
      <c r="B5310" t="s">
        <v>16</v>
      </c>
      <c r="C5310" t="s">
        <v>17</v>
      </c>
      <c r="D5310">
        <v>89533000</v>
      </c>
      <c r="E5310">
        <v>89534999</v>
      </c>
      <c r="F5310" t="s">
        <v>4813</v>
      </c>
      <c r="G5310" t="str">
        <f t="shared" si="164"/>
        <v>SCI II</v>
      </c>
      <c r="H5310" t="s">
        <v>4654</v>
      </c>
      <c r="I5310" t="s">
        <v>20</v>
      </c>
      <c r="J5310" t="s">
        <v>64</v>
      </c>
      <c r="K5310" s="6">
        <v>0.03</v>
      </c>
      <c r="L5310" s="7">
        <f t="shared" si="165"/>
        <v>2E-3</v>
      </c>
      <c r="M5310" s="7">
        <v>3.0000000000000001E-3</v>
      </c>
      <c r="N5310">
        <v>11</v>
      </c>
      <c r="O5310" s="8">
        <v>19.475693895950801</v>
      </c>
      <c r="P5310" s="9">
        <v>19.475693895950801</v>
      </c>
      <c r="Q5310" s="9">
        <v>19.475693895950801</v>
      </c>
      <c r="R5310" s="9">
        <v>20.024452706180426</v>
      </c>
      <c r="S5310" s="9">
        <v>20.875099128492941</v>
      </c>
      <c r="T5310" s="9">
        <v>21.733350185946453</v>
      </c>
      <c r="U5310" s="9">
        <v>23.861555618318132</v>
      </c>
      <c r="V5310" s="9">
        <v>23.861555618318132</v>
      </c>
      <c r="W5310" s="9">
        <v>23.861555618318132</v>
      </c>
      <c r="X5310" s="9">
        <v>26.599525609534091</v>
      </c>
      <c r="Y5310" s="9">
        <v>26.599525609534091</v>
      </c>
      <c r="Z5310" s="9">
        <v>29.424604823442099</v>
      </c>
      <c r="AA5310" s="9">
        <v>29.424604823442099</v>
      </c>
      <c r="AB5310" s="9">
        <v>32.345504182311352</v>
      </c>
      <c r="AC5310" s="9">
        <v>32.345504182311352</v>
      </c>
      <c r="AD5310" s="9">
        <v>37.073967958020759</v>
      </c>
      <c r="AE5310" s="9">
        <v>39.537280452065687</v>
      </c>
      <c r="AF5310" s="9">
        <v>42.115429646064094</v>
      </c>
      <c r="AG5310" s="9">
        <v>42.115429646064094</v>
      </c>
      <c r="AH5310" s="9">
        <v>45.566990204681431</v>
      </c>
      <c r="AI5310" s="9">
        <v>48.2081665036403</v>
      </c>
      <c r="AJ5310" s="9">
        <v>3.0428788910505911</v>
      </c>
    </row>
    <row r="5311" spans="1:36" x14ac:dyDescent="0.25">
      <c r="A5311" t="s">
        <v>5411</v>
      </c>
      <c r="B5311" t="s">
        <v>16</v>
      </c>
      <c r="C5311" t="s">
        <v>17</v>
      </c>
      <c r="D5311">
        <v>89535000</v>
      </c>
      <c r="E5311">
        <v>89539999</v>
      </c>
      <c r="F5311" t="s">
        <v>4814</v>
      </c>
      <c r="G5311" t="str">
        <f t="shared" si="164"/>
        <v>SCI II</v>
      </c>
      <c r="H5311" t="s">
        <v>4654</v>
      </c>
      <c r="I5311" t="s">
        <v>20</v>
      </c>
      <c r="J5311" t="s">
        <v>64</v>
      </c>
      <c r="K5311" s="6">
        <v>0.03</v>
      </c>
      <c r="L5311" s="7">
        <f t="shared" si="165"/>
        <v>2E-3</v>
      </c>
      <c r="M5311" s="7">
        <v>3.0000000000000001E-3</v>
      </c>
      <c r="N5311">
        <v>11</v>
      </c>
      <c r="O5311" s="8">
        <v>19.475693895950801</v>
      </c>
      <c r="P5311" s="9">
        <v>19.475693895950801</v>
      </c>
      <c r="Q5311" s="9">
        <v>19.475693895950801</v>
      </c>
      <c r="R5311" s="9">
        <v>20.024452706180426</v>
      </c>
      <c r="S5311" s="9">
        <v>20.875099128492941</v>
      </c>
      <c r="T5311" s="9">
        <v>21.733350185946453</v>
      </c>
      <c r="U5311" s="9">
        <v>23.861555618318132</v>
      </c>
      <c r="V5311" s="9">
        <v>23.861555618318132</v>
      </c>
      <c r="W5311" s="9">
        <v>23.861555618318132</v>
      </c>
      <c r="X5311" s="9">
        <v>26.599525609534091</v>
      </c>
      <c r="Y5311" s="9">
        <v>26.599525609534091</v>
      </c>
      <c r="Z5311" s="9">
        <v>29.424604823442099</v>
      </c>
      <c r="AA5311" s="9">
        <v>29.424604823442099</v>
      </c>
      <c r="AB5311" s="9">
        <v>32.345504182311352</v>
      </c>
      <c r="AC5311" s="9">
        <v>32.345504182311352</v>
      </c>
      <c r="AD5311" s="9">
        <v>37.073967958020759</v>
      </c>
      <c r="AE5311" s="9">
        <v>39.537280452065687</v>
      </c>
      <c r="AF5311" s="9">
        <v>42.115429646064094</v>
      </c>
      <c r="AG5311" s="9">
        <v>42.115429646064094</v>
      </c>
      <c r="AH5311" s="9">
        <v>45.566990204681431</v>
      </c>
      <c r="AI5311" s="9">
        <v>48.2081665036403</v>
      </c>
      <c r="AJ5311" s="9">
        <v>3.0428788910505911</v>
      </c>
    </row>
    <row r="5312" spans="1:36" x14ac:dyDescent="0.25">
      <c r="A5312" t="s">
        <v>5411</v>
      </c>
      <c r="B5312" t="s">
        <v>16</v>
      </c>
      <c r="C5312" t="s">
        <v>17</v>
      </c>
      <c r="D5312">
        <v>89540000</v>
      </c>
      <c r="E5312">
        <v>89544999</v>
      </c>
      <c r="F5312" t="s">
        <v>2564</v>
      </c>
      <c r="G5312" t="str">
        <f t="shared" si="164"/>
        <v>SCI II</v>
      </c>
      <c r="H5312" t="s">
        <v>4654</v>
      </c>
      <c r="I5312" t="s">
        <v>20</v>
      </c>
      <c r="J5312" t="s">
        <v>64</v>
      </c>
      <c r="K5312" s="6">
        <v>0.03</v>
      </c>
      <c r="L5312" s="7">
        <f t="shared" si="165"/>
        <v>2E-3</v>
      </c>
      <c r="M5312" s="7">
        <v>3.0000000000000001E-3</v>
      </c>
      <c r="N5312">
        <v>10</v>
      </c>
      <c r="O5312" s="8">
        <v>19.475693895950801</v>
      </c>
      <c r="P5312" s="9">
        <v>19.475693895950801</v>
      </c>
      <c r="Q5312" s="9">
        <v>19.475693895950801</v>
      </c>
      <c r="R5312" s="9">
        <v>20.024452706180426</v>
      </c>
      <c r="S5312" s="9">
        <v>20.875099128492941</v>
      </c>
      <c r="T5312" s="9">
        <v>21.733350185946453</v>
      </c>
      <c r="U5312" s="9">
        <v>23.861555618318132</v>
      </c>
      <c r="V5312" s="9">
        <v>23.861555618318132</v>
      </c>
      <c r="W5312" s="9">
        <v>23.861555618318132</v>
      </c>
      <c r="X5312" s="9">
        <v>26.599525609534091</v>
      </c>
      <c r="Y5312" s="9">
        <v>26.599525609534091</v>
      </c>
      <c r="Z5312" s="9">
        <v>29.424604823442099</v>
      </c>
      <c r="AA5312" s="9">
        <v>29.424604823442099</v>
      </c>
      <c r="AB5312" s="9">
        <v>32.345504182311352</v>
      </c>
      <c r="AC5312" s="9">
        <v>32.345504182311352</v>
      </c>
      <c r="AD5312" s="9">
        <v>37.073967958020759</v>
      </c>
      <c r="AE5312" s="9">
        <v>39.537280452065687</v>
      </c>
      <c r="AF5312" s="9">
        <v>42.115429646064094</v>
      </c>
      <c r="AG5312" s="9">
        <v>42.115429646064094</v>
      </c>
      <c r="AH5312" s="9">
        <v>45.566990204681431</v>
      </c>
      <c r="AI5312" s="9">
        <v>48.2081665036403</v>
      </c>
      <c r="AJ5312" s="9">
        <v>3.0428788910505911</v>
      </c>
    </row>
    <row r="5313" spans="1:36" x14ac:dyDescent="0.25">
      <c r="A5313" t="s">
        <v>5411</v>
      </c>
      <c r="B5313" t="s">
        <v>16</v>
      </c>
      <c r="C5313" t="s">
        <v>17</v>
      </c>
      <c r="D5313">
        <v>89545000</v>
      </c>
      <c r="E5313">
        <v>89549999</v>
      </c>
      <c r="F5313" t="s">
        <v>4815</v>
      </c>
      <c r="G5313" t="str">
        <f t="shared" si="164"/>
        <v>SCI II</v>
      </c>
      <c r="H5313" t="s">
        <v>4654</v>
      </c>
      <c r="I5313" t="s">
        <v>20</v>
      </c>
      <c r="J5313" t="s">
        <v>64</v>
      </c>
      <c r="K5313" s="6">
        <v>0.03</v>
      </c>
      <c r="L5313" s="7">
        <f t="shared" si="165"/>
        <v>2E-3</v>
      </c>
      <c r="M5313" s="7">
        <v>3.0000000000000001E-3</v>
      </c>
      <c r="N5313">
        <v>11</v>
      </c>
      <c r="O5313" s="8">
        <v>19.475693895950801</v>
      </c>
      <c r="P5313" s="9">
        <v>19.475693895950801</v>
      </c>
      <c r="Q5313" s="9">
        <v>19.475693895950801</v>
      </c>
      <c r="R5313" s="9">
        <v>20.024452706180426</v>
      </c>
      <c r="S5313" s="9">
        <v>20.875099128492941</v>
      </c>
      <c r="T5313" s="9">
        <v>21.733350185946453</v>
      </c>
      <c r="U5313" s="9">
        <v>23.861555618318132</v>
      </c>
      <c r="V5313" s="9">
        <v>23.861555618318132</v>
      </c>
      <c r="W5313" s="9">
        <v>23.861555618318132</v>
      </c>
      <c r="X5313" s="9">
        <v>26.599525609534091</v>
      </c>
      <c r="Y5313" s="9">
        <v>26.599525609534091</v>
      </c>
      <c r="Z5313" s="9">
        <v>29.424604823442099</v>
      </c>
      <c r="AA5313" s="9">
        <v>29.424604823442099</v>
      </c>
      <c r="AB5313" s="9">
        <v>32.345504182311352</v>
      </c>
      <c r="AC5313" s="9">
        <v>32.345504182311352</v>
      </c>
      <c r="AD5313" s="9">
        <v>37.073967958020759</v>
      </c>
      <c r="AE5313" s="9">
        <v>39.537280452065687</v>
      </c>
      <c r="AF5313" s="9">
        <v>42.115429646064094</v>
      </c>
      <c r="AG5313" s="9">
        <v>42.115429646064094</v>
      </c>
      <c r="AH5313" s="9">
        <v>45.566990204681431</v>
      </c>
      <c r="AI5313" s="9">
        <v>48.2081665036403</v>
      </c>
      <c r="AJ5313" s="9">
        <v>3.0428788910505911</v>
      </c>
    </row>
    <row r="5314" spans="1:36" x14ac:dyDescent="0.25">
      <c r="A5314" t="s">
        <v>5411</v>
      </c>
      <c r="B5314" t="s">
        <v>16</v>
      </c>
      <c r="C5314" t="s">
        <v>17</v>
      </c>
      <c r="D5314">
        <v>89550000</v>
      </c>
      <c r="E5314">
        <v>89557999</v>
      </c>
      <c r="F5314" t="s">
        <v>4816</v>
      </c>
      <c r="G5314" t="str">
        <f t="shared" si="164"/>
        <v>SCI II</v>
      </c>
      <c r="H5314" t="s">
        <v>4654</v>
      </c>
      <c r="I5314" t="s">
        <v>20</v>
      </c>
      <c r="J5314" t="s">
        <v>64</v>
      </c>
      <c r="K5314" s="6">
        <v>0.03</v>
      </c>
      <c r="L5314" s="7">
        <f t="shared" si="165"/>
        <v>2E-3</v>
      </c>
      <c r="M5314" s="7">
        <v>3.0000000000000001E-3</v>
      </c>
      <c r="N5314">
        <v>11</v>
      </c>
      <c r="O5314" s="8">
        <v>19.475693895950801</v>
      </c>
      <c r="P5314" s="9">
        <v>19.475693895950801</v>
      </c>
      <c r="Q5314" s="9">
        <v>19.475693895950801</v>
      </c>
      <c r="R5314" s="9">
        <v>20.024452706180426</v>
      </c>
      <c r="S5314" s="9">
        <v>20.875099128492941</v>
      </c>
      <c r="T5314" s="9">
        <v>21.733350185946453</v>
      </c>
      <c r="U5314" s="9">
        <v>23.861555618318132</v>
      </c>
      <c r="V5314" s="9">
        <v>23.861555618318132</v>
      </c>
      <c r="W5314" s="9">
        <v>23.861555618318132</v>
      </c>
      <c r="X5314" s="9">
        <v>26.599525609534091</v>
      </c>
      <c r="Y5314" s="9">
        <v>26.599525609534091</v>
      </c>
      <c r="Z5314" s="9">
        <v>29.424604823442099</v>
      </c>
      <c r="AA5314" s="9">
        <v>29.424604823442099</v>
      </c>
      <c r="AB5314" s="9">
        <v>32.345504182311352</v>
      </c>
      <c r="AC5314" s="9">
        <v>32.345504182311352</v>
      </c>
      <c r="AD5314" s="9">
        <v>37.073967958020759</v>
      </c>
      <c r="AE5314" s="9">
        <v>39.537280452065687</v>
      </c>
      <c r="AF5314" s="9">
        <v>42.115429646064094</v>
      </c>
      <c r="AG5314" s="9">
        <v>42.115429646064094</v>
      </c>
      <c r="AH5314" s="9">
        <v>45.566990204681431</v>
      </c>
      <c r="AI5314" s="9">
        <v>48.2081665036403</v>
      </c>
      <c r="AJ5314" s="9">
        <v>3.0428788910505911</v>
      </c>
    </row>
    <row r="5315" spans="1:36" x14ac:dyDescent="0.25">
      <c r="A5315" t="s">
        <v>5411</v>
      </c>
      <c r="B5315" t="s">
        <v>16</v>
      </c>
      <c r="C5315" t="s">
        <v>17</v>
      </c>
      <c r="D5315">
        <v>89558000</v>
      </c>
      <c r="E5315">
        <v>89559999</v>
      </c>
      <c r="F5315" t="s">
        <v>4817</v>
      </c>
      <c r="G5315" t="str">
        <f t="shared" si="164"/>
        <v>SCI II</v>
      </c>
      <c r="H5315" t="s">
        <v>4654</v>
      </c>
      <c r="I5315" t="s">
        <v>20</v>
      </c>
      <c r="J5315" t="s">
        <v>64</v>
      </c>
      <c r="K5315" s="6">
        <v>0.03</v>
      </c>
      <c r="L5315" s="7">
        <f t="shared" si="165"/>
        <v>2E-3</v>
      </c>
      <c r="M5315" s="7">
        <v>3.0000000000000001E-3</v>
      </c>
      <c r="N5315">
        <v>11</v>
      </c>
      <c r="O5315" s="8">
        <v>19.475693895950801</v>
      </c>
      <c r="P5315" s="9">
        <v>19.475693895950801</v>
      </c>
      <c r="Q5315" s="9">
        <v>19.475693895950801</v>
      </c>
      <c r="R5315" s="9">
        <v>20.024452706180426</v>
      </c>
      <c r="S5315" s="9">
        <v>20.875099128492941</v>
      </c>
      <c r="T5315" s="9">
        <v>21.733350185946453</v>
      </c>
      <c r="U5315" s="9">
        <v>23.861555618318132</v>
      </c>
      <c r="V5315" s="9">
        <v>23.861555618318132</v>
      </c>
      <c r="W5315" s="9">
        <v>23.861555618318132</v>
      </c>
      <c r="X5315" s="9">
        <v>26.599525609534091</v>
      </c>
      <c r="Y5315" s="9">
        <v>26.599525609534091</v>
      </c>
      <c r="Z5315" s="9">
        <v>29.424604823442099</v>
      </c>
      <c r="AA5315" s="9">
        <v>29.424604823442099</v>
      </c>
      <c r="AB5315" s="9">
        <v>32.345504182311352</v>
      </c>
      <c r="AC5315" s="9">
        <v>32.345504182311352</v>
      </c>
      <c r="AD5315" s="9">
        <v>37.073967958020759</v>
      </c>
      <c r="AE5315" s="9">
        <v>39.537280452065687</v>
      </c>
      <c r="AF5315" s="9">
        <v>42.115429646064094</v>
      </c>
      <c r="AG5315" s="9">
        <v>42.115429646064094</v>
      </c>
      <c r="AH5315" s="9">
        <v>45.566990204681431</v>
      </c>
      <c r="AI5315" s="9">
        <v>48.2081665036403</v>
      </c>
      <c r="AJ5315" s="9">
        <v>3.0428788910505911</v>
      </c>
    </row>
    <row r="5316" spans="1:36" x14ac:dyDescent="0.25">
      <c r="A5316" t="s">
        <v>5411</v>
      </c>
      <c r="B5316" t="s">
        <v>16</v>
      </c>
      <c r="C5316" t="s">
        <v>17</v>
      </c>
      <c r="D5316">
        <v>89560000</v>
      </c>
      <c r="E5316">
        <v>89569999</v>
      </c>
      <c r="F5316" t="s">
        <v>4818</v>
      </c>
      <c r="G5316" t="str">
        <f t="shared" ref="G5316:G5379" si="166">H5316&amp;IF(J5316="CAPITAL","C",IF(J5316="INTERIOR","I",IF(J5316="INTERIOR II","I II","R")))</f>
        <v>SCI</v>
      </c>
      <c r="H5316" t="s">
        <v>4654</v>
      </c>
      <c r="I5316" t="s">
        <v>20</v>
      </c>
      <c r="J5316" t="s">
        <v>62</v>
      </c>
      <c r="K5316" s="6">
        <v>0.03</v>
      </c>
      <c r="L5316" s="7">
        <f t="shared" ref="L5316:L5379" si="167">IF(I5316="(0) Não",0.2%,3%)</f>
        <v>2E-3</v>
      </c>
      <c r="M5316" s="7">
        <v>3.0000000000000001E-3</v>
      </c>
      <c r="N5316">
        <v>10</v>
      </c>
      <c r="O5316" s="8">
        <v>16.631361039134706</v>
      </c>
      <c r="P5316" s="9">
        <v>16.631361039134706</v>
      </c>
      <c r="Q5316" s="9">
        <v>16.631361039134706</v>
      </c>
      <c r="R5316" s="9">
        <v>17.060180136455905</v>
      </c>
      <c r="S5316" s="9">
        <v>18.024171003933382</v>
      </c>
      <c r="T5316" s="9">
        <v>18.868116637328029</v>
      </c>
      <c r="U5316" s="9">
        <v>20.58817720770605</v>
      </c>
      <c r="V5316" s="9">
        <v>20.58817720770605</v>
      </c>
      <c r="W5316" s="9">
        <v>20.58817720770605</v>
      </c>
      <c r="X5316" s="9">
        <v>22.864259828555831</v>
      </c>
      <c r="Y5316" s="9">
        <v>22.864259828555831</v>
      </c>
      <c r="Z5316" s="9">
        <v>25.323053608820352</v>
      </c>
      <c r="AA5316" s="9">
        <v>25.323053608820352</v>
      </c>
      <c r="AB5316" s="9">
        <v>28.021815637038035</v>
      </c>
      <c r="AC5316" s="9">
        <v>28.021815637038035</v>
      </c>
      <c r="AD5316" s="9">
        <v>30.863654196486234</v>
      </c>
      <c r="AE5316" s="9">
        <v>33.866973124126531</v>
      </c>
      <c r="AF5316" s="9">
        <v>37.052606032896897</v>
      </c>
      <c r="AG5316" s="9">
        <v>37.052606032896897</v>
      </c>
      <c r="AH5316" s="9">
        <v>39.965079814445566</v>
      </c>
      <c r="AI5316" s="9">
        <v>42.780649023864797</v>
      </c>
      <c r="AJ5316" s="9">
        <v>3.0428788910505911</v>
      </c>
    </row>
    <row r="5317" spans="1:36" x14ac:dyDescent="0.25">
      <c r="A5317" t="s">
        <v>5411</v>
      </c>
      <c r="B5317" t="s">
        <v>16</v>
      </c>
      <c r="C5317" t="s">
        <v>17</v>
      </c>
      <c r="D5317">
        <v>89570000</v>
      </c>
      <c r="E5317">
        <v>89579999</v>
      </c>
      <c r="F5317" t="s">
        <v>4819</v>
      </c>
      <c r="G5317" t="str">
        <f t="shared" si="166"/>
        <v>SCI II</v>
      </c>
      <c r="H5317" t="s">
        <v>4654</v>
      </c>
      <c r="I5317" t="s">
        <v>20</v>
      </c>
      <c r="J5317" t="s">
        <v>64</v>
      </c>
      <c r="K5317" s="6">
        <v>0.03</v>
      </c>
      <c r="L5317" s="7">
        <f t="shared" si="167"/>
        <v>2E-3</v>
      </c>
      <c r="M5317" s="7">
        <v>3.0000000000000001E-3</v>
      </c>
      <c r="N5317">
        <v>11</v>
      </c>
      <c r="O5317" s="8">
        <v>19.475693895950801</v>
      </c>
      <c r="P5317" s="9">
        <v>19.475693895950801</v>
      </c>
      <c r="Q5317" s="9">
        <v>19.475693895950801</v>
      </c>
      <c r="R5317" s="9">
        <v>20.024452706180426</v>
      </c>
      <c r="S5317" s="9">
        <v>20.875099128492941</v>
      </c>
      <c r="T5317" s="9">
        <v>21.733350185946453</v>
      </c>
      <c r="U5317" s="9">
        <v>23.861555618318132</v>
      </c>
      <c r="V5317" s="9">
        <v>23.861555618318132</v>
      </c>
      <c r="W5317" s="9">
        <v>23.861555618318132</v>
      </c>
      <c r="X5317" s="9">
        <v>26.599525609534091</v>
      </c>
      <c r="Y5317" s="9">
        <v>26.599525609534091</v>
      </c>
      <c r="Z5317" s="9">
        <v>29.424604823442099</v>
      </c>
      <c r="AA5317" s="9">
        <v>29.424604823442099</v>
      </c>
      <c r="AB5317" s="9">
        <v>32.345504182311352</v>
      </c>
      <c r="AC5317" s="9">
        <v>32.345504182311352</v>
      </c>
      <c r="AD5317" s="9">
        <v>37.073967958020759</v>
      </c>
      <c r="AE5317" s="9">
        <v>39.537280452065687</v>
      </c>
      <c r="AF5317" s="9">
        <v>42.115429646064094</v>
      </c>
      <c r="AG5317" s="9">
        <v>42.115429646064094</v>
      </c>
      <c r="AH5317" s="9">
        <v>45.566990204681431</v>
      </c>
      <c r="AI5317" s="9">
        <v>48.2081665036403</v>
      </c>
      <c r="AJ5317" s="9">
        <v>3.0428788910505911</v>
      </c>
    </row>
    <row r="5318" spans="1:36" x14ac:dyDescent="0.25">
      <c r="A5318" t="s">
        <v>5411</v>
      </c>
      <c r="B5318" t="s">
        <v>16</v>
      </c>
      <c r="C5318" t="s">
        <v>17</v>
      </c>
      <c r="D5318">
        <v>89580000</v>
      </c>
      <c r="E5318">
        <v>89589999</v>
      </c>
      <c r="F5318" t="s">
        <v>4820</v>
      </c>
      <c r="G5318" t="str">
        <f t="shared" si="166"/>
        <v>SCI II</v>
      </c>
      <c r="H5318" t="s">
        <v>4654</v>
      </c>
      <c r="I5318" t="s">
        <v>20</v>
      </c>
      <c r="J5318" t="s">
        <v>64</v>
      </c>
      <c r="K5318" s="6">
        <v>0.03</v>
      </c>
      <c r="L5318" s="7">
        <f t="shared" si="167"/>
        <v>2E-3</v>
      </c>
      <c r="M5318" s="7">
        <v>3.0000000000000001E-3</v>
      </c>
      <c r="N5318">
        <v>10</v>
      </c>
      <c r="O5318" s="8">
        <v>19.475693895950801</v>
      </c>
      <c r="P5318" s="9">
        <v>19.475693895950801</v>
      </c>
      <c r="Q5318" s="9">
        <v>19.475693895950801</v>
      </c>
      <c r="R5318" s="9">
        <v>20.024452706180426</v>
      </c>
      <c r="S5318" s="9">
        <v>20.875099128492941</v>
      </c>
      <c r="T5318" s="9">
        <v>21.733350185946453</v>
      </c>
      <c r="U5318" s="9">
        <v>23.861555618318132</v>
      </c>
      <c r="V5318" s="9">
        <v>23.861555618318132</v>
      </c>
      <c r="W5318" s="9">
        <v>23.861555618318132</v>
      </c>
      <c r="X5318" s="9">
        <v>26.599525609534091</v>
      </c>
      <c r="Y5318" s="9">
        <v>26.599525609534091</v>
      </c>
      <c r="Z5318" s="9">
        <v>29.424604823442099</v>
      </c>
      <c r="AA5318" s="9">
        <v>29.424604823442099</v>
      </c>
      <c r="AB5318" s="9">
        <v>32.345504182311352</v>
      </c>
      <c r="AC5318" s="9">
        <v>32.345504182311352</v>
      </c>
      <c r="AD5318" s="9">
        <v>37.073967958020759</v>
      </c>
      <c r="AE5318" s="9">
        <v>39.537280452065687</v>
      </c>
      <c r="AF5318" s="9">
        <v>42.115429646064094</v>
      </c>
      <c r="AG5318" s="9">
        <v>42.115429646064094</v>
      </c>
      <c r="AH5318" s="9">
        <v>45.566990204681431</v>
      </c>
      <c r="AI5318" s="9">
        <v>48.2081665036403</v>
      </c>
      <c r="AJ5318" s="9">
        <v>3.0428788910505911</v>
      </c>
    </row>
    <row r="5319" spans="1:36" x14ac:dyDescent="0.25">
      <c r="A5319" t="s">
        <v>5411</v>
      </c>
      <c r="B5319" t="s">
        <v>16</v>
      </c>
      <c r="C5319" t="s">
        <v>17</v>
      </c>
      <c r="D5319">
        <v>89590000</v>
      </c>
      <c r="E5319">
        <v>89594999</v>
      </c>
      <c r="F5319" t="s">
        <v>4821</v>
      </c>
      <c r="G5319" t="str">
        <f t="shared" si="166"/>
        <v>SCI II</v>
      </c>
      <c r="H5319" t="s">
        <v>4654</v>
      </c>
      <c r="I5319" t="s">
        <v>20</v>
      </c>
      <c r="J5319" t="s">
        <v>64</v>
      </c>
      <c r="K5319" s="6">
        <v>0.03</v>
      </c>
      <c r="L5319" s="7">
        <f t="shared" si="167"/>
        <v>2E-3</v>
      </c>
      <c r="M5319" s="7">
        <v>3.0000000000000001E-3</v>
      </c>
      <c r="N5319">
        <v>11</v>
      </c>
      <c r="O5319" s="8">
        <v>19.475693895950801</v>
      </c>
      <c r="P5319" s="9">
        <v>19.475693895950801</v>
      </c>
      <c r="Q5319" s="9">
        <v>19.475693895950801</v>
      </c>
      <c r="R5319" s="9">
        <v>20.024452706180426</v>
      </c>
      <c r="S5319" s="9">
        <v>20.875099128492941</v>
      </c>
      <c r="T5319" s="9">
        <v>21.733350185946453</v>
      </c>
      <c r="U5319" s="9">
        <v>23.861555618318132</v>
      </c>
      <c r="V5319" s="9">
        <v>23.861555618318132</v>
      </c>
      <c r="W5319" s="9">
        <v>23.861555618318132</v>
      </c>
      <c r="X5319" s="9">
        <v>26.599525609534091</v>
      </c>
      <c r="Y5319" s="9">
        <v>26.599525609534091</v>
      </c>
      <c r="Z5319" s="9">
        <v>29.424604823442099</v>
      </c>
      <c r="AA5319" s="9">
        <v>29.424604823442099</v>
      </c>
      <c r="AB5319" s="9">
        <v>32.345504182311352</v>
      </c>
      <c r="AC5319" s="9">
        <v>32.345504182311352</v>
      </c>
      <c r="AD5319" s="9">
        <v>37.073967958020759</v>
      </c>
      <c r="AE5319" s="9">
        <v>39.537280452065687</v>
      </c>
      <c r="AF5319" s="9">
        <v>42.115429646064094</v>
      </c>
      <c r="AG5319" s="9">
        <v>42.115429646064094</v>
      </c>
      <c r="AH5319" s="9">
        <v>45.566990204681431</v>
      </c>
      <c r="AI5319" s="9">
        <v>48.2081665036403</v>
      </c>
      <c r="AJ5319" s="9">
        <v>3.0428788910505911</v>
      </c>
    </row>
    <row r="5320" spans="1:36" x14ac:dyDescent="0.25">
      <c r="A5320" t="s">
        <v>5411</v>
      </c>
      <c r="B5320" t="s">
        <v>16</v>
      </c>
      <c r="C5320" t="s">
        <v>17</v>
      </c>
      <c r="D5320">
        <v>89595000</v>
      </c>
      <c r="E5320">
        <v>89599999</v>
      </c>
      <c r="F5320" t="s">
        <v>4822</v>
      </c>
      <c r="G5320" t="str">
        <f t="shared" si="166"/>
        <v>SCI II</v>
      </c>
      <c r="H5320" t="s">
        <v>4654</v>
      </c>
      <c r="I5320" t="s">
        <v>20</v>
      </c>
      <c r="J5320" t="s">
        <v>64</v>
      </c>
      <c r="K5320" s="6">
        <v>0.03</v>
      </c>
      <c r="L5320" s="7">
        <f t="shared" si="167"/>
        <v>2E-3</v>
      </c>
      <c r="M5320" s="7">
        <v>3.0000000000000001E-3</v>
      </c>
      <c r="N5320">
        <v>11</v>
      </c>
      <c r="O5320" s="8">
        <v>19.475693895950801</v>
      </c>
      <c r="P5320" s="9">
        <v>19.475693895950801</v>
      </c>
      <c r="Q5320" s="9">
        <v>19.475693895950801</v>
      </c>
      <c r="R5320" s="9">
        <v>20.024452706180426</v>
      </c>
      <c r="S5320" s="9">
        <v>20.875099128492941</v>
      </c>
      <c r="T5320" s="9">
        <v>21.733350185946453</v>
      </c>
      <c r="U5320" s="9">
        <v>23.861555618318132</v>
      </c>
      <c r="V5320" s="9">
        <v>23.861555618318132</v>
      </c>
      <c r="W5320" s="9">
        <v>23.861555618318132</v>
      </c>
      <c r="X5320" s="9">
        <v>26.599525609534091</v>
      </c>
      <c r="Y5320" s="9">
        <v>26.599525609534091</v>
      </c>
      <c r="Z5320" s="9">
        <v>29.424604823442099</v>
      </c>
      <c r="AA5320" s="9">
        <v>29.424604823442099</v>
      </c>
      <c r="AB5320" s="9">
        <v>32.345504182311352</v>
      </c>
      <c r="AC5320" s="9">
        <v>32.345504182311352</v>
      </c>
      <c r="AD5320" s="9">
        <v>37.073967958020759</v>
      </c>
      <c r="AE5320" s="9">
        <v>39.537280452065687</v>
      </c>
      <c r="AF5320" s="9">
        <v>42.115429646064094</v>
      </c>
      <c r="AG5320" s="9">
        <v>42.115429646064094</v>
      </c>
      <c r="AH5320" s="9">
        <v>45.566990204681431</v>
      </c>
      <c r="AI5320" s="9">
        <v>48.2081665036403</v>
      </c>
      <c r="AJ5320" s="9">
        <v>3.0428788910505911</v>
      </c>
    </row>
    <row r="5321" spans="1:36" x14ac:dyDescent="0.25">
      <c r="A5321" t="s">
        <v>5411</v>
      </c>
      <c r="B5321" t="s">
        <v>16</v>
      </c>
      <c r="C5321" t="s">
        <v>17</v>
      </c>
      <c r="D5321">
        <v>89600000</v>
      </c>
      <c r="E5321">
        <v>89608999</v>
      </c>
      <c r="F5321" t="s">
        <v>4823</v>
      </c>
      <c r="G5321" t="str">
        <f t="shared" si="166"/>
        <v>SCI</v>
      </c>
      <c r="H5321" t="s">
        <v>4654</v>
      </c>
      <c r="I5321" t="s">
        <v>20</v>
      </c>
      <c r="J5321" t="s">
        <v>62</v>
      </c>
      <c r="K5321" s="6">
        <v>0.03</v>
      </c>
      <c r="L5321" s="7">
        <f t="shared" si="167"/>
        <v>2E-3</v>
      </c>
      <c r="M5321" s="7">
        <v>3.0000000000000001E-3</v>
      </c>
      <c r="N5321">
        <v>10</v>
      </c>
      <c r="O5321" s="8">
        <v>16.631361039134706</v>
      </c>
      <c r="P5321" s="9">
        <v>16.631361039134706</v>
      </c>
      <c r="Q5321" s="9">
        <v>16.631361039134706</v>
      </c>
      <c r="R5321" s="9">
        <v>17.060180136455905</v>
      </c>
      <c r="S5321" s="9">
        <v>18.024171003933382</v>
      </c>
      <c r="T5321" s="9">
        <v>18.868116637328029</v>
      </c>
      <c r="U5321" s="9">
        <v>20.58817720770605</v>
      </c>
      <c r="V5321" s="9">
        <v>20.58817720770605</v>
      </c>
      <c r="W5321" s="9">
        <v>20.58817720770605</v>
      </c>
      <c r="X5321" s="9">
        <v>22.864259828555831</v>
      </c>
      <c r="Y5321" s="9">
        <v>22.864259828555831</v>
      </c>
      <c r="Z5321" s="9">
        <v>25.323053608820352</v>
      </c>
      <c r="AA5321" s="9">
        <v>25.323053608820352</v>
      </c>
      <c r="AB5321" s="9">
        <v>28.021815637038035</v>
      </c>
      <c r="AC5321" s="9">
        <v>28.021815637038035</v>
      </c>
      <c r="AD5321" s="9">
        <v>30.863654196486234</v>
      </c>
      <c r="AE5321" s="9">
        <v>33.866973124126531</v>
      </c>
      <c r="AF5321" s="9">
        <v>37.052606032896897</v>
      </c>
      <c r="AG5321" s="9">
        <v>37.052606032896897</v>
      </c>
      <c r="AH5321" s="9">
        <v>39.965079814445566</v>
      </c>
      <c r="AI5321" s="9">
        <v>42.780649023864797</v>
      </c>
      <c r="AJ5321" s="9">
        <v>3.0428788910505911</v>
      </c>
    </row>
    <row r="5322" spans="1:36" x14ac:dyDescent="0.25">
      <c r="A5322" t="s">
        <v>5411</v>
      </c>
      <c r="B5322" t="s">
        <v>16</v>
      </c>
      <c r="C5322" t="s">
        <v>17</v>
      </c>
      <c r="D5322">
        <v>89609000</v>
      </c>
      <c r="E5322">
        <v>89609999</v>
      </c>
      <c r="F5322" t="s">
        <v>4824</v>
      </c>
      <c r="G5322" t="str">
        <f t="shared" si="166"/>
        <v>SCI II</v>
      </c>
      <c r="H5322" t="s">
        <v>4654</v>
      </c>
      <c r="I5322" t="s">
        <v>20</v>
      </c>
      <c r="J5322" t="s">
        <v>64</v>
      </c>
      <c r="K5322" s="6">
        <v>0.03</v>
      </c>
      <c r="L5322" s="7">
        <f t="shared" si="167"/>
        <v>2E-3</v>
      </c>
      <c r="M5322" s="7">
        <v>3.0000000000000001E-3</v>
      </c>
      <c r="N5322">
        <v>11</v>
      </c>
      <c r="O5322" s="8">
        <v>19.475693895950801</v>
      </c>
      <c r="P5322" s="9">
        <v>19.475693895950801</v>
      </c>
      <c r="Q5322" s="9">
        <v>19.475693895950801</v>
      </c>
      <c r="R5322" s="9">
        <v>20.024452706180426</v>
      </c>
      <c r="S5322" s="9">
        <v>20.875099128492941</v>
      </c>
      <c r="T5322" s="9">
        <v>21.733350185946453</v>
      </c>
      <c r="U5322" s="9">
        <v>23.861555618318132</v>
      </c>
      <c r="V5322" s="9">
        <v>23.861555618318132</v>
      </c>
      <c r="W5322" s="9">
        <v>23.861555618318132</v>
      </c>
      <c r="X5322" s="9">
        <v>26.599525609534091</v>
      </c>
      <c r="Y5322" s="9">
        <v>26.599525609534091</v>
      </c>
      <c r="Z5322" s="9">
        <v>29.424604823442099</v>
      </c>
      <c r="AA5322" s="9">
        <v>29.424604823442099</v>
      </c>
      <c r="AB5322" s="9">
        <v>32.345504182311352</v>
      </c>
      <c r="AC5322" s="9">
        <v>32.345504182311352</v>
      </c>
      <c r="AD5322" s="9">
        <v>37.073967958020759</v>
      </c>
      <c r="AE5322" s="9">
        <v>39.537280452065687</v>
      </c>
      <c r="AF5322" s="9">
        <v>42.115429646064094</v>
      </c>
      <c r="AG5322" s="9">
        <v>42.115429646064094</v>
      </c>
      <c r="AH5322" s="9">
        <v>45.566990204681431</v>
      </c>
      <c r="AI5322" s="9">
        <v>48.2081665036403</v>
      </c>
      <c r="AJ5322" s="9">
        <v>3.0428788910505911</v>
      </c>
    </row>
    <row r="5323" spans="1:36" x14ac:dyDescent="0.25">
      <c r="A5323" t="s">
        <v>5411</v>
      </c>
      <c r="B5323" t="s">
        <v>16</v>
      </c>
      <c r="C5323" t="s">
        <v>17</v>
      </c>
      <c r="D5323">
        <v>89610000</v>
      </c>
      <c r="E5323">
        <v>89612999</v>
      </c>
      <c r="F5323" t="s">
        <v>4825</v>
      </c>
      <c r="G5323" t="str">
        <f t="shared" si="166"/>
        <v>SCI II</v>
      </c>
      <c r="H5323" t="s">
        <v>4654</v>
      </c>
      <c r="I5323" t="s">
        <v>20</v>
      </c>
      <c r="J5323" t="s">
        <v>64</v>
      </c>
      <c r="K5323" s="6">
        <v>0.03</v>
      </c>
      <c r="L5323" s="7">
        <f t="shared" si="167"/>
        <v>2E-3</v>
      </c>
      <c r="M5323" s="7">
        <v>3.0000000000000001E-3</v>
      </c>
      <c r="N5323">
        <v>11</v>
      </c>
      <c r="O5323" s="8">
        <v>19.475693895950801</v>
      </c>
      <c r="P5323" s="9">
        <v>19.475693895950801</v>
      </c>
      <c r="Q5323" s="9">
        <v>19.475693895950801</v>
      </c>
      <c r="R5323" s="9">
        <v>20.024452706180426</v>
      </c>
      <c r="S5323" s="9">
        <v>20.875099128492941</v>
      </c>
      <c r="T5323" s="9">
        <v>21.733350185946453</v>
      </c>
      <c r="U5323" s="9">
        <v>23.861555618318132</v>
      </c>
      <c r="V5323" s="9">
        <v>23.861555618318132</v>
      </c>
      <c r="W5323" s="9">
        <v>23.861555618318132</v>
      </c>
      <c r="X5323" s="9">
        <v>26.599525609534091</v>
      </c>
      <c r="Y5323" s="9">
        <v>26.599525609534091</v>
      </c>
      <c r="Z5323" s="9">
        <v>29.424604823442099</v>
      </c>
      <c r="AA5323" s="9">
        <v>29.424604823442099</v>
      </c>
      <c r="AB5323" s="9">
        <v>32.345504182311352</v>
      </c>
      <c r="AC5323" s="9">
        <v>32.345504182311352</v>
      </c>
      <c r="AD5323" s="9">
        <v>37.073967958020759</v>
      </c>
      <c r="AE5323" s="9">
        <v>39.537280452065687</v>
      </c>
      <c r="AF5323" s="9">
        <v>42.115429646064094</v>
      </c>
      <c r="AG5323" s="9">
        <v>42.115429646064094</v>
      </c>
      <c r="AH5323" s="9">
        <v>45.566990204681431</v>
      </c>
      <c r="AI5323" s="9">
        <v>48.2081665036403</v>
      </c>
      <c r="AJ5323" s="9">
        <v>3.0428788910505911</v>
      </c>
    </row>
    <row r="5324" spans="1:36" x14ac:dyDescent="0.25">
      <c r="A5324" t="s">
        <v>5411</v>
      </c>
      <c r="B5324" t="s">
        <v>16</v>
      </c>
      <c r="C5324" t="s">
        <v>17</v>
      </c>
      <c r="D5324">
        <v>89613000</v>
      </c>
      <c r="E5324">
        <v>89617999</v>
      </c>
      <c r="F5324" t="s">
        <v>4826</v>
      </c>
      <c r="G5324" t="str">
        <f t="shared" si="166"/>
        <v>SCI II</v>
      </c>
      <c r="H5324" t="s">
        <v>4654</v>
      </c>
      <c r="I5324" t="s">
        <v>20</v>
      </c>
      <c r="J5324" t="s">
        <v>64</v>
      </c>
      <c r="K5324" s="6">
        <v>0.03</v>
      </c>
      <c r="L5324" s="7">
        <f t="shared" si="167"/>
        <v>2E-3</v>
      </c>
      <c r="M5324" s="7">
        <v>3.0000000000000001E-3</v>
      </c>
      <c r="N5324">
        <v>11</v>
      </c>
      <c r="O5324" s="8">
        <v>19.475693895950801</v>
      </c>
      <c r="P5324" s="9">
        <v>19.475693895950801</v>
      </c>
      <c r="Q5324" s="9">
        <v>19.475693895950801</v>
      </c>
      <c r="R5324" s="9">
        <v>20.024452706180426</v>
      </c>
      <c r="S5324" s="9">
        <v>20.875099128492941</v>
      </c>
      <c r="T5324" s="9">
        <v>21.733350185946453</v>
      </c>
      <c r="U5324" s="9">
        <v>23.861555618318132</v>
      </c>
      <c r="V5324" s="9">
        <v>23.861555618318132</v>
      </c>
      <c r="W5324" s="9">
        <v>23.861555618318132</v>
      </c>
      <c r="X5324" s="9">
        <v>26.599525609534091</v>
      </c>
      <c r="Y5324" s="9">
        <v>26.599525609534091</v>
      </c>
      <c r="Z5324" s="9">
        <v>29.424604823442099</v>
      </c>
      <c r="AA5324" s="9">
        <v>29.424604823442099</v>
      </c>
      <c r="AB5324" s="9">
        <v>32.345504182311352</v>
      </c>
      <c r="AC5324" s="9">
        <v>32.345504182311352</v>
      </c>
      <c r="AD5324" s="9">
        <v>37.073967958020759</v>
      </c>
      <c r="AE5324" s="9">
        <v>39.537280452065687</v>
      </c>
      <c r="AF5324" s="9">
        <v>42.115429646064094</v>
      </c>
      <c r="AG5324" s="9">
        <v>42.115429646064094</v>
      </c>
      <c r="AH5324" s="9">
        <v>45.566990204681431</v>
      </c>
      <c r="AI5324" s="9">
        <v>48.2081665036403</v>
      </c>
      <c r="AJ5324" s="9">
        <v>3.0428788910505911</v>
      </c>
    </row>
    <row r="5325" spans="1:36" x14ac:dyDescent="0.25">
      <c r="A5325" t="s">
        <v>5411</v>
      </c>
      <c r="B5325" t="s">
        <v>16</v>
      </c>
      <c r="C5325" t="s">
        <v>17</v>
      </c>
      <c r="D5325">
        <v>89618000</v>
      </c>
      <c r="E5325">
        <v>89619999</v>
      </c>
      <c r="F5325" t="s">
        <v>4827</v>
      </c>
      <c r="G5325" t="str">
        <f t="shared" si="166"/>
        <v>SCI II</v>
      </c>
      <c r="H5325" t="s">
        <v>4654</v>
      </c>
      <c r="I5325" t="s">
        <v>20</v>
      </c>
      <c r="J5325" t="s">
        <v>64</v>
      </c>
      <c r="K5325" s="6">
        <v>0.03</v>
      </c>
      <c r="L5325" s="7">
        <f t="shared" si="167"/>
        <v>2E-3</v>
      </c>
      <c r="M5325" s="7">
        <v>3.0000000000000001E-3</v>
      </c>
      <c r="N5325">
        <v>11</v>
      </c>
      <c r="O5325" s="8">
        <v>19.475693895950801</v>
      </c>
      <c r="P5325" s="9">
        <v>19.475693895950801</v>
      </c>
      <c r="Q5325" s="9">
        <v>19.475693895950801</v>
      </c>
      <c r="R5325" s="9">
        <v>20.024452706180426</v>
      </c>
      <c r="S5325" s="9">
        <v>20.875099128492941</v>
      </c>
      <c r="T5325" s="9">
        <v>21.733350185946453</v>
      </c>
      <c r="U5325" s="9">
        <v>23.861555618318132</v>
      </c>
      <c r="V5325" s="9">
        <v>23.861555618318132</v>
      </c>
      <c r="W5325" s="9">
        <v>23.861555618318132</v>
      </c>
      <c r="X5325" s="9">
        <v>26.599525609534091</v>
      </c>
      <c r="Y5325" s="9">
        <v>26.599525609534091</v>
      </c>
      <c r="Z5325" s="9">
        <v>29.424604823442099</v>
      </c>
      <c r="AA5325" s="9">
        <v>29.424604823442099</v>
      </c>
      <c r="AB5325" s="9">
        <v>32.345504182311352</v>
      </c>
      <c r="AC5325" s="9">
        <v>32.345504182311352</v>
      </c>
      <c r="AD5325" s="9">
        <v>37.073967958020759</v>
      </c>
      <c r="AE5325" s="9">
        <v>39.537280452065687</v>
      </c>
      <c r="AF5325" s="9">
        <v>42.115429646064094</v>
      </c>
      <c r="AG5325" s="9">
        <v>42.115429646064094</v>
      </c>
      <c r="AH5325" s="9">
        <v>45.566990204681431</v>
      </c>
      <c r="AI5325" s="9">
        <v>48.2081665036403</v>
      </c>
      <c r="AJ5325" s="9">
        <v>3.0428788910505911</v>
      </c>
    </row>
    <row r="5326" spans="1:36" x14ac:dyDescent="0.25">
      <c r="A5326" t="s">
        <v>5411</v>
      </c>
      <c r="B5326" t="s">
        <v>16</v>
      </c>
      <c r="C5326" t="s">
        <v>17</v>
      </c>
      <c r="D5326">
        <v>89620000</v>
      </c>
      <c r="E5326">
        <v>89632999</v>
      </c>
      <c r="F5326" t="s">
        <v>4828</v>
      </c>
      <c r="G5326" t="str">
        <f t="shared" si="166"/>
        <v>SCI</v>
      </c>
      <c r="H5326" t="s">
        <v>4654</v>
      </c>
      <c r="I5326" t="s">
        <v>20</v>
      </c>
      <c r="J5326" t="s">
        <v>62</v>
      </c>
      <c r="K5326" s="6">
        <v>0.03</v>
      </c>
      <c r="L5326" s="7">
        <f t="shared" si="167"/>
        <v>2E-3</v>
      </c>
      <c r="M5326" s="7">
        <v>3.0000000000000001E-3</v>
      </c>
      <c r="N5326">
        <v>10</v>
      </c>
      <c r="O5326" s="8">
        <v>16.631361039134706</v>
      </c>
      <c r="P5326" s="9">
        <v>16.631361039134706</v>
      </c>
      <c r="Q5326" s="9">
        <v>16.631361039134706</v>
      </c>
      <c r="R5326" s="9">
        <v>17.060180136455905</v>
      </c>
      <c r="S5326" s="9">
        <v>18.024171003933382</v>
      </c>
      <c r="T5326" s="9">
        <v>18.868116637328029</v>
      </c>
      <c r="U5326" s="9">
        <v>20.58817720770605</v>
      </c>
      <c r="V5326" s="9">
        <v>20.58817720770605</v>
      </c>
      <c r="W5326" s="9">
        <v>20.58817720770605</v>
      </c>
      <c r="X5326" s="9">
        <v>22.864259828555831</v>
      </c>
      <c r="Y5326" s="9">
        <v>22.864259828555831</v>
      </c>
      <c r="Z5326" s="9">
        <v>25.323053608820352</v>
      </c>
      <c r="AA5326" s="9">
        <v>25.323053608820352</v>
      </c>
      <c r="AB5326" s="9">
        <v>28.021815637038035</v>
      </c>
      <c r="AC5326" s="9">
        <v>28.021815637038035</v>
      </c>
      <c r="AD5326" s="9">
        <v>30.863654196486234</v>
      </c>
      <c r="AE5326" s="9">
        <v>33.866973124126531</v>
      </c>
      <c r="AF5326" s="9">
        <v>37.052606032896897</v>
      </c>
      <c r="AG5326" s="9">
        <v>37.052606032896897</v>
      </c>
      <c r="AH5326" s="9">
        <v>39.965079814445566</v>
      </c>
      <c r="AI5326" s="9">
        <v>42.780649023864797</v>
      </c>
      <c r="AJ5326" s="9">
        <v>3.0428788910505911</v>
      </c>
    </row>
    <row r="5327" spans="1:36" x14ac:dyDescent="0.25">
      <c r="A5327" t="s">
        <v>5411</v>
      </c>
      <c r="B5327" t="s">
        <v>16</v>
      </c>
      <c r="C5327" t="s">
        <v>17</v>
      </c>
      <c r="D5327">
        <v>89633000</v>
      </c>
      <c r="E5327">
        <v>89633999</v>
      </c>
      <c r="F5327" t="s">
        <v>4829</v>
      </c>
      <c r="G5327" t="str">
        <f t="shared" si="166"/>
        <v>SCI II</v>
      </c>
      <c r="H5327" t="s">
        <v>4654</v>
      </c>
      <c r="I5327" t="s">
        <v>20</v>
      </c>
      <c r="J5327" t="s">
        <v>64</v>
      </c>
      <c r="K5327" s="6">
        <v>0.03</v>
      </c>
      <c r="L5327" s="7">
        <f t="shared" si="167"/>
        <v>2E-3</v>
      </c>
      <c r="M5327" s="7">
        <v>3.0000000000000001E-3</v>
      </c>
      <c r="N5327">
        <v>11</v>
      </c>
      <c r="O5327" s="8">
        <v>19.475693895950801</v>
      </c>
      <c r="P5327" s="9">
        <v>19.475693895950801</v>
      </c>
      <c r="Q5327" s="9">
        <v>19.475693895950801</v>
      </c>
      <c r="R5327" s="9">
        <v>20.024452706180426</v>
      </c>
      <c r="S5327" s="9">
        <v>20.875099128492941</v>
      </c>
      <c r="T5327" s="9">
        <v>21.733350185946453</v>
      </c>
      <c r="U5327" s="9">
        <v>23.861555618318132</v>
      </c>
      <c r="V5327" s="9">
        <v>23.861555618318132</v>
      </c>
      <c r="W5327" s="9">
        <v>23.861555618318132</v>
      </c>
      <c r="X5327" s="9">
        <v>26.599525609534091</v>
      </c>
      <c r="Y5327" s="9">
        <v>26.599525609534091</v>
      </c>
      <c r="Z5327" s="9">
        <v>29.424604823442099</v>
      </c>
      <c r="AA5327" s="9">
        <v>29.424604823442099</v>
      </c>
      <c r="AB5327" s="9">
        <v>32.345504182311352</v>
      </c>
      <c r="AC5327" s="9">
        <v>32.345504182311352</v>
      </c>
      <c r="AD5327" s="9">
        <v>37.073967958020759</v>
      </c>
      <c r="AE5327" s="9">
        <v>39.537280452065687</v>
      </c>
      <c r="AF5327" s="9">
        <v>42.115429646064094</v>
      </c>
      <c r="AG5327" s="9">
        <v>42.115429646064094</v>
      </c>
      <c r="AH5327" s="9">
        <v>45.566990204681431</v>
      </c>
      <c r="AI5327" s="9">
        <v>48.2081665036403</v>
      </c>
      <c r="AJ5327" s="9">
        <v>3.0428788910505911</v>
      </c>
    </row>
    <row r="5328" spans="1:36" x14ac:dyDescent="0.25">
      <c r="A5328" t="s">
        <v>5411</v>
      </c>
      <c r="B5328" t="s">
        <v>16</v>
      </c>
      <c r="C5328" t="s">
        <v>17</v>
      </c>
      <c r="D5328">
        <v>89634000</v>
      </c>
      <c r="E5328">
        <v>89635999</v>
      </c>
      <c r="F5328" t="s">
        <v>4830</v>
      </c>
      <c r="G5328" t="str">
        <f t="shared" si="166"/>
        <v>SCI II</v>
      </c>
      <c r="H5328" t="s">
        <v>4654</v>
      </c>
      <c r="I5328" t="s">
        <v>20</v>
      </c>
      <c r="J5328" t="s">
        <v>64</v>
      </c>
      <c r="K5328" s="6">
        <v>0.03</v>
      </c>
      <c r="L5328" s="7">
        <f t="shared" si="167"/>
        <v>2E-3</v>
      </c>
      <c r="M5328" s="7">
        <v>3.0000000000000001E-3</v>
      </c>
      <c r="N5328">
        <v>11</v>
      </c>
      <c r="O5328" s="8">
        <v>19.475693895950801</v>
      </c>
      <c r="P5328" s="9">
        <v>19.475693895950801</v>
      </c>
      <c r="Q5328" s="9">
        <v>19.475693895950801</v>
      </c>
      <c r="R5328" s="9">
        <v>20.024452706180426</v>
      </c>
      <c r="S5328" s="9">
        <v>20.875099128492941</v>
      </c>
      <c r="T5328" s="9">
        <v>21.733350185946453</v>
      </c>
      <c r="U5328" s="9">
        <v>23.861555618318132</v>
      </c>
      <c r="V5328" s="9">
        <v>23.861555618318132</v>
      </c>
      <c r="W5328" s="9">
        <v>23.861555618318132</v>
      </c>
      <c r="X5328" s="9">
        <v>26.599525609534091</v>
      </c>
      <c r="Y5328" s="9">
        <v>26.599525609534091</v>
      </c>
      <c r="Z5328" s="9">
        <v>29.424604823442099</v>
      </c>
      <c r="AA5328" s="9">
        <v>29.424604823442099</v>
      </c>
      <c r="AB5328" s="9">
        <v>32.345504182311352</v>
      </c>
      <c r="AC5328" s="9">
        <v>32.345504182311352</v>
      </c>
      <c r="AD5328" s="9">
        <v>37.073967958020759</v>
      </c>
      <c r="AE5328" s="9">
        <v>39.537280452065687</v>
      </c>
      <c r="AF5328" s="9">
        <v>42.115429646064094</v>
      </c>
      <c r="AG5328" s="9">
        <v>42.115429646064094</v>
      </c>
      <c r="AH5328" s="9">
        <v>45.566990204681431</v>
      </c>
      <c r="AI5328" s="9">
        <v>48.2081665036403</v>
      </c>
      <c r="AJ5328" s="9">
        <v>3.0428788910505911</v>
      </c>
    </row>
    <row r="5329" spans="1:36" x14ac:dyDescent="0.25">
      <c r="A5329" t="s">
        <v>5411</v>
      </c>
      <c r="B5329" t="s">
        <v>16</v>
      </c>
      <c r="C5329" t="s">
        <v>17</v>
      </c>
      <c r="D5329">
        <v>89636000</v>
      </c>
      <c r="E5329">
        <v>89637999</v>
      </c>
      <c r="F5329" t="s">
        <v>4831</v>
      </c>
      <c r="G5329" t="str">
        <f t="shared" si="166"/>
        <v>SCI II</v>
      </c>
      <c r="H5329" t="s">
        <v>4654</v>
      </c>
      <c r="I5329" t="s">
        <v>20</v>
      </c>
      <c r="J5329" t="s">
        <v>64</v>
      </c>
      <c r="K5329" s="6">
        <v>0.03</v>
      </c>
      <c r="L5329" s="7">
        <f t="shared" si="167"/>
        <v>2E-3</v>
      </c>
      <c r="M5329" s="7">
        <v>3.0000000000000001E-3</v>
      </c>
      <c r="N5329">
        <v>11</v>
      </c>
      <c r="O5329" s="8">
        <v>19.475693895950801</v>
      </c>
      <c r="P5329" s="9">
        <v>19.475693895950801</v>
      </c>
      <c r="Q5329" s="9">
        <v>19.475693895950801</v>
      </c>
      <c r="R5329" s="9">
        <v>20.024452706180426</v>
      </c>
      <c r="S5329" s="9">
        <v>20.875099128492941</v>
      </c>
      <c r="T5329" s="9">
        <v>21.733350185946453</v>
      </c>
      <c r="U5329" s="9">
        <v>23.861555618318132</v>
      </c>
      <c r="V5329" s="9">
        <v>23.861555618318132</v>
      </c>
      <c r="W5329" s="9">
        <v>23.861555618318132</v>
      </c>
      <c r="X5329" s="9">
        <v>26.599525609534091</v>
      </c>
      <c r="Y5329" s="9">
        <v>26.599525609534091</v>
      </c>
      <c r="Z5329" s="9">
        <v>29.424604823442099</v>
      </c>
      <c r="AA5329" s="9">
        <v>29.424604823442099</v>
      </c>
      <c r="AB5329" s="9">
        <v>32.345504182311352</v>
      </c>
      <c r="AC5329" s="9">
        <v>32.345504182311352</v>
      </c>
      <c r="AD5329" s="9">
        <v>37.073967958020759</v>
      </c>
      <c r="AE5329" s="9">
        <v>39.537280452065687</v>
      </c>
      <c r="AF5329" s="9">
        <v>42.115429646064094</v>
      </c>
      <c r="AG5329" s="9">
        <v>42.115429646064094</v>
      </c>
      <c r="AH5329" s="9">
        <v>45.566990204681431</v>
      </c>
      <c r="AI5329" s="9">
        <v>48.2081665036403</v>
      </c>
      <c r="AJ5329" s="9">
        <v>3.0428788910505911</v>
      </c>
    </row>
    <row r="5330" spans="1:36" x14ac:dyDescent="0.25">
      <c r="A5330" t="s">
        <v>5411</v>
      </c>
      <c r="B5330" t="s">
        <v>16</v>
      </c>
      <c r="C5330" t="s">
        <v>17</v>
      </c>
      <c r="D5330">
        <v>89638000</v>
      </c>
      <c r="E5330">
        <v>89639999</v>
      </c>
      <c r="F5330" t="s">
        <v>129</v>
      </c>
      <c r="G5330" t="str">
        <f t="shared" si="166"/>
        <v>SCI II</v>
      </c>
      <c r="H5330" t="s">
        <v>4654</v>
      </c>
      <c r="I5330" t="s">
        <v>20</v>
      </c>
      <c r="J5330" t="s">
        <v>64</v>
      </c>
      <c r="K5330" s="6">
        <v>0.03</v>
      </c>
      <c r="L5330" s="7">
        <f t="shared" si="167"/>
        <v>2E-3</v>
      </c>
      <c r="M5330" s="7">
        <v>3.0000000000000001E-3</v>
      </c>
      <c r="N5330">
        <v>11</v>
      </c>
      <c r="O5330" s="8">
        <v>19.475693895950801</v>
      </c>
      <c r="P5330" s="9">
        <v>19.475693895950801</v>
      </c>
      <c r="Q5330" s="9">
        <v>19.475693895950801</v>
      </c>
      <c r="R5330" s="9">
        <v>20.024452706180426</v>
      </c>
      <c r="S5330" s="9">
        <v>20.875099128492941</v>
      </c>
      <c r="T5330" s="9">
        <v>21.733350185946453</v>
      </c>
      <c r="U5330" s="9">
        <v>23.861555618318132</v>
      </c>
      <c r="V5330" s="9">
        <v>23.861555618318132</v>
      </c>
      <c r="W5330" s="9">
        <v>23.861555618318132</v>
      </c>
      <c r="X5330" s="9">
        <v>26.599525609534091</v>
      </c>
      <c r="Y5330" s="9">
        <v>26.599525609534091</v>
      </c>
      <c r="Z5330" s="9">
        <v>29.424604823442099</v>
      </c>
      <c r="AA5330" s="9">
        <v>29.424604823442099</v>
      </c>
      <c r="AB5330" s="9">
        <v>32.345504182311352</v>
      </c>
      <c r="AC5330" s="9">
        <v>32.345504182311352</v>
      </c>
      <c r="AD5330" s="9">
        <v>37.073967958020759</v>
      </c>
      <c r="AE5330" s="9">
        <v>39.537280452065687</v>
      </c>
      <c r="AF5330" s="9">
        <v>42.115429646064094</v>
      </c>
      <c r="AG5330" s="9">
        <v>42.115429646064094</v>
      </c>
      <c r="AH5330" s="9">
        <v>45.566990204681431</v>
      </c>
      <c r="AI5330" s="9">
        <v>48.2081665036403</v>
      </c>
      <c r="AJ5330" s="9">
        <v>3.0428788910505911</v>
      </c>
    </row>
    <row r="5331" spans="1:36" x14ac:dyDescent="0.25">
      <c r="A5331" t="s">
        <v>5411</v>
      </c>
      <c r="B5331" t="s">
        <v>16</v>
      </c>
      <c r="C5331" t="s">
        <v>17</v>
      </c>
      <c r="D5331">
        <v>89640000</v>
      </c>
      <c r="E5331">
        <v>89641999</v>
      </c>
      <c r="F5331" t="s">
        <v>4832</v>
      </c>
      <c r="G5331" t="str">
        <f t="shared" si="166"/>
        <v>SCI II</v>
      </c>
      <c r="H5331" t="s">
        <v>4654</v>
      </c>
      <c r="I5331" t="s">
        <v>20</v>
      </c>
      <c r="J5331" t="s">
        <v>64</v>
      </c>
      <c r="K5331" s="6">
        <v>0.03</v>
      </c>
      <c r="L5331" s="7">
        <f t="shared" si="167"/>
        <v>2E-3</v>
      </c>
      <c r="M5331" s="7">
        <v>3.0000000000000001E-3</v>
      </c>
      <c r="N5331">
        <v>11</v>
      </c>
      <c r="O5331" s="8">
        <v>19.475693895950801</v>
      </c>
      <c r="P5331" s="9">
        <v>19.475693895950801</v>
      </c>
      <c r="Q5331" s="9">
        <v>19.475693895950801</v>
      </c>
      <c r="R5331" s="9">
        <v>20.024452706180426</v>
      </c>
      <c r="S5331" s="9">
        <v>20.875099128492941</v>
      </c>
      <c r="T5331" s="9">
        <v>21.733350185946453</v>
      </c>
      <c r="U5331" s="9">
        <v>23.861555618318132</v>
      </c>
      <c r="V5331" s="9">
        <v>23.861555618318132</v>
      </c>
      <c r="W5331" s="9">
        <v>23.861555618318132</v>
      </c>
      <c r="X5331" s="9">
        <v>26.599525609534091</v>
      </c>
      <c r="Y5331" s="9">
        <v>26.599525609534091</v>
      </c>
      <c r="Z5331" s="9">
        <v>29.424604823442099</v>
      </c>
      <c r="AA5331" s="9">
        <v>29.424604823442099</v>
      </c>
      <c r="AB5331" s="9">
        <v>32.345504182311352</v>
      </c>
      <c r="AC5331" s="9">
        <v>32.345504182311352</v>
      </c>
      <c r="AD5331" s="9">
        <v>37.073967958020759</v>
      </c>
      <c r="AE5331" s="9">
        <v>39.537280452065687</v>
      </c>
      <c r="AF5331" s="9">
        <v>42.115429646064094</v>
      </c>
      <c r="AG5331" s="9">
        <v>42.115429646064094</v>
      </c>
      <c r="AH5331" s="9">
        <v>45.566990204681431</v>
      </c>
      <c r="AI5331" s="9">
        <v>48.2081665036403</v>
      </c>
      <c r="AJ5331" s="9">
        <v>3.0428788910505911</v>
      </c>
    </row>
    <row r="5332" spans="1:36" x14ac:dyDescent="0.25">
      <c r="A5332" t="s">
        <v>5411</v>
      </c>
      <c r="B5332" t="s">
        <v>16</v>
      </c>
      <c r="C5332" t="s">
        <v>17</v>
      </c>
      <c r="D5332">
        <v>89642000</v>
      </c>
      <c r="E5332">
        <v>89649999</v>
      </c>
      <c r="F5332" t="s">
        <v>2693</v>
      </c>
      <c r="G5332" t="str">
        <f t="shared" si="166"/>
        <v>SCI II</v>
      </c>
      <c r="H5332" t="s">
        <v>4654</v>
      </c>
      <c r="I5332" t="s">
        <v>20</v>
      </c>
      <c r="J5332" t="s">
        <v>64</v>
      </c>
      <c r="K5332" s="6">
        <v>0.03</v>
      </c>
      <c r="L5332" s="7">
        <f t="shared" si="167"/>
        <v>2E-3</v>
      </c>
      <c r="M5332" s="7">
        <v>3.0000000000000001E-3</v>
      </c>
      <c r="N5332">
        <v>11</v>
      </c>
      <c r="O5332" s="8">
        <v>19.475693895950801</v>
      </c>
      <c r="P5332" s="9">
        <v>19.475693895950801</v>
      </c>
      <c r="Q5332" s="9">
        <v>19.475693895950801</v>
      </c>
      <c r="R5332" s="9">
        <v>20.024452706180426</v>
      </c>
      <c r="S5332" s="9">
        <v>20.875099128492941</v>
      </c>
      <c r="T5332" s="9">
        <v>21.733350185946453</v>
      </c>
      <c r="U5332" s="9">
        <v>23.861555618318132</v>
      </c>
      <c r="V5332" s="9">
        <v>23.861555618318132</v>
      </c>
      <c r="W5332" s="9">
        <v>23.861555618318132</v>
      </c>
      <c r="X5332" s="9">
        <v>26.599525609534091</v>
      </c>
      <c r="Y5332" s="9">
        <v>26.599525609534091</v>
      </c>
      <c r="Z5332" s="9">
        <v>29.424604823442099</v>
      </c>
      <c r="AA5332" s="9">
        <v>29.424604823442099</v>
      </c>
      <c r="AB5332" s="9">
        <v>32.345504182311352</v>
      </c>
      <c r="AC5332" s="9">
        <v>32.345504182311352</v>
      </c>
      <c r="AD5332" s="9">
        <v>37.073967958020759</v>
      </c>
      <c r="AE5332" s="9">
        <v>39.537280452065687</v>
      </c>
      <c r="AF5332" s="9">
        <v>42.115429646064094</v>
      </c>
      <c r="AG5332" s="9">
        <v>42.115429646064094</v>
      </c>
      <c r="AH5332" s="9">
        <v>45.566990204681431</v>
      </c>
      <c r="AI5332" s="9">
        <v>48.2081665036403</v>
      </c>
      <c r="AJ5332" s="9">
        <v>3.0428788910505911</v>
      </c>
    </row>
    <row r="5333" spans="1:36" x14ac:dyDescent="0.25">
      <c r="A5333" t="s">
        <v>5411</v>
      </c>
      <c r="B5333" t="s">
        <v>16</v>
      </c>
      <c r="C5333" t="s">
        <v>17</v>
      </c>
      <c r="D5333">
        <v>89650000</v>
      </c>
      <c r="E5333">
        <v>89651999</v>
      </c>
      <c r="F5333" t="s">
        <v>4833</v>
      </c>
      <c r="G5333" t="str">
        <f t="shared" si="166"/>
        <v>SCI II</v>
      </c>
      <c r="H5333" t="s">
        <v>4654</v>
      </c>
      <c r="I5333" t="s">
        <v>20</v>
      </c>
      <c r="J5333" t="s">
        <v>64</v>
      </c>
      <c r="K5333" s="6">
        <v>0.03</v>
      </c>
      <c r="L5333" s="7">
        <f t="shared" si="167"/>
        <v>2E-3</v>
      </c>
      <c r="M5333" s="7">
        <v>3.0000000000000001E-3</v>
      </c>
      <c r="N5333">
        <v>11</v>
      </c>
      <c r="O5333" s="8">
        <v>19.475693895950801</v>
      </c>
      <c r="P5333" s="9">
        <v>19.475693895950801</v>
      </c>
      <c r="Q5333" s="9">
        <v>19.475693895950801</v>
      </c>
      <c r="R5333" s="9">
        <v>20.024452706180426</v>
      </c>
      <c r="S5333" s="9">
        <v>20.875099128492941</v>
      </c>
      <c r="T5333" s="9">
        <v>21.733350185946453</v>
      </c>
      <c r="U5333" s="9">
        <v>23.861555618318132</v>
      </c>
      <c r="V5333" s="9">
        <v>23.861555618318132</v>
      </c>
      <c r="W5333" s="9">
        <v>23.861555618318132</v>
      </c>
      <c r="X5333" s="9">
        <v>26.599525609534091</v>
      </c>
      <c r="Y5333" s="9">
        <v>26.599525609534091</v>
      </c>
      <c r="Z5333" s="9">
        <v>29.424604823442099</v>
      </c>
      <c r="AA5333" s="9">
        <v>29.424604823442099</v>
      </c>
      <c r="AB5333" s="9">
        <v>32.345504182311352</v>
      </c>
      <c r="AC5333" s="9">
        <v>32.345504182311352</v>
      </c>
      <c r="AD5333" s="9">
        <v>37.073967958020759</v>
      </c>
      <c r="AE5333" s="9">
        <v>39.537280452065687</v>
      </c>
      <c r="AF5333" s="9">
        <v>42.115429646064094</v>
      </c>
      <c r="AG5333" s="9">
        <v>42.115429646064094</v>
      </c>
      <c r="AH5333" s="9">
        <v>45.566990204681431</v>
      </c>
      <c r="AI5333" s="9">
        <v>48.2081665036403</v>
      </c>
      <c r="AJ5333" s="9">
        <v>3.0428788910505911</v>
      </c>
    </row>
    <row r="5334" spans="1:36" x14ac:dyDescent="0.25">
      <c r="A5334" t="s">
        <v>5411</v>
      </c>
      <c r="B5334" t="s">
        <v>16</v>
      </c>
      <c r="C5334" t="s">
        <v>17</v>
      </c>
      <c r="D5334">
        <v>89652000</v>
      </c>
      <c r="E5334">
        <v>89653999</v>
      </c>
      <c r="F5334" t="s">
        <v>4834</v>
      </c>
      <c r="G5334" t="str">
        <f t="shared" si="166"/>
        <v>SCI II</v>
      </c>
      <c r="H5334" t="s">
        <v>4654</v>
      </c>
      <c r="I5334" t="s">
        <v>20</v>
      </c>
      <c r="J5334" t="s">
        <v>64</v>
      </c>
      <c r="K5334" s="6">
        <v>0.03</v>
      </c>
      <c r="L5334" s="7">
        <f t="shared" si="167"/>
        <v>2E-3</v>
      </c>
      <c r="M5334" s="7">
        <v>3.0000000000000001E-3</v>
      </c>
      <c r="N5334">
        <v>11</v>
      </c>
      <c r="O5334" s="8">
        <v>19.475693895950801</v>
      </c>
      <c r="P5334" s="9">
        <v>19.475693895950801</v>
      </c>
      <c r="Q5334" s="9">
        <v>19.475693895950801</v>
      </c>
      <c r="R5334" s="9">
        <v>20.024452706180426</v>
      </c>
      <c r="S5334" s="9">
        <v>20.875099128492941</v>
      </c>
      <c r="T5334" s="9">
        <v>21.733350185946453</v>
      </c>
      <c r="U5334" s="9">
        <v>23.861555618318132</v>
      </c>
      <c r="V5334" s="9">
        <v>23.861555618318132</v>
      </c>
      <c r="W5334" s="9">
        <v>23.861555618318132</v>
      </c>
      <c r="X5334" s="9">
        <v>26.599525609534091</v>
      </c>
      <c r="Y5334" s="9">
        <v>26.599525609534091</v>
      </c>
      <c r="Z5334" s="9">
        <v>29.424604823442099</v>
      </c>
      <c r="AA5334" s="9">
        <v>29.424604823442099</v>
      </c>
      <c r="AB5334" s="9">
        <v>32.345504182311352</v>
      </c>
      <c r="AC5334" s="9">
        <v>32.345504182311352</v>
      </c>
      <c r="AD5334" s="9">
        <v>37.073967958020759</v>
      </c>
      <c r="AE5334" s="9">
        <v>39.537280452065687</v>
      </c>
      <c r="AF5334" s="9">
        <v>42.115429646064094</v>
      </c>
      <c r="AG5334" s="9">
        <v>42.115429646064094</v>
      </c>
      <c r="AH5334" s="9">
        <v>45.566990204681431</v>
      </c>
      <c r="AI5334" s="9">
        <v>48.2081665036403</v>
      </c>
      <c r="AJ5334" s="9">
        <v>3.0428788910505911</v>
      </c>
    </row>
    <row r="5335" spans="1:36" x14ac:dyDescent="0.25">
      <c r="A5335" t="s">
        <v>5411</v>
      </c>
      <c r="B5335" t="s">
        <v>16</v>
      </c>
      <c r="C5335" t="s">
        <v>17</v>
      </c>
      <c r="D5335">
        <v>89654000</v>
      </c>
      <c r="E5335">
        <v>89659999</v>
      </c>
      <c r="F5335" t="s">
        <v>4835</v>
      </c>
      <c r="G5335" t="str">
        <f t="shared" si="166"/>
        <v>SCI II</v>
      </c>
      <c r="H5335" t="s">
        <v>4654</v>
      </c>
      <c r="I5335" t="s">
        <v>20</v>
      </c>
      <c r="J5335" t="s">
        <v>64</v>
      </c>
      <c r="K5335" s="6">
        <v>0.03</v>
      </c>
      <c r="L5335" s="7">
        <f t="shared" si="167"/>
        <v>2E-3</v>
      </c>
      <c r="M5335" s="7">
        <v>3.0000000000000001E-3</v>
      </c>
      <c r="N5335">
        <v>11</v>
      </c>
      <c r="O5335" s="8">
        <v>19.475693895950801</v>
      </c>
      <c r="P5335" s="9">
        <v>19.475693895950801</v>
      </c>
      <c r="Q5335" s="9">
        <v>19.475693895950801</v>
      </c>
      <c r="R5335" s="9">
        <v>20.024452706180426</v>
      </c>
      <c r="S5335" s="9">
        <v>20.875099128492941</v>
      </c>
      <c r="T5335" s="9">
        <v>21.733350185946453</v>
      </c>
      <c r="U5335" s="9">
        <v>23.861555618318132</v>
      </c>
      <c r="V5335" s="9">
        <v>23.861555618318132</v>
      </c>
      <c r="W5335" s="9">
        <v>23.861555618318132</v>
      </c>
      <c r="X5335" s="9">
        <v>26.599525609534091</v>
      </c>
      <c r="Y5335" s="9">
        <v>26.599525609534091</v>
      </c>
      <c r="Z5335" s="9">
        <v>29.424604823442099</v>
      </c>
      <c r="AA5335" s="9">
        <v>29.424604823442099</v>
      </c>
      <c r="AB5335" s="9">
        <v>32.345504182311352</v>
      </c>
      <c r="AC5335" s="9">
        <v>32.345504182311352</v>
      </c>
      <c r="AD5335" s="9">
        <v>37.073967958020759</v>
      </c>
      <c r="AE5335" s="9">
        <v>39.537280452065687</v>
      </c>
      <c r="AF5335" s="9">
        <v>42.115429646064094</v>
      </c>
      <c r="AG5335" s="9">
        <v>42.115429646064094</v>
      </c>
      <c r="AH5335" s="9">
        <v>45.566990204681431</v>
      </c>
      <c r="AI5335" s="9">
        <v>48.2081665036403</v>
      </c>
      <c r="AJ5335" s="9">
        <v>3.0428788910505911</v>
      </c>
    </row>
    <row r="5336" spans="1:36" x14ac:dyDescent="0.25">
      <c r="A5336" t="s">
        <v>5411</v>
      </c>
      <c r="B5336" t="s">
        <v>16</v>
      </c>
      <c r="C5336" t="s">
        <v>17</v>
      </c>
      <c r="D5336">
        <v>89660000</v>
      </c>
      <c r="E5336">
        <v>89662999</v>
      </c>
      <c r="F5336" t="s">
        <v>4836</v>
      </c>
      <c r="G5336" t="str">
        <f t="shared" si="166"/>
        <v>SCI II</v>
      </c>
      <c r="H5336" t="s">
        <v>4654</v>
      </c>
      <c r="I5336" t="s">
        <v>20</v>
      </c>
      <c r="J5336" t="s">
        <v>64</v>
      </c>
      <c r="K5336" s="6">
        <v>0.03</v>
      </c>
      <c r="L5336" s="7">
        <f t="shared" si="167"/>
        <v>2E-3</v>
      </c>
      <c r="M5336" s="7">
        <v>3.0000000000000001E-3</v>
      </c>
      <c r="N5336">
        <v>11</v>
      </c>
      <c r="O5336" s="8">
        <v>19.475693895950801</v>
      </c>
      <c r="P5336" s="9">
        <v>19.475693895950801</v>
      </c>
      <c r="Q5336" s="9">
        <v>19.475693895950801</v>
      </c>
      <c r="R5336" s="9">
        <v>20.024452706180426</v>
      </c>
      <c r="S5336" s="9">
        <v>20.875099128492941</v>
      </c>
      <c r="T5336" s="9">
        <v>21.733350185946453</v>
      </c>
      <c r="U5336" s="9">
        <v>23.861555618318132</v>
      </c>
      <c r="V5336" s="9">
        <v>23.861555618318132</v>
      </c>
      <c r="W5336" s="9">
        <v>23.861555618318132</v>
      </c>
      <c r="X5336" s="9">
        <v>26.599525609534091</v>
      </c>
      <c r="Y5336" s="9">
        <v>26.599525609534091</v>
      </c>
      <c r="Z5336" s="9">
        <v>29.424604823442099</v>
      </c>
      <c r="AA5336" s="9">
        <v>29.424604823442099</v>
      </c>
      <c r="AB5336" s="9">
        <v>32.345504182311352</v>
      </c>
      <c r="AC5336" s="9">
        <v>32.345504182311352</v>
      </c>
      <c r="AD5336" s="9">
        <v>37.073967958020759</v>
      </c>
      <c r="AE5336" s="9">
        <v>39.537280452065687</v>
      </c>
      <c r="AF5336" s="9">
        <v>42.115429646064094</v>
      </c>
      <c r="AG5336" s="9">
        <v>42.115429646064094</v>
      </c>
      <c r="AH5336" s="9">
        <v>45.566990204681431</v>
      </c>
      <c r="AI5336" s="9">
        <v>48.2081665036403</v>
      </c>
      <c r="AJ5336" s="9">
        <v>3.0428788910505911</v>
      </c>
    </row>
    <row r="5337" spans="1:36" x14ac:dyDescent="0.25">
      <c r="A5337" t="s">
        <v>5411</v>
      </c>
      <c r="B5337" t="s">
        <v>16</v>
      </c>
      <c r="C5337" t="s">
        <v>17</v>
      </c>
      <c r="D5337">
        <v>89663000</v>
      </c>
      <c r="E5337">
        <v>89664999</v>
      </c>
      <c r="F5337" t="s">
        <v>4837</v>
      </c>
      <c r="G5337" t="str">
        <f t="shared" si="166"/>
        <v>SCI II</v>
      </c>
      <c r="H5337" t="s">
        <v>4654</v>
      </c>
      <c r="I5337" t="s">
        <v>20</v>
      </c>
      <c r="J5337" t="s">
        <v>64</v>
      </c>
      <c r="K5337" s="6">
        <v>0.03</v>
      </c>
      <c r="L5337" s="7">
        <f t="shared" si="167"/>
        <v>2E-3</v>
      </c>
      <c r="M5337" s="7">
        <v>3.0000000000000001E-3</v>
      </c>
      <c r="N5337">
        <v>11</v>
      </c>
      <c r="O5337" s="8">
        <v>19.475693895950801</v>
      </c>
      <c r="P5337" s="9">
        <v>19.475693895950801</v>
      </c>
      <c r="Q5337" s="9">
        <v>19.475693895950801</v>
      </c>
      <c r="R5337" s="9">
        <v>20.024452706180426</v>
      </c>
      <c r="S5337" s="9">
        <v>20.875099128492941</v>
      </c>
      <c r="T5337" s="9">
        <v>21.733350185946453</v>
      </c>
      <c r="U5337" s="9">
        <v>23.861555618318132</v>
      </c>
      <c r="V5337" s="9">
        <v>23.861555618318132</v>
      </c>
      <c r="W5337" s="9">
        <v>23.861555618318132</v>
      </c>
      <c r="X5337" s="9">
        <v>26.599525609534091</v>
      </c>
      <c r="Y5337" s="9">
        <v>26.599525609534091</v>
      </c>
      <c r="Z5337" s="9">
        <v>29.424604823442099</v>
      </c>
      <c r="AA5337" s="9">
        <v>29.424604823442099</v>
      </c>
      <c r="AB5337" s="9">
        <v>32.345504182311352</v>
      </c>
      <c r="AC5337" s="9">
        <v>32.345504182311352</v>
      </c>
      <c r="AD5337" s="9">
        <v>37.073967958020759</v>
      </c>
      <c r="AE5337" s="9">
        <v>39.537280452065687</v>
      </c>
      <c r="AF5337" s="9">
        <v>42.115429646064094</v>
      </c>
      <c r="AG5337" s="9">
        <v>42.115429646064094</v>
      </c>
      <c r="AH5337" s="9">
        <v>45.566990204681431</v>
      </c>
      <c r="AI5337" s="9">
        <v>48.2081665036403</v>
      </c>
      <c r="AJ5337" s="9">
        <v>3.0428788910505911</v>
      </c>
    </row>
    <row r="5338" spans="1:36" x14ac:dyDescent="0.25">
      <c r="A5338" t="s">
        <v>5411</v>
      </c>
      <c r="B5338" t="s">
        <v>16</v>
      </c>
      <c r="C5338" t="s">
        <v>17</v>
      </c>
      <c r="D5338">
        <v>89665000</v>
      </c>
      <c r="E5338">
        <v>89666999</v>
      </c>
      <c r="F5338" t="s">
        <v>4838</v>
      </c>
      <c r="G5338" t="str">
        <f t="shared" si="166"/>
        <v>SCI II</v>
      </c>
      <c r="H5338" t="s">
        <v>4654</v>
      </c>
      <c r="I5338" t="s">
        <v>20</v>
      </c>
      <c r="J5338" t="s">
        <v>64</v>
      </c>
      <c r="K5338" s="6">
        <v>0.03</v>
      </c>
      <c r="L5338" s="7">
        <f t="shared" si="167"/>
        <v>2E-3</v>
      </c>
      <c r="M5338" s="7">
        <v>3.0000000000000001E-3</v>
      </c>
      <c r="N5338">
        <v>11</v>
      </c>
      <c r="O5338" s="8">
        <v>19.475693895950801</v>
      </c>
      <c r="P5338" s="9">
        <v>19.475693895950801</v>
      </c>
      <c r="Q5338" s="9">
        <v>19.475693895950801</v>
      </c>
      <c r="R5338" s="9">
        <v>20.024452706180426</v>
      </c>
      <c r="S5338" s="9">
        <v>20.875099128492941</v>
      </c>
      <c r="T5338" s="9">
        <v>21.733350185946453</v>
      </c>
      <c r="U5338" s="9">
        <v>23.861555618318132</v>
      </c>
      <c r="V5338" s="9">
        <v>23.861555618318132</v>
      </c>
      <c r="W5338" s="9">
        <v>23.861555618318132</v>
      </c>
      <c r="X5338" s="9">
        <v>26.599525609534091</v>
      </c>
      <c r="Y5338" s="9">
        <v>26.599525609534091</v>
      </c>
      <c r="Z5338" s="9">
        <v>29.424604823442099</v>
      </c>
      <c r="AA5338" s="9">
        <v>29.424604823442099</v>
      </c>
      <c r="AB5338" s="9">
        <v>32.345504182311352</v>
      </c>
      <c r="AC5338" s="9">
        <v>32.345504182311352</v>
      </c>
      <c r="AD5338" s="9">
        <v>37.073967958020759</v>
      </c>
      <c r="AE5338" s="9">
        <v>39.537280452065687</v>
      </c>
      <c r="AF5338" s="9">
        <v>42.115429646064094</v>
      </c>
      <c r="AG5338" s="9">
        <v>42.115429646064094</v>
      </c>
      <c r="AH5338" s="9">
        <v>45.566990204681431</v>
      </c>
      <c r="AI5338" s="9">
        <v>48.2081665036403</v>
      </c>
      <c r="AJ5338" s="9">
        <v>3.0428788910505911</v>
      </c>
    </row>
    <row r="5339" spans="1:36" x14ac:dyDescent="0.25">
      <c r="A5339" t="s">
        <v>5411</v>
      </c>
      <c r="B5339" t="s">
        <v>16</v>
      </c>
      <c r="C5339" t="s">
        <v>17</v>
      </c>
      <c r="D5339">
        <v>89667000</v>
      </c>
      <c r="E5339">
        <v>89668999</v>
      </c>
      <c r="F5339" t="s">
        <v>4839</v>
      </c>
      <c r="G5339" t="str">
        <f t="shared" si="166"/>
        <v>SCI II</v>
      </c>
      <c r="H5339" t="s">
        <v>4654</v>
      </c>
      <c r="I5339" t="s">
        <v>20</v>
      </c>
      <c r="J5339" t="s">
        <v>64</v>
      </c>
      <c r="K5339" s="6">
        <v>0.03</v>
      </c>
      <c r="L5339" s="7">
        <f t="shared" si="167"/>
        <v>2E-3</v>
      </c>
      <c r="M5339" s="7">
        <v>3.0000000000000001E-3</v>
      </c>
      <c r="N5339">
        <v>11</v>
      </c>
      <c r="O5339" s="8">
        <v>19.475693895950801</v>
      </c>
      <c r="P5339" s="9">
        <v>19.475693895950801</v>
      </c>
      <c r="Q5339" s="9">
        <v>19.475693895950801</v>
      </c>
      <c r="R5339" s="9">
        <v>20.024452706180426</v>
      </c>
      <c r="S5339" s="9">
        <v>20.875099128492941</v>
      </c>
      <c r="T5339" s="9">
        <v>21.733350185946453</v>
      </c>
      <c r="U5339" s="9">
        <v>23.861555618318132</v>
      </c>
      <c r="V5339" s="9">
        <v>23.861555618318132</v>
      </c>
      <c r="W5339" s="9">
        <v>23.861555618318132</v>
      </c>
      <c r="X5339" s="9">
        <v>26.599525609534091</v>
      </c>
      <c r="Y5339" s="9">
        <v>26.599525609534091</v>
      </c>
      <c r="Z5339" s="9">
        <v>29.424604823442099</v>
      </c>
      <c r="AA5339" s="9">
        <v>29.424604823442099</v>
      </c>
      <c r="AB5339" s="9">
        <v>32.345504182311352</v>
      </c>
      <c r="AC5339" s="9">
        <v>32.345504182311352</v>
      </c>
      <c r="AD5339" s="9">
        <v>37.073967958020759</v>
      </c>
      <c r="AE5339" s="9">
        <v>39.537280452065687</v>
      </c>
      <c r="AF5339" s="9">
        <v>42.115429646064094</v>
      </c>
      <c r="AG5339" s="9">
        <v>42.115429646064094</v>
      </c>
      <c r="AH5339" s="9">
        <v>45.566990204681431</v>
      </c>
      <c r="AI5339" s="9">
        <v>48.2081665036403</v>
      </c>
      <c r="AJ5339" s="9">
        <v>3.0428788910505911</v>
      </c>
    </row>
    <row r="5340" spans="1:36" x14ac:dyDescent="0.25">
      <c r="A5340" t="s">
        <v>5411</v>
      </c>
      <c r="B5340" t="s">
        <v>16</v>
      </c>
      <c r="C5340" t="s">
        <v>17</v>
      </c>
      <c r="D5340">
        <v>89669000</v>
      </c>
      <c r="E5340">
        <v>89669999</v>
      </c>
      <c r="F5340" t="s">
        <v>1747</v>
      </c>
      <c r="G5340" t="str">
        <f t="shared" si="166"/>
        <v>SCI II</v>
      </c>
      <c r="H5340" t="s">
        <v>4654</v>
      </c>
      <c r="I5340" t="s">
        <v>20</v>
      </c>
      <c r="J5340" t="s">
        <v>64</v>
      </c>
      <c r="K5340" s="6">
        <v>0.03</v>
      </c>
      <c r="L5340" s="7">
        <f t="shared" si="167"/>
        <v>2E-3</v>
      </c>
      <c r="M5340" s="7">
        <v>3.0000000000000001E-3</v>
      </c>
      <c r="N5340">
        <v>11</v>
      </c>
      <c r="O5340" s="8">
        <v>19.475693895950801</v>
      </c>
      <c r="P5340" s="9">
        <v>19.475693895950801</v>
      </c>
      <c r="Q5340" s="9">
        <v>19.475693895950801</v>
      </c>
      <c r="R5340" s="9">
        <v>20.024452706180426</v>
      </c>
      <c r="S5340" s="9">
        <v>20.875099128492941</v>
      </c>
      <c r="T5340" s="9">
        <v>21.733350185946453</v>
      </c>
      <c r="U5340" s="9">
        <v>23.861555618318132</v>
      </c>
      <c r="V5340" s="9">
        <v>23.861555618318132</v>
      </c>
      <c r="W5340" s="9">
        <v>23.861555618318132</v>
      </c>
      <c r="X5340" s="9">
        <v>26.599525609534091</v>
      </c>
      <c r="Y5340" s="9">
        <v>26.599525609534091</v>
      </c>
      <c r="Z5340" s="9">
        <v>29.424604823442099</v>
      </c>
      <c r="AA5340" s="9">
        <v>29.424604823442099</v>
      </c>
      <c r="AB5340" s="9">
        <v>32.345504182311352</v>
      </c>
      <c r="AC5340" s="9">
        <v>32.345504182311352</v>
      </c>
      <c r="AD5340" s="9">
        <v>37.073967958020759</v>
      </c>
      <c r="AE5340" s="9">
        <v>39.537280452065687</v>
      </c>
      <c r="AF5340" s="9">
        <v>42.115429646064094</v>
      </c>
      <c r="AG5340" s="9">
        <v>42.115429646064094</v>
      </c>
      <c r="AH5340" s="9">
        <v>45.566990204681431</v>
      </c>
      <c r="AI5340" s="9">
        <v>48.2081665036403</v>
      </c>
      <c r="AJ5340" s="9">
        <v>3.0428788910505911</v>
      </c>
    </row>
    <row r="5341" spans="1:36" x14ac:dyDescent="0.25">
      <c r="A5341" t="s">
        <v>5411</v>
      </c>
      <c r="B5341" t="s">
        <v>16</v>
      </c>
      <c r="C5341" t="s">
        <v>17</v>
      </c>
      <c r="D5341">
        <v>89670000</v>
      </c>
      <c r="E5341">
        <v>89674999</v>
      </c>
      <c r="F5341" t="s">
        <v>4407</v>
      </c>
      <c r="G5341" t="str">
        <f t="shared" si="166"/>
        <v>SCI II</v>
      </c>
      <c r="H5341" t="s">
        <v>4654</v>
      </c>
      <c r="I5341" t="s">
        <v>20</v>
      </c>
      <c r="J5341" t="s">
        <v>64</v>
      </c>
      <c r="K5341" s="6">
        <v>0.03</v>
      </c>
      <c r="L5341" s="7">
        <f t="shared" si="167"/>
        <v>2E-3</v>
      </c>
      <c r="M5341" s="7">
        <v>3.0000000000000001E-3</v>
      </c>
      <c r="N5341">
        <v>11</v>
      </c>
      <c r="O5341" s="8">
        <v>19.475693895950801</v>
      </c>
      <c r="P5341" s="9">
        <v>19.475693895950801</v>
      </c>
      <c r="Q5341" s="9">
        <v>19.475693895950801</v>
      </c>
      <c r="R5341" s="9">
        <v>20.024452706180426</v>
      </c>
      <c r="S5341" s="9">
        <v>20.875099128492941</v>
      </c>
      <c r="T5341" s="9">
        <v>21.733350185946453</v>
      </c>
      <c r="U5341" s="9">
        <v>23.861555618318132</v>
      </c>
      <c r="V5341" s="9">
        <v>23.861555618318132</v>
      </c>
      <c r="W5341" s="9">
        <v>23.861555618318132</v>
      </c>
      <c r="X5341" s="9">
        <v>26.599525609534091</v>
      </c>
      <c r="Y5341" s="9">
        <v>26.599525609534091</v>
      </c>
      <c r="Z5341" s="9">
        <v>29.424604823442099</v>
      </c>
      <c r="AA5341" s="9">
        <v>29.424604823442099</v>
      </c>
      <c r="AB5341" s="9">
        <v>32.345504182311352</v>
      </c>
      <c r="AC5341" s="9">
        <v>32.345504182311352</v>
      </c>
      <c r="AD5341" s="9">
        <v>37.073967958020759</v>
      </c>
      <c r="AE5341" s="9">
        <v>39.537280452065687</v>
      </c>
      <c r="AF5341" s="9">
        <v>42.115429646064094</v>
      </c>
      <c r="AG5341" s="9">
        <v>42.115429646064094</v>
      </c>
      <c r="AH5341" s="9">
        <v>45.566990204681431</v>
      </c>
      <c r="AI5341" s="9">
        <v>48.2081665036403</v>
      </c>
      <c r="AJ5341" s="9">
        <v>3.0428788910505911</v>
      </c>
    </row>
    <row r="5342" spans="1:36" x14ac:dyDescent="0.25">
      <c r="A5342" t="s">
        <v>5411</v>
      </c>
      <c r="B5342" t="s">
        <v>16</v>
      </c>
      <c r="C5342" t="s">
        <v>17</v>
      </c>
      <c r="D5342">
        <v>89675000</v>
      </c>
      <c r="E5342">
        <v>89676999</v>
      </c>
      <c r="F5342" t="s">
        <v>1384</v>
      </c>
      <c r="G5342" t="str">
        <f t="shared" si="166"/>
        <v>SCI II</v>
      </c>
      <c r="H5342" t="s">
        <v>4654</v>
      </c>
      <c r="I5342" t="s">
        <v>20</v>
      </c>
      <c r="J5342" t="s">
        <v>64</v>
      </c>
      <c r="K5342" s="6">
        <v>0.03</v>
      </c>
      <c r="L5342" s="7">
        <f t="shared" si="167"/>
        <v>2E-3</v>
      </c>
      <c r="M5342" s="7">
        <v>3.0000000000000001E-3</v>
      </c>
      <c r="N5342">
        <v>11</v>
      </c>
      <c r="O5342" s="8">
        <v>19.475693895950801</v>
      </c>
      <c r="P5342" s="9">
        <v>19.475693895950801</v>
      </c>
      <c r="Q5342" s="9">
        <v>19.475693895950801</v>
      </c>
      <c r="R5342" s="9">
        <v>20.024452706180426</v>
      </c>
      <c r="S5342" s="9">
        <v>20.875099128492941</v>
      </c>
      <c r="T5342" s="9">
        <v>21.733350185946453</v>
      </c>
      <c r="U5342" s="9">
        <v>23.861555618318132</v>
      </c>
      <c r="V5342" s="9">
        <v>23.861555618318132</v>
      </c>
      <c r="W5342" s="9">
        <v>23.861555618318132</v>
      </c>
      <c r="X5342" s="9">
        <v>26.599525609534091</v>
      </c>
      <c r="Y5342" s="9">
        <v>26.599525609534091</v>
      </c>
      <c r="Z5342" s="9">
        <v>29.424604823442099</v>
      </c>
      <c r="AA5342" s="9">
        <v>29.424604823442099</v>
      </c>
      <c r="AB5342" s="9">
        <v>32.345504182311352</v>
      </c>
      <c r="AC5342" s="9">
        <v>32.345504182311352</v>
      </c>
      <c r="AD5342" s="9">
        <v>37.073967958020759</v>
      </c>
      <c r="AE5342" s="9">
        <v>39.537280452065687</v>
      </c>
      <c r="AF5342" s="9">
        <v>42.115429646064094</v>
      </c>
      <c r="AG5342" s="9">
        <v>42.115429646064094</v>
      </c>
      <c r="AH5342" s="9">
        <v>45.566990204681431</v>
      </c>
      <c r="AI5342" s="9">
        <v>48.2081665036403</v>
      </c>
      <c r="AJ5342" s="9">
        <v>3.0428788910505911</v>
      </c>
    </row>
    <row r="5343" spans="1:36" x14ac:dyDescent="0.25">
      <c r="A5343" t="s">
        <v>5411</v>
      </c>
      <c r="B5343" t="s">
        <v>16</v>
      </c>
      <c r="C5343" t="s">
        <v>17</v>
      </c>
      <c r="D5343">
        <v>89677000</v>
      </c>
      <c r="E5343">
        <v>89679999</v>
      </c>
      <c r="F5343" t="s">
        <v>4840</v>
      </c>
      <c r="G5343" t="str">
        <f t="shared" si="166"/>
        <v>SCI II</v>
      </c>
      <c r="H5343" t="s">
        <v>4654</v>
      </c>
      <c r="I5343" t="s">
        <v>20</v>
      </c>
      <c r="J5343" t="s">
        <v>64</v>
      </c>
      <c r="K5343" s="6">
        <v>0.03</v>
      </c>
      <c r="L5343" s="7">
        <f t="shared" si="167"/>
        <v>2E-3</v>
      </c>
      <c r="M5343" s="7">
        <v>3.0000000000000001E-3</v>
      </c>
      <c r="N5343">
        <v>11</v>
      </c>
      <c r="O5343" s="8">
        <v>19.475693895950801</v>
      </c>
      <c r="P5343" s="9">
        <v>19.475693895950801</v>
      </c>
      <c r="Q5343" s="9">
        <v>19.475693895950801</v>
      </c>
      <c r="R5343" s="9">
        <v>20.024452706180426</v>
      </c>
      <c r="S5343" s="9">
        <v>20.875099128492941</v>
      </c>
      <c r="T5343" s="9">
        <v>21.733350185946453</v>
      </c>
      <c r="U5343" s="9">
        <v>23.861555618318132</v>
      </c>
      <c r="V5343" s="9">
        <v>23.861555618318132</v>
      </c>
      <c r="W5343" s="9">
        <v>23.861555618318132</v>
      </c>
      <c r="X5343" s="9">
        <v>26.599525609534091</v>
      </c>
      <c r="Y5343" s="9">
        <v>26.599525609534091</v>
      </c>
      <c r="Z5343" s="9">
        <v>29.424604823442099</v>
      </c>
      <c r="AA5343" s="9">
        <v>29.424604823442099</v>
      </c>
      <c r="AB5343" s="9">
        <v>32.345504182311352</v>
      </c>
      <c r="AC5343" s="9">
        <v>32.345504182311352</v>
      </c>
      <c r="AD5343" s="9">
        <v>37.073967958020759</v>
      </c>
      <c r="AE5343" s="9">
        <v>39.537280452065687</v>
      </c>
      <c r="AF5343" s="9">
        <v>42.115429646064094</v>
      </c>
      <c r="AG5343" s="9">
        <v>42.115429646064094</v>
      </c>
      <c r="AH5343" s="9">
        <v>45.566990204681431</v>
      </c>
      <c r="AI5343" s="9">
        <v>48.2081665036403</v>
      </c>
      <c r="AJ5343" s="9">
        <v>3.0428788910505911</v>
      </c>
    </row>
    <row r="5344" spans="1:36" x14ac:dyDescent="0.25">
      <c r="A5344" t="s">
        <v>5411</v>
      </c>
      <c r="B5344" t="s">
        <v>16</v>
      </c>
      <c r="C5344" t="s">
        <v>17</v>
      </c>
      <c r="D5344">
        <v>89680000</v>
      </c>
      <c r="E5344">
        <v>89682999</v>
      </c>
      <c r="F5344" t="s">
        <v>4841</v>
      </c>
      <c r="G5344" t="str">
        <f t="shared" si="166"/>
        <v>SCI II</v>
      </c>
      <c r="H5344" t="s">
        <v>4654</v>
      </c>
      <c r="I5344" t="s">
        <v>20</v>
      </c>
      <c r="J5344" t="s">
        <v>64</v>
      </c>
      <c r="K5344" s="6">
        <v>0.03</v>
      </c>
      <c r="L5344" s="7">
        <f t="shared" si="167"/>
        <v>2E-3</v>
      </c>
      <c r="M5344" s="7">
        <v>3.0000000000000001E-3</v>
      </c>
      <c r="N5344">
        <v>11</v>
      </c>
      <c r="O5344" s="8">
        <v>19.475693895950801</v>
      </c>
      <c r="P5344" s="9">
        <v>19.475693895950801</v>
      </c>
      <c r="Q5344" s="9">
        <v>19.475693895950801</v>
      </c>
      <c r="R5344" s="9">
        <v>20.024452706180426</v>
      </c>
      <c r="S5344" s="9">
        <v>20.875099128492941</v>
      </c>
      <c r="T5344" s="9">
        <v>21.733350185946453</v>
      </c>
      <c r="U5344" s="9">
        <v>23.861555618318132</v>
      </c>
      <c r="V5344" s="9">
        <v>23.861555618318132</v>
      </c>
      <c r="W5344" s="9">
        <v>23.861555618318132</v>
      </c>
      <c r="X5344" s="9">
        <v>26.599525609534091</v>
      </c>
      <c r="Y5344" s="9">
        <v>26.599525609534091</v>
      </c>
      <c r="Z5344" s="9">
        <v>29.424604823442099</v>
      </c>
      <c r="AA5344" s="9">
        <v>29.424604823442099</v>
      </c>
      <c r="AB5344" s="9">
        <v>32.345504182311352</v>
      </c>
      <c r="AC5344" s="9">
        <v>32.345504182311352</v>
      </c>
      <c r="AD5344" s="9">
        <v>37.073967958020759</v>
      </c>
      <c r="AE5344" s="9">
        <v>39.537280452065687</v>
      </c>
      <c r="AF5344" s="9">
        <v>42.115429646064094</v>
      </c>
      <c r="AG5344" s="9">
        <v>42.115429646064094</v>
      </c>
      <c r="AH5344" s="9">
        <v>45.566990204681431</v>
      </c>
      <c r="AI5344" s="9">
        <v>48.2081665036403</v>
      </c>
      <c r="AJ5344" s="9">
        <v>3.0428788910505911</v>
      </c>
    </row>
    <row r="5345" spans="1:36" x14ac:dyDescent="0.25">
      <c r="A5345" t="s">
        <v>5411</v>
      </c>
      <c r="B5345" t="s">
        <v>16</v>
      </c>
      <c r="C5345" t="s">
        <v>17</v>
      </c>
      <c r="D5345">
        <v>89683000</v>
      </c>
      <c r="E5345">
        <v>89686999</v>
      </c>
      <c r="F5345" t="s">
        <v>4842</v>
      </c>
      <c r="G5345" t="str">
        <f t="shared" si="166"/>
        <v>SCI II</v>
      </c>
      <c r="H5345" t="s">
        <v>4654</v>
      </c>
      <c r="I5345" t="s">
        <v>20</v>
      </c>
      <c r="J5345" t="s">
        <v>64</v>
      </c>
      <c r="K5345" s="6">
        <v>0.03</v>
      </c>
      <c r="L5345" s="7">
        <f t="shared" si="167"/>
        <v>2E-3</v>
      </c>
      <c r="M5345" s="7">
        <v>3.0000000000000001E-3</v>
      </c>
      <c r="N5345">
        <v>11</v>
      </c>
      <c r="O5345" s="8">
        <v>19.475693895950801</v>
      </c>
      <c r="P5345" s="9">
        <v>19.475693895950801</v>
      </c>
      <c r="Q5345" s="9">
        <v>19.475693895950801</v>
      </c>
      <c r="R5345" s="9">
        <v>20.024452706180426</v>
      </c>
      <c r="S5345" s="9">
        <v>20.875099128492941</v>
      </c>
      <c r="T5345" s="9">
        <v>21.733350185946453</v>
      </c>
      <c r="U5345" s="9">
        <v>23.861555618318132</v>
      </c>
      <c r="V5345" s="9">
        <v>23.861555618318132</v>
      </c>
      <c r="W5345" s="9">
        <v>23.861555618318132</v>
      </c>
      <c r="X5345" s="9">
        <v>26.599525609534091</v>
      </c>
      <c r="Y5345" s="9">
        <v>26.599525609534091</v>
      </c>
      <c r="Z5345" s="9">
        <v>29.424604823442099</v>
      </c>
      <c r="AA5345" s="9">
        <v>29.424604823442099</v>
      </c>
      <c r="AB5345" s="9">
        <v>32.345504182311352</v>
      </c>
      <c r="AC5345" s="9">
        <v>32.345504182311352</v>
      </c>
      <c r="AD5345" s="9">
        <v>37.073967958020759</v>
      </c>
      <c r="AE5345" s="9">
        <v>39.537280452065687</v>
      </c>
      <c r="AF5345" s="9">
        <v>42.115429646064094</v>
      </c>
      <c r="AG5345" s="9">
        <v>42.115429646064094</v>
      </c>
      <c r="AH5345" s="9">
        <v>45.566990204681431</v>
      </c>
      <c r="AI5345" s="9">
        <v>48.2081665036403</v>
      </c>
      <c r="AJ5345" s="9">
        <v>3.0428788910505911</v>
      </c>
    </row>
    <row r="5346" spans="1:36" x14ac:dyDescent="0.25">
      <c r="A5346" t="s">
        <v>5411</v>
      </c>
      <c r="B5346" t="s">
        <v>16</v>
      </c>
      <c r="C5346" t="s">
        <v>17</v>
      </c>
      <c r="D5346">
        <v>89687000</v>
      </c>
      <c r="E5346">
        <v>89689999</v>
      </c>
      <c r="F5346" t="s">
        <v>4843</v>
      </c>
      <c r="G5346" t="str">
        <f t="shared" si="166"/>
        <v>SCI II</v>
      </c>
      <c r="H5346" t="s">
        <v>4654</v>
      </c>
      <c r="I5346" t="s">
        <v>20</v>
      </c>
      <c r="J5346" t="s">
        <v>64</v>
      </c>
      <c r="K5346" s="6">
        <v>0.03</v>
      </c>
      <c r="L5346" s="7">
        <f t="shared" si="167"/>
        <v>2E-3</v>
      </c>
      <c r="M5346" s="7">
        <v>3.0000000000000001E-3</v>
      </c>
      <c r="N5346">
        <v>11</v>
      </c>
      <c r="O5346" s="8">
        <v>19.475693895950801</v>
      </c>
      <c r="P5346" s="9">
        <v>19.475693895950801</v>
      </c>
      <c r="Q5346" s="9">
        <v>19.475693895950801</v>
      </c>
      <c r="R5346" s="9">
        <v>20.024452706180426</v>
      </c>
      <c r="S5346" s="9">
        <v>20.875099128492941</v>
      </c>
      <c r="T5346" s="9">
        <v>21.733350185946453</v>
      </c>
      <c r="U5346" s="9">
        <v>23.861555618318132</v>
      </c>
      <c r="V5346" s="9">
        <v>23.861555618318132</v>
      </c>
      <c r="W5346" s="9">
        <v>23.861555618318132</v>
      </c>
      <c r="X5346" s="9">
        <v>26.599525609534091</v>
      </c>
      <c r="Y5346" s="9">
        <v>26.599525609534091</v>
      </c>
      <c r="Z5346" s="9">
        <v>29.424604823442099</v>
      </c>
      <c r="AA5346" s="9">
        <v>29.424604823442099</v>
      </c>
      <c r="AB5346" s="9">
        <v>32.345504182311352</v>
      </c>
      <c r="AC5346" s="9">
        <v>32.345504182311352</v>
      </c>
      <c r="AD5346" s="9">
        <v>37.073967958020759</v>
      </c>
      <c r="AE5346" s="9">
        <v>39.537280452065687</v>
      </c>
      <c r="AF5346" s="9">
        <v>42.115429646064094</v>
      </c>
      <c r="AG5346" s="9">
        <v>42.115429646064094</v>
      </c>
      <c r="AH5346" s="9">
        <v>45.566990204681431</v>
      </c>
      <c r="AI5346" s="9">
        <v>48.2081665036403</v>
      </c>
      <c r="AJ5346" s="9">
        <v>3.0428788910505911</v>
      </c>
    </row>
    <row r="5347" spans="1:36" x14ac:dyDescent="0.25">
      <c r="A5347" t="s">
        <v>5411</v>
      </c>
      <c r="B5347" t="s">
        <v>16</v>
      </c>
      <c r="C5347" t="s">
        <v>17</v>
      </c>
      <c r="D5347">
        <v>89690000</v>
      </c>
      <c r="E5347">
        <v>89693999</v>
      </c>
      <c r="F5347" t="s">
        <v>4844</v>
      </c>
      <c r="G5347" t="str">
        <f t="shared" si="166"/>
        <v>SCI II</v>
      </c>
      <c r="H5347" t="s">
        <v>4654</v>
      </c>
      <c r="I5347" t="s">
        <v>20</v>
      </c>
      <c r="J5347" t="s">
        <v>64</v>
      </c>
      <c r="K5347" s="6">
        <v>0.03</v>
      </c>
      <c r="L5347" s="7">
        <f t="shared" si="167"/>
        <v>2E-3</v>
      </c>
      <c r="M5347" s="7">
        <v>3.0000000000000001E-3</v>
      </c>
      <c r="N5347">
        <v>11</v>
      </c>
      <c r="O5347" s="8">
        <v>19.475693895950801</v>
      </c>
      <c r="P5347" s="9">
        <v>19.475693895950801</v>
      </c>
      <c r="Q5347" s="9">
        <v>19.475693895950801</v>
      </c>
      <c r="R5347" s="9">
        <v>20.024452706180426</v>
      </c>
      <c r="S5347" s="9">
        <v>20.875099128492941</v>
      </c>
      <c r="T5347" s="9">
        <v>21.733350185946453</v>
      </c>
      <c r="U5347" s="9">
        <v>23.861555618318132</v>
      </c>
      <c r="V5347" s="9">
        <v>23.861555618318132</v>
      </c>
      <c r="W5347" s="9">
        <v>23.861555618318132</v>
      </c>
      <c r="X5347" s="9">
        <v>26.599525609534091</v>
      </c>
      <c r="Y5347" s="9">
        <v>26.599525609534091</v>
      </c>
      <c r="Z5347" s="9">
        <v>29.424604823442099</v>
      </c>
      <c r="AA5347" s="9">
        <v>29.424604823442099</v>
      </c>
      <c r="AB5347" s="9">
        <v>32.345504182311352</v>
      </c>
      <c r="AC5347" s="9">
        <v>32.345504182311352</v>
      </c>
      <c r="AD5347" s="9">
        <v>37.073967958020759</v>
      </c>
      <c r="AE5347" s="9">
        <v>39.537280452065687</v>
      </c>
      <c r="AF5347" s="9">
        <v>42.115429646064094</v>
      </c>
      <c r="AG5347" s="9">
        <v>42.115429646064094</v>
      </c>
      <c r="AH5347" s="9">
        <v>45.566990204681431</v>
      </c>
      <c r="AI5347" s="9">
        <v>48.2081665036403</v>
      </c>
      <c r="AJ5347" s="9">
        <v>3.0428788910505911</v>
      </c>
    </row>
    <row r="5348" spans="1:36" x14ac:dyDescent="0.25">
      <c r="A5348" t="s">
        <v>5411</v>
      </c>
      <c r="B5348" t="s">
        <v>16</v>
      </c>
      <c r="C5348" t="s">
        <v>17</v>
      </c>
      <c r="D5348">
        <v>89694000</v>
      </c>
      <c r="E5348">
        <v>89699999</v>
      </c>
      <c r="F5348" t="s">
        <v>4845</v>
      </c>
      <c r="G5348" t="str">
        <f t="shared" si="166"/>
        <v>SCI II</v>
      </c>
      <c r="H5348" t="s">
        <v>4654</v>
      </c>
      <c r="I5348" t="s">
        <v>20</v>
      </c>
      <c r="J5348" t="s">
        <v>64</v>
      </c>
      <c r="K5348" s="6">
        <v>0.03</v>
      </c>
      <c r="L5348" s="7">
        <f t="shared" si="167"/>
        <v>2E-3</v>
      </c>
      <c r="M5348" s="7">
        <v>3.0000000000000001E-3</v>
      </c>
      <c r="N5348">
        <v>11</v>
      </c>
      <c r="O5348" s="8">
        <v>19.475693895950801</v>
      </c>
      <c r="P5348" s="9">
        <v>19.475693895950801</v>
      </c>
      <c r="Q5348" s="9">
        <v>19.475693895950801</v>
      </c>
      <c r="R5348" s="9">
        <v>20.024452706180426</v>
      </c>
      <c r="S5348" s="9">
        <v>20.875099128492941</v>
      </c>
      <c r="T5348" s="9">
        <v>21.733350185946453</v>
      </c>
      <c r="U5348" s="9">
        <v>23.861555618318132</v>
      </c>
      <c r="V5348" s="9">
        <v>23.861555618318132</v>
      </c>
      <c r="W5348" s="9">
        <v>23.861555618318132</v>
      </c>
      <c r="X5348" s="9">
        <v>26.599525609534091</v>
      </c>
      <c r="Y5348" s="9">
        <v>26.599525609534091</v>
      </c>
      <c r="Z5348" s="9">
        <v>29.424604823442099</v>
      </c>
      <c r="AA5348" s="9">
        <v>29.424604823442099</v>
      </c>
      <c r="AB5348" s="9">
        <v>32.345504182311352</v>
      </c>
      <c r="AC5348" s="9">
        <v>32.345504182311352</v>
      </c>
      <c r="AD5348" s="9">
        <v>37.073967958020759</v>
      </c>
      <c r="AE5348" s="9">
        <v>39.537280452065687</v>
      </c>
      <c r="AF5348" s="9">
        <v>42.115429646064094</v>
      </c>
      <c r="AG5348" s="9">
        <v>42.115429646064094</v>
      </c>
      <c r="AH5348" s="9">
        <v>45.566990204681431</v>
      </c>
      <c r="AI5348" s="9">
        <v>48.2081665036403</v>
      </c>
      <c r="AJ5348" s="9">
        <v>3.0428788910505911</v>
      </c>
    </row>
    <row r="5349" spans="1:36" x14ac:dyDescent="0.25">
      <c r="A5349" t="s">
        <v>5411</v>
      </c>
      <c r="B5349" t="s">
        <v>16</v>
      </c>
      <c r="C5349" t="s">
        <v>17</v>
      </c>
      <c r="D5349">
        <v>89700000</v>
      </c>
      <c r="E5349">
        <v>89729999</v>
      </c>
      <c r="F5349" t="s">
        <v>4846</v>
      </c>
      <c r="G5349" t="str">
        <f t="shared" si="166"/>
        <v>SCI</v>
      </c>
      <c r="H5349" t="s">
        <v>4654</v>
      </c>
      <c r="I5349" t="s">
        <v>20</v>
      </c>
      <c r="J5349" t="s">
        <v>62</v>
      </c>
      <c r="K5349" s="6">
        <v>0.03</v>
      </c>
      <c r="L5349" s="7">
        <f t="shared" si="167"/>
        <v>2E-3</v>
      </c>
      <c r="M5349" s="7">
        <v>3.0000000000000001E-3</v>
      </c>
      <c r="N5349">
        <v>11</v>
      </c>
      <c r="O5349" s="8">
        <v>16.631361039134706</v>
      </c>
      <c r="P5349" s="9">
        <v>16.631361039134706</v>
      </c>
      <c r="Q5349" s="9">
        <v>16.631361039134706</v>
      </c>
      <c r="R5349" s="9">
        <v>17.060180136455905</v>
      </c>
      <c r="S5349" s="9">
        <v>18.024171003933382</v>
      </c>
      <c r="T5349" s="9">
        <v>18.868116637328029</v>
      </c>
      <c r="U5349" s="9">
        <v>20.58817720770605</v>
      </c>
      <c r="V5349" s="9">
        <v>20.58817720770605</v>
      </c>
      <c r="W5349" s="9">
        <v>20.58817720770605</v>
      </c>
      <c r="X5349" s="9">
        <v>22.864259828555831</v>
      </c>
      <c r="Y5349" s="9">
        <v>22.864259828555831</v>
      </c>
      <c r="Z5349" s="9">
        <v>25.323053608820352</v>
      </c>
      <c r="AA5349" s="9">
        <v>25.323053608820352</v>
      </c>
      <c r="AB5349" s="9">
        <v>28.021815637038035</v>
      </c>
      <c r="AC5349" s="9">
        <v>28.021815637038035</v>
      </c>
      <c r="AD5349" s="9">
        <v>30.863654196486234</v>
      </c>
      <c r="AE5349" s="9">
        <v>33.866973124126531</v>
      </c>
      <c r="AF5349" s="9">
        <v>37.052606032896897</v>
      </c>
      <c r="AG5349" s="9">
        <v>37.052606032896897</v>
      </c>
      <c r="AH5349" s="9">
        <v>39.965079814445566</v>
      </c>
      <c r="AI5349" s="9">
        <v>42.780649023864797</v>
      </c>
      <c r="AJ5349" s="9">
        <v>3.0428788910505911</v>
      </c>
    </row>
    <row r="5350" spans="1:36" x14ac:dyDescent="0.25">
      <c r="A5350" t="s">
        <v>5411</v>
      </c>
      <c r="B5350" t="s">
        <v>16</v>
      </c>
      <c r="C5350" t="s">
        <v>17</v>
      </c>
      <c r="D5350">
        <v>89730000</v>
      </c>
      <c r="E5350">
        <v>89734999</v>
      </c>
      <c r="F5350" t="s">
        <v>4847</v>
      </c>
      <c r="G5350" t="str">
        <f t="shared" si="166"/>
        <v>SCI</v>
      </c>
      <c r="H5350" t="s">
        <v>4654</v>
      </c>
      <c r="I5350" t="s">
        <v>20</v>
      </c>
      <c r="J5350" t="s">
        <v>62</v>
      </c>
      <c r="K5350" s="6">
        <v>0.03</v>
      </c>
      <c r="L5350" s="7">
        <f t="shared" si="167"/>
        <v>2E-3</v>
      </c>
      <c r="M5350" s="7">
        <v>3.0000000000000001E-3</v>
      </c>
      <c r="N5350">
        <v>11</v>
      </c>
      <c r="O5350" s="8">
        <v>16.631361039134706</v>
      </c>
      <c r="P5350" s="9">
        <v>16.631361039134706</v>
      </c>
      <c r="Q5350" s="9">
        <v>16.631361039134706</v>
      </c>
      <c r="R5350" s="9">
        <v>17.060180136455905</v>
      </c>
      <c r="S5350" s="9">
        <v>18.024171003933382</v>
      </c>
      <c r="T5350" s="9">
        <v>18.868116637328029</v>
      </c>
      <c r="U5350" s="9">
        <v>20.58817720770605</v>
      </c>
      <c r="V5350" s="9">
        <v>20.58817720770605</v>
      </c>
      <c r="W5350" s="9">
        <v>20.58817720770605</v>
      </c>
      <c r="X5350" s="9">
        <v>22.864259828555831</v>
      </c>
      <c r="Y5350" s="9">
        <v>22.864259828555831</v>
      </c>
      <c r="Z5350" s="9">
        <v>25.323053608820352</v>
      </c>
      <c r="AA5350" s="9">
        <v>25.323053608820352</v>
      </c>
      <c r="AB5350" s="9">
        <v>28.021815637038035</v>
      </c>
      <c r="AC5350" s="9">
        <v>28.021815637038035</v>
      </c>
      <c r="AD5350" s="9">
        <v>30.863654196486234</v>
      </c>
      <c r="AE5350" s="9">
        <v>33.866973124126531</v>
      </c>
      <c r="AF5350" s="9">
        <v>37.052606032896897</v>
      </c>
      <c r="AG5350" s="9">
        <v>37.052606032896897</v>
      </c>
      <c r="AH5350" s="9">
        <v>39.965079814445566</v>
      </c>
      <c r="AI5350" s="9">
        <v>42.780649023864797</v>
      </c>
      <c r="AJ5350" s="9">
        <v>3.0428788910505911</v>
      </c>
    </row>
    <row r="5351" spans="1:36" x14ac:dyDescent="0.25">
      <c r="A5351" t="s">
        <v>5411</v>
      </c>
      <c r="B5351" t="s">
        <v>16</v>
      </c>
      <c r="C5351" t="s">
        <v>17</v>
      </c>
      <c r="D5351">
        <v>89735000</v>
      </c>
      <c r="E5351">
        <v>89739999</v>
      </c>
      <c r="F5351" t="s">
        <v>4848</v>
      </c>
      <c r="G5351" t="str">
        <f t="shared" si="166"/>
        <v>SCI II</v>
      </c>
      <c r="H5351" t="s">
        <v>4654</v>
      </c>
      <c r="I5351" t="s">
        <v>20</v>
      </c>
      <c r="J5351" t="s">
        <v>64</v>
      </c>
      <c r="K5351" s="6">
        <v>0.03</v>
      </c>
      <c r="L5351" s="7">
        <f t="shared" si="167"/>
        <v>2E-3</v>
      </c>
      <c r="M5351" s="7">
        <v>3.0000000000000001E-3</v>
      </c>
      <c r="N5351">
        <v>11</v>
      </c>
      <c r="O5351" s="8">
        <v>19.475693895950801</v>
      </c>
      <c r="P5351" s="9">
        <v>19.475693895950801</v>
      </c>
      <c r="Q5351" s="9">
        <v>19.475693895950801</v>
      </c>
      <c r="R5351" s="9">
        <v>20.024452706180426</v>
      </c>
      <c r="S5351" s="9">
        <v>20.875099128492941</v>
      </c>
      <c r="T5351" s="9">
        <v>21.733350185946453</v>
      </c>
      <c r="U5351" s="9">
        <v>23.861555618318132</v>
      </c>
      <c r="V5351" s="9">
        <v>23.861555618318132</v>
      </c>
      <c r="W5351" s="9">
        <v>23.861555618318132</v>
      </c>
      <c r="X5351" s="9">
        <v>26.599525609534091</v>
      </c>
      <c r="Y5351" s="9">
        <v>26.599525609534091</v>
      </c>
      <c r="Z5351" s="9">
        <v>29.424604823442099</v>
      </c>
      <c r="AA5351" s="9">
        <v>29.424604823442099</v>
      </c>
      <c r="AB5351" s="9">
        <v>32.345504182311352</v>
      </c>
      <c r="AC5351" s="9">
        <v>32.345504182311352</v>
      </c>
      <c r="AD5351" s="9">
        <v>37.073967958020759</v>
      </c>
      <c r="AE5351" s="9">
        <v>39.537280452065687</v>
      </c>
      <c r="AF5351" s="9">
        <v>42.115429646064094</v>
      </c>
      <c r="AG5351" s="9">
        <v>42.115429646064094</v>
      </c>
      <c r="AH5351" s="9">
        <v>45.566990204681431</v>
      </c>
      <c r="AI5351" s="9">
        <v>48.2081665036403</v>
      </c>
      <c r="AJ5351" s="9">
        <v>3.0428788910505911</v>
      </c>
    </row>
    <row r="5352" spans="1:36" x14ac:dyDescent="0.25">
      <c r="A5352" t="s">
        <v>5411</v>
      </c>
      <c r="B5352" t="s">
        <v>16</v>
      </c>
      <c r="C5352" t="s">
        <v>17</v>
      </c>
      <c r="D5352">
        <v>89740000</v>
      </c>
      <c r="E5352">
        <v>89744999</v>
      </c>
      <c r="F5352" t="s">
        <v>4849</v>
      </c>
      <c r="G5352" t="str">
        <f t="shared" si="166"/>
        <v>SCI II</v>
      </c>
      <c r="H5352" t="s">
        <v>4654</v>
      </c>
      <c r="I5352" t="s">
        <v>20</v>
      </c>
      <c r="J5352" t="s">
        <v>64</v>
      </c>
      <c r="K5352" s="6">
        <v>0.03</v>
      </c>
      <c r="L5352" s="7">
        <f t="shared" si="167"/>
        <v>2E-3</v>
      </c>
      <c r="M5352" s="7">
        <v>3.0000000000000001E-3</v>
      </c>
      <c r="N5352">
        <v>11</v>
      </c>
      <c r="O5352" s="8">
        <v>19.475693895950801</v>
      </c>
      <c r="P5352" s="9">
        <v>19.475693895950801</v>
      </c>
      <c r="Q5352" s="9">
        <v>19.475693895950801</v>
      </c>
      <c r="R5352" s="9">
        <v>20.024452706180426</v>
      </c>
      <c r="S5352" s="9">
        <v>20.875099128492941</v>
      </c>
      <c r="T5352" s="9">
        <v>21.733350185946453</v>
      </c>
      <c r="U5352" s="9">
        <v>23.861555618318132</v>
      </c>
      <c r="V5352" s="9">
        <v>23.861555618318132</v>
      </c>
      <c r="W5352" s="9">
        <v>23.861555618318132</v>
      </c>
      <c r="X5352" s="9">
        <v>26.599525609534091</v>
      </c>
      <c r="Y5352" s="9">
        <v>26.599525609534091</v>
      </c>
      <c r="Z5352" s="9">
        <v>29.424604823442099</v>
      </c>
      <c r="AA5352" s="9">
        <v>29.424604823442099</v>
      </c>
      <c r="AB5352" s="9">
        <v>32.345504182311352</v>
      </c>
      <c r="AC5352" s="9">
        <v>32.345504182311352</v>
      </c>
      <c r="AD5352" s="9">
        <v>37.073967958020759</v>
      </c>
      <c r="AE5352" s="9">
        <v>39.537280452065687</v>
      </c>
      <c r="AF5352" s="9">
        <v>42.115429646064094</v>
      </c>
      <c r="AG5352" s="9">
        <v>42.115429646064094</v>
      </c>
      <c r="AH5352" s="9">
        <v>45.566990204681431</v>
      </c>
      <c r="AI5352" s="9">
        <v>48.2081665036403</v>
      </c>
      <c r="AJ5352" s="9">
        <v>3.0428788910505911</v>
      </c>
    </row>
    <row r="5353" spans="1:36" x14ac:dyDescent="0.25">
      <c r="A5353" t="s">
        <v>5411</v>
      </c>
      <c r="B5353" t="s">
        <v>16</v>
      </c>
      <c r="C5353" t="s">
        <v>17</v>
      </c>
      <c r="D5353">
        <v>89745000</v>
      </c>
      <c r="E5353">
        <v>89749999</v>
      </c>
      <c r="F5353" t="s">
        <v>4850</v>
      </c>
      <c r="G5353" t="str">
        <f t="shared" si="166"/>
        <v>SCI II</v>
      </c>
      <c r="H5353" t="s">
        <v>4654</v>
      </c>
      <c r="I5353" t="s">
        <v>20</v>
      </c>
      <c r="J5353" t="s">
        <v>64</v>
      </c>
      <c r="K5353" s="6">
        <v>0.03</v>
      </c>
      <c r="L5353" s="7">
        <f t="shared" si="167"/>
        <v>2E-3</v>
      </c>
      <c r="M5353" s="7">
        <v>3.0000000000000001E-3</v>
      </c>
      <c r="N5353">
        <v>11</v>
      </c>
      <c r="O5353" s="8">
        <v>19.475693895950801</v>
      </c>
      <c r="P5353" s="9">
        <v>19.475693895950801</v>
      </c>
      <c r="Q5353" s="9">
        <v>19.475693895950801</v>
      </c>
      <c r="R5353" s="9">
        <v>20.024452706180426</v>
      </c>
      <c r="S5353" s="9">
        <v>20.875099128492941</v>
      </c>
      <c r="T5353" s="9">
        <v>21.733350185946453</v>
      </c>
      <c r="U5353" s="9">
        <v>23.861555618318132</v>
      </c>
      <c r="V5353" s="9">
        <v>23.861555618318132</v>
      </c>
      <c r="W5353" s="9">
        <v>23.861555618318132</v>
      </c>
      <c r="X5353" s="9">
        <v>26.599525609534091</v>
      </c>
      <c r="Y5353" s="9">
        <v>26.599525609534091</v>
      </c>
      <c r="Z5353" s="9">
        <v>29.424604823442099</v>
      </c>
      <c r="AA5353" s="9">
        <v>29.424604823442099</v>
      </c>
      <c r="AB5353" s="9">
        <v>32.345504182311352</v>
      </c>
      <c r="AC5353" s="9">
        <v>32.345504182311352</v>
      </c>
      <c r="AD5353" s="9">
        <v>37.073967958020759</v>
      </c>
      <c r="AE5353" s="9">
        <v>39.537280452065687</v>
      </c>
      <c r="AF5353" s="9">
        <v>42.115429646064094</v>
      </c>
      <c r="AG5353" s="9">
        <v>42.115429646064094</v>
      </c>
      <c r="AH5353" s="9">
        <v>45.566990204681431</v>
      </c>
      <c r="AI5353" s="9">
        <v>48.2081665036403</v>
      </c>
      <c r="AJ5353" s="9">
        <v>3.0428788910505911</v>
      </c>
    </row>
    <row r="5354" spans="1:36" x14ac:dyDescent="0.25">
      <c r="A5354" t="s">
        <v>5411</v>
      </c>
      <c r="B5354" t="s">
        <v>16</v>
      </c>
      <c r="C5354" t="s">
        <v>17</v>
      </c>
      <c r="D5354">
        <v>89750000</v>
      </c>
      <c r="E5354">
        <v>89759999</v>
      </c>
      <c r="F5354" t="s">
        <v>4851</v>
      </c>
      <c r="G5354" t="str">
        <f t="shared" si="166"/>
        <v>SCI II</v>
      </c>
      <c r="H5354" t="s">
        <v>4654</v>
      </c>
      <c r="I5354" t="s">
        <v>20</v>
      </c>
      <c r="J5354" t="s">
        <v>64</v>
      </c>
      <c r="K5354" s="6">
        <v>0.03</v>
      </c>
      <c r="L5354" s="7">
        <f t="shared" si="167"/>
        <v>2E-3</v>
      </c>
      <c r="M5354" s="7">
        <v>3.0000000000000001E-3</v>
      </c>
      <c r="N5354">
        <v>11</v>
      </c>
      <c r="O5354" s="8">
        <v>19.475693895950801</v>
      </c>
      <c r="P5354" s="9">
        <v>19.475693895950801</v>
      </c>
      <c r="Q5354" s="9">
        <v>19.475693895950801</v>
      </c>
      <c r="R5354" s="9">
        <v>20.024452706180426</v>
      </c>
      <c r="S5354" s="9">
        <v>20.875099128492941</v>
      </c>
      <c r="T5354" s="9">
        <v>21.733350185946453</v>
      </c>
      <c r="U5354" s="9">
        <v>23.861555618318132</v>
      </c>
      <c r="V5354" s="9">
        <v>23.861555618318132</v>
      </c>
      <c r="W5354" s="9">
        <v>23.861555618318132</v>
      </c>
      <c r="X5354" s="9">
        <v>26.599525609534091</v>
      </c>
      <c r="Y5354" s="9">
        <v>26.599525609534091</v>
      </c>
      <c r="Z5354" s="9">
        <v>29.424604823442099</v>
      </c>
      <c r="AA5354" s="9">
        <v>29.424604823442099</v>
      </c>
      <c r="AB5354" s="9">
        <v>32.345504182311352</v>
      </c>
      <c r="AC5354" s="9">
        <v>32.345504182311352</v>
      </c>
      <c r="AD5354" s="9">
        <v>37.073967958020759</v>
      </c>
      <c r="AE5354" s="9">
        <v>39.537280452065687</v>
      </c>
      <c r="AF5354" s="9">
        <v>42.115429646064094</v>
      </c>
      <c r="AG5354" s="9">
        <v>42.115429646064094</v>
      </c>
      <c r="AH5354" s="9">
        <v>45.566990204681431</v>
      </c>
      <c r="AI5354" s="9">
        <v>48.2081665036403</v>
      </c>
      <c r="AJ5354" s="9">
        <v>3.0428788910505911</v>
      </c>
    </row>
    <row r="5355" spans="1:36" x14ac:dyDescent="0.25">
      <c r="A5355" t="s">
        <v>5411</v>
      </c>
      <c r="B5355" t="s">
        <v>16</v>
      </c>
      <c r="C5355" t="s">
        <v>17</v>
      </c>
      <c r="D5355">
        <v>89760000</v>
      </c>
      <c r="E5355">
        <v>89764999</v>
      </c>
      <c r="F5355" t="s">
        <v>4852</v>
      </c>
      <c r="G5355" t="str">
        <f t="shared" si="166"/>
        <v>SCI II</v>
      </c>
      <c r="H5355" t="s">
        <v>4654</v>
      </c>
      <c r="I5355" t="s">
        <v>20</v>
      </c>
      <c r="J5355" t="s">
        <v>64</v>
      </c>
      <c r="K5355" s="6">
        <v>0.03</v>
      </c>
      <c r="L5355" s="7">
        <f t="shared" si="167"/>
        <v>2E-3</v>
      </c>
      <c r="M5355" s="7">
        <v>3.0000000000000001E-3</v>
      </c>
      <c r="N5355">
        <v>11</v>
      </c>
      <c r="O5355" s="8">
        <v>19.475693895950801</v>
      </c>
      <c r="P5355" s="9">
        <v>19.475693895950801</v>
      </c>
      <c r="Q5355" s="9">
        <v>19.475693895950801</v>
      </c>
      <c r="R5355" s="9">
        <v>20.024452706180426</v>
      </c>
      <c r="S5355" s="9">
        <v>20.875099128492941</v>
      </c>
      <c r="T5355" s="9">
        <v>21.733350185946453</v>
      </c>
      <c r="U5355" s="9">
        <v>23.861555618318132</v>
      </c>
      <c r="V5355" s="9">
        <v>23.861555618318132</v>
      </c>
      <c r="W5355" s="9">
        <v>23.861555618318132</v>
      </c>
      <c r="X5355" s="9">
        <v>26.599525609534091</v>
      </c>
      <c r="Y5355" s="9">
        <v>26.599525609534091</v>
      </c>
      <c r="Z5355" s="9">
        <v>29.424604823442099</v>
      </c>
      <c r="AA5355" s="9">
        <v>29.424604823442099</v>
      </c>
      <c r="AB5355" s="9">
        <v>32.345504182311352</v>
      </c>
      <c r="AC5355" s="9">
        <v>32.345504182311352</v>
      </c>
      <c r="AD5355" s="9">
        <v>37.073967958020759</v>
      </c>
      <c r="AE5355" s="9">
        <v>39.537280452065687</v>
      </c>
      <c r="AF5355" s="9">
        <v>42.115429646064094</v>
      </c>
      <c r="AG5355" s="9">
        <v>42.115429646064094</v>
      </c>
      <c r="AH5355" s="9">
        <v>45.566990204681431</v>
      </c>
      <c r="AI5355" s="9">
        <v>48.2081665036403</v>
      </c>
      <c r="AJ5355" s="9">
        <v>3.0428788910505911</v>
      </c>
    </row>
    <row r="5356" spans="1:36" x14ac:dyDescent="0.25">
      <c r="A5356" t="s">
        <v>5411</v>
      </c>
      <c r="B5356" t="s">
        <v>16</v>
      </c>
      <c r="C5356" t="s">
        <v>17</v>
      </c>
      <c r="D5356">
        <v>89765000</v>
      </c>
      <c r="E5356">
        <v>89769999</v>
      </c>
      <c r="F5356" t="s">
        <v>4853</v>
      </c>
      <c r="G5356" t="str">
        <f t="shared" si="166"/>
        <v>SCI II</v>
      </c>
      <c r="H5356" t="s">
        <v>4654</v>
      </c>
      <c r="I5356" t="s">
        <v>20</v>
      </c>
      <c r="J5356" t="s">
        <v>64</v>
      </c>
      <c r="K5356" s="6">
        <v>0.03</v>
      </c>
      <c r="L5356" s="7">
        <f t="shared" si="167"/>
        <v>2E-3</v>
      </c>
      <c r="M5356" s="7">
        <v>3.0000000000000001E-3</v>
      </c>
      <c r="N5356">
        <v>11</v>
      </c>
      <c r="O5356" s="8">
        <v>19.475693895950801</v>
      </c>
      <c r="P5356" s="9">
        <v>19.475693895950801</v>
      </c>
      <c r="Q5356" s="9">
        <v>19.475693895950801</v>
      </c>
      <c r="R5356" s="9">
        <v>20.024452706180426</v>
      </c>
      <c r="S5356" s="9">
        <v>20.875099128492941</v>
      </c>
      <c r="T5356" s="9">
        <v>21.733350185946453</v>
      </c>
      <c r="U5356" s="9">
        <v>23.861555618318132</v>
      </c>
      <c r="V5356" s="9">
        <v>23.861555618318132</v>
      </c>
      <c r="W5356" s="9">
        <v>23.861555618318132</v>
      </c>
      <c r="X5356" s="9">
        <v>26.599525609534091</v>
      </c>
      <c r="Y5356" s="9">
        <v>26.599525609534091</v>
      </c>
      <c r="Z5356" s="9">
        <v>29.424604823442099</v>
      </c>
      <c r="AA5356" s="9">
        <v>29.424604823442099</v>
      </c>
      <c r="AB5356" s="9">
        <v>32.345504182311352</v>
      </c>
      <c r="AC5356" s="9">
        <v>32.345504182311352</v>
      </c>
      <c r="AD5356" s="9">
        <v>37.073967958020759</v>
      </c>
      <c r="AE5356" s="9">
        <v>39.537280452065687</v>
      </c>
      <c r="AF5356" s="9">
        <v>42.115429646064094</v>
      </c>
      <c r="AG5356" s="9">
        <v>42.115429646064094</v>
      </c>
      <c r="AH5356" s="9">
        <v>45.566990204681431</v>
      </c>
      <c r="AI5356" s="9">
        <v>48.2081665036403</v>
      </c>
      <c r="AJ5356" s="9">
        <v>3.0428788910505911</v>
      </c>
    </row>
    <row r="5357" spans="1:36" x14ac:dyDescent="0.25">
      <c r="A5357" t="s">
        <v>5411</v>
      </c>
      <c r="B5357" t="s">
        <v>16</v>
      </c>
      <c r="C5357" t="s">
        <v>17</v>
      </c>
      <c r="D5357">
        <v>89770000</v>
      </c>
      <c r="E5357">
        <v>89777999</v>
      </c>
      <c r="F5357" t="s">
        <v>4854</v>
      </c>
      <c r="G5357" t="str">
        <f t="shared" si="166"/>
        <v>SCI II</v>
      </c>
      <c r="H5357" t="s">
        <v>4654</v>
      </c>
      <c r="I5357" t="s">
        <v>20</v>
      </c>
      <c r="J5357" t="s">
        <v>64</v>
      </c>
      <c r="K5357" s="6">
        <v>0.03</v>
      </c>
      <c r="L5357" s="7">
        <f t="shared" si="167"/>
        <v>2E-3</v>
      </c>
      <c r="M5357" s="7">
        <v>3.0000000000000001E-3</v>
      </c>
      <c r="N5357">
        <v>11</v>
      </c>
      <c r="O5357" s="8">
        <v>19.475693895950801</v>
      </c>
      <c r="P5357" s="9">
        <v>19.475693895950801</v>
      </c>
      <c r="Q5357" s="9">
        <v>19.475693895950801</v>
      </c>
      <c r="R5357" s="9">
        <v>20.024452706180426</v>
      </c>
      <c r="S5357" s="9">
        <v>20.875099128492941</v>
      </c>
      <c r="T5357" s="9">
        <v>21.733350185946453</v>
      </c>
      <c r="U5357" s="9">
        <v>23.861555618318132</v>
      </c>
      <c r="V5357" s="9">
        <v>23.861555618318132</v>
      </c>
      <c r="W5357" s="9">
        <v>23.861555618318132</v>
      </c>
      <c r="X5357" s="9">
        <v>26.599525609534091</v>
      </c>
      <c r="Y5357" s="9">
        <v>26.599525609534091</v>
      </c>
      <c r="Z5357" s="9">
        <v>29.424604823442099</v>
      </c>
      <c r="AA5357" s="9">
        <v>29.424604823442099</v>
      </c>
      <c r="AB5357" s="9">
        <v>32.345504182311352</v>
      </c>
      <c r="AC5357" s="9">
        <v>32.345504182311352</v>
      </c>
      <c r="AD5357" s="9">
        <v>37.073967958020759</v>
      </c>
      <c r="AE5357" s="9">
        <v>39.537280452065687</v>
      </c>
      <c r="AF5357" s="9">
        <v>42.115429646064094</v>
      </c>
      <c r="AG5357" s="9">
        <v>42.115429646064094</v>
      </c>
      <c r="AH5357" s="9">
        <v>45.566990204681431</v>
      </c>
      <c r="AI5357" s="9">
        <v>48.2081665036403</v>
      </c>
      <c r="AJ5357" s="9">
        <v>3.0428788910505911</v>
      </c>
    </row>
    <row r="5358" spans="1:36" x14ac:dyDescent="0.25">
      <c r="A5358" t="s">
        <v>5411</v>
      </c>
      <c r="B5358" t="s">
        <v>16</v>
      </c>
      <c r="C5358" t="s">
        <v>17</v>
      </c>
      <c r="D5358">
        <v>89778000</v>
      </c>
      <c r="E5358">
        <v>89779999</v>
      </c>
      <c r="F5358" t="s">
        <v>4855</v>
      </c>
      <c r="G5358" t="str">
        <f t="shared" si="166"/>
        <v>SCI II</v>
      </c>
      <c r="H5358" t="s">
        <v>4654</v>
      </c>
      <c r="I5358" t="s">
        <v>20</v>
      </c>
      <c r="J5358" t="s">
        <v>64</v>
      </c>
      <c r="K5358" s="6">
        <v>0.03</v>
      </c>
      <c r="L5358" s="7">
        <f t="shared" si="167"/>
        <v>2E-3</v>
      </c>
      <c r="M5358" s="7">
        <v>3.0000000000000001E-3</v>
      </c>
      <c r="N5358">
        <v>11</v>
      </c>
      <c r="O5358" s="8">
        <v>19.475693895950801</v>
      </c>
      <c r="P5358" s="9">
        <v>19.475693895950801</v>
      </c>
      <c r="Q5358" s="9">
        <v>19.475693895950801</v>
      </c>
      <c r="R5358" s="9">
        <v>20.024452706180426</v>
      </c>
      <c r="S5358" s="9">
        <v>20.875099128492941</v>
      </c>
      <c r="T5358" s="9">
        <v>21.733350185946453</v>
      </c>
      <c r="U5358" s="9">
        <v>23.861555618318132</v>
      </c>
      <c r="V5358" s="9">
        <v>23.861555618318132</v>
      </c>
      <c r="W5358" s="9">
        <v>23.861555618318132</v>
      </c>
      <c r="X5358" s="9">
        <v>26.599525609534091</v>
      </c>
      <c r="Y5358" s="9">
        <v>26.599525609534091</v>
      </c>
      <c r="Z5358" s="9">
        <v>29.424604823442099</v>
      </c>
      <c r="AA5358" s="9">
        <v>29.424604823442099</v>
      </c>
      <c r="AB5358" s="9">
        <v>32.345504182311352</v>
      </c>
      <c r="AC5358" s="9">
        <v>32.345504182311352</v>
      </c>
      <c r="AD5358" s="9">
        <v>37.073967958020759</v>
      </c>
      <c r="AE5358" s="9">
        <v>39.537280452065687</v>
      </c>
      <c r="AF5358" s="9">
        <v>42.115429646064094</v>
      </c>
      <c r="AG5358" s="9">
        <v>42.115429646064094</v>
      </c>
      <c r="AH5358" s="9">
        <v>45.566990204681431</v>
      </c>
      <c r="AI5358" s="9">
        <v>48.2081665036403</v>
      </c>
      <c r="AJ5358" s="9">
        <v>3.0428788910505911</v>
      </c>
    </row>
    <row r="5359" spans="1:36" x14ac:dyDescent="0.25">
      <c r="A5359" t="s">
        <v>5411</v>
      </c>
      <c r="B5359" t="s">
        <v>16</v>
      </c>
      <c r="C5359" t="s">
        <v>17</v>
      </c>
      <c r="D5359">
        <v>89780000</v>
      </c>
      <c r="E5359">
        <v>89789999</v>
      </c>
      <c r="F5359" t="s">
        <v>4856</v>
      </c>
      <c r="G5359" t="str">
        <f t="shared" si="166"/>
        <v>SCI II</v>
      </c>
      <c r="H5359" t="s">
        <v>4654</v>
      </c>
      <c r="I5359" t="s">
        <v>20</v>
      </c>
      <c r="J5359" t="s">
        <v>64</v>
      </c>
      <c r="K5359" s="6">
        <v>0.03</v>
      </c>
      <c r="L5359" s="7">
        <f t="shared" si="167"/>
        <v>2E-3</v>
      </c>
      <c r="M5359" s="7">
        <v>3.0000000000000001E-3</v>
      </c>
      <c r="N5359">
        <v>11</v>
      </c>
      <c r="O5359" s="8">
        <v>19.475693895950801</v>
      </c>
      <c r="P5359" s="9">
        <v>19.475693895950801</v>
      </c>
      <c r="Q5359" s="9">
        <v>19.475693895950801</v>
      </c>
      <c r="R5359" s="9">
        <v>20.024452706180426</v>
      </c>
      <c r="S5359" s="9">
        <v>20.875099128492941</v>
      </c>
      <c r="T5359" s="9">
        <v>21.733350185946453</v>
      </c>
      <c r="U5359" s="9">
        <v>23.861555618318132</v>
      </c>
      <c r="V5359" s="9">
        <v>23.861555618318132</v>
      </c>
      <c r="W5359" s="9">
        <v>23.861555618318132</v>
      </c>
      <c r="X5359" s="9">
        <v>26.599525609534091</v>
      </c>
      <c r="Y5359" s="9">
        <v>26.599525609534091</v>
      </c>
      <c r="Z5359" s="9">
        <v>29.424604823442099</v>
      </c>
      <c r="AA5359" s="9">
        <v>29.424604823442099</v>
      </c>
      <c r="AB5359" s="9">
        <v>32.345504182311352</v>
      </c>
      <c r="AC5359" s="9">
        <v>32.345504182311352</v>
      </c>
      <c r="AD5359" s="9">
        <v>37.073967958020759</v>
      </c>
      <c r="AE5359" s="9">
        <v>39.537280452065687</v>
      </c>
      <c r="AF5359" s="9">
        <v>42.115429646064094</v>
      </c>
      <c r="AG5359" s="9">
        <v>42.115429646064094</v>
      </c>
      <c r="AH5359" s="9">
        <v>45.566990204681431</v>
      </c>
      <c r="AI5359" s="9">
        <v>48.2081665036403</v>
      </c>
      <c r="AJ5359" s="9">
        <v>3.0428788910505911</v>
      </c>
    </row>
    <row r="5360" spans="1:36" x14ac:dyDescent="0.25">
      <c r="A5360" t="s">
        <v>5411</v>
      </c>
      <c r="B5360" t="s">
        <v>16</v>
      </c>
      <c r="C5360" t="s">
        <v>17</v>
      </c>
      <c r="D5360">
        <v>89790000</v>
      </c>
      <c r="E5360">
        <v>89799999</v>
      </c>
      <c r="F5360" t="s">
        <v>4857</v>
      </c>
      <c r="G5360" t="str">
        <f t="shared" si="166"/>
        <v>SCI II</v>
      </c>
      <c r="H5360" t="s">
        <v>4654</v>
      </c>
      <c r="I5360" t="s">
        <v>20</v>
      </c>
      <c r="J5360" t="s">
        <v>64</v>
      </c>
      <c r="K5360" s="6">
        <v>0.03</v>
      </c>
      <c r="L5360" s="7">
        <f t="shared" si="167"/>
        <v>2E-3</v>
      </c>
      <c r="M5360" s="7">
        <v>3.0000000000000001E-3</v>
      </c>
      <c r="N5360">
        <v>11</v>
      </c>
      <c r="O5360" s="8">
        <v>19.475693895950801</v>
      </c>
      <c r="P5360" s="9">
        <v>19.475693895950801</v>
      </c>
      <c r="Q5360" s="9">
        <v>19.475693895950801</v>
      </c>
      <c r="R5360" s="9">
        <v>20.024452706180426</v>
      </c>
      <c r="S5360" s="9">
        <v>20.875099128492941</v>
      </c>
      <c r="T5360" s="9">
        <v>21.733350185946453</v>
      </c>
      <c r="U5360" s="9">
        <v>23.861555618318132</v>
      </c>
      <c r="V5360" s="9">
        <v>23.861555618318132</v>
      </c>
      <c r="W5360" s="9">
        <v>23.861555618318132</v>
      </c>
      <c r="X5360" s="9">
        <v>26.599525609534091</v>
      </c>
      <c r="Y5360" s="9">
        <v>26.599525609534091</v>
      </c>
      <c r="Z5360" s="9">
        <v>29.424604823442099</v>
      </c>
      <c r="AA5360" s="9">
        <v>29.424604823442099</v>
      </c>
      <c r="AB5360" s="9">
        <v>32.345504182311352</v>
      </c>
      <c r="AC5360" s="9">
        <v>32.345504182311352</v>
      </c>
      <c r="AD5360" s="9">
        <v>37.073967958020759</v>
      </c>
      <c r="AE5360" s="9">
        <v>39.537280452065687</v>
      </c>
      <c r="AF5360" s="9">
        <v>42.115429646064094</v>
      </c>
      <c r="AG5360" s="9">
        <v>42.115429646064094</v>
      </c>
      <c r="AH5360" s="9">
        <v>45.566990204681431</v>
      </c>
      <c r="AI5360" s="9">
        <v>48.2081665036403</v>
      </c>
      <c r="AJ5360" s="9">
        <v>3.0428788910505911</v>
      </c>
    </row>
    <row r="5361" spans="1:36" x14ac:dyDescent="0.25">
      <c r="A5361" t="s">
        <v>5411</v>
      </c>
      <c r="B5361" t="s">
        <v>16</v>
      </c>
      <c r="C5361" t="s">
        <v>17</v>
      </c>
      <c r="D5361">
        <v>89800000</v>
      </c>
      <c r="E5361">
        <v>89816999</v>
      </c>
      <c r="F5361" t="s">
        <v>4858</v>
      </c>
      <c r="G5361" t="str">
        <f t="shared" si="166"/>
        <v>SCI</v>
      </c>
      <c r="H5361" t="s">
        <v>4654</v>
      </c>
      <c r="I5361" t="s">
        <v>20</v>
      </c>
      <c r="J5361" t="s">
        <v>62</v>
      </c>
      <c r="K5361" s="6">
        <v>0.03</v>
      </c>
      <c r="L5361" s="7">
        <f t="shared" si="167"/>
        <v>2E-3</v>
      </c>
      <c r="M5361" s="7">
        <v>3.0000000000000001E-3</v>
      </c>
      <c r="N5361">
        <v>9</v>
      </c>
      <c r="O5361" s="8">
        <v>16.631361039134706</v>
      </c>
      <c r="P5361" s="9">
        <v>16.631361039134706</v>
      </c>
      <c r="Q5361" s="9">
        <v>16.631361039134706</v>
      </c>
      <c r="R5361" s="9">
        <v>17.060180136455905</v>
      </c>
      <c r="S5361" s="9">
        <v>18.024171003933382</v>
      </c>
      <c r="T5361" s="9">
        <v>18.868116637328029</v>
      </c>
      <c r="U5361" s="9">
        <v>20.58817720770605</v>
      </c>
      <c r="V5361" s="9">
        <v>20.58817720770605</v>
      </c>
      <c r="W5361" s="9">
        <v>20.58817720770605</v>
      </c>
      <c r="X5361" s="9">
        <v>22.864259828555831</v>
      </c>
      <c r="Y5361" s="9">
        <v>22.864259828555831</v>
      </c>
      <c r="Z5361" s="9">
        <v>25.323053608820352</v>
      </c>
      <c r="AA5361" s="9">
        <v>25.323053608820352</v>
      </c>
      <c r="AB5361" s="9">
        <v>28.021815637038035</v>
      </c>
      <c r="AC5361" s="9">
        <v>28.021815637038035</v>
      </c>
      <c r="AD5361" s="9">
        <v>30.863654196486234</v>
      </c>
      <c r="AE5361" s="9">
        <v>33.866973124126531</v>
      </c>
      <c r="AF5361" s="9">
        <v>37.052606032896897</v>
      </c>
      <c r="AG5361" s="9">
        <v>37.052606032896897</v>
      </c>
      <c r="AH5361" s="9">
        <v>39.965079814445566</v>
      </c>
      <c r="AI5361" s="9">
        <v>42.780649023864797</v>
      </c>
      <c r="AJ5361" s="9">
        <v>3.0428788910505911</v>
      </c>
    </row>
    <row r="5362" spans="1:36" x14ac:dyDescent="0.25">
      <c r="A5362" t="s">
        <v>5411</v>
      </c>
      <c r="B5362" t="s">
        <v>16</v>
      </c>
      <c r="C5362" t="s">
        <v>17</v>
      </c>
      <c r="D5362">
        <v>89817000</v>
      </c>
      <c r="E5362">
        <v>89817999</v>
      </c>
      <c r="F5362" t="s">
        <v>4859</v>
      </c>
      <c r="G5362" t="str">
        <f t="shared" si="166"/>
        <v>SCI</v>
      </c>
      <c r="H5362" t="s">
        <v>4654</v>
      </c>
      <c r="I5362" t="s">
        <v>20</v>
      </c>
      <c r="J5362" t="s">
        <v>62</v>
      </c>
      <c r="K5362" s="6">
        <v>0.03</v>
      </c>
      <c r="L5362" s="7">
        <f t="shared" si="167"/>
        <v>2E-3</v>
      </c>
      <c r="M5362" s="7">
        <v>3.0000000000000001E-3</v>
      </c>
      <c r="N5362">
        <v>9</v>
      </c>
      <c r="O5362" s="8">
        <v>16.631361039134706</v>
      </c>
      <c r="P5362" s="9">
        <v>16.631361039134706</v>
      </c>
      <c r="Q5362" s="9">
        <v>16.631361039134706</v>
      </c>
      <c r="R5362" s="9">
        <v>17.060180136455905</v>
      </c>
      <c r="S5362" s="9">
        <v>18.024171003933382</v>
      </c>
      <c r="T5362" s="9">
        <v>18.868116637328029</v>
      </c>
      <c r="U5362" s="9">
        <v>20.58817720770605</v>
      </c>
      <c r="V5362" s="9">
        <v>20.58817720770605</v>
      </c>
      <c r="W5362" s="9">
        <v>20.58817720770605</v>
      </c>
      <c r="X5362" s="9">
        <v>22.864259828555831</v>
      </c>
      <c r="Y5362" s="9">
        <v>22.864259828555831</v>
      </c>
      <c r="Z5362" s="9">
        <v>25.323053608820352</v>
      </c>
      <c r="AA5362" s="9">
        <v>25.323053608820352</v>
      </c>
      <c r="AB5362" s="9">
        <v>28.021815637038035</v>
      </c>
      <c r="AC5362" s="9">
        <v>28.021815637038035</v>
      </c>
      <c r="AD5362" s="9">
        <v>30.863654196486234</v>
      </c>
      <c r="AE5362" s="9">
        <v>33.866973124126531</v>
      </c>
      <c r="AF5362" s="9">
        <v>37.052606032896897</v>
      </c>
      <c r="AG5362" s="9">
        <v>37.052606032896897</v>
      </c>
      <c r="AH5362" s="9">
        <v>39.965079814445566</v>
      </c>
      <c r="AI5362" s="9">
        <v>42.780649023864797</v>
      </c>
      <c r="AJ5362" s="9">
        <v>3.0428788910505911</v>
      </c>
    </row>
    <row r="5363" spans="1:36" x14ac:dyDescent="0.25">
      <c r="A5363" t="s">
        <v>5411</v>
      </c>
      <c r="B5363" t="s">
        <v>16</v>
      </c>
      <c r="C5363" t="s">
        <v>17</v>
      </c>
      <c r="D5363">
        <v>89818000</v>
      </c>
      <c r="E5363">
        <v>89818999</v>
      </c>
      <c r="F5363" t="s">
        <v>4860</v>
      </c>
      <c r="G5363" t="str">
        <f t="shared" si="166"/>
        <v>SCI II</v>
      </c>
      <c r="H5363" t="s">
        <v>4654</v>
      </c>
      <c r="I5363" t="s">
        <v>20</v>
      </c>
      <c r="J5363" t="s">
        <v>64</v>
      </c>
      <c r="K5363" s="6">
        <v>0.03</v>
      </c>
      <c r="L5363" s="7">
        <f t="shared" si="167"/>
        <v>2E-3</v>
      </c>
      <c r="M5363" s="7">
        <v>3.0000000000000001E-3</v>
      </c>
      <c r="N5363">
        <v>11</v>
      </c>
      <c r="O5363" s="8">
        <v>19.475693895950801</v>
      </c>
      <c r="P5363" s="9">
        <v>19.475693895950801</v>
      </c>
      <c r="Q5363" s="9">
        <v>19.475693895950801</v>
      </c>
      <c r="R5363" s="9">
        <v>20.024452706180426</v>
      </c>
      <c r="S5363" s="9">
        <v>20.875099128492941</v>
      </c>
      <c r="T5363" s="9">
        <v>21.733350185946453</v>
      </c>
      <c r="U5363" s="9">
        <v>23.861555618318132</v>
      </c>
      <c r="V5363" s="9">
        <v>23.861555618318132</v>
      </c>
      <c r="W5363" s="9">
        <v>23.861555618318132</v>
      </c>
      <c r="X5363" s="9">
        <v>26.599525609534091</v>
      </c>
      <c r="Y5363" s="9">
        <v>26.599525609534091</v>
      </c>
      <c r="Z5363" s="9">
        <v>29.424604823442099</v>
      </c>
      <c r="AA5363" s="9">
        <v>29.424604823442099</v>
      </c>
      <c r="AB5363" s="9">
        <v>32.345504182311352</v>
      </c>
      <c r="AC5363" s="9">
        <v>32.345504182311352</v>
      </c>
      <c r="AD5363" s="9">
        <v>37.073967958020759</v>
      </c>
      <c r="AE5363" s="9">
        <v>39.537280452065687</v>
      </c>
      <c r="AF5363" s="9">
        <v>42.115429646064094</v>
      </c>
      <c r="AG5363" s="9">
        <v>42.115429646064094</v>
      </c>
      <c r="AH5363" s="9">
        <v>45.566990204681431</v>
      </c>
      <c r="AI5363" s="9">
        <v>48.2081665036403</v>
      </c>
      <c r="AJ5363" s="9">
        <v>3.0428788910505911</v>
      </c>
    </row>
    <row r="5364" spans="1:36" x14ac:dyDescent="0.25">
      <c r="A5364" t="s">
        <v>5411</v>
      </c>
      <c r="B5364" t="s">
        <v>16</v>
      </c>
      <c r="C5364" t="s">
        <v>17</v>
      </c>
      <c r="D5364">
        <v>89819000</v>
      </c>
      <c r="E5364">
        <v>89819999</v>
      </c>
      <c r="F5364" t="s">
        <v>4861</v>
      </c>
      <c r="G5364" t="str">
        <f t="shared" si="166"/>
        <v>SCI II</v>
      </c>
      <c r="H5364" t="s">
        <v>4654</v>
      </c>
      <c r="I5364" t="s">
        <v>20</v>
      </c>
      <c r="J5364" t="s">
        <v>64</v>
      </c>
      <c r="K5364" s="6">
        <v>0.03</v>
      </c>
      <c r="L5364" s="7">
        <f t="shared" si="167"/>
        <v>2E-3</v>
      </c>
      <c r="M5364" s="7">
        <v>3.0000000000000001E-3</v>
      </c>
      <c r="N5364">
        <v>11</v>
      </c>
      <c r="O5364" s="8">
        <v>19.475693895950801</v>
      </c>
      <c r="P5364" s="9">
        <v>19.475693895950801</v>
      </c>
      <c r="Q5364" s="9">
        <v>19.475693895950801</v>
      </c>
      <c r="R5364" s="9">
        <v>20.024452706180426</v>
      </c>
      <c r="S5364" s="9">
        <v>20.875099128492941</v>
      </c>
      <c r="T5364" s="9">
        <v>21.733350185946453</v>
      </c>
      <c r="U5364" s="9">
        <v>23.861555618318132</v>
      </c>
      <c r="V5364" s="9">
        <v>23.861555618318132</v>
      </c>
      <c r="W5364" s="9">
        <v>23.861555618318132</v>
      </c>
      <c r="X5364" s="9">
        <v>26.599525609534091</v>
      </c>
      <c r="Y5364" s="9">
        <v>26.599525609534091</v>
      </c>
      <c r="Z5364" s="9">
        <v>29.424604823442099</v>
      </c>
      <c r="AA5364" s="9">
        <v>29.424604823442099</v>
      </c>
      <c r="AB5364" s="9">
        <v>32.345504182311352</v>
      </c>
      <c r="AC5364" s="9">
        <v>32.345504182311352</v>
      </c>
      <c r="AD5364" s="9">
        <v>37.073967958020759</v>
      </c>
      <c r="AE5364" s="9">
        <v>39.537280452065687</v>
      </c>
      <c r="AF5364" s="9">
        <v>42.115429646064094</v>
      </c>
      <c r="AG5364" s="9">
        <v>42.115429646064094</v>
      </c>
      <c r="AH5364" s="9">
        <v>45.566990204681431</v>
      </c>
      <c r="AI5364" s="9">
        <v>48.2081665036403</v>
      </c>
      <c r="AJ5364" s="9">
        <v>3.0428788910505911</v>
      </c>
    </row>
    <row r="5365" spans="1:36" x14ac:dyDescent="0.25">
      <c r="A5365" t="s">
        <v>5411</v>
      </c>
      <c r="B5365" t="s">
        <v>16</v>
      </c>
      <c r="C5365" t="s">
        <v>17</v>
      </c>
      <c r="D5365">
        <v>89820000</v>
      </c>
      <c r="E5365">
        <v>89823999</v>
      </c>
      <c r="F5365" t="s">
        <v>4862</v>
      </c>
      <c r="G5365" t="str">
        <f t="shared" si="166"/>
        <v>SCI</v>
      </c>
      <c r="H5365" t="s">
        <v>4654</v>
      </c>
      <c r="I5365" t="s">
        <v>20</v>
      </c>
      <c r="J5365" t="s">
        <v>62</v>
      </c>
      <c r="K5365" s="6">
        <v>0.03</v>
      </c>
      <c r="L5365" s="7">
        <f t="shared" si="167"/>
        <v>2E-3</v>
      </c>
      <c r="M5365" s="7">
        <v>3.0000000000000001E-3</v>
      </c>
      <c r="N5365">
        <v>9</v>
      </c>
      <c r="O5365" s="8">
        <v>16.631361039134706</v>
      </c>
      <c r="P5365" s="9">
        <v>16.631361039134706</v>
      </c>
      <c r="Q5365" s="9">
        <v>16.631361039134706</v>
      </c>
      <c r="R5365" s="9">
        <v>17.060180136455905</v>
      </c>
      <c r="S5365" s="9">
        <v>18.024171003933382</v>
      </c>
      <c r="T5365" s="9">
        <v>18.868116637328029</v>
      </c>
      <c r="U5365" s="9">
        <v>20.58817720770605</v>
      </c>
      <c r="V5365" s="9">
        <v>20.58817720770605</v>
      </c>
      <c r="W5365" s="9">
        <v>20.58817720770605</v>
      </c>
      <c r="X5365" s="9">
        <v>22.864259828555831</v>
      </c>
      <c r="Y5365" s="9">
        <v>22.864259828555831</v>
      </c>
      <c r="Z5365" s="9">
        <v>25.323053608820352</v>
      </c>
      <c r="AA5365" s="9">
        <v>25.323053608820352</v>
      </c>
      <c r="AB5365" s="9">
        <v>28.021815637038035</v>
      </c>
      <c r="AC5365" s="9">
        <v>28.021815637038035</v>
      </c>
      <c r="AD5365" s="9">
        <v>30.863654196486234</v>
      </c>
      <c r="AE5365" s="9">
        <v>33.866973124126531</v>
      </c>
      <c r="AF5365" s="9">
        <v>37.052606032896897</v>
      </c>
      <c r="AG5365" s="9">
        <v>37.052606032896897</v>
      </c>
      <c r="AH5365" s="9">
        <v>39.965079814445566</v>
      </c>
      <c r="AI5365" s="9">
        <v>42.780649023864797</v>
      </c>
      <c r="AJ5365" s="9">
        <v>3.0428788910505911</v>
      </c>
    </row>
    <row r="5366" spans="1:36" x14ac:dyDescent="0.25">
      <c r="A5366" t="s">
        <v>5411</v>
      </c>
      <c r="B5366" t="s">
        <v>16</v>
      </c>
      <c r="C5366" t="s">
        <v>17</v>
      </c>
      <c r="D5366">
        <v>89824000</v>
      </c>
      <c r="E5366">
        <v>89824999</v>
      </c>
      <c r="F5366" t="s">
        <v>2652</v>
      </c>
      <c r="G5366" t="str">
        <f t="shared" si="166"/>
        <v>SCI</v>
      </c>
      <c r="H5366" t="s">
        <v>4654</v>
      </c>
      <c r="I5366" t="s">
        <v>20</v>
      </c>
      <c r="J5366" t="s">
        <v>62</v>
      </c>
      <c r="K5366" s="6">
        <v>0.03</v>
      </c>
      <c r="L5366" s="7">
        <f t="shared" si="167"/>
        <v>2E-3</v>
      </c>
      <c r="M5366" s="7">
        <v>3.0000000000000001E-3</v>
      </c>
      <c r="N5366">
        <v>9</v>
      </c>
      <c r="O5366" s="8">
        <v>16.631361039134706</v>
      </c>
      <c r="P5366" s="9">
        <v>16.631361039134706</v>
      </c>
      <c r="Q5366" s="9">
        <v>16.631361039134706</v>
      </c>
      <c r="R5366" s="9">
        <v>17.060180136455905</v>
      </c>
      <c r="S5366" s="9">
        <v>18.024171003933382</v>
      </c>
      <c r="T5366" s="9">
        <v>18.868116637328029</v>
      </c>
      <c r="U5366" s="9">
        <v>20.58817720770605</v>
      </c>
      <c r="V5366" s="9">
        <v>20.58817720770605</v>
      </c>
      <c r="W5366" s="9">
        <v>20.58817720770605</v>
      </c>
      <c r="X5366" s="9">
        <v>22.864259828555831</v>
      </c>
      <c r="Y5366" s="9">
        <v>22.864259828555831</v>
      </c>
      <c r="Z5366" s="9">
        <v>25.323053608820352</v>
      </c>
      <c r="AA5366" s="9">
        <v>25.323053608820352</v>
      </c>
      <c r="AB5366" s="9">
        <v>28.021815637038035</v>
      </c>
      <c r="AC5366" s="9">
        <v>28.021815637038035</v>
      </c>
      <c r="AD5366" s="9">
        <v>30.863654196486234</v>
      </c>
      <c r="AE5366" s="9">
        <v>33.866973124126531</v>
      </c>
      <c r="AF5366" s="9">
        <v>37.052606032896897</v>
      </c>
      <c r="AG5366" s="9">
        <v>37.052606032896897</v>
      </c>
      <c r="AH5366" s="9">
        <v>39.965079814445566</v>
      </c>
      <c r="AI5366" s="9">
        <v>42.780649023864797</v>
      </c>
      <c r="AJ5366" s="9">
        <v>3.0428788910505911</v>
      </c>
    </row>
    <row r="5367" spans="1:36" x14ac:dyDescent="0.25">
      <c r="A5367" t="s">
        <v>5411</v>
      </c>
      <c r="B5367" t="s">
        <v>16</v>
      </c>
      <c r="C5367" t="s">
        <v>17</v>
      </c>
      <c r="D5367">
        <v>89825000</v>
      </c>
      <c r="E5367">
        <v>89827999</v>
      </c>
      <c r="F5367" t="s">
        <v>4863</v>
      </c>
      <c r="G5367" t="str">
        <f t="shared" si="166"/>
        <v>SCI II</v>
      </c>
      <c r="H5367" t="s">
        <v>4654</v>
      </c>
      <c r="I5367" t="s">
        <v>20</v>
      </c>
      <c r="J5367" t="s">
        <v>64</v>
      </c>
      <c r="K5367" s="6">
        <v>0.03</v>
      </c>
      <c r="L5367" s="7">
        <f t="shared" si="167"/>
        <v>2E-3</v>
      </c>
      <c r="M5367" s="7">
        <v>3.0000000000000001E-3</v>
      </c>
      <c r="N5367">
        <v>11</v>
      </c>
      <c r="O5367" s="8">
        <v>19.475693895950801</v>
      </c>
      <c r="P5367" s="9">
        <v>19.475693895950801</v>
      </c>
      <c r="Q5367" s="9">
        <v>19.475693895950801</v>
      </c>
      <c r="R5367" s="9">
        <v>20.024452706180426</v>
      </c>
      <c r="S5367" s="9">
        <v>20.875099128492941</v>
      </c>
      <c r="T5367" s="9">
        <v>21.733350185946453</v>
      </c>
      <c r="U5367" s="9">
        <v>23.861555618318132</v>
      </c>
      <c r="V5367" s="9">
        <v>23.861555618318132</v>
      </c>
      <c r="W5367" s="9">
        <v>23.861555618318132</v>
      </c>
      <c r="X5367" s="9">
        <v>26.599525609534091</v>
      </c>
      <c r="Y5367" s="9">
        <v>26.599525609534091</v>
      </c>
      <c r="Z5367" s="9">
        <v>29.424604823442099</v>
      </c>
      <c r="AA5367" s="9">
        <v>29.424604823442099</v>
      </c>
      <c r="AB5367" s="9">
        <v>32.345504182311352</v>
      </c>
      <c r="AC5367" s="9">
        <v>32.345504182311352</v>
      </c>
      <c r="AD5367" s="9">
        <v>37.073967958020759</v>
      </c>
      <c r="AE5367" s="9">
        <v>39.537280452065687</v>
      </c>
      <c r="AF5367" s="9">
        <v>42.115429646064094</v>
      </c>
      <c r="AG5367" s="9">
        <v>42.115429646064094</v>
      </c>
      <c r="AH5367" s="9">
        <v>45.566990204681431</v>
      </c>
      <c r="AI5367" s="9">
        <v>48.2081665036403</v>
      </c>
      <c r="AJ5367" s="9">
        <v>3.0428788910505911</v>
      </c>
    </row>
    <row r="5368" spans="1:36" x14ac:dyDescent="0.25">
      <c r="A5368" t="s">
        <v>5411</v>
      </c>
      <c r="B5368" t="s">
        <v>16</v>
      </c>
      <c r="C5368" t="s">
        <v>17</v>
      </c>
      <c r="D5368">
        <v>89828000</v>
      </c>
      <c r="E5368">
        <v>89829999</v>
      </c>
      <c r="F5368" t="s">
        <v>4864</v>
      </c>
      <c r="G5368" t="str">
        <f t="shared" si="166"/>
        <v>SCI II</v>
      </c>
      <c r="H5368" t="s">
        <v>4654</v>
      </c>
      <c r="I5368" t="s">
        <v>20</v>
      </c>
      <c r="J5368" t="s">
        <v>64</v>
      </c>
      <c r="K5368" s="6">
        <v>0.03</v>
      </c>
      <c r="L5368" s="7">
        <f t="shared" si="167"/>
        <v>2E-3</v>
      </c>
      <c r="M5368" s="7">
        <v>3.0000000000000001E-3</v>
      </c>
      <c r="N5368">
        <v>11</v>
      </c>
      <c r="O5368" s="8">
        <v>19.475693895950801</v>
      </c>
      <c r="P5368" s="9">
        <v>19.475693895950801</v>
      </c>
      <c r="Q5368" s="9">
        <v>19.475693895950801</v>
      </c>
      <c r="R5368" s="9">
        <v>20.024452706180426</v>
      </c>
      <c r="S5368" s="9">
        <v>20.875099128492941</v>
      </c>
      <c r="T5368" s="9">
        <v>21.733350185946453</v>
      </c>
      <c r="U5368" s="9">
        <v>23.861555618318132</v>
      </c>
      <c r="V5368" s="9">
        <v>23.861555618318132</v>
      </c>
      <c r="W5368" s="9">
        <v>23.861555618318132</v>
      </c>
      <c r="X5368" s="9">
        <v>26.599525609534091</v>
      </c>
      <c r="Y5368" s="9">
        <v>26.599525609534091</v>
      </c>
      <c r="Z5368" s="9">
        <v>29.424604823442099</v>
      </c>
      <c r="AA5368" s="9">
        <v>29.424604823442099</v>
      </c>
      <c r="AB5368" s="9">
        <v>32.345504182311352</v>
      </c>
      <c r="AC5368" s="9">
        <v>32.345504182311352</v>
      </c>
      <c r="AD5368" s="9">
        <v>37.073967958020759</v>
      </c>
      <c r="AE5368" s="9">
        <v>39.537280452065687</v>
      </c>
      <c r="AF5368" s="9">
        <v>42.115429646064094</v>
      </c>
      <c r="AG5368" s="9">
        <v>42.115429646064094</v>
      </c>
      <c r="AH5368" s="9">
        <v>45.566990204681431</v>
      </c>
      <c r="AI5368" s="9">
        <v>48.2081665036403</v>
      </c>
      <c r="AJ5368" s="9">
        <v>3.0428788910505911</v>
      </c>
    </row>
    <row r="5369" spans="1:36" x14ac:dyDescent="0.25">
      <c r="A5369" t="s">
        <v>5411</v>
      </c>
      <c r="B5369" t="s">
        <v>16</v>
      </c>
      <c r="C5369" t="s">
        <v>17</v>
      </c>
      <c r="D5369">
        <v>89830000</v>
      </c>
      <c r="E5369">
        <v>89831999</v>
      </c>
      <c r="F5369" t="s">
        <v>4865</v>
      </c>
      <c r="G5369" t="str">
        <f t="shared" si="166"/>
        <v>SCI II</v>
      </c>
      <c r="H5369" t="s">
        <v>4654</v>
      </c>
      <c r="I5369" t="s">
        <v>20</v>
      </c>
      <c r="J5369" t="s">
        <v>64</v>
      </c>
      <c r="K5369" s="6">
        <v>0.03</v>
      </c>
      <c r="L5369" s="7">
        <f t="shared" si="167"/>
        <v>2E-3</v>
      </c>
      <c r="M5369" s="7">
        <v>3.0000000000000001E-3</v>
      </c>
      <c r="N5369">
        <v>11</v>
      </c>
      <c r="O5369" s="8">
        <v>19.475693895950801</v>
      </c>
      <c r="P5369" s="9">
        <v>19.475693895950801</v>
      </c>
      <c r="Q5369" s="9">
        <v>19.475693895950801</v>
      </c>
      <c r="R5369" s="9">
        <v>20.024452706180426</v>
      </c>
      <c r="S5369" s="9">
        <v>20.875099128492941</v>
      </c>
      <c r="T5369" s="9">
        <v>21.733350185946453</v>
      </c>
      <c r="U5369" s="9">
        <v>23.861555618318132</v>
      </c>
      <c r="V5369" s="9">
        <v>23.861555618318132</v>
      </c>
      <c r="W5369" s="9">
        <v>23.861555618318132</v>
      </c>
      <c r="X5369" s="9">
        <v>26.599525609534091</v>
      </c>
      <c r="Y5369" s="9">
        <v>26.599525609534091</v>
      </c>
      <c r="Z5369" s="9">
        <v>29.424604823442099</v>
      </c>
      <c r="AA5369" s="9">
        <v>29.424604823442099</v>
      </c>
      <c r="AB5369" s="9">
        <v>32.345504182311352</v>
      </c>
      <c r="AC5369" s="9">
        <v>32.345504182311352</v>
      </c>
      <c r="AD5369" s="9">
        <v>37.073967958020759</v>
      </c>
      <c r="AE5369" s="9">
        <v>39.537280452065687</v>
      </c>
      <c r="AF5369" s="9">
        <v>42.115429646064094</v>
      </c>
      <c r="AG5369" s="9">
        <v>42.115429646064094</v>
      </c>
      <c r="AH5369" s="9">
        <v>45.566990204681431</v>
      </c>
      <c r="AI5369" s="9">
        <v>48.2081665036403</v>
      </c>
      <c r="AJ5369" s="9">
        <v>3.0428788910505911</v>
      </c>
    </row>
    <row r="5370" spans="1:36" x14ac:dyDescent="0.25">
      <c r="A5370" t="s">
        <v>5411</v>
      </c>
      <c r="B5370" t="s">
        <v>16</v>
      </c>
      <c r="C5370" t="s">
        <v>17</v>
      </c>
      <c r="D5370">
        <v>89832000</v>
      </c>
      <c r="E5370">
        <v>89833999</v>
      </c>
      <c r="F5370" t="s">
        <v>4866</v>
      </c>
      <c r="G5370" t="str">
        <f t="shared" si="166"/>
        <v>SCI II</v>
      </c>
      <c r="H5370" t="s">
        <v>4654</v>
      </c>
      <c r="I5370" t="s">
        <v>20</v>
      </c>
      <c r="J5370" t="s">
        <v>64</v>
      </c>
      <c r="K5370" s="6">
        <v>0.03</v>
      </c>
      <c r="L5370" s="7">
        <f t="shared" si="167"/>
        <v>2E-3</v>
      </c>
      <c r="M5370" s="7">
        <v>3.0000000000000001E-3</v>
      </c>
      <c r="N5370">
        <v>11</v>
      </c>
      <c r="O5370" s="8">
        <v>19.475693895950801</v>
      </c>
      <c r="P5370" s="9">
        <v>19.475693895950801</v>
      </c>
      <c r="Q5370" s="9">
        <v>19.475693895950801</v>
      </c>
      <c r="R5370" s="9">
        <v>20.024452706180426</v>
      </c>
      <c r="S5370" s="9">
        <v>20.875099128492941</v>
      </c>
      <c r="T5370" s="9">
        <v>21.733350185946453</v>
      </c>
      <c r="U5370" s="9">
        <v>23.861555618318132</v>
      </c>
      <c r="V5370" s="9">
        <v>23.861555618318132</v>
      </c>
      <c r="W5370" s="9">
        <v>23.861555618318132</v>
      </c>
      <c r="X5370" s="9">
        <v>26.599525609534091</v>
      </c>
      <c r="Y5370" s="9">
        <v>26.599525609534091</v>
      </c>
      <c r="Z5370" s="9">
        <v>29.424604823442099</v>
      </c>
      <c r="AA5370" s="9">
        <v>29.424604823442099</v>
      </c>
      <c r="AB5370" s="9">
        <v>32.345504182311352</v>
      </c>
      <c r="AC5370" s="9">
        <v>32.345504182311352</v>
      </c>
      <c r="AD5370" s="9">
        <v>37.073967958020759</v>
      </c>
      <c r="AE5370" s="9">
        <v>39.537280452065687</v>
      </c>
      <c r="AF5370" s="9">
        <v>42.115429646064094</v>
      </c>
      <c r="AG5370" s="9">
        <v>42.115429646064094</v>
      </c>
      <c r="AH5370" s="9">
        <v>45.566990204681431</v>
      </c>
      <c r="AI5370" s="9">
        <v>48.2081665036403</v>
      </c>
      <c r="AJ5370" s="9">
        <v>3.0428788910505911</v>
      </c>
    </row>
    <row r="5371" spans="1:36" x14ac:dyDescent="0.25">
      <c r="A5371" t="s">
        <v>5411</v>
      </c>
      <c r="B5371" t="s">
        <v>16</v>
      </c>
      <c r="C5371" t="s">
        <v>17</v>
      </c>
      <c r="D5371">
        <v>89834000</v>
      </c>
      <c r="E5371">
        <v>89834999</v>
      </c>
      <c r="F5371" t="s">
        <v>517</v>
      </c>
      <c r="G5371" t="str">
        <f t="shared" si="166"/>
        <v>SCI II</v>
      </c>
      <c r="H5371" t="s">
        <v>4654</v>
      </c>
      <c r="I5371" t="s">
        <v>20</v>
      </c>
      <c r="J5371" t="s">
        <v>64</v>
      </c>
      <c r="K5371" s="6">
        <v>0.03</v>
      </c>
      <c r="L5371" s="7">
        <f t="shared" si="167"/>
        <v>2E-3</v>
      </c>
      <c r="M5371" s="7">
        <v>3.0000000000000001E-3</v>
      </c>
      <c r="N5371">
        <v>11</v>
      </c>
      <c r="O5371" s="8">
        <v>19.475693895950801</v>
      </c>
      <c r="P5371" s="9">
        <v>19.475693895950801</v>
      </c>
      <c r="Q5371" s="9">
        <v>19.475693895950801</v>
      </c>
      <c r="R5371" s="9">
        <v>20.024452706180426</v>
      </c>
      <c r="S5371" s="9">
        <v>20.875099128492941</v>
      </c>
      <c r="T5371" s="9">
        <v>21.733350185946453</v>
      </c>
      <c r="U5371" s="9">
        <v>23.861555618318132</v>
      </c>
      <c r="V5371" s="9">
        <v>23.861555618318132</v>
      </c>
      <c r="W5371" s="9">
        <v>23.861555618318132</v>
      </c>
      <c r="X5371" s="9">
        <v>26.599525609534091</v>
      </c>
      <c r="Y5371" s="9">
        <v>26.599525609534091</v>
      </c>
      <c r="Z5371" s="9">
        <v>29.424604823442099</v>
      </c>
      <c r="AA5371" s="9">
        <v>29.424604823442099</v>
      </c>
      <c r="AB5371" s="9">
        <v>32.345504182311352</v>
      </c>
      <c r="AC5371" s="9">
        <v>32.345504182311352</v>
      </c>
      <c r="AD5371" s="9">
        <v>37.073967958020759</v>
      </c>
      <c r="AE5371" s="9">
        <v>39.537280452065687</v>
      </c>
      <c r="AF5371" s="9">
        <v>42.115429646064094</v>
      </c>
      <c r="AG5371" s="9">
        <v>42.115429646064094</v>
      </c>
      <c r="AH5371" s="9">
        <v>45.566990204681431</v>
      </c>
      <c r="AI5371" s="9">
        <v>48.2081665036403</v>
      </c>
      <c r="AJ5371" s="9">
        <v>3.0428788910505911</v>
      </c>
    </row>
    <row r="5372" spans="1:36" x14ac:dyDescent="0.25">
      <c r="A5372" t="s">
        <v>5411</v>
      </c>
      <c r="B5372" t="s">
        <v>16</v>
      </c>
      <c r="C5372" t="s">
        <v>17</v>
      </c>
      <c r="D5372">
        <v>89835000</v>
      </c>
      <c r="E5372">
        <v>89836999</v>
      </c>
      <c r="F5372" t="s">
        <v>2110</v>
      </c>
      <c r="G5372" t="str">
        <f t="shared" si="166"/>
        <v>SCI II</v>
      </c>
      <c r="H5372" t="s">
        <v>4654</v>
      </c>
      <c r="I5372" t="s">
        <v>20</v>
      </c>
      <c r="J5372" t="s">
        <v>64</v>
      </c>
      <c r="K5372" s="6">
        <v>0.03</v>
      </c>
      <c r="L5372" s="7">
        <f t="shared" si="167"/>
        <v>2E-3</v>
      </c>
      <c r="M5372" s="7">
        <v>3.0000000000000001E-3</v>
      </c>
      <c r="N5372">
        <v>11</v>
      </c>
      <c r="O5372" s="8">
        <v>19.475693895950801</v>
      </c>
      <c r="P5372" s="9">
        <v>19.475693895950801</v>
      </c>
      <c r="Q5372" s="9">
        <v>19.475693895950801</v>
      </c>
      <c r="R5372" s="9">
        <v>20.024452706180426</v>
      </c>
      <c r="S5372" s="9">
        <v>20.875099128492941</v>
      </c>
      <c r="T5372" s="9">
        <v>21.733350185946453</v>
      </c>
      <c r="U5372" s="9">
        <v>23.861555618318132</v>
      </c>
      <c r="V5372" s="9">
        <v>23.861555618318132</v>
      </c>
      <c r="W5372" s="9">
        <v>23.861555618318132</v>
      </c>
      <c r="X5372" s="9">
        <v>26.599525609534091</v>
      </c>
      <c r="Y5372" s="9">
        <v>26.599525609534091</v>
      </c>
      <c r="Z5372" s="9">
        <v>29.424604823442099</v>
      </c>
      <c r="AA5372" s="9">
        <v>29.424604823442099</v>
      </c>
      <c r="AB5372" s="9">
        <v>32.345504182311352</v>
      </c>
      <c r="AC5372" s="9">
        <v>32.345504182311352</v>
      </c>
      <c r="AD5372" s="9">
        <v>37.073967958020759</v>
      </c>
      <c r="AE5372" s="9">
        <v>39.537280452065687</v>
      </c>
      <c r="AF5372" s="9">
        <v>42.115429646064094</v>
      </c>
      <c r="AG5372" s="9">
        <v>42.115429646064094</v>
      </c>
      <c r="AH5372" s="9">
        <v>45.566990204681431</v>
      </c>
      <c r="AI5372" s="9">
        <v>48.2081665036403</v>
      </c>
      <c r="AJ5372" s="9">
        <v>3.0428788910505911</v>
      </c>
    </row>
    <row r="5373" spans="1:36" x14ac:dyDescent="0.25">
      <c r="A5373" t="s">
        <v>5411</v>
      </c>
      <c r="B5373" t="s">
        <v>16</v>
      </c>
      <c r="C5373" t="s">
        <v>17</v>
      </c>
      <c r="D5373">
        <v>89837000</v>
      </c>
      <c r="E5373">
        <v>89837999</v>
      </c>
      <c r="F5373" t="s">
        <v>4867</v>
      </c>
      <c r="G5373" t="str">
        <f t="shared" si="166"/>
        <v>SCI II</v>
      </c>
      <c r="H5373" t="s">
        <v>4654</v>
      </c>
      <c r="I5373" t="s">
        <v>20</v>
      </c>
      <c r="J5373" t="s">
        <v>64</v>
      </c>
      <c r="K5373" s="6">
        <v>0.03</v>
      </c>
      <c r="L5373" s="7">
        <f t="shared" si="167"/>
        <v>2E-3</v>
      </c>
      <c r="M5373" s="7">
        <v>3.0000000000000001E-3</v>
      </c>
      <c r="N5373">
        <v>11</v>
      </c>
      <c r="O5373" s="8">
        <v>19.475693895950801</v>
      </c>
      <c r="P5373" s="9">
        <v>19.475693895950801</v>
      </c>
      <c r="Q5373" s="9">
        <v>19.475693895950801</v>
      </c>
      <c r="R5373" s="9">
        <v>20.024452706180426</v>
      </c>
      <c r="S5373" s="9">
        <v>20.875099128492941</v>
      </c>
      <c r="T5373" s="9">
        <v>21.733350185946453</v>
      </c>
      <c r="U5373" s="9">
        <v>23.861555618318132</v>
      </c>
      <c r="V5373" s="9">
        <v>23.861555618318132</v>
      </c>
      <c r="W5373" s="9">
        <v>23.861555618318132</v>
      </c>
      <c r="X5373" s="9">
        <v>26.599525609534091</v>
      </c>
      <c r="Y5373" s="9">
        <v>26.599525609534091</v>
      </c>
      <c r="Z5373" s="9">
        <v>29.424604823442099</v>
      </c>
      <c r="AA5373" s="9">
        <v>29.424604823442099</v>
      </c>
      <c r="AB5373" s="9">
        <v>32.345504182311352</v>
      </c>
      <c r="AC5373" s="9">
        <v>32.345504182311352</v>
      </c>
      <c r="AD5373" s="9">
        <v>37.073967958020759</v>
      </c>
      <c r="AE5373" s="9">
        <v>39.537280452065687</v>
      </c>
      <c r="AF5373" s="9">
        <v>42.115429646064094</v>
      </c>
      <c r="AG5373" s="9">
        <v>42.115429646064094</v>
      </c>
      <c r="AH5373" s="9">
        <v>45.566990204681431</v>
      </c>
      <c r="AI5373" s="9">
        <v>48.2081665036403</v>
      </c>
      <c r="AJ5373" s="9">
        <v>3.0428788910505911</v>
      </c>
    </row>
    <row r="5374" spans="1:36" x14ac:dyDescent="0.25">
      <c r="A5374" t="s">
        <v>5411</v>
      </c>
      <c r="B5374" t="s">
        <v>16</v>
      </c>
      <c r="C5374" t="s">
        <v>17</v>
      </c>
      <c r="D5374">
        <v>89838000</v>
      </c>
      <c r="E5374">
        <v>89838999</v>
      </c>
      <c r="F5374" t="s">
        <v>4868</v>
      </c>
      <c r="G5374" t="str">
        <f t="shared" si="166"/>
        <v>SCI II</v>
      </c>
      <c r="H5374" t="s">
        <v>4654</v>
      </c>
      <c r="I5374" t="s">
        <v>20</v>
      </c>
      <c r="J5374" t="s">
        <v>64</v>
      </c>
      <c r="K5374" s="6">
        <v>0.03</v>
      </c>
      <c r="L5374" s="7">
        <f t="shared" si="167"/>
        <v>2E-3</v>
      </c>
      <c r="M5374" s="7">
        <v>3.0000000000000001E-3</v>
      </c>
      <c r="N5374">
        <v>11</v>
      </c>
      <c r="O5374" s="8">
        <v>19.475693895950801</v>
      </c>
      <c r="P5374" s="9">
        <v>19.475693895950801</v>
      </c>
      <c r="Q5374" s="9">
        <v>19.475693895950801</v>
      </c>
      <c r="R5374" s="9">
        <v>20.024452706180426</v>
      </c>
      <c r="S5374" s="9">
        <v>20.875099128492941</v>
      </c>
      <c r="T5374" s="9">
        <v>21.733350185946453</v>
      </c>
      <c r="U5374" s="9">
        <v>23.861555618318132</v>
      </c>
      <c r="V5374" s="9">
        <v>23.861555618318132</v>
      </c>
      <c r="W5374" s="9">
        <v>23.861555618318132</v>
      </c>
      <c r="X5374" s="9">
        <v>26.599525609534091</v>
      </c>
      <c r="Y5374" s="9">
        <v>26.599525609534091</v>
      </c>
      <c r="Z5374" s="9">
        <v>29.424604823442099</v>
      </c>
      <c r="AA5374" s="9">
        <v>29.424604823442099</v>
      </c>
      <c r="AB5374" s="9">
        <v>32.345504182311352</v>
      </c>
      <c r="AC5374" s="9">
        <v>32.345504182311352</v>
      </c>
      <c r="AD5374" s="9">
        <v>37.073967958020759</v>
      </c>
      <c r="AE5374" s="9">
        <v>39.537280452065687</v>
      </c>
      <c r="AF5374" s="9">
        <v>42.115429646064094</v>
      </c>
      <c r="AG5374" s="9">
        <v>42.115429646064094</v>
      </c>
      <c r="AH5374" s="9">
        <v>45.566990204681431</v>
      </c>
      <c r="AI5374" s="9">
        <v>48.2081665036403</v>
      </c>
      <c r="AJ5374" s="9">
        <v>3.0428788910505911</v>
      </c>
    </row>
    <row r="5375" spans="1:36" x14ac:dyDescent="0.25">
      <c r="A5375" t="s">
        <v>5411</v>
      </c>
      <c r="B5375" t="s">
        <v>16</v>
      </c>
      <c r="C5375" t="s">
        <v>17</v>
      </c>
      <c r="D5375">
        <v>89839000</v>
      </c>
      <c r="E5375">
        <v>89839999</v>
      </c>
      <c r="F5375" t="s">
        <v>4869</v>
      </c>
      <c r="G5375" t="str">
        <f t="shared" si="166"/>
        <v>SCI II</v>
      </c>
      <c r="H5375" t="s">
        <v>4654</v>
      </c>
      <c r="I5375" t="s">
        <v>20</v>
      </c>
      <c r="J5375" t="s">
        <v>64</v>
      </c>
      <c r="K5375" s="6">
        <v>0.03</v>
      </c>
      <c r="L5375" s="7">
        <f t="shared" si="167"/>
        <v>2E-3</v>
      </c>
      <c r="M5375" s="7">
        <v>3.0000000000000001E-3</v>
      </c>
      <c r="N5375">
        <v>11</v>
      </c>
      <c r="O5375" s="8">
        <v>19.475693895950801</v>
      </c>
      <c r="P5375" s="9">
        <v>19.475693895950801</v>
      </c>
      <c r="Q5375" s="9">
        <v>19.475693895950801</v>
      </c>
      <c r="R5375" s="9">
        <v>20.024452706180426</v>
      </c>
      <c r="S5375" s="9">
        <v>20.875099128492941</v>
      </c>
      <c r="T5375" s="9">
        <v>21.733350185946453</v>
      </c>
      <c r="U5375" s="9">
        <v>23.861555618318132</v>
      </c>
      <c r="V5375" s="9">
        <v>23.861555618318132</v>
      </c>
      <c r="W5375" s="9">
        <v>23.861555618318132</v>
      </c>
      <c r="X5375" s="9">
        <v>26.599525609534091</v>
      </c>
      <c r="Y5375" s="9">
        <v>26.599525609534091</v>
      </c>
      <c r="Z5375" s="9">
        <v>29.424604823442099</v>
      </c>
      <c r="AA5375" s="9">
        <v>29.424604823442099</v>
      </c>
      <c r="AB5375" s="9">
        <v>32.345504182311352</v>
      </c>
      <c r="AC5375" s="9">
        <v>32.345504182311352</v>
      </c>
      <c r="AD5375" s="9">
        <v>37.073967958020759</v>
      </c>
      <c r="AE5375" s="9">
        <v>39.537280452065687</v>
      </c>
      <c r="AF5375" s="9">
        <v>42.115429646064094</v>
      </c>
      <c r="AG5375" s="9">
        <v>42.115429646064094</v>
      </c>
      <c r="AH5375" s="9">
        <v>45.566990204681431</v>
      </c>
      <c r="AI5375" s="9">
        <v>48.2081665036403</v>
      </c>
      <c r="AJ5375" s="9">
        <v>3.0428788910505911</v>
      </c>
    </row>
    <row r="5376" spans="1:36" x14ac:dyDescent="0.25">
      <c r="A5376" t="s">
        <v>5411</v>
      </c>
      <c r="B5376" t="s">
        <v>16</v>
      </c>
      <c r="C5376" t="s">
        <v>17</v>
      </c>
      <c r="D5376">
        <v>89840000</v>
      </c>
      <c r="E5376">
        <v>89842999</v>
      </c>
      <c r="F5376" t="s">
        <v>4870</v>
      </c>
      <c r="G5376" t="str">
        <f t="shared" si="166"/>
        <v>SCI II</v>
      </c>
      <c r="H5376" t="s">
        <v>4654</v>
      </c>
      <c r="I5376" t="s">
        <v>20</v>
      </c>
      <c r="J5376" t="s">
        <v>64</v>
      </c>
      <c r="K5376" s="6">
        <v>0.03</v>
      </c>
      <c r="L5376" s="7">
        <f t="shared" si="167"/>
        <v>2E-3</v>
      </c>
      <c r="M5376" s="7">
        <v>3.0000000000000001E-3</v>
      </c>
      <c r="N5376">
        <v>11</v>
      </c>
      <c r="O5376" s="8">
        <v>19.475693895950801</v>
      </c>
      <c r="P5376" s="9">
        <v>19.475693895950801</v>
      </c>
      <c r="Q5376" s="9">
        <v>19.475693895950801</v>
      </c>
      <c r="R5376" s="9">
        <v>20.024452706180426</v>
      </c>
      <c r="S5376" s="9">
        <v>20.875099128492941</v>
      </c>
      <c r="T5376" s="9">
        <v>21.733350185946453</v>
      </c>
      <c r="U5376" s="9">
        <v>23.861555618318132</v>
      </c>
      <c r="V5376" s="9">
        <v>23.861555618318132</v>
      </c>
      <c r="W5376" s="9">
        <v>23.861555618318132</v>
      </c>
      <c r="X5376" s="9">
        <v>26.599525609534091</v>
      </c>
      <c r="Y5376" s="9">
        <v>26.599525609534091</v>
      </c>
      <c r="Z5376" s="9">
        <v>29.424604823442099</v>
      </c>
      <c r="AA5376" s="9">
        <v>29.424604823442099</v>
      </c>
      <c r="AB5376" s="9">
        <v>32.345504182311352</v>
      </c>
      <c r="AC5376" s="9">
        <v>32.345504182311352</v>
      </c>
      <c r="AD5376" s="9">
        <v>37.073967958020759</v>
      </c>
      <c r="AE5376" s="9">
        <v>39.537280452065687</v>
      </c>
      <c r="AF5376" s="9">
        <v>42.115429646064094</v>
      </c>
      <c r="AG5376" s="9">
        <v>42.115429646064094</v>
      </c>
      <c r="AH5376" s="9">
        <v>45.566990204681431</v>
      </c>
      <c r="AI5376" s="9">
        <v>48.2081665036403</v>
      </c>
      <c r="AJ5376" s="9">
        <v>3.0428788910505911</v>
      </c>
    </row>
    <row r="5377" spans="1:36" x14ac:dyDescent="0.25">
      <c r="A5377" t="s">
        <v>5411</v>
      </c>
      <c r="B5377" t="s">
        <v>16</v>
      </c>
      <c r="C5377" t="s">
        <v>17</v>
      </c>
      <c r="D5377">
        <v>89843000</v>
      </c>
      <c r="E5377">
        <v>89844999</v>
      </c>
      <c r="F5377" t="s">
        <v>4871</v>
      </c>
      <c r="G5377" t="str">
        <f t="shared" si="166"/>
        <v>SCI II</v>
      </c>
      <c r="H5377" t="s">
        <v>4654</v>
      </c>
      <c r="I5377" t="s">
        <v>20</v>
      </c>
      <c r="J5377" t="s">
        <v>64</v>
      </c>
      <c r="K5377" s="6">
        <v>0.03</v>
      </c>
      <c r="L5377" s="7">
        <f t="shared" si="167"/>
        <v>2E-3</v>
      </c>
      <c r="M5377" s="7">
        <v>3.0000000000000001E-3</v>
      </c>
      <c r="N5377">
        <v>11</v>
      </c>
      <c r="O5377" s="8">
        <v>19.475693895950801</v>
      </c>
      <c r="P5377" s="9">
        <v>19.475693895950801</v>
      </c>
      <c r="Q5377" s="9">
        <v>19.475693895950801</v>
      </c>
      <c r="R5377" s="9">
        <v>20.024452706180426</v>
      </c>
      <c r="S5377" s="9">
        <v>20.875099128492941</v>
      </c>
      <c r="T5377" s="9">
        <v>21.733350185946453</v>
      </c>
      <c r="U5377" s="9">
        <v>23.861555618318132</v>
      </c>
      <c r="V5377" s="9">
        <v>23.861555618318132</v>
      </c>
      <c r="W5377" s="9">
        <v>23.861555618318132</v>
      </c>
      <c r="X5377" s="9">
        <v>26.599525609534091</v>
      </c>
      <c r="Y5377" s="9">
        <v>26.599525609534091</v>
      </c>
      <c r="Z5377" s="9">
        <v>29.424604823442099</v>
      </c>
      <c r="AA5377" s="9">
        <v>29.424604823442099</v>
      </c>
      <c r="AB5377" s="9">
        <v>32.345504182311352</v>
      </c>
      <c r="AC5377" s="9">
        <v>32.345504182311352</v>
      </c>
      <c r="AD5377" s="9">
        <v>37.073967958020759</v>
      </c>
      <c r="AE5377" s="9">
        <v>39.537280452065687</v>
      </c>
      <c r="AF5377" s="9">
        <v>42.115429646064094</v>
      </c>
      <c r="AG5377" s="9">
        <v>42.115429646064094</v>
      </c>
      <c r="AH5377" s="9">
        <v>45.566990204681431</v>
      </c>
      <c r="AI5377" s="9">
        <v>48.2081665036403</v>
      </c>
      <c r="AJ5377" s="9">
        <v>3.0428788910505911</v>
      </c>
    </row>
    <row r="5378" spans="1:36" x14ac:dyDescent="0.25">
      <c r="A5378" t="s">
        <v>5411</v>
      </c>
      <c r="B5378" t="s">
        <v>16</v>
      </c>
      <c r="C5378" t="s">
        <v>17</v>
      </c>
      <c r="D5378">
        <v>89845000</v>
      </c>
      <c r="E5378">
        <v>89847999</v>
      </c>
      <c r="F5378" t="s">
        <v>4872</v>
      </c>
      <c r="G5378" t="str">
        <f t="shared" si="166"/>
        <v>SCI II</v>
      </c>
      <c r="H5378" t="s">
        <v>4654</v>
      </c>
      <c r="I5378" t="s">
        <v>20</v>
      </c>
      <c r="J5378" t="s">
        <v>64</v>
      </c>
      <c r="K5378" s="6">
        <v>0.03</v>
      </c>
      <c r="L5378" s="7">
        <f t="shared" si="167"/>
        <v>2E-3</v>
      </c>
      <c r="M5378" s="7">
        <v>3.0000000000000001E-3</v>
      </c>
      <c r="N5378">
        <v>11</v>
      </c>
      <c r="O5378" s="8">
        <v>19.475693895950801</v>
      </c>
      <c r="P5378" s="9">
        <v>19.475693895950801</v>
      </c>
      <c r="Q5378" s="9">
        <v>19.475693895950801</v>
      </c>
      <c r="R5378" s="9">
        <v>20.024452706180426</v>
      </c>
      <c r="S5378" s="9">
        <v>20.875099128492941</v>
      </c>
      <c r="T5378" s="9">
        <v>21.733350185946453</v>
      </c>
      <c r="U5378" s="9">
        <v>23.861555618318132</v>
      </c>
      <c r="V5378" s="9">
        <v>23.861555618318132</v>
      </c>
      <c r="W5378" s="9">
        <v>23.861555618318132</v>
      </c>
      <c r="X5378" s="9">
        <v>26.599525609534091</v>
      </c>
      <c r="Y5378" s="9">
        <v>26.599525609534091</v>
      </c>
      <c r="Z5378" s="9">
        <v>29.424604823442099</v>
      </c>
      <c r="AA5378" s="9">
        <v>29.424604823442099</v>
      </c>
      <c r="AB5378" s="9">
        <v>32.345504182311352</v>
      </c>
      <c r="AC5378" s="9">
        <v>32.345504182311352</v>
      </c>
      <c r="AD5378" s="9">
        <v>37.073967958020759</v>
      </c>
      <c r="AE5378" s="9">
        <v>39.537280452065687</v>
      </c>
      <c r="AF5378" s="9">
        <v>42.115429646064094</v>
      </c>
      <c r="AG5378" s="9">
        <v>42.115429646064094</v>
      </c>
      <c r="AH5378" s="9">
        <v>45.566990204681431</v>
      </c>
      <c r="AI5378" s="9">
        <v>48.2081665036403</v>
      </c>
      <c r="AJ5378" s="9">
        <v>3.0428788910505911</v>
      </c>
    </row>
    <row r="5379" spans="1:36" x14ac:dyDescent="0.25">
      <c r="A5379" t="s">
        <v>5411</v>
      </c>
      <c r="B5379" t="s">
        <v>16</v>
      </c>
      <c r="C5379" t="s">
        <v>17</v>
      </c>
      <c r="D5379">
        <v>89848000</v>
      </c>
      <c r="E5379">
        <v>89849999</v>
      </c>
      <c r="F5379" t="s">
        <v>259</v>
      </c>
      <c r="G5379" t="str">
        <f t="shared" si="166"/>
        <v>SCI II</v>
      </c>
      <c r="H5379" t="s">
        <v>4654</v>
      </c>
      <c r="I5379" t="s">
        <v>20</v>
      </c>
      <c r="J5379" t="s">
        <v>64</v>
      </c>
      <c r="K5379" s="6">
        <v>0.03</v>
      </c>
      <c r="L5379" s="7">
        <f t="shared" si="167"/>
        <v>2E-3</v>
      </c>
      <c r="M5379" s="7">
        <v>3.0000000000000001E-3</v>
      </c>
      <c r="N5379">
        <v>11</v>
      </c>
      <c r="O5379" s="8">
        <v>19.475693895950801</v>
      </c>
      <c r="P5379" s="9">
        <v>19.475693895950801</v>
      </c>
      <c r="Q5379" s="9">
        <v>19.475693895950801</v>
      </c>
      <c r="R5379" s="9">
        <v>20.024452706180426</v>
      </c>
      <c r="S5379" s="9">
        <v>20.875099128492941</v>
      </c>
      <c r="T5379" s="9">
        <v>21.733350185946453</v>
      </c>
      <c r="U5379" s="9">
        <v>23.861555618318132</v>
      </c>
      <c r="V5379" s="9">
        <v>23.861555618318132</v>
      </c>
      <c r="W5379" s="9">
        <v>23.861555618318132</v>
      </c>
      <c r="X5379" s="9">
        <v>26.599525609534091</v>
      </c>
      <c r="Y5379" s="9">
        <v>26.599525609534091</v>
      </c>
      <c r="Z5379" s="9">
        <v>29.424604823442099</v>
      </c>
      <c r="AA5379" s="9">
        <v>29.424604823442099</v>
      </c>
      <c r="AB5379" s="9">
        <v>32.345504182311352</v>
      </c>
      <c r="AC5379" s="9">
        <v>32.345504182311352</v>
      </c>
      <c r="AD5379" s="9">
        <v>37.073967958020759</v>
      </c>
      <c r="AE5379" s="9">
        <v>39.537280452065687</v>
      </c>
      <c r="AF5379" s="9">
        <v>42.115429646064094</v>
      </c>
      <c r="AG5379" s="9">
        <v>42.115429646064094</v>
      </c>
      <c r="AH5379" s="9">
        <v>45.566990204681431</v>
      </c>
      <c r="AI5379" s="9">
        <v>48.2081665036403</v>
      </c>
      <c r="AJ5379" s="9">
        <v>3.0428788910505911</v>
      </c>
    </row>
    <row r="5380" spans="1:36" x14ac:dyDescent="0.25">
      <c r="A5380" t="s">
        <v>5411</v>
      </c>
      <c r="B5380" t="s">
        <v>16</v>
      </c>
      <c r="C5380" t="s">
        <v>17</v>
      </c>
      <c r="D5380">
        <v>89850000</v>
      </c>
      <c r="E5380">
        <v>89853999</v>
      </c>
      <c r="F5380" t="s">
        <v>4873</v>
      </c>
      <c r="G5380" t="str">
        <f t="shared" ref="G5380:G5443" si="168">H5380&amp;IF(J5380="CAPITAL","C",IF(J5380="INTERIOR","I",IF(J5380="INTERIOR II","I II","R")))</f>
        <v>SCI II</v>
      </c>
      <c r="H5380" t="s">
        <v>4654</v>
      </c>
      <c r="I5380" t="s">
        <v>20</v>
      </c>
      <c r="J5380" t="s">
        <v>64</v>
      </c>
      <c r="K5380" s="6">
        <v>0.03</v>
      </c>
      <c r="L5380" s="7">
        <f t="shared" ref="L5380:L5443" si="169">IF(I5380="(0) Não",0.2%,3%)</f>
        <v>2E-3</v>
      </c>
      <c r="M5380" s="7">
        <v>3.0000000000000001E-3</v>
      </c>
      <c r="N5380">
        <v>11</v>
      </c>
      <c r="O5380" s="8">
        <v>19.475693895950801</v>
      </c>
      <c r="P5380" s="9">
        <v>19.475693895950801</v>
      </c>
      <c r="Q5380" s="9">
        <v>19.475693895950801</v>
      </c>
      <c r="R5380" s="9">
        <v>20.024452706180426</v>
      </c>
      <c r="S5380" s="9">
        <v>20.875099128492941</v>
      </c>
      <c r="T5380" s="9">
        <v>21.733350185946453</v>
      </c>
      <c r="U5380" s="9">
        <v>23.861555618318132</v>
      </c>
      <c r="V5380" s="9">
        <v>23.861555618318132</v>
      </c>
      <c r="W5380" s="9">
        <v>23.861555618318132</v>
      </c>
      <c r="X5380" s="9">
        <v>26.599525609534091</v>
      </c>
      <c r="Y5380" s="9">
        <v>26.599525609534091</v>
      </c>
      <c r="Z5380" s="9">
        <v>29.424604823442099</v>
      </c>
      <c r="AA5380" s="9">
        <v>29.424604823442099</v>
      </c>
      <c r="AB5380" s="9">
        <v>32.345504182311352</v>
      </c>
      <c r="AC5380" s="9">
        <v>32.345504182311352</v>
      </c>
      <c r="AD5380" s="9">
        <v>37.073967958020759</v>
      </c>
      <c r="AE5380" s="9">
        <v>39.537280452065687</v>
      </c>
      <c r="AF5380" s="9">
        <v>42.115429646064094</v>
      </c>
      <c r="AG5380" s="9">
        <v>42.115429646064094</v>
      </c>
      <c r="AH5380" s="9">
        <v>45.566990204681431</v>
      </c>
      <c r="AI5380" s="9">
        <v>48.2081665036403</v>
      </c>
      <c r="AJ5380" s="9">
        <v>3.0428788910505911</v>
      </c>
    </row>
    <row r="5381" spans="1:36" x14ac:dyDescent="0.25">
      <c r="A5381" t="s">
        <v>5411</v>
      </c>
      <c r="B5381" t="s">
        <v>16</v>
      </c>
      <c r="C5381" t="s">
        <v>17</v>
      </c>
      <c r="D5381">
        <v>89854000</v>
      </c>
      <c r="E5381">
        <v>89854999</v>
      </c>
      <c r="F5381" t="s">
        <v>4874</v>
      </c>
      <c r="G5381" t="str">
        <f t="shared" si="168"/>
        <v>SCI II</v>
      </c>
      <c r="H5381" t="s">
        <v>4654</v>
      </c>
      <c r="I5381" t="s">
        <v>20</v>
      </c>
      <c r="J5381" t="s">
        <v>64</v>
      </c>
      <c r="K5381" s="6">
        <v>0.03</v>
      </c>
      <c r="L5381" s="7">
        <f t="shared" si="169"/>
        <v>2E-3</v>
      </c>
      <c r="M5381" s="7">
        <v>3.0000000000000001E-3</v>
      </c>
      <c r="N5381">
        <v>11</v>
      </c>
      <c r="O5381" s="8">
        <v>19.475693895950801</v>
      </c>
      <c r="P5381" s="9">
        <v>19.475693895950801</v>
      </c>
      <c r="Q5381" s="9">
        <v>19.475693895950801</v>
      </c>
      <c r="R5381" s="9">
        <v>20.024452706180426</v>
      </c>
      <c r="S5381" s="9">
        <v>20.875099128492941</v>
      </c>
      <c r="T5381" s="9">
        <v>21.733350185946453</v>
      </c>
      <c r="U5381" s="9">
        <v>23.861555618318132</v>
      </c>
      <c r="V5381" s="9">
        <v>23.861555618318132</v>
      </c>
      <c r="W5381" s="9">
        <v>23.861555618318132</v>
      </c>
      <c r="X5381" s="9">
        <v>26.599525609534091</v>
      </c>
      <c r="Y5381" s="9">
        <v>26.599525609534091</v>
      </c>
      <c r="Z5381" s="9">
        <v>29.424604823442099</v>
      </c>
      <c r="AA5381" s="9">
        <v>29.424604823442099</v>
      </c>
      <c r="AB5381" s="9">
        <v>32.345504182311352</v>
      </c>
      <c r="AC5381" s="9">
        <v>32.345504182311352</v>
      </c>
      <c r="AD5381" s="9">
        <v>37.073967958020759</v>
      </c>
      <c r="AE5381" s="9">
        <v>39.537280452065687</v>
      </c>
      <c r="AF5381" s="9">
        <v>42.115429646064094</v>
      </c>
      <c r="AG5381" s="9">
        <v>42.115429646064094</v>
      </c>
      <c r="AH5381" s="9">
        <v>45.566990204681431</v>
      </c>
      <c r="AI5381" s="9">
        <v>48.2081665036403</v>
      </c>
      <c r="AJ5381" s="9">
        <v>3.0428788910505911</v>
      </c>
    </row>
    <row r="5382" spans="1:36" x14ac:dyDescent="0.25">
      <c r="A5382" t="s">
        <v>5411</v>
      </c>
      <c r="B5382" t="s">
        <v>16</v>
      </c>
      <c r="C5382" t="s">
        <v>17</v>
      </c>
      <c r="D5382">
        <v>89855000</v>
      </c>
      <c r="E5382">
        <v>89855999</v>
      </c>
      <c r="F5382" t="s">
        <v>4875</v>
      </c>
      <c r="G5382" t="str">
        <f t="shared" si="168"/>
        <v>SCI II</v>
      </c>
      <c r="H5382" t="s">
        <v>4654</v>
      </c>
      <c r="I5382" t="s">
        <v>20</v>
      </c>
      <c r="J5382" t="s">
        <v>64</v>
      </c>
      <c r="K5382" s="6">
        <v>0.03</v>
      </c>
      <c r="L5382" s="7">
        <f t="shared" si="169"/>
        <v>2E-3</v>
      </c>
      <c r="M5382" s="7">
        <v>3.0000000000000001E-3</v>
      </c>
      <c r="N5382">
        <v>11</v>
      </c>
      <c r="O5382" s="8">
        <v>19.475693895950801</v>
      </c>
      <c r="P5382" s="9">
        <v>19.475693895950801</v>
      </c>
      <c r="Q5382" s="9">
        <v>19.475693895950801</v>
      </c>
      <c r="R5382" s="9">
        <v>20.024452706180426</v>
      </c>
      <c r="S5382" s="9">
        <v>20.875099128492941</v>
      </c>
      <c r="T5382" s="9">
        <v>21.733350185946453</v>
      </c>
      <c r="U5382" s="9">
        <v>23.861555618318132</v>
      </c>
      <c r="V5382" s="9">
        <v>23.861555618318132</v>
      </c>
      <c r="W5382" s="9">
        <v>23.861555618318132</v>
      </c>
      <c r="X5382" s="9">
        <v>26.599525609534091</v>
      </c>
      <c r="Y5382" s="9">
        <v>26.599525609534091</v>
      </c>
      <c r="Z5382" s="9">
        <v>29.424604823442099</v>
      </c>
      <c r="AA5382" s="9">
        <v>29.424604823442099</v>
      </c>
      <c r="AB5382" s="9">
        <v>32.345504182311352</v>
      </c>
      <c r="AC5382" s="9">
        <v>32.345504182311352</v>
      </c>
      <c r="AD5382" s="9">
        <v>37.073967958020759</v>
      </c>
      <c r="AE5382" s="9">
        <v>39.537280452065687</v>
      </c>
      <c r="AF5382" s="9">
        <v>42.115429646064094</v>
      </c>
      <c r="AG5382" s="9">
        <v>42.115429646064094</v>
      </c>
      <c r="AH5382" s="9">
        <v>45.566990204681431</v>
      </c>
      <c r="AI5382" s="9">
        <v>48.2081665036403</v>
      </c>
      <c r="AJ5382" s="9">
        <v>3.0428788910505911</v>
      </c>
    </row>
    <row r="5383" spans="1:36" x14ac:dyDescent="0.25">
      <c r="A5383" t="s">
        <v>5411</v>
      </c>
      <c r="B5383" t="s">
        <v>16</v>
      </c>
      <c r="C5383" t="s">
        <v>17</v>
      </c>
      <c r="D5383">
        <v>89856000</v>
      </c>
      <c r="E5383">
        <v>89858999</v>
      </c>
      <c r="F5383" t="s">
        <v>4876</v>
      </c>
      <c r="G5383" t="str">
        <f t="shared" si="168"/>
        <v>SCI II</v>
      </c>
      <c r="H5383" t="s">
        <v>4654</v>
      </c>
      <c r="I5383" t="s">
        <v>20</v>
      </c>
      <c r="J5383" t="s">
        <v>64</v>
      </c>
      <c r="K5383" s="6">
        <v>0.03</v>
      </c>
      <c r="L5383" s="7">
        <f t="shared" si="169"/>
        <v>2E-3</v>
      </c>
      <c r="M5383" s="7">
        <v>3.0000000000000001E-3</v>
      </c>
      <c r="N5383">
        <v>11</v>
      </c>
      <c r="O5383" s="8">
        <v>19.475693895950801</v>
      </c>
      <c r="P5383" s="9">
        <v>19.475693895950801</v>
      </c>
      <c r="Q5383" s="9">
        <v>19.475693895950801</v>
      </c>
      <c r="R5383" s="9">
        <v>20.024452706180426</v>
      </c>
      <c r="S5383" s="9">
        <v>20.875099128492941</v>
      </c>
      <c r="T5383" s="9">
        <v>21.733350185946453</v>
      </c>
      <c r="U5383" s="9">
        <v>23.861555618318132</v>
      </c>
      <c r="V5383" s="9">
        <v>23.861555618318132</v>
      </c>
      <c r="W5383" s="9">
        <v>23.861555618318132</v>
      </c>
      <c r="X5383" s="9">
        <v>26.599525609534091</v>
      </c>
      <c r="Y5383" s="9">
        <v>26.599525609534091</v>
      </c>
      <c r="Z5383" s="9">
        <v>29.424604823442099</v>
      </c>
      <c r="AA5383" s="9">
        <v>29.424604823442099</v>
      </c>
      <c r="AB5383" s="9">
        <v>32.345504182311352</v>
      </c>
      <c r="AC5383" s="9">
        <v>32.345504182311352</v>
      </c>
      <c r="AD5383" s="9">
        <v>37.073967958020759</v>
      </c>
      <c r="AE5383" s="9">
        <v>39.537280452065687</v>
      </c>
      <c r="AF5383" s="9">
        <v>42.115429646064094</v>
      </c>
      <c r="AG5383" s="9">
        <v>42.115429646064094</v>
      </c>
      <c r="AH5383" s="9">
        <v>45.566990204681431</v>
      </c>
      <c r="AI5383" s="9">
        <v>48.2081665036403</v>
      </c>
      <c r="AJ5383" s="9">
        <v>3.0428788910505911</v>
      </c>
    </row>
    <row r="5384" spans="1:36" x14ac:dyDescent="0.25">
      <c r="A5384" t="s">
        <v>5411</v>
      </c>
      <c r="B5384" t="s">
        <v>16</v>
      </c>
      <c r="C5384" t="s">
        <v>17</v>
      </c>
      <c r="D5384">
        <v>89859000</v>
      </c>
      <c r="E5384">
        <v>89859999</v>
      </c>
      <c r="F5384" t="s">
        <v>4877</v>
      </c>
      <c r="G5384" t="str">
        <f t="shared" si="168"/>
        <v>SCI II</v>
      </c>
      <c r="H5384" t="s">
        <v>4654</v>
      </c>
      <c r="I5384" t="s">
        <v>20</v>
      </c>
      <c r="J5384" t="s">
        <v>64</v>
      </c>
      <c r="K5384" s="6">
        <v>0.03</v>
      </c>
      <c r="L5384" s="7">
        <f t="shared" si="169"/>
        <v>2E-3</v>
      </c>
      <c r="M5384" s="7">
        <v>3.0000000000000001E-3</v>
      </c>
      <c r="N5384">
        <v>11</v>
      </c>
      <c r="O5384" s="8">
        <v>19.475693895950801</v>
      </c>
      <c r="P5384" s="9">
        <v>19.475693895950801</v>
      </c>
      <c r="Q5384" s="9">
        <v>19.475693895950801</v>
      </c>
      <c r="R5384" s="9">
        <v>20.024452706180426</v>
      </c>
      <c r="S5384" s="9">
        <v>20.875099128492941</v>
      </c>
      <c r="T5384" s="9">
        <v>21.733350185946453</v>
      </c>
      <c r="U5384" s="9">
        <v>23.861555618318132</v>
      </c>
      <c r="V5384" s="9">
        <v>23.861555618318132</v>
      </c>
      <c r="W5384" s="9">
        <v>23.861555618318132</v>
      </c>
      <c r="X5384" s="9">
        <v>26.599525609534091</v>
      </c>
      <c r="Y5384" s="9">
        <v>26.599525609534091</v>
      </c>
      <c r="Z5384" s="9">
        <v>29.424604823442099</v>
      </c>
      <c r="AA5384" s="9">
        <v>29.424604823442099</v>
      </c>
      <c r="AB5384" s="9">
        <v>32.345504182311352</v>
      </c>
      <c r="AC5384" s="9">
        <v>32.345504182311352</v>
      </c>
      <c r="AD5384" s="9">
        <v>37.073967958020759</v>
      </c>
      <c r="AE5384" s="9">
        <v>39.537280452065687</v>
      </c>
      <c r="AF5384" s="9">
        <v>42.115429646064094</v>
      </c>
      <c r="AG5384" s="9">
        <v>42.115429646064094</v>
      </c>
      <c r="AH5384" s="9">
        <v>45.566990204681431</v>
      </c>
      <c r="AI5384" s="9">
        <v>48.2081665036403</v>
      </c>
      <c r="AJ5384" s="9">
        <v>3.0428788910505911</v>
      </c>
    </row>
    <row r="5385" spans="1:36" x14ac:dyDescent="0.25">
      <c r="A5385" t="s">
        <v>5411</v>
      </c>
      <c r="B5385" t="s">
        <v>16</v>
      </c>
      <c r="C5385" t="s">
        <v>17</v>
      </c>
      <c r="D5385">
        <v>89860000</v>
      </c>
      <c r="E5385">
        <v>89861999</v>
      </c>
      <c r="F5385" t="s">
        <v>4878</v>
      </c>
      <c r="G5385" t="str">
        <f t="shared" si="168"/>
        <v>SCI II</v>
      </c>
      <c r="H5385" t="s">
        <v>4654</v>
      </c>
      <c r="I5385" t="s">
        <v>20</v>
      </c>
      <c r="J5385" t="s">
        <v>64</v>
      </c>
      <c r="K5385" s="6">
        <v>0.03</v>
      </c>
      <c r="L5385" s="7">
        <f t="shared" si="169"/>
        <v>2E-3</v>
      </c>
      <c r="M5385" s="7">
        <v>3.0000000000000001E-3</v>
      </c>
      <c r="N5385">
        <v>11</v>
      </c>
      <c r="O5385" s="8">
        <v>19.475693895950801</v>
      </c>
      <c r="P5385" s="9">
        <v>19.475693895950801</v>
      </c>
      <c r="Q5385" s="9">
        <v>19.475693895950801</v>
      </c>
      <c r="R5385" s="9">
        <v>20.024452706180426</v>
      </c>
      <c r="S5385" s="9">
        <v>20.875099128492941</v>
      </c>
      <c r="T5385" s="9">
        <v>21.733350185946453</v>
      </c>
      <c r="U5385" s="9">
        <v>23.861555618318132</v>
      </c>
      <c r="V5385" s="9">
        <v>23.861555618318132</v>
      </c>
      <c r="W5385" s="9">
        <v>23.861555618318132</v>
      </c>
      <c r="X5385" s="9">
        <v>26.599525609534091</v>
      </c>
      <c r="Y5385" s="9">
        <v>26.599525609534091</v>
      </c>
      <c r="Z5385" s="9">
        <v>29.424604823442099</v>
      </c>
      <c r="AA5385" s="9">
        <v>29.424604823442099</v>
      </c>
      <c r="AB5385" s="9">
        <v>32.345504182311352</v>
      </c>
      <c r="AC5385" s="9">
        <v>32.345504182311352</v>
      </c>
      <c r="AD5385" s="9">
        <v>37.073967958020759</v>
      </c>
      <c r="AE5385" s="9">
        <v>39.537280452065687</v>
      </c>
      <c r="AF5385" s="9">
        <v>42.115429646064094</v>
      </c>
      <c r="AG5385" s="9">
        <v>42.115429646064094</v>
      </c>
      <c r="AH5385" s="9">
        <v>45.566990204681431</v>
      </c>
      <c r="AI5385" s="9">
        <v>48.2081665036403</v>
      </c>
      <c r="AJ5385" s="9">
        <v>3.0428788910505911</v>
      </c>
    </row>
    <row r="5386" spans="1:36" x14ac:dyDescent="0.25">
      <c r="A5386" t="s">
        <v>5411</v>
      </c>
      <c r="B5386" t="s">
        <v>16</v>
      </c>
      <c r="C5386" t="s">
        <v>17</v>
      </c>
      <c r="D5386">
        <v>89862000</v>
      </c>
      <c r="E5386">
        <v>89864999</v>
      </c>
      <c r="F5386" t="s">
        <v>2051</v>
      </c>
      <c r="G5386" t="str">
        <f t="shared" si="168"/>
        <v>SCI II</v>
      </c>
      <c r="H5386" t="s">
        <v>4654</v>
      </c>
      <c r="I5386" t="s">
        <v>20</v>
      </c>
      <c r="J5386" t="s">
        <v>64</v>
      </c>
      <c r="K5386" s="6">
        <v>0.03</v>
      </c>
      <c r="L5386" s="7">
        <f t="shared" si="169"/>
        <v>2E-3</v>
      </c>
      <c r="M5386" s="7">
        <v>3.0000000000000001E-3</v>
      </c>
      <c r="N5386">
        <v>11</v>
      </c>
      <c r="O5386" s="8">
        <v>19.475693895950801</v>
      </c>
      <c r="P5386" s="9">
        <v>19.475693895950801</v>
      </c>
      <c r="Q5386" s="9">
        <v>19.475693895950801</v>
      </c>
      <c r="R5386" s="9">
        <v>20.024452706180426</v>
      </c>
      <c r="S5386" s="9">
        <v>20.875099128492941</v>
      </c>
      <c r="T5386" s="9">
        <v>21.733350185946453</v>
      </c>
      <c r="U5386" s="9">
        <v>23.861555618318132</v>
      </c>
      <c r="V5386" s="9">
        <v>23.861555618318132</v>
      </c>
      <c r="W5386" s="9">
        <v>23.861555618318132</v>
      </c>
      <c r="X5386" s="9">
        <v>26.599525609534091</v>
      </c>
      <c r="Y5386" s="9">
        <v>26.599525609534091</v>
      </c>
      <c r="Z5386" s="9">
        <v>29.424604823442099</v>
      </c>
      <c r="AA5386" s="9">
        <v>29.424604823442099</v>
      </c>
      <c r="AB5386" s="9">
        <v>32.345504182311352</v>
      </c>
      <c r="AC5386" s="9">
        <v>32.345504182311352</v>
      </c>
      <c r="AD5386" s="9">
        <v>37.073967958020759</v>
      </c>
      <c r="AE5386" s="9">
        <v>39.537280452065687</v>
      </c>
      <c r="AF5386" s="9">
        <v>42.115429646064094</v>
      </c>
      <c r="AG5386" s="9">
        <v>42.115429646064094</v>
      </c>
      <c r="AH5386" s="9">
        <v>45.566990204681431</v>
      </c>
      <c r="AI5386" s="9">
        <v>48.2081665036403</v>
      </c>
      <c r="AJ5386" s="9">
        <v>3.0428788910505911</v>
      </c>
    </row>
    <row r="5387" spans="1:36" x14ac:dyDescent="0.25">
      <c r="A5387" t="s">
        <v>5411</v>
      </c>
      <c r="B5387" t="s">
        <v>16</v>
      </c>
      <c r="C5387" t="s">
        <v>17</v>
      </c>
      <c r="D5387">
        <v>89865000</v>
      </c>
      <c r="E5387">
        <v>89867999</v>
      </c>
      <c r="F5387" t="s">
        <v>4879</v>
      </c>
      <c r="G5387" t="str">
        <f t="shared" si="168"/>
        <v>SCI II</v>
      </c>
      <c r="H5387" t="s">
        <v>4654</v>
      </c>
      <c r="I5387" t="s">
        <v>20</v>
      </c>
      <c r="J5387" t="s">
        <v>64</v>
      </c>
      <c r="K5387" s="6">
        <v>0.03</v>
      </c>
      <c r="L5387" s="7">
        <f t="shared" si="169"/>
        <v>2E-3</v>
      </c>
      <c r="M5387" s="7">
        <v>3.0000000000000001E-3</v>
      </c>
      <c r="N5387">
        <v>11</v>
      </c>
      <c r="O5387" s="8">
        <v>19.475693895950801</v>
      </c>
      <c r="P5387" s="9">
        <v>19.475693895950801</v>
      </c>
      <c r="Q5387" s="9">
        <v>19.475693895950801</v>
      </c>
      <c r="R5387" s="9">
        <v>20.024452706180426</v>
      </c>
      <c r="S5387" s="9">
        <v>20.875099128492941</v>
      </c>
      <c r="T5387" s="9">
        <v>21.733350185946453</v>
      </c>
      <c r="U5387" s="9">
        <v>23.861555618318132</v>
      </c>
      <c r="V5387" s="9">
        <v>23.861555618318132</v>
      </c>
      <c r="W5387" s="9">
        <v>23.861555618318132</v>
      </c>
      <c r="X5387" s="9">
        <v>26.599525609534091</v>
      </c>
      <c r="Y5387" s="9">
        <v>26.599525609534091</v>
      </c>
      <c r="Z5387" s="9">
        <v>29.424604823442099</v>
      </c>
      <c r="AA5387" s="9">
        <v>29.424604823442099</v>
      </c>
      <c r="AB5387" s="9">
        <v>32.345504182311352</v>
      </c>
      <c r="AC5387" s="9">
        <v>32.345504182311352</v>
      </c>
      <c r="AD5387" s="9">
        <v>37.073967958020759</v>
      </c>
      <c r="AE5387" s="9">
        <v>39.537280452065687</v>
      </c>
      <c r="AF5387" s="9">
        <v>42.115429646064094</v>
      </c>
      <c r="AG5387" s="9">
        <v>42.115429646064094</v>
      </c>
      <c r="AH5387" s="9">
        <v>45.566990204681431</v>
      </c>
      <c r="AI5387" s="9">
        <v>48.2081665036403</v>
      </c>
      <c r="AJ5387" s="9">
        <v>3.0428788910505911</v>
      </c>
    </row>
    <row r="5388" spans="1:36" x14ac:dyDescent="0.25">
      <c r="A5388" t="s">
        <v>5411</v>
      </c>
      <c r="B5388" t="s">
        <v>16</v>
      </c>
      <c r="C5388" t="s">
        <v>17</v>
      </c>
      <c r="D5388">
        <v>89868000</v>
      </c>
      <c r="E5388">
        <v>89869999</v>
      </c>
      <c r="F5388" t="s">
        <v>4880</v>
      </c>
      <c r="G5388" t="str">
        <f t="shared" si="168"/>
        <v>SCI II</v>
      </c>
      <c r="H5388" t="s">
        <v>4654</v>
      </c>
      <c r="I5388" t="s">
        <v>20</v>
      </c>
      <c r="J5388" t="s">
        <v>64</v>
      </c>
      <c r="K5388" s="6">
        <v>0.03</v>
      </c>
      <c r="L5388" s="7">
        <f t="shared" si="169"/>
        <v>2E-3</v>
      </c>
      <c r="M5388" s="7">
        <v>3.0000000000000001E-3</v>
      </c>
      <c r="N5388">
        <v>11</v>
      </c>
      <c r="O5388" s="8">
        <v>19.475693895950801</v>
      </c>
      <c r="P5388" s="9">
        <v>19.475693895950801</v>
      </c>
      <c r="Q5388" s="9">
        <v>19.475693895950801</v>
      </c>
      <c r="R5388" s="9">
        <v>20.024452706180426</v>
      </c>
      <c r="S5388" s="9">
        <v>20.875099128492941</v>
      </c>
      <c r="T5388" s="9">
        <v>21.733350185946453</v>
      </c>
      <c r="U5388" s="9">
        <v>23.861555618318132</v>
      </c>
      <c r="V5388" s="9">
        <v>23.861555618318132</v>
      </c>
      <c r="W5388" s="9">
        <v>23.861555618318132</v>
      </c>
      <c r="X5388" s="9">
        <v>26.599525609534091</v>
      </c>
      <c r="Y5388" s="9">
        <v>26.599525609534091</v>
      </c>
      <c r="Z5388" s="9">
        <v>29.424604823442099</v>
      </c>
      <c r="AA5388" s="9">
        <v>29.424604823442099</v>
      </c>
      <c r="AB5388" s="9">
        <v>32.345504182311352</v>
      </c>
      <c r="AC5388" s="9">
        <v>32.345504182311352</v>
      </c>
      <c r="AD5388" s="9">
        <v>37.073967958020759</v>
      </c>
      <c r="AE5388" s="9">
        <v>39.537280452065687</v>
      </c>
      <c r="AF5388" s="9">
        <v>42.115429646064094</v>
      </c>
      <c r="AG5388" s="9">
        <v>42.115429646064094</v>
      </c>
      <c r="AH5388" s="9">
        <v>45.566990204681431</v>
      </c>
      <c r="AI5388" s="9">
        <v>48.2081665036403</v>
      </c>
      <c r="AJ5388" s="9">
        <v>3.0428788910505911</v>
      </c>
    </row>
    <row r="5389" spans="1:36" x14ac:dyDescent="0.25">
      <c r="A5389" t="s">
        <v>5411</v>
      </c>
      <c r="B5389" t="s">
        <v>16</v>
      </c>
      <c r="C5389" t="s">
        <v>17</v>
      </c>
      <c r="D5389">
        <v>89870000</v>
      </c>
      <c r="E5389">
        <v>89870999</v>
      </c>
      <c r="F5389" t="s">
        <v>136</v>
      </c>
      <c r="G5389" t="str">
        <f t="shared" si="168"/>
        <v>SCI II</v>
      </c>
      <c r="H5389" t="s">
        <v>4654</v>
      </c>
      <c r="I5389" t="s">
        <v>20</v>
      </c>
      <c r="J5389" t="s">
        <v>64</v>
      </c>
      <c r="K5389" s="6">
        <v>0.03</v>
      </c>
      <c r="L5389" s="7">
        <f t="shared" si="169"/>
        <v>2E-3</v>
      </c>
      <c r="M5389" s="7">
        <v>3.0000000000000001E-3</v>
      </c>
      <c r="N5389">
        <v>11</v>
      </c>
      <c r="O5389" s="8">
        <v>19.475693895950801</v>
      </c>
      <c r="P5389" s="9">
        <v>19.475693895950801</v>
      </c>
      <c r="Q5389" s="9">
        <v>19.475693895950801</v>
      </c>
      <c r="R5389" s="9">
        <v>20.024452706180426</v>
      </c>
      <c r="S5389" s="9">
        <v>20.875099128492941</v>
      </c>
      <c r="T5389" s="9">
        <v>21.733350185946453</v>
      </c>
      <c r="U5389" s="9">
        <v>23.861555618318132</v>
      </c>
      <c r="V5389" s="9">
        <v>23.861555618318132</v>
      </c>
      <c r="W5389" s="9">
        <v>23.861555618318132</v>
      </c>
      <c r="X5389" s="9">
        <v>26.599525609534091</v>
      </c>
      <c r="Y5389" s="9">
        <v>26.599525609534091</v>
      </c>
      <c r="Z5389" s="9">
        <v>29.424604823442099</v>
      </c>
      <c r="AA5389" s="9">
        <v>29.424604823442099</v>
      </c>
      <c r="AB5389" s="9">
        <v>32.345504182311352</v>
      </c>
      <c r="AC5389" s="9">
        <v>32.345504182311352</v>
      </c>
      <c r="AD5389" s="9">
        <v>37.073967958020759</v>
      </c>
      <c r="AE5389" s="9">
        <v>39.537280452065687</v>
      </c>
      <c r="AF5389" s="9">
        <v>42.115429646064094</v>
      </c>
      <c r="AG5389" s="9">
        <v>42.115429646064094</v>
      </c>
      <c r="AH5389" s="9">
        <v>45.566990204681431</v>
      </c>
      <c r="AI5389" s="9">
        <v>48.2081665036403</v>
      </c>
      <c r="AJ5389" s="9">
        <v>3.0428788910505911</v>
      </c>
    </row>
    <row r="5390" spans="1:36" x14ac:dyDescent="0.25">
      <c r="A5390" t="s">
        <v>5411</v>
      </c>
      <c r="B5390" t="s">
        <v>16</v>
      </c>
      <c r="C5390" t="s">
        <v>17</v>
      </c>
      <c r="D5390">
        <v>89871000</v>
      </c>
      <c r="E5390">
        <v>89871999</v>
      </c>
      <c r="F5390" t="s">
        <v>4881</v>
      </c>
      <c r="G5390" t="str">
        <f t="shared" si="168"/>
        <v>SCI II</v>
      </c>
      <c r="H5390" t="s">
        <v>4654</v>
      </c>
      <c r="I5390" t="s">
        <v>20</v>
      </c>
      <c r="J5390" t="s">
        <v>64</v>
      </c>
      <c r="K5390" s="6">
        <v>0.03</v>
      </c>
      <c r="L5390" s="7">
        <f t="shared" si="169"/>
        <v>2E-3</v>
      </c>
      <c r="M5390" s="7">
        <v>3.0000000000000001E-3</v>
      </c>
      <c r="N5390">
        <v>11</v>
      </c>
      <c r="O5390" s="8">
        <v>19.475693895950801</v>
      </c>
      <c r="P5390" s="9">
        <v>19.475693895950801</v>
      </c>
      <c r="Q5390" s="9">
        <v>19.475693895950801</v>
      </c>
      <c r="R5390" s="9">
        <v>20.024452706180426</v>
      </c>
      <c r="S5390" s="9">
        <v>20.875099128492941</v>
      </c>
      <c r="T5390" s="9">
        <v>21.733350185946453</v>
      </c>
      <c r="U5390" s="9">
        <v>23.861555618318132</v>
      </c>
      <c r="V5390" s="9">
        <v>23.861555618318132</v>
      </c>
      <c r="W5390" s="9">
        <v>23.861555618318132</v>
      </c>
      <c r="X5390" s="9">
        <v>26.599525609534091</v>
      </c>
      <c r="Y5390" s="9">
        <v>26.599525609534091</v>
      </c>
      <c r="Z5390" s="9">
        <v>29.424604823442099</v>
      </c>
      <c r="AA5390" s="9">
        <v>29.424604823442099</v>
      </c>
      <c r="AB5390" s="9">
        <v>32.345504182311352</v>
      </c>
      <c r="AC5390" s="9">
        <v>32.345504182311352</v>
      </c>
      <c r="AD5390" s="9">
        <v>37.073967958020759</v>
      </c>
      <c r="AE5390" s="9">
        <v>39.537280452065687</v>
      </c>
      <c r="AF5390" s="9">
        <v>42.115429646064094</v>
      </c>
      <c r="AG5390" s="9">
        <v>42.115429646064094</v>
      </c>
      <c r="AH5390" s="9">
        <v>45.566990204681431</v>
      </c>
      <c r="AI5390" s="9">
        <v>48.2081665036403</v>
      </c>
      <c r="AJ5390" s="9">
        <v>3.0428788910505911</v>
      </c>
    </row>
    <row r="5391" spans="1:36" x14ac:dyDescent="0.25">
      <c r="A5391" t="s">
        <v>5411</v>
      </c>
      <c r="B5391" t="s">
        <v>16</v>
      </c>
      <c r="C5391" t="s">
        <v>17</v>
      </c>
      <c r="D5391">
        <v>89872000</v>
      </c>
      <c r="E5391">
        <v>89872999</v>
      </c>
      <c r="F5391" t="s">
        <v>4882</v>
      </c>
      <c r="G5391" t="str">
        <f t="shared" si="168"/>
        <v>SCI II</v>
      </c>
      <c r="H5391" t="s">
        <v>4654</v>
      </c>
      <c r="I5391" t="s">
        <v>20</v>
      </c>
      <c r="J5391" t="s">
        <v>64</v>
      </c>
      <c r="K5391" s="6">
        <v>0.03</v>
      </c>
      <c r="L5391" s="7">
        <f t="shared" si="169"/>
        <v>2E-3</v>
      </c>
      <c r="M5391" s="7">
        <v>3.0000000000000001E-3</v>
      </c>
      <c r="N5391">
        <v>11</v>
      </c>
      <c r="O5391" s="8">
        <v>19.475693895950801</v>
      </c>
      <c r="P5391" s="9">
        <v>19.475693895950801</v>
      </c>
      <c r="Q5391" s="9">
        <v>19.475693895950801</v>
      </c>
      <c r="R5391" s="9">
        <v>20.024452706180426</v>
      </c>
      <c r="S5391" s="9">
        <v>20.875099128492941</v>
      </c>
      <c r="T5391" s="9">
        <v>21.733350185946453</v>
      </c>
      <c r="U5391" s="9">
        <v>23.861555618318132</v>
      </c>
      <c r="V5391" s="9">
        <v>23.861555618318132</v>
      </c>
      <c r="W5391" s="9">
        <v>23.861555618318132</v>
      </c>
      <c r="X5391" s="9">
        <v>26.599525609534091</v>
      </c>
      <c r="Y5391" s="9">
        <v>26.599525609534091</v>
      </c>
      <c r="Z5391" s="9">
        <v>29.424604823442099</v>
      </c>
      <c r="AA5391" s="9">
        <v>29.424604823442099</v>
      </c>
      <c r="AB5391" s="9">
        <v>32.345504182311352</v>
      </c>
      <c r="AC5391" s="9">
        <v>32.345504182311352</v>
      </c>
      <c r="AD5391" s="9">
        <v>37.073967958020759</v>
      </c>
      <c r="AE5391" s="9">
        <v>39.537280452065687</v>
      </c>
      <c r="AF5391" s="9">
        <v>42.115429646064094</v>
      </c>
      <c r="AG5391" s="9">
        <v>42.115429646064094</v>
      </c>
      <c r="AH5391" s="9">
        <v>45.566990204681431</v>
      </c>
      <c r="AI5391" s="9">
        <v>48.2081665036403</v>
      </c>
      <c r="AJ5391" s="9">
        <v>3.0428788910505911</v>
      </c>
    </row>
    <row r="5392" spans="1:36" x14ac:dyDescent="0.25">
      <c r="A5392" t="s">
        <v>5411</v>
      </c>
      <c r="B5392" t="s">
        <v>16</v>
      </c>
      <c r="C5392" t="s">
        <v>17</v>
      </c>
      <c r="D5392">
        <v>89873000</v>
      </c>
      <c r="E5392">
        <v>89873999</v>
      </c>
      <c r="F5392" t="s">
        <v>4883</v>
      </c>
      <c r="G5392" t="str">
        <f t="shared" si="168"/>
        <v>SCI II</v>
      </c>
      <c r="H5392" t="s">
        <v>4654</v>
      </c>
      <c r="I5392" t="s">
        <v>20</v>
      </c>
      <c r="J5392" t="s">
        <v>64</v>
      </c>
      <c r="K5392" s="6">
        <v>0.03</v>
      </c>
      <c r="L5392" s="7">
        <f t="shared" si="169"/>
        <v>2E-3</v>
      </c>
      <c r="M5392" s="7">
        <v>3.0000000000000001E-3</v>
      </c>
      <c r="N5392">
        <v>11</v>
      </c>
      <c r="O5392" s="8">
        <v>19.475693895950801</v>
      </c>
      <c r="P5392" s="9">
        <v>19.475693895950801</v>
      </c>
      <c r="Q5392" s="9">
        <v>19.475693895950801</v>
      </c>
      <c r="R5392" s="9">
        <v>20.024452706180426</v>
      </c>
      <c r="S5392" s="9">
        <v>20.875099128492941</v>
      </c>
      <c r="T5392" s="9">
        <v>21.733350185946453</v>
      </c>
      <c r="U5392" s="9">
        <v>23.861555618318132</v>
      </c>
      <c r="V5392" s="9">
        <v>23.861555618318132</v>
      </c>
      <c r="W5392" s="9">
        <v>23.861555618318132</v>
      </c>
      <c r="X5392" s="9">
        <v>26.599525609534091</v>
      </c>
      <c r="Y5392" s="9">
        <v>26.599525609534091</v>
      </c>
      <c r="Z5392" s="9">
        <v>29.424604823442099</v>
      </c>
      <c r="AA5392" s="9">
        <v>29.424604823442099</v>
      </c>
      <c r="AB5392" s="9">
        <v>32.345504182311352</v>
      </c>
      <c r="AC5392" s="9">
        <v>32.345504182311352</v>
      </c>
      <c r="AD5392" s="9">
        <v>37.073967958020759</v>
      </c>
      <c r="AE5392" s="9">
        <v>39.537280452065687</v>
      </c>
      <c r="AF5392" s="9">
        <v>42.115429646064094</v>
      </c>
      <c r="AG5392" s="9">
        <v>42.115429646064094</v>
      </c>
      <c r="AH5392" s="9">
        <v>45.566990204681431</v>
      </c>
      <c r="AI5392" s="9">
        <v>48.2081665036403</v>
      </c>
      <c r="AJ5392" s="9">
        <v>3.0428788910505911</v>
      </c>
    </row>
    <row r="5393" spans="1:36" x14ac:dyDescent="0.25">
      <c r="A5393" t="s">
        <v>5411</v>
      </c>
      <c r="B5393" t="s">
        <v>16</v>
      </c>
      <c r="C5393" t="s">
        <v>17</v>
      </c>
      <c r="D5393">
        <v>89874000</v>
      </c>
      <c r="E5393">
        <v>89874999</v>
      </c>
      <c r="F5393" t="s">
        <v>2421</v>
      </c>
      <c r="G5393" t="str">
        <f t="shared" si="168"/>
        <v>SCI II</v>
      </c>
      <c r="H5393" t="s">
        <v>4654</v>
      </c>
      <c r="I5393" t="s">
        <v>20</v>
      </c>
      <c r="J5393" t="s">
        <v>64</v>
      </c>
      <c r="K5393" s="6">
        <v>0.03</v>
      </c>
      <c r="L5393" s="7">
        <f t="shared" si="169"/>
        <v>2E-3</v>
      </c>
      <c r="M5393" s="7">
        <v>3.0000000000000001E-3</v>
      </c>
      <c r="N5393">
        <v>11</v>
      </c>
      <c r="O5393" s="8">
        <v>19.475693895950801</v>
      </c>
      <c r="P5393" s="9">
        <v>19.475693895950801</v>
      </c>
      <c r="Q5393" s="9">
        <v>19.475693895950801</v>
      </c>
      <c r="R5393" s="9">
        <v>20.024452706180426</v>
      </c>
      <c r="S5393" s="9">
        <v>20.875099128492941</v>
      </c>
      <c r="T5393" s="9">
        <v>21.733350185946453</v>
      </c>
      <c r="U5393" s="9">
        <v>23.861555618318132</v>
      </c>
      <c r="V5393" s="9">
        <v>23.861555618318132</v>
      </c>
      <c r="W5393" s="9">
        <v>23.861555618318132</v>
      </c>
      <c r="X5393" s="9">
        <v>26.599525609534091</v>
      </c>
      <c r="Y5393" s="9">
        <v>26.599525609534091</v>
      </c>
      <c r="Z5393" s="9">
        <v>29.424604823442099</v>
      </c>
      <c r="AA5393" s="9">
        <v>29.424604823442099</v>
      </c>
      <c r="AB5393" s="9">
        <v>32.345504182311352</v>
      </c>
      <c r="AC5393" s="9">
        <v>32.345504182311352</v>
      </c>
      <c r="AD5393" s="9">
        <v>37.073967958020759</v>
      </c>
      <c r="AE5393" s="9">
        <v>39.537280452065687</v>
      </c>
      <c r="AF5393" s="9">
        <v>42.115429646064094</v>
      </c>
      <c r="AG5393" s="9">
        <v>42.115429646064094</v>
      </c>
      <c r="AH5393" s="9">
        <v>45.566990204681431</v>
      </c>
      <c r="AI5393" s="9">
        <v>48.2081665036403</v>
      </c>
      <c r="AJ5393" s="9">
        <v>3.0428788910505911</v>
      </c>
    </row>
    <row r="5394" spans="1:36" x14ac:dyDescent="0.25">
      <c r="A5394" t="s">
        <v>5411</v>
      </c>
      <c r="B5394" t="s">
        <v>16</v>
      </c>
      <c r="C5394" t="s">
        <v>17</v>
      </c>
      <c r="D5394">
        <v>89875000</v>
      </c>
      <c r="E5394">
        <v>89877999</v>
      </c>
      <c r="F5394" t="s">
        <v>4884</v>
      </c>
      <c r="G5394" t="str">
        <f t="shared" si="168"/>
        <v>SCI II</v>
      </c>
      <c r="H5394" t="s">
        <v>4654</v>
      </c>
      <c r="I5394" t="s">
        <v>20</v>
      </c>
      <c r="J5394" t="s">
        <v>64</v>
      </c>
      <c r="K5394" s="6">
        <v>0.03</v>
      </c>
      <c r="L5394" s="7">
        <f t="shared" si="169"/>
        <v>2E-3</v>
      </c>
      <c r="M5394" s="7">
        <v>3.0000000000000001E-3</v>
      </c>
      <c r="N5394">
        <v>11</v>
      </c>
      <c r="O5394" s="8">
        <v>19.475693895950801</v>
      </c>
      <c r="P5394" s="9">
        <v>19.475693895950801</v>
      </c>
      <c r="Q5394" s="9">
        <v>19.475693895950801</v>
      </c>
      <c r="R5394" s="9">
        <v>20.024452706180426</v>
      </c>
      <c r="S5394" s="9">
        <v>20.875099128492941</v>
      </c>
      <c r="T5394" s="9">
        <v>21.733350185946453</v>
      </c>
      <c r="U5394" s="9">
        <v>23.861555618318132</v>
      </c>
      <c r="V5394" s="9">
        <v>23.861555618318132</v>
      </c>
      <c r="W5394" s="9">
        <v>23.861555618318132</v>
      </c>
      <c r="X5394" s="9">
        <v>26.599525609534091</v>
      </c>
      <c r="Y5394" s="9">
        <v>26.599525609534091</v>
      </c>
      <c r="Z5394" s="9">
        <v>29.424604823442099</v>
      </c>
      <c r="AA5394" s="9">
        <v>29.424604823442099</v>
      </c>
      <c r="AB5394" s="9">
        <v>32.345504182311352</v>
      </c>
      <c r="AC5394" s="9">
        <v>32.345504182311352</v>
      </c>
      <c r="AD5394" s="9">
        <v>37.073967958020759</v>
      </c>
      <c r="AE5394" s="9">
        <v>39.537280452065687</v>
      </c>
      <c r="AF5394" s="9">
        <v>42.115429646064094</v>
      </c>
      <c r="AG5394" s="9">
        <v>42.115429646064094</v>
      </c>
      <c r="AH5394" s="9">
        <v>45.566990204681431</v>
      </c>
      <c r="AI5394" s="9">
        <v>48.2081665036403</v>
      </c>
      <c r="AJ5394" s="9">
        <v>3.0428788910505911</v>
      </c>
    </row>
    <row r="5395" spans="1:36" x14ac:dyDescent="0.25">
      <c r="A5395" t="s">
        <v>5411</v>
      </c>
      <c r="B5395" t="s">
        <v>16</v>
      </c>
      <c r="C5395" t="s">
        <v>17</v>
      </c>
      <c r="D5395">
        <v>89878000</v>
      </c>
      <c r="E5395">
        <v>89878999</v>
      </c>
      <c r="F5395" t="s">
        <v>4885</v>
      </c>
      <c r="G5395" t="str">
        <f t="shared" si="168"/>
        <v>SCI II</v>
      </c>
      <c r="H5395" t="s">
        <v>4654</v>
      </c>
      <c r="I5395" t="s">
        <v>20</v>
      </c>
      <c r="J5395" t="s">
        <v>64</v>
      </c>
      <c r="K5395" s="6">
        <v>0.03</v>
      </c>
      <c r="L5395" s="7">
        <f t="shared" si="169"/>
        <v>2E-3</v>
      </c>
      <c r="M5395" s="7">
        <v>3.0000000000000001E-3</v>
      </c>
      <c r="N5395">
        <v>11</v>
      </c>
      <c r="O5395" s="8">
        <v>19.475693895950801</v>
      </c>
      <c r="P5395" s="9">
        <v>19.475693895950801</v>
      </c>
      <c r="Q5395" s="9">
        <v>19.475693895950801</v>
      </c>
      <c r="R5395" s="9">
        <v>20.024452706180426</v>
      </c>
      <c r="S5395" s="9">
        <v>20.875099128492941</v>
      </c>
      <c r="T5395" s="9">
        <v>21.733350185946453</v>
      </c>
      <c r="U5395" s="9">
        <v>23.861555618318132</v>
      </c>
      <c r="V5395" s="9">
        <v>23.861555618318132</v>
      </c>
      <c r="W5395" s="9">
        <v>23.861555618318132</v>
      </c>
      <c r="X5395" s="9">
        <v>26.599525609534091</v>
      </c>
      <c r="Y5395" s="9">
        <v>26.599525609534091</v>
      </c>
      <c r="Z5395" s="9">
        <v>29.424604823442099</v>
      </c>
      <c r="AA5395" s="9">
        <v>29.424604823442099</v>
      </c>
      <c r="AB5395" s="9">
        <v>32.345504182311352</v>
      </c>
      <c r="AC5395" s="9">
        <v>32.345504182311352</v>
      </c>
      <c r="AD5395" s="9">
        <v>37.073967958020759</v>
      </c>
      <c r="AE5395" s="9">
        <v>39.537280452065687</v>
      </c>
      <c r="AF5395" s="9">
        <v>42.115429646064094</v>
      </c>
      <c r="AG5395" s="9">
        <v>42.115429646064094</v>
      </c>
      <c r="AH5395" s="9">
        <v>45.566990204681431</v>
      </c>
      <c r="AI5395" s="9">
        <v>48.2081665036403</v>
      </c>
      <c r="AJ5395" s="9">
        <v>3.0428788910505911</v>
      </c>
    </row>
    <row r="5396" spans="1:36" x14ac:dyDescent="0.25">
      <c r="A5396" t="s">
        <v>5411</v>
      </c>
      <c r="B5396" t="s">
        <v>16</v>
      </c>
      <c r="C5396" t="s">
        <v>17</v>
      </c>
      <c r="D5396">
        <v>89879000</v>
      </c>
      <c r="E5396">
        <v>89879999</v>
      </c>
      <c r="F5396" t="s">
        <v>4886</v>
      </c>
      <c r="G5396" t="str">
        <f t="shared" si="168"/>
        <v>SCI II</v>
      </c>
      <c r="H5396" t="s">
        <v>4654</v>
      </c>
      <c r="I5396" t="s">
        <v>20</v>
      </c>
      <c r="J5396" t="s">
        <v>64</v>
      </c>
      <c r="K5396" s="6">
        <v>0.03</v>
      </c>
      <c r="L5396" s="7">
        <f t="shared" si="169"/>
        <v>2E-3</v>
      </c>
      <c r="M5396" s="7">
        <v>3.0000000000000001E-3</v>
      </c>
      <c r="N5396">
        <v>11</v>
      </c>
      <c r="O5396" s="8">
        <v>19.475693895950801</v>
      </c>
      <c r="P5396" s="9">
        <v>19.475693895950801</v>
      </c>
      <c r="Q5396" s="9">
        <v>19.475693895950801</v>
      </c>
      <c r="R5396" s="9">
        <v>20.024452706180426</v>
      </c>
      <c r="S5396" s="9">
        <v>20.875099128492941</v>
      </c>
      <c r="T5396" s="9">
        <v>21.733350185946453</v>
      </c>
      <c r="U5396" s="9">
        <v>23.861555618318132</v>
      </c>
      <c r="V5396" s="9">
        <v>23.861555618318132</v>
      </c>
      <c r="W5396" s="9">
        <v>23.861555618318132</v>
      </c>
      <c r="X5396" s="9">
        <v>26.599525609534091</v>
      </c>
      <c r="Y5396" s="9">
        <v>26.599525609534091</v>
      </c>
      <c r="Z5396" s="9">
        <v>29.424604823442099</v>
      </c>
      <c r="AA5396" s="9">
        <v>29.424604823442099</v>
      </c>
      <c r="AB5396" s="9">
        <v>32.345504182311352</v>
      </c>
      <c r="AC5396" s="9">
        <v>32.345504182311352</v>
      </c>
      <c r="AD5396" s="9">
        <v>37.073967958020759</v>
      </c>
      <c r="AE5396" s="9">
        <v>39.537280452065687</v>
      </c>
      <c r="AF5396" s="9">
        <v>42.115429646064094</v>
      </c>
      <c r="AG5396" s="9">
        <v>42.115429646064094</v>
      </c>
      <c r="AH5396" s="9">
        <v>45.566990204681431</v>
      </c>
      <c r="AI5396" s="9">
        <v>48.2081665036403</v>
      </c>
      <c r="AJ5396" s="9">
        <v>3.0428788910505911</v>
      </c>
    </row>
    <row r="5397" spans="1:36" x14ac:dyDescent="0.25">
      <c r="A5397" t="s">
        <v>5411</v>
      </c>
      <c r="B5397" t="s">
        <v>16</v>
      </c>
      <c r="C5397" t="s">
        <v>17</v>
      </c>
      <c r="D5397">
        <v>89880000</v>
      </c>
      <c r="E5397">
        <v>89881999</v>
      </c>
      <c r="F5397" t="s">
        <v>4887</v>
      </c>
      <c r="G5397" t="str">
        <f t="shared" si="168"/>
        <v>SCI II</v>
      </c>
      <c r="H5397" t="s">
        <v>4654</v>
      </c>
      <c r="I5397" t="s">
        <v>20</v>
      </c>
      <c r="J5397" t="s">
        <v>64</v>
      </c>
      <c r="K5397" s="6">
        <v>0.03</v>
      </c>
      <c r="L5397" s="7">
        <f t="shared" si="169"/>
        <v>2E-3</v>
      </c>
      <c r="M5397" s="7">
        <v>3.0000000000000001E-3</v>
      </c>
      <c r="N5397">
        <v>11</v>
      </c>
      <c r="O5397" s="8">
        <v>19.475693895950801</v>
      </c>
      <c r="P5397" s="9">
        <v>19.475693895950801</v>
      </c>
      <c r="Q5397" s="9">
        <v>19.475693895950801</v>
      </c>
      <c r="R5397" s="9">
        <v>20.024452706180426</v>
      </c>
      <c r="S5397" s="9">
        <v>20.875099128492941</v>
      </c>
      <c r="T5397" s="9">
        <v>21.733350185946453</v>
      </c>
      <c r="U5397" s="9">
        <v>23.861555618318132</v>
      </c>
      <c r="V5397" s="9">
        <v>23.861555618318132</v>
      </c>
      <c r="W5397" s="9">
        <v>23.861555618318132</v>
      </c>
      <c r="X5397" s="9">
        <v>26.599525609534091</v>
      </c>
      <c r="Y5397" s="9">
        <v>26.599525609534091</v>
      </c>
      <c r="Z5397" s="9">
        <v>29.424604823442099</v>
      </c>
      <c r="AA5397" s="9">
        <v>29.424604823442099</v>
      </c>
      <c r="AB5397" s="9">
        <v>32.345504182311352</v>
      </c>
      <c r="AC5397" s="9">
        <v>32.345504182311352</v>
      </c>
      <c r="AD5397" s="9">
        <v>37.073967958020759</v>
      </c>
      <c r="AE5397" s="9">
        <v>39.537280452065687</v>
      </c>
      <c r="AF5397" s="9">
        <v>42.115429646064094</v>
      </c>
      <c r="AG5397" s="9">
        <v>42.115429646064094</v>
      </c>
      <c r="AH5397" s="9">
        <v>45.566990204681431</v>
      </c>
      <c r="AI5397" s="9">
        <v>48.2081665036403</v>
      </c>
      <c r="AJ5397" s="9">
        <v>3.0428788910505911</v>
      </c>
    </row>
    <row r="5398" spans="1:36" x14ac:dyDescent="0.25">
      <c r="A5398" t="s">
        <v>5411</v>
      </c>
      <c r="B5398" t="s">
        <v>16</v>
      </c>
      <c r="C5398" t="s">
        <v>17</v>
      </c>
      <c r="D5398">
        <v>89882000</v>
      </c>
      <c r="E5398">
        <v>89882999</v>
      </c>
      <c r="F5398" t="s">
        <v>4888</v>
      </c>
      <c r="G5398" t="str">
        <f t="shared" si="168"/>
        <v>SCI II</v>
      </c>
      <c r="H5398" t="s">
        <v>4654</v>
      </c>
      <c r="I5398" t="s">
        <v>20</v>
      </c>
      <c r="J5398" t="s">
        <v>64</v>
      </c>
      <c r="K5398" s="6">
        <v>0.03</v>
      </c>
      <c r="L5398" s="7">
        <f t="shared" si="169"/>
        <v>2E-3</v>
      </c>
      <c r="M5398" s="7">
        <v>3.0000000000000001E-3</v>
      </c>
      <c r="N5398">
        <v>11</v>
      </c>
      <c r="O5398" s="8">
        <v>19.475693895950801</v>
      </c>
      <c r="P5398" s="9">
        <v>19.475693895950801</v>
      </c>
      <c r="Q5398" s="9">
        <v>19.475693895950801</v>
      </c>
      <c r="R5398" s="9">
        <v>20.024452706180426</v>
      </c>
      <c r="S5398" s="9">
        <v>20.875099128492941</v>
      </c>
      <c r="T5398" s="9">
        <v>21.733350185946453</v>
      </c>
      <c r="U5398" s="9">
        <v>23.861555618318132</v>
      </c>
      <c r="V5398" s="9">
        <v>23.861555618318132</v>
      </c>
      <c r="W5398" s="9">
        <v>23.861555618318132</v>
      </c>
      <c r="X5398" s="9">
        <v>26.599525609534091</v>
      </c>
      <c r="Y5398" s="9">
        <v>26.599525609534091</v>
      </c>
      <c r="Z5398" s="9">
        <v>29.424604823442099</v>
      </c>
      <c r="AA5398" s="9">
        <v>29.424604823442099</v>
      </c>
      <c r="AB5398" s="9">
        <v>32.345504182311352</v>
      </c>
      <c r="AC5398" s="9">
        <v>32.345504182311352</v>
      </c>
      <c r="AD5398" s="9">
        <v>37.073967958020759</v>
      </c>
      <c r="AE5398" s="9">
        <v>39.537280452065687</v>
      </c>
      <c r="AF5398" s="9">
        <v>42.115429646064094</v>
      </c>
      <c r="AG5398" s="9">
        <v>42.115429646064094</v>
      </c>
      <c r="AH5398" s="9">
        <v>45.566990204681431</v>
      </c>
      <c r="AI5398" s="9">
        <v>48.2081665036403</v>
      </c>
      <c r="AJ5398" s="9">
        <v>3.0428788910505911</v>
      </c>
    </row>
    <row r="5399" spans="1:36" x14ac:dyDescent="0.25">
      <c r="A5399" t="s">
        <v>5411</v>
      </c>
      <c r="B5399" t="s">
        <v>16</v>
      </c>
      <c r="C5399" t="s">
        <v>17</v>
      </c>
      <c r="D5399">
        <v>89883000</v>
      </c>
      <c r="E5399">
        <v>89884999</v>
      </c>
      <c r="F5399" t="s">
        <v>4889</v>
      </c>
      <c r="G5399" t="str">
        <f t="shared" si="168"/>
        <v>SCI II</v>
      </c>
      <c r="H5399" t="s">
        <v>4654</v>
      </c>
      <c r="I5399" t="s">
        <v>20</v>
      </c>
      <c r="J5399" t="s">
        <v>64</v>
      </c>
      <c r="K5399" s="6">
        <v>0.03</v>
      </c>
      <c r="L5399" s="7">
        <f t="shared" si="169"/>
        <v>2E-3</v>
      </c>
      <c r="M5399" s="7">
        <v>3.0000000000000001E-3</v>
      </c>
      <c r="N5399">
        <v>11</v>
      </c>
      <c r="O5399" s="8">
        <v>19.475693895950801</v>
      </c>
      <c r="P5399" s="9">
        <v>19.475693895950801</v>
      </c>
      <c r="Q5399" s="9">
        <v>19.475693895950801</v>
      </c>
      <c r="R5399" s="9">
        <v>20.024452706180426</v>
      </c>
      <c r="S5399" s="9">
        <v>20.875099128492941</v>
      </c>
      <c r="T5399" s="9">
        <v>21.733350185946453</v>
      </c>
      <c r="U5399" s="9">
        <v>23.861555618318132</v>
      </c>
      <c r="V5399" s="9">
        <v>23.861555618318132</v>
      </c>
      <c r="W5399" s="9">
        <v>23.861555618318132</v>
      </c>
      <c r="X5399" s="9">
        <v>26.599525609534091</v>
      </c>
      <c r="Y5399" s="9">
        <v>26.599525609534091</v>
      </c>
      <c r="Z5399" s="9">
        <v>29.424604823442099</v>
      </c>
      <c r="AA5399" s="9">
        <v>29.424604823442099</v>
      </c>
      <c r="AB5399" s="9">
        <v>32.345504182311352</v>
      </c>
      <c r="AC5399" s="9">
        <v>32.345504182311352</v>
      </c>
      <c r="AD5399" s="9">
        <v>37.073967958020759</v>
      </c>
      <c r="AE5399" s="9">
        <v>39.537280452065687</v>
      </c>
      <c r="AF5399" s="9">
        <v>42.115429646064094</v>
      </c>
      <c r="AG5399" s="9">
        <v>42.115429646064094</v>
      </c>
      <c r="AH5399" s="9">
        <v>45.566990204681431</v>
      </c>
      <c r="AI5399" s="9">
        <v>48.2081665036403</v>
      </c>
      <c r="AJ5399" s="9">
        <v>3.0428788910505911</v>
      </c>
    </row>
    <row r="5400" spans="1:36" x14ac:dyDescent="0.25">
      <c r="A5400" t="s">
        <v>5411</v>
      </c>
      <c r="B5400" t="s">
        <v>16</v>
      </c>
      <c r="C5400" t="s">
        <v>17</v>
      </c>
      <c r="D5400">
        <v>89885000</v>
      </c>
      <c r="E5400">
        <v>89885999</v>
      </c>
      <c r="F5400" t="s">
        <v>4890</v>
      </c>
      <c r="G5400" t="str">
        <f t="shared" si="168"/>
        <v>SCI II</v>
      </c>
      <c r="H5400" t="s">
        <v>4654</v>
      </c>
      <c r="I5400" t="s">
        <v>20</v>
      </c>
      <c r="J5400" t="s">
        <v>64</v>
      </c>
      <c r="K5400" s="6">
        <v>0.03</v>
      </c>
      <c r="L5400" s="7">
        <f t="shared" si="169"/>
        <v>2E-3</v>
      </c>
      <c r="M5400" s="7">
        <v>3.0000000000000001E-3</v>
      </c>
      <c r="N5400">
        <v>11</v>
      </c>
      <c r="O5400" s="8">
        <v>19.475693895950801</v>
      </c>
      <c r="P5400" s="9">
        <v>19.475693895950801</v>
      </c>
      <c r="Q5400" s="9">
        <v>19.475693895950801</v>
      </c>
      <c r="R5400" s="9">
        <v>20.024452706180426</v>
      </c>
      <c r="S5400" s="9">
        <v>20.875099128492941</v>
      </c>
      <c r="T5400" s="9">
        <v>21.733350185946453</v>
      </c>
      <c r="U5400" s="9">
        <v>23.861555618318132</v>
      </c>
      <c r="V5400" s="9">
        <v>23.861555618318132</v>
      </c>
      <c r="W5400" s="9">
        <v>23.861555618318132</v>
      </c>
      <c r="X5400" s="9">
        <v>26.599525609534091</v>
      </c>
      <c r="Y5400" s="9">
        <v>26.599525609534091</v>
      </c>
      <c r="Z5400" s="9">
        <v>29.424604823442099</v>
      </c>
      <c r="AA5400" s="9">
        <v>29.424604823442099</v>
      </c>
      <c r="AB5400" s="9">
        <v>32.345504182311352</v>
      </c>
      <c r="AC5400" s="9">
        <v>32.345504182311352</v>
      </c>
      <c r="AD5400" s="9">
        <v>37.073967958020759</v>
      </c>
      <c r="AE5400" s="9">
        <v>39.537280452065687</v>
      </c>
      <c r="AF5400" s="9">
        <v>42.115429646064094</v>
      </c>
      <c r="AG5400" s="9">
        <v>42.115429646064094</v>
      </c>
      <c r="AH5400" s="9">
        <v>45.566990204681431</v>
      </c>
      <c r="AI5400" s="9">
        <v>48.2081665036403</v>
      </c>
      <c r="AJ5400" s="9">
        <v>3.0428788910505911</v>
      </c>
    </row>
    <row r="5401" spans="1:36" x14ac:dyDescent="0.25">
      <c r="A5401" t="s">
        <v>5411</v>
      </c>
      <c r="B5401" t="s">
        <v>16</v>
      </c>
      <c r="C5401" t="s">
        <v>17</v>
      </c>
      <c r="D5401">
        <v>89886000</v>
      </c>
      <c r="E5401">
        <v>89886999</v>
      </c>
      <c r="F5401" t="s">
        <v>4891</v>
      </c>
      <c r="G5401" t="str">
        <f t="shared" si="168"/>
        <v>SCI II</v>
      </c>
      <c r="H5401" t="s">
        <v>4654</v>
      </c>
      <c r="I5401" t="s">
        <v>20</v>
      </c>
      <c r="J5401" t="s">
        <v>64</v>
      </c>
      <c r="K5401" s="6">
        <v>0.03</v>
      </c>
      <c r="L5401" s="7">
        <f t="shared" si="169"/>
        <v>2E-3</v>
      </c>
      <c r="M5401" s="7">
        <v>3.0000000000000001E-3</v>
      </c>
      <c r="N5401">
        <v>11</v>
      </c>
      <c r="O5401" s="8">
        <v>19.475693895950801</v>
      </c>
      <c r="P5401" s="9">
        <v>19.475693895950801</v>
      </c>
      <c r="Q5401" s="9">
        <v>19.475693895950801</v>
      </c>
      <c r="R5401" s="9">
        <v>20.024452706180426</v>
      </c>
      <c r="S5401" s="9">
        <v>20.875099128492941</v>
      </c>
      <c r="T5401" s="9">
        <v>21.733350185946453</v>
      </c>
      <c r="U5401" s="9">
        <v>23.861555618318132</v>
      </c>
      <c r="V5401" s="9">
        <v>23.861555618318132</v>
      </c>
      <c r="W5401" s="9">
        <v>23.861555618318132</v>
      </c>
      <c r="X5401" s="9">
        <v>26.599525609534091</v>
      </c>
      <c r="Y5401" s="9">
        <v>26.599525609534091</v>
      </c>
      <c r="Z5401" s="9">
        <v>29.424604823442099</v>
      </c>
      <c r="AA5401" s="9">
        <v>29.424604823442099</v>
      </c>
      <c r="AB5401" s="9">
        <v>32.345504182311352</v>
      </c>
      <c r="AC5401" s="9">
        <v>32.345504182311352</v>
      </c>
      <c r="AD5401" s="9">
        <v>37.073967958020759</v>
      </c>
      <c r="AE5401" s="9">
        <v>39.537280452065687</v>
      </c>
      <c r="AF5401" s="9">
        <v>42.115429646064094</v>
      </c>
      <c r="AG5401" s="9">
        <v>42.115429646064094</v>
      </c>
      <c r="AH5401" s="9">
        <v>45.566990204681431</v>
      </c>
      <c r="AI5401" s="9">
        <v>48.2081665036403</v>
      </c>
      <c r="AJ5401" s="9">
        <v>3.0428788910505911</v>
      </c>
    </row>
    <row r="5402" spans="1:36" x14ac:dyDescent="0.25">
      <c r="A5402" t="s">
        <v>5411</v>
      </c>
      <c r="B5402" t="s">
        <v>16</v>
      </c>
      <c r="C5402" t="s">
        <v>17</v>
      </c>
      <c r="D5402">
        <v>89887000</v>
      </c>
      <c r="E5402">
        <v>89887999</v>
      </c>
      <c r="F5402" t="s">
        <v>4892</v>
      </c>
      <c r="G5402" t="str">
        <f t="shared" si="168"/>
        <v>SCI II</v>
      </c>
      <c r="H5402" t="s">
        <v>4654</v>
      </c>
      <c r="I5402" t="s">
        <v>20</v>
      </c>
      <c r="J5402" t="s">
        <v>64</v>
      </c>
      <c r="K5402" s="6">
        <v>0.03</v>
      </c>
      <c r="L5402" s="7">
        <f t="shared" si="169"/>
        <v>2E-3</v>
      </c>
      <c r="M5402" s="7">
        <v>3.0000000000000001E-3</v>
      </c>
      <c r="N5402">
        <v>11</v>
      </c>
      <c r="O5402" s="8">
        <v>19.475693895950801</v>
      </c>
      <c r="P5402" s="9">
        <v>19.475693895950801</v>
      </c>
      <c r="Q5402" s="9">
        <v>19.475693895950801</v>
      </c>
      <c r="R5402" s="9">
        <v>20.024452706180426</v>
      </c>
      <c r="S5402" s="9">
        <v>20.875099128492941</v>
      </c>
      <c r="T5402" s="9">
        <v>21.733350185946453</v>
      </c>
      <c r="U5402" s="9">
        <v>23.861555618318132</v>
      </c>
      <c r="V5402" s="9">
        <v>23.861555618318132</v>
      </c>
      <c r="W5402" s="9">
        <v>23.861555618318132</v>
      </c>
      <c r="X5402" s="9">
        <v>26.599525609534091</v>
      </c>
      <c r="Y5402" s="9">
        <v>26.599525609534091</v>
      </c>
      <c r="Z5402" s="9">
        <v>29.424604823442099</v>
      </c>
      <c r="AA5402" s="9">
        <v>29.424604823442099</v>
      </c>
      <c r="AB5402" s="9">
        <v>32.345504182311352</v>
      </c>
      <c r="AC5402" s="9">
        <v>32.345504182311352</v>
      </c>
      <c r="AD5402" s="9">
        <v>37.073967958020759</v>
      </c>
      <c r="AE5402" s="9">
        <v>39.537280452065687</v>
      </c>
      <c r="AF5402" s="9">
        <v>42.115429646064094</v>
      </c>
      <c r="AG5402" s="9">
        <v>42.115429646064094</v>
      </c>
      <c r="AH5402" s="9">
        <v>45.566990204681431</v>
      </c>
      <c r="AI5402" s="9">
        <v>48.2081665036403</v>
      </c>
      <c r="AJ5402" s="9">
        <v>3.0428788910505911</v>
      </c>
    </row>
    <row r="5403" spans="1:36" x14ac:dyDescent="0.25">
      <c r="A5403" t="s">
        <v>5411</v>
      </c>
      <c r="B5403" t="s">
        <v>16</v>
      </c>
      <c r="C5403" t="s">
        <v>17</v>
      </c>
      <c r="D5403">
        <v>89888000</v>
      </c>
      <c r="E5403">
        <v>89889999</v>
      </c>
      <c r="F5403" t="s">
        <v>4893</v>
      </c>
      <c r="G5403" t="str">
        <f t="shared" si="168"/>
        <v>SCI II</v>
      </c>
      <c r="H5403" t="s">
        <v>4654</v>
      </c>
      <c r="I5403" t="s">
        <v>20</v>
      </c>
      <c r="J5403" t="s">
        <v>64</v>
      </c>
      <c r="K5403" s="6">
        <v>0.03</v>
      </c>
      <c r="L5403" s="7">
        <f t="shared" si="169"/>
        <v>2E-3</v>
      </c>
      <c r="M5403" s="7">
        <v>3.0000000000000001E-3</v>
      </c>
      <c r="N5403">
        <v>11</v>
      </c>
      <c r="O5403" s="8">
        <v>19.475693895950801</v>
      </c>
      <c r="P5403" s="9">
        <v>19.475693895950801</v>
      </c>
      <c r="Q5403" s="9">
        <v>19.475693895950801</v>
      </c>
      <c r="R5403" s="9">
        <v>20.024452706180426</v>
      </c>
      <c r="S5403" s="9">
        <v>20.875099128492941</v>
      </c>
      <c r="T5403" s="9">
        <v>21.733350185946453</v>
      </c>
      <c r="U5403" s="9">
        <v>23.861555618318132</v>
      </c>
      <c r="V5403" s="9">
        <v>23.861555618318132</v>
      </c>
      <c r="W5403" s="9">
        <v>23.861555618318132</v>
      </c>
      <c r="X5403" s="9">
        <v>26.599525609534091</v>
      </c>
      <c r="Y5403" s="9">
        <v>26.599525609534091</v>
      </c>
      <c r="Z5403" s="9">
        <v>29.424604823442099</v>
      </c>
      <c r="AA5403" s="9">
        <v>29.424604823442099</v>
      </c>
      <c r="AB5403" s="9">
        <v>32.345504182311352</v>
      </c>
      <c r="AC5403" s="9">
        <v>32.345504182311352</v>
      </c>
      <c r="AD5403" s="9">
        <v>37.073967958020759</v>
      </c>
      <c r="AE5403" s="9">
        <v>39.537280452065687</v>
      </c>
      <c r="AF5403" s="9">
        <v>42.115429646064094</v>
      </c>
      <c r="AG5403" s="9">
        <v>42.115429646064094</v>
      </c>
      <c r="AH5403" s="9">
        <v>45.566990204681431</v>
      </c>
      <c r="AI5403" s="9">
        <v>48.2081665036403</v>
      </c>
      <c r="AJ5403" s="9">
        <v>3.0428788910505911</v>
      </c>
    </row>
    <row r="5404" spans="1:36" x14ac:dyDescent="0.25">
      <c r="A5404" t="s">
        <v>5411</v>
      </c>
      <c r="B5404" t="s">
        <v>16</v>
      </c>
      <c r="C5404" t="s">
        <v>17</v>
      </c>
      <c r="D5404">
        <v>89890000</v>
      </c>
      <c r="E5404">
        <v>89890999</v>
      </c>
      <c r="F5404" t="s">
        <v>4894</v>
      </c>
      <c r="G5404" t="str">
        <f t="shared" si="168"/>
        <v>SCI II</v>
      </c>
      <c r="H5404" t="s">
        <v>4654</v>
      </c>
      <c r="I5404" t="s">
        <v>20</v>
      </c>
      <c r="J5404" t="s">
        <v>64</v>
      </c>
      <c r="K5404" s="6">
        <v>0.03</v>
      </c>
      <c r="L5404" s="7">
        <f t="shared" si="169"/>
        <v>2E-3</v>
      </c>
      <c r="M5404" s="7">
        <v>3.0000000000000001E-3</v>
      </c>
      <c r="N5404">
        <v>11</v>
      </c>
      <c r="O5404" s="8">
        <v>19.475693895950801</v>
      </c>
      <c r="P5404" s="9">
        <v>19.475693895950801</v>
      </c>
      <c r="Q5404" s="9">
        <v>19.475693895950801</v>
      </c>
      <c r="R5404" s="9">
        <v>20.024452706180426</v>
      </c>
      <c r="S5404" s="9">
        <v>20.875099128492941</v>
      </c>
      <c r="T5404" s="9">
        <v>21.733350185946453</v>
      </c>
      <c r="U5404" s="9">
        <v>23.861555618318132</v>
      </c>
      <c r="V5404" s="9">
        <v>23.861555618318132</v>
      </c>
      <c r="W5404" s="9">
        <v>23.861555618318132</v>
      </c>
      <c r="X5404" s="9">
        <v>26.599525609534091</v>
      </c>
      <c r="Y5404" s="9">
        <v>26.599525609534091</v>
      </c>
      <c r="Z5404" s="9">
        <v>29.424604823442099</v>
      </c>
      <c r="AA5404" s="9">
        <v>29.424604823442099</v>
      </c>
      <c r="AB5404" s="9">
        <v>32.345504182311352</v>
      </c>
      <c r="AC5404" s="9">
        <v>32.345504182311352</v>
      </c>
      <c r="AD5404" s="9">
        <v>37.073967958020759</v>
      </c>
      <c r="AE5404" s="9">
        <v>39.537280452065687</v>
      </c>
      <c r="AF5404" s="9">
        <v>42.115429646064094</v>
      </c>
      <c r="AG5404" s="9">
        <v>42.115429646064094</v>
      </c>
      <c r="AH5404" s="9">
        <v>45.566990204681431</v>
      </c>
      <c r="AI5404" s="9">
        <v>48.2081665036403</v>
      </c>
      <c r="AJ5404" s="9">
        <v>3.0428788910505911</v>
      </c>
    </row>
    <row r="5405" spans="1:36" x14ac:dyDescent="0.25">
      <c r="A5405" t="s">
        <v>5411</v>
      </c>
      <c r="B5405" t="s">
        <v>16</v>
      </c>
      <c r="C5405" t="s">
        <v>17</v>
      </c>
      <c r="D5405">
        <v>89891000</v>
      </c>
      <c r="E5405">
        <v>89892999</v>
      </c>
      <c r="F5405" t="s">
        <v>4895</v>
      </c>
      <c r="G5405" t="str">
        <f t="shared" si="168"/>
        <v>SCI II</v>
      </c>
      <c r="H5405" t="s">
        <v>4654</v>
      </c>
      <c r="I5405" t="s">
        <v>20</v>
      </c>
      <c r="J5405" t="s">
        <v>64</v>
      </c>
      <c r="K5405" s="6">
        <v>0.03</v>
      </c>
      <c r="L5405" s="7">
        <f t="shared" si="169"/>
        <v>2E-3</v>
      </c>
      <c r="M5405" s="7">
        <v>3.0000000000000001E-3</v>
      </c>
      <c r="N5405">
        <v>11</v>
      </c>
      <c r="O5405" s="8">
        <v>19.475693895950801</v>
      </c>
      <c r="P5405" s="9">
        <v>19.475693895950801</v>
      </c>
      <c r="Q5405" s="9">
        <v>19.475693895950801</v>
      </c>
      <c r="R5405" s="9">
        <v>20.024452706180426</v>
      </c>
      <c r="S5405" s="9">
        <v>20.875099128492941</v>
      </c>
      <c r="T5405" s="9">
        <v>21.733350185946453</v>
      </c>
      <c r="U5405" s="9">
        <v>23.861555618318132</v>
      </c>
      <c r="V5405" s="9">
        <v>23.861555618318132</v>
      </c>
      <c r="W5405" s="9">
        <v>23.861555618318132</v>
      </c>
      <c r="X5405" s="9">
        <v>26.599525609534091</v>
      </c>
      <c r="Y5405" s="9">
        <v>26.599525609534091</v>
      </c>
      <c r="Z5405" s="9">
        <v>29.424604823442099</v>
      </c>
      <c r="AA5405" s="9">
        <v>29.424604823442099</v>
      </c>
      <c r="AB5405" s="9">
        <v>32.345504182311352</v>
      </c>
      <c r="AC5405" s="9">
        <v>32.345504182311352</v>
      </c>
      <c r="AD5405" s="9">
        <v>37.073967958020759</v>
      </c>
      <c r="AE5405" s="9">
        <v>39.537280452065687</v>
      </c>
      <c r="AF5405" s="9">
        <v>42.115429646064094</v>
      </c>
      <c r="AG5405" s="9">
        <v>42.115429646064094</v>
      </c>
      <c r="AH5405" s="9">
        <v>45.566990204681431</v>
      </c>
      <c r="AI5405" s="9">
        <v>48.2081665036403</v>
      </c>
      <c r="AJ5405" s="9">
        <v>3.0428788910505911</v>
      </c>
    </row>
    <row r="5406" spans="1:36" x14ac:dyDescent="0.25">
      <c r="A5406" t="s">
        <v>5411</v>
      </c>
      <c r="B5406" t="s">
        <v>16</v>
      </c>
      <c r="C5406" t="s">
        <v>17</v>
      </c>
      <c r="D5406">
        <v>89893000</v>
      </c>
      <c r="E5406">
        <v>89894999</v>
      </c>
      <c r="F5406" t="s">
        <v>4896</v>
      </c>
      <c r="G5406" t="str">
        <f t="shared" si="168"/>
        <v>SCI II</v>
      </c>
      <c r="H5406" t="s">
        <v>4654</v>
      </c>
      <c r="I5406" t="s">
        <v>20</v>
      </c>
      <c r="J5406" t="s">
        <v>64</v>
      </c>
      <c r="K5406" s="6">
        <v>0.03</v>
      </c>
      <c r="L5406" s="7">
        <f t="shared" si="169"/>
        <v>2E-3</v>
      </c>
      <c r="M5406" s="7">
        <v>3.0000000000000001E-3</v>
      </c>
      <c r="N5406">
        <v>11</v>
      </c>
      <c r="O5406" s="8">
        <v>19.475693895950801</v>
      </c>
      <c r="P5406" s="9">
        <v>19.475693895950801</v>
      </c>
      <c r="Q5406" s="9">
        <v>19.475693895950801</v>
      </c>
      <c r="R5406" s="9">
        <v>20.024452706180426</v>
      </c>
      <c r="S5406" s="9">
        <v>20.875099128492941</v>
      </c>
      <c r="T5406" s="9">
        <v>21.733350185946453</v>
      </c>
      <c r="U5406" s="9">
        <v>23.861555618318132</v>
      </c>
      <c r="V5406" s="9">
        <v>23.861555618318132</v>
      </c>
      <c r="W5406" s="9">
        <v>23.861555618318132</v>
      </c>
      <c r="X5406" s="9">
        <v>26.599525609534091</v>
      </c>
      <c r="Y5406" s="9">
        <v>26.599525609534091</v>
      </c>
      <c r="Z5406" s="9">
        <v>29.424604823442099</v>
      </c>
      <c r="AA5406" s="9">
        <v>29.424604823442099</v>
      </c>
      <c r="AB5406" s="9">
        <v>32.345504182311352</v>
      </c>
      <c r="AC5406" s="9">
        <v>32.345504182311352</v>
      </c>
      <c r="AD5406" s="9">
        <v>37.073967958020759</v>
      </c>
      <c r="AE5406" s="9">
        <v>39.537280452065687</v>
      </c>
      <c r="AF5406" s="9">
        <v>42.115429646064094</v>
      </c>
      <c r="AG5406" s="9">
        <v>42.115429646064094</v>
      </c>
      <c r="AH5406" s="9">
        <v>45.566990204681431</v>
      </c>
      <c r="AI5406" s="9">
        <v>48.2081665036403</v>
      </c>
      <c r="AJ5406" s="9">
        <v>3.0428788910505911</v>
      </c>
    </row>
    <row r="5407" spans="1:36" x14ac:dyDescent="0.25">
      <c r="A5407" t="s">
        <v>5411</v>
      </c>
      <c r="B5407" t="s">
        <v>16</v>
      </c>
      <c r="C5407" t="s">
        <v>17</v>
      </c>
      <c r="D5407">
        <v>89895000</v>
      </c>
      <c r="E5407">
        <v>89895999</v>
      </c>
      <c r="F5407" t="s">
        <v>4897</v>
      </c>
      <c r="G5407" t="str">
        <f t="shared" si="168"/>
        <v>SCI II</v>
      </c>
      <c r="H5407" t="s">
        <v>4654</v>
      </c>
      <c r="I5407" t="s">
        <v>20</v>
      </c>
      <c r="J5407" t="s">
        <v>64</v>
      </c>
      <c r="K5407" s="6">
        <v>0.03</v>
      </c>
      <c r="L5407" s="7">
        <f t="shared" si="169"/>
        <v>2E-3</v>
      </c>
      <c r="M5407" s="7">
        <v>3.0000000000000001E-3</v>
      </c>
      <c r="N5407">
        <v>11</v>
      </c>
      <c r="O5407" s="8">
        <v>19.475693895950801</v>
      </c>
      <c r="P5407" s="9">
        <v>19.475693895950801</v>
      </c>
      <c r="Q5407" s="9">
        <v>19.475693895950801</v>
      </c>
      <c r="R5407" s="9">
        <v>20.024452706180426</v>
      </c>
      <c r="S5407" s="9">
        <v>20.875099128492941</v>
      </c>
      <c r="T5407" s="9">
        <v>21.733350185946453</v>
      </c>
      <c r="U5407" s="9">
        <v>23.861555618318132</v>
      </c>
      <c r="V5407" s="9">
        <v>23.861555618318132</v>
      </c>
      <c r="W5407" s="9">
        <v>23.861555618318132</v>
      </c>
      <c r="X5407" s="9">
        <v>26.599525609534091</v>
      </c>
      <c r="Y5407" s="9">
        <v>26.599525609534091</v>
      </c>
      <c r="Z5407" s="9">
        <v>29.424604823442099</v>
      </c>
      <c r="AA5407" s="9">
        <v>29.424604823442099</v>
      </c>
      <c r="AB5407" s="9">
        <v>32.345504182311352</v>
      </c>
      <c r="AC5407" s="9">
        <v>32.345504182311352</v>
      </c>
      <c r="AD5407" s="9">
        <v>37.073967958020759</v>
      </c>
      <c r="AE5407" s="9">
        <v>39.537280452065687</v>
      </c>
      <c r="AF5407" s="9">
        <v>42.115429646064094</v>
      </c>
      <c r="AG5407" s="9">
        <v>42.115429646064094</v>
      </c>
      <c r="AH5407" s="9">
        <v>45.566990204681431</v>
      </c>
      <c r="AI5407" s="9">
        <v>48.2081665036403</v>
      </c>
      <c r="AJ5407" s="9">
        <v>3.0428788910505911</v>
      </c>
    </row>
    <row r="5408" spans="1:36" x14ac:dyDescent="0.25">
      <c r="A5408" t="s">
        <v>5411</v>
      </c>
      <c r="B5408" t="s">
        <v>16</v>
      </c>
      <c r="C5408" t="s">
        <v>17</v>
      </c>
      <c r="D5408">
        <v>89896000</v>
      </c>
      <c r="E5408">
        <v>89896999</v>
      </c>
      <c r="F5408" t="s">
        <v>3577</v>
      </c>
      <c r="G5408" t="str">
        <f t="shared" si="168"/>
        <v>SCI II</v>
      </c>
      <c r="H5408" t="s">
        <v>4654</v>
      </c>
      <c r="I5408" t="s">
        <v>20</v>
      </c>
      <c r="J5408" t="s">
        <v>64</v>
      </c>
      <c r="K5408" s="6">
        <v>0.03</v>
      </c>
      <c r="L5408" s="7">
        <f t="shared" si="169"/>
        <v>2E-3</v>
      </c>
      <c r="M5408" s="7">
        <v>3.0000000000000001E-3</v>
      </c>
      <c r="N5408">
        <v>11</v>
      </c>
      <c r="O5408" s="8">
        <v>19.475693895950801</v>
      </c>
      <c r="P5408" s="9">
        <v>19.475693895950801</v>
      </c>
      <c r="Q5408" s="9">
        <v>19.475693895950801</v>
      </c>
      <c r="R5408" s="9">
        <v>20.024452706180426</v>
      </c>
      <c r="S5408" s="9">
        <v>20.875099128492941</v>
      </c>
      <c r="T5408" s="9">
        <v>21.733350185946453</v>
      </c>
      <c r="U5408" s="9">
        <v>23.861555618318132</v>
      </c>
      <c r="V5408" s="9">
        <v>23.861555618318132</v>
      </c>
      <c r="W5408" s="9">
        <v>23.861555618318132</v>
      </c>
      <c r="X5408" s="9">
        <v>26.599525609534091</v>
      </c>
      <c r="Y5408" s="9">
        <v>26.599525609534091</v>
      </c>
      <c r="Z5408" s="9">
        <v>29.424604823442099</v>
      </c>
      <c r="AA5408" s="9">
        <v>29.424604823442099</v>
      </c>
      <c r="AB5408" s="9">
        <v>32.345504182311352</v>
      </c>
      <c r="AC5408" s="9">
        <v>32.345504182311352</v>
      </c>
      <c r="AD5408" s="9">
        <v>37.073967958020759</v>
      </c>
      <c r="AE5408" s="9">
        <v>39.537280452065687</v>
      </c>
      <c r="AF5408" s="9">
        <v>42.115429646064094</v>
      </c>
      <c r="AG5408" s="9">
        <v>42.115429646064094</v>
      </c>
      <c r="AH5408" s="9">
        <v>45.566990204681431</v>
      </c>
      <c r="AI5408" s="9">
        <v>48.2081665036403</v>
      </c>
      <c r="AJ5408" s="9">
        <v>3.0428788910505911</v>
      </c>
    </row>
    <row r="5409" spans="1:36" x14ac:dyDescent="0.25">
      <c r="A5409" t="s">
        <v>5411</v>
      </c>
      <c r="B5409" t="s">
        <v>16</v>
      </c>
      <c r="C5409" t="s">
        <v>17</v>
      </c>
      <c r="D5409">
        <v>89897000</v>
      </c>
      <c r="E5409">
        <v>89897999</v>
      </c>
      <c r="F5409" t="s">
        <v>4898</v>
      </c>
      <c r="G5409" t="str">
        <f t="shared" si="168"/>
        <v>SCI II</v>
      </c>
      <c r="H5409" t="s">
        <v>4654</v>
      </c>
      <c r="I5409" t="s">
        <v>20</v>
      </c>
      <c r="J5409" t="s">
        <v>64</v>
      </c>
      <c r="K5409" s="6">
        <v>0.03</v>
      </c>
      <c r="L5409" s="7">
        <f t="shared" si="169"/>
        <v>2E-3</v>
      </c>
      <c r="M5409" s="7">
        <v>3.0000000000000001E-3</v>
      </c>
      <c r="N5409">
        <v>10</v>
      </c>
      <c r="O5409" s="8">
        <v>19.475693895950801</v>
      </c>
      <c r="P5409" s="9">
        <v>19.475693895950801</v>
      </c>
      <c r="Q5409" s="9">
        <v>19.475693895950801</v>
      </c>
      <c r="R5409" s="9">
        <v>20.024452706180426</v>
      </c>
      <c r="S5409" s="9">
        <v>20.875099128492941</v>
      </c>
      <c r="T5409" s="9">
        <v>21.733350185946453</v>
      </c>
      <c r="U5409" s="9">
        <v>23.861555618318132</v>
      </c>
      <c r="V5409" s="9">
        <v>23.861555618318132</v>
      </c>
      <c r="W5409" s="9">
        <v>23.861555618318132</v>
      </c>
      <c r="X5409" s="9">
        <v>26.599525609534091</v>
      </c>
      <c r="Y5409" s="9">
        <v>26.599525609534091</v>
      </c>
      <c r="Z5409" s="9">
        <v>29.424604823442099</v>
      </c>
      <c r="AA5409" s="9">
        <v>29.424604823442099</v>
      </c>
      <c r="AB5409" s="9">
        <v>32.345504182311352</v>
      </c>
      <c r="AC5409" s="9">
        <v>32.345504182311352</v>
      </c>
      <c r="AD5409" s="9">
        <v>37.073967958020759</v>
      </c>
      <c r="AE5409" s="9">
        <v>39.537280452065687</v>
      </c>
      <c r="AF5409" s="9">
        <v>42.115429646064094</v>
      </c>
      <c r="AG5409" s="9">
        <v>42.115429646064094</v>
      </c>
      <c r="AH5409" s="9">
        <v>45.566990204681431</v>
      </c>
      <c r="AI5409" s="9">
        <v>48.2081665036403</v>
      </c>
      <c r="AJ5409" s="9">
        <v>3.0428788910505911</v>
      </c>
    </row>
    <row r="5410" spans="1:36" x14ac:dyDescent="0.25">
      <c r="A5410" t="s">
        <v>5411</v>
      </c>
      <c r="B5410" t="s">
        <v>16</v>
      </c>
      <c r="C5410" t="s">
        <v>17</v>
      </c>
      <c r="D5410">
        <v>89898000</v>
      </c>
      <c r="E5410">
        <v>89898999</v>
      </c>
      <c r="F5410" t="s">
        <v>4899</v>
      </c>
      <c r="G5410" t="str">
        <f t="shared" si="168"/>
        <v>SCI II</v>
      </c>
      <c r="H5410" t="s">
        <v>4654</v>
      </c>
      <c r="I5410" t="s">
        <v>20</v>
      </c>
      <c r="J5410" t="s">
        <v>64</v>
      </c>
      <c r="K5410" s="6">
        <v>0.03</v>
      </c>
      <c r="L5410" s="7">
        <f t="shared" si="169"/>
        <v>2E-3</v>
      </c>
      <c r="M5410" s="7">
        <v>3.0000000000000001E-3</v>
      </c>
      <c r="N5410">
        <v>11</v>
      </c>
      <c r="O5410" s="8">
        <v>19.475693895950801</v>
      </c>
      <c r="P5410" s="9">
        <v>19.475693895950801</v>
      </c>
      <c r="Q5410" s="9">
        <v>19.475693895950801</v>
      </c>
      <c r="R5410" s="9">
        <v>20.024452706180426</v>
      </c>
      <c r="S5410" s="9">
        <v>20.875099128492941</v>
      </c>
      <c r="T5410" s="9">
        <v>21.733350185946453</v>
      </c>
      <c r="U5410" s="9">
        <v>23.861555618318132</v>
      </c>
      <c r="V5410" s="9">
        <v>23.861555618318132</v>
      </c>
      <c r="W5410" s="9">
        <v>23.861555618318132</v>
      </c>
      <c r="X5410" s="9">
        <v>26.599525609534091</v>
      </c>
      <c r="Y5410" s="9">
        <v>26.599525609534091</v>
      </c>
      <c r="Z5410" s="9">
        <v>29.424604823442099</v>
      </c>
      <c r="AA5410" s="9">
        <v>29.424604823442099</v>
      </c>
      <c r="AB5410" s="9">
        <v>32.345504182311352</v>
      </c>
      <c r="AC5410" s="9">
        <v>32.345504182311352</v>
      </c>
      <c r="AD5410" s="9">
        <v>37.073967958020759</v>
      </c>
      <c r="AE5410" s="9">
        <v>39.537280452065687</v>
      </c>
      <c r="AF5410" s="9">
        <v>42.115429646064094</v>
      </c>
      <c r="AG5410" s="9">
        <v>42.115429646064094</v>
      </c>
      <c r="AH5410" s="9">
        <v>45.566990204681431</v>
      </c>
      <c r="AI5410" s="9">
        <v>48.2081665036403</v>
      </c>
      <c r="AJ5410" s="9">
        <v>3.0428788910505911</v>
      </c>
    </row>
    <row r="5411" spans="1:36" x14ac:dyDescent="0.25">
      <c r="A5411" t="s">
        <v>5411</v>
      </c>
      <c r="B5411" t="s">
        <v>16</v>
      </c>
      <c r="C5411" t="s">
        <v>17</v>
      </c>
      <c r="D5411">
        <v>89899000</v>
      </c>
      <c r="E5411">
        <v>89899999</v>
      </c>
      <c r="F5411" t="s">
        <v>4900</v>
      </c>
      <c r="G5411" t="str">
        <f t="shared" si="168"/>
        <v>SCI II</v>
      </c>
      <c r="H5411" t="s">
        <v>4654</v>
      </c>
      <c r="I5411" t="s">
        <v>20</v>
      </c>
      <c r="J5411" t="s">
        <v>64</v>
      </c>
      <c r="K5411" s="6">
        <v>0.03</v>
      </c>
      <c r="L5411" s="7">
        <f t="shared" si="169"/>
        <v>2E-3</v>
      </c>
      <c r="M5411" s="7">
        <v>3.0000000000000001E-3</v>
      </c>
      <c r="N5411">
        <v>11</v>
      </c>
      <c r="O5411" s="8">
        <v>19.475693895950801</v>
      </c>
      <c r="P5411" s="9">
        <v>19.475693895950801</v>
      </c>
      <c r="Q5411" s="9">
        <v>19.475693895950801</v>
      </c>
      <c r="R5411" s="9">
        <v>20.024452706180426</v>
      </c>
      <c r="S5411" s="9">
        <v>20.875099128492941</v>
      </c>
      <c r="T5411" s="9">
        <v>21.733350185946453</v>
      </c>
      <c r="U5411" s="9">
        <v>23.861555618318132</v>
      </c>
      <c r="V5411" s="9">
        <v>23.861555618318132</v>
      </c>
      <c r="W5411" s="9">
        <v>23.861555618318132</v>
      </c>
      <c r="X5411" s="9">
        <v>26.599525609534091</v>
      </c>
      <c r="Y5411" s="9">
        <v>26.599525609534091</v>
      </c>
      <c r="Z5411" s="9">
        <v>29.424604823442099</v>
      </c>
      <c r="AA5411" s="9">
        <v>29.424604823442099</v>
      </c>
      <c r="AB5411" s="9">
        <v>32.345504182311352</v>
      </c>
      <c r="AC5411" s="9">
        <v>32.345504182311352</v>
      </c>
      <c r="AD5411" s="9">
        <v>37.073967958020759</v>
      </c>
      <c r="AE5411" s="9">
        <v>39.537280452065687</v>
      </c>
      <c r="AF5411" s="9">
        <v>42.115429646064094</v>
      </c>
      <c r="AG5411" s="9">
        <v>42.115429646064094</v>
      </c>
      <c r="AH5411" s="9">
        <v>45.566990204681431</v>
      </c>
      <c r="AI5411" s="9">
        <v>48.2081665036403</v>
      </c>
      <c r="AJ5411" s="9">
        <v>3.0428788910505911</v>
      </c>
    </row>
    <row r="5412" spans="1:36" x14ac:dyDescent="0.25">
      <c r="A5412" t="s">
        <v>5411</v>
      </c>
      <c r="B5412" t="s">
        <v>16</v>
      </c>
      <c r="C5412" t="s">
        <v>17</v>
      </c>
      <c r="D5412">
        <v>89900000</v>
      </c>
      <c r="E5412">
        <v>89904999</v>
      </c>
      <c r="F5412" t="s">
        <v>4901</v>
      </c>
      <c r="G5412" t="str">
        <f t="shared" si="168"/>
        <v>SCI</v>
      </c>
      <c r="H5412" t="s">
        <v>4654</v>
      </c>
      <c r="I5412" t="s">
        <v>20</v>
      </c>
      <c r="J5412" t="s">
        <v>62</v>
      </c>
      <c r="K5412" s="6">
        <v>0.03</v>
      </c>
      <c r="L5412" s="7">
        <f t="shared" si="169"/>
        <v>2E-3</v>
      </c>
      <c r="M5412" s="7">
        <v>3.0000000000000001E-3</v>
      </c>
      <c r="N5412">
        <v>10</v>
      </c>
      <c r="O5412" s="8">
        <v>16.631361039134706</v>
      </c>
      <c r="P5412" s="9">
        <v>16.631361039134706</v>
      </c>
      <c r="Q5412" s="9">
        <v>16.631361039134706</v>
      </c>
      <c r="R5412" s="9">
        <v>17.060180136455905</v>
      </c>
      <c r="S5412" s="9">
        <v>18.024171003933382</v>
      </c>
      <c r="T5412" s="9">
        <v>18.868116637328029</v>
      </c>
      <c r="U5412" s="9">
        <v>20.58817720770605</v>
      </c>
      <c r="V5412" s="9">
        <v>20.58817720770605</v>
      </c>
      <c r="W5412" s="9">
        <v>20.58817720770605</v>
      </c>
      <c r="X5412" s="9">
        <v>22.864259828555831</v>
      </c>
      <c r="Y5412" s="9">
        <v>22.864259828555831</v>
      </c>
      <c r="Z5412" s="9">
        <v>25.323053608820352</v>
      </c>
      <c r="AA5412" s="9">
        <v>25.323053608820352</v>
      </c>
      <c r="AB5412" s="9">
        <v>28.021815637038035</v>
      </c>
      <c r="AC5412" s="9">
        <v>28.021815637038035</v>
      </c>
      <c r="AD5412" s="9">
        <v>30.863654196486234</v>
      </c>
      <c r="AE5412" s="9">
        <v>33.866973124126531</v>
      </c>
      <c r="AF5412" s="9">
        <v>37.052606032896897</v>
      </c>
      <c r="AG5412" s="9">
        <v>37.052606032896897</v>
      </c>
      <c r="AH5412" s="9">
        <v>39.965079814445566</v>
      </c>
      <c r="AI5412" s="9">
        <v>42.780649023864797</v>
      </c>
      <c r="AJ5412" s="9">
        <v>3.0428788910505911</v>
      </c>
    </row>
    <row r="5413" spans="1:36" x14ac:dyDescent="0.25">
      <c r="A5413" t="s">
        <v>5411</v>
      </c>
      <c r="B5413" t="s">
        <v>16</v>
      </c>
      <c r="C5413" t="s">
        <v>17</v>
      </c>
      <c r="D5413">
        <v>89905000</v>
      </c>
      <c r="E5413">
        <v>89905999</v>
      </c>
      <c r="F5413" t="s">
        <v>4902</v>
      </c>
      <c r="G5413" t="str">
        <f t="shared" si="168"/>
        <v>SCI II</v>
      </c>
      <c r="H5413" t="s">
        <v>4654</v>
      </c>
      <c r="I5413" t="s">
        <v>20</v>
      </c>
      <c r="J5413" t="s">
        <v>64</v>
      </c>
      <c r="K5413" s="6">
        <v>0.03</v>
      </c>
      <c r="L5413" s="7">
        <f t="shared" si="169"/>
        <v>2E-3</v>
      </c>
      <c r="M5413" s="7">
        <v>3.0000000000000001E-3</v>
      </c>
      <c r="N5413">
        <v>11</v>
      </c>
      <c r="O5413" s="8">
        <v>19.475693895950801</v>
      </c>
      <c r="P5413" s="9">
        <v>19.475693895950801</v>
      </c>
      <c r="Q5413" s="9">
        <v>19.475693895950801</v>
      </c>
      <c r="R5413" s="9">
        <v>20.024452706180426</v>
      </c>
      <c r="S5413" s="9">
        <v>20.875099128492941</v>
      </c>
      <c r="T5413" s="9">
        <v>21.733350185946453</v>
      </c>
      <c r="U5413" s="9">
        <v>23.861555618318132</v>
      </c>
      <c r="V5413" s="9">
        <v>23.861555618318132</v>
      </c>
      <c r="W5413" s="9">
        <v>23.861555618318132</v>
      </c>
      <c r="X5413" s="9">
        <v>26.599525609534091</v>
      </c>
      <c r="Y5413" s="9">
        <v>26.599525609534091</v>
      </c>
      <c r="Z5413" s="9">
        <v>29.424604823442099</v>
      </c>
      <c r="AA5413" s="9">
        <v>29.424604823442099</v>
      </c>
      <c r="AB5413" s="9">
        <v>32.345504182311352</v>
      </c>
      <c r="AC5413" s="9">
        <v>32.345504182311352</v>
      </c>
      <c r="AD5413" s="9">
        <v>37.073967958020759</v>
      </c>
      <c r="AE5413" s="9">
        <v>39.537280452065687</v>
      </c>
      <c r="AF5413" s="9">
        <v>42.115429646064094</v>
      </c>
      <c r="AG5413" s="9">
        <v>42.115429646064094</v>
      </c>
      <c r="AH5413" s="9">
        <v>45.566990204681431</v>
      </c>
      <c r="AI5413" s="9">
        <v>48.2081665036403</v>
      </c>
      <c r="AJ5413" s="9">
        <v>3.0428788910505911</v>
      </c>
    </row>
    <row r="5414" spans="1:36" x14ac:dyDescent="0.25">
      <c r="A5414" t="s">
        <v>5411</v>
      </c>
      <c r="B5414" t="s">
        <v>16</v>
      </c>
      <c r="C5414" t="s">
        <v>17</v>
      </c>
      <c r="D5414">
        <v>89906000</v>
      </c>
      <c r="E5414">
        <v>89907999</v>
      </c>
      <c r="F5414" t="s">
        <v>395</v>
      </c>
      <c r="G5414" t="str">
        <f t="shared" si="168"/>
        <v>SCI II</v>
      </c>
      <c r="H5414" t="s">
        <v>4654</v>
      </c>
      <c r="I5414" t="s">
        <v>20</v>
      </c>
      <c r="J5414" t="s">
        <v>64</v>
      </c>
      <c r="K5414" s="6">
        <v>0.03</v>
      </c>
      <c r="L5414" s="7">
        <f t="shared" si="169"/>
        <v>2E-3</v>
      </c>
      <c r="M5414" s="7">
        <v>3.0000000000000001E-3</v>
      </c>
      <c r="N5414">
        <v>11</v>
      </c>
      <c r="O5414" s="8">
        <v>19.475693895950801</v>
      </c>
      <c r="P5414" s="9">
        <v>19.475693895950801</v>
      </c>
      <c r="Q5414" s="9">
        <v>19.475693895950801</v>
      </c>
      <c r="R5414" s="9">
        <v>20.024452706180426</v>
      </c>
      <c r="S5414" s="9">
        <v>20.875099128492941</v>
      </c>
      <c r="T5414" s="9">
        <v>21.733350185946453</v>
      </c>
      <c r="U5414" s="9">
        <v>23.861555618318132</v>
      </c>
      <c r="V5414" s="9">
        <v>23.861555618318132</v>
      </c>
      <c r="W5414" s="9">
        <v>23.861555618318132</v>
      </c>
      <c r="X5414" s="9">
        <v>26.599525609534091</v>
      </c>
      <c r="Y5414" s="9">
        <v>26.599525609534091</v>
      </c>
      <c r="Z5414" s="9">
        <v>29.424604823442099</v>
      </c>
      <c r="AA5414" s="9">
        <v>29.424604823442099</v>
      </c>
      <c r="AB5414" s="9">
        <v>32.345504182311352</v>
      </c>
      <c r="AC5414" s="9">
        <v>32.345504182311352</v>
      </c>
      <c r="AD5414" s="9">
        <v>37.073967958020759</v>
      </c>
      <c r="AE5414" s="9">
        <v>39.537280452065687</v>
      </c>
      <c r="AF5414" s="9">
        <v>42.115429646064094</v>
      </c>
      <c r="AG5414" s="9">
        <v>42.115429646064094</v>
      </c>
      <c r="AH5414" s="9">
        <v>45.566990204681431</v>
      </c>
      <c r="AI5414" s="9">
        <v>48.2081665036403</v>
      </c>
      <c r="AJ5414" s="9">
        <v>3.0428788910505911</v>
      </c>
    </row>
    <row r="5415" spans="1:36" x14ac:dyDescent="0.25">
      <c r="A5415" t="s">
        <v>5411</v>
      </c>
      <c r="B5415" t="s">
        <v>16</v>
      </c>
      <c r="C5415" t="s">
        <v>17</v>
      </c>
      <c r="D5415">
        <v>89908000</v>
      </c>
      <c r="E5415">
        <v>89908999</v>
      </c>
      <c r="F5415" t="s">
        <v>4903</v>
      </c>
      <c r="G5415" t="str">
        <f t="shared" si="168"/>
        <v>SCI II</v>
      </c>
      <c r="H5415" t="s">
        <v>4654</v>
      </c>
      <c r="I5415" t="s">
        <v>20</v>
      </c>
      <c r="J5415" t="s">
        <v>64</v>
      </c>
      <c r="K5415" s="6">
        <v>0.03</v>
      </c>
      <c r="L5415" s="7">
        <f t="shared" si="169"/>
        <v>2E-3</v>
      </c>
      <c r="M5415" s="7">
        <v>3.0000000000000001E-3</v>
      </c>
      <c r="N5415">
        <v>11</v>
      </c>
      <c r="O5415" s="8">
        <v>19.475693895950801</v>
      </c>
      <c r="P5415" s="9">
        <v>19.475693895950801</v>
      </c>
      <c r="Q5415" s="9">
        <v>19.475693895950801</v>
      </c>
      <c r="R5415" s="9">
        <v>20.024452706180426</v>
      </c>
      <c r="S5415" s="9">
        <v>20.875099128492941</v>
      </c>
      <c r="T5415" s="9">
        <v>21.733350185946453</v>
      </c>
      <c r="U5415" s="9">
        <v>23.861555618318132</v>
      </c>
      <c r="V5415" s="9">
        <v>23.861555618318132</v>
      </c>
      <c r="W5415" s="9">
        <v>23.861555618318132</v>
      </c>
      <c r="X5415" s="9">
        <v>26.599525609534091</v>
      </c>
      <c r="Y5415" s="9">
        <v>26.599525609534091</v>
      </c>
      <c r="Z5415" s="9">
        <v>29.424604823442099</v>
      </c>
      <c r="AA5415" s="9">
        <v>29.424604823442099</v>
      </c>
      <c r="AB5415" s="9">
        <v>32.345504182311352</v>
      </c>
      <c r="AC5415" s="9">
        <v>32.345504182311352</v>
      </c>
      <c r="AD5415" s="9">
        <v>37.073967958020759</v>
      </c>
      <c r="AE5415" s="9">
        <v>39.537280452065687</v>
      </c>
      <c r="AF5415" s="9">
        <v>42.115429646064094</v>
      </c>
      <c r="AG5415" s="9">
        <v>42.115429646064094</v>
      </c>
      <c r="AH5415" s="9">
        <v>45.566990204681431</v>
      </c>
      <c r="AI5415" s="9">
        <v>48.2081665036403</v>
      </c>
      <c r="AJ5415" s="9">
        <v>3.0428788910505911</v>
      </c>
    </row>
    <row r="5416" spans="1:36" x14ac:dyDescent="0.25">
      <c r="A5416" t="s">
        <v>5411</v>
      </c>
      <c r="B5416" t="s">
        <v>16</v>
      </c>
      <c r="C5416" t="s">
        <v>17</v>
      </c>
      <c r="D5416">
        <v>89909000</v>
      </c>
      <c r="E5416">
        <v>89909999</v>
      </c>
      <c r="F5416" t="s">
        <v>472</v>
      </c>
      <c r="G5416" t="str">
        <f t="shared" si="168"/>
        <v>SCI II</v>
      </c>
      <c r="H5416" t="s">
        <v>4654</v>
      </c>
      <c r="I5416" t="s">
        <v>20</v>
      </c>
      <c r="J5416" t="s">
        <v>64</v>
      </c>
      <c r="K5416" s="6">
        <v>0.03</v>
      </c>
      <c r="L5416" s="7">
        <f t="shared" si="169"/>
        <v>2E-3</v>
      </c>
      <c r="M5416" s="7">
        <v>3.0000000000000001E-3</v>
      </c>
      <c r="N5416">
        <v>11</v>
      </c>
      <c r="O5416" s="8">
        <v>19.475693895950801</v>
      </c>
      <c r="P5416" s="9">
        <v>19.475693895950801</v>
      </c>
      <c r="Q5416" s="9">
        <v>19.475693895950801</v>
      </c>
      <c r="R5416" s="9">
        <v>20.024452706180426</v>
      </c>
      <c r="S5416" s="9">
        <v>20.875099128492941</v>
      </c>
      <c r="T5416" s="9">
        <v>21.733350185946453</v>
      </c>
      <c r="U5416" s="9">
        <v>23.861555618318132</v>
      </c>
      <c r="V5416" s="9">
        <v>23.861555618318132</v>
      </c>
      <c r="W5416" s="9">
        <v>23.861555618318132</v>
      </c>
      <c r="X5416" s="9">
        <v>26.599525609534091</v>
      </c>
      <c r="Y5416" s="9">
        <v>26.599525609534091</v>
      </c>
      <c r="Z5416" s="9">
        <v>29.424604823442099</v>
      </c>
      <c r="AA5416" s="9">
        <v>29.424604823442099</v>
      </c>
      <c r="AB5416" s="9">
        <v>32.345504182311352</v>
      </c>
      <c r="AC5416" s="9">
        <v>32.345504182311352</v>
      </c>
      <c r="AD5416" s="9">
        <v>37.073967958020759</v>
      </c>
      <c r="AE5416" s="9">
        <v>39.537280452065687</v>
      </c>
      <c r="AF5416" s="9">
        <v>42.115429646064094</v>
      </c>
      <c r="AG5416" s="9">
        <v>42.115429646064094</v>
      </c>
      <c r="AH5416" s="9">
        <v>45.566990204681431</v>
      </c>
      <c r="AI5416" s="9">
        <v>48.2081665036403</v>
      </c>
      <c r="AJ5416" s="9">
        <v>3.0428788910505911</v>
      </c>
    </row>
    <row r="5417" spans="1:36" x14ac:dyDescent="0.25">
      <c r="A5417" t="s">
        <v>5411</v>
      </c>
      <c r="B5417" t="s">
        <v>16</v>
      </c>
      <c r="C5417" t="s">
        <v>17</v>
      </c>
      <c r="D5417">
        <v>89910000</v>
      </c>
      <c r="E5417">
        <v>89914999</v>
      </c>
      <c r="F5417" t="s">
        <v>4904</v>
      </c>
      <c r="G5417" t="str">
        <f t="shared" si="168"/>
        <v>SCI II</v>
      </c>
      <c r="H5417" t="s">
        <v>4654</v>
      </c>
      <c r="I5417" t="s">
        <v>20</v>
      </c>
      <c r="J5417" t="s">
        <v>64</v>
      </c>
      <c r="K5417" s="6">
        <v>0.03</v>
      </c>
      <c r="L5417" s="7">
        <f t="shared" si="169"/>
        <v>2E-3</v>
      </c>
      <c r="M5417" s="7">
        <v>3.0000000000000001E-3</v>
      </c>
      <c r="N5417">
        <v>11</v>
      </c>
      <c r="O5417" s="8">
        <v>19.475693895950801</v>
      </c>
      <c r="P5417" s="9">
        <v>19.475693895950801</v>
      </c>
      <c r="Q5417" s="9">
        <v>19.475693895950801</v>
      </c>
      <c r="R5417" s="9">
        <v>20.024452706180426</v>
      </c>
      <c r="S5417" s="9">
        <v>20.875099128492941</v>
      </c>
      <c r="T5417" s="9">
        <v>21.733350185946453</v>
      </c>
      <c r="U5417" s="9">
        <v>23.861555618318132</v>
      </c>
      <c r="V5417" s="9">
        <v>23.861555618318132</v>
      </c>
      <c r="W5417" s="9">
        <v>23.861555618318132</v>
      </c>
      <c r="X5417" s="9">
        <v>26.599525609534091</v>
      </c>
      <c r="Y5417" s="9">
        <v>26.599525609534091</v>
      </c>
      <c r="Z5417" s="9">
        <v>29.424604823442099</v>
      </c>
      <c r="AA5417" s="9">
        <v>29.424604823442099</v>
      </c>
      <c r="AB5417" s="9">
        <v>32.345504182311352</v>
      </c>
      <c r="AC5417" s="9">
        <v>32.345504182311352</v>
      </c>
      <c r="AD5417" s="9">
        <v>37.073967958020759</v>
      </c>
      <c r="AE5417" s="9">
        <v>39.537280452065687</v>
      </c>
      <c r="AF5417" s="9">
        <v>42.115429646064094</v>
      </c>
      <c r="AG5417" s="9">
        <v>42.115429646064094</v>
      </c>
      <c r="AH5417" s="9">
        <v>45.566990204681431</v>
      </c>
      <c r="AI5417" s="9">
        <v>48.2081665036403</v>
      </c>
      <c r="AJ5417" s="9">
        <v>3.0428788910505911</v>
      </c>
    </row>
    <row r="5418" spans="1:36" x14ac:dyDescent="0.25">
      <c r="A5418" t="s">
        <v>5411</v>
      </c>
      <c r="B5418" t="s">
        <v>16</v>
      </c>
      <c r="C5418" t="s">
        <v>17</v>
      </c>
      <c r="D5418">
        <v>89915000</v>
      </c>
      <c r="E5418">
        <v>89919999</v>
      </c>
      <c r="F5418" t="s">
        <v>2650</v>
      </c>
      <c r="G5418" t="str">
        <f t="shared" si="168"/>
        <v>SCI II</v>
      </c>
      <c r="H5418" t="s">
        <v>4654</v>
      </c>
      <c r="I5418" t="s">
        <v>20</v>
      </c>
      <c r="J5418" t="s">
        <v>64</v>
      </c>
      <c r="K5418" s="6">
        <v>0.03</v>
      </c>
      <c r="L5418" s="7">
        <f t="shared" si="169"/>
        <v>2E-3</v>
      </c>
      <c r="M5418" s="7">
        <v>3.0000000000000001E-3</v>
      </c>
      <c r="N5418">
        <v>11</v>
      </c>
      <c r="O5418" s="8">
        <v>19.475693895950801</v>
      </c>
      <c r="P5418" s="9">
        <v>19.475693895950801</v>
      </c>
      <c r="Q5418" s="9">
        <v>19.475693895950801</v>
      </c>
      <c r="R5418" s="9">
        <v>20.024452706180426</v>
      </c>
      <c r="S5418" s="9">
        <v>20.875099128492941</v>
      </c>
      <c r="T5418" s="9">
        <v>21.733350185946453</v>
      </c>
      <c r="U5418" s="9">
        <v>23.861555618318132</v>
      </c>
      <c r="V5418" s="9">
        <v>23.861555618318132</v>
      </c>
      <c r="W5418" s="9">
        <v>23.861555618318132</v>
      </c>
      <c r="X5418" s="9">
        <v>26.599525609534091</v>
      </c>
      <c r="Y5418" s="9">
        <v>26.599525609534091</v>
      </c>
      <c r="Z5418" s="9">
        <v>29.424604823442099</v>
      </c>
      <c r="AA5418" s="9">
        <v>29.424604823442099</v>
      </c>
      <c r="AB5418" s="9">
        <v>32.345504182311352</v>
      </c>
      <c r="AC5418" s="9">
        <v>32.345504182311352</v>
      </c>
      <c r="AD5418" s="9">
        <v>37.073967958020759</v>
      </c>
      <c r="AE5418" s="9">
        <v>39.537280452065687</v>
      </c>
      <c r="AF5418" s="9">
        <v>42.115429646064094</v>
      </c>
      <c r="AG5418" s="9">
        <v>42.115429646064094</v>
      </c>
      <c r="AH5418" s="9">
        <v>45.566990204681431</v>
      </c>
      <c r="AI5418" s="9">
        <v>48.2081665036403</v>
      </c>
      <c r="AJ5418" s="9">
        <v>3.0428788910505911</v>
      </c>
    </row>
    <row r="5419" spans="1:36" x14ac:dyDescent="0.25">
      <c r="A5419" t="s">
        <v>5411</v>
      </c>
      <c r="B5419" t="s">
        <v>16</v>
      </c>
      <c r="C5419" t="s">
        <v>17</v>
      </c>
      <c r="D5419">
        <v>89920000</v>
      </c>
      <c r="E5419">
        <v>89924999</v>
      </c>
      <c r="F5419" t="s">
        <v>953</v>
      </c>
      <c r="G5419" t="str">
        <f t="shared" si="168"/>
        <v>SCI II</v>
      </c>
      <c r="H5419" t="s">
        <v>4654</v>
      </c>
      <c r="I5419" t="s">
        <v>20</v>
      </c>
      <c r="J5419" t="s">
        <v>64</v>
      </c>
      <c r="K5419" s="6">
        <v>0.03</v>
      </c>
      <c r="L5419" s="7">
        <f t="shared" si="169"/>
        <v>2E-3</v>
      </c>
      <c r="M5419" s="7">
        <v>3.0000000000000001E-3</v>
      </c>
      <c r="N5419">
        <v>11</v>
      </c>
      <c r="O5419" s="8">
        <v>19.475693895950801</v>
      </c>
      <c r="P5419" s="9">
        <v>19.475693895950801</v>
      </c>
      <c r="Q5419" s="9">
        <v>19.475693895950801</v>
      </c>
      <c r="R5419" s="9">
        <v>20.024452706180426</v>
      </c>
      <c r="S5419" s="9">
        <v>20.875099128492941</v>
      </c>
      <c r="T5419" s="9">
        <v>21.733350185946453</v>
      </c>
      <c r="U5419" s="9">
        <v>23.861555618318132</v>
      </c>
      <c r="V5419" s="9">
        <v>23.861555618318132</v>
      </c>
      <c r="W5419" s="9">
        <v>23.861555618318132</v>
      </c>
      <c r="X5419" s="9">
        <v>26.599525609534091</v>
      </c>
      <c r="Y5419" s="9">
        <v>26.599525609534091</v>
      </c>
      <c r="Z5419" s="9">
        <v>29.424604823442099</v>
      </c>
      <c r="AA5419" s="9">
        <v>29.424604823442099</v>
      </c>
      <c r="AB5419" s="9">
        <v>32.345504182311352</v>
      </c>
      <c r="AC5419" s="9">
        <v>32.345504182311352</v>
      </c>
      <c r="AD5419" s="9">
        <v>37.073967958020759</v>
      </c>
      <c r="AE5419" s="9">
        <v>39.537280452065687</v>
      </c>
      <c r="AF5419" s="9">
        <v>42.115429646064094</v>
      </c>
      <c r="AG5419" s="9">
        <v>42.115429646064094</v>
      </c>
      <c r="AH5419" s="9">
        <v>45.566990204681431</v>
      </c>
      <c r="AI5419" s="9">
        <v>48.2081665036403</v>
      </c>
      <c r="AJ5419" s="9">
        <v>3.0428788910505911</v>
      </c>
    </row>
    <row r="5420" spans="1:36" x14ac:dyDescent="0.25">
      <c r="A5420" t="s">
        <v>5411</v>
      </c>
      <c r="B5420" t="s">
        <v>16</v>
      </c>
      <c r="C5420" t="s">
        <v>17</v>
      </c>
      <c r="D5420">
        <v>89925000</v>
      </c>
      <c r="E5420">
        <v>89929999</v>
      </c>
      <c r="F5420" t="s">
        <v>1894</v>
      </c>
      <c r="G5420" t="str">
        <f t="shared" si="168"/>
        <v>SCI II</v>
      </c>
      <c r="H5420" t="s">
        <v>4654</v>
      </c>
      <c r="I5420" t="s">
        <v>20</v>
      </c>
      <c r="J5420" t="s">
        <v>64</v>
      </c>
      <c r="K5420" s="6">
        <v>0.03</v>
      </c>
      <c r="L5420" s="7">
        <f t="shared" si="169"/>
        <v>2E-3</v>
      </c>
      <c r="M5420" s="7">
        <v>3.0000000000000001E-3</v>
      </c>
      <c r="N5420">
        <v>11</v>
      </c>
      <c r="O5420" s="8">
        <v>19.475693895950801</v>
      </c>
      <c r="P5420" s="9">
        <v>19.475693895950801</v>
      </c>
      <c r="Q5420" s="9">
        <v>19.475693895950801</v>
      </c>
      <c r="R5420" s="9">
        <v>20.024452706180426</v>
      </c>
      <c r="S5420" s="9">
        <v>20.875099128492941</v>
      </c>
      <c r="T5420" s="9">
        <v>21.733350185946453</v>
      </c>
      <c r="U5420" s="9">
        <v>23.861555618318132</v>
      </c>
      <c r="V5420" s="9">
        <v>23.861555618318132</v>
      </c>
      <c r="W5420" s="9">
        <v>23.861555618318132</v>
      </c>
      <c r="X5420" s="9">
        <v>26.599525609534091</v>
      </c>
      <c r="Y5420" s="9">
        <v>26.599525609534091</v>
      </c>
      <c r="Z5420" s="9">
        <v>29.424604823442099</v>
      </c>
      <c r="AA5420" s="9">
        <v>29.424604823442099</v>
      </c>
      <c r="AB5420" s="9">
        <v>32.345504182311352</v>
      </c>
      <c r="AC5420" s="9">
        <v>32.345504182311352</v>
      </c>
      <c r="AD5420" s="9">
        <v>37.073967958020759</v>
      </c>
      <c r="AE5420" s="9">
        <v>39.537280452065687</v>
      </c>
      <c r="AF5420" s="9">
        <v>42.115429646064094</v>
      </c>
      <c r="AG5420" s="9">
        <v>42.115429646064094</v>
      </c>
      <c r="AH5420" s="9">
        <v>45.566990204681431</v>
      </c>
      <c r="AI5420" s="9">
        <v>48.2081665036403</v>
      </c>
      <c r="AJ5420" s="9">
        <v>3.0428788910505911</v>
      </c>
    </row>
    <row r="5421" spans="1:36" x14ac:dyDescent="0.25">
      <c r="A5421" t="s">
        <v>5411</v>
      </c>
      <c r="B5421" t="s">
        <v>16</v>
      </c>
      <c r="C5421" t="s">
        <v>17</v>
      </c>
      <c r="D5421">
        <v>89930000</v>
      </c>
      <c r="E5421">
        <v>89934999</v>
      </c>
      <c r="F5421" t="s">
        <v>4905</v>
      </c>
      <c r="G5421" t="str">
        <f t="shared" si="168"/>
        <v>SCI II</v>
      </c>
      <c r="H5421" t="s">
        <v>4654</v>
      </c>
      <c r="I5421" t="s">
        <v>20</v>
      </c>
      <c r="J5421" t="s">
        <v>64</v>
      </c>
      <c r="K5421" s="6">
        <v>0.03</v>
      </c>
      <c r="L5421" s="7">
        <f t="shared" si="169"/>
        <v>2E-3</v>
      </c>
      <c r="M5421" s="7">
        <v>3.0000000000000001E-3</v>
      </c>
      <c r="N5421">
        <v>11</v>
      </c>
      <c r="O5421" s="8">
        <v>19.475693895950801</v>
      </c>
      <c r="P5421" s="9">
        <v>19.475693895950801</v>
      </c>
      <c r="Q5421" s="9">
        <v>19.475693895950801</v>
      </c>
      <c r="R5421" s="9">
        <v>20.024452706180426</v>
      </c>
      <c r="S5421" s="9">
        <v>20.875099128492941</v>
      </c>
      <c r="T5421" s="9">
        <v>21.733350185946453</v>
      </c>
      <c r="U5421" s="9">
        <v>23.861555618318132</v>
      </c>
      <c r="V5421" s="9">
        <v>23.861555618318132</v>
      </c>
      <c r="W5421" s="9">
        <v>23.861555618318132</v>
      </c>
      <c r="X5421" s="9">
        <v>26.599525609534091</v>
      </c>
      <c r="Y5421" s="9">
        <v>26.599525609534091</v>
      </c>
      <c r="Z5421" s="9">
        <v>29.424604823442099</v>
      </c>
      <c r="AA5421" s="9">
        <v>29.424604823442099</v>
      </c>
      <c r="AB5421" s="9">
        <v>32.345504182311352</v>
      </c>
      <c r="AC5421" s="9">
        <v>32.345504182311352</v>
      </c>
      <c r="AD5421" s="9">
        <v>37.073967958020759</v>
      </c>
      <c r="AE5421" s="9">
        <v>39.537280452065687</v>
      </c>
      <c r="AF5421" s="9">
        <v>42.115429646064094</v>
      </c>
      <c r="AG5421" s="9">
        <v>42.115429646064094</v>
      </c>
      <c r="AH5421" s="9">
        <v>45.566990204681431</v>
      </c>
      <c r="AI5421" s="9">
        <v>48.2081665036403</v>
      </c>
      <c r="AJ5421" s="9">
        <v>3.0428788910505911</v>
      </c>
    </row>
    <row r="5422" spans="1:36" x14ac:dyDescent="0.25">
      <c r="A5422" t="s">
        <v>5411</v>
      </c>
      <c r="B5422" t="s">
        <v>16</v>
      </c>
      <c r="C5422" t="s">
        <v>17</v>
      </c>
      <c r="D5422">
        <v>89935000</v>
      </c>
      <c r="E5422">
        <v>89939999</v>
      </c>
      <c r="F5422" t="s">
        <v>4906</v>
      </c>
      <c r="G5422" t="str">
        <f t="shared" si="168"/>
        <v>SCI II</v>
      </c>
      <c r="H5422" t="s">
        <v>4654</v>
      </c>
      <c r="I5422" t="s">
        <v>20</v>
      </c>
      <c r="J5422" t="s">
        <v>64</v>
      </c>
      <c r="K5422" s="6">
        <v>0.03</v>
      </c>
      <c r="L5422" s="7">
        <f t="shared" si="169"/>
        <v>2E-3</v>
      </c>
      <c r="M5422" s="7">
        <v>3.0000000000000001E-3</v>
      </c>
      <c r="N5422">
        <v>11</v>
      </c>
      <c r="O5422" s="8">
        <v>19.475693895950801</v>
      </c>
      <c r="P5422" s="9">
        <v>19.475693895950801</v>
      </c>
      <c r="Q5422" s="9">
        <v>19.475693895950801</v>
      </c>
      <c r="R5422" s="9">
        <v>20.024452706180426</v>
      </c>
      <c r="S5422" s="9">
        <v>20.875099128492941</v>
      </c>
      <c r="T5422" s="9">
        <v>21.733350185946453</v>
      </c>
      <c r="U5422" s="9">
        <v>23.861555618318132</v>
      </c>
      <c r="V5422" s="9">
        <v>23.861555618318132</v>
      </c>
      <c r="W5422" s="9">
        <v>23.861555618318132</v>
      </c>
      <c r="X5422" s="9">
        <v>26.599525609534091</v>
      </c>
      <c r="Y5422" s="9">
        <v>26.599525609534091</v>
      </c>
      <c r="Z5422" s="9">
        <v>29.424604823442099</v>
      </c>
      <c r="AA5422" s="9">
        <v>29.424604823442099</v>
      </c>
      <c r="AB5422" s="9">
        <v>32.345504182311352</v>
      </c>
      <c r="AC5422" s="9">
        <v>32.345504182311352</v>
      </c>
      <c r="AD5422" s="9">
        <v>37.073967958020759</v>
      </c>
      <c r="AE5422" s="9">
        <v>39.537280452065687</v>
      </c>
      <c r="AF5422" s="9">
        <v>42.115429646064094</v>
      </c>
      <c r="AG5422" s="9">
        <v>42.115429646064094</v>
      </c>
      <c r="AH5422" s="9">
        <v>45.566990204681431</v>
      </c>
      <c r="AI5422" s="9">
        <v>48.2081665036403</v>
      </c>
      <c r="AJ5422" s="9">
        <v>3.0428788910505911</v>
      </c>
    </row>
    <row r="5423" spans="1:36" x14ac:dyDescent="0.25">
      <c r="A5423" t="s">
        <v>5411</v>
      </c>
      <c r="B5423" t="s">
        <v>16</v>
      </c>
      <c r="C5423" t="s">
        <v>17</v>
      </c>
      <c r="D5423">
        <v>89940000</v>
      </c>
      <c r="E5423">
        <v>89949999</v>
      </c>
      <c r="F5423" t="s">
        <v>4907</v>
      </c>
      <c r="G5423" t="str">
        <f t="shared" si="168"/>
        <v>SCI II</v>
      </c>
      <c r="H5423" t="s">
        <v>4654</v>
      </c>
      <c r="I5423" t="s">
        <v>20</v>
      </c>
      <c r="J5423" t="s">
        <v>64</v>
      </c>
      <c r="K5423" s="6">
        <v>0.03</v>
      </c>
      <c r="L5423" s="7">
        <f t="shared" si="169"/>
        <v>2E-3</v>
      </c>
      <c r="M5423" s="7">
        <v>3.0000000000000001E-3</v>
      </c>
      <c r="N5423">
        <v>11</v>
      </c>
      <c r="O5423" s="8">
        <v>19.475693895950801</v>
      </c>
      <c r="P5423" s="9">
        <v>19.475693895950801</v>
      </c>
      <c r="Q5423" s="9">
        <v>19.475693895950801</v>
      </c>
      <c r="R5423" s="9">
        <v>20.024452706180426</v>
      </c>
      <c r="S5423" s="9">
        <v>20.875099128492941</v>
      </c>
      <c r="T5423" s="9">
        <v>21.733350185946453</v>
      </c>
      <c r="U5423" s="9">
        <v>23.861555618318132</v>
      </c>
      <c r="V5423" s="9">
        <v>23.861555618318132</v>
      </c>
      <c r="W5423" s="9">
        <v>23.861555618318132</v>
      </c>
      <c r="X5423" s="9">
        <v>26.599525609534091</v>
      </c>
      <c r="Y5423" s="9">
        <v>26.599525609534091</v>
      </c>
      <c r="Z5423" s="9">
        <v>29.424604823442099</v>
      </c>
      <c r="AA5423" s="9">
        <v>29.424604823442099</v>
      </c>
      <c r="AB5423" s="9">
        <v>32.345504182311352</v>
      </c>
      <c r="AC5423" s="9">
        <v>32.345504182311352</v>
      </c>
      <c r="AD5423" s="9">
        <v>37.073967958020759</v>
      </c>
      <c r="AE5423" s="9">
        <v>39.537280452065687</v>
      </c>
      <c r="AF5423" s="9">
        <v>42.115429646064094</v>
      </c>
      <c r="AG5423" s="9">
        <v>42.115429646064094</v>
      </c>
      <c r="AH5423" s="9">
        <v>45.566990204681431</v>
      </c>
      <c r="AI5423" s="9">
        <v>48.2081665036403</v>
      </c>
      <c r="AJ5423" s="9">
        <v>3.0428788910505911</v>
      </c>
    </row>
    <row r="5424" spans="1:36" x14ac:dyDescent="0.25">
      <c r="A5424" t="s">
        <v>5411</v>
      </c>
      <c r="B5424" t="s">
        <v>16</v>
      </c>
      <c r="C5424" t="s">
        <v>17</v>
      </c>
      <c r="D5424">
        <v>89950000</v>
      </c>
      <c r="E5424">
        <v>89969999</v>
      </c>
      <c r="F5424" t="s">
        <v>4908</v>
      </c>
      <c r="G5424" t="str">
        <f t="shared" si="168"/>
        <v>SCI II</v>
      </c>
      <c r="H5424" t="s">
        <v>4654</v>
      </c>
      <c r="I5424" t="s">
        <v>20</v>
      </c>
      <c r="J5424" t="s">
        <v>64</v>
      </c>
      <c r="K5424" s="6">
        <v>0.03</v>
      </c>
      <c r="L5424" s="7">
        <f t="shared" si="169"/>
        <v>2E-3</v>
      </c>
      <c r="M5424" s="7">
        <v>3.0000000000000001E-3</v>
      </c>
      <c r="N5424">
        <v>11</v>
      </c>
      <c r="O5424" s="8">
        <v>19.475693895950801</v>
      </c>
      <c r="P5424" s="9">
        <v>19.475693895950801</v>
      </c>
      <c r="Q5424" s="9">
        <v>19.475693895950801</v>
      </c>
      <c r="R5424" s="9">
        <v>20.024452706180426</v>
      </c>
      <c r="S5424" s="9">
        <v>20.875099128492941</v>
      </c>
      <c r="T5424" s="9">
        <v>21.733350185946453</v>
      </c>
      <c r="U5424" s="9">
        <v>23.861555618318132</v>
      </c>
      <c r="V5424" s="9">
        <v>23.861555618318132</v>
      </c>
      <c r="W5424" s="9">
        <v>23.861555618318132</v>
      </c>
      <c r="X5424" s="9">
        <v>26.599525609534091</v>
      </c>
      <c r="Y5424" s="9">
        <v>26.599525609534091</v>
      </c>
      <c r="Z5424" s="9">
        <v>29.424604823442099</v>
      </c>
      <c r="AA5424" s="9">
        <v>29.424604823442099</v>
      </c>
      <c r="AB5424" s="9">
        <v>32.345504182311352</v>
      </c>
      <c r="AC5424" s="9">
        <v>32.345504182311352</v>
      </c>
      <c r="AD5424" s="9">
        <v>37.073967958020759</v>
      </c>
      <c r="AE5424" s="9">
        <v>39.537280452065687</v>
      </c>
      <c r="AF5424" s="9">
        <v>42.115429646064094</v>
      </c>
      <c r="AG5424" s="9">
        <v>42.115429646064094</v>
      </c>
      <c r="AH5424" s="9">
        <v>45.566990204681431</v>
      </c>
      <c r="AI5424" s="9">
        <v>48.2081665036403</v>
      </c>
      <c r="AJ5424" s="9">
        <v>3.0428788910505911</v>
      </c>
    </row>
    <row r="5425" spans="1:36" x14ac:dyDescent="0.25">
      <c r="A5425" t="s">
        <v>5411</v>
      </c>
      <c r="B5425" t="s">
        <v>16</v>
      </c>
      <c r="C5425" t="s">
        <v>17</v>
      </c>
      <c r="D5425">
        <v>89970000</v>
      </c>
      <c r="E5425">
        <v>89979999</v>
      </c>
      <c r="F5425" t="s">
        <v>780</v>
      </c>
      <c r="G5425" t="str">
        <f t="shared" si="168"/>
        <v>SCI II</v>
      </c>
      <c r="H5425" t="s">
        <v>4654</v>
      </c>
      <c r="I5425" t="s">
        <v>20</v>
      </c>
      <c r="J5425" t="s">
        <v>64</v>
      </c>
      <c r="K5425" s="6">
        <v>0.03</v>
      </c>
      <c r="L5425" s="7">
        <f t="shared" si="169"/>
        <v>2E-3</v>
      </c>
      <c r="M5425" s="7">
        <v>3.0000000000000001E-3</v>
      </c>
      <c r="N5425">
        <v>11</v>
      </c>
      <c r="O5425" s="8">
        <v>19.475693895950801</v>
      </c>
      <c r="P5425" s="9">
        <v>19.475693895950801</v>
      </c>
      <c r="Q5425" s="9">
        <v>19.475693895950801</v>
      </c>
      <c r="R5425" s="9">
        <v>20.024452706180426</v>
      </c>
      <c r="S5425" s="9">
        <v>20.875099128492941</v>
      </c>
      <c r="T5425" s="9">
        <v>21.733350185946453</v>
      </c>
      <c r="U5425" s="9">
        <v>23.861555618318132</v>
      </c>
      <c r="V5425" s="9">
        <v>23.861555618318132</v>
      </c>
      <c r="W5425" s="9">
        <v>23.861555618318132</v>
      </c>
      <c r="X5425" s="9">
        <v>26.599525609534091</v>
      </c>
      <c r="Y5425" s="9">
        <v>26.599525609534091</v>
      </c>
      <c r="Z5425" s="9">
        <v>29.424604823442099</v>
      </c>
      <c r="AA5425" s="9">
        <v>29.424604823442099</v>
      </c>
      <c r="AB5425" s="9">
        <v>32.345504182311352</v>
      </c>
      <c r="AC5425" s="9">
        <v>32.345504182311352</v>
      </c>
      <c r="AD5425" s="9">
        <v>37.073967958020759</v>
      </c>
      <c r="AE5425" s="9">
        <v>39.537280452065687</v>
      </c>
      <c r="AF5425" s="9">
        <v>42.115429646064094</v>
      </c>
      <c r="AG5425" s="9">
        <v>42.115429646064094</v>
      </c>
      <c r="AH5425" s="9">
        <v>45.566990204681431</v>
      </c>
      <c r="AI5425" s="9">
        <v>48.2081665036403</v>
      </c>
      <c r="AJ5425" s="9">
        <v>3.0428788910505911</v>
      </c>
    </row>
    <row r="5426" spans="1:36" x14ac:dyDescent="0.25">
      <c r="A5426" t="s">
        <v>5411</v>
      </c>
      <c r="B5426" t="s">
        <v>16</v>
      </c>
      <c r="C5426" t="s">
        <v>17</v>
      </c>
      <c r="D5426">
        <v>89980000</v>
      </c>
      <c r="E5426">
        <v>89980999</v>
      </c>
      <c r="F5426" t="s">
        <v>4909</v>
      </c>
      <c r="G5426" t="str">
        <f t="shared" si="168"/>
        <v>SCI II</v>
      </c>
      <c r="H5426" t="s">
        <v>4654</v>
      </c>
      <c r="I5426" t="s">
        <v>20</v>
      </c>
      <c r="J5426" t="s">
        <v>64</v>
      </c>
      <c r="K5426" s="6">
        <v>0.03</v>
      </c>
      <c r="L5426" s="7">
        <f t="shared" si="169"/>
        <v>2E-3</v>
      </c>
      <c r="M5426" s="7">
        <v>3.0000000000000001E-3</v>
      </c>
      <c r="N5426">
        <v>11</v>
      </c>
      <c r="O5426" s="8">
        <v>19.475693895950801</v>
      </c>
      <c r="P5426" s="9">
        <v>19.475693895950801</v>
      </c>
      <c r="Q5426" s="9">
        <v>19.475693895950801</v>
      </c>
      <c r="R5426" s="9">
        <v>20.024452706180426</v>
      </c>
      <c r="S5426" s="9">
        <v>20.875099128492941</v>
      </c>
      <c r="T5426" s="9">
        <v>21.733350185946453</v>
      </c>
      <c r="U5426" s="9">
        <v>23.861555618318132</v>
      </c>
      <c r="V5426" s="9">
        <v>23.861555618318132</v>
      </c>
      <c r="W5426" s="9">
        <v>23.861555618318132</v>
      </c>
      <c r="X5426" s="9">
        <v>26.599525609534091</v>
      </c>
      <c r="Y5426" s="9">
        <v>26.599525609534091</v>
      </c>
      <c r="Z5426" s="9">
        <v>29.424604823442099</v>
      </c>
      <c r="AA5426" s="9">
        <v>29.424604823442099</v>
      </c>
      <c r="AB5426" s="9">
        <v>32.345504182311352</v>
      </c>
      <c r="AC5426" s="9">
        <v>32.345504182311352</v>
      </c>
      <c r="AD5426" s="9">
        <v>37.073967958020759</v>
      </c>
      <c r="AE5426" s="9">
        <v>39.537280452065687</v>
      </c>
      <c r="AF5426" s="9">
        <v>42.115429646064094</v>
      </c>
      <c r="AG5426" s="9">
        <v>42.115429646064094</v>
      </c>
      <c r="AH5426" s="9">
        <v>45.566990204681431</v>
      </c>
      <c r="AI5426" s="9">
        <v>48.2081665036403</v>
      </c>
      <c r="AJ5426" s="9">
        <v>3.0428788910505911</v>
      </c>
    </row>
    <row r="5427" spans="1:36" x14ac:dyDescent="0.25">
      <c r="A5427" t="s">
        <v>5411</v>
      </c>
      <c r="B5427" t="s">
        <v>16</v>
      </c>
      <c r="C5427" t="s">
        <v>17</v>
      </c>
      <c r="D5427">
        <v>89981000</v>
      </c>
      <c r="E5427">
        <v>89981999</v>
      </c>
      <c r="F5427" t="s">
        <v>166</v>
      </c>
      <c r="G5427" t="str">
        <f t="shared" si="168"/>
        <v>SCI II</v>
      </c>
      <c r="H5427" t="s">
        <v>4654</v>
      </c>
      <c r="I5427" t="s">
        <v>20</v>
      </c>
      <c r="J5427" t="s">
        <v>64</v>
      </c>
      <c r="K5427" s="6">
        <v>0.03</v>
      </c>
      <c r="L5427" s="7">
        <f t="shared" si="169"/>
        <v>2E-3</v>
      </c>
      <c r="M5427" s="7">
        <v>3.0000000000000001E-3</v>
      </c>
      <c r="N5427">
        <v>11</v>
      </c>
      <c r="O5427" s="8">
        <v>19.475693895950801</v>
      </c>
      <c r="P5427" s="9">
        <v>19.475693895950801</v>
      </c>
      <c r="Q5427" s="9">
        <v>19.475693895950801</v>
      </c>
      <c r="R5427" s="9">
        <v>20.024452706180426</v>
      </c>
      <c r="S5427" s="9">
        <v>20.875099128492941</v>
      </c>
      <c r="T5427" s="9">
        <v>21.733350185946453</v>
      </c>
      <c r="U5427" s="9">
        <v>23.861555618318132</v>
      </c>
      <c r="V5427" s="9">
        <v>23.861555618318132</v>
      </c>
      <c r="W5427" s="9">
        <v>23.861555618318132</v>
      </c>
      <c r="X5427" s="9">
        <v>26.599525609534091</v>
      </c>
      <c r="Y5427" s="9">
        <v>26.599525609534091</v>
      </c>
      <c r="Z5427" s="9">
        <v>29.424604823442099</v>
      </c>
      <c r="AA5427" s="9">
        <v>29.424604823442099</v>
      </c>
      <c r="AB5427" s="9">
        <v>32.345504182311352</v>
      </c>
      <c r="AC5427" s="9">
        <v>32.345504182311352</v>
      </c>
      <c r="AD5427" s="9">
        <v>37.073967958020759</v>
      </c>
      <c r="AE5427" s="9">
        <v>39.537280452065687</v>
      </c>
      <c r="AF5427" s="9">
        <v>42.115429646064094</v>
      </c>
      <c r="AG5427" s="9">
        <v>42.115429646064094</v>
      </c>
      <c r="AH5427" s="9">
        <v>45.566990204681431</v>
      </c>
      <c r="AI5427" s="9">
        <v>48.2081665036403</v>
      </c>
      <c r="AJ5427" s="9">
        <v>3.0428788910505911</v>
      </c>
    </row>
    <row r="5428" spans="1:36" x14ac:dyDescent="0.25">
      <c r="A5428" t="s">
        <v>5411</v>
      </c>
      <c r="B5428" t="s">
        <v>16</v>
      </c>
      <c r="C5428" t="s">
        <v>17</v>
      </c>
      <c r="D5428">
        <v>89982000</v>
      </c>
      <c r="E5428">
        <v>89982999</v>
      </c>
      <c r="F5428" t="s">
        <v>4910</v>
      </c>
      <c r="G5428" t="str">
        <f t="shared" si="168"/>
        <v>SCI II</v>
      </c>
      <c r="H5428" t="s">
        <v>4654</v>
      </c>
      <c r="I5428" t="s">
        <v>20</v>
      </c>
      <c r="J5428" t="s">
        <v>64</v>
      </c>
      <c r="K5428" s="6">
        <v>0.03</v>
      </c>
      <c r="L5428" s="7">
        <f t="shared" si="169"/>
        <v>2E-3</v>
      </c>
      <c r="M5428" s="7">
        <v>3.0000000000000001E-3</v>
      </c>
      <c r="N5428">
        <v>11</v>
      </c>
      <c r="O5428" s="8">
        <v>19.475693895950801</v>
      </c>
      <c r="P5428" s="9">
        <v>19.475693895950801</v>
      </c>
      <c r="Q5428" s="9">
        <v>19.475693895950801</v>
      </c>
      <c r="R5428" s="9">
        <v>20.024452706180426</v>
      </c>
      <c r="S5428" s="9">
        <v>20.875099128492941</v>
      </c>
      <c r="T5428" s="9">
        <v>21.733350185946453</v>
      </c>
      <c r="U5428" s="9">
        <v>23.861555618318132</v>
      </c>
      <c r="V5428" s="9">
        <v>23.861555618318132</v>
      </c>
      <c r="W5428" s="9">
        <v>23.861555618318132</v>
      </c>
      <c r="X5428" s="9">
        <v>26.599525609534091</v>
      </c>
      <c r="Y5428" s="9">
        <v>26.599525609534091</v>
      </c>
      <c r="Z5428" s="9">
        <v>29.424604823442099</v>
      </c>
      <c r="AA5428" s="9">
        <v>29.424604823442099</v>
      </c>
      <c r="AB5428" s="9">
        <v>32.345504182311352</v>
      </c>
      <c r="AC5428" s="9">
        <v>32.345504182311352</v>
      </c>
      <c r="AD5428" s="9">
        <v>37.073967958020759</v>
      </c>
      <c r="AE5428" s="9">
        <v>39.537280452065687</v>
      </c>
      <c r="AF5428" s="9">
        <v>42.115429646064094</v>
      </c>
      <c r="AG5428" s="9">
        <v>42.115429646064094</v>
      </c>
      <c r="AH5428" s="9">
        <v>45.566990204681431</v>
      </c>
      <c r="AI5428" s="9">
        <v>48.2081665036403</v>
      </c>
      <c r="AJ5428" s="9">
        <v>3.0428788910505911</v>
      </c>
    </row>
    <row r="5429" spans="1:36" x14ac:dyDescent="0.25">
      <c r="A5429" t="s">
        <v>5411</v>
      </c>
      <c r="B5429" t="s">
        <v>16</v>
      </c>
      <c r="C5429" t="s">
        <v>17</v>
      </c>
      <c r="D5429">
        <v>89983000</v>
      </c>
      <c r="E5429">
        <v>89984999</v>
      </c>
      <c r="F5429" t="s">
        <v>4911</v>
      </c>
      <c r="G5429" t="str">
        <f t="shared" si="168"/>
        <v>SCI II</v>
      </c>
      <c r="H5429" t="s">
        <v>4654</v>
      </c>
      <c r="I5429" t="s">
        <v>20</v>
      </c>
      <c r="J5429" t="s">
        <v>64</v>
      </c>
      <c r="K5429" s="6">
        <v>0.03</v>
      </c>
      <c r="L5429" s="7">
        <f t="shared" si="169"/>
        <v>2E-3</v>
      </c>
      <c r="M5429" s="7">
        <v>3.0000000000000001E-3</v>
      </c>
      <c r="N5429">
        <v>11</v>
      </c>
      <c r="O5429" s="8">
        <v>19.475693895950801</v>
      </c>
      <c r="P5429" s="9">
        <v>19.475693895950801</v>
      </c>
      <c r="Q5429" s="9">
        <v>19.475693895950801</v>
      </c>
      <c r="R5429" s="9">
        <v>20.024452706180426</v>
      </c>
      <c r="S5429" s="9">
        <v>20.875099128492941</v>
      </c>
      <c r="T5429" s="9">
        <v>21.733350185946453</v>
      </c>
      <c r="U5429" s="9">
        <v>23.861555618318132</v>
      </c>
      <c r="V5429" s="9">
        <v>23.861555618318132</v>
      </c>
      <c r="W5429" s="9">
        <v>23.861555618318132</v>
      </c>
      <c r="X5429" s="9">
        <v>26.599525609534091</v>
      </c>
      <c r="Y5429" s="9">
        <v>26.599525609534091</v>
      </c>
      <c r="Z5429" s="9">
        <v>29.424604823442099</v>
      </c>
      <c r="AA5429" s="9">
        <v>29.424604823442099</v>
      </c>
      <c r="AB5429" s="9">
        <v>32.345504182311352</v>
      </c>
      <c r="AC5429" s="9">
        <v>32.345504182311352</v>
      </c>
      <c r="AD5429" s="9">
        <v>37.073967958020759</v>
      </c>
      <c r="AE5429" s="9">
        <v>39.537280452065687</v>
      </c>
      <c r="AF5429" s="9">
        <v>42.115429646064094</v>
      </c>
      <c r="AG5429" s="9">
        <v>42.115429646064094</v>
      </c>
      <c r="AH5429" s="9">
        <v>45.566990204681431</v>
      </c>
      <c r="AI5429" s="9">
        <v>48.2081665036403</v>
      </c>
      <c r="AJ5429" s="9">
        <v>3.0428788910505911</v>
      </c>
    </row>
    <row r="5430" spans="1:36" x14ac:dyDescent="0.25">
      <c r="A5430" t="s">
        <v>5411</v>
      </c>
      <c r="B5430" t="s">
        <v>16</v>
      </c>
      <c r="C5430" t="s">
        <v>17</v>
      </c>
      <c r="D5430">
        <v>89985000</v>
      </c>
      <c r="E5430">
        <v>89989999</v>
      </c>
      <c r="F5430" t="s">
        <v>4912</v>
      </c>
      <c r="G5430" t="str">
        <f t="shared" si="168"/>
        <v>SCI II</v>
      </c>
      <c r="H5430" t="s">
        <v>4654</v>
      </c>
      <c r="I5430" t="s">
        <v>20</v>
      </c>
      <c r="J5430" t="s">
        <v>64</v>
      </c>
      <c r="K5430" s="6">
        <v>0.03</v>
      </c>
      <c r="L5430" s="7">
        <f t="shared" si="169"/>
        <v>2E-3</v>
      </c>
      <c r="M5430" s="7">
        <v>3.0000000000000001E-3</v>
      </c>
      <c r="N5430">
        <v>11</v>
      </c>
      <c r="O5430" s="8">
        <v>19.475693895950801</v>
      </c>
      <c r="P5430" s="9">
        <v>19.475693895950801</v>
      </c>
      <c r="Q5430" s="9">
        <v>19.475693895950801</v>
      </c>
      <c r="R5430" s="9">
        <v>20.024452706180426</v>
      </c>
      <c r="S5430" s="9">
        <v>20.875099128492941</v>
      </c>
      <c r="T5430" s="9">
        <v>21.733350185946453</v>
      </c>
      <c r="U5430" s="9">
        <v>23.861555618318132</v>
      </c>
      <c r="V5430" s="9">
        <v>23.861555618318132</v>
      </c>
      <c r="W5430" s="9">
        <v>23.861555618318132</v>
      </c>
      <c r="X5430" s="9">
        <v>26.599525609534091</v>
      </c>
      <c r="Y5430" s="9">
        <v>26.599525609534091</v>
      </c>
      <c r="Z5430" s="9">
        <v>29.424604823442099</v>
      </c>
      <c r="AA5430" s="9">
        <v>29.424604823442099</v>
      </c>
      <c r="AB5430" s="9">
        <v>32.345504182311352</v>
      </c>
      <c r="AC5430" s="9">
        <v>32.345504182311352</v>
      </c>
      <c r="AD5430" s="9">
        <v>37.073967958020759</v>
      </c>
      <c r="AE5430" s="9">
        <v>39.537280452065687</v>
      </c>
      <c r="AF5430" s="9">
        <v>42.115429646064094</v>
      </c>
      <c r="AG5430" s="9">
        <v>42.115429646064094</v>
      </c>
      <c r="AH5430" s="9">
        <v>45.566990204681431</v>
      </c>
      <c r="AI5430" s="9">
        <v>48.2081665036403</v>
      </c>
      <c r="AJ5430" s="9">
        <v>3.0428788910505911</v>
      </c>
    </row>
    <row r="5431" spans="1:36" x14ac:dyDescent="0.25">
      <c r="A5431" t="s">
        <v>5411</v>
      </c>
      <c r="B5431" t="s">
        <v>16</v>
      </c>
      <c r="C5431" t="s">
        <v>17</v>
      </c>
      <c r="D5431">
        <v>89990000</v>
      </c>
      <c r="E5431">
        <v>89997999</v>
      </c>
      <c r="F5431" t="s">
        <v>4913</v>
      </c>
      <c r="G5431" t="str">
        <f t="shared" si="168"/>
        <v>SCI II</v>
      </c>
      <c r="H5431" t="s">
        <v>4654</v>
      </c>
      <c r="I5431" t="s">
        <v>20</v>
      </c>
      <c r="J5431" t="s">
        <v>64</v>
      </c>
      <c r="K5431" s="6">
        <v>0.03</v>
      </c>
      <c r="L5431" s="7">
        <f t="shared" si="169"/>
        <v>2E-3</v>
      </c>
      <c r="M5431" s="7">
        <v>3.0000000000000001E-3</v>
      </c>
      <c r="N5431">
        <v>11</v>
      </c>
      <c r="O5431" s="8">
        <v>19.475693895950801</v>
      </c>
      <c r="P5431" s="9">
        <v>19.475693895950801</v>
      </c>
      <c r="Q5431" s="9">
        <v>19.475693895950801</v>
      </c>
      <c r="R5431" s="9">
        <v>20.024452706180426</v>
      </c>
      <c r="S5431" s="9">
        <v>20.875099128492941</v>
      </c>
      <c r="T5431" s="9">
        <v>21.733350185946453</v>
      </c>
      <c r="U5431" s="9">
        <v>23.861555618318132</v>
      </c>
      <c r="V5431" s="9">
        <v>23.861555618318132</v>
      </c>
      <c r="W5431" s="9">
        <v>23.861555618318132</v>
      </c>
      <c r="X5431" s="9">
        <v>26.599525609534091</v>
      </c>
      <c r="Y5431" s="9">
        <v>26.599525609534091</v>
      </c>
      <c r="Z5431" s="9">
        <v>29.424604823442099</v>
      </c>
      <c r="AA5431" s="9">
        <v>29.424604823442099</v>
      </c>
      <c r="AB5431" s="9">
        <v>32.345504182311352</v>
      </c>
      <c r="AC5431" s="9">
        <v>32.345504182311352</v>
      </c>
      <c r="AD5431" s="9">
        <v>37.073967958020759</v>
      </c>
      <c r="AE5431" s="9">
        <v>39.537280452065687</v>
      </c>
      <c r="AF5431" s="9">
        <v>42.115429646064094</v>
      </c>
      <c r="AG5431" s="9">
        <v>42.115429646064094</v>
      </c>
      <c r="AH5431" s="9">
        <v>45.566990204681431</v>
      </c>
      <c r="AI5431" s="9">
        <v>48.2081665036403</v>
      </c>
      <c r="AJ5431" s="9">
        <v>3.0428788910505911</v>
      </c>
    </row>
    <row r="5432" spans="1:36" x14ac:dyDescent="0.25">
      <c r="A5432" t="s">
        <v>5411</v>
      </c>
      <c r="B5432" t="s">
        <v>16</v>
      </c>
      <c r="C5432" t="s">
        <v>17</v>
      </c>
      <c r="D5432">
        <v>89998000</v>
      </c>
      <c r="E5432">
        <v>89999999</v>
      </c>
      <c r="F5432" t="s">
        <v>292</v>
      </c>
      <c r="G5432" t="str">
        <f t="shared" si="168"/>
        <v>SCI II</v>
      </c>
      <c r="H5432" t="s">
        <v>4654</v>
      </c>
      <c r="I5432" t="s">
        <v>20</v>
      </c>
      <c r="J5432" t="s">
        <v>64</v>
      </c>
      <c r="K5432" s="6">
        <v>0.03</v>
      </c>
      <c r="L5432" s="7">
        <f t="shared" si="169"/>
        <v>2E-3</v>
      </c>
      <c r="M5432" s="7">
        <v>3.0000000000000001E-3</v>
      </c>
      <c r="N5432">
        <v>11</v>
      </c>
      <c r="O5432" s="8">
        <v>19.475693895950801</v>
      </c>
      <c r="P5432" s="9">
        <v>19.475693895950801</v>
      </c>
      <c r="Q5432" s="9">
        <v>19.475693895950801</v>
      </c>
      <c r="R5432" s="9">
        <v>20.024452706180426</v>
      </c>
      <c r="S5432" s="9">
        <v>20.875099128492941</v>
      </c>
      <c r="T5432" s="9">
        <v>21.733350185946453</v>
      </c>
      <c r="U5432" s="9">
        <v>23.861555618318132</v>
      </c>
      <c r="V5432" s="9">
        <v>23.861555618318132</v>
      </c>
      <c r="W5432" s="9">
        <v>23.861555618318132</v>
      </c>
      <c r="X5432" s="9">
        <v>26.599525609534091</v>
      </c>
      <c r="Y5432" s="9">
        <v>26.599525609534091</v>
      </c>
      <c r="Z5432" s="9">
        <v>29.424604823442099</v>
      </c>
      <c r="AA5432" s="9">
        <v>29.424604823442099</v>
      </c>
      <c r="AB5432" s="9">
        <v>32.345504182311352</v>
      </c>
      <c r="AC5432" s="9">
        <v>32.345504182311352</v>
      </c>
      <c r="AD5432" s="9">
        <v>37.073967958020759</v>
      </c>
      <c r="AE5432" s="9">
        <v>39.537280452065687</v>
      </c>
      <c r="AF5432" s="9">
        <v>42.115429646064094</v>
      </c>
      <c r="AG5432" s="9">
        <v>42.115429646064094</v>
      </c>
      <c r="AH5432" s="9">
        <v>45.566990204681431</v>
      </c>
      <c r="AI5432" s="9">
        <v>48.2081665036403</v>
      </c>
      <c r="AJ5432" s="9">
        <v>3.0428788910505911</v>
      </c>
    </row>
    <row r="5433" spans="1:36" x14ac:dyDescent="0.25">
      <c r="A5433" t="s">
        <v>5411</v>
      </c>
      <c r="B5433" t="s">
        <v>16</v>
      </c>
      <c r="C5433" t="s">
        <v>17</v>
      </c>
      <c r="D5433">
        <v>90000000</v>
      </c>
      <c r="E5433">
        <v>90119899</v>
      </c>
      <c r="F5433" t="s">
        <v>4914</v>
      </c>
      <c r="G5433" t="str">
        <f t="shared" si="168"/>
        <v>RSC</v>
      </c>
      <c r="H5433" t="s">
        <v>4915</v>
      </c>
      <c r="I5433" t="s">
        <v>20</v>
      </c>
      <c r="J5433" t="s">
        <v>21</v>
      </c>
      <c r="K5433" s="6">
        <v>0.03</v>
      </c>
      <c r="L5433" s="7">
        <f t="shared" si="169"/>
        <v>2E-3</v>
      </c>
      <c r="M5433" s="7">
        <v>3.0000000000000001E-3</v>
      </c>
      <c r="N5433">
        <v>7</v>
      </c>
      <c r="O5433" s="8">
        <v>12.541630150940794</v>
      </c>
      <c r="P5433" s="9">
        <v>12.541630150940794</v>
      </c>
      <c r="Q5433" s="9">
        <v>12.541630150940794</v>
      </c>
      <c r="R5433" s="9">
        <v>12.863302540649283</v>
      </c>
      <c r="S5433" s="9">
        <v>13.796278097020052</v>
      </c>
      <c r="T5433" s="9">
        <v>14.186168100882581</v>
      </c>
      <c r="U5433" s="9">
        <v>16.403535285794508</v>
      </c>
      <c r="V5433" s="9">
        <v>16.403535285794508</v>
      </c>
      <c r="W5433" s="9">
        <v>16.403535285794508</v>
      </c>
      <c r="X5433" s="9">
        <v>19.024000757722551</v>
      </c>
      <c r="Y5433" s="9">
        <v>19.024000757722551</v>
      </c>
      <c r="Z5433" s="9">
        <v>22.518478003106196</v>
      </c>
      <c r="AA5433" s="9">
        <v>22.518478003106196</v>
      </c>
      <c r="AB5433" s="9">
        <v>26.254394930157243</v>
      </c>
      <c r="AC5433" s="9">
        <v>26.254394930157243</v>
      </c>
      <c r="AD5433" s="9">
        <v>29.739852561009368</v>
      </c>
      <c r="AE5433" s="9">
        <v>33.309159608415044</v>
      </c>
      <c r="AF5433" s="9">
        <v>36.970701014029615</v>
      </c>
      <c r="AG5433" s="9">
        <v>36.970701014029615</v>
      </c>
      <c r="AH5433" s="9">
        <v>40.73370021367402</v>
      </c>
      <c r="AI5433" s="9">
        <v>44.029558741664026</v>
      </c>
      <c r="AJ5433" s="9">
        <v>3.0428788910505911</v>
      </c>
    </row>
    <row r="5434" spans="1:36" x14ac:dyDescent="0.25">
      <c r="A5434" t="s">
        <v>5411</v>
      </c>
      <c r="B5434" t="s">
        <v>16</v>
      </c>
      <c r="C5434" t="s">
        <v>17</v>
      </c>
      <c r="D5434">
        <v>90119900</v>
      </c>
      <c r="E5434">
        <v>90219999</v>
      </c>
      <c r="F5434" t="s">
        <v>4914</v>
      </c>
      <c r="G5434" t="str">
        <f t="shared" si="168"/>
        <v>RSC</v>
      </c>
      <c r="H5434" t="s">
        <v>4915</v>
      </c>
      <c r="I5434" t="s">
        <v>20</v>
      </c>
      <c r="J5434" t="s">
        <v>21</v>
      </c>
      <c r="K5434" s="6">
        <v>0.03</v>
      </c>
      <c r="L5434" s="7">
        <f t="shared" si="169"/>
        <v>2E-3</v>
      </c>
      <c r="M5434" s="7">
        <v>3.0000000000000001E-3</v>
      </c>
      <c r="N5434">
        <v>7</v>
      </c>
      <c r="O5434" s="8">
        <v>12.541630150940794</v>
      </c>
      <c r="P5434" s="9">
        <v>12.541630150940794</v>
      </c>
      <c r="Q5434" s="9">
        <v>12.541630150940794</v>
      </c>
      <c r="R5434" s="9">
        <v>12.863302540649283</v>
      </c>
      <c r="S5434" s="9">
        <v>13.796278097020052</v>
      </c>
      <c r="T5434" s="9">
        <v>14.186168100882581</v>
      </c>
      <c r="U5434" s="9">
        <v>16.403535285794508</v>
      </c>
      <c r="V5434" s="9">
        <v>16.403535285794508</v>
      </c>
      <c r="W5434" s="9">
        <v>16.403535285794508</v>
      </c>
      <c r="X5434" s="9">
        <v>19.024000757722551</v>
      </c>
      <c r="Y5434" s="9">
        <v>19.024000757722551</v>
      </c>
      <c r="Z5434" s="9">
        <v>22.518478003106196</v>
      </c>
      <c r="AA5434" s="9">
        <v>22.518478003106196</v>
      </c>
      <c r="AB5434" s="9">
        <v>26.254394930157243</v>
      </c>
      <c r="AC5434" s="9">
        <v>26.254394930157243</v>
      </c>
      <c r="AD5434" s="9">
        <v>29.739852561009368</v>
      </c>
      <c r="AE5434" s="9">
        <v>33.309159608415044</v>
      </c>
      <c r="AF5434" s="9">
        <v>36.970701014029615</v>
      </c>
      <c r="AG5434" s="9">
        <v>36.970701014029615</v>
      </c>
      <c r="AH5434" s="9">
        <v>40.73370021367402</v>
      </c>
      <c r="AI5434" s="9">
        <v>44.029558741664026</v>
      </c>
      <c r="AJ5434" s="9">
        <v>3.0428788910505911</v>
      </c>
    </row>
    <row r="5435" spans="1:36" x14ac:dyDescent="0.25">
      <c r="A5435" t="s">
        <v>5411</v>
      </c>
      <c r="B5435" t="s">
        <v>16</v>
      </c>
      <c r="C5435" t="s">
        <v>17</v>
      </c>
      <c r="D5435">
        <v>90220000</v>
      </c>
      <c r="E5435">
        <v>90419999</v>
      </c>
      <c r="F5435" t="s">
        <v>4914</v>
      </c>
      <c r="G5435" t="str">
        <f t="shared" si="168"/>
        <v>RSC</v>
      </c>
      <c r="H5435" t="s">
        <v>4915</v>
      </c>
      <c r="I5435" t="s">
        <v>20</v>
      </c>
      <c r="J5435" t="s">
        <v>21</v>
      </c>
      <c r="K5435" s="6">
        <v>0.03</v>
      </c>
      <c r="L5435" s="7">
        <f t="shared" si="169"/>
        <v>2E-3</v>
      </c>
      <c r="M5435" s="7">
        <v>3.0000000000000001E-3</v>
      </c>
      <c r="N5435">
        <v>7</v>
      </c>
      <c r="O5435" s="8">
        <v>12.541630150940794</v>
      </c>
      <c r="P5435" s="9">
        <v>12.541630150940794</v>
      </c>
      <c r="Q5435" s="9">
        <v>12.541630150940794</v>
      </c>
      <c r="R5435" s="9">
        <v>12.863302540649283</v>
      </c>
      <c r="S5435" s="9">
        <v>13.796278097020052</v>
      </c>
      <c r="T5435" s="9">
        <v>14.186168100882581</v>
      </c>
      <c r="U5435" s="9">
        <v>16.403535285794508</v>
      </c>
      <c r="V5435" s="9">
        <v>16.403535285794508</v>
      </c>
      <c r="W5435" s="9">
        <v>16.403535285794508</v>
      </c>
      <c r="X5435" s="9">
        <v>19.024000757722551</v>
      </c>
      <c r="Y5435" s="9">
        <v>19.024000757722551</v>
      </c>
      <c r="Z5435" s="9">
        <v>22.518478003106196</v>
      </c>
      <c r="AA5435" s="9">
        <v>22.518478003106196</v>
      </c>
      <c r="AB5435" s="9">
        <v>26.254394930157243</v>
      </c>
      <c r="AC5435" s="9">
        <v>26.254394930157243</v>
      </c>
      <c r="AD5435" s="9">
        <v>29.739852561009368</v>
      </c>
      <c r="AE5435" s="9">
        <v>33.309159608415044</v>
      </c>
      <c r="AF5435" s="9">
        <v>36.970701014029615</v>
      </c>
      <c r="AG5435" s="9">
        <v>36.970701014029615</v>
      </c>
      <c r="AH5435" s="9">
        <v>40.73370021367402</v>
      </c>
      <c r="AI5435" s="9">
        <v>44.029558741664026</v>
      </c>
      <c r="AJ5435" s="9">
        <v>3.0428788910505911</v>
      </c>
    </row>
    <row r="5436" spans="1:36" x14ac:dyDescent="0.25">
      <c r="A5436" t="s">
        <v>5411</v>
      </c>
      <c r="B5436" t="s">
        <v>16</v>
      </c>
      <c r="C5436" t="s">
        <v>17</v>
      </c>
      <c r="D5436">
        <v>90420000</v>
      </c>
      <c r="E5436">
        <v>90509999</v>
      </c>
      <c r="F5436" t="s">
        <v>4914</v>
      </c>
      <c r="G5436" t="str">
        <f t="shared" si="168"/>
        <v>RSC</v>
      </c>
      <c r="H5436" t="s">
        <v>4915</v>
      </c>
      <c r="I5436" t="s">
        <v>20</v>
      </c>
      <c r="J5436" t="s">
        <v>21</v>
      </c>
      <c r="K5436" s="6">
        <v>0.03</v>
      </c>
      <c r="L5436" s="7">
        <f t="shared" si="169"/>
        <v>2E-3</v>
      </c>
      <c r="M5436" s="7">
        <v>3.0000000000000001E-3</v>
      </c>
      <c r="N5436">
        <v>7</v>
      </c>
      <c r="O5436" s="8">
        <v>12.541630150940794</v>
      </c>
      <c r="P5436" s="9">
        <v>12.541630150940794</v>
      </c>
      <c r="Q5436" s="9">
        <v>12.541630150940794</v>
      </c>
      <c r="R5436" s="9">
        <v>12.863302540649283</v>
      </c>
      <c r="S5436" s="9">
        <v>13.796278097020052</v>
      </c>
      <c r="T5436" s="9">
        <v>14.186168100882581</v>
      </c>
      <c r="U5436" s="9">
        <v>16.403535285794508</v>
      </c>
      <c r="V5436" s="9">
        <v>16.403535285794508</v>
      </c>
      <c r="W5436" s="9">
        <v>16.403535285794508</v>
      </c>
      <c r="X5436" s="9">
        <v>19.024000757722551</v>
      </c>
      <c r="Y5436" s="9">
        <v>19.024000757722551</v>
      </c>
      <c r="Z5436" s="9">
        <v>22.518478003106196</v>
      </c>
      <c r="AA5436" s="9">
        <v>22.518478003106196</v>
      </c>
      <c r="AB5436" s="9">
        <v>26.254394930157243</v>
      </c>
      <c r="AC5436" s="9">
        <v>26.254394930157243</v>
      </c>
      <c r="AD5436" s="9">
        <v>29.739852561009368</v>
      </c>
      <c r="AE5436" s="9">
        <v>33.309159608415044</v>
      </c>
      <c r="AF5436" s="9">
        <v>36.970701014029615</v>
      </c>
      <c r="AG5436" s="9">
        <v>36.970701014029615</v>
      </c>
      <c r="AH5436" s="9">
        <v>40.73370021367402</v>
      </c>
      <c r="AI5436" s="9">
        <v>44.029558741664026</v>
      </c>
      <c r="AJ5436" s="9">
        <v>3.0428788910505911</v>
      </c>
    </row>
    <row r="5437" spans="1:36" x14ac:dyDescent="0.25">
      <c r="A5437" t="s">
        <v>5411</v>
      </c>
      <c r="B5437" t="s">
        <v>16</v>
      </c>
      <c r="C5437" t="s">
        <v>17</v>
      </c>
      <c r="D5437">
        <v>90510000</v>
      </c>
      <c r="E5437">
        <v>90609999</v>
      </c>
      <c r="F5437" t="s">
        <v>4914</v>
      </c>
      <c r="G5437" t="str">
        <f t="shared" si="168"/>
        <v>RSC</v>
      </c>
      <c r="H5437" t="s">
        <v>4915</v>
      </c>
      <c r="I5437" t="s">
        <v>20</v>
      </c>
      <c r="J5437" t="s">
        <v>21</v>
      </c>
      <c r="K5437" s="6">
        <v>0.03</v>
      </c>
      <c r="L5437" s="7">
        <f t="shared" si="169"/>
        <v>2E-3</v>
      </c>
      <c r="M5437" s="7">
        <v>3.0000000000000001E-3</v>
      </c>
      <c r="N5437">
        <v>7</v>
      </c>
      <c r="O5437" s="8">
        <v>12.541630150940794</v>
      </c>
      <c r="P5437" s="9">
        <v>12.541630150940794</v>
      </c>
      <c r="Q5437" s="9">
        <v>12.541630150940794</v>
      </c>
      <c r="R5437" s="9">
        <v>12.863302540649283</v>
      </c>
      <c r="S5437" s="9">
        <v>13.796278097020052</v>
      </c>
      <c r="T5437" s="9">
        <v>14.186168100882581</v>
      </c>
      <c r="U5437" s="9">
        <v>16.403535285794508</v>
      </c>
      <c r="V5437" s="9">
        <v>16.403535285794508</v>
      </c>
      <c r="W5437" s="9">
        <v>16.403535285794508</v>
      </c>
      <c r="X5437" s="9">
        <v>19.024000757722551</v>
      </c>
      <c r="Y5437" s="9">
        <v>19.024000757722551</v>
      </c>
      <c r="Z5437" s="9">
        <v>22.518478003106196</v>
      </c>
      <c r="AA5437" s="9">
        <v>22.518478003106196</v>
      </c>
      <c r="AB5437" s="9">
        <v>26.254394930157243</v>
      </c>
      <c r="AC5437" s="9">
        <v>26.254394930157243</v>
      </c>
      <c r="AD5437" s="9">
        <v>29.739852561009368</v>
      </c>
      <c r="AE5437" s="9">
        <v>33.309159608415044</v>
      </c>
      <c r="AF5437" s="9">
        <v>36.970701014029615</v>
      </c>
      <c r="AG5437" s="9">
        <v>36.970701014029615</v>
      </c>
      <c r="AH5437" s="9">
        <v>40.73370021367402</v>
      </c>
      <c r="AI5437" s="9">
        <v>44.029558741664026</v>
      </c>
      <c r="AJ5437" s="9">
        <v>3.0428788910505911</v>
      </c>
    </row>
    <row r="5438" spans="1:36" x14ac:dyDescent="0.25">
      <c r="A5438" t="s">
        <v>5411</v>
      </c>
      <c r="B5438" t="s">
        <v>16</v>
      </c>
      <c r="C5438" t="s">
        <v>17</v>
      </c>
      <c r="D5438">
        <v>90610000</v>
      </c>
      <c r="E5438">
        <v>90879999</v>
      </c>
      <c r="F5438" t="s">
        <v>4914</v>
      </c>
      <c r="G5438" t="str">
        <f t="shared" si="168"/>
        <v>RSC</v>
      </c>
      <c r="H5438" t="s">
        <v>4915</v>
      </c>
      <c r="I5438" t="s">
        <v>20</v>
      </c>
      <c r="J5438" t="s">
        <v>21</v>
      </c>
      <c r="K5438" s="6">
        <v>0.03</v>
      </c>
      <c r="L5438" s="7">
        <f t="shared" si="169"/>
        <v>2E-3</v>
      </c>
      <c r="M5438" s="7">
        <v>3.0000000000000001E-3</v>
      </c>
      <c r="N5438">
        <v>7</v>
      </c>
      <c r="O5438" s="8">
        <v>12.541630150940794</v>
      </c>
      <c r="P5438" s="9">
        <v>12.541630150940794</v>
      </c>
      <c r="Q5438" s="9">
        <v>12.541630150940794</v>
      </c>
      <c r="R5438" s="9">
        <v>12.863302540649283</v>
      </c>
      <c r="S5438" s="9">
        <v>13.796278097020052</v>
      </c>
      <c r="T5438" s="9">
        <v>14.186168100882581</v>
      </c>
      <c r="U5438" s="9">
        <v>16.403535285794508</v>
      </c>
      <c r="V5438" s="9">
        <v>16.403535285794508</v>
      </c>
      <c r="W5438" s="9">
        <v>16.403535285794508</v>
      </c>
      <c r="X5438" s="9">
        <v>19.024000757722551</v>
      </c>
      <c r="Y5438" s="9">
        <v>19.024000757722551</v>
      </c>
      <c r="Z5438" s="9">
        <v>22.518478003106196</v>
      </c>
      <c r="AA5438" s="9">
        <v>22.518478003106196</v>
      </c>
      <c r="AB5438" s="9">
        <v>26.254394930157243</v>
      </c>
      <c r="AC5438" s="9">
        <v>26.254394930157243</v>
      </c>
      <c r="AD5438" s="9">
        <v>29.739852561009368</v>
      </c>
      <c r="AE5438" s="9">
        <v>33.309159608415044</v>
      </c>
      <c r="AF5438" s="9">
        <v>36.970701014029615</v>
      </c>
      <c r="AG5438" s="9">
        <v>36.970701014029615</v>
      </c>
      <c r="AH5438" s="9">
        <v>40.73370021367402</v>
      </c>
      <c r="AI5438" s="9">
        <v>44.029558741664026</v>
      </c>
      <c r="AJ5438" s="9">
        <v>3.0428788910505911</v>
      </c>
    </row>
    <row r="5439" spans="1:36" x14ac:dyDescent="0.25">
      <c r="A5439" t="s">
        <v>5411</v>
      </c>
      <c r="B5439" t="s">
        <v>16</v>
      </c>
      <c r="C5439" t="s">
        <v>17</v>
      </c>
      <c r="D5439">
        <v>90880000</v>
      </c>
      <c r="E5439">
        <v>90999999</v>
      </c>
      <c r="F5439" t="s">
        <v>4914</v>
      </c>
      <c r="G5439" t="str">
        <f t="shared" si="168"/>
        <v>RSC</v>
      </c>
      <c r="H5439" t="s">
        <v>4915</v>
      </c>
      <c r="I5439" t="s">
        <v>20</v>
      </c>
      <c r="J5439" t="s">
        <v>21</v>
      </c>
      <c r="K5439" s="6">
        <v>0.03</v>
      </c>
      <c r="L5439" s="7">
        <f t="shared" si="169"/>
        <v>2E-3</v>
      </c>
      <c r="M5439" s="7">
        <v>3.0000000000000001E-3</v>
      </c>
      <c r="N5439">
        <v>7</v>
      </c>
      <c r="O5439" s="8">
        <v>12.541630150940794</v>
      </c>
      <c r="P5439" s="9">
        <v>12.541630150940794</v>
      </c>
      <c r="Q5439" s="9">
        <v>12.541630150940794</v>
      </c>
      <c r="R5439" s="9">
        <v>12.863302540649283</v>
      </c>
      <c r="S5439" s="9">
        <v>13.796278097020052</v>
      </c>
      <c r="T5439" s="9">
        <v>14.186168100882581</v>
      </c>
      <c r="U5439" s="9">
        <v>16.403535285794508</v>
      </c>
      <c r="V5439" s="9">
        <v>16.403535285794508</v>
      </c>
      <c r="W5439" s="9">
        <v>16.403535285794508</v>
      </c>
      <c r="X5439" s="9">
        <v>19.024000757722551</v>
      </c>
      <c r="Y5439" s="9">
        <v>19.024000757722551</v>
      </c>
      <c r="Z5439" s="9">
        <v>22.518478003106196</v>
      </c>
      <c r="AA5439" s="9">
        <v>22.518478003106196</v>
      </c>
      <c r="AB5439" s="9">
        <v>26.254394930157243</v>
      </c>
      <c r="AC5439" s="9">
        <v>26.254394930157243</v>
      </c>
      <c r="AD5439" s="9">
        <v>29.739852561009368</v>
      </c>
      <c r="AE5439" s="9">
        <v>33.309159608415044</v>
      </c>
      <c r="AF5439" s="9">
        <v>36.970701014029615</v>
      </c>
      <c r="AG5439" s="9">
        <v>36.970701014029615</v>
      </c>
      <c r="AH5439" s="9">
        <v>40.73370021367402</v>
      </c>
      <c r="AI5439" s="9">
        <v>44.029558741664026</v>
      </c>
      <c r="AJ5439" s="9">
        <v>3.0428788910505911</v>
      </c>
    </row>
    <row r="5440" spans="1:36" x14ac:dyDescent="0.25">
      <c r="A5440" t="s">
        <v>5411</v>
      </c>
      <c r="B5440" t="s">
        <v>16</v>
      </c>
      <c r="C5440" t="s">
        <v>17</v>
      </c>
      <c r="D5440">
        <v>91000000</v>
      </c>
      <c r="E5440">
        <v>91109999</v>
      </c>
      <c r="F5440" t="s">
        <v>4914</v>
      </c>
      <c r="G5440" t="str">
        <f t="shared" si="168"/>
        <v>RSC</v>
      </c>
      <c r="H5440" t="s">
        <v>4915</v>
      </c>
      <c r="I5440" t="s">
        <v>20</v>
      </c>
      <c r="J5440" t="s">
        <v>21</v>
      </c>
      <c r="K5440" s="6">
        <v>0.03</v>
      </c>
      <c r="L5440" s="7">
        <f t="shared" si="169"/>
        <v>2E-3</v>
      </c>
      <c r="M5440" s="7">
        <v>3.0000000000000001E-3</v>
      </c>
      <c r="N5440">
        <v>7</v>
      </c>
      <c r="O5440" s="8">
        <v>12.541630150940794</v>
      </c>
      <c r="P5440" s="9">
        <v>12.541630150940794</v>
      </c>
      <c r="Q5440" s="9">
        <v>12.541630150940794</v>
      </c>
      <c r="R5440" s="9">
        <v>12.863302540649283</v>
      </c>
      <c r="S5440" s="9">
        <v>13.796278097020052</v>
      </c>
      <c r="T5440" s="9">
        <v>14.186168100882581</v>
      </c>
      <c r="U5440" s="9">
        <v>16.403535285794508</v>
      </c>
      <c r="V5440" s="9">
        <v>16.403535285794508</v>
      </c>
      <c r="W5440" s="9">
        <v>16.403535285794508</v>
      </c>
      <c r="X5440" s="9">
        <v>19.024000757722551</v>
      </c>
      <c r="Y5440" s="9">
        <v>19.024000757722551</v>
      </c>
      <c r="Z5440" s="9">
        <v>22.518478003106196</v>
      </c>
      <c r="AA5440" s="9">
        <v>22.518478003106196</v>
      </c>
      <c r="AB5440" s="9">
        <v>26.254394930157243</v>
      </c>
      <c r="AC5440" s="9">
        <v>26.254394930157243</v>
      </c>
      <c r="AD5440" s="9">
        <v>29.739852561009368</v>
      </c>
      <c r="AE5440" s="9">
        <v>33.309159608415044</v>
      </c>
      <c r="AF5440" s="9">
        <v>36.970701014029615</v>
      </c>
      <c r="AG5440" s="9">
        <v>36.970701014029615</v>
      </c>
      <c r="AH5440" s="9">
        <v>40.73370021367402</v>
      </c>
      <c r="AI5440" s="9">
        <v>44.029558741664026</v>
      </c>
      <c r="AJ5440" s="9">
        <v>3.0428788910505911</v>
      </c>
    </row>
    <row r="5441" spans="1:36" x14ac:dyDescent="0.25">
      <c r="A5441" t="s">
        <v>5411</v>
      </c>
      <c r="B5441" t="s">
        <v>16</v>
      </c>
      <c r="C5441" t="s">
        <v>17</v>
      </c>
      <c r="D5441">
        <v>91110000</v>
      </c>
      <c r="E5441">
        <v>91319999</v>
      </c>
      <c r="F5441" t="s">
        <v>4914</v>
      </c>
      <c r="G5441" t="str">
        <f t="shared" si="168"/>
        <v>RSC</v>
      </c>
      <c r="H5441" t="s">
        <v>4915</v>
      </c>
      <c r="I5441" t="s">
        <v>20</v>
      </c>
      <c r="J5441" t="s">
        <v>21</v>
      </c>
      <c r="K5441" s="6">
        <v>0.03</v>
      </c>
      <c r="L5441" s="7">
        <f t="shared" si="169"/>
        <v>2E-3</v>
      </c>
      <c r="M5441" s="7">
        <v>3.0000000000000001E-3</v>
      </c>
      <c r="N5441">
        <v>7</v>
      </c>
      <c r="O5441" s="8">
        <v>12.541630150940794</v>
      </c>
      <c r="P5441" s="9">
        <v>12.541630150940794</v>
      </c>
      <c r="Q5441" s="9">
        <v>12.541630150940794</v>
      </c>
      <c r="R5441" s="9">
        <v>12.863302540649283</v>
      </c>
      <c r="S5441" s="9">
        <v>13.796278097020052</v>
      </c>
      <c r="T5441" s="9">
        <v>14.186168100882581</v>
      </c>
      <c r="U5441" s="9">
        <v>16.403535285794508</v>
      </c>
      <c r="V5441" s="9">
        <v>16.403535285794508</v>
      </c>
      <c r="W5441" s="9">
        <v>16.403535285794508</v>
      </c>
      <c r="X5441" s="9">
        <v>19.024000757722551</v>
      </c>
      <c r="Y5441" s="9">
        <v>19.024000757722551</v>
      </c>
      <c r="Z5441" s="9">
        <v>22.518478003106196</v>
      </c>
      <c r="AA5441" s="9">
        <v>22.518478003106196</v>
      </c>
      <c r="AB5441" s="9">
        <v>26.254394930157243</v>
      </c>
      <c r="AC5441" s="9">
        <v>26.254394930157243</v>
      </c>
      <c r="AD5441" s="9">
        <v>29.739852561009368</v>
      </c>
      <c r="AE5441" s="9">
        <v>33.309159608415044</v>
      </c>
      <c r="AF5441" s="9">
        <v>36.970701014029615</v>
      </c>
      <c r="AG5441" s="9">
        <v>36.970701014029615</v>
      </c>
      <c r="AH5441" s="9">
        <v>40.73370021367402</v>
      </c>
      <c r="AI5441" s="9">
        <v>44.029558741664026</v>
      </c>
      <c r="AJ5441" s="9">
        <v>3.0428788910505911</v>
      </c>
    </row>
    <row r="5442" spans="1:36" x14ac:dyDescent="0.25">
      <c r="A5442" t="s">
        <v>5411</v>
      </c>
      <c r="B5442" t="s">
        <v>16</v>
      </c>
      <c r="C5442" t="s">
        <v>17</v>
      </c>
      <c r="D5442">
        <v>91320000</v>
      </c>
      <c r="E5442">
        <v>91509899</v>
      </c>
      <c r="F5442" t="s">
        <v>4914</v>
      </c>
      <c r="G5442" t="str">
        <f t="shared" si="168"/>
        <v>RSC</v>
      </c>
      <c r="H5442" t="s">
        <v>4915</v>
      </c>
      <c r="I5442" t="s">
        <v>20</v>
      </c>
      <c r="J5442" t="s">
        <v>21</v>
      </c>
      <c r="K5442" s="6">
        <v>0.03</v>
      </c>
      <c r="L5442" s="7">
        <f t="shared" si="169"/>
        <v>2E-3</v>
      </c>
      <c r="M5442" s="7">
        <v>3.0000000000000001E-3</v>
      </c>
      <c r="N5442">
        <v>7</v>
      </c>
      <c r="O5442" s="8">
        <v>12.541630150940794</v>
      </c>
      <c r="P5442" s="9">
        <v>12.541630150940794</v>
      </c>
      <c r="Q5442" s="9">
        <v>12.541630150940794</v>
      </c>
      <c r="R5442" s="9">
        <v>12.863302540649283</v>
      </c>
      <c r="S5442" s="9">
        <v>13.796278097020052</v>
      </c>
      <c r="T5442" s="9">
        <v>14.186168100882581</v>
      </c>
      <c r="U5442" s="9">
        <v>16.403535285794508</v>
      </c>
      <c r="V5442" s="9">
        <v>16.403535285794508</v>
      </c>
      <c r="W5442" s="9">
        <v>16.403535285794508</v>
      </c>
      <c r="X5442" s="9">
        <v>19.024000757722551</v>
      </c>
      <c r="Y5442" s="9">
        <v>19.024000757722551</v>
      </c>
      <c r="Z5442" s="9">
        <v>22.518478003106196</v>
      </c>
      <c r="AA5442" s="9">
        <v>22.518478003106196</v>
      </c>
      <c r="AB5442" s="9">
        <v>26.254394930157243</v>
      </c>
      <c r="AC5442" s="9">
        <v>26.254394930157243</v>
      </c>
      <c r="AD5442" s="9">
        <v>29.739852561009368</v>
      </c>
      <c r="AE5442" s="9">
        <v>33.309159608415044</v>
      </c>
      <c r="AF5442" s="9">
        <v>36.970701014029615</v>
      </c>
      <c r="AG5442" s="9">
        <v>36.970701014029615</v>
      </c>
      <c r="AH5442" s="9">
        <v>40.73370021367402</v>
      </c>
      <c r="AI5442" s="9">
        <v>44.029558741664026</v>
      </c>
      <c r="AJ5442" s="9">
        <v>3.0428788910505911</v>
      </c>
    </row>
    <row r="5443" spans="1:36" x14ac:dyDescent="0.25">
      <c r="A5443" t="s">
        <v>5411</v>
      </c>
      <c r="B5443" t="s">
        <v>16</v>
      </c>
      <c r="C5443" t="s">
        <v>17</v>
      </c>
      <c r="D5443">
        <v>91509900</v>
      </c>
      <c r="E5443">
        <v>91754999</v>
      </c>
      <c r="F5443" t="s">
        <v>4914</v>
      </c>
      <c r="G5443" t="str">
        <f t="shared" si="168"/>
        <v>RSC</v>
      </c>
      <c r="H5443" t="s">
        <v>4915</v>
      </c>
      <c r="I5443" t="s">
        <v>20</v>
      </c>
      <c r="J5443" t="s">
        <v>21</v>
      </c>
      <c r="K5443" s="6">
        <v>0.03</v>
      </c>
      <c r="L5443" s="7">
        <f t="shared" si="169"/>
        <v>2E-3</v>
      </c>
      <c r="M5443" s="7">
        <v>3.0000000000000001E-3</v>
      </c>
      <c r="N5443">
        <v>7</v>
      </c>
      <c r="O5443" s="8">
        <v>12.541630150940794</v>
      </c>
      <c r="P5443" s="9">
        <v>12.541630150940794</v>
      </c>
      <c r="Q5443" s="9">
        <v>12.541630150940794</v>
      </c>
      <c r="R5443" s="9">
        <v>12.863302540649283</v>
      </c>
      <c r="S5443" s="9">
        <v>13.796278097020052</v>
      </c>
      <c r="T5443" s="9">
        <v>14.186168100882581</v>
      </c>
      <c r="U5443" s="9">
        <v>16.403535285794508</v>
      </c>
      <c r="V5443" s="9">
        <v>16.403535285794508</v>
      </c>
      <c r="W5443" s="9">
        <v>16.403535285794508</v>
      </c>
      <c r="X5443" s="9">
        <v>19.024000757722551</v>
      </c>
      <c r="Y5443" s="9">
        <v>19.024000757722551</v>
      </c>
      <c r="Z5443" s="9">
        <v>22.518478003106196</v>
      </c>
      <c r="AA5443" s="9">
        <v>22.518478003106196</v>
      </c>
      <c r="AB5443" s="9">
        <v>26.254394930157243</v>
      </c>
      <c r="AC5443" s="9">
        <v>26.254394930157243</v>
      </c>
      <c r="AD5443" s="9">
        <v>29.739852561009368</v>
      </c>
      <c r="AE5443" s="9">
        <v>33.309159608415044</v>
      </c>
      <c r="AF5443" s="9">
        <v>36.970701014029615</v>
      </c>
      <c r="AG5443" s="9">
        <v>36.970701014029615</v>
      </c>
      <c r="AH5443" s="9">
        <v>40.73370021367402</v>
      </c>
      <c r="AI5443" s="9">
        <v>44.029558741664026</v>
      </c>
      <c r="AJ5443" s="9">
        <v>3.0428788910505911</v>
      </c>
    </row>
    <row r="5444" spans="1:36" x14ac:dyDescent="0.25">
      <c r="A5444" t="s">
        <v>5411</v>
      </c>
      <c r="B5444" t="s">
        <v>16</v>
      </c>
      <c r="C5444" t="s">
        <v>17</v>
      </c>
      <c r="D5444">
        <v>91755000</v>
      </c>
      <c r="E5444">
        <v>91909999</v>
      </c>
      <c r="F5444" t="s">
        <v>4914</v>
      </c>
      <c r="G5444" t="str">
        <f t="shared" ref="G5444:G5507" si="170">H5444&amp;IF(J5444="CAPITAL","C",IF(J5444="INTERIOR","I",IF(J5444="INTERIOR II","I II","R")))</f>
        <v>RSC</v>
      </c>
      <c r="H5444" t="s">
        <v>4915</v>
      </c>
      <c r="I5444" t="s">
        <v>20</v>
      </c>
      <c r="J5444" t="s">
        <v>21</v>
      </c>
      <c r="K5444" s="6">
        <v>0.03</v>
      </c>
      <c r="L5444" s="7">
        <f t="shared" ref="L5444:L5507" si="171">IF(I5444="(0) Não",0.2%,3%)</f>
        <v>2E-3</v>
      </c>
      <c r="M5444" s="7">
        <v>3.0000000000000001E-3</v>
      </c>
      <c r="N5444">
        <v>7</v>
      </c>
      <c r="O5444" s="8">
        <v>12.541630150940794</v>
      </c>
      <c r="P5444" s="9">
        <v>12.541630150940794</v>
      </c>
      <c r="Q5444" s="9">
        <v>12.541630150940794</v>
      </c>
      <c r="R5444" s="9">
        <v>12.863302540649283</v>
      </c>
      <c r="S5444" s="9">
        <v>13.796278097020052</v>
      </c>
      <c r="T5444" s="9">
        <v>14.186168100882581</v>
      </c>
      <c r="U5444" s="9">
        <v>16.403535285794508</v>
      </c>
      <c r="V5444" s="9">
        <v>16.403535285794508</v>
      </c>
      <c r="W5444" s="9">
        <v>16.403535285794508</v>
      </c>
      <c r="X5444" s="9">
        <v>19.024000757722551</v>
      </c>
      <c r="Y5444" s="9">
        <v>19.024000757722551</v>
      </c>
      <c r="Z5444" s="9">
        <v>22.518478003106196</v>
      </c>
      <c r="AA5444" s="9">
        <v>22.518478003106196</v>
      </c>
      <c r="AB5444" s="9">
        <v>26.254394930157243</v>
      </c>
      <c r="AC5444" s="9">
        <v>26.254394930157243</v>
      </c>
      <c r="AD5444" s="9">
        <v>29.739852561009368</v>
      </c>
      <c r="AE5444" s="9">
        <v>33.309159608415044</v>
      </c>
      <c r="AF5444" s="9">
        <v>36.970701014029615</v>
      </c>
      <c r="AG5444" s="9">
        <v>36.970701014029615</v>
      </c>
      <c r="AH5444" s="9">
        <v>40.73370021367402</v>
      </c>
      <c r="AI5444" s="9">
        <v>44.029558741664026</v>
      </c>
      <c r="AJ5444" s="9">
        <v>3.0428788910505911</v>
      </c>
    </row>
    <row r="5445" spans="1:36" x14ac:dyDescent="0.25">
      <c r="A5445" t="s">
        <v>5411</v>
      </c>
      <c r="B5445" t="s">
        <v>16</v>
      </c>
      <c r="C5445" t="s">
        <v>17</v>
      </c>
      <c r="D5445">
        <v>91910000</v>
      </c>
      <c r="E5445">
        <v>91999999</v>
      </c>
      <c r="F5445" t="s">
        <v>4914</v>
      </c>
      <c r="G5445" t="str">
        <f t="shared" si="170"/>
        <v>RSC</v>
      </c>
      <c r="H5445" t="s">
        <v>4915</v>
      </c>
      <c r="I5445" t="s">
        <v>20</v>
      </c>
      <c r="J5445" t="s">
        <v>21</v>
      </c>
      <c r="K5445" s="6">
        <v>0.03</v>
      </c>
      <c r="L5445" s="7">
        <f t="shared" si="171"/>
        <v>2E-3</v>
      </c>
      <c r="M5445" s="7">
        <v>3.0000000000000001E-3</v>
      </c>
      <c r="N5445">
        <v>7</v>
      </c>
      <c r="O5445" s="8">
        <v>12.541630150940794</v>
      </c>
      <c r="P5445" s="9">
        <v>12.541630150940794</v>
      </c>
      <c r="Q5445" s="9">
        <v>12.541630150940794</v>
      </c>
      <c r="R5445" s="9">
        <v>12.863302540649283</v>
      </c>
      <c r="S5445" s="9">
        <v>13.796278097020052</v>
      </c>
      <c r="T5445" s="9">
        <v>14.186168100882581</v>
      </c>
      <c r="U5445" s="9">
        <v>16.403535285794508</v>
      </c>
      <c r="V5445" s="9">
        <v>16.403535285794508</v>
      </c>
      <c r="W5445" s="9">
        <v>16.403535285794508</v>
      </c>
      <c r="X5445" s="9">
        <v>19.024000757722551</v>
      </c>
      <c r="Y5445" s="9">
        <v>19.024000757722551</v>
      </c>
      <c r="Z5445" s="9">
        <v>22.518478003106196</v>
      </c>
      <c r="AA5445" s="9">
        <v>22.518478003106196</v>
      </c>
      <c r="AB5445" s="9">
        <v>26.254394930157243</v>
      </c>
      <c r="AC5445" s="9">
        <v>26.254394930157243</v>
      </c>
      <c r="AD5445" s="9">
        <v>29.739852561009368</v>
      </c>
      <c r="AE5445" s="9">
        <v>33.309159608415044</v>
      </c>
      <c r="AF5445" s="9">
        <v>36.970701014029615</v>
      </c>
      <c r="AG5445" s="9">
        <v>36.970701014029615</v>
      </c>
      <c r="AH5445" s="9">
        <v>40.73370021367402</v>
      </c>
      <c r="AI5445" s="9">
        <v>44.029558741664026</v>
      </c>
      <c r="AJ5445" s="9">
        <v>3.0428788910505911</v>
      </c>
    </row>
    <row r="5446" spans="1:36" x14ac:dyDescent="0.25">
      <c r="A5446" t="s">
        <v>5411</v>
      </c>
      <c r="B5446" t="s">
        <v>16</v>
      </c>
      <c r="C5446" t="s">
        <v>17</v>
      </c>
      <c r="D5446">
        <v>92000000</v>
      </c>
      <c r="E5446">
        <v>92119999</v>
      </c>
      <c r="F5446" t="s">
        <v>4916</v>
      </c>
      <c r="G5446" t="str">
        <f t="shared" si="170"/>
        <v>RSI</v>
      </c>
      <c r="H5446" t="s">
        <v>4915</v>
      </c>
      <c r="I5446" t="s">
        <v>20</v>
      </c>
      <c r="J5446" t="s">
        <v>62</v>
      </c>
      <c r="K5446" s="6">
        <v>0.03</v>
      </c>
      <c r="L5446" s="7">
        <f t="shared" si="171"/>
        <v>2E-3</v>
      </c>
      <c r="M5446" s="7">
        <v>3.0000000000000001E-3</v>
      </c>
      <c r="N5446">
        <v>8</v>
      </c>
      <c r="O5446" s="8">
        <v>17.509302802156309</v>
      </c>
      <c r="P5446" s="9">
        <v>17.509302802156309</v>
      </c>
      <c r="Q5446" s="9">
        <v>17.509302802156309</v>
      </c>
      <c r="R5446" s="9">
        <v>17.960073121579438</v>
      </c>
      <c r="S5446" s="9">
        <v>18.978426201825126</v>
      </c>
      <c r="T5446" s="9">
        <v>19.861619996324769</v>
      </c>
      <c r="U5446" s="9">
        <v>21.605211693624167</v>
      </c>
      <c r="V5446" s="9">
        <v>21.605211693624167</v>
      </c>
      <c r="W5446" s="9">
        <v>21.605211693624167</v>
      </c>
      <c r="X5446" s="9">
        <v>24.342346895578043</v>
      </c>
      <c r="Y5446" s="9">
        <v>24.342346895578043</v>
      </c>
      <c r="Z5446" s="9">
        <v>27.269806221922281</v>
      </c>
      <c r="AA5446" s="9">
        <v>27.269806221922281</v>
      </c>
      <c r="AB5446" s="9">
        <v>30.447232473217717</v>
      </c>
      <c r="AC5446" s="9">
        <v>30.447232473217717</v>
      </c>
      <c r="AD5446" s="9">
        <v>33.773696777878271</v>
      </c>
      <c r="AE5446" s="9">
        <v>37.668102449503657</v>
      </c>
      <c r="AF5446" s="9">
        <v>41.795656089883373</v>
      </c>
      <c r="AG5446" s="9">
        <v>41.795656089883373</v>
      </c>
      <c r="AH5446" s="9">
        <v>45.638668972740511</v>
      </c>
      <c r="AI5446" s="9">
        <v>49.380739592962819</v>
      </c>
      <c r="AJ5446" s="9">
        <v>3.0428788910505911</v>
      </c>
    </row>
    <row r="5447" spans="1:36" x14ac:dyDescent="0.25">
      <c r="A5447" t="s">
        <v>5411</v>
      </c>
      <c r="B5447" t="s">
        <v>16</v>
      </c>
      <c r="C5447" t="s">
        <v>17</v>
      </c>
      <c r="D5447">
        <v>92120000</v>
      </c>
      <c r="E5447">
        <v>92201019</v>
      </c>
      <c r="F5447" t="s">
        <v>4916</v>
      </c>
      <c r="G5447" t="str">
        <f t="shared" si="170"/>
        <v>RSI</v>
      </c>
      <c r="H5447" t="s">
        <v>4915</v>
      </c>
      <c r="I5447" t="s">
        <v>20</v>
      </c>
      <c r="J5447" t="s">
        <v>62</v>
      </c>
      <c r="K5447" s="6">
        <v>0.03</v>
      </c>
      <c r="L5447" s="7">
        <f t="shared" si="171"/>
        <v>2E-3</v>
      </c>
      <c r="M5447" s="7">
        <v>3.0000000000000001E-3</v>
      </c>
      <c r="N5447">
        <v>8</v>
      </c>
      <c r="O5447" s="8">
        <v>17.509302802156309</v>
      </c>
      <c r="P5447" s="9">
        <v>17.509302802156309</v>
      </c>
      <c r="Q5447" s="9">
        <v>17.509302802156309</v>
      </c>
      <c r="R5447" s="9">
        <v>17.960073121579438</v>
      </c>
      <c r="S5447" s="9">
        <v>18.978426201825126</v>
      </c>
      <c r="T5447" s="9">
        <v>19.861619996324769</v>
      </c>
      <c r="U5447" s="9">
        <v>21.605211693624167</v>
      </c>
      <c r="V5447" s="9">
        <v>21.605211693624167</v>
      </c>
      <c r="W5447" s="9">
        <v>21.605211693624167</v>
      </c>
      <c r="X5447" s="9">
        <v>24.342346895578043</v>
      </c>
      <c r="Y5447" s="9">
        <v>24.342346895578043</v>
      </c>
      <c r="Z5447" s="9">
        <v>27.269806221922281</v>
      </c>
      <c r="AA5447" s="9">
        <v>27.269806221922281</v>
      </c>
      <c r="AB5447" s="9">
        <v>30.447232473217717</v>
      </c>
      <c r="AC5447" s="9">
        <v>30.447232473217717</v>
      </c>
      <c r="AD5447" s="9">
        <v>33.773696777878271</v>
      </c>
      <c r="AE5447" s="9">
        <v>37.668102449503657</v>
      </c>
      <c r="AF5447" s="9">
        <v>41.795656089883373</v>
      </c>
      <c r="AG5447" s="9">
        <v>41.795656089883373</v>
      </c>
      <c r="AH5447" s="9">
        <v>45.638668972740511</v>
      </c>
      <c r="AI5447" s="9">
        <v>49.380739592962819</v>
      </c>
      <c r="AJ5447" s="9">
        <v>3.0428788910505911</v>
      </c>
    </row>
    <row r="5448" spans="1:36" x14ac:dyDescent="0.25">
      <c r="A5448" t="s">
        <v>5411</v>
      </c>
      <c r="B5448" t="s">
        <v>16</v>
      </c>
      <c r="C5448" t="s">
        <v>17</v>
      </c>
      <c r="D5448">
        <v>92201020</v>
      </c>
      <c r="E5448">
        <v>92339999</v>
      </c>
      <c r="F5448" t="s">
        <v>4916</v>
      </c>
      <c r="G5448" t="str">
        <f t="shared" si="170"/>
        <v>RSI</v>
      </c>
      <c r="H5448" t="s">
        <v>4915</v>
      </c>
      <c r="I5448" t="s">
        <v>20</v>
      </c>
      <c r="J5448" t="s">
        <v>62</v>
      </c>
      <c r="K5448" s="6">
        <v>0.03</v>
      </c>
      <c r="L5448" s="7">
        <f t="shared" si="171"/>
        <v>2E-3</v>
      </c>
      <c r="M5448" s="7">
        <v>3.0000000000000001E-3</v>
      </c>
      <c r="N5448">
        <v>8</v>
      </c>
      <c r="O5448" s="8">
        <v>17.509302802156309</v>
      </c>
      <c r="P5448" s="9">
        <v>17.509302802156309</v>
      </c>
      <c r="Q5448" s="9">
        <v>17.509302802156309</v>
      </c>
      <c r="R5448" s="9">
        <v>17.960073121579438</v>
      </c>
      <c r="S5448" s="9">
        <v>18.978426201825126</v>
      </c>
      <c r="T5448" s="9">
        <v>19.861619996324769</v>
      </c>
      <c r="U5448" s="9">
        <v>21.605211693624167</v>
      </c>
      <c r="V5448" s="9">
        <v>21.605211693624167</v>
      </c>
      <c r="W5448" s="9">
        <v>21.605211693624167</v>
      </c>
      <c r="X5448" s="9">
        <v>24.342346895578043</v>
      </c>
      <c r="Y5448" s="9">
        <v>24.342346895578043</v>
      </c>
      <c r="Z5448" s="9">
        <v>27.269806221922281</v>
      </c>
      <c r="AA5448" s="9">
        <v>27.269806221922281</v>
      </c>
      <c r="AB5448" s="9">
        <v>30.447232473217717</v>
      </c>
      <c r="AC5448" s="9">
        <v>30.447232473217717</v>
      </c>
      <c r="AD5448" s="9">
        <v>33.773696777878271</v>
      </c>
      <c r="AE5448" s="9">
        <v>37.668102449503657</v>
      </c>
      <c r="AF5448" s="9">
        <v>41.795656089883373</v>
      </c>
      <c r="AG5448" s="9">
        <v>41.795656089883373</v>
      </c>
      <c r="AH5448" s="9">
        <v>45.638668972740511</v>
      </c>
      <c r="AI5448" s="9">
        <v>49.380739592962819</v>
      </c>
      <c r="AJ5448" s="9">
        <v>3.0428788910505911</v>
      </c>
    </row>
    <row r="5449" spans="1:36" x14ac:dyDescent="0.25">
      <c r="A5449" t="s">
        <v>5411</v>
      </c>
      <c r="B5449" t="s">
        <v>16</v>
      </c>
      <c r="C5449" t="s">
        <v>17</v>
      </c>
      <c r="D5449">
        <v>92340000</v>
      </c>
      <c r="E5449">
        <v>92479999</v>
      </c>
      <c r="F5449" t="s">
        <v>4916</v>
      </c>
      <c r="G5449" t="str">
        <f t="shared" si="170"/>
        <v>RSI</v>
      </c>
      <c r="H5449" t="s">
        <v>4915</v>
      </c>
      <c r="I5449" t="s">
        <v>20</v>
      </c>
      <c r="J5449" t="s">
        <v>62</v>
      </c>
      <c r="K5449" s="6">
        <v>0.03</v>
      </c>
      <c r="L5449" s="7">
        <f t="shared" si="171"/>
        <v>2E-3</v>
      </c>
      <c r="M5449" s="7">
        <v>3.0000000000000001E-3</v>
      </c>
      <c r="N5449">
        <v>8</v>
      </c>
      <c r="O5449" s="8">
        <v>17.509302802156309</v>
      </c>
      <c r="P5449" s="9">
        <v>17.509302802156309</v>
      </c>
      <c r="Q5449" s="9">
        <v>17.509302802156309</v>
      </c>
      <c r="R5449" s="9">
        <v>17.960073121579438</v>
      </c>
      <c r="S5449" s="9">
        <v>18.978426201825126</v>
      </c>
      <c r="T5449" s="9">
        <v>19.861619996324769</v>
      </c>
      <c r="U5449" s="9">
        <v>21.605211693624167</v>
      </c>
      <c r="V5449" s="9">
        <v>21.605211693624167</v>
      </c>
      <c r="W5449" s="9">
        <v>21.605211693624167</v>
      </c>
      <c r="X5449" s="9">
        <v>24.342346895578043</v>
      </c>
      <c r="Y5449" s="9">
        <v>24.342346895578043</v>
      </c>
      <c r="Z5449" s="9">
        <v>27.269806221922281</v>
      </c>
      <c r="AA5449" s="9">
        <v>27.269806221922281</v>
      </c>
      <c r="AB5449" s="9">
        <v>30.447232473217717</v>
      </c>
      <c r="AC5449" s="9">
        <v>30.447232473217717</v>
      </c>
      <c r="AD5449" s="9">
        <v>33.773696777878271</v>
      </c>
      <c r="AE5449" s="9">
        <v>37.668102449503657</v>
      </c>
      <c r="AF5449" s="9">
        <v>41.795656089883373</v>
      </c>
      <c r="AG5449" s="9">
        <v>41.795656089883373</v>
      </c>
      <c r="AH5449" s="9">
        <v>45.638668972740511</v>
      </c>
      <c r="AI5449" s="9">
        <v>49.380739592962819</v>
      </c>
      <c r="AJ5449" s="9">
        <v>3.0428788910505911</v>
      </c>
    </row>
    <row r="5450" spans="1:36" x14ac:dyDescent="0.25">
      <c r="A5450" t="s">
        <v>5411</v>
      </c>
      <c r="B5450" t="s">
        <v>16</v>
      </c>
      <c r="C5450" t="s">
        <v>17</v>
      </c>
      <c r="D5450">
        <v>92480000</v>
      </c>
      <c r="E5450">
        <v>92499999</v>
      </c>
      <c r="F5450" t="s">
        <v>3152</v>
      </c>
      <c r="G5450" t="str">
        <f t="shared" si="170"/>
        <v>RSI II</v>
      </c>
      <c r="H5450" t="s">
        <v>4915</v>
      </c>
      <c r="I5450" t="s">
        <v>20</v>
      </c>
      <c r="J5450" t="s">
        <v>64</v>
      </c>
      <c r="K5450" s="6">
        <v>0.03</v>
      </c>
      <c r="L5450" s="7">
        <f t="shared" si="171"/>
        <v>2E-3</v>
      </c>
      <c r="M5450" s="7">
        <v>3.0000000000000001E-3</v>
      </c>
      <c r="N5450">
        <v>11</v>
      </c>
      <c r="O5450" s="8">
        <v>20.328747193832452</v>
      </c>
      <c r="P5450" s="9">
        <v>20.328747193832452</v>
      </c>
      <c r="Q5450" s="9">
        <v>20.328747193832452</v>
      </c>
      <c r="R5450" s="9">
        <v>20.901467178587069</v>
      </c>
      <c r="S5450" s="9">
        <v>21.789694031871221</v>
      </c>
      <c r="T5450" s="9">
        <v>22.685842380093916</v>
      </c>
      <c r="U5450" s="9">
        <v>25.139615720574728</v>
      </c>
      <c r="V5450" s="9">
        <v>25.139615720574728</v>
      </c>
      <c r="W5450" s="9">
        <v>25.139615720574728</v>
      </c>
      <c r="X5450" s="9">
        <v>28.431126761040446</v>
      </c>
      <c r="Y5450" s="9">
        <v>28.431126761040446</v>
      </c>
      <c r="Z5450" s="9">
        <v>31.8133765751437</v>
      </c>
      <c r="AA5450" s="9">
        <v>31.8133765751437</v>
      </c>
      <c r="AB5450" s="9">
        <v>35.295439040248269</v>
      </c>
      <c r="AC5450" s="9">
        <v>35.295439040248269</v>
      </c>
      <c r="AD5450" s="9">
        <v>40.66038110622798</v>
      </c>
      <c r="AE5450" s="9">
        <v>44.145469767258199</v>
      </c>
      <c r="AF5450" s="9">
        <v>47.802065076832598</v>
      </c>
      <c r="AG5450" s="9">
        <v>47.802065076832598</v>
      </c>
      <c r="AH5450" s="9">
        <v>52.368463891218347</v>
      </c>
      <c r="AI5450" s="9">
        <v>56.090712435126555</v>
      </c>
      <c r="AJ5450" s="9">
        <v>3.0428788910505911</v>
      </c>
    </row>
    <row r="5451" spans="1:36" x14ac:dyDescent="0.25">
      <c r="A5451" t="s">
        <v>5411</v>
      </c>
      <c r="B5451" t="s">
        <v>16</v>
      </c>
      <c r="C5451" t="s">
        <v>17</v>
      </c>
      <c r="D5451">
        <v>92500000</v>
      </c>
      <c r="E5451">
        <v>92849999</v>
      </c>
      <c r="F5451" t="s">
        <v>4917</v>
      </c>
      <c r="G5451" t="str">
        <f t="shared" si="170"/>
        <v>RSI</v>
      </c>
      <c r="H5451" t="s">
        <v>4915</v>
      </c>
      <c r="I5451" t="s">
        <v>20</v>
      </c>
      <c r="J5451" t="s">
        <v>62</v>
      </c>
      <c r="K5451" s="6">
        <v>0.03</v>
      </c>
      <c r="L5451" s="7">
        <f t="shared" si="171"/>
        <v>2E-3</v>
      </c>
      <c r="M5451" s="7">
        <v>3.0000000000000001E-3</v>
      </c>
      <c r="N5451">
        <v>8</v>
      </c>
      <c r="O5451" s="8">
        <v>17.509302802156309</v>
      </c>
      <c r="P5451" s="9">
        <v>17.509302802156309</v>
      </c>
      <c r="Q5451" s="9">
        <v>17.509302802156309</v>
      </c>
      <c r="R5451" s="9">
        <v>17.960073121579438</v>
      </c>
      <c r="S5451" s="9">
        <v>18.978426201825126</v>
      </c>
      <c r="T5451" s="9">
        <v>19.861619996324769</v>
      </c>
      <c r="U5451" s="9">
        <v>21.605211693624167</v>
      </c>
      <c r="V5451" s="9">
        <v>21.605211693624167</v>
      </c>
      <c r="W5451" s="9">
        <v>21.605211693624167</v>
      </c>
      <c r="X5451" s="9">
        <v>24.342346895578043</v>
      </c>
      <c r="Y5451" s="9">
        <v>24.342346895578043</v>
      </c>
      <c r="Z5451" s="9">
        <v>27.269806221922281</v>
      </c>
      <c r="AA5451" s="9">
        <v>27.269806221922281</v>
      </c>
      <c r="AB5451" s="9">
        <v>30.447232473217717</v>
      </c>
      <c r="AC5451" s="9">
        <v>30.447232473217717</v>
      </c>
      <c r="AD5451" s="9">
        <v>33.773696777878271</v>
      </c>
      <c r="AE5451" s="9">
        <v>37.668102449503657</v>
      </c>
      <c r="AF5451" s="9">
        <v>41.795656089883373</v>
      </c>
      <c r="AG5451" s="9">
        <v>41.795656089883373</v>
      </c>
      <c r="AH5451" s="9">
        <v>45.638668972740511</v>
      </c>
      <c r="AI5451" s="9">
        <v>49.380739592962819</v>
      </c>
      <c r="AJ5451" s="9">
        <v>3.0428788910505911</v>
      </c>
    </row>
    <row r="5452" spans="1:36" x14ac:dyDescent="0.25">
      <c r="A5452" t="s">
        <v>5411</v>
      </c>
      <c r="B5452" t="s">
        <v>16</v>
      </c>
      <c r="C5452" t="s">
        <v>17</v>
      </c>
      <c r="D5452">
        <v>92850000</v>
      </c>
      <c r="E5452">
        <v>92899999</v>
      </c>
      <c r="F5452" t="s">
        <v>4918</v>
      </c>
      <c r="G5452" t="str">
        <f t="shared" si="170"/>
        <v>RSI II</v>
      </c>
      <c r="H5452" t="s">
        <v>4915</v>
      </c>
      <c r="I5452" t="s">
        <v>20</v>
      </c>
      <c r="J5452" t="s">
        <v>64</v>
      </c>
      <c r="K5452" s="6">
        <v>0.03</v>
      </c>
      <c r="L5452" s="7">
        <f t="shared" si="171"/>
        <v>2E-3</v>
      </c>
      <c r="M5452" s="7">
        <v>3.0000000000000001E-3</v>
      </c>
      <c r="N5452">
        <v>11</v>
      </c>
      <c r="O5452" s="8">
        <v>20.328747193832452</v>
      </c>
      <c r="P5452" s="9">
        <v>20.328747193832452</v>
      </c>
      <c r="Q5452" s="9">
        <v>20.328747193832452</v>
      </c>
      <c r="R5452" s="9">
        <v>20.901467178587069</v>
      </c>
      <c r="S5452" s="9">
        <v>21.789694031871221</v>
      </c>
      <c r="T5452" s="9">
        <v>22.685842380093916</v>
      </c>
      <c r="U5452" s="9">
        <v>25.139615720574728</v>
      </c>
      <c r="V5452" s="9">
        <v>25.139615720574728</v>
      </c>
      <c r="W5452" s="9">
        <v>25.139615720574728</v>
      </c>
      <c r="X5452" s="9">
        <v>28.431126761040446</v>
      </c>
      <c r="Y5452" s="9">
        <v>28.431126761040446</v>
      </c>
      <c r="Z5452" s="9">
        <v>31.8133765751437</v>
      </c>
      <c r="AA5452" s="9">
        <v>31.8133765751437</v>
      </c>
      <c r="AB5452" s="9">
        <v>35.295439040248269</v>
      </c>
      <c r="AC5452" s="9">
        <v>35.295439040248269</v>
      </c>
      <c r="AD5452" s="9">
        <v>40.66038110622798</v>
      </c>
      <c r="AE5452" s="9">
        <v>44.145469767258199</v>
      </c>
      <c r="AF5452" s="9">
        <v>47.802065076832598</v>
      </c>
      <c r="AG5452" s="9">
        <v>47.802065076832598</v>
      </c>
      <c r="AH5452" s="9">
        <v>52.368463891218347</v>
      </c>
      <c r="AI5452" s="9">
        <v>56.090712435126555</v>
      </c>
      <c r="AJ5452" s="9">
        <v>3.0428788910505911</v>
      </c>
    </row>
    <row r="5453" spans="1:36" x14ac:dyDescent="0.25">
      <c r="A5453" t="s">
        <v>5411</v>
      </c>
      <c r="B5453" t="s">
        <v>16</v>
      </c>
      <c r="C5453" t="s">
        <v>17</v>
      </c>
      <c r="D5453">
        <v>92900000</v>
      </c>
      <c r="E5453">
        <v>92989999</v>
      </c>
      <c r="F5453" t="s">
        <v>4919</v>
      </c>
      <c r="G5453" t="str">
        <f t="shared" si="170"/>
        <v>RSI II</v>
      </c>
      <c r="H5453" t="s">
        <v>4915</v>
      </c>
      <c r="I5453" t="s">
        <v>20</v>
      </c>
      <c r="J5453" t="s">
        <v>64</v>
      </c>
      <c r="K5453" s="6">
        <v>0.03</v>
      </c>
      <c r="L5453" s="7">
        <f t="shared" si="171"/>
        <v>2E-3</v>
      </c>
      <c r="M5453" s="7">
        <v>3.0000000000000001E-3</v>
      </c>
      <c r="N5453">
        <v>10</v>
      </c>
      <c r="O5453" s="8">
        <v>20.328747193832452</v>
      </c>
      <c r="P5453" s="9">
        <v>20.328747193832452</v>
      </c>
      <c r="Q5453" s="9">
        <v>20.328747193832452</v>
      </c>
      <c r="R5453" s="9">
        <v>20.901467178587069</v>
      </c>
      <c r="S5453" s="9">
        <v>21.789694031871221</v>
      </c>
      <c r="T5453" s="9">
        <v>22.685842380093916</v>
      </c>
      <c r="U5453" s="9">
        <v>25.139615720574728</v>
      </c>
      <c r="V5453" s="9">
        <v>25.139615720574728</v>
      </c>
      <c r="W5453" s="9">
        <v>25.139615720574728</v>
      </c>
      <c r="X5453" s="9">
        <v>28.431126761040446</v>
      </c>
      <c r="Y5453" s="9">
        <v>28.431126761040446</v>
      </c>
      <c r="Z5453" s="9">
        <v>31.8133765751437</v>
      </c>
      <c r="AA5453" s="9">
        <v>31.8133765751437</v>
      </c>
      <c r="AB5453" s="9">
        <v>35.295439040248269</v>
      </c>
      <c r="AC5453" s="9">
        <v>35.295439040248269</v>
      </c>
      <c r="AD5453" s="9">
        <v>40.66038110622798</v>
      </c>
      <c r="AE5453" s="9">
        <v>44.145469767258199</v>
      </c>
      <c r="AF5453" s="9">
        <v>47.802065076832598</v>
      </c>
      <c r="AG5453" s="9">
        <v>47.802065076832598</v>
      </c>
      <c r="AH5453" s="9">
        <v>52.368463891218347</v>
      </c>
      <c r="AI5453" s="9">
        <v>56.090712435126555</v>
      </c>
      <c r="AJ5453" s="9">
        <v>3.0428788910505911</v>
      </c>
    </row>
    <row r="5454" spans="1:36" x14ac:dyDescent="0.25">
      <c r="A5454" t="s">
        <v>5411</v>
      </c>
      <c r="B5454" t="s">
        <v>16</v>
      </c>
      <c r="C5454" t="s">
        <v>17</v>
      </c>
      <c r="D5454">
        <v>92990000</v>
      </c>
      <c r="E5454">
        <v>92999999</v>
      </c>
      <c r="F5454" t="s">
        <v>4920</v>
      </c>
      <c r="G5454" t="str">
        <f t="shared" si="170"/>
        <v>RSI II</v>
      </c>
      <c r="H5454" t="s">
        <v>4915</v>
      </c>
      <c r="I5454" t="s">
        <v>20</v>
      </c>
      <c r="J5454" t="s">
        <v>64</v>
      </c>
      <c r="K5454" s="6">
        <v>0.03</v>
      </c>
      <c r="L5454" s="7">
        <f t="shared" si="171"/>
        <v>2E-3</v>
      </c>
      <c r="M5454" s="7">
        <v>3.0000000000000001E-3</v>
      </c>
      <c r="N5454">
        <v>10</v>
      </c>
      <c r="O5454" s="8">
        <v>20.328747193832452</v>
      </c>
      <c r="P5454" s="9">
        <v>20.328747193832452</v>
      </c>
      <c r="Q5454" s="9">
        <v>20.328747193832452</v>
      </c>
      <c r="R5454" s="9">
        <v>20.901467178587069</v>
      </c>
      <c r="S5454" s="9">
        <v>21.789694031871221</v>
      </c>
      <c r="T5454" s="9">
        <v>22.685842380093916</v>
      </c>
      <c r="U5454" s="9">
        <v>25.139615720574728</v>
      </c>
      <c r="V5454" s="9">
        <v>25.139615720574728</v>
      </c>
      <c r="W5454" s="9">
        <v>25.139615720574728</v>
      </c>
      <c r="X5454" s="9">
        <v>28.431126761040446</v>
      </c>
      <c r="Y5454" s="9">
        <v>28.431126761040446</v>
      </c>
      <c r="Z5454" s="9">
        <v>31.8133765751437</v>
      </c>
      <c r="AA5454" s="9">
        <v>31.8133765751437</v>
      </c>
      <c r="AB5454" s="9">
        <v>35.295439040248269</v>
      </c>
      <c r="AC5454" s="9">
        <v>35.295439040248269</v>
      </c>
      <c r="AD5454" s="9">
        <v>40.66038110622798</v>
      </c>
      <c r="AE5454" s="9">
        <v>44.145469767258199</v>
      </c>
      <c r="AF5454" s="9">
        <v>47.802065076832598</v>
      </c>
      <c r="AG5454" s="9">
        <v>47.802065076832598</v>
      </c>
      <c r="AH5454" s="9">
        <v>52.368463891218347</v>
      </c>
      <c r="AI5454" s="9">
        <v>56.090712435126555</v>
      </c>
      <c r="AJ5454" s="9">
        <v>3.0428788910505911</v>
      </c>
    </row>
    <row r="5455" spans="1:36" x14ac:dyDescent="0.25">
      <c r="A5455" t="s">
        <v>5411</v>
      </c>
      <c r="B5455" t="s">
        <v>16</v>
      </c>
      <c r="C5455" t="s">
        <v>17</v>
      </c>
      <c r="D5455">
        <v>93000000</v>
      </c>
      <c r="E5455">
        <v>93124999</v>
      </c>
      <c r="F5455" t="s">
        <v>4921</v>
      </c>
      <c r="G5455" t="str">
        <f t="shared" si="170"/>
        <v>RSI</v>
      </c>
      <c r="H5455" t="s">
        <v>4915</v>
      </c>
      <c r="I5455" t="s">
        <v>20</v>
      </c>
      <c r="J5455" t="s">
        <v>62</v>
      </c>
      <c r="K5455" s="6">
        <v>0.03</v>
      </c>
      <c r="L5455" s="7">
        <f t="shared" si="171"/>
        <v>2E-3</v>
      </c>
      <c r="M5455" s="7">
        <v>3.0000000000000001E-3</v>
      </c>
      <c r="N5455">
        <v>8</v>
      </c>
      <c r="O5455" s="8">
        <v>17.509302802156309</v>
      </c>
      <c r="P5455" s="9">
        <v>17.509302802156309</v>
      </c>
      <c r="Q5455" s="9">
        <v>17.509302802156309</v>
      </c>
      <c r="R5455" s="9">
        <v>17.960073121579438</v>
      </c>
      <c r="S5455" s="9">
        <v>18.978426201825126</v>
      </c>
      <c r="T5455" s="9">
        <v>19.861619996324769</v>
      </c>
      <c r="U5455" s="9">
        <v>21.605211693624167</v>
      </c>
      <c r="V5455" s="9">
        <v>21.605211693624167</v>
      </c>
      <c r="W5455" s="9">
        <v>21.605211693624167</v>
      </c>
      <c r="X5455" s="9">
        <v>24.342346895578043</v>
      </c>
      <c r="Y5455" s="9">
        <v>24.342346895578043</v>
      </c>
      <c r="Z5455" s="9">
        <v>27.269806221922281</v>
      </c>
      <c r="AA5455" s="9">
        <v>27.269806221922281</v>
      </c>
      <c r="AB5455" s="9">
        <v>30.447232473217717</v>
      </c>
      <c r="AC5455" s="9">
        <v>30.447232473217717</v>
      </c>
      <c r="AD5455" s="9">
        <v>33.773696777878271</v>
      </c>
      <c r="AE5455" s="9">
        <v>37.668102449503657</v>
      </c>
      <c r="AF5455" s="9">
        <v>41.795656089883373</v>
      </c>
      <c r="AG5455" s="9">
        <v>41.795656089883373</v>
      </c>
      <c r="AH5455" s="9">
        <v>45.638668972740511</v>
      </c>
      <c r="AI5455" s="9">
        <v>49.380739592962819</v>
      </c>
      <c r="AJ5455" s="9">
        <v>3.0428788910505911</v>
      </c>
    </row>
    <row r="5456" spans="1:36" x14ac:dyDescent="0.25">
      <c r="A5456" t="s">
        <v>5411</v>
      </c>
      <c r="B5456" t="s">
        <v>16</v>
      </c>
      <c r="C5456" t="s">
        <v>17</v>
      </c>
      <c r="D5456">
        <v>93125000</v>
      </c>
      <c r="E5456">
        <v>93179999</v>
      </c>
      <c r="F5456" t="s">
        <v>4921</v>
      </c>
      <c r="G5456" t="str">
        <f t="shared" si="170"/>
        <v>RSI</v>
      </c>
      <c r="H5456" t="s">
        <v>4915</v>
      </c>
      <c r="I5456" t="s">
        <v>20</v>
      </c>
      <c r="J5456" t="s">
        <v>62</v>
      </c>
      <c r="K5456" s="6">
        <v>0.03</v>
      </c>
      <c r="L5456" s="7">
        <f t="shared" si="171"/>
        <v>2E-3</v>
      </c>
      <c r="M5456" s="7">
        <v>3.0000000000000001E-3</v>
      </c>
      <c r="N5456">
        <v>8</v>
      </c>
      <c r="O5456" s="8">
        <v>17.509302802156309</v>
      </c>
      <c r="P5456" s="9">
        <v>17.509302802156309</v>
      </c>
      <c r="Q5456" s="9">
        <v>17.509302802156309</v>
      </c>
      <c r="R5456" s="9">
        <v>17.960073121579438</v>
      </c>
      <c r="S5456" s="9">
        <v>18.978426201825126</v>
      </c>
      <c r="T5456" s="9">
        <v>19.861619996324769</v>
      </c>
      <c r="U5456" s="9">
        <v>21.605211693624167</v>
      </c>
      <c r="V5456" s="9">
        <v>21.605211693624167</v>
      </c>
      <c r="W5456" s="9">
        <v>21.605211693624167</v>
      </c>
      <c r="X5456" s="9">
        <v>24.342346895578043</v>
      </c>
      <c r="Y5456" s="9">
        <v>24.342346895578043</v>
      </c>
      <c r="Z5456" s="9">
        <v>27.269806221922281</v>
      </c>
      <c r="AA5456" s="9">
        <v>27.269806221922281</v>
      </c>
      <c r="AB5456" s="9">
        <v>30.447232473217717</v>
      </c>
      <c r="AC5456" s="9">
        <v>30.447232473217717</v>
      </c>
      <c r="AD5456" s="9">
        <v>33.773696777878271</v>
      </c>
      <c r="AE5456" s="9">
        <v>37.668102449503657</v>
      </c>
      <c r="AF5456" s="9">
        <v>41.795656089883373</v>
      </c>
      <c r="AG5456" s="9">
        <v>41.795656089883373</v>
      </c>
      <c r="AH5456" s="9">
        <v>45.638668972740511</v>
      </c>
      <c r="AI5456" s="9">
        <v>49.380739592962819</v>
      </c>
      <c r="AJ5456" s="9">
        <v>3.0428788910505911</v>
      </c>
    </row>
    <row r="5457" spans="1:36" x14ac:dyDescent="0.25">
      <c r="A5457" t="s">
        <v>5411</v>
      </c>
      <c r="B5457" t="s">
        <v>16</v>
      </c>
      <c r="C5457" t="s">
        <v>17</v>
      </c>
      <c r="D5457">
        <v>93180000</v>
      </c>
      <c r="E5457">
        <v>93199999</v>
      </c>
      <c r="F5457" t="s">
        <v>4922</v>
      </c>
      <c r="G5457" t="str">
        <f t="shared" si="170"/>
        <v>RSI II</v>
      </c>
      <c r="H5457" t="s">
        <v>4915</v>
      </c>
      <c r="I5457" t="s">
        <v>20</v>
      </c>
      <c r="J5457" t="s">
        <v>64</v>
      </c>
      <c r="K5457" s="6">
        <v>0.03</v>
      </c>
      <c r="L5457" s="7">
        <f t="shared" si="171"/>
        <v>2E-3</v>
      </c>
      <c r="M5457" s="7">
        <v>3.0000000000000001E-3</v>
      </c>
      <c r="N5457">
        <v>11</v>
      </c>
      <c r="O5457" s="8">
        <v>20.328747193832452</v>
      </c>
      <c r="P5457" s="9">
        <v>20.328747193832452</v>
      </c>
      <c r="Q5457" s="9">
        <v>20.328747193832452</v>
      </c>
      <c r="R5457" s="9">
        <v>20.901467178587069</v>
      </c>
      <c r="S5457" s="9">
        <v>21.789694031871221</v>
      </c>
      <c r="T5457" s="9">
        <v>22.685842380093916</v>
      </c>
      <c r="U5457" s="9">
        <v>25.139615720574728</v>
      </c>
      <c r="V5457" s="9">
        <v>25.139615720574728</v>
      </c>
      <c r="W5457" s="9">
        <v>25.139615720574728</v>
      </c>
      <c r="X5457" s="9">
        <v>28.431126761040446</v>
      </c>
      <c r="Y5457" s="9">
        <v>28.431126761040446</v>
      </c>
      <c r="Z5457" s="9">
        <v>31.8133765751437</v>
      </c>
      <c r="AA5457" s="9">
        <v>31.8133765751437</v>
      </c>
      <c r="AB5457" s="9">
        <v>35.295439040248269</v>
      </c>
      <c r="AC5457" s="9">
        <v>35.295439040248269</v>
      </c>
      <c r="AD5457" s="9">
        <v>40.66038110622798</v>
      </c>
      <c r="AE5457" s="9">
        <v>44.145469767258199</v>
      </c>
      <c r="AF5457" s="9">
        <v>47.802065076832598</v>
      </c>
      <c r="AG5457" s="9">
        <v>47.802065076832598</v>
      </c>
      <c r="AH5457" s="9">
        <v>52.368463891218347</v>
      </c>
      <c r="AI5457" s="9">
        <v>56.090712435126555</v>
      </c>
      <c r="AJ5457" s="9">
        <v>3.0428788910505911</v>
      </c>
    </row>
    <row r="5458" spans="1:36" x14ac:dyDescent="0.25">
      <c r="A5458" t="s">
        <v>5411</v>
      </c>
      <c r="B5458" t="s">
        <v>16</v>
      </c>
      <c r="C5458" t="s">
        <v>17</v>
      </c>
      <c r="D5458">
        <v>93200000</v>
      </c>
      <c r="E5458">
        <v>93249999</v>
      </c>
      <c r="F5458" t="s">
        <v>4923</v>
      </c>
      <c r="G5458" t="str">
        <f t="shared" si="170"/>
        <v>RSI</v>
      </c>
      <c r="H5458" t="s">
        <v>4915</v>
      </c>
      <c r="I5458" t="s">
        <v>20</v>
      </c>
      <c r="J5458" t="s">
        <v>62</v>
      </c>
      <c r="K5458" s="6">
        <v>0.03</v>
      </c>
      <c r="L5458" s="7">
        <f t="shared" si="171"/>
        <v>2E-3</v>
      </c>
      <c r="M5458" s="7">
        <v>3.0000000000000001E-3</v>
      </c>
      <c r="N5458">
        <v>8</v>
      </c>
      <c r="O5458" s="8">
        <v>17.509302802156309</v>
      </c>
      <c r="P5458" s="9">
        <v>17.509302802156309</v>
      </c>
      <c r="Q5458" s="9">
        <v>17.509302802156309</v>
      </c>
      <c r="R5458" s="9">
        <v>17.960073121579438</v>
      </c>
      <c r="S5458" s="9">
        <v>18.978426201825126</v>
      </c>
      <c r="T5458" s="9">
        <v>19.861619996324769</v>
      </c>
      <c r="U5458" s="9">
        <v>21.605211693624167</v>
      </c>
      <c r="V5458" s="9">
        <v>21.605211693624167</v>
      </c>
      <c r="W5458" s="9">
        <v>21.605211693624167</v>
      </c>
      <c r="X5458" s="9">
        <v>24.342346895578043</v>
      </c>
      <c r="Y5458" s="9">
        <v>24.342346895578043</v>
      </c>
      <c r="Z5458" s="9">
        <v>27.269806221922281</v>
      </c>
      <c r="AA5458" s="9">
        <v>27.269806221922281</v>
      </c>
      <c r="AB5458" s="9">
        <v>30.447232473217717</v>
      </c>
      <c r="AC5458" s="9">
        <v>30.447232473217717</v>
      </c>
      <c r="AD5458" s="9">
        <v>33.773696777878271</v>
      </c>
      <c r="AE5458" s="9">
        <v>37.668102449503657</v>
      </c>
      <c r="AF5458" s="9">
        <v>41.795656089883373</v>
      </c>
      <c r="AG5458" s="9">
        <v>41.795656089883373</v>
      </c>
      <c r="AH5458" s="9">
        <v>45.638668972740511</v>
      </c>
      <c r="AI5458" s="9">
        <v>49.380739592962819</v>
      </c>
      <c r="AJ5458" s="9">
        <v>3.0428788910505911</v>
      </c>
    </row>
    <row r="5459" spans="1:36" x14ac:dyDescent="0.25">
      <c r="A5459" t="s">
        <v>5411</v>
      </c>
      <c r="B5459" t="s">
        <v>16</v>
      </c>
      <c r="C5459" t="s">
        <v>17</v>
      </c>
      <c r="D5459">
        <v>93250000</v>
      </c>
      <c r="E5459">
        <v>93299999</v>
      </c>
      <c r="F5459" t="s">
        <v>4924</v>
      </c>
      <c r="G5459" t="str">
        <f t="shared" si="170"/>
        <v>RSI</v>
      </c>
      <c r="H5459" t="s">
        <v>4915</v>
      </c>
      <c r="I5459" t="s">
        <v>20</v>
      </c>
      <c r="J5459" t="s">
        <v>62</v>
      </c>
      <c r="K5459" s="6">
        <v>0.03</v>
      </c>
      <c r="L5459" s="7">
        <f t="shared" si="171"/>
        <v>2E-3</v>
      </c>
      <c r="M5459" s="7">
        <v>3.0000000000000001E-3</v>
      </c>
      <c r="N5459">
        <v>8</v>
      </c>
      <c r="O5459" s="8">
        <v>17.509302802156309</v>
      </c>
      <c r="P5459" s="9">
        <v>17.509302802156309</v>
      </c>
      <c r="Q5459" s="9">
        <v>17.509302802156309</v>
      </c>
      <c r="R5459" s="9">
        <v>17.960073121579438</v>
      </c>
      <c r="S5459" s="9">
        <v>18.978426201825126</v>
      </c>
      <c r="T5459" s="9">
        <v>19.861619996324769</v>
      </c>
      <c r="U5459" s="9">
        <v>21.605211693624167</v>
      </c>
      <c r="V5459" s="9">
        <v>21.605211693624167</v>
      </c>
      <c r="W5459" s="9">
        <v>21.605211693624167</v>
      </c>
      <c r="X5459" s="9">
        <v>24.342346895578043</v>
      </c>
      <c r="Y5459" s="9">
        <v>24.342346895578043</v>
      </c>
      <c r="Z5459" s="9">
        <v>27.269806221922281</v>
      </c>
      <c r="AA5459" s="9">
        <v>27.269806221922281</v>
      </c>
      <c r="AB5459" s="9">
        <v>30.447232473217717</v>
      </c>
      <c r="AC5459" s="9">
        <v>30.447232473217717</v>
      </c>
      <c r="AD5459" s="9">
        <v>33.773696777878271</v>
      </c>
      <c r="AE5459" s="9">
        <v>37.668102449503657</v>
      </c>
      <c r="AF5459" s="9">
        <v>41.795656089883373</v>
      </c>
      <c r="AG5459" s="9">
        <v>41.795656089883373</v>
      </c>
      <c r="AH5459" s="9">
        <v>45.638668972740511</v>
      </c>
      <c r="AI5459" s="9">
        <v>49.380739592962819</v>
      </c>
      <c r="AJ5459" s="9">
        <v>3.0428788910505911</v>
      </c>
    </row>
    <row r="5460" spans="1:36" x14ac:dyDescent="0.25">
      <c r="A5460" t="s">
        <v>5411</v>
      </c>
      <c r="B5460" t="s">
        <v>16</v>
      </c>
      <c r="C5460" t="s">
        <v>17</v>
      </c>
      <c r="D5460">
        <v>93300000</v>
      </c>
      <c r="E5460">
        <v>93519999</v>
      </c>
      <c r="F5460" t="s">
        <v>4925</v>
      </c>
      <c r="G5460" t="str">
        <f t="shared" si="170"/>
        <v>RSI</v>
      </c>
      <c r="H5460" t="s">
        <v>4915</v>
      </c>
      <c r="I5460" t="s">
        <v>20</v>
      </c>
      <c r="J5460" t="s">
        <v>62</v>
      </c>
      <c r="K5460" s="6">
        <v>0.03</v>
      </c>
      <c r="L5460" s="7">
        <f t="shared" si="171"/>
        <v>2E-3</v>
      </c>
      <c r="M5460" s="7">
        <v>3.0000000000000001E-3</v>
      </c>
      <c r="N5460">
        <v>8</v>
      </c>
      <c r="O5460" s="8">
        <v>17.509302802156309</v>
      </c>
      <c r="P5460" s="9">
        <v>17.509302802156309</v>
      </c>
      <c r="Q5460" s="9">
        <v>17.509302802156309</v>
      </c>
      <c r="R5460" s="9">
        <v>17.960073121579438</v>
      </c>
      <c r="S5460" s="9">
        <v>18.978426201825126</v>
      </c>
      <c r="T5460" s="9">
        <v>19.861619996324769</v>
      </c>
      <c r="U5460" s="9">
        <v>21.605211693624167</v>
      </c>
      <c r="V5460" s="9">
        <v>21.605211693624167</v>
      </c>
      <c r="W5460" s="9">
        <v>21.605211693624167</v>
      </c>
      <c r="X5460" s="9">
        <v>24.342346895578043</v>
      </c>
      <c r="Y5460" s="9">
        <v>24.342346895578043</v>
      </c>
      <c r="Z5460" s="9">
        <v>27.269806221922281</v>
      </c>
      <c r="AA5460" s="9">
        <v>27.269806221922281</v>
      </c>
      <c r="AB5460" s="9">
        <v>30.447232473217717</v>
      </c>
      <c r="AC5460" s="9">
        <v>30.447232473217717</v>
      </c>
      <c r="AD5460" s="9">
        <v>33.773696777878271</v>
      </c>
      <c r="AE5460" s="9">
        <v>37.668102449503657</v>
      </c>
      <c r="AF5460" s="9">
        <v>41.795656089883373</v>
      </c>
      <c r="AG5460" s="9">
        <v>41.795656089883373</v>
      </c>
      <c r="AH5460" s="9">
        <v>45.638668972740511</v>
      </c>
      <c r="AI5460" s="9">
        <v>49.380739592962819</v>
      </c>
      <c r="AJ5460" s="9">
        <v>3.0428788910505911</v>
      </c>
    </row>
    <row r="5461" spans="1:36" x14ac:dyDescent="0.25">
      <c r="A5461" t="s">
        <v>5411</v>
      </c>
      <c r="B5461" t="s">
        <v>16</v>
      </c>
      <c r="C5461" t="s">
        <v>17</v>
      </c>
      <c r="D5461">
        <v>93520000</v>
      </c>
      <c r="E5461">
        <v>93599999</v>
      </c>
      <c r="F5461" t="s">
        <v>4925</v>
      </c>
      <c r="G5461" t="str">
        <f t="shared" si="170"/>
        <v>RSI</v>
      </c>
      <c r="H5461" t="s">
        <v>4915</v>
      </c>
      <c r="I5461" t="s">
        <v>20</v>
      </c>
      <c r="J5461" t="s">
        <v>62</v>
      </c>
      <c r="K5461" s="6">
        <v>0.03</v>
      </c>
      <c r="L5461" s="7">
        <f t="shared" si="171"/>
        <v>2E-3</v>
      </c>
      <c r="M5461" s="7">
        <v>3.0000000000000001E-3</v>
      </c>
      <c r="N5461">
        <v>8</v>
      </c>
      <c r="O5461" s="8">
        <v>17.509302802156309</v>
      </c>
      <c r="P5461" s="9">
        <v>17.509302802156309</v>
      </c>
      <c r="Q5461" s="9">
        <v>17.509302802156309</v>
      </c>
      <c r="R5461" s="9">
        <v>17.960073121579438</v>
      </c>
      <c r="S5461" s="9">
        <v>18.978426201825126</v>
      </c>
      <c r="T5461" s="9">
        <v>19.861619996324769</v>
      </c>
      <c r="U5461" s="9">
        <v>21.605211693624167</v>
      </c>
      <c r="V5461" s="9">
        <v>21.605211693624167</v>
      </c>
      <c r="W5461" s="9">
        <v>21.605211693624167</v>
      </c>
      <c r="X5461" s="9">
        <v>24.342346895578043</v>
      </c>
      <c r="Y5461" s="9">
        <v>24.342346895578043</v>
      </c>
      <c r="Z5461" s="9">
        <v>27.269806221922281</v>
      </c>
      <c r="AA5461" s="9">
        <v>27.269806221922281</v>
      </c>
      <c r="AB5461" s="9">
        <v>30.447232473217717</v>
      </c>
      <c r="AC5461" s="9">
        <v>30.447232473217717</v>
      </c>
      <c r="AD5461" s="9">
        <v>33.773696777878271</v>
      </c>
      <c r="AE5461" s="9">
        <v>37.668102449503657</v>
      </c>
      <c r="AF5461" s="9">
        <v>41.795656089883373</v>
      </c>
      <c r="AG5461" s="9">
        <v>41.795656089883373</v>
      </c>
      <c r="AH5461" s="9">
        <v>45.638668972740511</v>
      </c>
      <c r="AI5461" s="9">
        <v>49.380739592962819</v>
      </c>
      <c r="AJ5461" s="9">
        <v>3.0428788910505911</v>
      </c>
    </row>
    <row r="5462" spans="1:36" x14ac:dyDescent="0.25">
      <c r="A5462" t="s">
        <v>5411</v>
      </c>
      <c r="B5462" t="s">
        <v>16</v>
      </c>
      <c r="C5462" t="s">
        <v>17</v>
      </c>
      <c r="D5462">
        <v>93600000</v>
      </c>
      <c r="E5462">
        <v>93699999</v>
      </c>
      <c r="F5462" t="s">
        <v>4926</v>
      </c>
      <c r="G5462" t="str">
        <f t="shared" si="170"/>
        <v>RSI</v>
      </c>
      <c r="H5462" t="s">
        <v>4915</v>
      </c>
      <c r="I5462" t="s">
        <v>20</v>
      </c>
      <c r="J5462" t="s">
        <v>62</v>
      </c>
      <c r="K5462" s="6">
        <v>0.03</v>
      </c>
      <c r="L5462" s="7">
        <f t="shared" si="171"/>
        <v>2E-3</v>
      </c>
      <c r="M5462" s="7">
        <v>3.0000000000000001E-3</v>
      </c>
      <c r="N5462">
        <v>8</v>
      </c>
      <c r="O5462" s="8">
        <v>17.509302802156309</v>
      </c>
      <c r="P5462" s="9">
        <v>17.509302802156309</v>
      </c>
      <c r="Q5462" s="9">
        <v>17.509302802156309</v>
      </c>
      <c r="R5462" s="9">
        <v>17.960073121579438</v>
      </c>
      <c r="S5462" s="9">
        <v>18.978426201825126</v>
      </c>
      <c r="T5462" s="9">
        <v>19.861619996324769</v>
      </c>
      <c r="U5462" s="9">
        <v>21.605211693624167</v>
      </c>
      <c r="V5462" s="9">
        <v>21.605211693624167</v>
      </c>
      <c r="W5462" s="9">
        <v>21.605211693624167</v>
      </c>
      <c r="X5462" s="9">
        <v>24.342346895578043</v>
      </c>
      <c r="Y5462" s="9">
        <v>24.342346895578043</v>
      </c>
      <c r="Z5462" s="9">
        <v>27.269806221922281</v>
      </c>
      <c r="AA5462" s="9">
        <v>27.269806221922281</v>
      </c>
      <c r="AB5462" s="9">
        <v>30.447232473217717</v>
      </c>
      <c r="AC5462" s="9">
        <v>30.447232473217717</v>
      </c>
      <c r="AD5462" s="9">
        <v>33.773696777878271</v>
      </c>
      <c r="AE5462" s="9">
        <v>37.668102449503657</v>
      </c>
      <c r="AF5462" s="9">
        <v>41.795656089883373</v>
      </c>
      <c r="AG5462" s="9">
        <v>41.795656089883373</v>
      </c>
      <c r="AH5462" s="9">
        <v>45.638668972740511</v>
      </c>
      <c r="AI5462" s="9">
        <v>49.380739592962819</v>
      </c>
      <c r="AJ5462" s="9">
        <v>3.0428788910505911</v>
      </c>
    </row>
    <row r="5463" spans="1:36" x14ac:dyDescent="0.25">
      <c r="A5463" t="s">
        <v>5411</v>
      </c>
      <c r="B5463" t="s">
        <v>16</v>
      </c>
      <c r="C5463" t="s">
        <v>17</v>
      </c>
      <c r="D5463">
        <v>93700000</v>
      </c>
      <c r="E5463">
        <v>93799999</v>
      </c>
      <c r="F5463" t="s">
        <v>4927</v>
      </c>
      <c r="G5463" t="str">
        <f t="shared" si="170"/>
        <v>RSI</v>
      </c>
      <c r="H5463" t="s">
        <v>4915</v>
      </c>
      <c r="I5463" t="s">
        <v>20</v>
      </c>
      <c r="J5463" t="s">
        <v>62</v>
      </c>
      <c r="K5463" s="6">
        <v>0.03</v>
      </c>
      <c r="L5463" s="7">
        <f t="shared" si="171"/>
        <v>2E-3</v>
      </c>
      <c r="M5463" s="7">
        <v>3.0000000000000001E-3</v>
      </c>
      <c r="N5463">
        <v>9</v>
      </c>
      <c r="O5463" s="8">
        <v>17.509302802156309</v>
      </c>
      <c r="P5463" s="9">
        <v>17.509302802156309</v>
      </c>
      <c r="Q5463" s="9">
        <v>17.509302802156309</v>
      </c>
      <c r="R5463" s="9">
        <v>17.960073121579438</v>
      </c>
      <c r="S5463" s="9">
        <v>18.978426201825126</v>
      </c>
      <c r="T5463" s="9">
        <v>19.861619996324769</v>
      </c>
      <c r="U5463" s="9">
        <v>21.605211693624167</v>
      </c>
      <c r="V5463" s="9">
        <v>21.605211693624167</v>
      </c>
      <c r="W5463" s="9">
        <v>21.605211693624167</v>
      </c>
      <c r="X5463" s="9">
        <v>24.342346895578043</v>
      </c>
      <c r="Y5463" s="9">
        <v>24.342346895578043</v>
      </c>
      <c r="Z5463" s="9">
        <v>27.269806221922281</v>
      </c>
      <c r="AA5463" s="9">
        <v>27.269806221922281</v>
      </c>
      <c r="AB5463" s="9">
        <v>30.447232473217717</v>
      </c>
      <c r="AC5463" s="9">
        <v>30.447232473217717</v>
      </c>
      <c r="AD5463" s="9">
        <v>33.773696777878271</v>
      </c>
      <c r="AE5463" s="9">
        <v>37.668102449503657</v>
      </c>
      <c r="AF5463" s="9">
        <v>41.795656089883373</v>
      </c>
      <c r="AG5463" s="9">
        <v>41.795656089883373</v>
      </c>
      <c r="AH5463" s="9">
        <v>45.638668972740511</v>
      </c>
      <c r="AI5463" s="9">
        <v>49.380739592962819</v>
      </c>
      <c r="AJ5463" s="9">
        <v>3.0428788910505911</v>
      </c>
    </row>
    <row r="5464" spans="1:36" x14ac:dyDescent="0.25">
      <c r="A5464" t="s">
        <v>5411</v>
      </c>
      <c r="B5464" t="s">
        <v>16</v>
      </c>
      <c r="C5464" t="s">
        <v>17</v>
      </c>
      <c r="D5464">
        <v>93800000</v>
      </c>
      <c r="E5464">
        <v>93879999</v>
      </c>
      <c r="F5464" t="s">
        <v>4928</v>
      </c>
      <c r="G5464" t="str">
        <f t="shared" si="170"/>
        <v>RSI</v>
      </c>
      <c r="H5464" t="s">
        <v>4915</v>
      </c>
      <c r="I5464" t="s">
        <v>20</v>
      </c>
      <c r="J5464" t="s">
        <v>62</v>
      </c>
      <c r="K5464" s="6">
        <v>0.03</v>
      </c>
      <c r="L5464" s="7">
        <f t="shared" si="171"/>
        <v>2E-3</v>
      </c>
      <c r="M5464" s="7">
        <v>3.0000000000000001E-3</v>
      </c>
      <c r="N5464">
        <v>9</v>
      </c>
      <c r="O5464" s="8">
        <v>17.509302802156309</v>
      </c>
      <c r="P5464" s="9">
        <v>17.509302802156309</v>
      </c>
      <c r="Q5464" s="9">
        <v>17.509302802156309</v>
      </c>
      <c r="R5464" s="9">
        <v>17.960073121579438</v>
      </c>
      <c r="S5464" s="9">
        <v>18.978426201825126</v>
      </c>
      <c r="T5464" s="9">
        <v>19.861619996324769</v>
      </c>
      <c r="U5464" s="9">
        <v>21.605211693624167</v>
      </c>
      <c r="V5464" s="9">
        <v>21.605211693624167</v>
      </c>
      <c r="W5464" s="9">
        <v>21.605211693624167</v>
      </c>
      <c r="X5464" s="9">
        <v>24.342346895578043</v>
      </c>
      <c r="Y5464" s="9">
        <v>24.342346895578043</v>
      </c>
      <c r="Z5464" s="9">
        <v>27.269806221922281</v>
      </c>
      <c r="AA5464" s="9">
        <v>27.269806221922281</v>
      </c>
      <c r="AB5464" s="9">
        <v>30.447232473217717</v>
      </c>
      <c r="AC5464" s="9">
        <v>30.447232473217717</v>
      </c>
      <c r="AD5464" s="9">
        <v>33.773696777878271</v>
      </c>
      <c r="AE5464" s="9">
        <v>37.668102449503657</v>
      </c>
      <c r="AF5464" s="9">
        <v>41.795656089883373</v>
      </c>
      <c r="AG5464" s="9">
        <v>41.795656089883373</v>
      </c>
      <c r="AH5464" s="9">
        <v>45.638668972740511</v>
      </c>
      <c r="AI5464" s="9">
        <v>49.380739592962819</v>
      </c>
      <c r="AJ5464" s="9">
        <v>3.0428788910505911</v>
      </c>
    </row>
    <row r="5465" spans="1:36" x14ac:dyDescent="0.25">
      <c r="A5465" t="s">
        <v>5411</v>
      </c>
      <c r="B5465" t="s">
        <v>16</v>
      </c>
      <c r="C5465" t="s">
        <v>17</v>
      </c>
      <c r="D5465">
        <v>93880000</v>
      </c>
      <c r="E5465">
        <v>93889999</v>
      </c>
      <c r="F5465" t="s">
        <v>4929</v>
      </c>
      <c r="G5465" t="str">
        <f t="shared" si="170"/>
        <v>RSI II</v>
      </c>
      <c r="H5465" t="s">
        <v>4915</v>
      </c>
      <c r="I5465" t="s">
        <v>20</v>
      </c>
      <c r="J5465" t="s">
        <v>64</v>
      </c>
      <c r="K5465" s="6">
        <v>0.03</v>
      </c>
      <c r="L5465" s="7">
        <f t="shared" si="171"/>
        <v>2E-3</v>
      </c>
      <c r="M5465" s="7">
        <v>3.0000000000000001E-3</v>
      </c>
      <c r="N5465">
        <v>11</v>
      </c>
      <c r="O5465" s="8">
        <v>20.328747193832452</v>
      </c>
      <c r="P5465" s="9">
        <v>20.328747193832452</v>
      </c>
      <c r="Q5465" s="9">
        <v>20.328747193832452</v>
      </c>
      <c r="R5465" s="9">
        <v>20.901467178587069</v>
      </c>
      <c r="S5465" s="9">
        <v>21.789694031871221</v>
      </c>
      <c r="T5465" s="9">
        <v>22.685842380093916</v>
      </c>
      <c r="U5465" s="9">
        <v>25.139615720574728</v>
      </c>
      <c r="V5465" s="9">
        <v>25.139615720574728</v>
      </c>
      <c r="W5465" s="9">
        <v>25.139615720574728</v>
      </c>
      <c r="X5465" s="9">
        <v>28.431126761040446</v>
      </c>
      <c r="Y5465" s="9">
        <v>28.431126761040446</v>
      </c>
      <c r="Z5465" s="9">
        <v>31.8133765751437</v>
      </c>
      <c r="AA5465" s="9">
        <v>31.8133765751437</v>
      </c>
      <c r="AB5465" s="9">
        <v>35.295439040248269</v>
      </c>
      <c r="AC5465" s="9">
        <v>35.295439040248269</v>
      </c>
      <c r="AD5465" s="9">
        <v>40.66038110622798</v>
      </c>
      <c r="AE5465" s="9">
        <v>44.145469767258199</v>
      </c>
      <c r="AF5465" s="9">
        <v>47.802065076832598</v>
      </c>
      <c r="AG5465" s="9">
        <v>47.802065076832598</v>
      </c>
      <c r="AH5465" s="9">
        <v>52.368463891218347</v>
      </c>
      <c r="AI5465" s="9">
        <v>56.090712435126555</v>
      </c>
      <c r="AJ5465" s="9">
        <v>3.0428788910505911</v>
      </c>
    </row>
    <row r="5466" spans="1:36" x14ac:dyDescent="0.25">
      <c r="A5466" t="s">
        <v>5411</v>
      </c>
      <c r="B5466" t="s">
        <v>16</v>
      </c>
      <c r="C5466" t="s">
        <v>17</v>
      </c>
      <c r="D5466">
        <v>93890000</v>
      </c>
      <c r="E5466">
        <v>93899999</v>
      </c>
      <c r="F5466" t="s">
        <v>4930</v>
      </c>
      <c r="G5466" t="str">
        <f t="shared" si="170"/>
        <v>RSI II</v>
      </c>
      <c r="H5466" t="s">
        <v>4915</v>
      </c>
      <c r="I5466" t="s">
        <v>20</v>
      </c>
      <c r="J5466" t="s">
        <v>64</v>
      </c>
      <c r="K5466" s="6">
        <v>0.03</v>
      </c>
      <c r="L5466" s="7">
        <f t="shared" si="171"/>
        <v>2E-3</v>
      </c>
      <c r="M5466" s="7">
        <v>3.0000000000000001E-3</v>
      </c>
      <c r="N5466">
        <v>11</v>
      </c>
      <c r="O5466" s="8">
        <v>20.328747193832452</v>
      </c>
      <c r="P5466" s="9">
        <v>20.328747193832452</v>
      </c>
      <c r="Q5466" s="9">
        <v>20.328747193832452</v>
      </c>
      <c r="R5466" s="9">
        <v>20.901467178587069</v>
      </c>
      <c r="S5466" s="9">
        <v>21.789694031871221</v>
      </c>
      <c r="T5466" s="9">
        <v>22.685842380093916</v>
      </c>
      <c r="U5466" s="9">
        <v>25.139615720574728</v>
      </c>
      <c r="V5466" s="9">
        <v>25.139615720574728</v>
      </c>
      <c r="W5466" s="9">
        <v>25.139615720574728</v>
      </c>
      <c r="X5466" s="9">
        <v>28.431126761040446</v>
      </c>
      <c r="Y5466" s="9">
        <v>28.431126761040446</v>
      </c>
      <c r="Z5466" s="9">
        <v>31.8133765751437</v>
      </c>
      <c r="AA5466" s="9">
        <v>31.8133765751437</v>
      </c>
      <c r="AB5466" s="9">
        <v>35.295439040248269</v>
      </c>
      <c r="AC5466" s="9">
        <v>35.295439040248269</v>
      </c>
      <c r="AD5466" s="9">
        <v>40.66038110622798</v>
      </c>
      <c r="AE5466" s="9">
        <v>44.145469767258199</v>
      </c>
      <c r="AF5466" s="9">
        <v>47.802065076832598</v>
      </c>
      <c r="AG5466" s="9">
        <v>47.802065076832598</v>
      </c>
      <c r="AH5466" s="9">
        <v>52.368463891218347</v>
      </c>
      <c r="AI5466" s="9">
        <v>56.090712435126555</v>
      </c>
      <c r="AJ5466" s="9">
        <v>3.0428788910505911</v>
      </c>
    </row>
    <row r="5467" spans="1:36" x14ac:dyDescent="0.25">
      <c r="A5467" t="s">
        <v>5411</v>
      </c>
      <c r="B5467" t="s">
        <v>16</v>
      </c>
      <c r="C5467" t="s">
        <v>17</v>
      </c>
      <c r="D5467">
        <v>93900000</v>
      </c>
      <c r="E5467">
        <v>93939999</v>
      </c>
      <c r="F5467" t="s">
        <v>4931</v>
      </c>
      <c r="G5467" t="str">
        <f t="shared" si="170"/>
        <v>RSI</v>
      </c>
      <c r="H5467" t="s">
        <v>4915</v>
      </c>
      <c r="I5467" t="s">
        <v>20</v>
      </c>
      <c r="J5467" t="s">
        <v>62</v>
      </c>
      <c r="K5467" s="6">
        <v>0.03</v>
      </c>
      <c r="L5467" s="7">
        <f t="shared" si="171"/>
        <v>2E-3</v>
      </c>
      <c r="M5467" s="7">
        <v>3.0000000000000001E-3</v>
      </c>
      <c r="N5467">
        <v>9</v>
      </c>
      <c r="O5467" s="8">
        <v>17.509302802156309</v>
      </c>
      <c r="P5467" s="9">
        <v>17.509302802156309</v>
      </c>
      <c r="Q5467" s="9">
        <v>17.509302802156309</v>
      </c>
      <c r="R5467" s="9">
        <v>17.960073121579438</v>
      </c>
      <c r="S5467" s="9">
        <v>18.978426201825126</v>
      </c>
      <c r="T5467" s="9">
        <v>19.861619996324769</v>
      </c>
      <c r="U5467" s="9">
        <v>21.605211693624167</v>
      </c>
      <c r="V5467" s="9">
        <v>21.605211693624167</v>
      </c>
      <c r="W5467" s="9">
        <v>21.605211693624167</v>
      </c>
      <c r="X5467" s="9">
        <v>24.342346895578043</v>
      </c>
      <c r="Y5467" s="9">
        <v>24.342346895578043</v>
      </c>
      <c r="Z5467" s="9">
        <v>27.269806221922281</v>
      </c>
      <c r="AA5467" s="9">
        <v>27.269806221922281</v>
      </c>
      <c r="AB5467" s="9">
        <v>30.447232473217717</v>
      </c>
      <c r="AC5467" s="9">
        <v>30.447232473217717</v>
      </c>
      <c r="AD5467" s="9">
        <v>33.773696777878271</v>
      </c>
      <c r="AE5467" s="9">
        <v>37.668102449503657</v>
      </c>
      <c r="AF5467" s="9">
        <v>41.795656089883373</v>
      </c>
      <c r="AG5467" s="9">
        <v>41.795656089883373</v>
      </c>
      <c r="AH5467" s="9">
        <v>45.638668972740511</v>
      </c>
      <c r="AI5467" s="9">
        <v>49.380739592962819</v>
      </c>
      <c r="AJ5467" s="9">
        <v>3.0428788910505911</v>
      </c>
    </row>
    <row r="5468" spans="1:36" x14ac:dyDescent="0.25">
      <c r="A5468" t="s">
        <v>5411</v>
      </c>
      <c r="B5468" t="s">
        <v>16</v>
      </c>
      <c r="C5468" t="s">
        <v>17</v>
      </c>
      <c r="D5468">
        <v>93940000</v>
      </c>
      <c r="E5468">
        <v>93944999</v>
      </c>
      <c r="F5468" t="s">
        <v>4932</v>
      </c>
      <c r="G5468" t="str">
        <f t="shared" si="170"/>
        <v>RSI II</v>
      </c>
      <c r="H5468" t="s">
        <v>4915</v>
      </c>
      <c r="I5468" t="s">
        <v>20</v>
      </c>
      <c r="J5468" t="s">
        <v>64</v>
      </c>
      <c r="K5468" s="6">
        <v>0.03</v>
      </c>
      <c r="L5468" s="7">
        <f t="shared" si="171"/>
        <v>2E-3</v>
      </c>
      <c r="M5468" s="7">
        <v>3.0000000000000001E-3</v>
      </c>
      <c r="N5468">
        <v>11</v>
      </c>
      <c r="O5468" s="8">
        <v>20.328747193832452</v>
      </c>
      <c r="P5468" s="9">
        <v>20.328747193832452</v>
      </c>
      <c r="Q5468" s="9">
        <v>20.328747193832452</v>
      </c>
      <c r="R5468" s="9">
        <v>20.901467178587069</v>
      </c>
      <c r="S5468" s="9">
        <v>21.789694031871221</v>
      </c>
      <c r="T5468" s="9">
        <v>22.685842380093916</v>
      </c>
      <c r="U5468" s="9">
        <v>25.139615720574728</v>
      </c>
      <c r="V5468" s="9">
        <v>25.139615720574728</v>
      </c>
      <c r="W5468" s="9">
        <v>25.139615720574728</v>
      </c>
      <c r="X5468" s="9">
        <v>28.431126761040446</v>
      </c>
      <c r="Y5468" s="9">
        <v>28.431126761040446</v>
      </c>
      <c r="Z5468" s="9">
        <v>31.8133765751437</v>
      </c>
      <c r="AA5468" s="9">
        <v>31.8133765751437</v>
      </c>
      <c r="AB5468" s="9">
        <v>35.295439040248269</v>
      </c>
      <c r="AC5468" s="9">
        <v>35.295439040248269</v>
      </c>
      <c r="AD5468" s="9">
        <v>40.66038110622798</v>
      </c>
      <c r="AE5468" s="9">
        <v>44.145469767258199</v>
      </c>
      <c r="AF5468" s="9">
        <v>47.802065076832598</v>
      </c>
      <c r="AG5468" s="9">
        <v>47.802065076832598</v>
      </c>
      <c r="AH5468" s="9">
        <v>52.368463891218347</v>
      </c>
      <c r="AI5468" s="9">
        <v>56.090712435126555</v>
      </c>
      <c r="AJ5468" s="9">
        <v>3.0428788910505911</v>
      </c>
    </row>
    <row r="5469" spans="1:36" x14ac:dyDescent="0.25">
      <c r="A5469" t="s">
        <v>5411</v>
      </c>
      <c r="B5469" t="s">
        <v>16</v>
      </c>
      <c r="C5469" t="s">
        <v>17</v>
      </c>
      <c r="D5469">
        <v>93945000</v>
      </c>
      <c r="E5469">
        <v>93949999</v>
      </c>
      <c r="F5469" t="s">
        <v>4933</v>
      </c>
      <c r="G5469" t="str">
        <f t="shared" si="170"/>
        <v>RSI II</v>
      </c>
      <c r="H5469" t="s">
        <v>4915</v>
      </c>
      <c r="I5469" t="s">
        <v>20</v>
      </c>
      <c r="J5469" t="s">
        <v>64</v>
      </c>
      <c r="K5469" s="6">
        <v>0.03</v>
      </c>
      <c r="L5469" s="7">
        <f t="shared" si="171"/>
        <v>2E-3</v>
      </c>
      <c r="M5469" s="7">
        <v>3.0000000000000001E-3</v>
      </c>
      <c r="N5469">
        <v>11</v>
      </c>
      <c r="O5469" s="8">
        <v>20.328747193832452</v>
      </c>
      <c r="P5469" s="9">
        <v>20.328747193832452</v>
      </c>
      <c r="Q5469" s="9">
        <v>20.328747193832452</v>
      </c>
      <c r="R5469" s="9">
        <v>20.901467178587069</v>
      </c>
      <c r="S5469" s="9">
        <v>21.789694031871221</v>
      </c>
      <c r="T5469" s="9">
        <v>22.685842380093916</v>
      </c>
      <c r="U5469" s="9">
        <v>25.139615720574728</v>
      </c>
      <c r="V5469" s="9">
        <v>25.139615720574728</v>
      </c>
      <c r="W5469" s="9">
        <v>25.139615720574728</v>
      </c>
      <c r="X5469" s="9">
        <v>28.431126761040446</v>
      </c>
      <c r="Y5469" s="9">
        <v>28.431126761040446</v>
      </c>
      <c r="Z5469" s="9">
        <v>31.8133765751437</v>
      </c>
      <c r="AA5469" s="9">
        <v>31.8133765751437</v>
      </c>
      <c r="AB5469" s="9">
        <v>35.295439040248269</v>
      </c>
      <c r="AC5469" s="9">
        <v>35.295439040248269</v>
      </c>
      <c r="AD5469" s="9">
        <v>40.66038110622798</v>
      </c>
      <c r="AE5469" s="9">
        <v>44.145469767258199</v>
      </c>
      <c r="AF5469" s="9">
        <v>47.802065076832598</v>
      </c>
      <c r="AG5469" s="9">
        <v>47.802065076832598</v>
      </c>
      <c r="AH5469" s="9">
        <v>52.368463891218347</v>
      </c>
      <c r="AI5469" s="9">
        <v>56.090712435126555</v>
      </c>
      <c r="AJ5469" s="9">
        <v>3.0428788910505911</v>
      </c>
    </row>
    <row r="5470" spans="1:36" x14ac:dyDescent="0.25">
      <c r="A5470" t="s">
        <v>5411</v>
      </c>
      <c r="B5470" t="s">
        <v>16</v>
      </c>
      <c r="C5470" t="s">
        <v>17</v>
      </c>
      <c r="D5470">
        <v>93950000</v>
      </c>
      <c r="E5470">
        <v>93989999</v>
      </c>
      <c r="F5470" t="s">
        <v>4934</v>
      </c>
      <c r="G5470" t="str">
        <f t="shared" si="170"/>
        <v>RSI II</v>
      </c>
      <c r="H5470" t="s">
        <v>4915</v>
      </c>
      <c r="I5470" t="s">
        <v>20</v>
      </c>
      <c r="J5470" t="s">
        <v>64</v>
      </c>
      <c r="K5470" s="6">
        <v>0.03</v>
      </c>
      <c r="L5470" s="7">
        <f t="shared" si="171"/>
        <v>2E-3</v>
      </c>
      <c r="M5470" s="7">
        <v>3.0000000000000001E-3</v>
      </c>
      <c r="N5470">
        <v>11</v>
      </c>
      <c r="O5470" s="8">
        <v>20.328747193832452</v>
      </c>
      <c r="P5470" s="9">
        <v>20.328747193832452</v>
      </c>
      <c r="Q5470" s="9">
        <v>20.328747193832452</v>
      </c>
      <c r="R5470" s="9">
        <v>20.901467178587069</v>
      </c>
      <c r="S5470" s="9">
        <v>21.789694031871221</v>
      </c>
      <c r="T5470" s="9">
        <v>22.685842380093916</v>
      </c>
      <c r="U5470" s="9">
        <v>25.139615720574728</v>
      </c>
      <c r="V5470" s="9">
        <v>25.139615720574728</v>
      </c>
      <c r="W5470" s="9">
        <v>25.139615720574728</v>
      </c>
      <c r="X5470" s="9">
        <v>28.431126761040446</v>
      </c>
      <c r="Y5470" s="9">
        <v>28.431126761040446</v>
      </c>
      <c r="Z5470" s="9">
        <v>31.8133765751437</v>
      </c>
      <c r="AA5470" s="9">
        <v>31.8133765751437</v>
      </c>
      <c r="AB5470" s="9">
        <v>35.295439040248269</v>
      </c>
      <c r="AC5470" s="9">
        <v>35.295439040248269</v>
      </c>
      <c r="AD5470" s="9">
        <v>40.66038110622798</v>
      </c>
      <c r="AE5470" s="9">
        <v>44.145469767258199</v>
      </c>
      <c r="AF5470" s="9">
        <v>47.802065076832598</v>
      </c>
      <c r="AG5470" s="9">
        <v>47.802065076832598</v>
      </c>
      <c r="AH5470" s="9">
        <v>52.368463891218347</v>
      </c>
      <c r="AI5470" s="9">
        <v>56.090712435126555</v>
      </c>
      <c r="AJ5470" s="9">
        <v>3.0428788910505911</v>
      </c>
    </row>
    <row r="5471" spans="1:36" x14ac:dyDescent="0.25">
      <c r="A5471" t="s">
        <v>5411</v>
      </c>
      <c r="B5471" t="s">
        <v>16</v>
      </c>
      <c r="C5471" t="s">
        <v>17</v>
      </c>
      <c r="D5471">
        <v>93990000</v>
      </c>
      <c r="E5471">
        <v>93994999</v>
      </c>
      <c r="F5471" t="s">
        <v>4935</v>
      </c>
      <c r="G5471" t="str">
        <f t="shared" si="170"/>
        <v>RSI II</v>
      </c>
      <c r="H5471" t="s">
        <v>4915</v>
      </c>
      <c r="I5471" t="s">
        <v>20</v>
      </c>
      <c r="J5471" t="s">
        <v>64</v>
      </c>
      <c r="K5471" s="6">
        <v>0.03</v>
      </c>
      <c r="L5471" s="7">
        <f t="shared" si="171"/>
        <v>2E-3</v>
      </c>
      <c r="M5471" s="7">
        <v>3.0000000000000001E-3</v>
      </c>
      <c r="N5471">
        <v>11</v>
      </c>
      <c r="O5471" s="8">
        <v>20.328747193832452</v>
      </c>
      <c r="P5471" s="9">
        <v>20.328747193832452</v>
      </c>
      <c r="Q5471" s="9">
        <v>20.328747193832452</v>
      </c>
      <c r="R5471" s="9">
        <v>20.901467178587069</v>
      </c>
      <c r="S5471" s="9">
        <v>21.789694031871221</v>
      </c>
      <c r="T5471" s="9">
        <v>22.685842380093916</v>
      </c>
      <c r="U5471" s="9">
        <v>25.139615720574728</v>
      </c>
      <c r="V5471" s="9">
        <v>25.139615720574728</v>
      </c>
      <c r="W5471" s="9">
        <v>25.139615720574728</v>
      </c>
      <c r="X5471" s="9">
        <v>28.431126761040446</v>
      </c>
      <c r="Y5471" s="9">
        <v>28.431126761040446</v>
      </c>
      <c r="Z5471" s="9">
        <v>31.8133765751437</v>
      </c>
      <c r="AA5471" s="9">
        <v>31.8133765751437</v>
      </c>
      <c r="AB5471" s="9">
        <v>35.295439040248269</v>
      </c>
      <c r="AC5471" s="9">
        <v>35.295439040248269</v>
      </c>
      <c r="AD5471" s="9">
        <v>40.66038110622798</v>
      </c>
      <c r="AE5471" s="9">
        <v>44.145469767258199</v>
      </c>
      <c r="AF5471" s="9">
        <v>47.802065076832598</v>
      </c>
      <c r="AG5471" s="9">
        <v>47.802065076832598</v>
      </c>
      <c r="AH5471" s="9">
        <v>52.368463891218347</v>
      </c>
      <c r="AI5471" s="9">
        <v>56.090712435126555</v>
      </c>
      <c r="AJ5471" s="9">
        <v>3.0428788910505911</v>
      </c>
    </row>
    <row r="5472" spans="1:36" x14ac:dyDescent="0.25">
      <c r="A5472" t="s">
        <v>5411</v>
      </c>
      <c r="B5472" t="s">
        <v>16</v>
      </c>
      <c r="C5472" t="s">
        <v>17</v>
      </c>
      <c r="D5472">
        <v>93995000</v>
      </c>
      <c r="E5472">
        <v>93999999</v>
      </c>
      <c r="F5472" t="s">
        <v>4936</v>
      </c>
      <c r="G5472" t="str">
        <f t="shared" si="170"/>
        <v>RSI II</v>
      </c>
      <c r="H5472" t="s">
        <v>4915</v>
      </c>
      <c r="I5472" t="s">
        <v>20</v>
      </c>
      <c r="J5472" t="s">
        <v>64</v>
      </c>
      <c r="K5472" s="6">
        <v>0.03</v>
      </c>
      <c r="L5472" s="7">
        <f t="shared" si="171"/>
        <v>2E-3</v>
      </c>
      <c r="M5472" s="7">
        <v>3.0000000000000001E-3</v>
      </c>
      <c r="N5472">
        <v>11</v>
      </c>
      <c r="O5472" s="8">
        <v>20.328747193832452</v>
      </c>
      <c r="P5472" s="9">
        <v>20.328747193832452</v>
      </c>
      <c r="Q5472" s="9">
        <v>20.328747193832452</v>
      </c>
      <c r="R5472" s="9">
        <v>20.901467178587069</v>
      </c>
      <c r="S5472" s="9">
        <v>21.789694031871221</v>
      </c>
      <c r="T5472" s="9">
        <v>22.685842380093916</v>
      </c>
      <c r="U5472" s="9">
        <v>25.139615720574728</v>
      </c>
      <c r="V5472" s="9">
        <v>25.139615720574728</v>
      </c>
      <c r="W5472" s="9">
        <v>25.139615720574728</v>
      </c>
      <c r="X5472" s="9">
        <v>28.431126761040446</v>
      </c>
      <c r="Y5472" s="9">
        <v>28.431126761040446</v>
      </c>
      <c r="Z5472" s="9">
        <v>31.8133765751437</v>
      </c>
      <c r="AA5472" s="9">
        <v>31.8133765751437</v>
      </c>
      <c r="AB5472" s="9">
        <v>35.295439040248269</v>
      </c>
      <c r="AC5472" s="9">
        <v>35.295439040248269</v>
      </c>
      <c r="AD5472" s="9">
        <v>40.66038110622798</v>
      </c>
      <c r="AE5472" s="9">
        <v>44.145469767258199</v>
      </c>
      <c r="AF5472" s="9">
        <v>47.802065076832598</v>
      </c>
      <c r="AG5472" s="9">
        <v>47.802065076832598</v>
      </c>
      <c r="AH5472" s="9">
        <v>52.368463891218347</v>
      </c>
      <c r="AI5472" s="9">
        <v>56.090712435126555</v>
      </c>
      <c r="AJ5472" s="9">
        <v>3.0428788910505911</v>
      </c>
    </row>
    <row r="5473" spans="1:36" x14ac:dyDescent="0.25">
      <c r="A5473" t="s">
        <v>5411</v>
      </c>
      <c r="B5473" t="s">
        <v>16</v>
      </c>
      <c r="C5473" t="s">
        <v>17</v>
      </c>
      <c r="D5473">
        <v>94000000</v>
      </c>
      <c r="E5473">
        <v>94109999</v>
      </c>
      <c r="F5473" t="s">
        <v>4937</v>
      </c>
      <c r="G5473" t="str">
        <f t="shared" si="170"/>
        <v>RSI</v>
      </c>
      <c r="H5473" t="s">
        <v>4915</v>
      </c>
      <c r="I5473" t="s">
        <v>20</v>
      </c>
      <c r="J5473" t="s">
        <v>62</v>
      </c>
      <c r="K5473" s="6">
        <v>0.03</v>
      </c>
      <c r="L5473" s="7">
        <f t="shared" si="171"/>
        <v>2E-3</v>
      </c>
      <c r="M5473" s="7">
        <v>3.0000000000000001E-3</v>
      </c>
      <c r="N5473">
        <v>8</v>
      </c>
      <c r="O5473" s="8">
        <v>17.509302802156309</v>
      </c>
      <c r="P5473" s="9">
        <v>17.509302802156309</v>
      </c>
      <c r="Q5473" s="9">
        <v>17.509302802156309</v>
      </c>
      <c r="R5473" s="9">
        <v>17.960073121579438</v>
      </c>
      <c r="S5473" s="9">
        <v>18.978426201825126</v>
      </c>
      <c r="T5473" s="9">
        <v>19.861619996324769</v>
      </c>
      <c r="U5473" s="9">
        <v>21.605211693624167</v>
      </c>
      <c r="V5473" s="9">
        <v>21.605211693624167</v>
      </c>
      <c r="W5473" s="9">
        <v>21.605211693624167</v>
      </c>
      <c r="X5473" s="9">
        <v>24.342346895578043</v>
      </c>
      <c r="Y5473" s="9">
        <v>24.342346895578043</v>
      </c>
      <c r="Z5473" s="9">
        <v>27.269806221922281</v>
      </c>
      <c r="AA5473" s="9">
        <v>27.269806221922281</v>
      </c>
      <c r="AB5473" s="9">
        <v>30.447232473217717</v>
      </c>
      <c r="AC5473" s="9">
        <v>30.447232473217717</v>
      </c>
      <c r="AD5473" s="9">
        <v>33.773696777878271</v>
      </c>
      <c r="AE5473" s="9">
        <v>37.668102449503657</v>
      </c>
      <c r="AF5473" s="9">
        <v>41.795656089883373</v>
      </c>
      <c r="AG5473" s="9">
        <v>41.795656089883373</v>
      </c>
      <c r="AH5473" s="9">
        <v>45.638668972740511</v>
      </c>
      <c r="AI5473" s="9">
        <v>49.380739592962819</v>
      </c>
      <c r="AJ5473" s="9">
        <v>3.0428788910505911</v>
      </c>
    </row>
    <row r="5474" spans="1:36" x14ac:dyDescent="0.25">
      <c r="A5474" t="s">
        <v>5411</v>
      </c>
      <c r="B5474" t="s">
        <v>16</v>
      </c>
      <c r="C5474" t="s">
        <v>17</v>
      </c>
      <c r="D5474">
        <v>94110000</v>
      </c>
      <c r="E5474">
        <v>94379999</v>
      </c>
      <c r="F5474" t="s">
        <v>4937</v>
      </c>
      <c r="G5474" t="str">
        <f t="shared" si="170"/>
        <v>RSI</v>
      </c>
      <c r="H5474" t="s">
        <v>4915</v>
      </c>
      <c r="I5474" t="s">
        <v>20</v>
      </c>
      <c r="J5474" t="s">
        <v>62</v>
      </c>
      <c r="K5474" s="6">
        <v>0.03</v>
      </c>
      <c r="L5474" s="7">
        <f t="shared" si="171"/>
        <v>2E-3</v>
      </c>
      <c r="M5474" s="7">
        <v>3.0000000000000001E-3</v>
      </c>
      <c r="N5474">
        <v>8</v>
      </c>
      <c r="O5474" s="8">
        <v>17.509302802156309</v>
      </c>
      <c r="P5474" s="9">
        <v>17.509302802156309</v>
      </c>
      <c r="Q5474" s="9">
        <v>17.509302802156309</v>
      </c>
      <c r="R5474" s="9">
        <v>17.960073121579438</v>
      </c>
      <c r="S5474" s="9">
        <v>18.978426201825126</v>
      </c>
      <c r="T5474" s="9">
        <v>19.861619996324769</v>
      </c>
      <c r="U5474" s="9">
        <v>21.605211693624167</v>
      </c>
      <c r="V5474" s="9">
        <v>21.605211693624167</v>
      </c>
      <c r="W5474" s="9">
        <v>21.605211693624167</v>
      </c>
      <c r="X5474" s="9">
        <v>24.342346895578043</v>
      </c>
      <c r="Y5474" s="9">
        <v>24.342346895578043</v>
      </c>
      <c r="Z5474" s="9">
        <v>27.269806221922281</v>
      </c>
      <c r="AA5474" s="9">
        <v>27.269806221922281</v>
      </c>
      <c r="AB5474" s="9">
        <v>30.447232473217717</v>
      </c>
      <c r="AC5474" s="9">
        <v>30.447232473217717</v>
      </c>
      <c r="AD5474" s="9">
        <v>33.773696777878271</v>
      </c>
      <c r="AE5474" s="9">
        <v>37.668102449503657</v>
      </c>
      <c r="AF5474" s="9">
        <v>41.795656089883373</v>
      </c>
      <c r="AG5474" s="9">
        <v>41.795656089883373</v>
      </c>
      <c r="AH5474" s="9">
        <v>45.638668972740511</v>
      </c>
      <c r="AI5474" s="9">
        <v>49.380739592962819</v>
      </c>
      <c r="AJ5474" s="9">
        <v>3.0428788910505911</v>
      </c>
    </row>
    <row r="5475" spans="1:36" x14ac:dyDescent="0.25">
      <c r="A5475" t="s">
        <v>5411</v>
      </c>
      <c r="B5475" t="s">
        <v>16</v>
      </c>
      <c r="C5475" t="s">
        <v>17</v>
      </c>
      <c r="D5475">
        <v>94380000</v>
      </c>
      <c r="E5475">
        <v>94399999</v>
      </c>
      <c r="F5475" t="s">
        <v>4938</v>
      </c>
      <c r="G5475" t="str">
        <f t="shared" si="170"/>
        <v>RSI II</v>
      </c>
      <c r="H5475" t="s">
        <v>4915</v>
      </c>
      <c r="I5475" t="s">
        <v>20</v>
      </c>
      <c r="J5475" t="s">
        <v>64</v>
      </c>
      <c r="K5475" s="6">
        <v>0.03</v>
      </c>
      <c r="L5475" s="7">
        <f t="shared" si="171"/>
        <v>2E-3</v>
      </c>
      <c r="M5475" s="7">
        <v>3.0000000000000001E-3</v>
      </c>
      <c r="N5475">
        <v>10</v>
      </c>
      <c r="O5475" s="8">
        <v>20.328747193832452</v>
      </c>
      <c r="P5475" s="9">
        <v>20.328747193832452</v>
      </c>
      <c r="Q5475" s="9">
        <v>20.328747193832452</v>
      </c>
      <c r="R5475" s="9">
        <v>20.901467178587069</v>
      </c>
      <c r="S5475" s="9">
        <v>21.789694031871221</v>
      </c>
      <c r="T5475" s="9">
        <v>22.685842380093916</v>
      </c>
      <c r="U5475" s="9">
        <v>25.139615720574728</v>
      </c>
      <c r="V5475" s="9">
        <v>25.139615720574728</v>
      </c>
      <c r="W5475" s="9">
        <v>25.139615720574728</v>
      </c>
      <c r="X5475" s="9">
        <v>28.431126761040446</v>
      </c>
      <c r="Y5475" s="9">
        <v>28.431126761040446</v>
      </c>
      <c r="Z5475" s="9">
        <v>31.8133765751437</v>
      </c>
      <c r="AA5475" s="9">
        <v>31.8133765751437</v>
      </c>
      <c r="AB5475" s="9">
        <v>35.295439040248269</v>
      </c>
      <c r="AC5475" s="9">
        <v>35.295439040248269</v>
      </c>
      <c r="AD5475" s="9">
        <v>40.66038110622798</v>
      </c>
      <c r="AE5475" s="9">
        <v>44.145469767258199</v>
      </c>
      <c r="AF5475" s="9">
        <v>47.802065076832598</v>
      </c>
      <c r="AG5475" s="9">
        <v>47.802065076832598</v>
      </c>
      <c r="AH5475" s="9">
        <v>52.368463891218347</v>
      </c>
      <c r="AI5475" s="9">
        <v>56.090712435126555</v>
      </c>
      <c r="AJ5475" s="9">
        <v>3.0428788910505911</v>
      </c>
    </row>
    <row r="5476" spans="1:36" x14ac:dyDescent="0.25">
      <c r="A5476" t="s">
        <v>5411</v>
      </c>
      <c r="B5476" t="s">
        <v>16</v>
      </c>
      <c r="C5476" t="s">
        <v>17</v>
      </c>
      <c r="D5476">
        <v>94400000</v>
      </c>
      <c r="E5476">
        <v>94799999</v>
      </c>
      <c r="F5476" t="s">
        <v>4939</v>
      </c>
      <c r="G5476" t="str">
        <f t="shared" si="170"/>
        <v>RSI</v>
      </c>
      <c r="H5476" t="s">
        <v>4915</v>
      </c>
      <c r="I5476" t="s">
        <v>20</v>
      </c>
      <c r="J5476" t="s">
        <v>62</v>
      </c>
      <c r="K5476" s="6">
        <v>0.03</v>
      </c>
      <c r="L5476" s="7">
        <f t="shared" si="171"/>
        <v>2E-3</v>
      </c>
      <c r="M5476" s="7">
        <v>3.0000000000000001E-3</v>
      </c>
      <c r="N5476">
        <v>9</v>
      </c>
      <c r="O5476" s="8">
        <v>17.509302802156309</v>
      </c>
      <c r="P5476" s="9">
        <v>17.509302802156309</v>
      </c>
      <c r="Q5476" s="9">
        <v>17.509302802156309</v>
      </c>
      <c r="R5476" s="9">
        <v>17.960073121579438</v>
      </c>
      <c r="S5476" s="9">
        <v>18.978426201825126</v>
      </c>
      <c r="T5476" s="9">
        <v>19.861619996324769</v>
      </c>
      <c r="U5476" s="9">
        <v>21.605211693624167</v>
      </c>
      <c r="V5476" s="9">
        <v>21.605211693624167</v>
      </c>
      <c r="W5476" s="9">
        <v>21.605211693624167</v>
      </c>
      <c r="X5476" s="9">
        <v>24.342346895578043</v>
      </c>
      <c r="Y5476" s="9">
        <v>24.342346895578043</v>
      </c>
      <c r="Z5476" s="9">
        <v>27.269806221922281</v>
      </c>
      <c r="AA5476" s="9">
        <v>27.269806221922281</v>
      </c>
      <c r="AB5476" s="9">
        <v>30.447232473217717</v>
      </c>
      <c r="AC5476" s="9">
        <v>30.447232473217717</v>
      </c>
      <c r="AD5476" s="9">
        <v>33.773696777878271</v>
      </c>
      <c r="AE5476" s="9">
        <v>37.668102449503657</v>
      </c>
      <c r="AF5476" s="9">
        <v>41.795656089883373</v>
      </c>
      <c r="AG5476" s="9">
        <v>41.795656089883373</v>
      </c>
      <c r="AH5476" s="9">
        <v>45.638668972740511</v>
      </c>
      <c r="AI5476" s="9">
        <v>49.380739592962819</v>
      </c>
      <c r="AJ5476" s="9">
        <v>3.0428788910505911</v>
      </c>
    </row>
    <row r="5477" spans="1:36" x14ac:dyDescent="0.25">
      <c r="A5477" t="s">
        <v>5411</v>
      </c>
      <c r="B5477" t="s">
        <v>16</v>
      </c>
      <c r="C5477" t="s">
        <v>17</v>
      </c>
      <c r="D5477">
        <v>94800000</v>
      </c>
      <c r="E5477">
        <v>94899999</v>
      </c>
      <c r="F5477" t="s">
        <v>3985</v>
      </c>
      <c r="G5477" t="str">
        <f t="shared" si="170"/>
        <v>RSI</v>
      </c>
      <c r="H5477" t="s">
        <v>4915</v>
      </c>
      <c r="I5477" t="s">
        <v>20</v>
      </c>
      <c r="J5477" t="s">
        <v>62</v>
      </c>
      <c r="K5477" s="6">
        <v>0.03</v>
      </c>
      <c r="L5477" s="7">
        <f t="shared" si="171"/>
        <v>2E-3</v>
      </c>
      <c r="M5477" s="7">
        <v>3.0000000000000001E-3</v>
      </c>
      <c r="N5477">
        <v>8</v>
      </c>
      <c r="O5477" s="8">
        <v>17.509302802156309</v>
      </c>
      <c r="P5477" s="9">
        <v>17.509302802156309</v>
      </c>
      <c r="Q5477" s="9">
        <v>17.509302802156309</v>
      </c>
      <c r="R5477" s="9">
        <v>17.960073121579438</v>
      </c>
      <c r="S5477" s="9">
        <v>18.978426201825126</v>
      </c>
      <c r="T5477" s="9">
        <v>19.861619996324769</v>
      </c>
      <c r="U5477" s="9">
        <v>21.605211693624167</v>
      </c>
      <c r="V5477" s="9">
        <v>21.605211693624167</v>
      </c>
      <c r="W5477" s="9">
        <v>21.605211693624167</v>
      </c>
      <c r="X5477" s="9">
        <v>24.342346895578043</v>
      </c>
      <c r="Y5477" s="9">
        <v>24.342346895578043</v>
      </c>
      <c r="Z5477" s="9">
        <v>27.269806221922281</v>
      </c>
      <c r="AA5477" s="9">
        <v>27.269806221922281</v>
      </c>
      <c r="AB5477" s="9">
        <v>30.447232473217717</v>
      </c>
      <c r="AC5477" s="9">
        <v>30.447232473217717</v>
      </c>
      <c r="AD5477" s="9">
        <v>33.773696777878271</v>
      </c>
      <c r="AE5477" s="9">
        <v>37.668102449503657</v>
      </c>
      <c r="AF5477" s="9">
        <v>41.795656089883373</v>
      </c>
      <c r="AG5477" s="9">
        <v>41.795656089883373</v>
      </c>
      <c r="AH5477" s="9">
        <v>45.638668972740511</v>
      </c>
      <c r="AI5477" s="9">
        <v>49.380739592962819</v>
      </c>
      <c r="AJ5477" s="9">
        <v>3.0428788910505911</v>
      </c>
    </row>
    <row r="5478" spans="1:36" x14ac:dyDescent="0.25">
      <c r="A5478" t="s">
        <v>5411</v>
      </c>
      <c r="B5478" t="s">
        <v>16</v>
      </c>
      <c r="C5478" t="s">
        <v>17</v>
      </c>
      <c r="D5478">
        <v>94900000</v>
      </c>
      <c r="E5478">
        <v>94999999</v>
      </c>
      <c r="F5478" t="s">
        <v>2238</v>
      </c>
      <c r="G5478" t="str">
        <f t="shared" si="170"/>
        <v>RSI</v>
      </c>
      <c r="H5478" t="s">
        <v>4915</v>
      </c>
      <c r="I5478" t="s">
        <v>20</v>
      </c>
      <c r="J5478" t="s">
        <v>62</v>
      </c>
      <c r="K5478" s="6">
        <v>0.03</v>
      </c>
      <c r="L5478" s="7">
        <f t="shared" si="171"/>
        <v>2E-3</v>
      </c>
      <c r="M5478" s="7">
        <v>3.0000000000000001E-3</v>
      </c>
      <c r="N5478">
        <v>8</v>
      </c>
      <c r="O5478" s="8">
        <v>17.509302802156309</v>
      </c>
      <c r="P5478" s="9">
        <v>17.509302802156309</v>
      </c>
      <c r="Q5478" s="9">
        <v>17.509302802156309</v>
      </c>
      <c r="R5478" s="9">
        <v>17.960073121579438</v>
      </c>
      <c r="S5478" s="9">
        <v>18.978426201825126</v>
      </c>
      <c r="T5478" s="9">
        <v>19.861619996324769</v>
      </c>
      <c r="U5478" s="9">
        <v>21.605211693624167</v>
      </c>
      <c r="V5478" s="9">
        <v>21.605211693624167</v>
      </c>
      <c r="W5478" s="9">
        <v>21.605211693624167</v>
      </c>
      <c r="X5478" s="9">
        <v>24.342346895578043</v>
      </c>
      <c r="Y5478" s="9">
        <v>24.342346895578043</v>
      </c>
      <c r="Z5478" s="9">
        <v>27.269806221922281</v>
      </c>
      <c r="AA5478" s="9">
        <v>27.269806221922281</v>
      </c>
      <c r="AB5478" s="9">
        <v>30.447232473217717</v>
      </c>
      <c r="AC5478" s="9">
        <v>30.447232473217717</v>
      </c>
      <c r="AD5478" s="9">
        <v>33.773696777878271</v>
      </c>
      <c r="AE5478" s="9">
        <v>37.668102449503657</v>
      </c>
      <c r="AF5478" s="9">
        <v>41.795656089883373</v>
      </c>
      <c r="AG5478" s="9">
        <v>41.795656089883373</v>
      </c>
      <c r="AH5478" s="9">
        <v>45.638668972740511</v>
      </c>
      <c r="AI5478" s="9">
        <v>49.380739592962819</v>
      </c>
      <c r="AJ5478" s="9">
        <v>3.0428788910505911</v>
      </c>
    </row>
    <row r="5479" spans="1:36" x14ac:dyDescent="0.25">
      <c r="A5479" t="s">
        <v>5411</v>
      </c>
      <c r="B5479" t="s">
        <v>16</v>
      </c>
      <c r="C5479" t="s">
        <v>17</v>
      </c>
      <c r="D5479">
        <v>95000000</v>
      </c>
      <c r="E5479">
        <v>95114999</v>
      </c>
      <c r="F5479" t="s">
        <v>4940</v>
      </c>
      <c r="G5479" t="str">
        <f t="shared" si="170"/>
        <v>RSI</v>
      </c>
      <c r="H5479" t="s">
        <v>4915</v>
      </c>
      <c r="I5479" t="s">
        <v>20</v>
      </c>
      <c r="J5479" t="s">
        <v>62</v>
      </c>
      <c r="K5479" s="6">
        <v>0.03</v>
      </c>
      <c r="L5479" s="7">
        <f t="shared" si="171"/>
        <v>2E-3</v>
      </c>
      <c r="M5479" s="7">
        <v>3.0000000000000001E-3</v>
      </c>
      <c r="N5479">
        <v>8</v>
      </c>
      <c r="O5479" s="8">
        <v>17.509302802156309</v>
      </c>
      <c r="P5479" s="9">
        <v>17.509302802156309</v>
      </c>
      <c r="Q5479" s="9">
        <v>17.509302802156309</v>
      </c>
      <c r="R5479" s="9">
        <v>17.960073121579438</v>
      </c>
      <c r="S5479" s="9">
        <v>18.978426201825126</v>
      </c>
      <c r="T5479" s="9">
        <v>19.861619996324769</v>
      </c>
      <c r="U5479" s="9">
        <v>21.605211693624167</v>
      </c>
      <c r="V5479" s="9">
        <v>21.605211693624167</v>
      </c>
      <c r="W5479" s="9">
        <v>21.605211693624167</v>
      </c>
      <c r="X5479" s="9">
        <v>24.342346895578043</v>
      </c>
      <c r="Y5479" s="9">
        <v>24.342346895578043</v>
      </c>
      <c r="Z5479" s="9">
        <v>27.269806221922281</v>
      </c>
      <c r="AA5479" s="9">
        <v>27.269806221922281</v>
      </c>
      <c r="AB5479" s="9">
        <v>30.447232473217717</v>
      </c>
      <c r="AC5479" s="9">
        <v>30.447232473217717</v>
      </c>
      <c r="AD5479" s="9">
        <v>33.773696777878271</v>
      </c>
      <c r="AE5479" s="9">
        <v>37.668102449503657</v>
      </c>
      <c r="AF5479" s="9">
        <v>41.795656089883373</v>
      </c>
      <c r="AG5479" s="9">
        <v>41.795656089883373</v>
      </c>
      <c r="AH5479" s="9">
        <v>45.638668972740511</v>
      </c>
      <c r="AI5479" s="9">
        <v>49.380739592962819</v>
      </c>
      <c r="AJ5479" s="9">
        <v>3.0428788910505911</v>
      </c>
    </row>
    <row r="5480" spans="1:36" x14ac:dyDescent="0.25">
      <c r="A5480" t="s">
        <v>5411</v>
      </c>
      <c r="B5480" t="s">
        <v>16</v>
      </c>
      <c r="C5480" t="s">
        <v>17</v>
      </c>
      <c r="D5480">
        <v>95115000</v>
      </c>
      <c r="E5480">
        <v>95149999</v>
      </c>
      <c r="F5480" t="s">
        <v>4940</v>
      </c>
      <c r="G5480" t="str">
        <f t="shared" si="170"/>
        <v>RSI</v>
      </c>
      <c r="H5480" t="s">
        <v>4915</v>
      </c>
      <c r="I5480" t="s">
        <v>20</v>
      </c>
      <c r="J5480" t="s">
        <v>62</v>
      </c>
      <c r="K5480" s="6">
        <v>0.03</v>
      </c>
      <c r="L5480" s="7">
        <f t="shared" si="171"/>
        <v>2E-3</v>
      </c>
      <c r="M5480" s="7">
        <v>3.0000000000000001E-3</v>
      </c>
      <c r="N5480">
        <v>8</v>
      </c>
      <c r="O5480" s="8">
        <v>17.509302802156309</v>
      </c>
      <c r="P5480" s="9">
        <v>17.509302802156309</v>
      </c>
      <c r="Q5480" s="9">
        <v>17.509302802156309</v>
      </c>
      <c r="R5480" s="9">
        <v>17.960073121579438</v>
      </c>
      <c r="S5480" s="9">
        <v>18.978426201825126</v>
      </c>
      <c r="T5480" s="9">
        <v>19.861619996324769</v>
      </c>
      <c r="U5480" s="9">
        <v>21.605211693624167</v>
      </c>
      <c r="V5480" s="9">
        <v>21.605211693624167</v>
      </c>
      <c r="W5480" s="9">
        <v>21.605211693624167</v>
      </c>
      <c r="X5480" s="9">
        <v>24.342346895578043</v>
      </c>
      <c r="Y5480" s="9">
        <v>24.342346895578043</v>
      </c>
      <c r="Z5480" s="9">
        <v>27.269806221922281</v>
      </c>
      <c r="AA5480" s="9">
        <v>27.269806221922281</v>
      </c>
      <c r="AB5480" s="9">
        <v>30.447232473217717</v>
      </c>
      <c r="AC5480" s="9">
        <v>30.447232473217717</v>
      </c>
      <c r="AD5480" s="9">
        <v>33.773696777878271</v>
      </c>
      <c r="AE5480" s="9">
        <v>37.668102449503657</v>
      </c>
      <c r="AF5480" s="9">
        <v>41.795656089883373</v>
      </c>
      <c r="AG5480" s="9">
        <v>41.795656089883373</v>
      </c>
      <c r="AH5480" s="9">
        <v>45.638668972740511</v>
      </c>
      <c r="AI5480" s="9">
        <v>49.380739592962819</v>
      </c>
      <c r="AJ5480" s="9">
        <v>3.0428788910505911</v>
      </c>
    </row>
    <row r="5481" spans="1:36" x14ac:dyDescent="0.25">
      <c r="A5481" t="s">
        <v>5411</v>
      </c>
      <c r="B5481" t="s">
        <v>16</v>
      </c>
      <c r="C5481" t="s">
        <v>17</v>
      </c>
      <c r="D5481">
        <v>95150000</v>
      </c>
      <c r="E5481">
        <v>95165999</v>
      </c>
      <c r="F5481" t="s">
        <v>4941</v>
      </c>
      <c r="G5481" t="str">
        <f t="shared" si="170"/>
        <v>RSI II</v>
      </c>
      <c r="H5481" t="s">
        <v>4915</v>
      </c>
      <c r="I5481" t="s">
        <v>20</v>
      </c>
      <c r="J5481" t="s">
        <v>64</v>
      </c>
      <c r="K5481" s="6">
        <v>0.03</v>
      </c>
      <c r="L5481" s="7">
        <f t="shared" si="171"/>
        <v>2E-3</v>
      </c>
      <c r="M5481" s="7">
        <v>3.0000000000000001E-3</v>
      </c>
      <c r="N5481">
        <v>11</v>
      </c>
      <c r="O5481" s="8">
        <v>20.328747193832452</v>
      </c>
      <c r="P5481" s="9">
        <v>20.328747193832452</v>
      </c>
      <c r="Q5481" s="9">
        <v>20.328747193832452</v>
      </c>
      <c r="R5481" s="9">
        <v>20.901467178587069</v>
      </c>
      <c r="S5481" s="9">
        <v>21.789694031871221</v>
      </c>
      <c r="T5481" s="9">
        <v>22.685842380093916</v>
      </c>
      <c r="U5481" s="9">
        <v>25.139615720574728</v>
      </c>
      <c r="V5481" s="9">
        <v>25.139615720574728</v>
      </c>
      <c r="W5481" s="9">
        <v>25.139615720574728</v>
      </c>
      <c r="X5481" s="9">
        <v>28.431126761040446</v>
      </c>
      <c r="Y5481" s="9">
        <v>28.431126761040446</v>
      </c>
      <c r="Z5481" s="9">
        <v>31.8133765751437</v>
      </c>
      <c r="AA5481" s="9">
        <v>31.8133765751437</v>
      </c>
      <c r="AB5481" s="9">
        <v>35.295439040248269</v>
      </c>
      <c r="AC5481" s="9">
        <v>35.295439040248269</v>
      </c>
      <c r="AD5481" s="9">
        <v>40.66038110622798</v>
      </c>
      <c r="AE5481" s="9">
        <v>44.145469767258199</v>
      </c>
      <c r="AF5481" s="9">
        <v>47.802065076832598</v>
      </c>
      <c r="AG5481" s="9">
        <v>47.802065076832598</v>
      </c>
      <c r="AH5481" s="9">
        <v>52.368463891218347</v>
      </c>
      <c r="AI5481" s="9">
        <v>56.090712435126555</v>
      </c>
      <c r="AJ5481" s="9">
        <v>3.0428788910505911</v>
      </c>
    </row>
    <row r="5482" spans="1:36" x14ac:dyDescent="0.25">
      <c r="A5482" t="s">
        <v>5411</v>
      </c>
      <c r="B5482" t="s">
        <v>16</v>
      </c>
      <c r="C5482" t="s">
        <v>17</v>
      </c>
      <c r="D5482">
        <v>95166000</v>
      </c>
      <c r="E5482">
        <v>95169999</v>
      </c>
      <c r="F5482" t="s">
        <v>4942</v>
      </c>
      <c r="G5482" t="str">
        <f t="shared" si="170"/>
        <v>RSI</v>
      </c>
      <c r="H5482" t="s">
        <v>4915</v>
      </c>
      <c r="I5482" t="s">
        <v>20</v>
      </c>
      <c r="J5482" t="s">
        <v>62</v>
      </c>
      <c r="K5482" s="6">
        <v>0.03</v>
      </c>
      <c r="L5482" s="7">
        <f t="shared" si="171"/>
        <v>2E-3</v>
      </c>
      <c r="M5482" s="7">
        <v>3.0000000000000001E-3</v>
      </c>
      <c r="N5482">
        <v>11</v>
      </c>
      <c r="O5482" s="8">
        <v>17.509302802156309</v>
      </c>
      <c r="P5482" s="9">
        <v>17.509302802156309</v>
      </c>
      <c r="Q5482" s="9">
        <v>17.509302802156309</v>
      </c>
      <c r="R5482" s="9">
        <v>17.960073121579438</v>
      </c>
      <c r="S5482" s="9">
        <v>18.978426201825126</v>
      </c>
      <c r="T5482" s="9">
        <v>19.861619996324769</v>
      </c>
      <c r="U5482" s="9">
        <v>21.605211693624167</v>
      </c>
      <c r="V5482" s="9">
        <v>21.605211693624167</v>
      </c>
      <c r="W5482" s="9">
        <v>21.605211693624167</v>
      </c>
      <c r="X5482" s="9">
        <v>24.342346895578043</v>
      </c>
      <c r="Y5482" s="9">
        <v>24.342346895578043</v>
      </c>
      <c r="Z5482" s="9">
        <v>27.269806221922281</v>
      </c>
      <c r="AA5482" s="9">
        <v>27.269806221922281</v>
      </c>
      <c r="AB5482" s="9">
        <v>30.447232473217717</v>
      </c>
      <c r="AC5482" s="9">
        <v>30.447232473217717</v>
      </c>
      <c r="AD5482" s="9">
        <v>33.773696777878271</v>
      </c>
      <c r="AE5482" s="9">
        <v>37.668102449503657</v>
      </c>
      <c r="AF5482" s="9">
        <v>41.795656089883373</v>
      </c>
      <c r="AG5482" s="9">
        <v>41.795656089883373</v>
      </c>
      <c r="AH5482" s="9">
        <v>45.638668972740511</v>
      </c>
      <c r="AI5482" s="9">
        <v>49.380739592962819</v>
      </c>
      <c r="AJ5482" s="9">
        <v>3.0428788910505911</v>
      </c>
    </row>
    <row r="5483" spans="1:36" x14ac:dyDescent="0.25">
      <c r="A5483" t="s">
        <v>5411</v>
      </c>
      <c r="B5483" t="s">
        <v>16</v>
      </c>
      <c r="C5483" t="s">
        <v>17</v>
      </c>
      <c r="D5483">
        <v>95170000</v>
      </c>
      <c r="E5483">
        <v>95174999</v>
      </c>
      <c r="F5483" t="s">
        <v>4943</v>
      </c>
      <c r="G5483" t="str">
        <f t="shared" si="170"/>
        <v>RSI</v>
      </c>
      <c r="H5483" t="s">
        <v>4915</v>
      </c>
      <c r="I5483" t="s">
        <v>20</v>
      </c>
      <c r="J5483" t="s">
        <v>62</v>
      </c>
      <c r="K5483" s="6">
        <v>0.03</v>
      </c>
      <c r="L5483" s="7">
        <f t="shared" si="171"/>
        <v>2E-3</v>
      </c>
      <c r="M5483" s="7">
        <v>3.0000000000000001E-3</v>
      </c>
      <c r="N5483">
        <v>8</v>
      </c>
      <c r="O5483" s="8">
        <v>17.509302802156309</v>
      </c>
      <c r="P5483" s="9">
        <v>17.509302802156309</v>
      </c>
      <c r="Q5483" s="9">
        <v>17.509302802156309</v>
      </c>
      <c r="R5483" s="9">
        <v>17.960073121579438</v>
      </c>
      <c r="S5483" s="9">
        <v>18.978426201825126</v>
      </c>
      <c r="T5483" s="9">
        <v>19.861619996324769</v>
      </c>
      <c r="U5483" s="9">
        <v>21.605211693624167</v>
      </c>
      <c r="V5483" s="9">
        <v>21.605211693624167</v>
      </c>
      <c r="W5483" s="9">
        <v>21.605211693624167</v>
      </c>
      <c r="X5483" s="9">
        <v>24.342346895578043</v>
      </c>
      <c r="Y5483" s="9">
        <v>24.342346895578043</v>
      </c>
      <c r="Z5483" s="9">
        <v>27.269806221922281</v>
      </c>
      <c r="AA5483" s="9">
        <v>27.269806221922281</v>
      </c>
      <c r="AB5483" s="9">
        <v>30.447232473217717</v>
      </c>
      <c r="AC5483" s="9">
        <v>30.447232473217717</v>
      </c>
      <c r="AD5483" s="9">
        <v>33.773696777878271</v>
      </c>
      <c r="AE5483" s="9">
        <v>37.668102449503657</v>
      </c>
      <c r="AF5483" s="9">
        <v>41.795656089883373</v>
      </c>
      <c r="AG5483" s="9">
        <v>41.795656089883373</v>
      </c>
      <c r="AH5483" s="9">
        <v>45.638668972740511</v>
      </c>
      <c r="AI5483" s="9">
        <v>49.380739592962819</v>
      </c>
      <c r="AJ5483" s="9">
        <v>3.0428788910505911</v>
      </c>
    </row>
    <row r="5484" spans="1:36" x14ac:dyDescent="0.25">
      <c r="A5484" t="s">
        <v>5411</v>
      </c>
      <c r="B5484" t="s">
        <v>16</v>
      </c>
      <c r="C5484" t="s">
        <v>17</v>
      </c>
      <c r="D5484">
        <v>95175000</v>
      </c>
      <c r="E5484">
        <v>95179999</v>
      </c>
      <c r="F5484" t="s">
        <v>4943</v>
      </c>
      <c r="G5484" t="str">
        <f t="shared" si="170"/>
        <v>RSI</v>
      </c>
      <c r="H5484" t="s">
        <v>4915</v>
      </c>
      <c r="I5484" t="s">
        <v>20</v>
      </c>
      <c r="J5484" t="s">
        <v>62</v>
      </c>
      <c r="K5484" s="6">
        <v>0.03</v>
      </c>
      <c r="L5484" s="7">
        <f t="shared" si="171"/>
        <v>2E-3</v>
      </c>
      <c r="M5484" s="7">
        <v>3.0000000000000001E-3</v>
      </c>
      <c r="N5484">
        <v>8</v>
      </c>
      <c r="O5484" s="8">
        <v>17.509302802156309</v>
      </c>
      <c r="P5484" s="9">
        <v>17.509302802156309</v>
      </c>
      <c r="Q5484" s="9">
        <v>17.509302802156309</v>
      </c>
      <c r="R5484" s="9">
        <v>17.960073121579438</v>
      </c>
      <c r="S5484" s="9">
        <v>18.978426201825126</v>
      </c>
      <c r="T5484" s="9">
        <v>19.861619996324769</v>
      </c>
      <c r="U5484" s="9">
        <v>21.605211693624167</v>
      </c>
      <c r="V5484" s="9">
        <v>21.605211693624167</v>
      </c>
      <c r="W5484" s="9">
        <v>21.605211693624167</v>
      </c>
      <c r="X5484" s="9">
        <v>24.342346895578043</v>
      </c>
      <c r="Y5484" s="9">
        <v>24.342346895578043</v>
      </c>
      <c r="Z5484" s="9">
        <v>27.269806221922281</v>
      </c>
      <c r="AA5484" s="9">
        <v>27.269806221922281</v>
      </c>
      <c r="AB5484" s="9">
        <v>30.447232473217717</v>
      </c>
      <c r="AC5484" s="9">
        <v>30.447232473217717</v>
      </c>
      <c r="AD5484" s="9">
        <v>33.773696777878271</v>
      </c>
      <c r="AE5484" s="9">
        <v>37.668102449503657</v>
      </c>
      <c r="AF5484" s="9">
        <v>41.795656089883373</v>
      </c>
      <c r="AG5484" s="9">
        <v>41.795656089883373</v>
      </c>
      <c r="AH5484" s="9">
        <v>45.638668972740511</v>
      </c>
      <c r="AI5484" s="9">
        <v>49.380739592962819</v>
      </c>
      <c r="AJ5484" s="9">
        <v>3.0428788910505911</v>
      </c>
    </row>
    <row r="5485" spans="1:36" x14ac:dyDescent="0.25">
      <c r="A5485" t="s">
        <v>5411</v>
      </c>
      <c r="B5485" t="s">
        <v>16</v>
      </c>
      <c r="C5485" t="s">
        <v>17</v>
      </c>
      <c r="D5485">
        <v>95180000</v>
      </c>
      <c r="E5485">
        <v>95184999</v>
      </c>
      <c r="F5485" t="s">
        <v>4943</v>
      </c>
      <c r="G5485" t="str">
        <f t="shared" si="170"/>
        <v>RSI</v>
      </c>
      <c r="H5485" t="s">
        <v>4915</v>
      </c>
      <c r="I5485" t="s">
        <v>20</v>
      </c>
      <c r="J5485" t="s">
        <v>62</v>
      </c>
      <c r="K5485" s="6">
        <v>0.03</v>
      </c>
      <c r="L5485" s="7">
        <f t="shared" si="171"/>
        <v>2E-3</v>
      </c>
      <c r="M5485" s="7">
        <v>3.0000000000000001E-3</v>
      </c>
      <c r="N5485">
        <v>8</v>
      </c>
      <c r="O5485" s="8">
        <v>17.509302802156309</v>
      </c>
      <c r="P5485" s="9">
        <v>17.509302802156309</v>
      </c>
      <c r="Q5485" s="9">
        <v>17.509302802156309</v>
      </c>
      <c r="R5485" s="9">
        <v>17.960073121579438</v>
      </c>
      <c r="S5485" s="9">
        <v>18.978426201825126</v>
      </c>
      <c r="T5485" s="9">
        <v>19.861619996324769</v>
      </c>
      <c r="U5485" s="9">
        <v>21.605211693624167</v>
      </c>
      <c r="V5485" s="9">
        <v>21.605211693624167</v>
      </c>
      <c r="W5485" s="9">
        <v>21.605211693624167</v>
      </c>
      <c r="X5485" s="9">
        <v>24.342346895578043</v>
      </c>
      <c r="Y5485" s="9">
        <v>24.342346895578043</v>
      </c>
      <c r="Z5485" s="9">
        <v>27.269806221922281</v>
      </c>
      <c r="AA5485" s="9">
        <v>27.269806221922281</v>
      </c>
      <c r="AB5485" s="9">
        <v>30.447232473217717</v>
      </c>
      <c r="AC5485" s="9">
        <v>30.447232473217717</v>
      </c>
      <c r="AD5485" s="9">
        <v>33.773696777878271</v>
      </c>
      <c r="AE5485" s="9">
        <v>37.668102449503657</v>
      </c>
      <c r="AF5485" s="9">
        <v>41.795656089883373</v>
      </c>
      <c r="AG5485" s="9">
        <v>41.795656089883373</v>
      </c>
      <c r="AH5485" s="9">
        <v>45.638668972740511</v>
      </c>
      <c r="AI5485" s="9">
        <v>49.380739592962819</v>
      </c>
      <c r="AJ5485" s="9">
        <v>3.0428788910505911</v>
      </c>
    </row>
    <row r="5486" spans="1:36" x14ac:dyDescent="0.25">
      <c r="A5486" t="s">
        <v>5411</v>
      </c>
      <c r="B5486" t="s">
        <v>16</v>
      </c>
      <c r="C5486" t="s">
        <v>17</v>
      </c>
      <c r="D5486">
        <v>95185000</v>
      </c>
      <c r="E5486">
        <v>95189999</v>
      </c>
      <c r="F5486" t="s">
        <v>4944</v>
      </c>
      <c r="G5486" t="str">
        <f t="shared" si="170"/>
        <v>RSI</v>
      </c>
      <c r="H5486" t="s">
        <v>4915</v>
      </c>
      <c r="I5486" t="s">
        <v>20</v>
      </c>
      <c r="J5486" t="s">
        <v>62</v>
      </c>
      <c r="K5486" s="6">
        <v>0.03</v>
      </c>
      <c r="L5486" s="7">
        <f t="shared" si="171"/>
        <v>2E-3</v>
      </c>
      <c r="M5486" s="7">
        <v>3.0000000000000001E-3</v>
      </c>
      <c r="N5486">
        <v>9</v>
      </c>
      <c r="O5486" s="8">
        <v>17.509302802156309</v>
      </c>
      <c r="P5486" s="9">
        <v>17.509302802156309</v>
      </c>
      <c r="Q5486" s="9">
        <v>17.509302802156309</v>
      </c>
      <c r="R5486" s="9">
        <v>17.960073121579438</v>
      </c>
      <c r="S5486" s="9">
        <v>18.978426201825126</v>
      </c>
      <c r="T5486" s="9">
        <v>19.861619996324769</v>
      </c>
      <c r="U5486" s="9">
        <v>21.605211693624167</v>
      </c>
      <c r="V5486" s="9">
        <v>21.605211693624167</v>
      </c>
      <c r="W5486" s="9">
        <v>21.605211693624167</v>
      </c>
      <c r="X5486" s="9">
        <v>24.342346895578043</v>
      </c>
      <c r="Y5486" s="9">
        <v>24.342346895578043</v>
      </c>
      <c r="Z5486" s="9">
        <v>27.269806221922281</v>
      </c>
      <c r="AA5486" s="9">
        <v>27.269806221922281</v>
      </c>
      <c r="AB5486" s="9">
        <v>30.447232473217717</v>
      </c>
      <c r="AC5486" s="9">
        <v>30.447232473217717</v>
      </c>
      <c r="AD5486" s="9">
        <v>33.773696777878271</v>
      </c>
      <c r="AE5486" s="9">
        <v>37.668102449503657</v>
      </c>
      <c r="AF5486" s="9">
        <v>41.795656089883373</v>
      </c>
      <c r="AG5486" s="9">
        <v>41.795656089883373</v>
      </c>
      <c r="AH5486" s="9">
        <v>45.638668972740511</v>
      </c>
      <c r="AI5486" s="9">
        <v>49.380739592962819</v>
      </c>
      <c r="AJ5486" s="9">
        <v>3.0428788910505911</v>
      </c>
    </row>
    <row r="5487" spans="1:36" x14ac:dyDescent="0.25">
      <c r="A5487" t="s">
        <v>5411</v>
      </c>
      <c r="B5487" t="s">
        <v>16</v>
      </c>
      <c r="C5487" t="s">
        <v>17</v>
      </c>
      <c r="D5487">
        <v>95190000</v>
      </c>
      <c r="E5487">
        <v>95199999</v>
      </c>
      <c r="F5487" t="s">
        <v>4945</v>
      </c>
      <c r="G5487" t="str">
        <f t="shared" si="170"/>
        <v>RSI II</v>
      </c>
      <c r="H5487" t="s">
        <v>4915</v>
      </c>
      <c r="I5487" t="s">
        <v>20</v>
      </c>
      <c r="J5487" t="s">
        <v>64</v>
      </c>
      <c r="K5487" s="6">
        <v>0.03</v>
      </c>
      <c r="L5487" s="7">
        <f t="shared" si="171"/>
        <v>2E-3</v>
      </c>
      <c r="M5487" s="7">
        <v>3.0000000000000001E-3</v>
      </c>
      <c r="N5487">
        <v>11</v>
      </c>
      <c r="O5487" s="8">
        <v>20.328747193832452</v>
      </c>
      <c r="P5487" s="9">
        <v>20.328747193832452</v>
      </c>
      <c r="Q5487" s="9">
        <v>20.328747193832452</v>
      </c>
      <c r="R5487" s="9">
        <v>20.901467178587069</v>
      </c>
      <c r="S5487" s="9">
        <v>21.789694031871221</v>
      </c>
      <c r="T5487" s="9">
        <v>22.685842380093916</v>
      </c>
      <c r="U5487" s="9">
        <v>25.139615720574728</v>
      </c>
      <c r="V5487" s="9">
        <v>25.139615720574728</v>
      </c>
      <c r="W5487" s="9">
        <v>25.139615720574728</v>
      </c>
      <c r="X5487" s="9">
        <v>28.431126761040446</v>
      </c>
      <c r="Y5487" s="9">
        <v>28.431126761040446</v>
      </c>
      <c r="Z5487" s="9">
        <v>31.8133765751437</v>
      </c>
      <c r="AA5487" s="9">
        <v>31.8133765751437</v>
      </c>
      <c r="AB5487" s="9">
        <v>35.295439040248269</v>
      </c>
      <c r="AC5487" s="9">
        <v>35.295439040248269</v>
      </c>
      <c r="AD5487" s="9">
        <v>40.66038110622798</v>
      </c>
      <c r="AE5487" s="9">
        <v>44.145469767258199</v>
      </c>
      <c r="AF5487" s="9">
        <v>47.802065076832598</v>
      </c>
      <c r="AG5487" s="9">
        <v>47.802065076832598</v>
      </c>
      <c r="AH5487" s="9">
        <v>52.368463891218347</v>
      </c>
      <c r="AI5487" s="9">
        <v>56.090712435126555</v>
      </c>
      <c r="AJ5487" s="9">
        <v>3.0428788910505911</v>
      </c>
    </row>
    <row r="5488" spans="1:36" x14ac:dyDescent="0.25">
      <c r="A5488" t="s">
        <v>5411</v>
      </c>
      <c r="B5488" t="s">
        <v>16</v>
      </c>
      <c r="C5488" t="s">
        <v>17</v>
      </c>
      <c r="D5488">
        <v>95200000</v>
      </c>
      <c r="E5488">
        <v>95229999</v>
      </c>
      <c r="F5488" t="s">
        <v>4946</v>
      </c>
      <c r="G5488" t="str">
        <f t="shared" si="170"/>
        <v>RSI</v>
      </c>
      <c r="H5488" t="s">
        <v>4915</v>
      </c>
      <c r="I5488" t="s">
        <v>20</v>
      </c>
      <c r="J5488" t="s">
        <v>62</v>
      </c>
      <c r="K5488" s="6">
        <v>0.03</v>
      </c>
      <c r="L5488" s="7">
        <f t="shared" si="171"/>
        <v>2E-3</v>
      </c>
      <c r="M5488" s="7">
        <v>3.0000000000000001E-3</v>
      </c>
      <c r="N5488">
        <v>8</v>
      </c>
      <c r="O5488" s="8">
        <v>17.509302802156309</v>
      </c>
      <c r="P5488" s="9">
        <v>17.509302802156309</v>
      </c>
      <c r="Q5488" s="9">
        <v>17.509302802156309</v>
      </c>
      <c r="R5488" s="9">
        <v>17.960073121579438</v>
      </c>
      <c r="S5488" s="9">
        <v>18.978426201825126</v>
      </c>
      <c r="T5488" s="9">
        <v>19.861619996324769</v>
      </c>
      <c r="U5488" s="9">
        <v>21.605211693624167</v>
      </c>
      <c r="V5488" s="9">
        <v>21.605211693624167</v>
      </c>
      <c r="W5488" s="9">
        <v>21.605211693624167</v>
      </c>
      <c r="X5488" s="9">
        <v>24.342346895578043</v>
      </c>
      <c r="Y5488" s="9">
        <v>24.342346895578043</v>
      </c>
      <c r="Z5488" s="9">
        <v>27.269806221922281</v>
      </c>
      <c r="AA5488" s="9">
        <v>27.269806221922281</v>
      </c>
      <c r="AB5488" s="9">
        <v>30.447232473217717</v>
      </c>
      <c r="AC5488" s="9">
        <v>30.447232473217717</v>
      </c>
      <c r="AD5488" s="9">
        <v>33.773696777878271</v>
      </c>
      <c r="AE5488" s="9">
        <v>37.668102449503657</v>
      </c>
      <c r="AF5488" s="9">
        <v>41.795656089883373</v>
      </c>
      <c r="AG5488" s="9">
        <v>41.795656089883373</v>
      </c>
      <c r="AH5488" s="9">
        <v>45.638668972740511</v>
      </c>
      <c r="AI5488" s="9">
        <v>49.380739592962819</v>
      </c>
      <c r="AJ5488" s="9">
        <v>3.0428788910505911</v>
      </c>
    </row>
    <row r="5489" spans="1:36" x14ac:dyDescent="0.25">
      <c r="A5489" t="s">
        <v>5411</v>
      </c>
      <c r="B5489" t="s">
        <v>16</v>
      </c>
      <c r="C5489" t="s">
        <v>17</v>
      </c>
      <c r="D5489">
        <v>95230000</v>
      </c>
      <c r="E5489">
        <v>95235999</v>
      </c>
      <c r="F5489" t="s">
        <v>4947</v>
      </c>
      <c r="G5489" t="str">
        <f t="shared" si="170"/>
        <v>RSI II</v>
      </c>
      <c r="H5489" t="s">
        <v>4915</v>
      </c>
      <c r="I5489" t="s">
        <v>20</v>
      </c>
      <c r="J5489" t="s">
        <v>64</v>
      </c>
      <c r="K5489" s="6">
        <v>0.03</v>
      </c>
      <c r="L5489" s="7">
        <f t="shared" si="171"/>
        <v>2E-3</v>
      </c>
      <c r="M5489" s="7">
        <v>3.0000000000000001E-3</v>
      </c>
      <c r="N5489">
        <v>11</v>
      </c>
      <c r="O5489" s="8">
        <v>20.328747193832452</v>
      </c>
      <c r="P5489" s="9">
        <v>20.328747193832452</v>
      </c>
      <c r="Q5489" s="9">
        <v>20.328747193832452</v>
      </c>
      <c r="R5489" s="9">
        <v>20.901467178587069</v>
      </c>
      <c r="S5489" s="9">
        <v>21.789694031871221</v>
      </c>
      <c r="T5489" s="9">
        <v>22.685842380093916</v>
      </c>
      <c r="U5489" s="9">
        <v>25.139615720574728</v>
      </c>
      <c r="V5489" s="9">
        <v>25.139615720574728</v>
      </c>
      <c r="W5489" s="9">
        <v>25.139615720574728</v>
      </c>
      <c r="X5489" s="9">
        <v>28.431126761040446</v>
      </c>
      <c r="Y5489" s="9">
        <v>28.431126761040446</v>
      </c>
      <c r="Z5489" s="9">
        <v>31.8133765751437</v>
      </c>
      <c r="AA5489" s="9">
        <v>31.8133765751437</v>
      </c>
      <c r="AB5489" s="9">
        <v>35.295439040248269</v>
      </c>
      <c r="AC5489" s="9">
        <v>35.295439040248269</v>
      </c>
      <c r="AD5489" s="9">
        <v>40.66038110622798</v>
      </c>
      <c r="AE5489" s="9">
        <v>44.145469767258199</v>
      </c>
      <c r="AF5489" s="9">
        <v>47.802065076832598</v>
      </c>
      <c r="AG5489" s="9">
        <v>47.802065076832598</v>
      </c>
      <c r="AH5489" s="9">
        <v>52.368463891218347</v>
      </c>
      <c r="AI5489" s="9">
        <v>56.090712435126555</v>
      </c>
      <c r="AJ5489" s="9">
        <v>3.0428788910505911</v>
      </c>
    </row>
    <row r="5490" spans="1:36" x14ac:dyDescent="0.25">
      <c r="A5490" t="s">
        <v>5411</v>
      </c>
      <c r="B5490" t="s">
        <v>16</v>
      </c>
      <c r="C5490" t="s">
        <v>17</v>
      </c>
      <c r="D5490">
        <v>95236000</v>
      </c>
      <c r="E5490">
        <v>95239999</v>
      </c>
      <c r="F5490" t="s">
        <v>4948</v>
      </c>
      <c r="G5490" t="str">
        <f t="shared" si="170"/>
        <v>RSI II</v>
      </c>
      <c r="H5490" t="s">
        <v>4915</v>
      </c>
      <c r="I5490" t="s">
        <v>20</v>
      </c>
      <c r="J5490" t="s">
        <v>64</v>
      </c>
      <c r="K5490" s="6">
        <v>0.03</v>
      </c>
      <c r="L5490" s="7">
        <f t="shared" si="171"/>
        <v>2E-3</v>
      </c>
      <c r="M5490" s="7">
        <v>3.0000000000000001E-3</v>
      </c>
      <c r="N5490">
        <v>11</v>
      </c>
      <c r="O5490" s="8">
        <v>20.328747193832452</v>
      </c>
      <c r="P5490" s="9">
        <v>20.328747193832452</v>
      </c>
      <c r="Q5490" s="9">
        <v>20.328747193832452</v>
      </c>
      <c r="R5490" s="9">
        <v>20.901467178587069</v>
      </c>
      <c r="S5490" s="9">
        <v>21.789694031871221</v>
      </c>
      <c r="T5490" s="9">
        <v>22.685842380093916</v>
      </c>
      <c r="U5490" s="9">
        <v>25.139615720574728</v>
      </c>
      <c r="V5490" s="9">
        <v>25.139615720574728</v>
      </c>
      <c r="W5490" s="9">
        <v>25.139615720574728</v>
      </c>
      <c r="X5490" s="9">
        <v>28.431126761040446</v>
      </c>
      <c r="Y5490" s="9">
        <v>28.431126761040446</v>
      </c>
      <c r="Z5490" s="9">
        <v>31.8133765751437</v>
      </c>
      <c r="AA5490" s="9">
        <v>31.8133765751437</v>
      </c>
      <c r="AB5490" s="9">
        <v>35.295439040248269</v>
      </c>
      <c r="AC5490" s="9">
        <v>35.295439040248269</v>
      </c>
      <c r="AD5490" s="9">
        <v>40.66038110622798</v>
      </c>
      <c r="AE5490" s="9">
        <v>44.145469767258199</v>
      </c>
      <c r="AF5490" s="9">
        <v>47.802065076832598</v>
      </c>
      <c r="AG5490" s="9">
        <v>47.802065076832598</v>
      </c>
      <c r="AH5490" s="9">
        <v>52.368463891218347</v>
      </c>
      <c r="AI5490" s="9">
        <v>56.090712435126555</v>
      </c>
      <c r="AJ5490" s="9">
        <v>3.0428788910505911</v>
      </c>
    </row>
    <row r="5491" spans="1:36" x14ac:dyDescent="0.25">
      <c r="A5491" t="s">
        <v>5411</v>
      </c>
      <c r="B5491" t="s">
        <v>16</v>
      </c>
      <c r="C5491" t="s">
        <v>17</v>
      </c>
      <c r="D5491">
        <v>95240000</v>
      </c>
      <c r="E5491">
        <v>95249999</v>
      </c>
      <c r="F5491" t="s">
        <v>4949</v>
      </c>
      <c r="G5491" t="str">
        <f t="shared" si="170"/>
        <v>RSI II</v>
      </c>
      <c r="H5491" t="s">
        <v>4915</v>
      </c>
      <c r="I5491" t="s">
        <v>20</v>
      </c>
      <c r="J5491" t="s">
        <v>64</v>
      </c>
      <c r="K5491" s="6">
        <v>0.03</v>
      </c>
      <c r="L5491" s="7">
        <f t="shared" si="171"/>
        <v>2E-3</v>
      </c>
      <c r="M5491" s="7">
        <v>3.0000000000000001E-3</v>
      </c>
      <c r="N5491">
        <v>11</v>
      </c>
      <c r="O5491" s="8">
        <v>20.328747193832452</v>
      </c>
      <c r="P5491" s="9">
        <v>20.328747193832452</v>
      </c>
      <c r="Q5491" s="9">
        <v>20.328747193832452</v>
      </c>
      <c r="R5491" s="9">
        <v>20.901467178587069</v>
      </c>
      <c r="S5491" s="9">
        <v>21.789694031871221</v>
      </c>
      <c r="T5491" s="9">
        <v>22.685842380093916</v>
      </c>
      <c r="U5491" s="9">
        <v>25.139615720574728</v>
      </c>
      <c r="V5491" s="9">
        <v>25.139615720574728</v>
      </c>
      <c r="W5491" s="9">
        <v>25.139615720574728</v>
      </c>
      <c r="X5491" s="9">
        <v>28.431126761040446</v>
      </c>
      <c r="Y5491" s="9">
        <v>28.431126761040446</v>
      </c>
      <c r="Z5491" s="9">
        <v>31.8133765751437</v>
      </c>
      <c r="AA5491" s="9">
        <v>31.8133765751437</v>
      </c>
      <c r="AB5491" s="9">
        <v>35.295439040248269</v>
      </c>
      <c r="AC5491" s="9">
        <v>35.295439040248269</v>
      </c>
      <c r="AD5491" s="9">
        <v>40.66038110622798</v>
      </c>
      <c r="AE5491" s="9">
        <v>44.145469767258199</v>
      </c>
      <c r="AF5491" s="9">
        <v>47.802065076832598</v>
      </c>
      <c r="AG5491" s="9">
        <v>47.802065076832598</v>
      </c>
      <c r="AH5491" s="9">
        <v>52.368463891218347</v>
      </c>
      <c r="AI5491" s="9">
        <v>56.090712435126555</v>
      </c>
      <c r="AJ5491" s="9">
        <v>3.0428788910505911</v>
      </c>
    </row>
    <row r="5492" spans="1:36" x14ac:dyDescent="0.25">
      <c r="A5492" t="s">
        <v>5411</v>
      </c>
      <c r="B5492" t="s">
        <v>16</v>
      </c>
      <c r="C5492" t="s">
        <v>17</v>
      </c>
      <c r="D5492">
        <v>95250000</v>
      </c>
      <c r="E5492">
        <v>95254999</v>
      </c>
      <c r="F5492" t="s">
        <v>4950</v>
      </c>
      <c r="G5492" t="str">
        <f t="shared" si="170"/>
        <v>RSI II</v>
      </c>
      <c r="H5492" t="s">
        <v>4915</v>
      </c>
      <c r="I5492" t="s">
        <v>20</v>
      </c>
      <c r="J5492" t="s">
        <v>64</v>
      </c>
      <c r="K5492" s="6">
        <v>0.03</v>
      </c>
      <c r="L5492" s="7">
        <f t="shared" si="171"/>
        <v>2E-3</v>
      </c>
      <c r="M5492" s="7">
        <v>3.0000000000000001E-3</v>
      </c>
      <c r="N5492">
        <v>11</v>
      </c>
      <c r="O5492" s="8">
        <v>20.328747193832452</v>
      </c>
      <c r="P5492" s="9">
        <v>20.328747193832452</v>
      </c>
      <c r="Q5492" s="9">
        <v>20.328747193832452</v>
      </c>
      <c r="R5492" s="9">
        <v>20.901467178587069</v>
      </c>
      <c r="S5492" s="9">
        <v>21.789694031871221</v>
      </c>
      <c r="T5492" s="9">
        <v>22.685842380093916</v>
      </c>
      <c r="U5492" s="9">
        <v>25.139615720574728</v>
      </c>
      <c r="V5492" s="9">
        <v>25.139615720574728</v>
      </c>
      <c r="W5492" s="9">
        <v>25.139615720574728</v>
      </c>
      <c r="X5492" s="9">
        <v>28.431126761040446</v>
      </c>
      <c r="Y5492" s="9">
        <v>28.431126761040446</v>
      </c>
      <c r="Z5492" s="9">
        <v>31.8133765751437</v>
      </c>
      <c r="AA5492" s="9">
        <v>31.8133765751437</v>
      </c>
      <c r="AB5492" s="9">
        <v>35.295439040248269</v>
      </c>
      <c r="AC5492" s="9">
        <v>35.295439040248269</v>
      </c>
      <c r="AD5492" s="9">
        <v>40.66038110622798</v>
      </c>
      <c r="AE5492" s="9">
        <v>44.145469767258199</v>
      </c>
      <c r="AF5492" s="9">
        <v>47.802065076832598</v>
      </c>
      <c r="AG5492" s="9">
        <v>47.802065076832598</v>
      </c>
      <c r="AH5492" s="9">
        <v>52.368463891218347</v>
      </c>
      <c r="AI5492" s="9">
        <v>56.090712435126555</v>
      </c>
      <c r="AJ5492" s="9">
        <v>3.0428788910505911</v>
      </c>
    </row>
    <row r="5493" spans="1:36" x14ac:dyDescent="0.25">
      <c r="A5493" t="s">
        <v>5411</v>
      </c>
      <c r="B5493" t="s">
        <v>16</v>
      </c>
      <c r="C5493" t="s">
        <v>17</v>
      </c>
      <c r="D5493">
        <v>95255000</v>
      </c>
      <c r="E5493">
        <v>95259999</v>
      </c>
      <c r="F5493" t="s">
        <v>4951</v>
      </c>
      <c r="G5493" t="str">
        <f t="shared" si="170"/>
        <v>RSI II</v>
      </c>
      <c r="H5493" t="s">
        <v>4915</v>
      </c>
      <c r="I5493" t="s">
        <v>20</v>
      </c>
      <c r="J5493" t="s">
        <v>64</v>
      </c>
      <c r="K5493" s="6">
        <v>0.03</v>
      </c>
      <c r="L5493" s="7">
        <f t="shared" si="171"/>
        <v>2E-3</v>
      </c>
      <c r="M5493" s="7">
        <v>3.0000000000000001E-3</v>
      </c>
      <c r="N5493">
        <v>11</v>
      </c>
      <c r="O5493" s="8">
        <v>20.328747193832452</v>
      </c>
      <c r="P5493" s="9">
        <v>20.328747193832452</v>
      </c>
      <c r="Q5493" s="9">
        <v>20.328747193832452</v>
      </c>
      <c r="R5493" s="9">
        <v>20.901467178587069</v>
      </c>
      <c r="S5493" s="9">
        <v>21.789694031871221</v>
      </c>
      <c r="T5493" s="9">
        <v>22.685842380093916</v>
      </c>
      <c r="U5493" s="9">
        <v>25.139615720574728</v>
      </c>
      <c r="V5493" s="9">
        <v>25.139615720574728</v>
      </c>
      <c r="W5493" s="9">
        <v>25.139615720574728</v>
      </c>
      <c r="X5493" s="9">
        <v>28.431126761040446</v>
      </c>
      <c r="Y5493" s="9">
        <v>28.431126761040446</v>
      </c>
      <c r="Z5493" s="9">
        <v>31.8133765751437</v>
      </c>
      <c r="AA5493" s="9">
        <v>31.8133765751437</v>
      </c>
      <c r="AB5493" s="9">
        <v>35.295439040248269</v>
      </c>
      <c r="AC5493" s="9">
        <v>35.295439040248269</v>
      </c>
      <c r="AD5493" s="9">
        <v>40.66038110622798</v>
      </c>
      <c r="AE5493" s="9">
        <v>44.145469767258199</v>
      </c>
      <c r="AF5493" s="9">
        <v>47.802065076832598</v>
      </c>
      <c r="AG5493" s="9">
        <v>47.802065076832598</v>
      </c>
      <c r="AH5493" s="9">
        <v>52.368463891218347</v>
      </c>
      <c r="AI5493" s="9">
        <v>56.090712435126555</v>
      </c>
      <c r="AJ5493" s="9">
        <v>3.0428788910505911</v>
      </c>
    </row>
    <row r="5494" spans="1:36" x14ac:dyDescent="0.25">
      <c r="A5494" t="s">
        <v>5411</v>
      </c>
      <c r="B5494" t="s">
        <v>16</v>
      </c>
      <c r="C5494" t="s">
        <v>17</v>
      </c>
      <c r="D5494">
        <v>95260000</v>
      </c>
      <c r="E5494">
        <v>95269999</v>
      </c>
      <c r="F5494" t="s">
        <v>4952</v>
      </c>
      <c r="G5494" t="str">
        <f t="shared" si="170"/>
        <v>RSI II</v>
      </c>
      <c r="H5494" t="s">
        <v>4915</v>
      </c>
      <c r="I5494" t="s">
        <v>20</v>
      </c>
      <c r="J5494" t="s">
        <v>64</v>
      </c>
      <c r="K5494" s="6">
        <v>0.03</v>
      </c>
      <c r="L5494" s="7">
        <f t="shared" si="171"/>
        <v>2E-3</v>
      </c>
      <c r="M5494" s="7">
        <v>3.0000000000000001E-3</v>
      </c>
      <c r="N5494">
        <v>11</v>
      </c>
      <c r="O5494" s="8">
        <v>20.328747193832452</v>
      </c>
      <c r="P5494" s="9">
        <v>20.328747193832452</v>
      </c>
      <c r="Q5494" s="9">
        <v>20.328747193832452</v>
      </c>
      <c r="R5494" s="9">
        <v>20.901467178587069</v>
      </c>
      <c r="S5494" s="9">
        <v>21.789694031871221</v>
      </c>
      <c r="T5494" s="9">
        <v>22.685842380093916</v>
      </c>
      <c r="U5494" s="9">
        <v>25.139615720574728</v>
      </c>
      <c r="V5494" s="9">
        <v>25.139615720574728</v>
      </c>
      <c r="W5494" s="9">
        <v>25.139615720574728</v>
      </c>
      <c r="X5494" s="9">
        <v>28.431126761040446</v>
      </c>
      <c r="Y5494" s="9">
        <v>28.431126761040446</v>
      </c>
      <c r="Z5494" s="9">
        <v>31.8133765751437</v>
      </c>
      <c r="AA5494" s="9">
        <v>31.8133765751437</v>
      </c>
      <c r="AB5494" s="9">
        <v>35.295439040248269</v>
      </c>
      <c r="AC5494" s="9">
        <v>35.295439040248269</v>
      </c>
      <c r="AD5494" s="9">
        <v>40.66038110622798</v>
      </c>
      <c r="AE5494" s="9">
        <v>44.145469767258199</v>
      </c>
      <c r="AF5494" s="9">
        <v>47.802065076832598</v>
      </c>
      <c r="AG5494" s="9">
        <v>47.802065076832598</v>
      </c>
      <c r="AH5494" s="9">
        <v>52.368463891218347</v>
      </c>
      <c r="AI5494" s="9">
        <v>56.090712435126555</v>
      </c>
      <c r="AJ5494" s="9">
        <v>3.0428788910505911</v>
      </c>
    </row>
    <row r="5495" spans="1:36" x14ac:dyDescent="0.25">
      <c r="A5495" t="s">
        <v>5411</v>
      </c>
      <c r="B5495" t="s">
        <v>16</v>
      </c>
      <c r="C5495" t="s">
        <v>17</v>
      </c>
      <c r="D5495">
        <v>95270000</v>
      </c>
      <c r="E5495">
        <v>95274999</v>
      </c>
      <c r="F5495" t="s">
        <v>4953</v>
      </c>
      <c r="G5495" t="str">
        <f t="shared" si="170"/>
        <v>RSI</v>
      </c>
      <c r="H5495" t="s">
        <v>4915</v>
      </c>
      <c r="I5495" t="s">
        <v>20</v>
      </c>
      <c r="J5495" t="s">
        <v>62</v>
      </c>
      <c r="K5495" s="6">
        <v>0.03</v>
      </c>
      <c r="L5495" s="7">
        <f t="shared" si="171"/>
        <v>2E-3</v>
      </c>
      <c r="M5495" s="7">
        <v>3.0000000000000001E-3</v>
      </c>
      <c r="N5495">
        <v>9</v>
      </c>
      <c r="O5495" s="8">
        <v>17.509302802156309</v>
      </c>
      <c r="P5495" s="9">
        <v>17.509302802156309</v>
      </c>
      <c r="Q5495" s="9">
        <v>17.509302802156309</v>
      </c>
      <c r="R5495" s="9">
        <v>17.960073121579438</v>
      </c>
      <c r="S5495" s="9">
        <v>18.978426201825126</v>
      </c>
      <c r="T5495" s="9">
        <v>19.861619996324769</v>
      </c>
      <c r="U5495" s="9">
        <v>21.605211693624167</v>
      </c>
      <c r="V5495" s="9">
        <v>21.605211693624167</v>
      </c>
      <c r="W5495" s="9">
        <v>21.605211693624167</v>
      </c>
      <c r="X5495" s="9">
        <v>24.342346895578043</v>
      </c>
      <c r="Y5495" s="9">
        <v>24.342346895578043</v>
      </c>
      <c r="Z5495" s="9">
        <v>27.269806221922281</v>
      </c>
      <c r="AA5495" s="9">
        <v>27.269806221922281</v>
      </c>
      <c r="AB5495" s="9">
        <v>30.447232473217717</v>
      </c>
      <c r="AC5495" s="9">
        <v>30.447232473217717</v>
      </c>
      <c r="AD5495" s="9">
        <v>33.773696777878271</v>
      </c>
      <c r="AE5495" s="9">
        <v>37.668102449503657</v>
      </c>
      <c r="AF5495" s="9">
        <v>41.795656089883373</v>
      </c>
      <c r="AG5495" s="9">
        <v>41.795656089883373</v>
      </c>
      <c r="AH5495" s="9">
        <v>45.638668972740511</v>
      </c>
      <c r="AI5495" s="9">
        <v>49.380739592962819</v>
      </c>
      <c r="AJ5495" s="9">
        <v>3.0428788910505911</v>
      </c>
    </row>
    <row r="5496" spans="1:36" x14ac:dyDescent="0.25">
      <c r="A5496" t="s">
        <v>5411</v>
      </c>
      <c r="B5496" t="s">
        <v>16</v>
      </c>
      <c r="C5496" t="s">
        <v>17</v>
      </c>
      <c r="D5496">
        <v>95275000</v>
      </c>
      <c r="E5496">
        <v>95279999</v>
      </c>
      <c r="F5496" t="s">
        <v>4954</v>
      </c>
      <c r="G5496" t="str">
        <f t="shared" si="170"/>
        <v>RSI II</v>
      </c>
      <c r="H5496" t="s">
        <v>4915</v>
      </c>
      <c r="I5496" t="s">
        <v>20</v>
      </c>
      <c r="J5496" t="s">
        <v>64</v>
      </c>
      <c r="K5496" s="6">
        <v>0.03</v>
      </c>
      <c r="L5496" s="7">
        <f t="shared" si="171"/>
        <v>2E-3</v>
      </c>
      <c r="M5496" s="7">
        <v>3.0000000000000001E-3</v>
      </c>
      <c r="N5496">
        <v>11</v>
      </c>
      <c r="O5496" s="8">
        <v>20.328747193832452</v>
      </c>
      <c r="P5496" s="9">
        <v>20.328747193832452</v>
      </c>
      <c r="Q5496" s="9">
        <v>20.328747193832452</v>
      </c>
      <c r="R5496" s="9">
        <v>20.901467178587069</v>
      </c>
      <c r="S5496" s="9">
        <v>21.789694031871221</v>
      </c>
      <c r="T5496" s="9">
        <v>22.685842380093916</v>
      </c>
      <c r="U5496" s="9">
        <v>25.139615720574728</v>
      </c>
      <c r="V5496" s="9">
        <v>25.139615720574728</v>
      </c>
      <c r="W5496" s="9">
        <v>25.139615720574728</v>
      </c>
      <c r="X5496" s="9">
        <v>28.431126761040446</v>
      </c>
      <c r="Y5496" s="9">
        <v>28.431126761040446</v>
      </c>
      <c r="Z5496" s="9">
        <v>31.8133765751437</v>
      </c>
      <c r="AA5496" s="9">
        <v>31.8133765751437</v>
      </c>
      <c r="AB5496" s="9">
        <v>35.295439040248269</v>
      </c>
      <c r="AC5496" s="9">
        <v>35.295439040248269</v>
      </c>
      <c r="AD5496" s="9">
        <v>40.66038110622798</v>
      </c>
      <c r="AE5496" s="9">
        <v>44.145469767258199</v>
      </c>
      <c r="AF5496" s="9">
        <v>47.802065076832598</v>
      </c>
      <c r="AG5496" s="9">
        <v>47.802065076832598</v>
      </c>
      <c r="AH5496" s="9">
        <v>52.368463891218347</v>
      </c>
      <c r="AI5496" s="9">
        <v>56.090712435126555</v>
      </c>
      <c r="AJ5496" s="9">
        <v>3.0428788910505911</v>
      </c>
    </row>
    <row r="5497" spans="1:36" x14ac:dyDescent="0.25">
      <c r="A5497" t="s">
        <v>5411</v>
      </c>
      <c r="B5497" t="s">
        <v>16</v>
      </c>
      <c r="C5497" t="s">
        <v>17</v>
      </c>
      <c r="D5497">
        <v>95280000</v>
      </c>
      <c r="E5497">
        <v>95289999</v>
      </c>
      <c r="F5497" t="s">
        <v>4955</v>
      </c>
      <c r="G5497" t="str">
        <f t="shared" si="170"/>
        <v>RSI II</v>
      </c>
      <c r="H5497" t="s">
        <v>4915</v>
      </c>
      <c r="I5497" t="s">
        <v>20</v>
      </c>
      <c r="J5497" t="s">
        <v>64</v>
      </c>
      <c r="K5497" s="6">
        <v>0.03</v>
      </c>
      <c r="L5497" s="7">
        <f t="shared" si="171"/>
        <v>2E-3</v>
      </c>
      <c r="M5497" s="7">
        <v>3.0000000000000001E-3</v>
      </c>
      <c r="N5497">
        <v>11</v>
      </c>
      <c r="O5497" s="8">
        <v>20.328747193832452</v>
      </c>
      <c r="P5497" s="9">
        <v>20.328747193832452</v>
      </c>
      <c r="Q5497" s="9">
        <v>20.328747193832452</v>
      </c>
      <c r="R5497" s="9">
        <v>20.901467178587069</v>
      </c>
      <c r="S5497" s="9">
        <v>21.789694031871221</v>
      </c>
      <c r="T5497" s="9">
        <v>22.685842380093916</v>
      </c>
      <c r="U5497" s="9">
        <v>25.139615720574728</v>
      </c>
      <c r="V5497" s="9">
        <v>25.139615720574728</v>
      </c>
      <c r="W5497" s="9">
        <v>25.139615720574728</v>
      </c>
      <c r="X5497" s="9">
        <v>28.431126761040446</v>
      </c>
      <c r="Y5497" s="9">
        <v>28.431126761040446</v>
      </c>
      <c r="Z5497" s="9">
        <v>31.8133765751437</v>
      </c>
      <c r="AA5497" s="9">
        <v>31.8133765751437</v>
      </c>
      <c r="AB5497" s="9">
        <v>35.295439040248269</v>
      </c>
      <c r="AC5497" s="9">
        <v>35.295439040248269</v>
      </c>
      <c r="AD5497" s="9">
        <v>40.66038110622798</v>
      </c>
      <c r="AE5497" s="9">
        <v>44.145469767258199</v>
      </c>
      <c r="AF5497" s="9">
        <v>47.802065076832598</v>
      </c>
      <c r="AG5497" s="9">
        <v>47.802065076832598</v>
      </c>
      <c r="AH5497" s="9">
        <v>52.368463891218347</v>
      </c>
      <c r="AI5497" s="9">
        <v>56.090712435126555</v>
      </c>
      <c r="AJ5497" s="9">
        <v>3.0428788910505911</v>
      </c>
    </row>
    <row r="5498" spans="1:36" x14ac:dyDescent="0.25">
      <c r="A5498" t="s">
        <v>5411</v>
      </c>
      <c r="B5498" t="s">
        <v>16</v>
      </c>
      <c r="C5498" t="s">
        <v>17</v>
      </c>
      <c r="D5498">
        <v>95290000</v>
      </c>
      <c r="E5498">
        <v>95299999</v>
      </c>
      <c r="F5498" t="s">
        <v>2652</v>
      </c>
      <c r="G5498" t="str">
        <f t="shared" si="170"/>
        <v>RSI II</v>
      </c>
      <c r="H5498" t="s">
        <v>4915</v>
      </c>
      <c r="I5498" t="s">
        <v>20</v>
      </c>
      <c r="J5498" t="s">
        <v>64</v>
      </c>
      <c r="K5498" s="6">
        <v>0.03</v>
      </c>
      <c r="L5498" s="7">
        <f t="shared" si="171"/>
        <v>2E-3</v>
      </c>
      <c r="M5498" s="7">
        <v>3.0000000000000001E-3</v>
      </c>
      <c r="N5498">
        <v>11</v>
      </c>
      <c r="O5498" s="8">
        <v>20.328747193832452</v>
      </c>
      <c r="P5498" s="9">
        <v>20.328747193832452</v>
      </c>
      <c r="Q5498" s="9">
        <v>20.328747193832452</v>
      </c>
      <c r="R5498" s="9">
        <v>20.901467178587069</v>
      </c>
      <c r="S5498" s="9">
        <v>21.789694031871221</v>
      </c>
      <c r="T5498" s="9">
        <v>22.685842380093916</v>
      </c>
      <c r="U5498" s="9">
        <v>25.139615720574728</v>
      </c>
      <c r="V5498" s="9">
        <v>25.139615720574728</v>
      </c>
      <c r="W5498" s="9">
        <v>25.139615720574728</v>
      </c>
      <c r="X5498" s="9">
        <v>28.431126761040446</v>
      </c>
      <c r="Y5498" s="9">
        <v>28.431126761040446</v>
      </c>
      <c r="Z5498" s="9">
        <v>31.8133765751437</v>
      </c>
      <c r="AA5498" s="9">
        <v>31.8133765751437</v>
      </c>
      <c r="AB5498" s="9">
        <v>35.295439040248269</v>
      </c>
      <c r="AC5498" s="9">
        <v>35.295439040248269</v>
      </c>
      <c r="AD5498" s="9">
        <v>40.66038110622798</v>
      </c>
      <c r="AE5498" s="9">
        <v>44.145469767258199</v>
      </c>
      <c r="AF5498" s="9">
        <v>47.802065076832598</v>
      </c>
      <c r="AG5498" s="9">
        <v>47.802065076832598</v>
      </c>
      <c r="AH5498" s="9">
        <v>52.368463891218347</v>
      </c>
      <c r="AI5498" s="9">
        <v>56.090712435126555</v>
      </c>
      <c r="AJ5498" s="9">
        <v>3.0428788910505911</v>
      </c>
    </row>
    <row r="5499" spans="1:36" x14ac:dyDescent="0.25">
      <c r="A5499" t="s">
        <v>5411</v>
      </c>
      <c r="B5499" t="s">
        <v>16</v>
      </c>
      <c r="C5499" t="s">
        <v>17</v>
      </c>
      <c r="D5499">
        <v>95300000</v>
      </c>
      <c r="E5499">
        <v>95304999</v>
      </c>
      <c r="F5499" t="s">
        <v>4956</v>
      </c>
      <c r="G5499" t="str">
        <f t="shared" si="170"/>
        <v>RSI II</v>
      </c>
      <c r="H5499" t="s">
        <v>4915</v>
      </c>
      <c r="I5499" t="s">
        <v>20</v>
      </c>
      <c r="J5499" t="s">
        <v>64</v>
      </c>
      <c r="K5499" s="6">
        <v>0.03</v>
      </c>
      <c r="L5499" s="7">
        <f t="shared" si="171"/>
        <v>2E-3</v>
      </c>
      <c r="M5499" s="7">
        <v>3.0000000000000001E-3</v>
      </c>
      <c r="N5499">
        <v>11</v>
      </c>
      <c r="O5499" s="8">
        <v>20.328747193832452</v>
      </c>
      <c r="P5499" s="9">
        <v>20.328747193832452</v>
      </c>
      <c r="Q5499" s="9">
        <v>20.328747193832452</v>
      </c>
      <c r="R5499" s="9">
        <v>20.901467178587069</v>
      </c>
      <c r="S5499" s="9">
        <v>21.789694031871221</v>
      </c>
      <c r="T5499" s="9">
        <v>22.685842380093916</v>
      </c>
      <c r="U5499" s="9">
        <v>25.139615720574728</v>
      </c>
      <c r="V5499" s="9">
        <v>25.139615720574728</v>
      </c>
      <c r="W5499" s="9">
        <v>25.139615720574728</v>
      </c>
      <c r="X5499" s="9">
        <v>28.431126761040446</v>
      </c>
      <c r="Y5499" s="9">
        <v>28.431126761040446</v>
      </c>
      <c r="Z5499" s="9">
        <v>31.8133765751437</v>
      </c>
      <c r="AA5499" s="9">
        <v>31.8133765751437</v>
      </c>
      <c r="AB5499" s="9">
        <v>35.295439040248269</v>
      </c>
      <c r="AC5499" s="9">
        <v>35.295439040248269</v>
      </c>
      <c r="AD5499" s="9">
        <v>40.66038110622798</v>
      </c>
      <c r="AE5499" s="9">
        <v>44.145469767258199</v>
      </c>
      <c r="AF5499" s="9">
        <v>47.802065076832598</v>
      </c>
      <c r="AG5499" s="9">
        <v>47.802065076832598</v>
      </c>
      <c r="AH5499" s="9">
        <v>52.368463891218347</v>
      </c>
      <c r="AI5499" s="9">
        <v>56.090712435126555</v>
      </c>
      <c r="AJ5499" s="9">
        <v>3.0428788910505911</v>
      </c>
    </row>
    <row r="5500" spans="1:36" x14ac:dyDescent="0.25">
      <c r="A5500" t="s">
        <v>5411</v>
      </c>
      <c r="B5500" t="s">
        <v>16</v>
      </c>
      <c r="C5500" t="s">
        <v>17</v>
      </c>
      <c r="D5500">
        <v>95305000</v>
      </c>
      <c r="E5500">
        <v>95307999</v>
      </c>
      <c r="F5500" t="s">
        <v>4957</v>
      </c>
      <c r="G5500" t="str">
        <f t="shared" si="170"/>
        <v>RSI II</v>
      </c>
      <c r="H5500" t="s">
        <v>4915</v>
      </c>
      <c r="I5500" t="s">
        <v>20</v>
      </c>
      <c r="J5500" t="s">
        <v>64</v>
      </c>
      <c r="K5500" s="6">
        <v>0.03</v>
      </c>
      <c r="L5500" s="7">
        <f t="shared" si="171"/>
        <v>2E-3</v>
      </c>
      <c r="M5500" s="7">
        <v>3.0000000000000001E-3</v>
      </c>
      <c r="N5500">
        <v>11</v>
      </c>
      <c r="O5500" s="8">
        <v>20.328747193832452</v>
      </c>
      <c r="P5500" s="9">
        <v>20.328747193832452</v>
      </c>
      <c r="Q5500" s="9">
        <v>20.328747193832452</v>
      </c>
      <c r="R5500" s="9">
        <v>20.901467178587069</v>
      </c>
      <c r="S5500" s="9">
        <v>21.789694031871221</v>
      </c>
      <c r="T5500" s="9">
        <v>22.685842380093916</v>
      </c>
      <c r="U5500" s="9">
        <v>25.139615720574728</v>
      </c>
      <c r="V5500" s="9">
        <v>25.139615720574728</v>
      </c>
      <c r="W5500" s="9">
        <v>25.139615720574728</v>
      </c>
      <c r="X5500" s="9">
        <v>28.431126761040446</v>
      </c>
      <c r="Y5500" s="9">
        <v>28.431126761040446</v>
      </c>
      <c r="Z5500" s="9">
        <v>31.8133765751437</v>
      </c>
      <c r="AA5500" s="9">
        <v>31.8133765751437</v>
      </c>
      <c r="AB5500" s="9">
        <v>35.295439040248269</v>
      </c>
      <c r="AC5500" s="9">
        <v>35.295439040248269</v>
      </c>
      <c r="AD5500" s="9">
        <v>40.66038110622798</v>
      </c>
      <c r="AE5500" s="9">
        <v>44.145469767258199</v>
      </c>
      <c r="AF5500" s="9">
        <v>47.802065076832598</v>
      </c>
      <c r="AG5500" s="9">
        <v>47.802065076832598</v>
      </c>
      <c r="AH5500" s="9">
        <v>52.368463891218347</v>
      </c>
      <c r="AI5500" s="9">
        <v>56.090712435126555</v>
      </c>
      <c r="AJ5500" s="9">
        <v>3.0428788910505911</v>
      </c>
    </row>
    <row r="5501" spans="1:36" x14ac:dyDescent="0.25">
      <c r="A5501" t="s">
        <v>5411</v>
      </c>
      <c r="B5501" t="s">
        <v>16</v>
      </c>
      <c r="C5501" t="s">
        <v>17</v>
      </c>
      <c r="D5501">
        <v>95308000</v>
      </c>
      <c r="E5501">
        <v>95309999</v>
      </c>
      <c r="F5501" t="s">
        <v>4958</v>
      </c>
      <c r="G5501" t="str">
        <f t="shared" si="170"/>
        <v>RSI II</v>
      </c>
      <c r="H5501" t="s">
        <v>4915</v>
      </c>
      <c r="I5501" t="s">
        <v>20</v>
      </c>
      <c r="J5501" t="s">
        <v>64</v>
      </c>
      <c r="K5501" s="6">
        <v>0.03</v>
      </c>
      <c r="L5501" s="7">
        <f t="shared" si="171"/>
        <v>2E-3</v>
      </c>
      <c r="M5501" s="7">
        <v>3.0000000000000001E-3</v>
      </c>
      <c r="N5501">
        <v>11</v>
      </c>
      <c r="O5501" s="8">
        <v>20.328747193832452</v>
      </c>
      <c r="P5501" s="9">
        <v>20.328747193832452</v>
      </c>
      <c r="Q5501" s="9">
        <v>20.328747193832452</v>
      </c>
      <c r="R5501" s="9">
        <v>20.901467178587069</v>
      </c>
      <c r="S5501" s="9">
        <v>21.789694031871221</v>
      </c>
      <c r="T5501" s="9">
        <v>22.685842380093916</v>
      </c>
      <c r="U5501" s="9">
        <v>25.139615720574728</v>
      </c>
      <c r="V5501" s="9">
        <v>25.139615720574728</v>
      </c>
      <c r="W5501" s="9">
        <v>25.139615720574728</v>
      </c>
      <c r="X5501" s="9">
        <v>28.431126761040446</v>
      </c>
      <c r="Y5501" s="9">
        <v>28.431126761040446</v>
      </c>
      <c r="Z5501" s="9">
        <v>31.8133765751437</v>
      </c>
      <c r="AA5501" s="9">
        <v>31.8133765751437</v>
      </c>
      <c r="AB5501" s="9">
        <v>35.295439040248269</v>
      </c>
      <c r="AC5501" s="9">
        <v>35.295439040248269</v>
      </c>
      <c r="AD5501" s="9">
        <v>40.66038110622798</v>
      </c>
      <c r="AE5501" s="9">
        <v>44.145469767258199</v>
      </c>
      <c r="AF5501" s="9">
        <v>47.802065076832598</v>
      </c>
      <c r="AG5501" s="9">
        <v>47.802065076832598</v>
      </c>
      <c r="AH5501" s="9">
        <v>52.368463891218347</v>
      </c>
      <c r="AI5501" s="9">
        <v>56.090712435126555</v>
      </c>
      <c r="AJ5501" s="9">
        <v>3.0428788910505911</v>
      </c>
    </row>
    <row r="5502" spans="1:36" x14ac:dyDescent="0.25">
      <c r="A5502" t="s">
        <v>5411</v>
      </c>
      <c r="B5502" t="s">
        <v>16</v>
      </c>
      <c r="C5502" t="s">
        <v>17</v>
      </c>
      <c r="D5502">
        <v>95310000</v>
      </c>
      <c r="E5502">
        <v>95314999</v>
      </c>
      <c r="F5502" t="s">
        <v>4959</v>
      </c>
      <c r="G5502" t="str">
        <f t="shared" si="170"/>
        <v>RSI II</v>
      </c>
      <c r="H5502" t="s">
        <v>4915</v>
      </c>
      <c r="I5502" t="s">
        <v>20</v>
      </c>
      <c r="J5502" t="s">
        <v>64</v>
      </c>
      <c r="K5502" s="6">
        <v>0.03</v>
      </c>
      <c r="L5502" s="7">
        <f t="shared" si="171"/>
        <v>2E-3</v>
      </c>
      <c r="M5502" s="7">
        <v>3.0000000000000001E-3</v>
      </c>
      <c r="N5502">
        <v>11</v>
      </c>
      <c r="O5502" s="8">
        <v>20.328747193832452</v>
      </c>
      <c r="P5502" s="9">
        <v>20.328747193832452</v>
      </c>
      <c r="Q5502" s="9">
        <v>20.328747193832452</v>
      </c>
      <c r="R5502" s="9">
        <v>20.901467178587069</v>
      </c>
      <c r="S5502" s="9">
        <v>21.789694031871221</v>
      </c>
      <c r="T5502" s="9">
        <v>22.685842380093916</v>
      </c>
      <c r="U5502" s="9">
        <v>25.139615720574728</v>
      </c>
      <c r="V5502" s="9">
        <v>25.139615720574728</v>
      </c>
      <c r="W5502" s="9">
        <v>25.139615720574728</v>
      </c>
      <c r="X5502" s="9">
        <v>28.431126761040446</v>
      </c>
      <c r="Y5502" s="9">
        <v>28.431126761040446</v>
      </c>
      <c r="Z5502" s="9">
        <v>31.8133765751437</v>
      </c>
      <c r="AA5502" s="9">
        <v>31.8133765751437</v>
      </c>
      <c r="AB5502" s="9">
        <v>35.295439040248269</v>
      </c>
      <c r="AC5502" s="9">
        <v>35.295439040248269</v>
      </c>
      <c r="AD5502" s="9">
        <v>40.66038110622798</v>
      </c>
      <c r="AE5502" s="9">
        <v>44.145469767258199</v>
      </c>
      <c r="AF5502" s="9">
        <v>47.802065076832598</v>
      </c>
      <c r="AG5502" s="9">
        <v>47.802065076832598</v>
      </c>
      <c r="AH5502" s="9">
        <v>52.368463891218347</v>
      </c>
      <c r="AI5502" s="9">
        <v>56.090712435126555</v>
      </c>
      <c r="AJ5502" s="9">
        <v>3.0428788910505911</v>
      </c>
    </row>
    <row r="5503" spans="1:36" x14ac:dyDescent="0.25">
      <c r="A5503" t="s">
        <v>5411</v>
      </c>
      <c r="B5503" t="s">
        <v>16</v>
      </c>
      <c r="C5503" t="s">
        <v>17</v>
      </c>
      <c r="D5503">
        <v>95315000</v>
      </c>
      <c r="E5503">
        <v>95319999</v>
      </c>
      <c r="F5503" t="s">
        <v>4960</v>
      </c>
      <c r="G5503" t="str">
        <f t="shared" si="170"/>
        <v>RSI II</v>
      </c>
      <c r="H5503" t="s">
        <v>4915</v>
      </c>
      <c r="I5503" t="s">
        <v>20</v>
      </c>
      <c r="J5503" t="s">
        <v>64</v>
      </c>
      <c r="K5503" s="6">
        <v>0.03</v>
      </c>
      <c r="L5503" s="7">
        <f t="shared" si="171"/>
        <v>2E-3</v>
      </c>
      <c r="M5503" s="7">
        <v>3.0000000000000001E-3</v>
      </c>
      <c r="N5503">
        <v>11</v>
      </c>
      <c r="O5503" s="8">
        <v>20.328747193832452</v>
      </c>
      <c r="P5503" s="9">
        <v>20.328747193832452</v>
      </c>
      <c r="Q5503" s="9">
        <v>20.328747193832452</v>
      </c>
      <c r="R5503" s="9">
        <v>20.901467178587069</v>
      </c>
      <c r="S5503" s="9">
        <v>21.789694031871221</v>
      </c>
      <c r="T5503" s="9">
        <v>22.685842380093916</v>
      </c>
      <c r="U5503" s="9">
        <v>25.139615720574728</v>
      </c>
      <c r="V5503" s="9">
        <v>25.139615720574728</v>
      </c>
      <c r="W5503" s="9">
        <v>25.139615720574728</v>
      </c>
      <c r="X5503" s="9">
        <v>28.431126761040446</v>
      </c>
      <c r="Y5503" s="9">
        <v>28.431126761040446</v>
      </c>
      <c r="Z5503" s="9">
        <v>31.8133765751437</v>
      </c>
      <c r="AA5503" s="9">
        <v>31.8133765751437</v>
      </c>
      <c r="AB5503" s="9">
        <v>35.295439040248269</v>
      </c>
      <c r="AC5503" s="9">
        <v>35.295439040248269</v>
      </c>
      <c r="AD5503" s="9">
        <v>40.66038110622798</v>
      </c>
      <c r="AE5503" s="9">
        <v>44.145469767258199</v>
      </c>
      <c r="AF5503" s="9">
        <v>47.802065076832598</v>
      </c>
      <c r="AG5503" s="9">
        <v>47.802065076832598</v>
      </c>
      <c r="AH5503" s="9">
        <v>52.368463891218347</v>
      </c>
      <c r="AI5503" s="9">
        <v>56.090712435126555</v>
      </c>
      <c r="AJ5503" s="9">
        <v>3.0428788910505911</v>
      </c>
    </row>
    <row r="5504" spans="1:36" x14ac:dyDescent="0.25">
      <c r="A5504" t="s">
        <v>5411</v>
      </c>
      <c r="B5504" t="s">
        <v>16</v>
      </c>
      <c r="C5504" t="s">
        <v>17</v>
      </c>
      <c r="D5504">
        <v>95320000</v>
      </c>
      <c r="E5504">
        <v>95324999</v>
      </c>
      <c r="F5504" t="s">
        <v>4961</v>
      </c>
      <c r="G5504" t="str">
        <f t="shared" si="170"/>
        <v>RSI</v>
      </c>
      <c r="H5504" t="s">
        <v>4915</v>
      </c>
      <c r="I5504" t="s">
        <v>20</v>
      </c>
      <c r="J5504" t="s">
        <v>62</v>
      </c>
      <c r="K5504" s="6">
        <v>0.03</v>
      </c>
      <c r="L5504" s="7">
        <f t="shared" si="171"/>
        <v>2E-3</v>
      </c>
      <c r="M5504" s="7">
        <v>3.0000000000000001E-3</v>
      </c>
      <c r="N5504">
        <v>9</v>
      </c>
      <c r="O5504" s="8">
        <v>17.509302802156309</v>
      </c>
      <c r="P5504" s="9">
        <v>17.509302802156309</v>
      </c>
      <c r="Q5504" s="9">
        <v>17.509302802156309</v>
      </c>
      <c r="R5504" s="9">
        <v>17.960073121579438</v>
      </c>
      <c r="S5504" s="9">
        <v>18.978426201825126</v>
      </c>
      <c r="T5504" s="9">
        <v>19.861619996324769</v>
      </c>
      <c r="U5504" s="9">
        <v>21.605211693624167</v>
      </c>
      <c r="V5504" s="9">
        <v>21.605211693624167</v>
      </c>
      <c r="W5504" s="9">
        <v>21.605211693624167</v>
      </c>
      <c r="X5504" s="9">
        <v>24.342346895578043</v>
      </c>
      <c r="Y5504" s="9">
        <v>24.342346895578043</v>
      </c>
      <c r="Z5504" s="9">
        <v>27.269806221922281</v>
      </c>
      <c r="AA5504" s="9">
        <v>27.269806221922281</v>
      </c>
      <c r="AB5504" s="9">
        <v>30.447232473217717</v>
      </c>
      <c r="AC5504" s="9">
        <v>30.447232473217717</v>
      </c>
      <c r="AD5504" s="9">
        <v>33.773696777878271</v>
      </c>
      <c r="AE5504" s="9">
        <v>37.668102449503657</v>
      </c>
      <c r="AF5504" s="9">
        <v>41.795656089883373</v>
      </c>
      <c r="AG5504" s="9">
        <v>41.795656089883373</v>
      </c>
      <c r="AH5504" s="9">
        <v>45.638668972740511</v>
      </c>
      <c r="AI5504" s="9">
        <v>49.380739592962819</v>
      </c>
      <c r="AJ5504" s="9">
        <v>3.0428788910505911</v>
      </c>
    </row>
    <row r="5505" spans="1:36" x14ac:dyDescent="0.25">
      <c r="A5505" t="s">
        <v>5411</v>
      </c>
      <c r="B5505" t="s">
        <v>16</v>
      </c>
      <c r="C5505" t="s">
        <v>17</v>
      </c>
      <c r="D5505">
        <v>95325000</v>
      </c>
      <c r="E5505">
        <v>95329999</v>
      </c>
      <c r="F5505" t="s">
        <v>4962</v>
      </c>
      <c r="G5505" t="str">
        <f t="shared" si="170"/>
        <v>RSI II</v>
      </c>
      <c r="H5505" t="s">
        <v>4915</v>
      </c>
      <c r="I5505" t="s">
        <v>20</v>
      </c>
      <c r="J5505" t="s">
        <v>64</v>
      </c>
      <c r="K5505" s="6">
        <v>0.03</v>
      </c>
      <c r="L5505" s="7">
        <f t="shared" si="171"/>
        <v>2E-3</v>
      </c>
      <c r="M5505" s="7">
        <v>3.0000000000000001E-3</v>
      </c>
      <c r="N5505">
        <v>11</v>
      </c>
      <c r="O5505" s="8">
        <v>20.328747193832452</v>
      </c>
      <c r="P5505" s="9">
        <v>20.328747193832452</v>
      </c>
      <c r="Q5505" s="9">
        <v>20.328747193832452</v>
      </c>
      <c r="R5505" s="9">
        <v>20.901467178587069</v>
      </c>
      <c r="S5505" s="9">
        <v>21.789694031871221</v>
      </c>
      <c r="T5505" s="9">
        <v>22.685842380093916</v>
      </c>
      <c r="U5505" s="9">
        <v>25.139615720574728</v>
      </c>
      <c r="V5505" s="9">
        <v>25.139615720574728</v>
      </c>
      <c r="W5505" s="9">
        <v>25.139615720574728</v>
      </c>
      <c r="X5505" s="9">
        <v>28.431126761040446</v>
      </c>
      <c r="Y5505" s="9">
        <v>28.431126761040446</v>
      </c>
      <c r="Z5505" s="9">
        <v>31.8133765751437</v>
      </c>
      <c r="AA5505" s="9">
        <v>31.8133765751437</v>
      </c>
      <c r="AB5505" s="9">
        <v>35.295439040248269</v>
      </c>
      <c r="AC5505" s="9">
        <v>35.295439040248269</v>
      </c>
      <c r="AD5505" s="9">
        <v>40.66038110622798</v>
      </c>
      <c r="AE5505" s="9">
        <v>44.145469767258199</v>
      </c>
      <c r="AF5505" s="9">
        <v>47.802065076832598</v>
      </c>
      <c r="AG5505" s="9">
        <v>47.802065076832598</v>
      </c>
      <c r="AH5505" s="9">
        <v>52.368463891218347</v>
      </c>
      <c r="AI5505" s="9">
        <v>56.090712435126555</v>
      </c>
      <c r="AJ5505" s="9">
        <v>3.0428788910505911</v>
      </c>
    </row>
    <row r="5506" spans="1:36" x14ac:dyDescent="0.25">
      <c r="A5506" t="s">
        <v>5411</v>
      </c>
      <c r="B5506" t="s">
        <v>16</v>
      </c>
      <c r="C5506" t="s">
        <v>17</v>
      </c>
      <c r="D5506">
        <v>95330000</v>
      </c>
      <c r="E5506">
        <v>95332999</v>
      </c>
      <c r="F5506" t="s">
        <v>4963</v>
      </c>
      <c r="G5506" t="str">
        <f t="shared" si="170"/>
        <v>RSI</v>
      </c>
      <c r="H5506" t="s">
        <v>4915</v>
      </c>
      <c r="I5506" t="s">
        <v>20</v>
      </c>
      <c r="J5506" t="s">
        <v>62</v>
      </c>
      <c r="K5506" s="6">
        <v>0.03</v>
      </c>
      <c r="L5506" s="7">
        <f t="shared" si="171"/>
        <v>2E-3</v>
      </c>
      <c r="M5506" s="7">
        <v>3.0000000000000001E-3</v>
      </c>
      <c r="N5506">
        <v>9</v>
      </c>
      <c r="O5506" s="8">
        <v>17.509302802156309</v>
      </c>
      <c r="P5506" s="9">
        <v>17.509302802156309</v>
      </c>
      <c r="Q5506" s="9">
        <v>17.509302802156309</v>
      </c>
      <c r="R5506" s="9">
        <v>17.960073121579438</v>
      </c>
      <c r="S5506" s="9">
        <v>18.978426201825126</v>
      </c>
      <c r="T5506" s="9">
        <v>19.861619996324769</v>
      </c>
      <c r="U5506" s="9">
        <v>21.605211693624167</v>
      </c>
      <c r="V5506" s="9">
        <v>21.605211693624167</v>
      </c>
      <c r="W5506" s="9">
        <v>21.605211693624167</v>
      </c>
      <c r="X5506" s="9">
        <v>24.342346895578043</v>
      </c>
      <c r="Y5506" s="9">
        <v>24.342346895578043</v>
      </c>
      <c r="Z5506" s="9">
        <v>27.269806221922281</v>
      </c>
      <c r="AA5506" s="9">
        <v>27.269806221922281</v>
      </c>
      <c r="AB5506" s="9">
        <v>30.447232473217717</v>
      </c>
      <c r="AC5506" s="9">
        <v>30.447232473217717</v>
      </c>
      <c r="AD5506" s="9">
        <v>33.773696777878271</v>
      </c>
      <c r="AE5506" s="9">
        <v>37.668102449503657</v>
      </c>
      <c r="AF5506" s="9">
        <v>41.795656089883373</v>
      </c>
      <c r="AG5506" s="9">
        <v>41.795656089883373</v>
      </c>
      <c r="AH5506" s="9">
        <v>45.638668972740511</v>
      </c>
      <c r="AI5506" s="9">
        <v>49.380739592962819</v>
      </c>
      <c r="AJ5506" s="9">
        <v>3.0428788910505911</v>
      </c>
    </row>
    <row r="5507" spans="1:36" x14ac:dyDescent="0.25">
      <c r="A5507" t="s">
        <v>5411</v>
      </c>
      <c r="B5507" t="s">
        <v>16</v>
      </c>
      <c r="C5507" t="s">
        <v>17</v>
      </c>
      <c r="D5507">
        <v>95333000</v>
      </c>
      <c r="E5507">
        <v>95333999</v>
      </c>
      <c r="F5507" t="s">
        <v>4964</v>
      </c>
      <c r="G5507" t="str">
        <f t="shared" si="170"/>
        <v>RSI II</v>
      </c>
      <c r="H5507" t="s">
        <v>4915</v>
      </c>
      <c r="I5507" t="s">
        <v>20</v>
      </c>
      <c r="J5507" t="s">
        <v>64</v>
      </c>
      <c r="K5507" s="6">
        <v>0.03</v>
      </c>
      <c r="L5507" s="7">
        <f t="shared" si="171"/>
        <v>2E-3</v>
      </c>
      <c r="M5507" s="7">
        <v>3.0000000000000001E-3</v>
      </c>
      <c r="N5507">
        <v>11</v>
      </c>
      <c r="O5507" s="8">
        <v>20.328747193832452</v>
      </c>
      <c r="P5507" s="9">
        <v>20.328747193832452</v>
      </c>
      <c r="Q5507" s="9">
        <v>20.328747193832452</v>
      </c>
      <c r="R5507" s="9">
        <v>20.901467178587069</v>
      </c>
      <c r="S5507" s="9">
        <v>21.789694031871221</v>
      </c>
      <c r="T5507" s="9">
        <v>22.685842380093916</v>
      </c>
      <c r="U5507" s="9">
        <v>25.139615720574728</v>
      </c>
      <c r="V5507" s="9">
        <v>25.139615720574728</v>
      </c>
      <c r="W5507" s="9">
        <v>25.139615720574728</v>
      </c>
      <c r="X5507" s="9">
        <v>28.431126761040446</v>
      </c>
      <c r="Y5507" s="9">
        <v>28.431126761040446</v>
      </c>
      <c r="Z5507" s="9">
        <v>31.8133765751437</v>
      </c>
      <c r="AA5507" s="9">
        <v>31.8133765751437</v>
      </c>
      <c r="AB5507" s="9">
        <v>35.295439040248269</v>
      </c>
      <c r="AC5507" s="9">
        <v>35.295439040248269</v>
      </c>
      <c r="AD5507" s="9">
        <v>40.66038110622798</v>
      </c>
      <c r="AE5507" s="9">
        <v>44.145469767258199</v>
      </c>
      <c r="AF5507" s="9">
        <v>47.802065076832598</v>
      </c>
      <c r="AG5507" s="9">
        <v>47.802065076832598</v>
      </c>
      <c r="AH5507" s="9">
        <v>52.368463891218347</v>
      </c>
      <c r="AI5507" s="9">
        <v>56.090712435126555</v>
      </c>
      <c r="AJ5507" s="9">
        <v>3.0428788910505911</v>
      </c>
    </row>
    <row r="5508" spans="1:36" x14ac:dyDescent="0.25">
      <c r="A5508" t="s">
        <v>5411</v>
      </c>
      <c r="B5508" t="s">
        <v>16</v>
      </c>
      <c r="C5508" t="s">
        <v>17</v>
      </c>
      <c r="D5508">
        <v>95334000</v>
      </c>
      <c r="E5508">
        <v>95334999</v>
      </c>
      <c r="F5508" t="s">
        <v>4965</v>
      </c>
      <c r="G5508" t="str">
        <f t="shared" ref="G5508:G5571" si="172">H5508&amp;IF(J5508="CAPITAL","C",IF(J5508="INTERIOR","I",IF(J5508="INTERIOR II","I II","R")))</f>
        <v>RSI II</v>
      </c>
      <c r="H5508" t="s">
        <v>4915</v>
      </c>
      <c r="I5508" t="s">
        <v>20</v>
      </c>
      <c r="J5508" t="s">
        <v>64</v>
      </c>
      <c r="K5508" s="6">
        <v>0.03</v>
      </c>
      <c r="L5508" s="7">
        <f t="shared" ref="L5508:L5571" si="173">IF(I5508="(0) Não",0.2%,3%)</f>
        <v>2E-3</v>
      </c>
      <c r="M5508" s="7">
        <v>3.0000000000000001E-3</v>
      </c>
      <c r="N5508">
        <v>11</v>
      </c>
      <c r="O5508" s="8">
        <v>20.328747193832452</v>
      </c>
      <c r="P5508" s="9">
        <v>20.328747193832452</v>
      </c>
      <c r="Q5508" s="9">
        <v>20.328747193832452</v>
      </c>
      <c r="R5508" s="9">
        <v>20.901467178587069</v>
      </c>
      <c r="S5508" s="9">
        <v>21.789694031871221</v>
      </c>
      <c r="T5508" s="9">
        <v>22.685842380093916</v>
      </c>
      <c r="U5508" s="9">
        <v>25.139615720574728</v>
      </c>
      <c r="V5508" s="9">
        <v>25.139615720574728</v>
      </c>
      <c r="W5508" s="9">
        <v>25.139615720574728</v>
      </c>
      <c r="X5508" s="9">
        <v>28.431126761040446</v>
      </c>
      <c r="Y5508" s="9">
        <v>28.431126761040446</v>
      </c>
      <c r="Z5508" s="9">
        <v>31.8133765751437</v>
      </c>
      <c r="AA5508" s="9">
        <v>31.8133765751437</v>
      </c>
      <c r="AB5508" s="9">
        <v>35.295439040248269</v>
      </c>
      <c r="AC5508" s="9">
        <v>35.295439040248269</v>
      </c>
      <c r="AD5508" s="9">
        <v>40.66038110622798</v>
      </c>
      <c r="AE5508" s="9">
        <v>44.145469767258199</v>
      </c>
      <c r="AF5508" s="9">
        <v>47.802065076832598</v>
      </c>
      <c r="AG5508" s="9">
        <v>47.802065076832598</v>
      </c>
      <c r="AH5508" s="9">
        <v>52.368463891218347</v>
      </c>
      <c r="AI5508" s="9">
        <v>56.090712435126555</v>
      </c>
      <c r="AJ5508" s="9">
        <v>3.0428788910505911</v>
      </c>
    </row>
    <row r="5509" spans="1:36" x14ac:dyDescent="0.25">
      <c r="A5509" t="s">
        <v>5411</v>
      </c>
      <c r="B5509" t="s">
        <v>16</v>
      </c>
      <c r="C5509" t="s">
        <v>17</v>
      </c>
      <c r="D5509">
        <v>95335000</v>
      </c>
      <c r="E5509">
        <v>95339999</v>
      </c>
      <c r="F5509" t="s">
        <v>4966</v>
      </c>
      <c r="G5509" t="str">
        <f t="shared" si="172"/>
        <v>RSI II</v>
      </c>
      <c r="H5509" t="s">
        <v>4915</v>
      </c>
      <c r="I5509" t="s">
        <v>20</v>
      </c>
      <c r="J5509" t="s">
        <v>64</v>
      </c>
      <c r="K5509" s="6">
        <v>0.03</v>
      </c>
      <c r="L5509" s="7">
        <f t="shared" si="173"/>
        <v>2E-3</v>
      </c>
      <c r="M5509" s="7">
        <v>3.0000000000000001E-3</v>
      </c>
      <c r="N5509">
        <v>11</v>
      </c>
      <c r="O5509" s="8">
        <v>20.328747193832452</v>
      </c>
      <c r="P5509" s="9">
        <v>20.328747193832452</v>
      </c>
      <c r="Q5509" s="9">
        <v>20.328747193832452</v>
      </c>
      <c r="R5509" s="9">
        <v>20.901467178587069</v>
      </c>
      <c r="S5509" s="9">
        <v>21.789694031871221</v>
      </c>
      <c r="T5509" s="9">
        <v>22.685842380093916</v>
      </c>
      <c r="U5509" s="9">
        <v>25.139615720574728</v>
      </c>
      <c r="V5509" s="9">
        <v>25.139615720574728</v>
      </c>
      <c r="W5509" s="9">
        <v>25.139615720574728</v>
      </c>
      <c r="X5509" s="9">
        <v>28.431126761040446</v>
      </c>
      <c r="Y5509" s="9">
        <v>28.431126761040446</v>
      </c>
      <c r="Z5509" s="9">
        <v>31.8133765751437</v>
      </c>
      <c r="AA5509" s="9">
        <v>31.8133765751437</v>
      </c>
      <c r="AB5509" s="9">
        <v>35.295439040248269</v>
      </c>
      <c r="AC5509" s="9">
        <v>35.295439040248269</v>
      </c>
      <c r="AD5509" s="9">
        <v>40.66038110622798</v>
      </c>
      <c r="AE5509" s="9">
        <v>44.145469767258199</v>
      </c>
      <c r="AF5509" s="9">
        <v>47.802065076832598</v>
      </c>
      <c r="AG5509" s="9">
        <v>47.802065076832598</v>
      </c>
      <c r="AH5509" s="9">
        <v>52.368463891218347</v>
      </c>
      <c r="AI5509" s="9">
        <v>56.090712435126555</v>
      </c>
      <c r="AJ5509" s="9">
        <v>3.0428788910505911</v>
      </c>
    </row>
    <row r="5510" spans="1:36" x14ac:dyDescent="0.25">
      <c r="A5510" t="s">
        <v>5411</v>
      </c>
      <c r="B5510" t="s">
        <v>16</v>
      </c>
      <c r="C5510" t="s">
        <v>17</v>
      </c>
      <c r="D5510">
        <v>95340000</v>
      </c>
      <c r="E5510">
        <v>95344999</v>
      </c>
      <c r="F5510" t="s">
        <v>4967</v>
      </c>
      <c r="G5510" t="str">
        <f t="shared" si="172"/>
        <v>RSI II</v>
      </c>
      <c r="H5510" t="s">
        <v>4915</v>
      </c>
      <c r="I5510" t="s">
        <v>20</v>
      </c>
      <c r="J5510" t="s">
        <v>64</v>
      </c>
      <c r="K5510" s="6">
        <v>0.03</v>
      </c>
      <c r="L5510" s="7">
        <f t="shared" si="173"/>
        <v>2E-3</v>
      </c>
      <c r="M5510" s="7">
        <v>3.0000000000000001E-3</v>
      </c>
      <c r="N5510">
        <v>11</v>
      </c>
      <c r="O5510" s="8">
        <v>20.328747193832452</v>
      </c>
      <c r="P5510" s="9">
        <v>20.328747193832452</v>
      </c>
      <c r="Q5510" s="9">
        <v>20.328747193832452</v>
      </c>
      <c r="R5510" s="9">
        <v>20.901467178587069</v>
      </c>
      <c r="S5510" s="9">
        <v>21.789694031871221</v>
      </c>
      <c r="T5510" s="9">
        <v>22.685842380093916</v>
      </c>
      <c r="U5510" s="9">
        <v>25.139615720574728</v>
      </c>
      <c r="V5510" s="9">
        <v>25.139615720574728</v>
      </c>
      <c r="W5510" s="9">
        <v>25.139615720574728</v>
      </c>
      <c r="X5510" s="9">
        <v>28.431126761040446</v>
      </c>
      <c r="Y5510" s="9">
        <v>28.431126761040446</v>
      </c>
      <c r="Z5510" s="9">
        <v>31.8133765751437</v>
      </c>
      <c r="AA5510" s="9">
        <v>31.8133765751437</v>
      </c>
      <c r="AB5510" s="9">
        <v>35.295439040248269</v>
      </c>
      <c r="AC5510" s="9">
        <v>35.295439040248269</v>
      </c>
      <c r="AD5510" s="9">
        <v>40.66038110622798</v>
      </c>
      <c r="AE5510" s="9">
        <v>44.145469767258199</v>
      </c>
      <c r="AF5510" s="9">
        <v>47.802065076832598</v>
      </c>
      <c r="AG5510" s="9">
        <v>47.802065076832598</v>
      </c>
      <c r="AH5510" s="9">
        <v>52.368463891218347</v>
      </c>
      <c r="AI5510" s="9">
        <v>56.090712435126555</v>
      </c>
      <c r="AJ5510" s="9">
        <v>3.0428788910505911</v>
      </c>
    </row>
    <row r="5511" spans="1:36" x14ac:dyDescent="0.25">
      <c r="A5511" t="s">
        <v>5411</v>
      </c>
      <c r="B5511" t="s">
        <v>16</v>
      </c>
      <c r="C5511" t="s">
        <v>17</v>
      </c>
      <c r="D5511">
        <v>95345000</v>
      </c>
      <c r="E5511">
        <v>95349999</v>
      </c>
      <c r="F5511" t="s">
        <v>4968</v>
      </c>
      <c r="G5511" t="str">
        <f t="shared" si="172"/>
        <v>RSI II</v>
      </c>
      <c r="H5511" t="s">
        <v>4915</v>
      </c>
      <c r="I5511" t="s">
        <v>20</v>
      </c>
      <c r="J5511" t="s">
        <v>64</v>
      </c>
      <c r="K5511" s="6">
        <v>0.03</v>
      </c>
      <c r="L5511" s="7">
        <f t="shared" si="173"/>
        <v>2E-3</v>
      </c>
      <c r="M5511" s="7">
        <v>3.0000000000000001E-3</v>
      </c>
      <c r="N5511">
        <v>11</v>
      </c>
      <c r="O5511" s="8">
        <v>20.328747193832452</v>
      </c>
      <c r="P5511" s="9">
        <v>20.328747193832452</v>
      </c>
      <c r="Q5511" s="9">
        <v>20.328747193832452</v>
      </c>
      <c r="R5511" s="9">
        <v>20.901467178587069</v>
      </c>
      <c r="S5511" s="9">
        <v>21.789694031871221</v>
      </c>
      <c r="T5511" s="9">
        <v>22.685842380093916</v>
      </c>
      <c r="U5511" s="9">
        <v>25.139615720574728</v>
      </c>
      <c r="V5511" s="9">
        <v>25.139615720574728</v>
      </c>
      <c r="W5511" s="9">
        <v>25.139615720574728</v>
      </c>
      <c r="X5511" s="9">
        <v>28.431126761040446</v>
      </c>
      <c r="Y5511" s="9">
        <v>28.431126761040446</v>
      </c>
      <c r="Z5511" s="9">
        <v>31.8133765751437</v>
      </c>
      <c r="AA5511" s="9">
        <v>31.8133765751437</v>
      </c>
      <c r="AB5511" s="9">
        <v>35.295439040248269</v>
      </c>
      <c r="AC5511" s="9">
        <v>35.295439040248269</v>
      </c>
      <c r="AD5511" s="9">
        <v>40.66038110622798</v>
      </c>
      <c r="AE5511" s="9">
        <v>44.145469767258199</v>
      </c>
      <c r="AF5511" s="9">
        <v>47.802065076832598</v>
      </c>
      <c r="AG5511" s="9">
        <v>47.802065076832598</v>
      </c>
      <c r="AH5511" s="9">
        <v>52.368463891218347</v>
      </c>
      <c r="AI5511" s="9">
        <v>56.090712435126555</v>
      </c>
      <c r="AJ5511" s="9">
        <v>3.0428788910505911</v>
      </c>
    </row>
    <row r="5512" spans="1:36" x14ac:dyDescent="0.25">
      <c r="A5512" t="s">
        <v>5411</v>
      </c>
      <c r="B5512" t="s">
        <v>16</v>
      </c>
      <c r="C5512" t="s">
        <v>17</v>
      </c>
      <c r="D5512">
        <v>95350000</v>
      </c>
      <c r="E5512">
        <v>95354999</v>
      </c>
      <c r="F5512" t="s">
        <v>4969</v>
      </c>
      <c r="G5512" t="str">
        <f t="shared" si="172"/>
        <v>RSI II</v>
      </c>
      <c r="H5512" t="s">
        <v>4915</v>
      </c>
      <c r="I5512" t="s">
        <v>20</v>
      </c>
      <c r="J5512" t="s">
        <v>64</v>
      </c>
      <c r="K5512" s="6">
        <v>0.03</v>
      </c>
      <c r="L5512" s="7">
        <f t="shared" si="173"/>
        <v>2E-3</v>
      </c>
      <c r="M5512" s="7">
        <v>3.0000000000000001E-3</v>
      </c>
      <c r="N5512">
        <v>11</v>
      </c>
      <c r="O5512" s="8">
        <v>20.328747193832452</v>
      </c>
      <c r="P5512" s="9">
        <v>20.328747193832452</v>
      </c>
      <c r="Q5512" s="9">
        <v>20.328747193832452</v>
      </c>
      <c r="R5512" s="9">
        <v>20.901467178587069</v>
      </c>
      <c r="S5512" s="9">
        <v>21.789694031871221</v>
      </c>
      <c r="T5512" s="9">
        <v>22.685842380093916</v>
      </c>
      <c r="U5512" s="9">
        <v>25.139615720574728</v>
      </c>
      <c r="V5512" s="9">
        <v>25.139615720574728</v>
      </c>
      <c r="W5512" s="9">
        <v>25.139615720574728</v>
      </c>
      <c r="X5512" s="9">
        <v>28.431126761040446</v>
      </c>
      <c r="Y5512" s="9">
        <v>28.431126761040446</v>
      </c>
      <c r="Z5512" s="9">
        <v>31.8133765751437</v>
      </c>
      <c r="AA5512" s="9">
        <v>31.8133765751437</v>
      </c>
      <c r="AB5512" s="9">
        <v>35.295439040248269</v>
      </c>
      <c r="AC5512" s="9">
        <v>35.295439040248269</v>
      </c>
      <c r="AD5512" s="9">
        <v>40.66038110622798</v>
      </c>
      <c r="AE5512" s="9">
        <v>44.145469767258199</v>
      </c>
      <c r="AF5512" s="9">
        <v>47.802065076832598</v>
      </c>
      <c r="AG5512" s="9">
        <v>47.802065076832598</v>
      </c>
      <c r="AH5512" s="9">
        <v>52.368463891218347</v>
      </c>
      <c r="AI5512" s="9">
        <v>56.090712435126555</v>
      </c>
      <c r="AJ5512" s="9">
        <v>3.0428788910505911</v>
      </c>
    </row>
    <row r="5513" spans="1:36" x14ac:dyDescent="0.25">
      <c r="A5513" t="s">
        <v>5411</v>
      </c>
      <c r="B5513" t="s">
        <v>16</v>
      </c>
      <c r="C5513" t="s">
        <v>17</v>
      </c>
      <c r="D5513">
        <v>95355000</v>
      </c>
      <c r="E5513">
        <v>95359999</v>
      </c>
      <c r="F5513" t="s">
        <v>4970</v>
      </c>
      <c r="G5513" t="str">
        <f t="shared" si="172"/>
        <v>RSI II</v>
      </c>
      <c r="H5513" t="s">
        <v>4915</v>
      </c>
      <c r="I5513" t="s">
        <v>20</v>
      </c>
      <c r="J5513" t="s">
        <v>64</v>
      </c>
      <c r="K5513" s="6">
        <v>0.03</v>
      </c>
      <c r="L5513" s="7">
        <f t="shared" si="173"/>
        <v>2E-3</v>
      </c>
      <c r="M5513" s="7">
        <v>3.0000000000000001E-3</v>
      </c>
      <c r="N5513">
        <v>11</v>
      </c>
      <c r="O5513" s="8">
        <v>20.328747193832452</v>
      </c>
      <c r="P5513" s="9">
        <v>20.328747193832452</v>
      </c>
      <c r="Q5513" s="9">
        <v>20.328747193832452</v>
      </c>
      <c r="R5513" s="9">
        <v>20.901467178587069</v>
      </c>
      <c r="S5513" s="9">
        <v>21.789694031871221</v>
      </c>
      <c r="T5513" s="9">
        <v>22.685842380093916</v>
      </c>
      <c r="U5513" s="9">
        <v>25.139615720574728</v>
      </c>
      <c r="V5513" s="9">
        <v>25.139615720574728</v>
      </c>
      <c r="W5513" s="9">
        <v>25.139615720574728</v>
      </c>
      <c r="X5513" s="9">
        <v>28.431126761040446</v>
      </c>
      <c r="Y5513" s="9">
        <v>28.431126761040446</v>
      </c>
      <c r="Z5513" s="9">
        <v>31.8133765751437</v>
      </c>
      <c r="AA5513" s="9">
        <v>31.8133765751437</v>
      </c>
      <c r="AB5513" s="9">
        <v>35.295439040248269</v>
      </c>
      <c r="AC5513" s="9">
        <v>35.295439040248269</v>
      </c>
      <c r="AD5513" s="9">
        <v>40.66038110622798</v>
      </c>
      <c r="AE5513" s="9">
        <v>44.145469767258199</v>
      </c>
      <c r="AF5513" s="9">
        <v>47.802065076832598</v>
      </c>
      <c r="AG5513" s="9">
        <v>47.802065076832598</v>
      </c>
      <c r="AH5513" s="9">
        <v>52.368463891218347</v>
      </c>
      <c r="AI5513" s="9">
        <v>56.090712435126555</v>
      </c>
      <c r="AJ5513" s="9">
        <v>3.0428788910505911</v>
      </c>
    </row>
    <row r="5514" spans="1:36" x14ac:dyDescent="0.25">
      <c r="A5514" t="s">
        <v>5411</v>
      </c>
      <c r="B5514" t="s">
        <v>16</v>
      </c>
      <c r="C5514" t="s">
        <v>17</v>
      </c>
      <c r="D5514">
        <v>95360000</v>
      </c>
      <c r="E5514">
        <v>95364999</v>
      </c>
      <c r="F5514" t="s">
        <v>4971</v>
      </c>
      <c r="G5514" t="str">
        <f t="shared" si="172"/>
        <v>RSI II</v>
      </c>
      <c r="H5514" t="s">
        <v>4915</v>
      </c>
      <c r="I5514" t="s">
        <v>20</v>
      </c>
      <c r="J5514" t="s">
        <v>64</v>
      </c>
      <c r="K5514" s="6">
        <v>0.03</v>
      </c>
      <c r="L5514" s="7">
        <f t="shared" si="173"/>
        <v>2E-3</v>
      </c>
      <c r="M5514" s="7">
        <v>3.0000000000000001E-3</v>
      </c>
      <c r="N5514">
        <v>11</v>
      </c>
      <c r="O5514" s="8">
        <v>20.328747193832452</v>
      </c>
      <c r="P5514" s="9">
        <v>20.328747193832452</v>
      </c>
      <c r="Q5514" s="9">
        <v>20.328747193832452</v>
      </c>
      <c r="R5514" s="9">
        <v>20.901467178587069</v>
      </c>
      <c r="S5514" s="9">
        <v>21.789694031871221</v>
      </c>
      <c r="T5514" s="9">
        <v>22.685842380093916</v>
      </c>
      <c r="U5514" s="9">
        <v>25.139615720574728</v>
      </c>
      <c r="V5514" s="9">
        <v>25.139615720574728</v>
      </c>
      <c r="W5514" s="9">
        <v>25.139615720574728</v>
      </c>
      <c r="X5514" s="9">
        <v>28.431126761040446</v>
      </c>
      <c r="Y5514" s="9">
        <v>28.431126761040446</v>
      </c>
      <c r="Z5514" s="9">
        <v>31.8133765751437</v>
      </c>
      <c r="AA5514" s="9">
        <v>31.8133765751437</v>
      </c>
      <c r="AB5514" s="9">
        <v>35.295439040248269</v>
      </c>
      <c r="AC5514" s="9">
        <v>35.295439040248269</v>
      </c>
      <c r="AD5514" s="9">
        <v>40.66038110622798</v>
      </c>
      <c r="AE5514" s="9">
        <v>44.145469767258199</v>
      </c>
      <c r="AF5514" s="9">
        <v>47.802065076832598</v>
      </c>
      <c r="AG5514" s="9">
        <v>47.802065076832598</v>
      </c>
      <c r="AH5514" s="9">
        <v>52.368463891218347</v>
      </c>
      <c r="AI5514" s="9">
        <v>56.090712435126555</v>
      </c>
      <c r="AJ5514" s="9">
        <v>3.0428788910505911</v>
      </c>
    </row>
    <row r="5515" spans="1:36" x14ac:dyDescent="0.25">
      <c r="A5515" t="s">
        <v>5411</v>
      </c>
      <c r="B5515" t="s">
        <v>16</v>
      </c>
      <c r="C5515" t="s">
        <v>17</v>
      </c>
      <c r="D5515">
        <v>95365000</v>
      </c>
      <c r="E5515">
        <v>95369999</v>
      </c>
      <c r="F5515" t="s">
        <v>4972</v>
      </c>
      <c r="G5515" t="str">
        <f t="shared" si="172"/>
        <v>RSI II</v>
      </c>
      <c r="H5515" t="s">
        <v>4915</v>
      </c>
      <c r="I5515" t="s">
        <v>20</v>
      </c>
      <c r="J5515" t="s">
        <v>64</v>
      </c>
      <c r="K5515" s="6">
        <v>0.03</v>
      </c>
      <c r="L5515" s="7">
        <f t="shared" si="173"/>
        <v>2E-3</v>
      </c>
      <c r="M5515" s="7">
        <v>3.0000000000000001E-3</v>
      </c>
      <c r="N5515">
        <v>11</v>
      </c>
      <c r="O5515" s="8">
        <v>20.328747193832452</v>
      </c>
      <c r="P5515" s="9">
        <v>20.328747193832452</v>
      </c>
      <c r="Q5515" s="9">
        <v>20.328747193832452</v>
      </c>
      <c r="R5515" s="9">
        <v>20.901467178587069</v>
      </c>
      <c r="S5515" s="9">
        <v>21.789694031871221</v>
      </c>
      <c r="T5515" s="9">
        <v>22.685842380093916</v>
      </c>
      <c r="U5515" s="9">
        <v>25.139615720574728</v>
      </c>
      <c r="V5515" s="9">
        <v>25.139615720574728</v>
      </c>
      <c r="W5515" s="9">
        <v>25.139615720574728</v>
      </c>
      <c r="X5515" s="9">
        <v>28.431126761040446</v>
      </c>
      <c r="Y5515" s="9">
        <v>28.431126761040446</v>
      </c>
      <c r="Z5515" s="9">
        <v>31.8133765751437</v>
      </c>
      <c r="AA5515" s="9">
        <v>31.8133765751437</v>
      </c>
      <c r="AB5515" s="9">
        <v>35.295439040248269</v>
      </c>
      <c r="AC5515" s="9">
        <v>35.295439040248269</v>
      </c>
      <c r="AD5515" s="9">
        <v>40.66038110622798</v>
      </c>
      <c r="AE5515" s="9">
        <v>44.145469767258199</v>
      </c>
      <c r="AF5515" s="9">
        <v>47.802065076832598</v>
      </c>
      <c r="AG5515" s="9">
        <v>47.802065076832598</v>
      </c>
      <c r="AH5515" s="9">
        <v>52.368463891218347</v>
      </c>
      <c r="AI5515" s="9">
        <v>56.090712435126555</v>
      </c>
      <c r="AJ5515" s="9">
        <v>3.0428788910505911</v>
      </c>
    </row>
    <row r="5516" spans="1:36" x14ac:dyDescent="0.25">
      <c r="A5516" t="s">
        <v>5411</v>
      </c>
      <c r="B5516" t="s">
        <v>16</v>
      </c>
      <c r="C5516" t="s">
        <v>17</v>
      </c>
      <c r="D5516">
        <v>95370000</v>
      </c>
      <c r="E5516">
        <v>95379999</v>
      </c>
      <c r="F5516" t="s">
        <v>4441</v>
      </c>
      <c r="G5516" t="str">
        <f t="shared" si="172"/>
        <v>RSI II</v>
      </c>
      <c r="H5516" t="s">
        <v>4915</v>
      </c>
      <c r="I5516" t="s">
        <v>20</v>
      </c>
      <c r="J5516" t="s">
        <v>64</v>
      </c>
      <c r="K5516" s="6">
        <v>0.03</v>
      </c>
      <c r="L5516" s="7">
        <f t="shared" si="173"/>
        <v>2E-3</v>
      </c>
      <c r="M5516" s="7">
        <v>3.0000000000000001E-3</v>
      </c>
      <c r="N5516">
        <v>11</v>
      </c>
      <c r="O5516" s="8">
        <v>20.328747193832452</v>
      </c>
      <c r="P5516" s="9">
        <v>20.328747193832452</v>
      </c>
      <c r="Q5516" s="9">
        <v>20.328747193832452</v>
      </c>
      <c r="R5516" s="9">
        <v>20.901467178587069</v>
      </c>
      <c r="S5516" s="9">
        <v>21.789694031871221</v>
      </c>
      <c r="T5516" s="9">
        <v>22.685842380093916</v>
      </c>
      <c r="U5516" s="9">
        <v>25.139615720574728</v>
      </c>
      <c r="V5516" s="9">
        <v>25.139615720574728</v>
      </c>
      <c r="W5516" s="9">
        <v>25.139615720574728</v>
      </c>
      <c r="X5516" s="9">
        <v>28.431126761040446</v>
      </c>
      <c r="Y5516" s="9">
        <v>28.431126761040446</v>
      </c>
      <c r="Z5516" s="9">
        <v>31.8133765751437</v>
      </c>
      <c r="AA5516" s="9">
        <v>31.8133765751437</v>
      </c>
      <c r="AB5516" s="9">
        <v>35.295439040248269</v>
      </c>
      <c r="AC5516" s="9">
        <v>35.295439040248269</v>
      </c>
      <c r="AD5516" s="9">
        <v>40.66038110622798</v>
      </c>
      <c r="AE5516" s="9">
        <v>44.145469767258199</v>
      </c>
      <c r="AF5516" s="9">
        <v>47.802065076832598</v>
      </c>
      <c r="AG5516" s="9">
        <v>47.802065076832598</v>
      </c>
      <c r="AH5516" s="9">
        <v>52.368463891218347</v>
      </c>
      <c r="AI5516" s="9">
        <v>56.090712435126555</v>
      </c>
      <c r="AJ5516" s="9">
        <v>3.0428788910505911</v>
      </c>
    </row>
    <row r="5517" spans="1:36" x14ac:dyDescent="0.25">
      <c r="A5517" t="s">
        <v>5411</v>
      </c>
      <c r="B5517" t="s">
        <v>16</v>
      </c>
      <c r="C5517" t="s">
        <v>17</v>
      </c>
      <c r="D5517">
        <v>95380000</v>
      </c>
      <c r="E5517">
        <v>95389999</v>
      </c>
      <c r="F5517" t="s">
        <v>4973</v>
      </c>
      <c r="G5517" t="str">
        <f t="shared" si="172"/>
        <v>RSI II</v>
      </c>
      <c r="H5517" t="s">
        <v>4915</v>
      </c>
      <c r="I5517" t="s">
        <v>20</v>
      </c>
      <c r="J5517" t="s">
        <v>64</v>
      </c>
      <c r="K5517" s="6">
        <v>0.03</v>
      </c>
      <c r="L5517" s="7">
        <f t="shared" si="173"/>
        <v>2E-3</v>
      </c>
      <c r="M5517" s="7">
        <v>3.0000000000000001E-3</v>
      </c>
      <c r="N5517">
        <v>11</v>
      </c>
      <c r="O5517" s="8">
        <v>20.328747193832452</v>
      </c>
      <c r="P5517" s="9">
        <v>20.328747193832452</v>
      </c>
      <c r="Q5517" s="9">
        <v>20.328747193832452</v>
      </c>
      <c r="R5517" s="9">
        <v>20.901467178587069</v>
      </c>
      <c r="S5517" s="9">
        <v>21.789694031871221</v>
      </c>
      <c r="T5517" s="9">
        <v>22.685842380093916</v>
      </c>
      <c r="U5517" s="9">
        <v>25.139615720574728</v>
      </c>
      <c r="V5517" s="9">
        <v>25.139615720574728</v>
      </c>
      <c r="W5517" s="9">
        <v>25.139615720574728</v>
      </c>
      <c r="X5517" s="9">
        <v>28.431126761040446</v>
      </c>
      <c r="Y5517" s="9">
        <v>28.431126761040446</v>
      </c>
      <c r="Z5517" s="9">
        <v>31.8133765751437</v>
      </c>
      <c r="AA5517" s="9">
        <v>31.8133765751437</v>
      </c>
      <c r="AB5517" s="9">
        <v>35.295439040248269</v>
      </c>
      <c r="AC5517" s="9">
        <v>35.295439040248269</v>
      </c>
      <c r="AD5517" s="9">
        <v>40.66038110622798</v>
      </c>
      <c r="AE5517" s="9">
        <v>44.145469767258199</v>
      </c>
      <c r="AF5517" s="9">
        <v>47.802065076832598</v>
      </c>
      <c r="AG5517" s="9">
        <v>47.802065076832598</v>
      </c>
      <c r="AH5517" s="9">
        <v>52.368463891218347</v>
      </c>
      <c r="AI5517" s="9">
        <v>56.090712435126555</v>
      </c>
      <c r="AJ5517" s="9">
        <v>3.0428788910505911</v>
      </c>
    </row>
    <row r="5518" spans="1:36" x14ac:dyDescent="0.25">
      <c r="A5518" t="s">
        <v>5411</v>
      </c>
      <c r="B5518" t="s">
        <v>16</v>
      </c>
      <c r="C5518" t="s">
        <v>17</v>
      </c>
      <c r="D5518">
        <v>95390000</v>
      </c>
      <c r="E5518">
        <v>95399999</v>
      </c>
      <c r="F5518" t="s">
        <v>4974</v>
      </c>
      <c r="G5518" t="str">
        <f t="shared" si="172"/>
        <v>RSI II</v>
      </c>
      <c r="H5518" t="s">
        <v>4915</v>
      </c>
      <c r="I5518" t="s">
        <v>20</v>
      </c>
      <c r="J5518" t="s">
        <v>64</v>
      </c>
      <c r="K5518" s="6">
        <v>0.03</v>
      </c>
      <c r="L5518" s="7">
        <f t="shared" si="173"/>
        <v>2E-3</v>
      </c>
      <c r="M5518" s="7">
        <v>3.0000000000000001E-3</v>
      </c>
      <c r="N5518">
        <v>11</v>
      </c>
      <c r="O5518" s="8">
        <v>20.328747193832452</v>
      </c>
      <c r="P5518" s="9">
        <v>20.328747193832452</v>
      </c>
      <c r="Q5518" s="9">
        <v>20.328747193832452</v>
      </c>
      <c r="R5518" s="9">
        <v>20.901467178587069</v>
      </c>
      <c r="S5518" s="9">
        <v>21.789694031871221</v>
      </c>
      <c r="T5518" s="9">
        <v>22.685842380093916</v>
      </c>
      <c r="U5518" s="9">
        <v>25.139615720574728</v>
      </c>
      <c r="V5518" s="9">
        <v>25.139615720574728</v>
      </c>
      <c r="W5518" s="9">
        <v>25.139615720574728</v>
      </c>
      <c r="X5518" s="9">
        <v>28.431126761040446</v>
      </c>
      <c r="Y5518" s="9">
        <v>28.431126761040446</v>
      </c>
      <c r="Z5518" s="9">
        <v>31.8133765751437</v>
      </c>
      <c r="AA5518" s="9">
        <v>31.8133765751437</v>
      </c>
      <c r="AB5518" s="9">
        <v>35.295439040248269</v>
      </c>
      <c r="AC5518" s="9">
        <v>35.295439040248269</v>
      </c>
      <c r="AD5518" s="9">
        <v>40.66038110622798</v>
      </c>
      <c r="AE5518" s="9">
        <v>44.145469767258199</v>
      </c>
      <c r="AF5518" s="9">
        <v>47.802065076832598</v>
      </c>
      <c r="AG5518" s="9">
        <v>47.802065076832598</v>
      </c>
      <c r="AH5518" s="9">
        <v>52.368463891218347</v>
      </c>
      <c r="AI5518" s="9">
        <v>56.090712435126555</v>
      </c>
      <c r="AJ5518" s="9">
        <v>3.0428788910505911</v>
      </c>
    </row>
    <row r="5519" spans="1:36" x14ac:dyDescent="0.25">
      <c r="A5519" t="s">
        <v>5411</v>
      </c>
      <c r="B5519" t="s">
        <v>16</v>
      </c>
      <c r="C5519" t="s">
        <v>17</v>
      </c>
      <c r="D5519">
        <v>95400000</v>
      </c>
      <c r="E5519">
        <v>95419999</v>
      </c>
      <c r="F5519" t="s">
        <v>982</v>
      </c>
      <c r="G5519" t="str">
        <f t="shared" si="172"/>
        <v>RSI II</v>
      </c>
      <c r="H5519" t="s">
        <v>4915</v>
      </c>
      <c r="I5519" t="s">
        <v>20</v>
      </c>
      <c r="J5519" t="s">
        <v>64</v>
      </c>
      <c r="K5519" s="6">
        <v>0.03</v>
      </c>
      <c r="L5519" s="7">
        <f t="shared" si="173"/>
        <v>2E-3</v>
      </c>
      <c r="M5519" s="7">
        <v>3.0000000000000001E-3</v>
      </c>
      <c r="N5519">
        <v>11</v>
      </c>
      <c r="O5519" s="8">
        <v>20.328747193832452</v>
      </c>
      <c r="P5519" s="9">
        <v>20.328747193832452</v>
      </c>
      <c r="Q5519" s="9">
        <v>20.328747193832452</v>
      </c>
      <c r="R5519" s="9">
        <v>20.901467178587069</v>
      </c>
      <c r="S5519" s="9">
        <v>21.789694031871221</v>
      </c>
      <c r="T5519" s="9">
        <v>22.685842380093916</v>
      </c>
      <c r="U5519" s="9">
        <v>25.139615720574728</v>
      </c>
      <c r="V5519" s="9">
        <v>25.139615720574728</v>
      </c>
      <c r="W5519" s="9">
        <v>25.139615720574728</v>
      </c>
      <c r="X5519" s="9">
        <v>28.431126761040446</v>
      </c>
      <c r="Y5519" s="9">
        <v>28.431126761040446</v>
      </c>
      <c r="Z5519" s="9">
        <v>31.8133765751437</v>
      </c>
      <c r="AA5519" s="9">
        <v>31.8133765751437</v>
      </c>
      <c r="AB5519" s="9">
        <v>35.295439040248269</v>
      </c>
      <c r="AC5519" s="9">
        <v>35.295439040248269</v>
      </c>
      <c r="AD5519" s="9">
        <v>40.66038110622798</v>
      </c>
      <c r="AE5519" s="9">
        <v>44.145469767258199</v>
      </c>
      <c r="AF5519" s="9">
        <v>47.802065076832598</v>
      </c>
      <c r="AG5519" s="9">
        <v>47.802065076832598</v>
      </c>
      <c r="AH5519" s="9">
        <v>52.368463891218347</v>
      </c>
      <c r="AI5519" s="9">
        <v>56.090712435126555</v>
      </c>
      <c r="AJ5519" s="9">
        <v>3.0428788910505911</v>
      </c>
    </row>
    <row r="5520" spans="1:36" x14ac:dyDescent="0.25">
      <c r="A5520" t="s">
        <v>5411</v>
      </c>
      <c r="B5520" t="s">
        <v>16</v>
      </c>
      <c r="C5520" t="s">
        <v>17</v>
      </c>
      <c r="D5520">
        <v>95420000</v>
      </c>
      <c r="E5520">
        <v>95479999</v>
      </c>
      <c r="F5520" t="s">
        <v>4975</v>
      </c>
      <c r="G5520" t="str">
        <f t="shared" si="172"/>
        <v>RSI II</v>
      </c>
      <c r="H5520" t="s">
        <v>4915</v>
      </c>
      <c r="I5520" t="s">
        <v>20</v>
      </c>
      <c r="J5520" t="s">
        <v>64</v>
      </c>
      <c r="K5520" s="6">
        <v>0.03</v>
      </c>
      <c r="L5520" s="7">
        <f t="shared" si="173"/>
        <v>2E-3</v>
      </c>
      <c r="M5520" s="7">
        <v>3.0000000000000001E-3</v>
      </c>
      <c r="N5520">
        <v>11</v>
      </c>
      <c r="O5520" s="8">
        <v>20.328747193832452</v>
      </c>
      <c r="P5520" s="9">
        <v>20.328747193832452</v>
      </c>
      <c r="Q5520" s="9">
        <v>20.328747193832452</v>
      </c>
      <c r="R5520" s="9">
        <v>20.901467178587069</v>
      </c>
      <c r="S5520" s="9">
        <v>21.789694031871221</v>
      </c>
      <c r="T5520" s="9">
        <v>22.685842380093916</v>
      </c>
      <c r="U5520" s="9">
        <v>25.139615720574728</v>
      </c>
      <c r="V5520" s="9">
        <v>25.139615720574728</v>
      </c>
      <c r="W5520" s="9">
        <v>25.139615720574728</v>
      </c>
      <c r="X5520" s="9">
        <v>28.431126761040446</v>
      </c>
      <c r="Y5520" s="9">
        <v>28.431126761040446</v>
      </c>
      <c r="Z5520" s="9">
        <v>31.8133765751437</v>
      </c>
      <c r="AA5520" s="9">
        <v>31.8133765751437</v>
      </c>
      <c r="AB5520" s="9">
        <v>35.295439040248269</v>
      </c>
      <c r="AC5520" s="9">
        <v>35.295439040248269</v>
      </c>
      <c r="AD5520" s="9">
        <v>40.66038110622798</v>
      </c>
      <c r="AE5520" s="9">
        <v>44.145469767258199</v>
      </c>
      <c r="AF5520" s="9">
        <v>47.802065076832598</v>
      </c>
      <c r="AG5520" s="9">
        <v>47.802065076832598</v>
      </c>
      <c r="AH5520" s="9">
        <v>52.368463891218347</v>
      </c>
      <c r="AI5520" s="9">
        <v>56.090712435126555</v>
      </c>
      <c r="AJ5520" s="9">
        <v>3.0428788910505911</v>
      </c>
    </row>
    <row r="5521" spans="1:36" x14ac:dyDescent="0.25">
      <c r="A5521" t="s">
        <v>5411</v>
      </c>
      <c r="B5521" t="s">
        <v>16</v>
      </c>
      <c r="C5521" t="s">
        <v>17</v>
      </c>
      <c r="D5521">
        <v>95480000</v>
      </c>
      <c r="E5521">
        <v>95499999</v>
      </c>
      <c r="F5521" t="s">
        <v>4976</v>
      </c>
      <c r="G5521" t="str">
        <f t="shared" si="172"/>
        <v>RSI II</v>
      </c>
      <c r="H5521" t="s">
        <v>4915</v>
      </c>
      <c r="I5521" t="s">
        <v>20</v>
      </c>
      <c r="J5521" t="s">
        <v>64</v>
      </c>
      <c r="K5521" s="6">
        <v>0.03</v>
      </c>
      <c r="L5521" s="7">
        <f t="shared" si="173"/>
        <v>2E-3</v>
      </c>
      <c r="M5521" s="7">
        <v>3.0000000000000001E-3</v>
      </c>
      <c r="N5521">
        <v>11</v>
      </c>
      <c r="O5521" s="8">
        <v>20.328747193832452</v>
      </c>
      <c r="P5521" s="9">
        <v>20.328747193832452</v>
      </c>
      <c r="Q5521" s="9">
        <v>20.328747193832452</v>
      </c>
      <c r="R5521" s="9">
        <v>20.901467178587069</v>
      </c>
      <c r="S5521" s="9">
        <v>21.789694031871221</v>
      </c>
      <c r="T5521" s="9">
        <v>22.685842380093916</v>
      </c>
      <c r="U5521" s="9">
        <v>25.139615720574728</v>
      </c>
      <c r="V5521" s="9">
        <v>25.139615720574728</v>
      </c>
      <c r="W5521" s="9">
        <v>25.139615720574728</v>
      </c>
      <c r="X5521" s="9">
        <v>28.431126761040446</v>
      </c>
      <c r="Y5521" s="9">
        <v>28.431126761040446</v>
      </c>
      <c r="Z5521" s="9">
        <v>31.8133765751437</v>
      </c>
      <c r="AA5521" s="9">
        <v>31.8133765751437</v>
      </c>
      <c r="AB5521" s="9">
        <v>35.295439040248269</v>
      </c>
      <c r="AC5521" s="9">
        <v>35.295439040248269</v>
      </c>
      <c r="AD5521" s="9">
        <v>40.66038110622798</v>
      </c>
      <c r="AE5521" s="9">
        <v>44.145469767258199</v>
      </c>
      <c r="AF5521" s="9">
        <v>47.802065076832598</v>
      </c>
      <c r="AG5521" s="9">
        <v>47.802065076832598</v>
      </c>
      <c r="AH5521" s="9">
        <v>52.368463891218347</v>
      </c>
      <c r="AI5521" s="9">
        <v>56.090712435126555</v>
      </c>
      <c r="AJ5521" s="9">
        <v>3.0428788910505911</v>
      </c>
    </row>
    <row r="5522" spans="1:36" x14ac:dyDescent="0.25">
      <c r="A5522" t="s">
        <v>5411</v>
      </c>
      <c r="B5522" t="s">
        <v>16</v>
      </c>
      <c r="C5522" t="s">
        <v>17</v>
      </c>
      <c r="D5522">
        <v>95500000</v>
      </c>
      <c r="E5522">
        <v>95514999</v>
      </c>
      <c r="F5522" t="s">
        <v>4977</v>
      </c>
      <c r="G5522" t="str">
        <f t="shared" si="172"/>
        <v>RSI</v>
      </c>
      <c r="H5522" t="s">
        <v>4915</v>
      </c>
      <c r="I5522" t="s">
        <v>20</v>
      </c>
      <c r="J5522" t="s">
        <v>62</v>
      </c>
      <c r="K5522" s="6">
        <v>0.03</v>
      </c>
      <c r="L5522" s="7">
        <f t="shared" si="173"/>
        <v>2E-3</v>
      </c>
      <c r="M5522" s="7">
        <v>3.0000000000000001E-3</v>
      </c>
      <c r="N5522">
        <v>10</v>
      </c>
      <c r="O5522" s="8">
        <v>17.509302802156309</v>
      </c>
      <c r="P5522" s="9">
        <v>17.509302802156309</v>
      </c>
      <c r="Q5522" s="9">
        <v>17.509302802156309</v>
      </c>
      <c r="R5522" s="9">
        <v>17.960073121579438</v>
      </c>
      <c r="S5522" s="9">
        <v>18.978426201825126</v>
      </c>
      <c r="T5522" s="9">
        <v>19.861619996324769</v>
      </c>
      <c r="U5522" s="9">
        <v>21.605211693624167</v>
      </c>
      <c r="V5522" s="9">
        <v>21.605211693624167</v>
      </c>
      <c r="W5522" s="9">
        <v>21.605211693624167</v>
      </c>
      <c r="X5522" s="9">
        <v>24.342346895578043</v>
      </c>
      <c r="Y5522" s="9">
        <v>24.342346895578043</v>
      </c>
      <c r="Z5522" s="9">
        <v>27.269806221922281</v>
      </c>
      <c r="AA5522" s="9">
        <v>27.269806221922281</v>
      </c>
      <c r="AB5522" s="9">
        <v>30.447232473217717</v>
      </c>
      <c r="AC5522" s="9">
        <v>30.447232473217717</v>
      </c>
      <c r="AD5522" s="9">
        <v>33.773696777878271</v>
      </c>
      <c r="AE5522" s="9">
        <v>37.668102449503657</v>
      </c>
      <c r="AF5522" s="9">
        <v>41.795656089883373</v>
      </c>
      <c r="AG5522" s="9">
        <v>41.795656089883373</v>
      </c>
      <c r="AH5522" s="9">
        <v>45.638668972740511</v>
      </c>
      <c r="AI5522" s="9">
        <v>49.380739592962819</v>
      </c>
      <c r="AJ5522" s="9">
        <v>3.0428788910505911</v>
      </c>
    </row>
    <row r="5523" spans="1:36" x14ac:dyDescent="0.25">
      <c r="A5523" t="s">
        <v>5411</v>
      </c>
      <c r="B5523" t="s">
        <v>16</v>
      </c>
      <c r="C5523" t="s">
        <v>17</v>
      </c>
      <c r="D5523">
        <v>95515000</v>
      </c>
      <c r="E5523">
        <v>95519999</v>
      </c>
      <c r="F5523" t="s">
        <v>4978</v>
      </c>
      <c r="G5523" t="str">
        <f t="shared" si="172"/>
        <v>RSI II</v>
      </c>
      <c r="H5523" t="s">
        <v>4915</v>
      </c>
      <c r="I5523" t="s">
        <v>20</v>
      </c>
      <c r="J5523" t="s">
        <v>64</v>
      </c>
      <c r="K5523" s="6">
        <v>0.03</v>
      </c>
      <c r="L5523" s="7">
        <f t="shared" si="173"/>
        <v>2E-3</v>
      </c>
      <c r="M5523" s="7">
        <v>3.0000000000000001E-3</v>
      </c>
      <c r="N5523">
        <v>11</v>
      </c>
      <c r="O5523" s="8">
        <v>20.328747193832452</v>
      </c>
      <c r="P5523" s="9">
        <v>20.328747193832452</v>
      </c>
      <c r="Q5523" s="9">
        <v>20.328747193832452</v>
      </c>
      <c r="R5523" s="9">
        <v>20.901467178587069</v>
      </c>
      <c r="S5523" s="9">
        <v>21.789694031871221</v>
      </c>
      <c r="T5523" s="9">
        <v>22.685842380093916</v>
      </c>
      <c r="U5523" s="9">
        <v>25.139615720574728</v>
      </c>
      <c r="V5523" s="9">
        <v>25.139615720574728</v>
      </c>
      <c r="W5523" s="9">
        <v>25.139615720574728</v>
      </c>
      <c r="X5523" s="9">
        <v>28.431126761040446</v>
      </c>
      <c r="Y5523" s="9">
        <v>28.431126761040446</v>
      </c>
      <c r="Z5523" s="9">
        <v>31.8133765751437</v>
      </c>
      <c r="AA5523" s="9">
        <v>31.8133765751437</v>
      </c>
      <c r="AB5523" s="9">
        <v>35.295439040248269</v>
      </c>
      <c r="AC5523" s="9">
        <v>35.295439040248269</v>
      </c>
      <c r="AD5523" s="9">
        <v>40.66038110622798</v>
      </c>
      <c r="AE5523" s="9">
        <v>44.145469767258199</v>
      </c>
      <c r="AF5523" s="9">
        <v>47.802065076832598</v>
      </c>
      <c r="AG5523" s="9">
        <v>47.802065076832598</v>
      </c>
      <c r="AH5523" s="9">
        <v>52.368463891218347</v>
      </c>
      <c r="AI5523" s="9">
        <v>56.090712435126555</v>
      </c>
      <c r="AJ5523" s="9">
        <v>3.0428788910505911</v>
      </c>
    </row>
    <row r="5524" spans="1:36" x14ac:dyDescent="0.25">
      <c r="A5524" t="s">
        <v>5411</v>
      </c>
      <c r="B5524" t="s">
        <v>16</v>
      </c>
      <c r="C5524" t="s">
        <v>17</v>
      </c>
      <c r="D5524">
        <v>95520000</v>
      </c>
      <c r="E5524">
        <v>95529999</v>
      </c>
      <c r="F5524" t="s">
        <v>4979</v>
      </c>
      <c r="G5524" t="str">
        <f t="shared" si="172"/>
        <v>RSI</v>
      </c>
      <c r="H5524" t="s">
        <v>4915</v>
      </c>
      <c r="I5524" t="s">
        <v>20</v>
      </c>
      <c r="J5524" t="s">
        <v>62</v>
      </c>
      <c r="K5524" s="6">
        <v>0.03</v>
      </c>
      <c r="L5524" s="7">
        <f t="shared" si="173"/>
        <v>2E-3</v>
      </c>
      <c r="M5524" s="7">
        <v>3.0000000000000001E-3</v>
      </c>
      <c r="N5524">
        <v>8</v>
      </c>
      <c r="O5524" s="8">
        <v>17.509302802156309</v>
      </c>
      <c r="P5524" s="9">
        <v>17.509302802156309</v>
      </c>
      <c r="Q5524" s="9">
        <v>17.509302802156309</v>
      </c>
      <c r="R5524" s="9">
        <v>17.960073121579438</v>
      </c>
      <c r="S5524" s="9">
        <v>18.978426201825126</v>
      </c>
      <c r="T5524" s="9">
        <v>19.861619996324769</v>
      </c>
      <c r="U5524" s="9">
        <v>21.605211693624167</v>
      </c>
      <c r="V5524" s="9">
        <v>21.605211693624167</v>
      </c>
      <c r="W5524" s="9">
        <v>21.605211693624167</v>
      </c>
      <c r="X5524" s="9">
        <v>24.342346895578043</v>
      </c>
      <c r="Y5524" s="9">
        <v>24.342346895578043</v>
      </c>
      <c r="Z5524" s="9">
        <v>27.269806221922281</v>
      </c>
      <c r="AA5524" s="9">
        <v>27.269806221922281</v>
      </c>
      <c r="AB5524" s="9">
        <v>30.447232473217717</v>
      </c>
      <c r="AC5524" s="9">
        <v>30.447232473217717</v>
      </c>
      <c r="AD5524" s="9">
        <v>33.773696777878271</v>
      </c>
      <c r="AE5524" s="9">
        <v>37.668102449503657</v>
      </c>
      <c r="AF5524" s="9">
        <v>41.795656089883373</v>
      </c>
      <c r="AG5524" s="9">
        <v>41.795656089883373</v>
      </c>
      <c r="AH5524" s="9">
        <v>45.638668972740511</v>
      </c>
      <c r="AI5524" s="9">
        <v>49.380739592962819</v>
      </c>
      <c r="AJ5524" s="9">
        <v>3.0428788910505911</v>
      </c>
    </row>
    <row r="5525" spans="1:36" x14ac:dyDescent="0.25">
      <c r="A5525" t="s">
        <v>5411</v>
      </c>
      <c r="B5525" t="s">
        <v>16</v>
      </c>
      <c r="C5525" t="s">
        <v>17</v>
      </c>
      <c r="D5525">
        <v>95530000</v>
      </c>
      <c r="E5525">
        <v>95534999</v>
      </c>
      <c r="F5525" t="s">
        <v>4980</v>
      </c>
      <c r="G5525" t="str">
        <f t="shared" si="172"/>
        <v>RSI II</v>
      </c>
      <c r="H5525" t="s">
        <v>4915</v>
      </c>
      <c r="I5525" t="s">
        <v>20</v>
      </c>
      <c r="J5525" t="s">
        <v>64</v>
      </c>
      <c r="K5525" s="6">
        <v>0.03</v>
      </c>
      <c r="L5525" s="7">
        <f t="shared" si="173"/>
        <v>2E-3</v>
      </c>
      <c r="M5525" s="7">
        <v>3.0000000000000001E-3</v>
      </c>
      <c r="N5525">
        <v>11</v>
      </c>
      <c r="O5525" s="8">
        <v>20.328747193832452</v>
      </c>
      <c r="P5525" s="9">
        <v>20.328747193832452</v>
      </c>
      <c r="Q5525" s="9">
        <v>20.328747193832452</v>
      </c>
      <c r="R5525" s="9">
        <v>20.901467178587069</v>
      </c>
      <c r="S5525" s="9">
        <v>21.789694031871221</v>
      </c>
      <c r="T5525" s="9">
        <v>22.685842380093916</v>
      </c>
      <c r="U5525" s="9">
        <v>25.139615720574728</v>
      </c>
      <c r="V5525" s="9">
        <v>25.139615720574728</v>
      </c>
      <c r="W5525" s="9">
        <v>25.139615720574728</v>
      </c>
      <c r="X5525" s="9">
        <v>28.431126761040446</v>
      </c>
      <c r="Y5525" s="9">
        <v>28.431126761040446</v>
      </c>
      <c r="Z5525" s="9">
        <v>31.8133765751437</v>
      </c>
      <c r="AA5525" s="9">
        <v>31.8133765751437</v>
      </c>
      <c r="AB5525" s="9">
        <v>35.295439040248269</v>
      </c>
      <c r="AC5525" s="9">
        <v>35.295439040248269</v>
      </c>
      <c r="AD5525" s="9">
        <v>40.66038110622798</v>
      </c>
      <c r="AE5525" s="9">
        <v>44.145469767258199</v>
      </c>
      <c r="AF5525" s="9">
        <v>47.802065076832598</v>
      </c>
      <c r="AG5525" s="9">
        <v>47.802065076832598</v>
      </c>
      <c r="AH5525" s="9">
        <v>52.368463891218347</v>
      </c>
      <c r="AI5525" s="9">
        <v>56.090712435126555</v>
      </c>
      <c r="AJ5525" s="9">
        <v>3.0428788910505911</v>
      </c>
    </row>
    <row r="5526" spans="1:36" x14ac:dyDescent="0.25">
      <c r="A5526" t="s">
        <v>5411</v>
      </c>
      <c r="B5526" t="s">
        <v>16</v>
      </c>
      <c r="C5526" t="s">
        <v>17</v>
      </c>
      <c r="D5526">
        <v>95535000</v>
      </c>
      <c r="E5526">
        <v>95537999</v>
      </c>
      <c r="F5526" t="s">
        <v>4981</v>
      </c>
      <c r="G5526" t="str">
        <f t="shared" si="172"/>
        <v>RSI II</v>
      </c>
      <c r="H5526" t="s">
        <v>4915</v>
      </c>
      <c r="I5526" t="s">
        <v>20</v>
      </c>
      <c r="J5526" t="s">
        <v>64</v>
      </c>
      <c r="K5526" s="6">
        <v>0.03</v>
      </c>
      <c r="L5526" s="7">
        <f t="shared" si="173"/>
        <v>2E-3</v>
      </c>
      <c r="M5526" s="7">
        <v>3.0000000000000001E-3</v>
      </c>
      <c r="N5526">
        <v>11</v>
      </c>
      <c r="O5526" s="8">
        <v>20.328747193832452</v>
      </c>
      <c r="P5526" s="9">
        <v>20.328747193832452</v>
      </c>
      <c r="Q5526" s="9">
        <v>20.328747193832452</v>
      </c>
      <c r="R5526" s="9">
        <v>20.901467178587069</v>
      </c>
      <c r="S5526" s="9">
        <v>21.789694031871221</v>
      </c>
      <c r="T5526" s="9">
        <v>22.685842380093916</v>
      </c>
      <c r="U5526" s="9">
        <v>25.139615720574728</v>
      </c>
      <c r="V5526" s="9">
        <v>25.139615720574728</v>
      </c>
      <c r="W5526" s="9">
        <v>25.139615720574728</v>
      </c>
      <c r="X5526" s="9">
        <v>28.431126761040446</v>
      </c>
      <c r="Y5526" s="9">
        <v>28.431126761040446</v>
      </c>
      <c r="Z5526" s="9">
        <v>31.8133765751437</v>
      </c>
      <c r="AA5526" s="9">
        <v>31.8133765751437</v>
      </c>
      <c r="AB5526" s="9">
        <v>35.295439040248269</v>
      </c>
      <c r="AC5526" s="9">
        <v>35.295439040248269</v>
      </c>
      <c r="AD5526" s="9">
        <v>40.66038110622798</v>
      </c>
      <c r="AE5526" s="9">
        <v>44.145469767258199</v>
      </c>
      <c r="AF5526" s="9">
        <v>47.802065076832598</v>
      </c>
      <c r="AG5526" s="9">
        <v>47.802065076832598</v>
      </c>
      <c r="AH5526" s="9">
        <v>52.368463891218347</v>
      </c>
      <c r="AI5526" s="9">
        <v>56.090712435126555</v>
      </c>
      <c r="AJ5526" s="9">
        <v>3.0428788910505911</v>
      </c>
    </row>
    <row r="5527" spans="1:36" x14ac:dyDescent="0.25">
      <c r="A5527" t="s">
        <v>5411</v>
      </c>
      <c r="B5527" t="s">
        <v>16</v>
      </c>
      <c r="C5527" t="s">
        <v>17</v>
      </c>
      <c r="D5527">
        <v>95538000</v>
      </c>
      <c r="E5527">
        <v>95539999</v>
      </c>
      <c r="F5527" t="s">
        <v>4982</v>
      </c>
      <c r="G5527" t="str">
        <f t="shared" si="172"/>
        <v>RSI II</v>
      </c>
      <c r="H5527" t="s">
        <v>4915</v>
      </c>
      <c r="I5527" t="s">
        <v>20</v>
      </c>
      <c r="J5527" t="s">
        <v>64</v>
      </c>
      <c r="K5527" s="6">
        <v>0.03</v>
      </c>
      <c r="L5527" s="7">
        <f t="shared" si="173"/>
        <v>2E-3</v>
      </c>
      <c r="M5527" s="7">
        <v>3.0000000000000001E-3</v>
      </c>
      <c r="N5527">
        <v>11</v>
      </c>
      <c r="O5527" s="8">
        <v>20.328747193832452</v>
      </c>
      <c r="P5527" s="9">
        <v>20.328747193832452</v>
      </c>
      <c r="Q5527" s="9">
        <v>20.328747193832452</v>
      </c>
      <c r="R5527" s="9">
        <v>20.901467178587069</v>
      </c>
      <c r="S5527" s="9">
        <v>21.789694031871221</v>
      </c>
      <c r="T5527" s="9">
        <v>22.685842380093916</v>
      </c>
      <c r="U5527" s="9">
        <v>25.139615720574728</v>
      </c>
      <c r="V5527" s="9">
        <v>25.139615720574728</v>
      </c>
      <c r="W5527" s="9">
        <v>25.139615720574728</v>
      </c>
      <c r="X5527" s="9">
        <v>28.431126761040446</v>
      </c>
      <c r="Y5527" s="9">
        <v>28.431126761040446</v>
      </c>
      <c r="Z5527" s="9">
        <v>31.8133765751437</v>
      </c>
      <c r="AA5527" s="9">
        <v>31.8133765751437</v>
      </c>
      <c r="AB5527" s="9">
        <v>35.295439040248269</v>
      </c>
      <c r="AC5527" s="9">
        <v>35.295439040248269</v>
      </c>
      <c r="AD5527" s="9">
        <v>40.66038110622798</v>
      </c>
      <c r="AE5527" s="9">
        <v>44.145469767258199</v>
      </c>
      <c r="AF5527" s="9">
        <v>47.802065076832598</v>
      </c>
      <c r="AG5527" s="9">
        <v>47.802065076832598</v>
      </c>
      <c r="AH5527" s="9">
        <v>52.368463891218347</v>
      </c>
      <c r="AI5527" s="9">
        <v>56.090712435126555</v>
      </c>
      <c r="AJ5527" s="9">
        <v>3.0428788910505911</v>
      </c>
    </row>
    <row r="5528" spans="1:36" x14ac:dyDescent="0.25">
      <c r="A5528" t="s">
        <v>5411</v>
      </c>
      <c r="B5528" t="s">
        <v>16</v>
      </c>
      <c r="C5528" t="s">
        <v>17</v>
      </c>
      <c r="D5528">
        <v>95540000</v>
      </c>
      <c r="E5528">
        <v>95551999</v>
      </c>
      <c r="F5528" t="s">
        <v>4983</v>
      </c>
      <c r="G5528" t="str">
        <f t="shared" si="172"/>
        <v>RSI II</v>
      </c>
      <c r="H5528" t="s">
        <v>4915</v>
      </c>
      <c r="I5528" t="s">
        <v>20</v>
      </c>
      <c r="J5528" t="s">
        <v>64</v>
      </c>
      <c r="K5528" s="6">
        <v>0.03</v>
      </c>
      <c r="L5528" s="7">
        <f t="shared" si="173"/>
        <v>2E-3</v>
      </c>
      <c r="M5528" s="7">
        <v>3.0000000000000001E-3</v>
      </c>
      <c r="N5528">
        <v>10</v>
      </c>
      <c r="O5528" s="8">
        <v>20.328747193832452</v>
      </c>
      <c r="P5528" s="9">
        <v>20.328747193832452</v>
      </c>
      <c r="Q5528" s="9">
        <v>20.328747193832452</v>
      </c>
      <c r="R5528" s="9">
        <v>20.901467178587069</v>
      </c>
      <c r="S5528" s="9">
        <v>21.789694031871221</v>
      </c>
      <c r="T5528" s="9">
        <v>22.685842380093916</v>
      </c>
      <c r="U5528" s="9">
        <v>25.139615720574728</v>
      </c>
      <c r="V5528" s="9">
        <v>25.139615720574728</v>
      </c>
      <c r="W5528" s="9">
        <v>25.139615720574728</v>
      </c>
      <c r="X5528" s="9">
        <v>28.431126761040446</v>
      </c>
      <c r="Y5528" s="9">
        <v>28.431126761040446</v>
      </c>
      <c r="Z5528" s="9">
        <v>31.8133765751437</v>
      </c>
      <c r="AA5528" s="9">
        <v>31.8133765751437</v>
      </c>
      <c r="AB5528" s="9">
        <v>35.295439040248269</v>
      </c>
      <c r="AC5528" s="9">
        <v>35.295439040248269</v>
      </c>
      <c r="AD5528" s="9">
        <v>40.66038110622798</v>
      </c>
      <c r="AE5528" s="9">
        <v>44.145469767258199</v>
      </c>
      <c r="AF5528" s="9">
        <v>47.802065076832598</v>
      </c>
      <c r="AG5528" s="9">
        <v>47.802065076832598</v>
      </c>
      <c r="AH5528" s="9">
        <v>52.368463891218347</v>
      </c>
      <c r="AI5528" s="9">
        <v>56.090712435126555</v>
      </c>
      <c r="AJ5528" s="9">
        <v>3.0428788910505911</v>
      </c>
    </row>
    <row r="5529" spans="1:36" x14ac:dyDescent="0.25">
      <c r="A5529" t="s">
        <v>5411</v>
      </c>
      <c r="B5529" t="s">
        <v>16</v>
      </c>
      <c r="C5529" t="s">
        <v>17</v>
      </c>
      <c r="D5529">
        <v>95552000</v>
      </c>
      <c r="E5529">
        <v>95554999</v>
      </c>
      <c r="F5529" t="s">
        <v>4984</v>
      </c>
      <c r="G5529" t="str">
        <f t="shared" si="172"/>
        <v>RSI II</v>
      </c>
      <c r="H5529" t="s">
        <v>4915</v>
      </c>
      <c r="I5529" t="s">
        <v>20</v>
      </c>
      <c r="J5529" t="s">
        <v>64</v>
      </c>
      <c r="K5529" s="6">
        <v>0.03</v>
      </c>
      <c r="L5529" s="7">
        <f t="shared" si="173"/>
        <v>2E-3</v>
      </c>
      <c r="M5529" s="7">
        <v>3.0000000000000001E-3</v>
      </c>
      <c r="N5529">
        <v>10</v>
      </c>
      <c r="O5529" s="8">
        <v>20.328747193832452</v>
      </c>
      <c r="P5529" s="9">
        <v>20.328747193832452</v>
      </c>
      <c r="Q5529" s="9">
        <v>20.328747193832452</v>
      </c>
      <c r="R5529" s="9">
        <v>20.901467178587069</v>
      </c>
      <c r="S5529" s="9">
        <v>21.789694031871221</v>
      </c>
      <c r="T5529" s="9">
        <v>22.685842380093916</v>
      </c>
      <c r="U5529" s="9">
        <v>25.139615720574728</v>
      </c>
      <c r="V5529" s="9">
        <v>25.139615720574728</v>
      </c>
      <c r="W5529" s="9">
        <v>25.139615720574728</v>
      </c>
      <c r="X5529" s="9">
        <v>28.431126761040446</v>
      </c>
      <c r="Y5529" s="9">
        <v>28.431126761040446</v>
      </c>
      <c r="Z5529" s="9">
        <v>31.8133765751437</v>
      </c>
      <c r="AA5529" s="9">
        <v>31.8133765751437</v>
      </c>
      <c r="AB5529" s="9">
        <v>35.295439040248269</v>
      </c>
      <c r="AC5529" s="9">
        <v>35.295439040248269</v>
      </c>
      <c r="AD5529" s="9">
        <v>40.66038110622798</v>
      </c>
      <c r="AE5529" s="9">
        <v>44.145469767258199</v>
      </c>
      <c r="AF5529" s="9">
        <v>47.802065076832598</v>
      </c>
      <c r="AG5529" s="9">
        <v>47.802065076832598</v>
      </c>
      <c r="AH5529" s="9">
        <v>52.368463891218347</v>
      </c>
      <c r="AI5529" s="9">
        <v>56.090712435126555</v>
      </c>
      <c r="AJ5529" s="9">
        <v>3.0428788910505911</v>
      </c>
    </row>
    <row r="5530" spans="1:36" x14ac:dyDescent="0.25">
      <c r="A5530" t="s">
        <v>5411</v>
      </c>
      <c r="B5530" t="s">
        <v>16</v>
      </c>
      <c r="C5530" t="s">
        <v>17</v>
      </c>
      <c r="D5530">
        <v>95555000</v>
      </c>
      <c r="E5530">
        <v>95559999</v>
      </c>
      <c r="F5530" t="s">
        <v>4985</v>
      </c>
      <c r="G5530" t="str">
        <f t="shared" si="172"/>
        <v>RSI</v>
      </c>
      <c r="H5530" t="s">
        <v>4915</v>
      </c>
      <c r="I5530" t="s">
        <v>20</v>
      </c>
      <c r="J5530" t="s">
        <v>62</v>
      </c>
      <c r="K5530" s="6">
        <v>0.03</v>
      </c>
      <c r="L5530" s="7">
        <f t="shared" si="173"/>
        <v>2E-3</v>
      </c>
      <c r="M5530" s="7">
        <v>3.0000000000000001E-3</v>
      </c>
      <c r="N5530">
        <v>9</v>
      </c>
      <c r="O5530" s="8">
        <v>17.509302802156309</v>
      </c>
      <c r="P5530" s="9">
        <v>17.509302802156309</v>
      </c>
      <c r="Q5530" s="9">
        <v>17.509302802156309</v>
      </c>
      <c r="R5530" s="9">
        <v>17.960073121579438</v>
      </c>
      <c r="S5530" s="9">
        <v>18.978426201825126</v>
      </c>
      <c r="T5530" s="9">
        <v>19.861619996324769</v>
      </c>
      <c r="U5530" s="9">
        <v>21.605211693624167</v>
      </c>
      <c r="V5530" s="9">
        <v>21.605211693624167</v>
      </c>
      <c r="W5530" s="9">
        <v>21.605211693624167</v>
      </c>
      <c r="X5530" s="9">
        <v>24.342346895578043</v>
      </c>
      <c r="Y5530" s="9">
        <v>24.342346895578043</v>
      </c>
      <c r="Z5530" s="9">
        <v>27.269806221922281</v>
      </c>
      <c r="AA5530" s="9">
        <v>27.269806221922281</v>
      </c>
      <c r="AB5530" s="9">
        <v>30.447232473217717</v>
      </c>
      <c r="AC5530" s="9">
        <v>30.447232473217717</v>
      </c>
      <c r="AD5530" s="9">
        <v>33.773696777878271</v>
      </c>
      <c r="AE5530" s="9">
        <v>37.668102449503657</v>
      </c>
      <c r="AF5530" s="9">
        <v>41.795656089883373</v>
      </c>
      <c r="AG5530" s="9">
        <v>41.795656089883373</v>
      </c>
      <c r="AH5530" s="9">
        <v>45.638668972740511</v>
      </c>
      <c r="AI5530" s="9">
        <v>49.380739592962819</v>
      </c>
      <c r="AJ5530" s="9">
        <v>3.0428788910505911</v>
      </c>
    </row>
    <row r="5531" spans="1:36" x14ac:dyDescent="0.25">
      <c r="A5531" t="s">
        <v>5411</v>
      </c>
      <c r="B5531" t="s">
        <v>16</v>
      </c>
      <c r="C5531" t="s">
        <v>17</v>
      </c>
      <c r="D5531">
        <v>95560000</v>
      </c>
      <c r="E5531">
        <v>95567999</v>
      </c>
      <c r="F5531" t="s">
        <v>4986</v>
      </c>
      <c r="G5531" t="str">
        <f t="shared" si="172"/>
        <v>RSI</v>
      </c>
      <c r="H5531" t="s">
        <v>4915</v>
      </c>
      <c r="I5531" t="s">
        <v>20</v>
      </c>
      <c r="J5531" t="s">
        <v>62</v>
      </c>
      <c r="K5531" s="6">
        <v>0.03</v>
      </c>
      <c r="L5531" s="7">
        <f t="shared" si="173"/>
        <v>2E-3</v>
      </c>
      <c r="M5531" s="7">
        <v>3.0000000000000001E-3</v>
      </c>
      <c r="N5531">
        <v>9</v>
      </c>
      <c r="O5531" s="8">
        <v>17.509302802156309</v>
      </c>
      <c r="P5531" s="9">
        <v>17.509302802156309</v>
      </c>
      <c r="Q5531" s="9">
        <v>17.509302802156309</v>
      </c>
      <c r="R5531" s="9">
        <v>17.960073121579438</v>
      </c>
      <c r="S5531" s="9">
        <v>18.978426201825126</v>
      </c>
      <c r="T5531" s="9">
        <v>19.861619996324769</v>
      </c>
      <c r="U5531" s="9">
        <v>21.605211693624167</v>
      </c>
      <c r="V5531" s="9">
        <v>21.605211693624167</v>
      </c>
      <c r="W5531" s="9">
        <v>21.605211693624167</v>
      </c>
      <c r="X5531" s="9">
        <v>24.342346895578043</v>
      </c>
      <c r="Y5531" s="9">
        <v>24.342346895578043</v>
      </c>
      <c r="Z5531" s="9">
        <v>27.269806221922281</v>
      </c>
      <c r="AA5531" s="9">
        <v>27.269806221922281</v>
      </c>
      <c r="AB5531" s="9">
        <v>30.447232473217717</v>
      </c>
      <c r="AC5531" s="9">
        <v>30.447232473217717</v>
      </c>
      <c r="AD5531" s="9">
        <v>33.773696777878271</v>
      </c>
      <c r="AE5531" s="9">
        <v>37.668102449503657</v>
      </c>
      <c r="AF5531" s="9">
        <v>41.795656089883373</v>
      </c>
      <c r="AG5531" s="9">
        <v>41.795656089883373</v>
      </c>
      <c r="AH5531" s="9">
        <v>45.638668972740511</v>
      </c>
      <c r="AI5531" s="9">
        <v>49.380739592962819</v>
      </c>
      <c r="AJ5531" s="9">
        <v>3.0428788910505911</v>
      </c>
    </row>
    <row r="5532" spans="1:36" x14ac:dyDescent="0.25">
      <c r="A5532" t="s">
        <v>5411</v>
      </c>
      <c r="B5532" t="s">
        <v>16</v>
      </c>
      <c r="C5532" t="s">
        <v>17</v>
      </c>
      <c r="D5532">
        <v>95568000</v>
      </c>
      <c r="E5532">
        <v>95571999</v>
      </c>
      <c r="F5532" t="s">
        <v>4987</v>
      </c>
      <c r="G5532" t="str">
        <f t="shared" si="172"/>
        <v>RSI II</v>
      </c>
      <c r="H5532" t="s">
        <v>4915</v>
      </c>
      <c r="I5532" t="s">
        <v>20</v>
      </c>
      <c r="J5532" t="s">
        <v>64</v>
      </c>
      <c r="K5532" s="6">
        <v>0.03</v>
      </c>
      <c r="L5532" s="7">
        <f t="shared" si="173"/>
        <v>2E-3</v>
      </c>
      <c r="M5532" s="7">
        <v>3.0000000000000001E-3</v>
      </c>
      <c r="N5532">
        <v>11</v>
      </c>
      <c r="O5532" s="8">
        <v>20.328747193832452</v>
      </c>
      <c r="P5532" s="9">
        <v>20.328747193832452</v>
      </c>
      <c r="Q5532" s="9">
        <v>20.328747193832452</v>
      </c>
      <c r="R5532" s="9">
        <v>20.901467178587069</v>
      </c>
      <c r="S5532" s="9">
        <v>21.789694031871221</v>
      </c>
      <c r="T5532" s="9">
        <v>22.685842380093916</v>
      </c>
      <c r="U5532" s="9">
        <v>25.139615720574728</v>
      </c>
      <c r="V5532" s="9">
        <v>25.139615720574728</v>
      </c>
      <c r="W5532" s="9">
        <v>25.139615720574728</v>
      </c>
      <c r="X5532" s="9">
        <v>28.431126761040446</v>
      </c>
      <c r="Y5532" s="9">
        <v>28.431126761040446</v>
      </c>
      <c r="Z5532" s="9">
        <v>31.8133765751437</v>
      </c>
      <c r="AA5532" s="9">
        <v>31.8133765751437</v>
      </c>
      <c r="AB5532" s="9">
        <v>35.295439040248269</v>
      </c>
      <c r="AC5532" s="9">
        <v>35.295439040248269</v>
      </c>
      <c r="AD5532" s="9">
        <v>40.66038110622798</v>
      </c>
      <c r="AE5532" s="9">
        <v>44.145469767258199</v>
      </c>
      <c r="AF5532" s="9">
        <v>47.802065076832598</v>
      </c>
      <c r="AG5532" s="9">
        <v>47.802065076832598</v>
      </c>
      <c r="AH5532" s="9">
        <v>52.368463891218347</v>
      </c>
      <c r="AI5532" s="9">
        <v>56.090712435126555</v>
      </c>
      <c r="AJ5532" s="9">
        <v>3.0428788910505911</v>
      </c>
    </row>
    <row r="5533" spans="1:36" x14ac:dyDescent="0.25">
      <c r="A5533" t="s">
        <v>5411</v>
      </c>
      <c r="B5533" t="s">
        <v>16</v>
      </c>
      <c r="C5533" t="s">
        <v>17</v>
      </c>
      <c r="D5533">
        <v>95572000</v>
      </c>
      <c r="E5533">
        <v>95574999</v>
      </c>
      <c r="F5533" t="s">
        <v>4988</v>
      </c>
      <c r="G5533" t="str">
        <f t="shared" si="172"/>
        <v>RSI II</v>
      </c>
      <c r="H5533" t="s">
        <v>4915</v>
      </c>
      <c r="I5533" t="s">
        <v>20</v>
      </c>
      <c r="J5533" t="s">
        <v>64</v>
      </c>
      <c r="K5533" s="6">
        <v>0.03</v>
      </c>
      <c r="L5533" s="7">
        <f t="shared" si="173"/>
        <v>2E-3</v>
      </c>
      <c r="M5533" s="7">
        <v>3.0000000000000001E-3</v>
      </c>
      <c r="N5533">
        <v>11</v>
      </c>
      <c r="O5533" s="8">
        <v>20.328747193832452</v>
      </c>
      <c r="P5533" s="9">
        <v>20.328747193832452</v>
      </c>
      <c r="Q5533" s="9">
        <v>20.328747193832452</v>
      </c>
      <c r="R5533" s="9">
        <v>20.901467178587069</v>
      </c>
      <c r="S5533" s="9">
        <v>21.789694031871221</v>
      </c>
      <c r="T5533" s="9">
        <v>22.685842380093916</v>
      </c>
      <c r="U5533" s="9">
        <v>25.139615720574728</v>
      </c>
      <c r="V5533" s="9">
        <v>25.139615720574728</v>
      </c>
      <c r="W5533" s="9">
        <v>25.139615720574728</v>
      </c>
      <c r="X5533" s="9">
        <v>28.431126761040446</v>
      </c>
      <c r="Y5533" s="9">
        <v>28.431126761040446</v>
      </c>
      <c r="Z5533" s="9">
        <v>31.8133765751437</v>
      </c>
      <c r="AA5533" s="9">
        <v>31.8133765751437</v>
      </c>
      <c r="AB5533" s="9">
        <v>35.295439040248269</v>
      </c>
      <c r="AC5533" s="9">
        <v>35.295439040248269</v>
      </c>
      <c r="AD5533" s="9">
        <v>40.66038110622798</v>
      </c>
      <c r="AE5533" s="9">
        <v>44.145469767258199</v>
      </c>
      <c r="AF5533" s="9">
        <v>47.802065076832598</v>
      </c>
      <c r="AG5533" s="9">
        <v>47.802065076832598</v>
      </c>
      <c r="AH5533" s="9">
        <v>52.368463891218347</v>
      </c>
      <c r="AI5533" s="9">
        <v>56.090712435126555</v>
      </c>
      <c r="AJ5533" s="9">
        <v>3.0428788910505911</v>
      </c>
    </row>
    <row r="5534" spans="1:36" x14ac:dyDescent="0.25">
      <c r="A5534" t="s">
        <v>5411</v>
      </c>
      <c r="B5534" t="s">
        <v>16</v>
      </c>
      <c r="C5534" t="s">
        <v>17</v>
      </c>
      <c r="D5534">
        <v>95575000</v>
      </c>
      <c r="E5534">
        <v>95576999</v>
      </c>
      <c r="F5534" t="s">
        <v>4989</v>
      </c>
      <c r="G5534" t="str">
        <f t="shared" si="172"/>
        <v>RSI II</v>
      </c>
      <c r="H5534" t="s">
        <v>4915</v>
      </c>
      <c r="I5534" t="s">
        <v>20</v>
      </c>
      <c r="J5534" t="s">
        <v>64</v>
      </c>
      <c r="K5534" s="6">
        <v>0.03</v>
      </c>
      <c r="L5534" s="7">
        <f t="shared" si="173"/>
        <v>2E-3</v>
      </c>
      <c r="M5534" s="7">
        <v>3.0000000000000001E-3</v>
      </c>
      <c r="N5534">
        <v>11</v>
      </c>
      <c r="O5534" s="8">
        <v>20.328747193832452</v>
      </c>
      <c r="P5534" s="9">
        <v>20.328747193832452</v>
      </c>
      <c r="Q5534" s="9">
        <v>20.328747193832452</v>
      </c>
      <c r="R5534" s="9">
        <v>20.901467178587069</v>
      </c>
      <c r="S5534" s="9">
        <v>21.789694031871221</v>
      </c>
      <c r="T5534" s="9">
        <v>22.685842380093916</v>
      </c>
      <c r="U5534" s="9">
        <v>25.139615720574728</v>
      </c>
      <c r="V5534" s="9">
        <v>25.139615720574728</v>
      </c>
      <c r="W5534" s="9">
        <v>25.139615720574728</v>
      </c>
      <c r="X5534" s="9">
        <v>28.431126761040446</v>
      </c>
      <c r="Y5534" s="9">
        <v>28.431126761040446</v>
      </c>
      <c r="Z5534" s="9">
        <v>31.8133765751437</v>
      </c>
      <c r="AA5534" s="9">
        <v>31.8133765751437</v>
      </c>
      <c r="AB5534" s="9">
        <v>35.295439040248269</v>
      </c>
      <c r="AC5534" s="9">
        <v>35.295439040248269</v>
      </c>
      <c r="AD5534" s="9">
        <v>40.66038110622798</v>
      </c>
      <c r="AE5534" s="9">
        <v>44.145469767258199</v>
      </c>
      <c r="AF5534" s="9">
        <v>47.802065076832598</v>
      </c>
      <c r="AG5534" s="9">
        <v>47.802065076832598</v>
      </c>
      <c r="AH5534" s="9">
        <v>52.368463891218347</v>
      </c>
      <c r="AI5534" s="9">
        <v>56.090712435126555</v>
      </c>
      <c r="AJ5534" s="9">
        <v>3.0428788910505911</v>
      </c>
    </row>
    <row r="5535" spans="1:36" x14ac:dyDescent="0.25">
      <c r="A5535" t="s">
        <v>5411</v>
      </c>
      <c r="B5535" t="s">
        <v>16</v>
      </c>
      <c r="C5535" t="s">
        <v>17</v>
      </c>
      <c r="D5535">
        <v>95577000</v>
      </c>
      <c r="E5535">
        <v>95579999</v>
      </c>
      <c r="F5535" t="s">
        <v>4990</v>
      </c>
      <c r="G5535" t="str">
        <f t="shared" si="172"/>
        <v>RSI II</v>
      </c>
      <c r="H5535" t="s">
        <v>4915</v>
      </c>
      <c r="I5535" t="s">
        <v>20</v>
      </c>
      <c r="J5535" t="s">
        <v>64</v>
      </c>
      <c r="K5535" s="6">
        <v>0.03</v>
      </c>
      <c r="L5535" s="7">
        <f t="shared" si="173"/>
        <v>2E-3</v>
      </c>
      <c r="M5535" s="7">
        <v>3.0000000000000001E-3</v>
      </c>
      <c r="N5535">
        <v>11</v>
      </c>
      <c r="O5535" s="8">
        <v>20.328747193832452</v>
      </c>
      <c r="P5535" s="9">
        <v>20.328747193832452</v>
      </c>
      <c r="Q5535" s="9">
        <v>20.328747193832452</v>
      </c>
      <c r="R5535" s="9">
        <v>20.901467178587069</v>
      </c>
      <c r="S5535" s="9">
        <v>21.789694031871221</v>
      </c>
      <c r="T5535" s="9">
        <v>22.685842380093916</v>
      </c>
      <c r="U5535" s="9">
        <v>25.139615720574728</v>
      </c>
      <c r="V5535" s="9">
        <v>25.139615720574728</v>
      </c>
      <c r="W5535" s="9">
        <v>25.139615720574728</v>
      </c>
      <c r="X5535" s="9">
        <v>28.431126761040446</v>
      </c>
      <c r="Y5535" s="9">
        <v>28.431126761040446</v>
      </c>
      <c r="Z5535" s="9">
        <v>31.8133765751437</v>
      </c>
      <c r="AA5535" s="9">
        <v>31.8133765751437</v>
      </c>
      <c r="AB5535" s="9">
        <v>35.295439040248269</v>
      </c>
      <c r="AC5535" s="9">
        <v>35.295439040248269</v>
      </c>
      <c r="AD5535" s="9">
        <v>40.66038110622798</v>
      </c>
      <c r="AE5535" s="9">
        <v>44.145469767258199</v>
      </c>
      <c r="AF5535" s="9">
        <v>47.802065076832598</v>
      </c>
      <c r="AG5535" s="9">
        <v>47.802065076832598</v>
      </c>
      <c r="AH5535" s="9">
        <v>52.368463891218347</v>
      </c>
      <c r="AI5535" s="9">
        <v>56.090712435126555</v>
      </c>
      <c r="AJ5535" s="9">
        <v>3.0428788910505911</v>
      </c>
    </row>
    <row r="5536" spans="1:36" x14ac:dyDescent="0.25">
      <c r="A5536" t="s">
        <v>5411</v>
      </c>
      <c r="B5536" t="s">
        <v>16</v>
      </c>
      <c r="C5536" t="s">
        <v>17</v>
      </c>
      <c r="D5536">
        <v>95580000</v>
      </c>
      <c r="E5536">
        <v>95584999</v>
      </c>
      <c r="F5536" t="s">
        <v>4991</v>
      </c>
      <c r="G5536" t="str">
        <f t="shared" si="172"/>
        <v>RSI II</v>
      </c>
      <c r="H5536" t="s">
        <v>4915</v>
      </c>
      <c r="I5536" t="s">
        <v>20</v>
      </c>
      <c r="J5536" t="s">
        <v>64</v>
      </c>
      <c r="K5536" s="6">
        <v>0.03</v>
      </c>
      <c r="L5536" s="7">
        <f t="shared" si="173"/>
        <v>2E-3</v>
      </c>
      <c r="M5536" s="7">
        <v>3.0000000000000001E-3</v>
      </c>
      <c r="N5536">
        <v>11</v>
      </c>
      <c r="O5536" s="8">
        <v>20.328747193832452</v>
      </c>
      <c r="P5536" s="9">
        <v>20.328747193832452</v>
      </c>
      <c r="Q5536" s="9">
        <v>20.328747193832452</v>
      </c>
      <c r="R5536" s="9">
        <v>20.901467178587069</v>
      </c>
      <c r="S5536" s="9">
        <v>21.789694031871221</v>
      </c>
      <c r="T5536" s="9">
        <v>22.685842380093916</v>
      </c>
      <c r="U5536" s="9">
        <v>25.139615720574728</v>
      </c>
      <c r="V5536" s="9">
        <v>25.139615720574728</v>
      </c>
      <c r="W5536" s="9">
        <v>25.139615720574728</v>
      </c>
      <c r="X5536" s="9">
        <v>28.431126761040446</v>
      </c>
      <c r="Y5536" s="9">
        <v>28.431126761040446</v>
      </c>
      <c r="Z5536" s="9">
        <v>31.8133765751437</v>
      </c>
      <c r="AA5536" s="9">
        <v>31.8133765751437</v>
      </c>
      <c r="AB5536" s="9">
        <v>35.295439040248269</v>
      </c>
      <c r="AC5536" s="9">
        <v>35.295439040248269</v>
      </c>
      <c r="AD5536" s="9">
        <v>40.66038110622798</v>
      </c>
      <c r="AE5536" s="9">
        <v>44.145469767258199</v>
      </c>
      <c r="AF5536" s="9">
        <v>47.802065076832598</v>
      </c>
      <c r="AG5536" s="9">
        <v>47.802065076832598</v>
      </c>
      <c r="AH5536" s="9">
        <v>52.368463891218347</v>
      </c>
      <c r="AI5536" s="9">
        <v>56.090712435126555</v>
      </c>
      <c r="AJ5536" s="9">
        <v>3.0428788910505911</v>
      </c>
    </row>
    <row r="5537" spans="1:36" x14ac:dyDescent="0.25">
      <c r="A5537" t="s">
        <v>5411</v>
      </c>
      <c r="B5537" t="s">
        <v>16</v>
      </c>
      <c r="C5537" t="s">
        <v>17</v>
      </c>
      <c r="D5537">
        <v>95585000</v>
      </c>
      <c r="E5537">
        <v>95587999</v>
      </c>
      <c r="F5537" t="s">
        <v>4992</v>
      </c>
      <c r="G5537" t="str">
        <f t="shared" si="172"/>
        <v>RSI II</v>
      </c>
      <c r="H5537" t="s">
        <v>4915</v>
      </c>
      <c r="I5537" t="s">
        <v>20</v>
      </c>
      <c r="J5537" t="s">
        <v>64</v>
      </c>
      <c r="K5537" s="6">
        <v>0.03</v>
      </c>
      <c r="L5537" s="7">
        <f t="shared" si="173"/>
        <v>2E-3</v>
      </c>
      <c r="M5537" s="7">
        <v>3.0000000000000001E-3</v>
      </c>
      <c r="N5537">
        <v>11</v>
      </c>
      <c r="O5537" s="8">
        <v>20.328747193832452</v>
      </c>
      <c r="P5537" s="9">
        <v>20.328747193832452</v>
      </c>
      <c r="Q5537" s="9">
        <v>20.328747193832452</v>
      </c>
      <c r="R5537" s="9">
        <v>20.901467178587069</v>
      </c>
      <c r="S5537" s="9">
        <v>21.789694031871221</v>
      </c>
      <c r="T5537" s="9">
        <v>22.685842380093916</v>
      </c>
      <c r="U5537" s="9">
        <v>25.139615720574728</v>
      </c>
      <c r="V5537" s="9">
        <v>25.139615720574728</v>
      </c>
      <c r="W5537" s="9">
        <v>25.139615720574728</v>
      </c>
      <c r="X5537" s="9">
        <v>28.431126761040446</v>
      </c>
      <c r="Y5537" s="9">
        <v>28.431126761040446</v>
      </c>
      <c r="Z5537" s="9">
        <v>31.8133765751437</v>
      </c>
      <c r="AA5537" s="9">
        <v>31.8133765751437</v>
      </c>
      <c r="AB5537" s="9">
        <v>35.295439040248269</v>
      </c>
      <c r="AC5537" s="9">
        <v>35.295439040248269</v>
      </c>
      <c r="AD5537" s="9">
        <v>40.66038110622798</v>
      </c>
      <c r="AE5537" s="9">
        <v>44.145469767258199</v>
      </c>
      <c r="AF5537" s="9">
        <v>47.802065076832598</v>
      </c>
      <c r="AG5537" s="9">
        <v>47.802065076832598</v>
      </c>
      <c r="AH5537" s="9">
        <v>52.368463891218347</v>
      </c>
      <c r="AI5537" s="9">
        <v>56.090712435126555</v>
      </c>
      <c r="AJ5537" s="9">
        <v>3.0428788910505911</v>
      </c>
    </row>
    <row r="5538" spans="1:36" x14ac:dyDescent="0.25">
      <c r="A5538" t="s">
        <v>5411</v>
      </c>
      <c r="B5538" t="s">
        <v>16</v>
      </c>
      <c r="C5538" t="s">
        <v>17</v>
      </c>
      <c r="D5538">
        <v>95588000</v>
      </c>
      <c r="E5538">
        <v>95589999</v>
      </c>
      <c r="F5538" t="s">
        <v>4993</v>
      </c>
      <c r="G5538" t="str">
        <f t="shared" si="172"/>
        <v>RSI II</v>
      </c>
      <c r="H5538" t="s">
        <v>4915</v>
      </c>
      <c r="I5538" t="s">
        <v>20</v>
      </c>
      <c r="J5538" t="s">
        <v>64</v>
      </c>
      <c r="K5538" s="6">
        <v>0.03</v>
      </c>
      <c r="L5538" s="7">
        <f t="shared" si="173"/>
        <v>2E-3</v>
      </c>
      <c r="M5538" s="7">
        <v>3.0000000000000001E-3</v>
      </c>
      <c r="N5538">
        <v>11</v>
      </c>
      <c r="O5538" s="8">
        <v>20.328747193832452</v>
      </c>
      <c r="P5538" s="9">
        <v>20.328747193832452</v>
      </c>
      <c r="Q5538" s="9">
        <v>20.328747193832452</v>
      </c>
      <c r="R5538" s="9">
        <v>20.901467178587069</v>
      </c>
      <c r="S5538" s="9">
        <v>21.789694031871221</v>
      </c>
      <c r="T5538" s="9">
        <v>22.685842380093916</v>
      </c>
      <c r="U5538" s="9">
        <v>25.139615720574728</v>
      </c>
      <c r="V5538" s="9">
        <v>25.139615720574728</v>
      </c>
      <c r="W5538" s="9">
        <v>25.139615720574728</v>
      </c>
      <c r="X5538" s="9">
        <v>28.431126761040446</v>
      </c>
      <c r="Y5538" s="9">
        <v>28.431126761040446</v>
      </c>
      <c r="Z5538" s="9">
        <v>31.8133765751437</v>
      </c>
      <c r="AA5538" s="9">
        <v>31.8133765751437</v>
      </c>
      <c r="AB5538" s="9">
        <v>35.295439040248269</v>
      </c>
      <c r="AC5538" s="9">
        <v>35.295439040248269</v>
      </c>
      <c r="AD5538" s="9">
        <v>40.66038110622798</v>
      </c>
      <c r="AE5538" s="9">
        <v>44.145469767258199</v>
      </c>
      <c r="AF5538" s="9">
        <v>47.802065076832598</v>
      </c>
      <c r="AG5538" s="9">
        <v>47.802065076832598</v>
      </c>
      <c r="AH5538" s="9">
        <v>52.368463891218347</v>
      </c>
      <c r="AI5538" s="9">
        <v>56.090712435126555</v>
      </c>
      <c r="AJ5538" s="9">
        <v>3.0428788910505911</v>
      </c>
    </row>
    <row r="5539" spans="1:36" x14ac:dyDescent="0.25">
      <c r="A5539" t="s">
        <v>5411</v>
      </c>
      <c r="B5539" t="s">
        <v>16</v>
      </c>
      <c r="C5539" t="s">
        <v>17</v>
      </c>
      <c r="D5539">
        <v>95590000</v>
      </c>
      <c r="E5539">
        <v>95594999</v>
      </c>
      <c r="F5539" t="s">
        <v>4994</v>
      </c>
      <c r="G5539" t="str">
        <f t="shared" si="172"/>
        <v>RSI</v>
      </c>
      <c r="H5539" t="s">
        <v>4915</v>
      </c>
      <c r="I5539" t="s">
        <v>20</v>
      </c>
      <c r="J5539" t="s">
        <v>62</v>
      </c>
      <c r="K5539" s="6">
        <v>0.03</v>
      </c>
      <c r="L5539" s="7">
        <f t="shared" si="173"/>
        <v>2E-3</v>
      </c>
      <c r="M5539" s="7">
        <v>3.0000000000000001E-3</v>
      </c>
      <c r="N5539">
        <v>9</v>
      </c>
      <c r="O5539" s="8">
        <v>17.509302802156309</v>
      </c>
      <c r="P5539" s="9">
        <v>17.509302802156309</v>
      </c>
      <c r="Q5539" s="9">
        <v>17.509302802156309</v>
      </c>
      <c r="R5539" s="9">
        <v>17.960073121579438</v>
      </c>
      <c r="S5539" s="9">
        <v>18.978426201825126</v>
      </c>
      <c r="T5539" s="9">
        <v>19.861619996324769</v>
      </c>
      <c r="U5539" s="9">
        <v>21.605211693624167</v>
      </c>
      <c r="V5539" s="9">
        <v>21.605211693624167</v>
      </c>
      <c r="W5539" s="9">
        <v>21.605211693624167</v>
      </c>
      <c r="X5539" s="9">
        <v>24.342346895578043</v>
      </c>
      <c r="Y5539" s="9">
        <v>24.342346895578043</v>
      </c>
      <c r="Z5539" s="9">
        <v>27.269806221922281</v>
      </c>
      <c r="AA5539" s="9">
        <v>27.269806221922281</v>
      </c>
      <c r="AB5539" s="9">
        <v>30.447232473217717</v>
      </c>
      <c r="AC5539" s="9">
        <v>30.447232473217717</v>
      </c>
      <c r="AD5539" s="9">
        <v>33.773696777878271</v>
      </c>
      <c r="AE5539" s="9">
        <v>37.668102449503657</v>
      </c>
      <c r="AF5539" s="9">
        <v>41.795656089883373</v>
      </c>
      <c r="AG5539" s="9">
        <v>41.795656089883373</v>
      </c>
      <c r="AH5539" s="9">
        <v>45.638668972740511</v>
      </c>
      <c r="AI5539" s="9">
        <v>49.380739592962819</v>
      </c>
      <c r="AJ5539" s="9">
        <v>3.0428788910505911</v>
      </c>
    </row>
    <row r="5540" spans="1:36" x14ac:dyDescent="0.25">
      <c r="A5540" t="s">
        <v>5411</v>
      </c>
      <c r="B5540" t="s">
        <v>16</v>
      </c>
      <c r="C5540" t="s">
        <v>17</v>
      </c>
      <c r="D5540">
        <v>95595000</v>
      </c>
      <c r="E5540">
        <v>95598999</v>
      </c>
      <c r="F5540" t="s">
        <v>4995</v>
      </c>
      <c r="G5540" t="str">
        <f t="shared" si="172"/>
        <v>RSI II</v>
      </c>
      <c r="H5540" t="s">
        <v>4915</v>
      </c>
      <c r="I5540" t="s">
        <v>20</v>
      </c>
      <c r="J5540" t="s">
        <v>64</v>
      </c>
      <c r="K5540" s="6">
        <v>0.03</v>
      </c>
      <c r="L5540" s="7">
        <f t="shared" si="173"/>
        <v>2E-3</v>
      </c>
      <c r="M5540" s="7">
        <v>3.0000000000000001E-3</v>
      </c>
      <c r="N5540">
        <v>11</v>
      </c>
      <c r="O5540" s="8">
        <v>20.328747193832452</v>
      </c>
      <c r="P5540" s="9">
        <v>20.328747193832452</v>
      </c>
      <c r="Q5540" s="9">
        <v>20.328747193832452</v>
      </c>
      <c r="R5540" s="9">
        <v>20.901467178587069</v>
      </c>
      <c r="S5540" s="9">
        <v>21.789694031871221</v>
      </c>
      <c r="T5540" s="9">
        <v>22.685842380093916</v>
      </c>
      <c r="U5540" s="9">
        <v>25.139615720574728</v>
      </c>
      <c r="V5540" s="9">
        <v>25.139615720574728</v>
      </c>
      <c r="W5540" s="9">
        <v>25.139615720574728</v>
      </c>
      <c r="X5540" s="9">
        <v>28.431126761040446</v>
      </c>
      <c r="Y5540" s="9">
        <v>28.431126761040446</v>
      </c>
      <c r="Z5540" s="9">
        <v>31.8133765751437</v>
      </c>
      <c r="AA5540" s="9">
        <v>31.8133765751437</v>
      </c>
      <c r="AB5540" s="9">
        <v>35.295439040248269</v>
      </c>
      <c r="AC5540" s="9">
        <v>35.295439040248269</v>
      </c>
      <c r="AD5540" s="9">
        <v>40.66038110622798</v>
      </c>
      <c r="AE5540" s="9">
        <v>44.145469767258199</v>
      </c>
      <c r="AF5540" s="9">
        <v>47.802065076832598</v>
      </c>
      <c r="AG5540" s="9">
        <v>47.802065076832598</v>
      </c>
      <c r="AH5540" s="9">
        <v>52.368463891218347</v>
      </c>
      <c r="AI5540" s="9">
        <v>56.090712435126555</v>
      </c>
      <c r="AJ5540" s="9">
        <v>3.0428788910505911</v>
      </c>
    </row>
    <row r="5541" spans="1:36" x14ac:dyDescent="0.25">
      <c r="A5541" t="s">
        <v>5411</v>
      </c>
      <c r="B5541" t="s">
        <v>16</v>
      </c>
      <c r="C5541" t="s">
        <v>17</v>
      </c>
      <c r="D5541">
        <v>95599000</v>
      </c>
      <c r="E5541">
        <v>95599999</v>
      </c>
      <c r="F5541" t="s">
        <v>4996</v>
      </c>
      <c r="G5541" t="str">
        <f t="shared" si="172"/>
        <v>RSI II</v>
      </c>
      <c r="H5541" t="s">
        <v>4915</v>
      </c>
      <c r="I5541" t="s">
        <v>20</v>
      </c>
      <c r="J5541" t="s">
        <v>64</v>
      </c>
      <c r="K5541" s="6">
        <v>0.03</v>
      </c>
      <c r="L5541" s="7">
        <f t="shared" si="173"/>
        <v>2E-3</v>
      </c>
      <c r="M5541" s="7">
        <v>3.0000000000000001E-3</v>
      </c>
      <c r="N5541">
        <v>11</v>
      </c>
      <c r="O5541" s="8">
        <v>20.328747193832452</v>
      </c>
      <c r="P5541" s="9">
        <v>20.328747193832452</v>
      </c>
      <c r="Q5541" s="9">
        <v>20.328747193832452</v>
      </c>
      <c r="R5541" s="9">
        <v>20.901467178587069</v>
      </c>
      <c r="S5541" s="9">
        <v>21.789694031871221</v>
      </c>
      <c r="T5541" s="9">
        <v>22.685842380093916</v>
      </c>
      <c r="U5541" s="9">
        <v>25.139615720574728</v>
      </c>
      <c r="V5541" s="9">
        <v>25.139615720574728</v>
      </c>
      <c r="W5541" s="9">
        <v>25.139615720574728</v>
      </c>
      <c r="X5541" s="9">
        <v>28.431126761040446</v>
      </c>
      <c r="Y5541" s="9">
        <v>28.431126761040446</v>
      </c>
      <c r="Z5541" s="9">
        <v>31.8133765751437</v>
      </c>
      <c r="AA5541" s="9">
        <v>31.8133765751437</v>
      </c>
      <c r="AB5541" s="9">
        <v>35.295439040248269</v>
      </c>
      <c r="AC5541" s="9">
        <v>35.295439040248269</v>
      </c>
      <c r="AD5541" s="9">
        <v>40.66038110622798</v>
      </c>
      <c r="AE5541" s="9">
        <v>44.145469767258199</v>
      </c>
      <c r="AF5541" s="9">
        <v>47.802065076832598</v>
      </c>
      <c r="AG5541" s="9">
        <v>47.802065076832598</v>
      </c>
      <c r="AH5541" s="9">
        <v>52.368463891218347</v>
      </c>
      <c r="AI5541" s="9">
        <v>56.090712435126555</v>
      </c>
      <c r="AJ5541" s="9">
        <v>3.0428788910505911</v>
      </c>
    </row>
    <row r="5542" spans="1:36" x14ac:dyDescent="0.25">
      <c r="A5542" t="s">
        <v>5411</v>
      </c>
      <c r="B5542" t="s">
        <v>16</v>
      </c>
      <c r="C5542" t="s">
        <v>17</v>
      </c>
      <c r="D5542">
        <v>95600000</v>
      </c>
      <c r="E5542">
        <v>95624999</v>
      </c>
      <c r="F5542" t="s">
        <v>4997</v>
      </c>
      <c r="G5542" t="str">
        <f t="shared" si="172"/>
        <v>RSI</v>
      </c>
      <c r="H5542" t="s">
        <v>4915</v>
      </c>
      <c r="I5542" t="s">
        <v>20</v>
      </c>
      <c r="J5542" t="s">
        <v>62</v>
      </c>
      <c r="K5542" s="6">
        <v>0.03</v>
      </c>
      <c r="L5542" s="7">
        <f t="shared" si="173"/>
        <v>2E-3</v>
      </c>
      <c r="M5542" s="7">
        <v>3.0000000000000001E-3</v>
      </c>
      <c r="N5542">
        <v>9</v>
      </c>
      <c r="O5542" s="8">
        <v>17.509302802156309</v>
      </c>
      <c r="P5542" s="9">
        <v>17.509302802156309</v>
      </c>
      <c r="Q5542" s="9">
        <v>17.509302802156309</v>
      </c>
      <c r="R5542" s="9">
        <v>17.960073121579438</v>
      </c>
      <c r="S5542" s="9">
        <v>18.978426201825126</v>
      </c>
      <c r="T5542" s="9">
        <v>19.861619996324769</v>
      </c>
      <c r="U5542" s="9">
        <v>21.605211693624167</v>
      </c>
      <c r="V5542" s="9">
        <v>21.605211693624167</v>
      </c>
      <c r="W5542" s="9">
        <v>21.605211693624167</v>
      </c>
      <c r="X5542" s="9">
        <v>24.342346895578043</v>
      </c>
      <c r="Y5542" s="9">
        <v>24.342346895578043</v>
      </c>
      <c r="Z5542" s="9">
        <v>27.269806221922281</v>
      </c>
      <c r="AA5542" s="9">
        <v>27.269806221922281</v>
      </c>
      <c r="AB5542" s="9">
        <v>30.447232473217717</v>
      </c>
      <c r="AC5542" s="9">
        <v>30.447232473217717</v>
      </c>
      <c r="AD5542" s="9">
        <v>33.773696777878271</v>
      </c>
      <c r="AE5542" s="9">
        <v>37.668102449503657</v>
      </c>
      <c r="AF5542" s="9">
        <v>41.795656089883373</v>
      </c>
      <c r="AG5542" s="9">
        <v>41.795656089883373</v>
      </c>
      <c r="AH5542" s="9">
        <v>45.638668972740511</v>
      </c>
      <c r="AI5542" s="9">
        <v>49.380739592962819</v>
      </c>
      <c r="AJ5542" s="9">
        <v>3.0428788910505911</v>
      </c>
    </row>
    <row r="5543" spans="1:36" x14ac:dyDescent="0.25">
      <c r="A5543" t="s">
        <v>5411</v>
      </c>
      <c r="B5543" t="s">
        <v>16</v>
      </c>
      <c r="C5543" t="s">
        <v>17</v>
      </c>
      <c r="D5543">
        <v>95625000</v>
      </c>
      <c r="E5543">
        <v>95629999</v>
      </c>
      <c r="F5543" t="s">
        <v>4998</v>
      </c>
      <c r="G5543" t="str">
        <f t="shared" si="172"/>
        <v>RSI II</v>
      </c>
      <c r="H5543" t="s">
        <v>4915</v>
      </c>
      <c r="I5543" t="s">
        <v>20</v>
      </c>
      <c r="J5543" t="s">
        <v>64</v>
      </c>
      <c r="K5543" s="6">
        <v>0.03</v>
      </c>
      <c r="L5543" s="7">
        <f t="shared" si="173"/>
        <v>2E-3</v>
      </c>
      <c r="M5543" s="7">
        <v>3.0000000000000001E-3</v>
      </c>
      <c r="N5543">
        <v>11</v>
      </c>
      <c r="O5543" s="8">
        <v>20.328747193832452</v>
      </c>
      <c r="P5543" s="9">
        <v>20.328747193832452</v>
      </c>
      <c r="Q5543" s="9">
        <v>20.328747193832452</v>
      </c>
      <c r="R5543" s="9">
        <v>20.901467178587069</v>
      </c>
      <c r="S5543" s="9">
        <v>21.789694031871221</v>
      </c>
      <c r="T5543" s="9">
        <v>22.685842380093916</v>
      </c>
      <c r="U5543" s="9">
        <v>25.139615720574728</v>
      </c>
      <c r="V5543" s="9">
        <v>25.139615720574728</v>
      </c>
      <c r="W5543" s="9">
        <v>25.139615720574728</v>
      </c>
      <c r="X5543" s="9">
        <v>28.431126761040446</v>
      </c>
      <c r="Y5543" s="9">
        <v>28.431126761040446</v>
      </c>
      <c r="Z5543" s="9">
        <v>31.8133765751437</v>
      </c>
      <c r="AA5543" s="9">
        <v>31.8133765751437</v>
      </c>
      <c r="AB5543" s="9">
        <v>35.295439040248269</v>
      </c>
      <c r="AC5543" s="9">
        <v>35.295439040248269</v>
      </c>
      <c r="AD5543" s="9">
        <v>40.66038110622798</v>
      </c>
      <c r="AE5543" s="9">
        <v>44.145469767258199</v>
      </c>
      <c r="AF5543" s="9">
        <v>47.802065076832598</v>
      </c>
      <c r="AG5543" s="9">
        <v>47.802065076832598</v>
      </c>
      <c r="AH5543" s="9">
        <v>52.368463891218347</v>
      </c>
      <c r="AI5543" s="9">
        <v>56.090712435126555</v>
      </c>
      <c r="AJ5543" s="9">
        <v>3.0428788910505911</v>
      </c>
    </row>
    <row r="5544" spans="1:36" x14ac:dyDescent="0.25">
      <c r="A5544" t="s">
        <v>5411</v>
      </c>
      <c r="B5544" t="s">
        <v>16</v>
      </c>
      <c r="C5544" t="s">
        <v>17</v>
      </c>
      <c r="D5544">
        <v>95630000</v>
      </c>
      <c r="E5544">
        <v>95649999</v>
      </c>
      <c r="F5544" t="s">
        <v>4999</v>
      </c>
      <c r="G5544" t="str">
        <f t="shared" si="172"/>
        <v>RSI</v>
      </c>
      <c r="H5544" t="s">
        <v>4915</v>
      </c>
      <c r="I5544" t="s">
        <v>20</v>
      </c>
      <c r="J5544" t="s">
        <v>62</v>
      </c>
      <c r="K5544" s="6">
        <v>0.03</v>
      </c>
      <c r="L5544" s="7">
        <f t="shared" si="173"/>
        <v>2E-3</v>
      </c>
      <c r="M5544" s="7">
        <v>3.0000000000000001E-3</v>
      </c>
      <c r="N5544">
        <v>9</v>
      </c>
      <c r="O5544" s="8">
        <v>17.509302802156309</v>
      </c>
      <c r="P5544" s="9">
        <v>17.509302802156309</v>
      </c>
      <c r="Q5544" s="9">
        <v>17.509302802156309</v>
      </c>
      <c r="R5544" s="9">
        <v>17.960073121579438</v>
      </c>
      <c r="S5544" s="9">
        <v>18.978426201825126</v>
      </c>
      <c r="T5544" s="9">
        <v>19.861619996324769</v>
      </c>
      <c r="U5544" s="9">
        <v>21.605211693624167</v>
      </c>
      <c r="V5544" s="9">
        <v>21.605211693624167</v>
      </c>
      <c r="W5544" s="9">
        <v>21.605211693624167</v>
      </c>
      <c r="X5544" s="9">
        <v>24.342346895578043</v>
      </c>
      <c r="Y5544" s="9">
        <v>24.342346895578043</v>
      </c>
      <c r="Z5544" s="9">
        <v>27.269806221922281</v>
      </c>
      <c r="AA5544" s="9">
        <v>27.269806221922281</v>
      </c>
      <c r="AB5544" s="9">
        <v>30.447232473217717</v>
      </c>
      <c r="AC5544" s="9">
        <v>30.447232473217717</v>
      </c>
      <c r="AD5544" s="9">
        <v>33.773696777878271</v>
      </c>
      <c r="AE5544" s="9">
        <v>37.668102449503657</v>
      </c>
      <c r="AF5544" s="9">
        <v>41.795656089883373</v>
      </c>
      <c r="AG5544" s="9">
        <v>41.795656089883373</v>
      </c>
      <c r="AH5544" s="9">
        <v>45.638668972740511</v>
      </c>
      <c r="AI5544" s="9">
        <v>49.380739592962819</v>
      </c>
      <c r="AJ5544" s="9">
        <v>3.0428788910505911</v>
      </c>
    </row>
    <row r="5545" spans="1:36" x14ac:dyDescent="0.25">
      <c r="A5545" t="s">
        <v>5411</v>
      </c>
      <c r="B5545" t="s">
        <v>16</v>
      </c>
      <c r="C5545" t="s">
        <v>17</v>
      </c>
      <c r="D5545">
        <v>95650000</v>
      </c>
      <c r="E5545">
        <v>95659999</v>
      </c>
      <c r="F5545" t="s">
        <v>5000</v>
      </c>
      <c r="G5545" t="str">
        <f t="shared" si="172"/>
        <v>RSI</v>
      </c>
      <c r="H5545" t="s">
        <v>4915</v>
      </c>
      <c r="I5545" t="s">
        <v>20</v>
      </c>
      <c r="J5545" t="s">
        <v>62</v>
      </c>
      <c r="K5545" s="6">
        <v>0.03</v>
      </c>
      <c r="L5545" s="7">
        <f t="shared" si="173"/>
        <v>2E-3</v>
      </c>
      <c r="M5545" s="7">
        <v>3.0000000000000001E-3</v>
      </c>
      <c r="N5545">
        <v>9</v>
      </c>
      <c r="O5545" s="8">
        <v>17.509302802156309</v>
      </c>
      <c r="P5545" s="9">
        <v>17.509302802156309</v>
      </c>
      <c r="Q5545" s="9">
        <v>17.509302802156309</v>
      </c>
      <c r="R5545" s="9">
        <v>17.960073121579438</v>
      </c>
      <c r="S5545" s="9">
        <v>18.978426201825126</v>
      </c>
      <c r="T5545" s="9">
        <v>19.861619996324769</v>
      </c>
      <c r="U5545" s="9">
        <v>21.605211693624167</v>
      </c>
      <c r="V5545" s="9">
        <v>21.605211693624167</v>
      </c>
      <c r="W5545" s="9">
        <v>21.605211693624167</v>
      </c>
      <c r="X5545" s="9">
        <v>24.342346895578043</v>
      </c>
      <c r="Y5545" s="9">
        <v>24.342346895578043</v>
      </c>
      <c r="Z5545" s="9">
        <v>27.269806221922281</v>
      </c>
      <c r="AA5545" s="9">
        <v>27.269806221922281</v>
      </c>
      <c r="AB5545" s="9">
        <v>30.447232473217717</v>
      </c>
      <c r="AC5545" s="9">
        <v>30.447232473217717</v>
      </c>
      <c r="AD5545" s="9">
        <v>33.773696777878271</v>
      </c>
      <c r="AE5545" s="9">
        <v>37.668102449503657</v>
      </c>
      <c r="AF5545" s="9">
        <v>41.795656089883373</v>
      </c>
      <c r="AG5545" s="9">
        <v>41.795656089883373</v>
      </c>
      <c r="AH5545" s="9">
        <v>45.638668972740511</v>
      </c>
      <c r="AI5545" s="9">
        <v>49.380739592962819</v>
      </c>
      <c r="AJ5545" s="9">
        <v>3.0428788910505911</v>
      </c>
    </row>
    <row r="5546" spans="1:36" x14ac:dyDescent="0.25">
      <c r="A5546" t="s">
        <v>5411</v>
      </c>
      <c r="B5546" t="s">
        <v>16</v>
      </c>
      <c r="C5546" t="s">
        <v>17</v>
      </c>
      <c r="D5546">
        <v>95660000</v>
      </c>
      <c r="E5546">
        <v>95669999</v>
      </c>
      <c r="F5546" t="s">
        <v>5001</v>
      </c>
      <c r="G5546" t="str">
        <f t="shared" si="172"/>
        <v>RSI II</v>
      </c>
      <c r="H5546" t="s">
        <v>4915</v>
      </c>
      <c r="I5546" t="s">
        <v>20</v>
      </c>
      <c r="J5546" t="s">
        <v>64</v>
      </c>
      <c r="K5546" s="6">
        <v>0.03</v>
      </c>
      <c r="L5546" s="7">
        <f t="shared" si="173"/>
        <v>2E-3</v>
      </c>
      <c r="M5546" s="7">
        <v>3.0000000000000001E-3</v>
      </c>
      <c r="N5546">
        <v>11</v>
      </c>
      <c r="O5546" s="8">
        <v>20.328747193832452</v>
      </c>
      <c r="P5546" s="9">
        <v>20.328747193832452</v>
      </c>
      <c r="Q5546" s="9">
        <v>20.328747193832452</v>
      </c>
      <c r="R5546" s="9">
        <v>20.901467178587069</v>
      </c>
      <c r="S5546" s="9">
        <v>21.789694031871221</v>
      </c>
      <c r="T5546" s="9">
        <v>22.685842380093916</v>
      </c>
      <c r="U5546" s="9">
        <v>25.139615720574728</v>
      </c>
      <c r="V5546" s="9">
        <v>25.139615720574728</v>
      </c>
      <c r="W5546" s="9">
        <v>25.139615720574728</v>
      </c>
      <c r="X5546" s="9">
        <v>28.431126761040446</v>
      </c>
      <c r="Y5546" s="9">
        <v>28.431126761040446</v>
      </c>
      <c r="Z5546" s="9">
        <v>31.8133765751437</v>
      </c>
      <c r="AA5546" s="9">
        <v>31.8133765751437</v>
      </c>
      <c r="AB5546" s="9">
        <v>35.295439040248269</v>
      </c>
      <c r="AC5546" s="9">
        <v>35.295439040248269</v>
      </c>
      <c r="AD5546" s="9">
        <v>40.66038110622798</v>
      </c>
      <c r="AE5546" s="9">
        <v>44.145469767258199</v>
      </c>
      <c r="AF5546" s="9">
        <v>47.802065076832598</v>
      </c>
      <c r="AG5546" s="9">
        <v>47.802065076832598</v>
      </c>
      <c r="AH5546" s="9">
        <v>52.368463891218347</v>
      </c>
      <c r="AI5546" s="9">
        <v>56.090712435126555</v>
      </c>
      <c r="AJ5546" s="9">
        <v>3.0428788910505911</v>
      </c>
    </row>
    <row r="5547" spans="1:36" x14ac:dyDescent="0.25">
      <c r="A5547" t="s">
        <v>5411</v>
      </c>
      <c r="B5547" t="s">
        <v>16</v>
      </c>
      <c r="C5547" t="s">
        <v>17</v>
      </c>
      <c r="D5547">
        <v>95670000</v>
      </c>
      <c r="E5547">
        <v>95679999</v>
      </c>
      <c r="F5547" t="s">
        <v>5002</v>
      </c>
      <c r="G5547" t="str">
        <f t="shared" si="172"/>
        <v>RSI</v>
      </c>
      <c r="H5547" t="s">
        <v>4915</v>
      </c>
      <c r="I5547" t="s">
        <v>20</v>
      </c>
      <c r="J5547" t="s">
        <v>62</v>
      </c>
      <c r="K5547" s="6">
        <v>0.03</v>
      </c>
      <c r="L5547" s="7">
        <f t="shared" si="173"/>
        <v>2E-3</v>
      </c>
      <c r="M5547" s="7">
        <v>3.0000000000000001E-3</v>
      </c>
      <c r="N5547">
        <v>8</v>
      </c>
      <c r="O5547" s="8">
        <v>17.509302802156309</v>
      </c>
      <c r="P5547" s="9">
        <v>17.509302802156309</v>
      </c>
      <c r="Q5547" s="9">
        <v>17.509302802156309</v>
      </c>
      <c r="R5547" s="9">
        <v>17.960073121579438</v>
      </c>
      <c r="S5547" s="9">
        <v>18.978426201825126</v>
      </c>
      <c r="T5547" s="9">
        <v>19.861619996324769</v>
      </c>
      <c r="U5547" s="9">
        <v>21.605211693624167</v>
      </c>
      <c r="V5547" s="9">
        <v>21.605211693624167</v>
      </c>
      <c r="W5547" s="9">
        <v>21.605211693624167</v>
      </c>
      <c r="X5547" s="9">
        <v>24.342346895578043</v>
      </c>
      <c r="Y5547" s="9">
        <v>24.342346895578043</v>
      </c>
      <c r="Z5547" s="9">
        <v>27.269806221922281</v>
      </c>
      <c r="AA5547" s="9">
        <v>27.269806221922281</v>
      </c>
      <c r="AB5547" s="9">
        <v>30.447232473217717</v>
      </c>
      <c r="AC5547" s="9">
        <v>30.447232473217717</v>
      </c>
      <c r="AD5547" s="9">
        <v>33.773696777878271</v>
      </c>
      <c r="AE5547" s="9">
        <v>37.668102449503657</v>
      </c>
      <c r="AF5547" s="9">
        <v>41.795656089883373</v>
      </c>
      <c r="AG5547" s="9">
        <v>41.795656089883373</v>
      </c>
      <c r="AH5547" s="9">
        <v>45.638668972740511</v>
      </c>
      <c r="AI5547" s="9">
        <v>49.380739592962819</v>
      </c>
      <c r="AJ5547" s="9">
        <v>3.0428788910505911</v>
      </c>
    </row>
    <row r="5548" spans="1:36" x14ac:dyDescent="0.25">
      <c r="A5548" t="s">
        <v>5411</v>
      </c>
      <c r="B5548" t="s">
        <v>16</v>
      </c>
      <c r="C5548" t="s">
        <v>17</v>
      </c>
      <c r="D5548">
        <v>95680000</v>
      </c>
      <c r="E5548">
        <v>95689999</v>
      </c>
      <c r="F5548" t="s">
        <v>5003</v>
      </c>
      <c r="G5548" t="str">
        <f t="shared" si="172"/>
        <v>RSI</v>
      </c>
      <c r="H5548" t="s">
        <v>4915</v>
      </c>
      <c r="I5548" t="s">
        <v>20</v>
      </c>
      <c r="J5548" t="s">
        <v>62</v>
      </c>
      <c r="K5548" s="6">
        <v>0.03</v>
      </c>
      <c r="L5548" s="7">
        <f t="shared" si="173"/>
        <v>2E-3</v>
      </c>
      <c r="M5548" s="7">
        <v>3.0000000000000001E-3</v>
      </c>
      <c r="N5548">
        <v>8</v>
      </c>
      <c r="O5548" s="8">
        <v>17.509302802156309</v>
      </c>
      <c r="P5548" s="9">
        <v>17.509302802156309</v>
      </c>
      <c r="Q5548" s="9">
        <v>17.509302802156309</v>
      </c>
      <c r="R5548" s="9">
        <v>17.960073121579438</v>
      </c>
      <c r="S5548" s="9">
        <v>18.978426201825126</v>
      </c>
      <c r="T5548" s="9">
        <v>19.861619996324769</v>
      </c>
      <c r="U5548" s="9">
        <v>21.605211693624167</v>
      </c>
      <c r="V5548" s="9">
        <v>21.605211693624167</v>
      </c>
      <c r="W5548" s="9">
        <v>21.605211693624167</v>
      </c>
      <c r="X5548" s="9">
        <v>24.342346895578043</v>
      </c>
      <c r="Y5548" s="9">
        <v>24.342346895578043</v>
      </c>
      <c r="Z5548" s="9">
        <v>27.269806221922281</v>
      </c>
      <c r="AA5548" s="9">
        <v>27.269806221922281</v>
      </c>
      <c r="AB5548" s="9">
        <v>30.447232473217717</v>
      </c>
      <c r="AC5548" s="9">
        <v>30.447232473217717</v>
      </c>
      <c r="AD5548" s="9">
        <v>33.773696777878271</v>
      </c>
      <c r="AE5548" s="9">
        <v>37.668102449503657</v>
      </c>
      <c r="AF5548" s="9">
        <v>41.795656089883373</v>
      </c>
      <c r="AG5548" s="9">
        <v>41.795656089883373</v>
      </c>
      <c r="AH5548" s="9">
        <v>45.638668972740511</v>
      </c>
      <c r="AI5548" s="9">
        <v>49.380739592962819</v>
      </c>
      <c r="AJ5548" s="9">
        <v>3.0428788910505911</v>
      </c>
    </row>
    <row r="5549" spans="1:36" x14ac:dyDescent="0.25">
      <c r="A5549" t="s">
        <v>5411</v>
      </c>
      <c r="B5549" t="s">
        <v>16</v>
      </c>
      <c r="C5549" t="s">
        <v>17</v>
      </c>
      <c r="D5549">
        <v>95690000</v>
      </c>
      <c r="E5549">
        <v>95694999</v>
      </c>
      <c r="F5549" t="s">
        <v>5004</v>
      </c>
      <c r="G5549" t="str">
        <f t="shared" si="172"/>
        <v>RSI II</v>
      </c>
      <c r="H5549" t="s">
        <v>4915</v>
      </c>
      <c r="I5549" t="s">
        <v>20</v>
      </c>
      <c r="J5549" t="s">
        <v>64</v>
      </c>
      <c r="K5549" s="6">
        <v>0.03</v>
      </c>
      <c r="L5549" s="7">
        <f t="shared" si="173"/>
        <v>2E-3</v>
      </c>
      <c r="M5549" s="7">
        <v>3.0000000000000001E-3</v>
      </c>
      <c r="N5549">
        <v>11</v>
      </c>
      <c r="O5549" s="8">
        <v>20.328747193832452</v>
      </c>
      <c r="P5549" s="9">
        <v>20.328747193832452</v>
      </c>
      <c r="Q5549" s="9">
        <v>20.328747193832452</v>
      </c>
      <c r="R5549" s="9">
        <v>20.901467178587069</v>
      </c>
      <c r="S5549" s="9">
        <v>21.789694031871221</v>
      </c>
      <c r="T5549" s="9">
        <v>22.685842380093916</v>
      </c>
      <c r="U5549" s="9">
        <v>25.139615720574728</v>
      </c>
      <c r="V5549" s="9">
        <v>25.139615720574728</v>
      </c>
      <c r="W5549" s="9">
        <v>25.139615720574728</v>
      </c>
      <c r="X5549" s="9">
        <v>28.431126761040446</v>
      </c>
      <c r="Y5549" s="9">
        <v>28.431126761040446</v>
      </c>
      <c r="Z5549" s="9">
        <v>31.8133765751437</v>
      </c>
      <c r="AA5549" s="9">
        <v>31.8133765751437</v>
      </c>
      <c r="AB5549" s="9">
        <v>35.295439040248269</v>
      </c>
      <c r="AC5549" s="9">
        <v>35.295439040248269</v>
      </c>
      <c r="AD5549" s="9">
        <v>40.66038110622798</v>
      </c>
      <c r="AE5549" s="9">
        <v>44.145469767258199</v>
      </c>
      <c r="AF5549" s="9">
        <v>47.802065076832598</v>
      </c>
      <c r="AG5549" s="9">
        <v>47.802065076832598</v>
      </c>
      <c r="AH5549" s="9">
        <v>52.368463891218347</v>
      </c>
      <c r="AI5549" s="9">
        <v>56.090712435126555</v>
      </c>
      <c r="AJ5549" s="9">
        <v>3.0428788910505911</v>
      </c>
    </row>
    <row r="5550" spans="1:36" x14ac:dyDescent="0.25">
      <c r="A5550" t="s">
        <v>5411</v>
      </c>
      <c r="B5550" t="s">
        <v>16</v>
      </c>
      <c r="C5550" t="s">
        <v>17</v>
      </c>
      <c r="D5550">
        <v>95695000</v>
      </c>
      <c r="E5550">
        <v>95699999</v>
      </c>
      <c r="F5550" t="s">
        <v>5005</v>
      </c>
      <c r="G5550" t="str">
        <f t="shared" si="172"/>
        <v>RSI II</v>
      </c>
      <c r="H5550" t="s">
        <v>4915</v>
      </c>
      <c r="I5550" t="s">
        <v>20</v>
      </c>
      <c r="J5550" t="s">
        <v>64</v>
      </c>
      <c r="K5550" s="6">
        <v>0.03</v>
      </c>
      <c r="L5550" s="7">
        <f t="shared" si="173"/>
        <v>2E-3</v>
      </c>
      <c r="M5550" s="7">
        <v>3.0000000000000001E-3</v>
      </c>
      <c r="N5550">
        <v>11</v>
      </c>
      <c r="O5550" s="8">
        <v>20.328747193832452</v>
      </c>
      <c r="P5550" s="9">
        <v>20.328747193832452</v>
      </c>
      <c r="Q5550" s="9">
        <v>20.328747193832452</v>
      </c>
      <c r="R5550" s="9">
        <v>20.901467178587069</v>
      </c>
      <c r="S5550" s="9">
        <v>21.789694031871221</v>
      </c>
      <c r="T5550" s="9">
        <v>22.685842380093916</v>
      </c>
      <c r="U5550" s="9">
        <v>25.139615720574728</v>
      </c>
      <c r="V5550" s="9">
        <v>25.139615720574728</v>
      </c>
      <c r="W5550" s="9">
        <v>25.139615720574728</v>
      </c>
      <c r="X5550" s="9">
        <v>28.431126761040446</v>
      </c>
      <c r="Y5550" s="9">
        <v>28.431126761040446</v>
      </c>
      <c r="Z5550" s="9">
        <v>31.8133765751437</v>
      </c>
      <c r="AA5550" s="9">
        <v>31.8133765751437</v>
      </c>
      <c r="AB5550" s="9">
        <v>35.295439040248269</v>
      </c>
      <c r="AC5550" s="9">
        <v>35.295439040248269</v>
      </c>
      <c r="AD5550" s="9">
        <v>40.66038110622798</v>
      </c>
      <c r="AE5550" s="9">
        <v>44.145469767258199</v>
      </c>
      <c r="AF5550" s="9">
        <v>47.802065076832598</v>
      </c>
      <c r="AG5550" s="9">
        <v>47.802065076832598</v>
      </c>
      <c r="AH5550" s="9">
        <v>52.368463891218347</v>
      </c>
      <c r="AI5550" s="9">
        <v>56.090712435126555</v>
      </c>
      <c r="AJ5550" s="9">
        <v>3.0428788910505911</v>
      </c>
    </row>
    <row r="5551" spans="1:36" x14ac:dyDescent="0.25">
      <c r="A5551" t="s">
        <v>5411</v>
      </c>
      <c r="B5551" t="s">
        <v>16</v>
      </c>
      <c r="C5551" t="s">
        <v>17</v>
      </c>
      <c r="D5551">
        <v>95700000</v>
      </c>
      <c r="E5551">
        <v>95714999</v>
      </c>
      <c r="F5551" t="s">
        <v>5006</v>
      </c>
      <c r="G5551" t="str">
        <f t="shared" si="172"/>
        <v>RSI</v>
      </c>
      <c r="H5551" t="s">
        <v>4915</v>
      </c>
      <c r="I5551" t="s">
        <v>20</v>
      </c>
      <c r="J5551" t="s">
        <v>62</v>
      </c>
      <c r="K5551" s="6">
        <v>0.03</v>
      </c>
      <c r="L5551" s="7">
        <f t="shared" si="173"/>
        <v>2E-3</v>
      </c>
      <c r="M5551" s="7">
        <v>3.0000000000000001E-3</v>
      </c>
      <c r="N5551">
        <v>8</v>
      </c>
      <c r="O5551" s="8">
        <v>17.509302802156309</v>
      </c>
      <c r="P5551" s="9">
        <v>17.509302802156309</v>
      </c>
      <c r="Q5551" s="9">
        <v>17.509302802156309</v>
      </c>
      <c r="R5551" s="9">
        <v>17.960073121579438</v>
      </c>
      <c r="S5551" s="9">
        <v>18.978426201825126</v>
      </c>
      <c r="T5551" s="9">
        <v>19.861619996324769</v>
      </c>
      <c r="U5551" s="9">
        <v>21.605211693624167</v>
      </c>
      <c r="V5551" s="9">
        <v>21.605211693624167</v>
      </c>
      <c r="W5551" s="9">
        <v>21.605211693624167</v>
      </c>
      <c r="X5551" s="9">
        <v>24.342346895578043</v>
      </c>
      <c r="Y5551" s="9">
        <v>24.342346895578043</v>
      </c>
      <c r="Z5551" s="9">
        <v>27.269806221922281</v>
      </c>
      <c r="AA5551" s="9">
        <v>27.269806221922281</v>
      </c>
      <c r="AB5551" s="9">
        <v>30.447232473217717</v>
      </c>
      <c r="AC5551" s="9">
        <v>30.447232473217717</v>
      </c>
      <c r="AD5551" s="9">
        <v>33.773696777878271</v>
      </c>
      <c r="AE5551" s="9">
        <v>37.668102449503657</v>
      </c>
      <c r="AF5551" s="9">
        <v>41.795656089883373</v>
      </c>
      <c r="AG5551" s="9">
        <v>41.795656089883373</v>
      </c>
      <c r="AH5551" s="9">
        <v>45.638668972740511</v>
      </c>
      <c r="AI5551" s="9">
        <v>49.380739592962819</v>
      </c>
      <c r="AJ5551" s="9">
        <v>3.0428788910505911</v>
      </c>
    </row>
    <row r="5552" spans="1:36" x14ac:dyDescent="0.25">
      <c r="A5552" t="s">
        <v>5411</v>
      </c>
      <c r="B5552" t="s">
        <v>16</v>
      </c>
      <c r="C5552" t="s">
        <v>17</v>
      </c>
      <c r="D5552">
        <v>95715000</v>
      </c>
      <c r="E5552">
        <v>95716999</v>
      </c>
      <c r="F5552" t="s">
        <v>5007</v>
      </c>
      <c r="G5552" t="str">
        <f t="shared" si="172"/>
        <v>RSI II</v>
      </c>
      <c r="H5552" t="s">
        <v>4915</v>
      </c>
      <c r="I5552" t="s">
        <v>20</v>
      </c>
      <c r="J5552" t="s">
        <v>64</v>
      </c>
      <c r="K5552" s="6">
        <v>0.03</v>
      </c>
      <c r="L5552" s="7">
        <f t="shared" si="173"/>
        <v>2E-3</v>
      </c>
      <c r="M5552" s="7">
        <v>3.0000000000000001E-3</v>
      </c>
      <c r="N5552">
        <v>11</v>
      </c>
      <c r="O5552" s="8">
        <v>20.328747193832452</v>
      </c>
      <c r="P5552" s="9">
        <v>20.328747193832452</v>
      </c>
      <c r="Q5552" s="9">
        <v>20.328747193832452</v>
      </c>
      <c r="R5552" s="9">
        <v>20.901467178587069</v>
      </c>
      <c r="S5552" s="9">
        <v>21.789694031871221</v>
      </c>
      <c r="T5552" s="9">
        <v>22.685842380093916</v>
      </c>
      <c r="U5552" s="9">
        <v>25.139615720574728</v>
      </c>
      <c r="V5552" s="9">
        <v>25.139615720574728</v>
      </c>
      <c r="W5552" s="9">
        <v>25.139615720574728</v>
      </c>
      <c r="X5552" s="9">
        <v>28.431126761040446</v>
      </c>
      <c r="Y5552" s="9">
        <v>28.431126761040446</v>
      </c>
      <c r="Z5552" s="9">
        <v>31.8133765751437</v>
      </c>
      <c r="AA5552" s="9">
        <v>31.8133765751437</v>
      </c>
      <c r="AB5552" s="9">
        <v>35.295439040248269</v>
      </c>
      <c r="AC5552" s="9">
        <v>35.295439040248269</v>
      </c>
      <c r="AD5552" s="9">
        <v>40.66038110622798</v>
      </c>
      <c r="AE5552" s="9">
        <v>44.145469767258199</v>
      </c>
      <c r="AF5552" s="9">
        <v>47.802065076832598</v>
      </c>
      <c r="AG5552" s="9">
        <v>47.802065076832598</v>
      </c>
      <c r="AH5552" s="9">
        <v>52.368463891218347</v>
      </c>
      <c r="AI5552" s="9">
        <v>56.090712435126555</v>
      </c>
      <c r="AJ5552" s="9">
        <v>3.0428788910505911</v>
      </c>
    </row>
    <row r="5553" spans="1:36" x14ac:dyDescent="0.25">
      <c r="A5553" t="s">
        <v>5411</v>
      </c>
      <c r="B5553" t="s">
        <v>16</v>
      </c>
      <c r="C5553" t="s">
        <v>17</v>
      </c>
      <c r="D5553">
        <v>95717000</v>
      </c>
      <c r="E5553">
        <v>95717999</v>
      </c>
      <c r="F5553" t="s">
        <v>5008</v>
      </c>
      <c r="G5553" t="str">
        <f t="shared" si="172"/>
        <v>RSI II</v>
      </c>
      <c r="H5553" t="s">
        <v>4915</v>
      </c>
      <c r="I5553" t="s">
        <v>20</v>
      </c>
      <c r="J5553" t="s">
        <v>64</v>
      </c>
      <c r="K5553" s="6">
        <v>0.03</v>
      </c>
      <c r="L5553" s="7">
        <f t="shared" si="173"/>
        <v>2E-3</v>
      </c>
      <c r="M5553" s="7">
        <v>3.0000000000000001E-3</v>
      </c>
      <c r="N5553">
        <v>11</v>
      </c>
      <c r="O5553" s="8">
        <v>20.328747193832452</v>
      </c>
      <c r="P5553" s="9">
        <v>20.328747193832452</v>
      </c>
      <c r="Q5553" s="9">
        <v>20.328747193832452</v>
      </c>
      <c r="R5553" s="9">
        <v>20.901467178587069</v>
      </c>
      <c r="S5553" s="9">
        <v>21.789694031871221</v>
      </c>
      <c r="T5553" s="9">
        <v>22.685842380093916</v>
      </c>
      <c r="U5553" s="9">
        <v>25.139615720574728</v>
      </c>
      <c r="V5553" s="9">
        <v>25.139615720574728</v>
      </c>
      <c r="W5553" s="9">
        <v>25.139615720574728</v>
      </c>
      <c r="X5553" s="9">
        <v>28.431126761040446</v>
      </c>
      <c r="Y5553" s="9">
        <v>28.431126761040446</v>
      </c>
      <c r="Z5553" s="9">
        <v>31.8133765751437</v>
      </c>
      <c r="AA5553" s="9">
        <v>31.8133765751437</v>
      </c>
      <c r="AB5553" s="9">
        <v>35.295439040248269</v>
      </c>
      <c r="AC5553" s="9">
        <v>35.295439040248269</v>
      </c>
      <c r="AD5553" s="9">
        <v>40.66038110622798</v>
      </c>
      <c r="AE5553" s="9">
        <v>44.145469767258199</v>
      </c>
      <c r="AF5553" s="9">
        <v>47.802065076832598</v>
      </c>
      <c r="AG5553" s="9">
        <v>47.802065076832598</v>
      </c>
      <c r="AH5553" s="9">
        <v>52.368463891218347</v>
      </c>
      <c r="AI5553" s="9">
        <v>56.090712435126555</v>
      </c>
      <c r="AJ5553" s="9">
        <v>3.0428788910505911</v>
      </c>
    </row>
    <row r="5554" spans="1:36" x14ac:dyDescent="0.25">
      <c r="A5554" t="s">
        <v>5411</v>
      </c>
      <c r="B5554" t="s">
        <v>16</v>
      </c>
      <c r="C5554" t="s">
        <v>17</v>
      </c>
      <c r="D5554">
        <v>95718000</v>
      </c>
      <c r="E5554">
        <v>95719999</v>
      </c>
      <c r="F5554" t="s">
        <v>5009</v>
      </c>
      <c r="G5554" t="str">
        <f t="shared" si="172"/>
        <v>RSI II</v>
      </c>
      <c r="H5554" t="s">
        <v>4915</v>
      </c>
      <c r="I5554" t="s">
        <v>20</v>
      </c>
      <c r="J5554" t="s">
        <v>64</v>
      </c>
      <c r="K5554" s="6">
        <v>0.03</v>
      </c>
      <c r="L5554" s="7">
        <f t="shared" si="173"/>
        <v>2E-3</v>
      </c>
      <c r="M5554" s="7">
        <v>3.0000000000000001E-3</v>
      </c>
      <c r="N5554">
        <v>11</v>
      </c>
      <c r="O5554" s="8">
        <v>20.328747193832452</v>
      </c>
      <c r="P5554" s="9">
        <v>20.328747193832452</v>
      </c>
      <c r="Q5554" s="9">
        <v>20.328747193832452</v>
      </c>
      <c r="R5554" s="9">
        <v>20.901467178587069</v>
      </c>
      <c r="S5554" s="9">
        <v>21.789694031871221</v>
      </c>
      <c r="T5554" s="9">
        <v>22.685842380093916</v>
      </c>
      <c r="U5554" s="9">
        <v>25.139615720574728</v>
      </c>
      <c r="V5554" s="9">
        <v>25.139615720574728</v>
      </c>
      <c r="W5554" s="9">
        <v>25.139615720574728</v>
      </c>
      <c r="X5554" s="9">
        <v>28.431126761040446</v>
      </c>
      <c r="Y5554" s="9">
        <v>28.431126761040446</v>
      </c>
      <c r="Z5554" s="9">
        <v>31.8133765751437</v>
      </c>
      <c r="AA5554" s="9">
        <v>31.8133765751437</v>
      </c>
      <c r="AB5554" s="9">
        <v>35.295439040248269</v>
      </c>
      <c r="AC5554" s="9">
        <v>35.295439040248269</v>
      </c>
      <c r="AD5554" s="9">
        <v>40.66038110622798</v>
      </c>
      <c r="AE5554" s="9">
        <v>44.145469767258199</v>
      </c>
      <c r="AF5554" s="9">
        <v>47.802065076832598</v>
      </c>
      <c r="AG5554" s="9">
        <v>47.802065076832598</v>
      </c>
      <c r="AH5554" s="9">
        <v>52.368463891218347</v>
      </c>
      <c r="AI5554" s="9">
        <v>56.090712435126555</v>
      </c>
      <c r="AJ5554" s="9">
        <v>3.0428788910505911</v>
      </c>
    </row>
    <row r="5555" spans="1:36" x14ac:dyDescent="0.25">
      <c r="A5555" t="s">
        <v>5411</v>
      </c>
      <c r="B5555" t="s">
        <v>16</v>
      </c>
      <c r="C5555" t="s">
        <v>17</v>
      </c>
      <c r="D5555">
        <v>95720000</v>
      </c>
      <c r="E5555">
        <v>95725999</v>
      </c>
      <c r="F5555" t="s">
        <v>5010</v>
      </c>
      <c r="G5555" t="str">
        <f t="shared" si="172"/>
        <v>RSI</v>
      </c>
      <c r="H5555" t="s">
        <v>4915</v>
      </c>
      <c r="I5555" t="s">
        <v>20</v>
      </c>
      <c r="J5555" t="s">
        <v>62</v>
      </c>
      <c r="K5555" s="6">
        <v>0.03</v>
      </c>
      <c r="L5555" s="7">
        <f t="shared" si="173"/>
        <v>2E-3</v>
      </c>
      <c r="M5555" s="7">
        <v>3.0000000000000001E-3</v>
      </c>
      <c r="N5555">
        <v>9</v>
      </c>
      <c r="O5555" s="8">
        <v>17.509302802156309</v>
      </c>
      <c r="P5555" s="9">
        <v>17.509302802156309</v>
      </c>
      <c r="Q5555" s="9">
        <v>17.509302802156309</v>
      </c>
      <c r="R5555" s="9">
        <v>17.960073121579438</v>
      </c>
      <c r="S5555" s="9">
        <v>18.978426201825126</v>
      </c>
      <c r="T5555" s="9">
        <v>19.861619996324769</v>
      </c>
      <c r="U5555" s="9">
        <v>21.605211693624167</v>
      </c>
      <c r="V5555" s="9">
        <v>21.605211693624167</v>
      </c>
      <c r="W5555" s="9">
        <v>21.605211693624167</v>
      </c>
      <c r="X5555" s="9">
        <v>24.342346895578043</v>
      </c>
      <c r="Y5555" s="9">
        <v>24.342346895578043</v>
      </c>
      <c r="Z5555" s="9">
        <v>27.269806221922281</v>
      </c>
      <c r="AA5555" s="9">
        <v>27.269806221922281</v>
      </c>
      <c r="AB5555" s="9">
        <v>30.447232473217717</v>
      </c>
      <c r="AC5555" s="9">
        <v>30.447232473217717</v>
      </c>
      <c r="AD5555" s="9">
        <v>33.773696777878271</v>
      </c>
      <c r="AE5555" s="9">
        <v>37.668102449503657</v>
      </c>
      <c r="AF5555" s="9">
        <v>41.795656089883373</v>
      </c>
      <c r="AG5555" s="9">
        <v>41.795656089883373</v>
      </c>
      <c r="AH5555" s="9">
        <v>45.638668972740511</v>
      </c>
      <c r="AI5555" s="9">
        <v>49.380739592962819</v>
      </c>
      <c r="AJ5555" s="9">
        <v>3.0428788910505911</v>
      </c>
    </row>
    <row r="5556" spans="1:36" x14ac:dyDescent="0.25">
      <c r="A5556" t="s">
        <v>5411</v>
      </c>
      <c r="B5556" t="s">
        <v>16</v>
      </c>
      <c r="C5556" t="s">
        <v>17</v>
      </c>
      <c r="D5556">
        <v>95726000</v>
      </c>
      <c r="E5556">
        <v>95726999</v>
      </c>
      <c r="F5556" t="s">
        <v>5011</v>
      </c>
      <c r="G5556" t="str">
        <f t="shared" si="172"/>
        <v>RSI II</v>
      </c>
      <c r="H5556" t="s">
        <v>4915</v>
      </c>
      <c r="I5556" t="s">
        <v>20</v>
      </c>
      <c r="J5556" t="s">
        <v>64</v>
      </c>
      <c r="K5556" s="6">
        <v>0.03</v>
      </c>
      <c r="L5556" s="7">
        <f t="shared" si="173"/>
        <v>2E-3</v>
      </c>
      <c r="M5556" s="7">
        <v>3.0000000000000001E-3</v>
      </c>
      <c r="N5556">
        <v>11</v>
      </c>
      <c r="O5556" s="8">
        <v>20.328747193832452</v>
      </c>
      <c r="P5556" s="9">
        <v>20.328747193832452</v>
      </c>
      <c r="Q5556" s="9">
        <v>20.328747193832452</v>
      </c>
      <c r="R5556" s="9">
        <v>20.901467178587069</v>
      </c>
      <c r="S5556" s="9">
        <v>21.789694031871221</v>
      </c>
      <c r="T5556" s="9">
        <v>22.685842380093916</v>
      </c>
      <c r="U5556" s="9">
        <v>25.139615720574728</v>
      </c>
      <c r="V5556" s="9">
        <v>25.139615720574728</v>
      </c>
      <c r="W5556" s="9">
        <v>25.139615720574728</v>
      </c>
      <c r="X5556" s="9">
        <v>28.431126761040446</v>
      </c>
      <c r="Y5556" s="9">
        <v>28.431126761040446</v>
      </c>
      <c r="Z5556" s="9">
        <v>31.8133765751437</v>
      </c>
      <c r="AA5556" s="9">
        <v>31.8133765751437</v>
      </c>
      <c r="AB5556" s="9">
        <v>35.295439040248269</v>
      </c>
      <c r="AC5556" s="9">
        <v>35.295439040248269</v>
      </c>
      <c r="AD5556" s="9">
        <v>40.66038110622798</v>
      </c>
      <c r="AE5556" s="9">
        <v>44.145469767258199</v>
      </c>
      <c r="AF5556" s="9">
        <v>47.802065076832598</v>
      </c>
      <c r="AG5556" s="9">
        <v>47.802065076832598</v>
      </c>
      <c r="AH5556" s="9">
        <v>52.368463891218347</v>
      </c>
      <c r="AI5556" s="9">
        <v>56.090712435126555</v>
      </c>
      <c r="AJ5556" s="9">
        <v>3.0428788910505911</v>
      </c>
    </row>
    <row r="5557" spans="1:36" x14ac:dyDescent="0.25">
      <c r="A5557" t="s">
        <v>5411</v>
      </c>
      <c r="B5557" t="s">
        <v>16</v>
      </c>
      <c r="C5557" t="s">
        <v>17</v>
      </c>
      <c r="D5557">
        <v>95727000</v>
      </c>
      <c r="E5557">
        <v>95729999</v>
      </c>
      <c r="F5557" t="s">
        <v>5012</v>
      </c>
      <c r="G5557" t="str">
        <f t="shared" si="172"/>
        <v>RSI II</v>
      </c>
      <c r="H5557" t="s">
        <v>4915</v>
      </c>
      <c r="I5557" t="s">
        <v>20</v>
      </c>
      <c r="J5557" t="s">
        <v>64</v>
      </c>
      <c r="K5557" s="6">
        <v>0.03</v>
      </c>
      <c r="L5557" s="7">
        <f t="shared" si="173"/>
        <v>2E-3</v>
      </c>
      <c r="M5557" s="7">
        <v>3.0000000000000001E-3</v>
      </c>
      <c r="N5557">
        <v>11</v>
      </c>
      <c r="O5557" s="8">
        <v>20.328747193832452</v>
      </c>
      <c r="P5557" s="9">
        <v>20.328747193832452</v>
      </c>
      <c r="Q5557" s="9">
        <v>20.328747193832452</v>
      </c>
      <c r="R5557" s="9">
        <v>20.901467178587069</v>
      </c>
      <c r="S5557" s="9">
        <v>21.789694031871221</v>
      </c>
      <c r="T5557" s="9">
        <v>22.685842380093916</v>
      </c>
      <c r="U5557" s="9">
        <v>25.139615720574728</v>
      </c>
      <c r="V5557" s="9">
        <v>25.139615720574728</v>
      </c>
      <c r="W5557" s="9">
        <v>25.139615720574728</v>
      </c>
      <c r="X5557" s="9">
        <v>28.431126761040446</v>
      </c>
      <c r="Y5557" s="9">
        <v>28.431126761040446</v>
      </c>
      <c r="Z5557" s="9">
        <v>31.8133765751437</v>
      </c>
      <c r="AA5557" s="9">
        <v>31.8133765751437</v>
      </c>
      <c r="AB5557" s="9">
        <v>35.295439040248269</v>
      </c>
      <c r="AC5557" s="9">
        <v>35.295439040248269</v>
      </c>
      <c r="AD5557" s="9">
        <v>40.66038110622798</v>
      </c>
      <c r="AE5557" s="9">
        <v>44.145469767258199</v>
      </c>
      <c r="AF5557" s="9">
        <v>47.802065076832598</v>
      </c>
      <c r="AG5557" s="9">
        <v>47.802065076832598</v>
      </c>
      <c r="AH5557" s="9">
        <v>52.368463891218347</v>
      </c>
      <c r="AI5557" s="9">
        <v>56.090712435126555</v>
      </c>
      <c r="AJ5557" s="9">
        <v>3.0428788910505911</v>
      </c>
    </row>
    <row r="5558" spans="1:36" x14ac:dyDescent="0.25">
      <c r="A5558" t="s">
        <v>5411</v>
      </c>
      <c r="B5558" t="s">
        <v>16</v>
      </c>
      <c r="C5558" t="s">
        <v>17</v>
      </c>
      <c r="D5558">
        <v>95730000</v>
      </c>
      <c r="E5558">
        <v>95734999</v>
      </c>
      <c r="F5558" t="s">
        <v>5013</v>
      </c>
      <c r="G5558" t="str">
        <f t="shared" si="172"/>
        <v>RSI II</v>
      </c>
      <c r="H5558" t="s">
        <v>4915</v>
      </c>
      <c r="I5558" t="s">
        <v>20</v>
      </c>
      <c r="J5558" t="s">
        <v>64</v>
      </c>
      <c r="K5558" s="6">
        <v>0.03</v>
      </c>
      <c r="L5558" s="7">
        <f t="shared" si="173"/>
        <v>2E-3</v>
      </c>
      <c r="M5558" s="7">
        <v>3.0000000000000001E-3</v>
      </c>
      <c r="N5558">
        <v>11</v>
      </c>
      <c r="O5558" s="8">
        <v>20.328747193832452</v>
      </c>
      <c r="P5558" s="9">
        <v>20.328747193832452</v>
      </c>
      <c r="Q5558" s="9">
        <v>20.328747193832452</v>
      </c>
      <c r="R5558" s="9">
        <v>20.901467178587069</v>
      </c>
      <c r="S5558" s="9">
        <v>21.789694031871221</v>
      </c>
      <c r="T5558" s="9">
        <v>22.685842380093916</v>
      </c>
      <c r="U5558" s="9">
        <v>25.139615720574728</v>
      </c>
      <c r="V5558" s="9">
        <v>25.139615720574728</v>
      </c>
      <c r="W5558" s="9">
        <v>25.139615720574728</v>
      </c>
      <c r="X5558" s="9">
        <v>28.431126761040446</v>
      </c>
      <c r="Y5558" s="9">
        <v>28.431126761040446</v>
      </c>
      <c r="Z5558" s="9">
        <v>31.8133765751437</v>
      </c>
      <c r="AA5558" s="9">
        <v>31.8133765751437</v>
      </c>
      <c r="AB5558" s="9">
        <v>35.295439040248269</v>
      </c>
      <c r="AC5558" s="9">
        <v>35.295439040248269</v>
      </c>
      <c r="AD5558" s="9">
        <v>40.66038110622798</v>
      </c>
      <c r="AE5558" s="9">
        <v>44.145469767258199</v>
      </c>
      <c r="AF5558" s="9">
        <v>47.802065076832598</v>
      </c>
      <c r="AG5558" s="9">
        <v>47.802065076832598</v>
      </c>
      <c r="AH5558" s="9">
        <v>52.368463891218347</v>
      </c>
      <c r="AI5558" s="9">
        <v>56.090712435126555</v>
      </c>
      <c r="AJ5558" s="9">
        <v>3.0428788910505911</v>
      </c>
    </row>
    <row r="5559" spans="1:36" x14ac:dyDescent="0.25">
      <c r="A5559" t="s">
        <v>5411</v>
      </c>
      <c r="B5559" t="s">
        <v>16</v>
      </c>
      <c r="C5559" t="s">
        <v>17</v>
      </c>
      <c r="D5559">
        <v>95735000</v>
      </c>
      <c r="E5559">
        <v>95739999</v>
      </c>
      <c r="F5559" t="s">
        <v>5014</v>
      </c>
      <c r="G5559" t="str">
        <f t="shared" si="172"/>
        <v>RSI II</v>
      </c>
      <c r="H5559" t="s">
        <v>4915</v>
      </c>
      <c r="I5559" t="s">
        <v>20</v>
      </c>
      <c r="J5559" t="s">
        <v>64</v>
      </c>
      <c r="K5559" s="6">
        <v>0.03</v>
      </c>
      <c r="L5559" s="7">
        <f t="shared" si="173"/>
        <v>2E-3</v>
      </c>
      <c r="M5559" s="7">
        <v>3.0000000000000001E-3</v>
      </c>
      <c r="N5559">
        <v>11</v>
      </c>
      <c r="O5559" s="8">
        <v>20.328747193832452</v>
      </c>
      <c r="P5559" s="9">
        <v>20.328747193832452</v>
      </c>
      <c r="Q5559" s="9">
        <v>20.328747193832452</v>
      </c>
      <c r="R5559" s="9">
        <v>20.901467178587069</v>
      </c>
      <c r="S5559" s="9">
        <v>21.789694031871221</v>
      </c>
      <c r="T5559" s="9">
        <v>22.685842380093916</v>
      </c>
      <c r="U5559" s="9">
        <v>25.139615720574728</v>
      </c>
      <c r="V5559" s="9">
        <v>25.139615720574728</v>
      </c>
      <c r="W5559" s="9">
        <v>25.139615720574728</v>
      </c>
      <c r="X5559" s="9">
        <v>28.431126761040446</v>
      </c>
      <c r="Y5559" s="9">
        <v>28.431126761040446</v>
      </c>
      <c r="Z5559" s="9">
        <v>31.8133765751437</v>
      </c>
      <c r="AA5559" s="9">
        <v>31.8133765751437</v>
      </c>
      <c r="AB5559" s="9">
        <v>35.295439040248269</v>
      </c>
      <c r="AC5559" s="9">
        <v>35.295439040248269</v>
      </c>
      <c r="AD5559" s="9">
        <v>40.66038110622798</v>
      </c>
      <c r="AE5559" s="9">
        <v>44.145469767258199</v>
      </c>
      <c r="AF5559" s="9">
        <v>47.802065076832598</v>
      </c>
      <c r="AG5559" s="9">
        <v>47.802065076832598</v>
      </c>
      <c r="AH5559" s="9">
        <v>52.368463891218347</v>
      </c>
      <c r="AI5559" s="9">
        <v>56.090712435126555</v>
      </c>
      <c r="AJ5559" s="9">
        <v>3.0428788910505911</v>
      </c>
    </row>
    <row r="5560" spans="1:36" x14ac:dyDescent="0.25">
      <c r="A5560" t="s">
        <v>5411</v>
      </c>
      <c r="B5560" t="s">
        <v>16</v>
      </c>
      <c r="C5560" t="s">
        <v>17</v>
      </c>
      <c r="D5560">
        <v>95740000</v>
      </c>
      <c r="E5560">
        <v>95744999</v>
      </c>
      <c r="F5560" t="s">
        <v>5015</v>
      </c>
      <c r="G5560" t="str">
        <f t="shared" si="172"/>
        <v>RSI II</v>
      </c>
      <c r="H5560" t="s">
        <v>4915</v>
      </c>
      <c r="I5560" t="s">
        <v>20</v>
      </c>
      <c r="J5560" t="s">
        <v>64</v>
      </c>
      <c r="K5560" s="6">
        <v>0.03</v>
      </c>
      <c r="L5560" s="7">
        <f t="shared" si="173"/>
        <v>2E-3</v>
      </c>
      <c r="M5560" s="7">
        <v>3.0000000000000001E-3</v>
      </c>
      <c r="N5560">
        <v>11</v>
      </c>
      <c r="O5560" s="8">
        <v>20.328747193832452</v>
      </c>
      <c r="P5560" s="9">
        <v>20.328747193832452</v>
      </c>
      <c r="Q5560" s="9">
        <v>20.328747193832452</v>
      </c>
      <c r="R5560" s="9">
        <v>20.901467178587069</v>
      </c>
      <c r="S5560" s="9">
        <v>21.789694031871221</v>
      </c>
      <c r="T5560" s="9">
        <v>22.685842380093916</v>
      </c>
      <c r="U5560" s="9">
        <v>25.139615720574728</v>
      </c>
      <c r="V5560" s="9">
        <v>25.139615720574728</v>
      </c>
      <c r="W5560" s="9">
        <v>25.139615720574728</v>
      </c>
      <c r="X5560" s="9">
        <v>28.431126761040446</v>
      </c>
      <c r="Y5560" s="9">
        <v>28.431126761040446</v>
      </c>
      <c r="Z5560" s="9">
        <v>31.8133765751437</v>
      </c>
      <c r="AA5560" s="9">
        <v>31.8133765751437</v>
      </c>
      <c r="AB5560" s="9">
        <v>35.295439040248269</v>
      </c>
      <c r="AC5560" s="9">
        <v>35.295439040248269</v>
      </c>
      <c r="AD5560" s="9">
        <v>40.66038110622798</v>
      </c>
      <c r="AE5560" s="9">
        <v>44.145469767258199</v>
      </c>
      <c r="AF5560" s="9">
        <v>47.802065076832598</v>
      </c>
      <c r="AG5560" s="9">
        <v>47.802065076832598</v>
      </c>
      <c r="AH5560" s="9">
        <v>52.368463891218347</v>
      </c>
      <c r="AI5560" s="9">
        <v>56.090712435126555</v>
      </c>
      <c r="AJ5560" s="9">
        <v>3.0428788910505911</v>
      </c>
    </row>
    <row r="5561" spans="1:36" x14ac:dyDescent="0.25">
      <c r="A5561" t="s">
        <v>5411</v>
      </c>
      <c r="B5561" t="s">
        <v>16</v>
      </c>
      <c r="C5561" t="s">
        <v>17</v>
      </c>
      <c r="D5561">
        <v>95745000</v>
      </c>
      <c r="E5561">
        <v>95747999</v>
      </c>
      <c r="F5561" t="s">
        <v>5016</v>
      </c>
      <c r="G5561" t="str">
        <f t="shared" si="172"/>
        <v>RSI II</v>
      </c>
      <c r="H5561" t="s">
        <v>4915</v>
      </c>
      <c r="I5561" t="s">
        <v>20</v>
      </c>
      <c r="J5561" t="s">
        <v>64</v>
      </c>
      <c r="K5561" s="6">
        <v>0.03</v>
      </c>
      <c r="L5561" s="7">
        <f t="shared" si="173"/>
        <v>2E-3</v>
      </c>
      <c r="M5561" s="7">
        <v>3.0000000000000001E-3</v>
      </c>
      <c r="N5561">
        <v>11</v>
      </c>
      <c r="O5561" s="8">
        <v>20.328747193832452</v>
      </c>
      <c r="P5561" s="9">
        <v>20.328747193832452</v>
      </c>
      <c r="Q5561" s="9">
        <v>20.328747193832452</v>
      </c>
      <c r="R5561" s="9">
        <v>20.901467178587069</v>
      </c>
      <c r="S5561" s="9">
        <v>21.789694031871221</v>
      </c>
      <c r="T5561" s="9">
        <v>22.685842380093916</v>
      </c>
      <c r="U5561" s="9">
        <v>25.139615720574728</v>
      </c>
      <c r="V5561" s="9">
        <v>25.139615720574728</v>
      </c>
      <c r="W5561" s="9">
        <v>25.139615720574728</v>
      </c>
      <c r="X5561" s="9">
        <v>28.431126761040446</v>
      </c>
      <c r="Y5561" s="9">
        <v>28.431126761040446</v>
      </c>
      <c r="Z5561" s="9">
        <v>31.8133765751437</v>
      </c>
      <c r="AA5561" s="9">
        <v>31.8133765751437</v>
      </c>
      <c r="AB5561" s="9">
        <v>35.295439040248269</v>
      </c>
      <c r="AC5561" s="9">
        <v>35.295439040248269</v>
      </c>
      <c r="AD5561" s="9">
        <v>40.66038110622798</v>
      </c>
      <c r="AE5561" s="9">
        <v>44.145469767258199</v>
      </c>
      <c r="AF5561" s="9">
        <v>47.802065076832598</v>
      </c>
      <c r="AG5561" s="9">
        <v>47.802065076832598</v>
      </c>
      <c r="AH5561" s="9">
        <v>52.368463891218347</v>
      </c>
      <c r="AI5561" s="9">
        <v>56.090712435126555</v>
      </c>
      <c r="AJ5561" s="9">
        <v>3.0428788910505911</v>
      </c>
    </row>
    <row r="5562" spans="1:36" x14ac:dyDescent="0.25">
      <c r="A5562" t="s">
        <v>5411</v>
      </c>
      <c r="B5562" t="s">
        <v>16</v>
      </c>
      <c r="C5562" t="s">
        <v>17</v>
      </c>
      <c r="D5562">
        <v>95748000</v>
      </c>
      <c r="E5562">
        <v>95749999</v>
      </c>
      <c r="F5562" t="s">
        <v>5017</v>
      </c>
      <c r="G5562" t="str">
        <f t="shared" si="172"/>
        <v>RSI II</v>
      </c>
      <c r="H5562" t="s">
        <v>4915</v>
      </c>
      <c r="I5562" t="s">
        <v>20</v>
      </c>
      <c r="J5562" t="s">
        <v>64</v>
      </c>
      <c r="K5562" s="6">
        <v>0.03</v>
      </c>
      <c r="L5562" s="7">
        <f t="shared" si="173"/>
        <v>2E-3</v>
      </c>
      <c r="M5562" s="7">
        <v>3.0000000000000001E-3</v>
      </c>
      <c r="N5562">
        <v>11</v>
      </c>
      <c r="O5562" s="8">
        <v>20.328747193832452</v>
      </c>
      <c r="P5562" s="9">
        <v>20.328747193832452</v>
      </c>
      <c r="Q5562" s="9">
        <v>20.328747193832452</v>
      </c>
      <c r="R5562" s="9">
        <v>20.901467178587069</v>
      </c>
      <c r="S5562" s="9">
        <v>21.789694031871221</v>
      </c>
      <c r="T5562" s="9">
        <v>22.685842380093916</v>
      </c>
      <c r="U5562" s="9">
        <v>25.139615720574728</v>
      </c>
      <c r="V5562" s="9">
        <v>25.139615720574728</v>
      </c>
      <c r="W5562" s="9">
        <v>25.139615720574728</v>
      </c>
      <c r="X5562" s="9">
        <v>28.431126761040446</v>
      </c>
      <c r="Y5562" s="9">
        <v>28.431126761040446</v>
      </c>
      <c r="Z5562" s="9">
        <v>31.8133765751437</v>
      </c>
      <c r="AA5562" s="9">
        <v>31.8133765751437</v>
      </c>
      <c r="AB5562" s="9">
        <v>35.295439040248269</v>
      </c>
      <c r="AC5562" s="9">
        <v>35.295439040248269</v>
      </c>
      <c r="AD5562" s="9">
        <v>40.66038110622798</v>
      </c>
      <c r="AE5562" s="9">
        <v>44.145469767258199</v>
      </c>
      <c r="AF5562" s="9">
        <v>47.802065076832598</v>
      </c>
      <c r="AG5562" s="9">
        <v>47.802065076832598</v>
      </c>
      <c r="AH5562" s="9">
        <v>52.368463891218347</v>
      </c>
      <c r="AI5562" s="9">
        <v>56.090712435126555</v>
      </c>
      <c r="AJ5562" s="9">
        <v>3.0428788910505911</v>
      </c>
    </row>
    <row r="5563" spans="1:36" x14ac:dyDescent="0.25">
      <c r="A5563" t="s">
        <v>5411</v>
      </c>
      <c r="B5563" t="s">
        <v>16</v>
      </c>
      <c r="C5563" t="s">
        <v>17</v>
      </c>
      <c r="D5563">
        <v>95750000</v>
      </c>
      <c r="E5563">
        <v>95754999</v>
      </c>
      <c r="F5563" t="s">
        <v>5018</v>
      </c>
      <c r="G5563" t="str">
        <f t="shared" si="172"/>
        <v>RSI II</v>
      </c>
      <c r="H5563" t="s">
        <v>4915</v>
      </c>
      <c r="I5563" t="s">
        <v>20</v>
      </c>
      <c r="J5563" t="s">
        <v>64</v>
      </c>
      <c r="K5563" s="6">
        <v>0.03</v>
      </c>
      <c r="L5563" s="7">
        <f t="shared" si="173"/>
        <v>2E-3</v>
      </c>
      <c r="M5563" s="7">
        <v>3.0000000000000001E-3</v>
      </c>
      <c r="N5563">
        <v>11</v>
      </c>
      <c r="O5563" s="8">
        <v>20.328747193832452</v>
      </c>
      <c r="P5563" s="9">
        <v>20.328747193832452</v>
      </c>
      <c r="Q5563" s="9">
        <v>20.328747193832452</v>
      </c>
      <c r="R5563" s="9">
        <v>20.901467178587069</v>
      </c>
      <c r="S5563" s="9">
        <v>21.789694031871221</v>
      </c>
      <c r="T5563" s="9">
        <v>22.685842380093916</v>
      </c>
      <c r="U5563" s="9">
        <v>25.139615720574728</v>
      </c>
      <c r="V5563" s="9">
        <v>25.139615720574728</v>
      </c>
      <c r="W5563" s="9">
        <v>25.139615720574728</v>
      </c>
      <c r="X5563" s="9">
        <v>28.431126761040446</v>
      </c>
      <c r="Y5563" s="9">
        <v>28.431126761040446</v>
      </c>
      <c r="Z5563" s="9">
        <v>31.8133765751437</v>
      </c>
      <c r="AA5563" s="9">
        <v>31.8133765751437</v>
      </c>
      <c r="AB5563" s="9">
        <v>35.295439040248269</v>
      </c>
      <c r="AC5563" s="9">
        <v>35.295439040248269</v>
      </c>
      <c r="AD5563" s="9">
        <v>40.66038110622798</v>
      </c>
      <c r="AE5563" s="9">
        <v>44.145469767258199</v>
      </c>
      <c r="AF5563" s="9">
        <v>47.802065076832598</v>
      </c>
      <c r="AG5563" s="9">
        <v>47.802065076832598</v>
      </c>
      <c r="AH5563" s="9">
        <v>52.368463891218347</v>
      </c>
      <c r="AI5563" s="9">
        <v>56.090712435126555</v>
      </c>
      <c r="AJ5563" s="9">
        <v>3.0428788910505911</v>
      </c>
    </row>
    <row r="5564" spans="1:36" x14ac:dyDescent="0.25">
      <c r="A5564" t="s">
        <v>5411</v>
      </c>
      <c r="B5564" t="s">
        <v>16</v>
      </c>
      <c r="C5564" t="s">
        <v>17</v>
      </c>
      <c r="D5564">
        <v>95755000</v>
      </c>
      <c r="E5564">
        <v>95757999</v>
      </c>
      <c r="F5564" t="s">
        <v>5019</v>
      </c>
      <c r="G5564" t="str">
        <f t="shared" si="172"/>
        <v>RSI II</v>
      </c>
      <c r="H5564" t="s">
        <v>4915</v>
      </c>
      <c r="I5564" t="s">
        <v>20</v>
      </c>
      <c r="J5564" t="s">
        <v>64</v>
      </c>
      <c r="K5564" s="6">
        <v>0.03</v>
      </c>
      <c r="L5564" s="7">
        <f t="shared" si="173"/>
        <v>2E-3</v>
      </c>
      <c r="M5564" s="7">
        <v>3.0000000000000001E-3</v>
      </c>
      <c r="N5564">
        <v>11</v>
      </c>
      <c r="O5564" s="8">
        <v>20.328747193832452</v>
      </c>
      <c r="P5564" s="9">
        <v>20.328747193832452</v>
      </c>
      <c r="Q5564" s="9">
        <v>20.328747193832452</v>
      </c>
      <c r="R5564" s="9">
        <v>20.901467178587069</v>
      </c>
      <c r="S5564" s="9">
        <v>21.789694031871221</v>
      </c>
      <c r="T5564" s="9">
        <v>22.685842380093916</v>
      </c>
      <c r="U5564" s="9">
        <v>25.139615720574728</v>
      </c>
      <c r="V5564" s="9">
        <v>25.139615720574728</v>
      </c>
      <c r="W5564" s="9">
        <v>25.139615720574728</v>
      </c>
      <c r="X5564" s="9">
        <v>28.431126761040446</v>
      </c>
      <c r="Y5564" s="9">
        <v>28.431126761040446</v>
      </c>
      <c r="Z5564" s="9">
        <v>31.8133765751437</v>
      </c>
      <c r="AA5564" s="9">
        <v>31.8133765751437</v>
      </c>
      <c r="AB5564" s="9">
        <v>35.295439040248269</v>
      </c>
      <c r="AC5564" s="9">
        <v>35.295439040248269</v>
      </c>
      <c r="AD5564" s="9">
        <v>40.66038110622798</v>
      </c>
      <c r="AE5564" s="9">
        <v>44.145469767258199</v>
      </c>
      <c r="AF5564" s="9">
        <v>47.802065076832598</v>
      </c>
      <c r="AG5564" s="9">
        <v>47.802065076832598</v>
      </c>
      <c r="AH5564" s="9">
        <v>52.368463891218347</v>
      </c>
      <c r="AI5564" s="9">
        <v>56.090712435126555</v>
      </c>
      <c r="AJ5564" s="9">
        <v>3.0428788910505911</v>
      </c>
    </row>
    <row r="5565" spans="1:36" x14ac:dyDescent="0.25">
      <c r="A5565" t="s">
        <v>5411</v>
      </c>
      <c r="B5565" t="s">
        <v>16</v>
      </c>
      <c r="C5565" t="s">
        <v>17</v>
      </c>
      <c r="D5565">
        <v>95758000</v>
      </c>
      <c r="E5565">
        <v>95759999</v>
      </c>
      <c r="F5565" t="s">
        <v>5020</v>
      </c>
      <c r="G5565" t="str">
        <f t="shared" si="172"/>
        <v>RSI II</v>
      </c>
      <c r="H5565" t="s">
        <v>4915</v>
      </c>
      <c r="I5565" t="s">
        <v>20</v>
      </c>
      <c r="J5565" t="s">
        <v>64</v>
      </c>
      <c r="K5565" s="6">
        <v>0.03</v>
      </c>
      <c r="L5565" s="7">
        <f t="shared" si="173"/>
        <v>2E-3</v>
      </c>
      <c r="M5565" s="7">
        <v>3.0000000000000001E-3</v>
      </c>
      <c r="N5565">
        <v>11</v>
      </c>
      <c r="O5565" s="8">
        <v>20.328747193832452</v>
      </c>
      <c r="P5565" s="9">
        <v>20.328747193832452</v>
      </c>
      <c r="Q5565" s="9">
        <v>20.328747193832452</v>
      </c>
      <c r="R5565" s="9">
        <v>20.901467178587069</v>
      </c>
      <c r="S5565" s="9">
        <v>21.789694031871221</v>
      </c>
      <c r="T5565" s="9">
        <v>22.685842380093916</v>
      </c>
      <c r="U5565" s="9">
        <v>25.139615720574728</v>
      </c>
      <c r="V5565" s="9">
        <v>25.139615720574728</v>
      </c>
      <c r="W5565" s="9">
        <v>25.139615720574728</v>
      </c>
      <c r="X5565" s="9">
        <v>28.431126761040446</v>
      </c>
      <c r="Y5565" s="9">
        <v>28.431126761040446</v>
      </c>
      <c r="Z5565" s="9">
        <v>31.8133765751437</v>
      </c>
      <c r="AA5565" s="9">
        <v>31.8133765751437</v>
      </c>
      <c r="AB5565" s="9">
        <v>35.295439040248269</v>
      </c>
      <c r="AC5565" s="9">
        <v>35.295439040248269</v>
      </c>
      <c r="AD5565" s="9">
        <v>40.66038110622798</v>
      </c>
      <c r="AE5565" s="9">
        <v>44.145469767258199</v>
      </c>
      <c r="AF5565" s="9">
        <v>47.802065076832598</v>
      </c>
      <c r="AG5565" s="9">
        <v>47.802065076832598</v>
      </c>
      <c r="AH5565" s="9">
        <v>52.368463891218347</v>
      </c>
      <c r="AI5565" s="9">
        <v>56.090712435126555</v>
      </c>
      <c r="AJ5565" s="9">
        <v>3.0428788910505911</v>
      </c>
    </row>
    <row r="5566" spans="1:36" x14ac:dyDescent="0.25">
      <c r="A5566" t="s">
        <v>5411</v>
      </c>
      <c r="B5566" t="s">
        <v>16</v>
      </c>
      <c r="C5566" t="s">
        <v>17</v>
      </c>
      <c r="D5566">
        <v>95760000</v>
      </c>
      <c r="E5566">
        <v>95764999</v>
      </c>
      <c r="F5566" t="s">
        <v>5021</v>
      </c>
      <c r="G5566" t="str">
        <f t="shared" si="172"/>
        <v>RSI II</v>
      </c>
      <c r="H5566" t="s">
        <v>4915</v>
      </c>
      <c r="I5566" t="s">
        <v>20</v>
      </c>
      <c r="J5566" t="s">
        <v>64</v>
      </c>
      <c r="K5566" s="6">
        <v>0.03</v>
      </c>
      <c r="L5566" s="7">
        <f t="shared" si="173"/>
        <v>2E-3</v>
      </c>
      <c r="M5566" s="7">
        <v>3.0000000000000001E-3</v>
      </c>
      <c r="N5566">
        <v>11</v>
      </c>
      <c r="O5566" s="8">
        <v>20.328747193832452</v>
      </c>
      <c r="P5566" s="9">
        <v>20.328747193832452</v>
      </c>
      <c r="Q5566" s="9">
        <v>20.328747193832452</v>
      </c>
      <c r="R5566" s="9">
        <v>20.901467178587069</v>
      </c>
      <c r="S5566" s="9">
        <v>21.789694031871221</v>
      </c>
      <c r="T5566" s="9">
        <v>22.685842380093916</v>
      </c>
      <c r="U5566" s="9">
        <v>25.139615720574728</v>
      </c>
      <c r="V5566" s="9">
        <v>25.139615720574728</v>
      </c>
      <c r="W5566" s="9">
        <v>25.139615720574728</v>
      </c>
      <c r="X5566" s="9">
        <v>28.431126761040446</v>
      </c>
      <c r="Y5566" s="9">
        <v>28.431126761040446</v>
      </c>
      <c r="Z5566" s="9">
        <v>31.8133765751437</v>
      </c>
      <c r="AA5566" s="9">
        <v>31.8133765751437</v>
      </c>
      <c r="AB5566" s="9">
        <v>35.295439040248269</v>
      </c>
      <c r="AC5566" s="9">
        <v>35.295439040248269</v>
      </c>
      <c r="AD5566" s="9">
        <v>40.66038110622798</v>
      </c>
      <c r="AE5566" s="9">
        <v>44.145469767258199</v>
      </c>
      <c r="AF5566" s="9">
        <v>47.802065076832598</v>
      </c>
      <c r="AG5566" s="9">
        <v>47.802065076832598</v>
      </c>
      <c r="AH5566" s="9">
        <v>52.368463891218347</v>
      </c>
      <c r="AI5566" s="9">
        <v>56.090712435126555</v>
      </c>
      <c r="AJ5566" s="9">
        <v>3.0428788910505911</v>
      </c>
    </row>
    <row r="5567" spans="1:36" x14ac:dyDescent="0.25">
      <c r="A5567" t="s">
        <v>5411</v>
      </c>
      <c r="B5567" t="s">
        <v>16</v>
      </c>
      <c r="C5567" t="s">
        <v>17</v>
      </c>
      <c r="D5567">
        <v>95765000</v>
      </c>
      <c r="E5567">
        <v>95767999</v>
      </c>
      <c r="F5567" t="s">
        <v>5022</v>
      </c>
      <c r="G5567" t="str">
        <f t="shared" si="172"/>
        <v>RSI II</v>
      </c>
      <c r="H5567" t="s">
        <v>4915</v>
      </c>
      <c r="I5567" t="s">
        <v>20</v>
      </c>
      <c r="J5567" t="s">
        <v>64</v>
      </c>
      <c r="K5567" s="6">
        <v>0.03</v>
      </c>
      <c r="L5567" s="7">
        <f t="shared" si="173"/>
        <v>2E-3</v>
      </c>
      <c r="M5567" s="7">
        <v>3.0000000000000001E-3</v>
      </c>
      <c r="N5567">
        <v>11</v>
      </c>
      <c r="O5567" s="8">
        <v>20.328747193832452</v>
      </c>
      <c r="P5567" s="9">
        <v>20.328747193832452</v>
      </c>
      <c r="Q5567" s="9">
        <v>20.328747193832452</v>
      </c>
      <c r="R5567" s="9">
        <v>20.901467178587069</v>
      </c>
      <c r="S5567" s="9">
        <v>21.789694031871221</v>
      </c>
      <c r="T5567" s="9">
        <v>22.685842380093916</v>
      </c>
      <c r="U5567" s="9">
        <v>25.139615720574728</v>
      </c>
      <c r="V5567" s="9">
        <v>25.139615720574728</v>
      </c>
      <c r="W5567" s="9">
        <v>25.139615720574728</v>
      </c>
      <c r="X5567" s="9">
        <v>28.431126761040446</v>
      </c>
      <c r="Y5567" s="9">
        <v>28.431126761040446</v>
      </c>
      <c r="Z5567" s="9">
        <v>31.8133765751437</v>
      </c>
      <c r="AA5567" s="9">
        <v>31.8133765751437</v>
      </c>
      <c r="AB5567" s="9">
        <v>35.295439040248269</v>
      </c>
      <c r="AC5567" s="9">
        <v>35.295439040248269</v>
      </c>
      <c r="AD5567" s="9">
        <v>40.66038110622798</v>
      </c>
      <c r="AE5567" s="9">
        <v>44.145469767258199</v>
      </c>
      <c r="AF5567" s="9">
        <v>47.802065076832598</v>
      </c>
      <c r="AG5567" s="9">
        <v>47.802065076832598</v>
      </c>
      <c r="AH5567" s="9">
        <v>52.368463891218347</v>
      </c>
      <c r="AI5567" s="9">
        <v>56.090712435126555</v>
      </c>
      <c r="AJ5567" s="9">
        <v>3.0428788910505911</v>
      </c>
    </row>
    <row r="5568" spans="1:36" x14ac:dyDescent="0.25">
      <c r="A5568" t="s">
        <v>5411</v>
      </c>
      <c r="B5568" t="s">
        <v>16</v>
      </c>
      <c r="C5568" t="s">
        <v>17</v>
      </c>
      <c r="D5568">
        <v>95768000</v>
      </c>
      <c r="E5568">
        <v>95769999</v>
      </c>
      <c r="F5568" t="s">
        <v>5023</v>
      </c>
      <c r="G5568" t="str">
        <f t="shared" si="172"/>
        <v>RSI II</v>
      </c>
      <c r="H5568" t="s">
        <v>4915</v>
      </c>
      <c r="I5568" t="s">
        <v>20</v>
      </c>
      <c r="J5568" t="s">
        <v>64</v>
      </c>
      <c r="K5568" s="6">
        <v>0.03</v>
      </c>
      <c r="L5568" s="7">
        <f t="shared" si="173"/>
        <v>2E-3</v>
      </c>
      <c r="M5568" s="7">
        <v>3.0000000000000001E-3</v>
      </c>
      <c r="N5568">
        <v>11</v>
      </c>
      <c r="O5568" s="8">
        <v>20.328747193832452</v>
      </c>
      <c r="P5568" s="9">
        <v>20.328747193832452</v>
      </c>
      <c r="Q5568" s="9">
        <v>20.328747193832452</v>
      </c>
      <c r="R5568" s="9">
        <v>20.901467178587069</v>
      </c>
      <c r="S5568" s="9">
        <v>21.789694031871221</v>
      </c>
      <c r="T5568" s="9">
        <v>22.685842380093916</v>
      </c>
      <c r="U5568" s="9">
        <v>25.139615720574728</v>
      </c>
      <c r="V5568" s="9">
        <v>25.139615720574728</v>
      </c>
      <c r="W5568" s="9">
        <v>25.139615720574728</v>
      </c>
      <c r="X5568" s="9">
        <v>28.431126761040446</v>
      </c>
      <c r="Y5568" s="9">
        <v>28.431126761040446</v>
      </c>
      <c r="Z5568" s="9">
        <v>31.8133765751437</v>
      </c>
      <c r="AA5568" s="9">
        <v>31.8133765751437</v>
      </c>
      <c r="AB5568" s="9">
        <v>35.295439040248269</v>
      </c>
      <c r="AC5568" s="9">
        <v>35.295439040248269</v>
      </c>
      <c r="AD5568" s="9">
        <v>40.66038110622798</v>
      </c>
      <c r="AE5568" s="9">
        <v>44.145469767258199</v>
      </c>
      <c r="AF5568" s="9">
        <v>47.802065076832598</v>
      </c>
      <c r="AG5568" s="9">
        <v>47.802065076832598</v>
      </c>
      <c r="AH5568" s="9">
        <v>52.368463891218347</v>
      </c>
      <c r="AI5568" s="9">
        <v>56.090712435126555</v>
      </c>
      <c r="AJ5568" s="9">
        <v>3.0428788910505911</v>
      </c>
    </row>
    <row r="5569" spans="1:36" x14ac:dyDescent="0.25">
      <c r="A5569" t="s">
        <v>5411</v>
      </c>
      <c r="B5569" t="s">
        <v>16</v>
      </c>
      <c r="C5569" t="s">
        <v>17</v>
      </c>
      <c r="D5569">
        <v>95770000</v>
      </c>
      <c r="E5569">
        <v>95772999</v>
      </c>
      <c r="F5569" t="s">
        <v>5024</v>
      </c>
      <c r="G5569" t="str">
        <f t="shared" si="172"/>
        <v>RSI II</v>
      </c>
      <c r="H5569" t="s">
        <v>4915</v>
      </c>
      <c r="I5569" t="s">
        <v>20</v>
      </c>
      <c r="J5569" t="s">
        <v>64</v>
      </c>
      <c r="K5569" s="6">
        <v>0.03</v>
      </c>
      <c r="L5569" s="7">
        <f t="shared" si="173"/>
        <v>2E-3</v>
      </c>
      <c r="M5569" s="7">
        <v>3.0000000000000001E-3</v>
      </c>
      <c r="N5569">
        <v>11</v>
      </c>
      <c r="O5569" s="8">
        <v>20.328747193832452</v>
      </c>
      <c r="P5569" s="9">
        <v>20.328747193832452</v>
      </c>
      <c r="Q5569" s="9">
        <v>20.328747193832452</v>
      </c>
      <c r="R5569" s="9">
        <v>20.901467178587069</v>
      </c>
      <c r="S5569" s="9">
        <v>21.789694031871221</v>
      </c>
      <c r="T5569" s="9">
        <v>22.685842380093916</v>
      </c>
      <c r="U5569" s="9">
        <v>25.139615720574728</v>
      </c>
      <c r="V5569" s="9">
        <v>25.139615720574728</v>
      </c>
      <c r="W5569" s="9">
        <v>25.139615720574728</v>
      </c>
      <c r="X5569" s="9">
        <v>28.431126761040446</v>
      </c>
      <c r="Y5569" s="9">
        <v>28.431126761040446</v>
      </c>
      <c r="Z5569" s="9">
        <v>31.8133765751437</v>
      </c>
      <c r="AA5569" s="9">
        <v>31.8133765751437</v>
      </c>
      <c r="AB5569" s="9">
        <v>35.295439040248269</v>
      </c>
      <c r="AC5569" s="9">
        <v>35.295439040248269</v>
      </c>
      <c r="AD5569" s="9">
        <v>40.66038110622798</v>
      </c>
      <c r="AE5569" s="9">
        <v>44.145469767258199</v>
      </c>
      <c r="AF5569" s="9">
        <v>47.802065076832598</v>
      </c>
      <c r="AG5569" s="9">
        <v>47.802065076832598</v>
      </c>
      <c r="AH5569" s="9">
        <v>52.368463891218347</v>
      </c>
      <c r="AI5569" s="9">
        <v>56.090712435126555</v>
      </c>
      <c r="AJ5569" s="9">
        <v>3.0428788910505911</v>
      </c>
    </row>
    <row r="5570" spans="1:36" x14ac:dyDescent="0.25">
      <c r="A5570" t="s">
        <v>5411</v>
      </c>
      <c r="B5570" t="s">
        <v>16</v>
      </c>
      <c r="C5570" t="s">
        <v>17</v>
      </c>
      <c r="D5570">
        <v>95773000</v>
      </c>
      <c r="E5570">
        <v>95774999</v>
      </c>
      <c r="F5570" t="s">
        <v>5025</v>
      </c>
      <c r="G5570" t="str">
        <f t="shared" si="172"/>
        <v>RSI II</v>
      </c>
      <c r="H5570" t="s">
        <v>4915</v>
      </c>
      <c r="I5570" t="s">
        <v>20</v>
      </c>
      <c r="J5570" t="s">
        <v>64</v>
      </c>
      <c r="K5570" s="6">
        <v>0.03</v>
      </c>
      <c r="L5570" s="7">
        <f t="shared" si="173"/>
        <v>2E-3</v>
      </c>
      <c r="M5570" s="7">
        <v>3.0000000000000001E-3</v>
      </c>
      <c r="N5570">
        <v>11</v>
      </c>
      <c r="O5570" s="8">
        <v>20.328747193832452</v>
      </c>
      <c r="P5570" s="9">
        <v>20.328747193832452</v>
      </c>
      <c r="Q5570" s="9">
        <v>20.328747193832452</v>
      </c>
      <c r="R5570" s="9">
        <v>20.901467178587069</v>
      </c>
      <c r="S5570" s="9">
        <v>21.789694031871221</v>
      </c>
      <c r="T5570" s="9">
        <v>22.685842380093916</v>
      </c>
      <c r="U5570" s="9">
        <v>25.139615720574728</v>
      </c>
      <c r="V5570" s="9">
        <v>25.139615720574728</v>
      </c>
      <c r="W5570" s="9">
        <v>25.139615720574728</v>
      </c>
      <c r="X5570" s="9">
        <v>28.431126761040446</v>
      </c>
      <c r="Y5570" s="9">
        <v>28.431126761040446</v>
      </c>
      <c r="Z5570" s="9">
        <v>31.8133765751437</v>
      </c>
      <c r="AA5570" s="9">
        <v>31.8133765751437</v>
      </c>
      <c r="AB5570" s="9">
        <v>35.295439040248269</v>
      </c>
      <c r="AC5570" s="9">
        <v>35.295439040248269</v>
      </c>
      <c r="AD5570" s="9">
        <v>40.66038110622798</v>
      </c>
      <c r="AE5570" s="9">
        <v>44.145469767258199</v>
      </c>
      <c r="AF5570" s="9">
        <v>47.802065076832598</v>
      </c>
      <c r="AG5570" s="9">
        <v>47.802065076832598</v>
      </c>
      <c r="AH5570" s="9">
        <v>52.368463891218347</v>
      </c>
      <c r="AI5570" s="9">
        <v>56.090712435126555</v>
      </c>
      <c r="AJ5570" s="9">
        <v>3.0428788910505911</v>
      </c>
    </row>
    <row r="5571" spans="1:36" x14ac:dyDescent="0.25">
      <c r="A5571" t="s">
        <v>5411</v>
      </c>
      <c r="B5571" t="s">
        <v>16</v>
      </c>
      <c r="C5571" t="s">
        <v>17</v>
      </c>
      <c r="D5571">
        <v>95775000</v>
      </c>
      <c r="E5571">
        <v>95777999</v>
      </c>
      <c r="F5571" t="s">
        <v>5026</v>
      </c>
      <c r="G5571" t="str">
        <f t="shared" si="172"/>
        <v>RSI II</v>
      </c>
      <c r="H5571" t="s">
        <v>4915</v>
      </c>
      <c r="I5571" t="s">
        <v>20</v>
      </c>
      <c r="J5571" t="s">
        <v>64</v>
      </c>
      <c r="K5571" s="6">
        <v>0.03</v>
      </c>
      <c r="L5571" s="7">
        <f t="shared" si="173"/>
        <v>2E-3</v>
      </c>
      <c r="M5571" s="7">
        <v>3.0000000000000001E-3</v>
      </c>
      <c r="N5571">
        <v>11</v>
      </c>
      <c r="O5571" s="8">
        <v>20.328747193832452</v>
      </c>
      <c r="P5571" s="9">
        <v>20.328747193832452</v>
      </c>
      <c r="Q5571" s="9">
        <v>20.328747193832452</v>
      </c>
      <c r="R5571" s="9">
        <v>20.901467178587069</v>
      </c>
      <c r="S5571" s="9">
        <v>21.789694031871221</v>
      </c>
      <c r="T5571" s="9">
        <v>22.685842380093916</v>
      </c>
      <c r="U5571" s="9">
        <v>25.139615720574728</v>
      </c>
      <c r="V5571" s="9">
        <v>25.139615720574728</v>
      </c>
      <c r="W5571" s="9">
        <v>25.139615720574728</v>
      </c>
      <c r="X5571" s="9">
        <v>28.431126761040446</v>
      </c>
      <c r="Y5571" s="9">
        <v>28.431126761040446</v>
      </c>
      <c r="Z5571" s="9">
        <v>31.8133765751437</v>
      </c>
      <c r="AA5571" s="9">
        <v>31.8133765751437</v>
      </c>
      <c r="AB5571" s="9">
        <v>35.295439040248269</v>
      </c>
      <c r="AC5571" s="9">
        <v>35.295439040248269</v>
      </c>
      <c r="AD5571" s="9">
        <v>40.66038110622798</v>
      </c>
      <c r="AE5571" s="9">
        <v>44.145469767258199</v>
      </c>
      <c r="AF5571" s="9">
        <v>47.802065076832598</v>
      </c>
      <c r="AG5571" s="9">
        <v>47.802065076832598</v>
      </c>
      <c r="AH5571" s="9">
        <v>52.368463891218347</v>
      </c>
      <c r="AI5571" s="9">
        <v>56.090712435126555</v>
      </c>
      <c r="AJ5571" s="9">
        <v>3.0428788910505911</v>
      </c>
    </row>
    <row r="5572" spans="1:36" x14ac:dyDescent="0.25">
      <c r="A5572" t="s">
        <v>5411</v>
      </c>
      <c r="B5572" t="s">
        <v>16</v>
      </c>
      <c r="C5572" t="s">
        <v>17</v>
      </c>
      <c r="D5572">
        <v>95778000</v>
      </c>
      <c r="E5572">
        <v>95779999</v>
      </c>
      <c r="F5572" t="s">
        <v>5027</v>
      </c>
      <c r="G5572" t="str">
        <f t="shared" ref="G5572:G5635" si="174">H5572&amp;IF(J5572="CAPITAL","C",IF(J5572="INTERIOR","I",IF(J5572="INTERIOR II","I II","R")))</f>
        <v>RSI II</v>
      </c>
      <c r="H5572" t="s">
        <v>4915</v>
      </c>
      <c r="I5572" t="s">
        <v>20</v>
      </c>
      <c r="J5572" t="s">
        <v>64</v>
      </c>
      <c r="K5572" s="6">
        <v>0.03</v>
      </c>
      <c r="L5572" s="7">
        <f t="shared" ref="L5572:L5635" si="175">IF(I5572="(0) Não",0.2%,3%)</f>
        <v>2E-3</v>
      </c>
      <c r="M5572" s="7">
        <v>3.0000000000000001E-3</v>
      </c>
      <c r="N5572">
        <v>11</v>
      </c>
      <c r="O5572" s="8">
        <v>20.328747193832452</v>
      </c>
      <c r="P5572" s="9">
        <v>20.328747193832452</v>
      </c>
      <c r="Q5572" s="9">
        <v>20.328747193832452</v>
      </c>
      <c r="R5572" s="9">
        <v>20.901467178587069</v>
      </c>
      <c r="S5572" s="9">
        <v>21.789694031871221</v>
      </c>
      <c r="T5572" s="9">
        <v>22.685842380093916</v>
      </c>
      <c r="U5572" s="9">
        <v>25.139615720574728</v>
      </c>
      <c r="V5572" s="9">
        <v>25.139615720574728</v>
      </c>
      <c r="W5572" s="9">
        <v>25.139615720574728</v>
      </c>
      <c r="X5572" s="9">
        <v>28.431126761040446</v>
      </c>
      <c r="Y5572" s="9">
        <v>28.431126761040446</v>
      </c>
      <c r="Z5572" s="9">
        <v>31.8133765751437</v>
      </c>
      <c r="AA5572" s="9">
        <v>31.8133765751437</v>
      </c>
      <c r="AB5572" s="9">
        <v>35.295439040248269</v>
      </c>
      <c r="AC5572" s="9">
        <v>35.295439040248269</v>
      </c>
      <c r="AD5572" s="9">
        <v>40.66038110622798</v>
      </c>
      <c r="AE5572" s="9">
        <v>44.145469767258199</v>
      </c>
      <c r="AF5572" s="9">
        <v>47.802065076832598</v>
      </c>
      <c r="AG5572" s="9">
        <v>47.802065076832598</v>
      </c>
      <c r="AH5572" s="9">
        <v>52.368463891218347</v>
      </c>
      <c r="AI5572" s="9">
        <v>56.090712435126555</v>
      </c>
      <c r="AJ5572" s="9">
        <v>3.0428788910505911</v>
      </c>
    </row>
    <row r="5573" spans="1:36" x14ac:dyDescent="0.25">
      <c r="A5573" t="s">
        <v>5411</v>
      </c>
      <c r="B5573" t="s">
        <v>16</v>
      </c>
      <c r="C5573" t="s">
        <v>17</v>
      </c>
      <c r="D5573">
        <v>95780000</v>
      </c>
      <c r="E5573">
        <v>95782999</v>
      </c>
      <c r="F5573" t="s">
        <v>5028</v>
      </c>
      <c r="G5573" t="str">
        <f t="shared" si="174"/>
        <v>RSI</v>
      </c>
      <c r="H5573" t="s">
        <v>4915</v>
      </c>
      <c r="I5573" t="s">
        <v>20</v>
      </c>
      <c r="J5573" t="s">
        <v>62</v>
      </c>
      <c r="K5573" s="6">
        <v>0.03</v>
      </c>
      <c r="L5573" s="7">
        <f t="shared" si="175"/>
        <v>2E-3</v>
      </c>
      <c r="M5573" s="7">
        <v>3.0000000000000001E-3</v>
      </c>
      <c r="N5573">
        <v>9</v>
      </c>
      <c r="O5573" s="8">
        <v>17.509302802156309</v>
      </c>
      <c r="P5573" s="9">
        <v>17.509302802156309</v>
      </c>
      <c r="Q5573" s="9">
        <v>17.509302802156309</v>
      </c>
      <c r="R5573" s="9">
        <v>17.960073121579438</v>
      </c>
      <c r="S5573" s="9">
        <v>18.978426201825126</v>
      </c>
      <c r="T5573" s="9">
        <v>19.861619996324769</v>
      </c>
      <c r="U5573" s="9">
        <v>21.605211693624167</v>
      </c>
      <c r="V5573" s="9">
        <v>21.605211693624167</v>
      </c>
      <c r="W5573" s="9">
        <v>21.605211693624167</v>
      </c>
      <c r="X5573" s="9">
        <v>24.342346895578043</v>
      </c>
      <c r="Y5573" s="9">
        <v>24.342346895578043</v>
      </c>
      <c r="Z5573" s="9">
        <v>27.269806221922281</v>
      </c>
      <c r="AA5573" s="9">
        <v>27.269806221922281</v>
      </c>
      <c r="AB5573" s="9">
        <v>30.447232473217717</v>
      </c>
      <c r="AC5573" s="9">
        <v>30.447232473217717</v>
      </c>
      <c r="AD5573" s="9">
        <v>33.773696777878271</v>
      </c>
      <c r="AE5573" s="9">
        <v>37.668102449503657</v>
      </c>
      <c r="AF5573" s="9">
        <v>41.795656089883373</v>
      </c>
      <c r="AG5573" s="9">
        <v>41.795656089883373</v>
      </c>
      <c r="AH5573" s="9">
        <v>45.638668972740511</v>
      </c>
      <c r="AI5573" s="9">
        <v>49.380739592962819</v>
      </c>
      <c r="AJ5573" s="9">
        <v>3.0428788910505911</v>
      </c>
    </row>
    <row r="5574" spans="1:36" x14ac:dyDescent="0.25">
      <c r="A5574" t="s">
        <v>5411</v>
      </c>
      <c r="B5574" t="s">
        <v>16</v>
      </c>
      <c r="C5574" t="s">
        <v>17</v>
      </c>
      <c r="D5574">
        <v>95783000</v>
      </c>
      <c r="E5574">
        <v>95784999</v>
      </c>
      <c r="F5574" t="s">
        <v>5029</v>
      </c>
      <c r="G5574" t="str">
        <f t="shared" si="174"/>
        <v>RSI II</v>
      </c>
      <c r="H5574" t="s">
        <v>4915</v>
      </c>
      <c r="I5574" t="s">
        <v>20</v>
      </c>
      <c r="J5574" t="s">
        <v>64</v>
      </c>
      <c r="K5574" s="6">
        <v>0.03</v>
      </c>
      <c r="L5574" s="7">
        <f t="shared" si="175"/>
        <v>2E-3</v>
      </c>
      <c r="M5574" s="7">
        <v>3.0000000000000001E-3</v>
      </c>
      <c r="N5574">
        <v>11</v>
      </c>
      <c r="O5574" s="8">
        <v>20.328747193832452</v>
      </c>
      <c r="P5574" s="9">
        <v>20.328747193832452</v>
      </c>
      <c r="Q5574" s="9">
        <v>20.328747193832452</v>
      </c>
      <c r="R5574" s="9">
        <v>20.901467178587069</v>
      </c>
      <c r="S5574" s="9">
        <v>21.789694031871221</v>
      </c>
      <c r="T5574" s="9">
        <v>22.685842380093916</v>
      </c>
      <c r="U5574" s="9">
        <v>25.139615720574728</v>
      </c>
      <c r="V5574" s="9">
        <v>25.139615720574728</v>
      </c>
      <c r="W5574" s="9">
        <v>25.139615720574728</v>
      </c>
      <c r="X5574" s="9">
        <v>28.431126761040446</v>
      </c>
      <c r="Y5574" s="9">
        <v>28.431126761040446</v>
      </c>
      <c r="Z5574" s="9">
        <v>31.8133765751437</v>
      </c>
      <c r="AA5574" s="9">
        <v>31.8133765751437</v>
      </c>
      <c r="AB5574" s="9">
        <v>35.295439040248269</v>
      </c>
      <c r="AC5574" s="9">
        <v>35.295439040248269</v>
      </c>
      <c r="AD5574" s="9">
        <v>40.66038110622798</v>
      </c>
      <c r="AE5574" s="9">
        <v>44.145469767258199</v>
      </c>
      <c r="AF5574" s="9">
        <v>47.802065076832598</v>
      </c>
      <c r="AG5574" s="9">
        <v>47.802065076832598</v>
      </c>
      <c r="AH5574" s="9">
        <v>52.368463891218347</v>
      </c>
      <c r="AI5574" s="9">
        <v>56.090712435126555</v>
      </c>
      <c r="AJ5574" s="9">
        <v>3.0428788910505911</v>
      </c>
    </row>
    <row r="5575" spans="1:36" x14ac:dyDescent="0.25">
      <c r="A5575" t="s">
        <v>5411</v>
      </c>
      <c r="B5575" t="s">
        <v>16</v>
      </c>
      <c r="C5575" t="s">
        <v>17</v>
      </c>
      <c r="D5575">
        <v>95785000</v>
      </c>
      <c r="E5575">
        <v>95789999</v>
      </c>
      <c r="F5575" t="s">
        <v>5030</v>
      </c>
      <c r="G5575" t="str">
        <f t="shared" si="174"/>
        <v>RSI II</v>
      </c>
      <c r="H5575" t="s">
        <v>4915</v>
      </c>
      <c r="I5575" t="s">
        <v>20</v>
      </c>
      <c r="J5575" t="s">
        <v>64</v>
      </c>
      <c r="K5575" s="6">
        <v>0.03</v>
      </c>
      <c r="L5575" s="7">
        <f t="shared" si="175"/>
        <v>2E-3</v>
      </c>
      <c r="M5575" s="7">
        <v>3.0000000000000001E-3</v>
      </c>
      <c r="N5575">
        <v>11</v>
      </c>
      <c r="O5575" s="8">
        <v>20.328747193832452</v>
      </c>
      <c r="P5575" s="9">
        <v>20.328747193832452</v>
      </c>
      <c r="Q5575" s="9">
        <v>20.328747193832452</v>
      </c>
      <c r="R5575" s="9">
        <v>20.901467178587069</v>
      </c>
      <c r="S5575" s="9">
        <v>21.789694031871221</v>
      </c>
      <c r="T5575" s="9">
        <v>22.685842380093916</v>
      </c>
      <c r="U5575" s="9">
        <v>25.139615720574728</v>
      </c>
      <c r="V5575" s="9">
        <v>25.139615720574728</v>
      </c>
      <c r="W5575" s="9">
        <v>25.139615720574728</v>
      </c>
      <c r="X5575" s="9">
        <v>28.431126761040446</v>
      </c>
      <c r="Y5575" s="9">
        <v>28.431126761040446</v>
      </c>
      <c r="Z5575" s="9">
        <v>31.8133765751437</v>
      </c>
      <c r="AA5575" s="9">
        <v>31.8133765751437</v>
      </c>
      <c r="AB5575" s="9">
        <v>35.295439040248269</v>
      </c>
      <c r="AC5575" s="9">
        <v>35.295439040248269</v>
      </c>
      <c r="AD5575" s="9">
        <v>40.66038110622798</v>
      </c>
      <c r="AE5575" s="9">
        <v>44.145469767258199</v>
      </c>
      <c r="AF5575" s="9">
        <v>47.802065076832598</v>
      </c>
      <c r="AG5575" s="9">
        <v>47.802065076832598</v>
      </c>
      <c r="AH5575" s="9">
        <v>52.368463891218347</v>
      </c>
      <c r="AI5575" s="9">
        <v>56.090712435126555</v>
      </c>
      <c r="AJ5575" s="9">
        <v>3.0428788910505911</v>
      </c>
    </row>
    <row r="5576" spans="1:36" x14ac:dyDescent="0.25">
      <c r="A5576" t="s">
        <v>5411</v>
      </c>
      <c r="B5576" t="s">
        <v>16</v>
      </c>
      <c r="C5576" t="s">
        <v>17</v>
      </c>
      <c r="D5576">
        <v>95790000</v>
      </c>
      <c r="E5576">
        <v>95792999</v>
      </c>
      <c r="F5576" t="s">
        <v>5031</v>
      </c>
      <c r="G5576" t="str">
        <f t="shared" si="174"/>
        <v>RSI II</v>
      </c>
      <c r="H5576" t="s">
        <v>4915</v>
      </c>
      <c r="I5576" t="s">
        <v>20</v>
      </c>
      <c r="J5576" t="s">
        <v>64</v>
      </c>
      <c r="K5576" s="6">
        <v>0.03</v>
      </c>
      <c r="L5576" s="7">
        <f t="shared" si="175"/>
        <v>2E-3</v>
      </c>
      <c r="M5576" s="7">
        <v>3.0000000000000001E-3</v>
      </c>
      <c r="N5576">
        <v>11</v>
      </c>
      <c r="O5576" s="8">
        <v>20.328747193832452</v>
      </c>
      <c r="P5576" s="9">
        <v>20.328747193832452</v>
      </c>
      <c r="Q5576" s="9">
        <v>20.328747193832452</v>
      </c>
      <c r="R5576" s="9">
        <v>20.901467178587069</v>
      </c>
      <c r="S5576" s="9">
        <v>21.789694031871221</v>
      </c>
      <c r="T5576" s="9">
        <v>22.685842380093916</v>
      </c>
      <c r="U5576" s="9">
        <v>25.139615720574728</v>
      </c>
      <c r="V5576" s="9">
        <v>25.139615720574728</v>
      </c>
      <c r="W5576" s="9">
        <v>25.139615720574728</v>
      </c>
      <c r="X5576" s="9">
        <v>28.431126761040446</v>
      </c>
      <c r="Y5576" s="9">
        <v>28.431126761040446</v>
      </c>
      <c r="Z5576" s="9">
        <v>31.8133765751437</v>
      </c>
      <c r="AA5576" s="9">
        <v>31.8133765751437</v>
      </c>
      <c r="AB5576" s="9">
        <v>35.295439040248269</v>
      </c>
      <c r="AC5576" s="9">
        <v>35.295439040248269</v>
      </c>
      <c r="AD5576" s="9">
        <v>40.66038110622798</v>
      </c>
      <c r="AE5576" s="9">
        <v>44.145469767258199</v>
      </c>
      <c r="AF5576" s="9">
        <v>47.802065076832598</v>
      </c>
      <c r="AG5576" s="9">
        <v>47.802065076832598</v>
      </c>
      <c r="AH5576" s="9">
        <v>52.368463891218347</v>
      </c>
      <c r="AI5576" s="9">
        <v>56.090712435126555</v>
      </c>
      <c r="AJ5576" s="9">
        <v>3.0428788910505911</v>
      </c>
    </row>
    <row r="5577" spans="1:36" x14ac:dyDescent="0.25">
      <c r="A5577" t="s">
        <v>5411</v>
      </c>
      <c r="B5577" t="s">
        <v>16</v>
      </c>
      <c r="C5577" t="s">
        <v>17</v>
      </c>
      <c r="D5577">
        <v>95793000</v>
      </c>
      <c r="E5577">
        <v>95794999</v>
      </c>
      <c r="F5577" t="s">
        <v>5032</v>
      </c>
      <c r="G5577" t="str">
        <f t="shared" si="174"/>
        <v>RSI II</v>
      </c>
      <c r="H5577" t="s">
        <v>4915</v>
      </c>
      <c r="I5577" t="s">
        <v>20</v>
      </c>
      <c r="J5577" t="s">
        <v>64</v>
      </c>
      <c r="K5577" s="6">
        <v>0.03</v>
      </c>
      <c r="L5577" s="7">
        <f t="shared" si="175"/>
        <v>2E-3</v>
      </c>
      <c r="M5577" s="7">
        <v>3.0000000000000001E-3</v>
      </c>
      <c r="N5577">
        <v>11</v>
      </c>
      <c r="O5577" s="8">
        <v>20.328747193832452</v>
      </c>
      <c r="P5577" s="9">
        <v>20.328747193832452</v>
      </c>
      <c r="Q5577" s="9">
        <v>20.328747193832452</v>
      </c>
      <c r="R5577" s="9">
        <v>20.901467178587069</v>
      </c>
      <c r="S5577" s="9">
        <v>21.789694031871221</v>
      </c>
      <c r="T5577" s="9">
        <v>22.685842380093916</v>
      </c>
      <c r="U5577" s="9">
        <v>25.139615720574728</v>
      </c>
      <c r="V5577" s="9">
        <v>25.139615720574728</v>
      </c>
      <c r="W5577" s="9">
        <v>25.139615720574728</v>
      </c>
      <c r="X5577" s="9">
        <v>28.431126761040446</v>
      </c>
      <c r="Y5577" s="9">
        <v>28.431126761040446</v>
      </c>
      <c r="Z5577" s="9">
        <v>31.8133765751437</v>
      </c>
      <c r="AA5577" s="9">
        <v>31.8133765751437</v>
      </c>
      <c r="AB5577" s="9">
        <v>35.295439040248269</v>
      </c>
      <c r="AC5577" s="9">
        <v>35.295439040248269</v>
      </c>
      <c r="AD5577" s="9">
        <v>40.66038110622798</v>
      </c>
      <c r="AE5577" s="9">
        <v>44.145469767258199</v>
      </c>
      <c r="AF5577" s="9">
        <v>47.802065076832598</v>
      </c>
      <c r="AG5577" s="9">
        <v>47.802065076832598</v>
      </c>
      <c r="AH5577" s="9">
        <v>52.368463891218347</v>
      </c>
      <c r="AI5577" s="9">
        <v>56.090712435126555</v>
      </c>
      <c r="AJ5577" s="9">
        <v>3.0428788910505911</v>
      </c>
    </row>
    <row r="5578" spans="1:36" x14ac:dyDescent="0.25">
      <c r="A5578" t="s">
        <v>5411</v>
      </c>
      <c r="B5578" t="s">
        <v>16</v>
      </c>
      <c r="C5578" t="s">
        <v>17</v>
      </c>
      <c r="D5578">
        <v>95795000</v>
      </c>
      <c r="E5578">
        <v>95799999</v>
      </c>
      <c r="F5578" t="s">
        <v>5033</v>
      </c>
      <c r="G5578" t="str">
        <f t="shared" si="174"/>
        <v>RSI II</v>
      </c>
      <c r="H5578" t="s">
        <v>4915</v>
      </c>
      <c r="I5578" t="s">
        <v>20</v>
      </c>
      <c r="J5578" t="s">
        <v>64</v>
      </c>
      <c r="K5578" s="6">
        <v>0.03</v>
      </c>
      <c r="L5578" s="7">
        <f t="shared" si="175"/>
        <v>2E-3</v>
      </c>
      <c r="M5578" s="7">
        <v>3.0000000000000001E-3</v>
      </c>
      <c r="N5578">
        <v>11</v>
      </c>
      <c r="O5578" s="8">
        <v>20.328747193832452</v>
      </c>
      <c r="P5578" s="9">
        <v>20.328747193832452</v>
      </c>
      <c r="Q5578" s="9">
        <v>20.328747193832452</v>
      </c>
      <c r="R5578" s="9">
        <v>20.901467178587069</v>
      </c>
      <c r="S5578" s="9">
        <v>21.789694031871221</v>
      </c>
      <c r="T5578" s="9">
        <v>22.685842380093916</v>
      </c>
      <c r="U5578" s="9">
        <v>25.139615720574728</v>
      </c>
      <c r="V5578" s="9">
        <v>25.139615720574728</v>
      </c>
      <c r="W5578" s="9">
        <v>25.139615720574728</v>
      </c>
      <c r="X5578" s="9">
        <v>28.431126761040446</v>
      </c>
      <c r="Y5578" s="9">
        <v>28.431126761040446</v>
      </c>
      <c r="Z5578" s="9">
        <v>31.8133765751437</v>
      </c>
      <c r="AA5578" s="9">
        <v>31.8133765751437</v>
      </c>
      <c r="AB5578" s="9">
        <v>35.295439040248269</v>
      </c>
      <c r="AC5578" s="9">
        <v>35.295439040248269</v>
      </c>
      <c r="AD5578" s="9">
        <v>40.66038110622798</v>
      </c>
      <c r="AE5578" s="9">
        <v>44.145469767258199</v>
      </c>
      <c r="AF5578" s="9">
        <v>47.802065076832598</v>
      </c>
      <c r="AG5578" s="9">
        <v>47.802065076832598</v>
      </c>
      <c r="AH5578" s="9">
        <v>52.368463891218347</v>
      </c>
      <c r="AI5578" s="9">
        <v>56.090712435126555</v>
      </c>
      <c r="AJ5578" s="9">
        <v>3.0428788910505911</v>
      </c>
    </row>
    <row r="5579" spans="1:36" x14ac:dyDescent="0.25">
      <c r="A5579" t="s">
        <v>5411</v>
      </c>
      <c r="B5579" t="s">
        <v>16</v>
      </c>
      <c r="C5579" t="s">
        <v>17</v>
      </c>
      <c r="D5579">
        <v>95800000</v>
      </c>
      <c r="E5579">
        <v>95819999</v>
      </c>
      <c r="F5579" t="s">
        <v>5034</v>
      </c>
      <c r="G5579" t="str">
        <f t="shared" si="174"/>
        <v>RSI</v>
      </c>
      <c r="H5579" t="s">
        <v>4915</v>
      </c>
      <c r="I5579" t="s">
        <v>20</v>
      </c>
      <c r="J5579" t="s">
        <v>62</v>
      </c>
      <c r="K5579" s="6">
        <v>0.03</v>
      </c>
      <c r="L5579" s="7">
        <f t="shared" si="175"/>
        <v>2E-3</v>
      </c>
      <c r="M5579" s="7">
        <v>3.0000000000000001E-3</v>
      </c>
      <c r="N5579">
        <v>9</v>
      </c>
      <c r="O5579" s="8">
        <v>17.509302802156309</v>
      </c>
      <c r="P5579" s="9">
        <v>17.509302802156309</v>
      </c>
      <c r="Q5579" s="9">
        <v>17.509302802156309</v>
      </c>
      <c r="R5579" s="9">
        <v>17.960073121579438</v>
      </c>
      <c r="S5579" s="9">
        <v>18.978426201825126</v>
      </c>
      <c r="T5579" s="9">
        <v>19.861619996324769</v>
      </c>
      <c r="U5579" s="9">
        <v>21.605211693624167</v>
      </c>
      <c r="V5579" s="9">
        <v>21.605211693624167</v>
      </c>
      <c r="W5579" s="9">
        <v>21.605211693624167</v>
      </c>
      <c r="X5579" s="9">
        <v>24.342346895578043</v>
      </c>
      <c r="Y5579" s="9">
        <v>24.342346895578043</v>
      </c>
      <c r="Z5579" s="9">
        <v>27.269806221922281</v>
      </c>
      <c r="AA5579" s="9">
        <v>27.269806221922281</v>
      </c>
      <c r="AB5579" s="9">
        <v>30.447232473217717</v>
      </c>
      <c r="AC5579" s="9">
        <v>30.447232473217717</v>
      </c>
      <c r="AD5579" s="9">
        <v>33.773696777878271</v>
      </c>
      <c r="AE5579" s="9">
        <v>37.668102449503657</v>
      </c>
      <c r="AF5579" s="9">
        <v>41.795656089883373</v>
      </c>
      <c r="AG5579" s="9">
        <v>41.795656089883373</v>
      </c>
      <c r="AH5579" s="9">
        <v>45.638668972740511</v>
      </c>
      <c r="AI5579" s="9">
        <v>49.380739592962819</v>
      </c>
      <c r="AJ5579" s="9">
        <v>3.0428788910505911</v>
      </c>
    </row>
    <row r="5580" spans="1:36" x14ac:dyDescent="0.25">
      <c r="A5580" t="s">
        <v>5411</v>
      </c>
      <c r="B5580" t="s">
        <v>16</v>
      </c>
      <c r="C5580" t="s">
        <v>17</v>
      </c>
      <c r="D5580">
        <v>95820000</v>
      </c>
      <c r="E5580">
        <v>95832999</v>
      </c>
      <c r="F5580" t="s">
        <v>5035</v>
      </c>
      <c r="G5580" t="str">
        <f t="shared" si="174"/>
        <v>RSI II</v>
      </c>
      <c r="H5580" t="s">
        <v>4915</v>
      </c>
      <c r="I5580" t="s">
        <v>20</v>
      </c>
      <c r="J5580" t="s">
        <v>64</v>
      </c>
      <c r="K5580" s="6">
        <v>0.03</v>
      </c>
      <c r="L5580" s="7">
        <f t="shared" si="175"/>
        <v>2E-3</v>
      </c>
      <c r="M5580" s="7">
        <v>3.0000000000000001E-3</v>
      </c>
      <c r="N5580">
        <v>10</v>
      </c>
      <c r="O5580" s="8">
        <v>20.328747193832452</v>
      </c>
      <c r="P5580" s="9">
        <v>20.328747193832452</v>
      </c>
      <c r="Q5580" s="9">
        <v>20.328747193832452</v>
      </c>
      <c r="R5580" s="9">
        <v>20.901467178587069</v>
      </c>
      <c r="S5580" s="9">
        <v>21.789694031871221</v>
      </c>
      <c r="T5580" s="9">
        <v>22.685842380093916</v>
      </c>
      <c r="U5580" s="9">
        <v>25.139615720574728</v>
      </c>
      <c r="V5580" s="9">
        <v>25.139615720574728</v>
      </c>
      <c r="W5580" s="9">
        <v>25.139615720574728</v>
      </c>
      <c r="X5580" s="9">
        <v>28.431126761040446</v>
      </c>
      <c r="Y5580" s="9">
        <v>28.431126761040446</v>
      </c>
      <c r="Z5580" s="9">
        <v>31.8133765751437</v>
      </c>
      <c r="AA5580" s="9">
        <v>31.8133765751437</v>
      </c>
      <c r="AB5580" s="9">
        <v>35.295439040248269</v>
      </c>
      <c r="AC5580" s="9">
        <v>35.295439040248269</v>
      </c>
      <c r="AD5580" s="9">
        <v>40.66038110622798</v>
      </c>
      <c r="AE5580" s="9">
        <v>44.145469767258199</v>
      </c>
      <c r="AF5580" s="9">
        <v>47.802065076832598</v>
      </c>
      <c r="AG5580" s="9">
        <v>47.802065076832598</v>
      </c>
      <c r="AH5580" s="9">
        <v>52.368463891218347</v>
      </c>
      <c r="AI5580" s="9">
        <v>56.090712435126555</v>
      </c>
      <c r="AJ5580" s="9">
        <v>3.0428788910505911</v>
      </c>
    </row>
    <row r="5581" spans="1:36" x14ac:dyDescent="0.25">
      <c r="A5581" t="s">
        <v>5411</v>
      </c>
      <c r="B5581" t="s">
        <v>16</v>
      </c>
      <c r="C5581" t="s">
        <v>17</v>
      </c>
      <c r="D5581">
        <v>95833000</v>
      </c>
      <c r="E5581">
        <v>95834999</v>
      </c>
      <c r="F5581" t="s">
        <v>5036</v>
      </c>
      <c r="G5581" t="str">
        <f t="shared" si="174"/>
        <v>RSI II</v>
      </c>
      <c r="H5581" t="s">
        <v>4915</v>
      </c>
      <c r="I5581" t="s">
        <v>20</v>
      </c>
      <c r="J5581" t="s">
        <v>64</v>
      </c>
      <c r="K5581" s="6">
        <v>0.03</v>
      </c>
      <c r="L5581" s="7">
        <f t="shared" si="175"/>
        <v>2E-3</v>
      </c>
      <c r="M5581" s="7">
        <v>3.0000000000000001E-3</v>
      </c>
      <c r="N5581">
        <v>11</v>
      </c>
      <c r="O5581" s="8">
        <v>20.328747193832452</v>
      </c>
      <c r="P5581" s="9">
        <v>20.328747193832452</v>
      </c>
      <c r="Q5581" s="9">
        <v>20.328747193832452</v>
      </c>
      <c r="R5581" s="9">
        <v>20.901467178587069</v>
      </c>
      <c r="S5581" s="9">
        <v>21.789694031871221</v>
      </c>
      <c r="T5581" s="9">
        <v>22.685842380093916</v>
      </c>
      <c r="U5581" s="9">
        <v>25.139615720574728</v>
      </c>
      <c r="V5581" s="9">
        <v>25.139615720574728</v>
      </c>
      <c r="W5581" s="9">
        <v>25.139615720574728</v>
      </c>
      <c r="X5581" s="9">
        <v>28.431126761040446</v>
      </c>
      <c r="Y5581" s="9">
        <v>28.431126761040446</v>
      </c>
      <c r="Z5581" s="9">
        <v>31.8133765751437</v>
      </c>
      <c r="AA5581" s="9">
        <v>31.8133765751437</v>
      </c>
      <c r="AB5581" s="9">
        <v>35.295439040248269</v>
      </c>
      <c r="AC5581" s="9">
        <v>35.295439040248269</v>
      </c>
      <c r="AD5581" s="9">
        <v>40.66038110622798</v>
      </c>
      <c r="AE5581" s="9">
        <v>44.145469767258199</v>
      </c>
      <c r="AF5581" s="9">
        <v>47.802065076832598</v>
      </c>
      <c r="AG5581" s="9">
        <v>47.802065076832598</v>
      </c>
      <c r="AH5581" s="9">
        <v>52.368463891218347</v>
      </c>
      <c r="AI5581" s="9">
        <v>56.090712435126555</v>
      </c>
      <c r="AJ5581" s="9">
        <v>3.0428788910505911</v>
      </c>
    </row>
    <row r="5582" spans="1:36" x14ac:dyDescent="0.25">
      <c r="A5582" t="s">
        <v>5411</v>
      </c>
      <c r="B5582" t="s">
        <v>16</v>
      </c>
      <c r="C5582" t="s">
        <v>17</v>
      </c>
      <c r="D5582">
        <v>95835000</v>
      </c>
      <c r="E5582">
        <v>95839999</v>
      </c>
      <c r="F5582" t="s">
        <v>5037</v>
      </c>
      <c r="G5582" t="str">
        <f t="shared" si="174"/>
        <v>RSI II</v>
      </c>
      <c r="H5582" t="s">
        <v>4915</v>
      </c>
      <c r="I5582" t="s">
        <v>20</v>
      </c>
      <c r="J5582" t="s">
        <v>64</v>
      </c>
      <c r="K5582" s="6">
        <v>0.03</v>
      </c>
      <c r="L5582" s="7">
        <f t="shared" si="175"/>
        <v>2E-3</v>
      </c>
      <c r="M5582" s="7">
        <v>3.0000000000000001E-3</v>
      </c>
      <c r="N5582">
        <v>11</v>
      </c>
      <c r="O5582" s="8">
        <v>20.328747193832452</v>
      </c>
      <c r="P5582" s="9">
        <v>20.328747193832452</v>
      </c>
      <c r="Q5582" s="9">
        <v>20.328747193832452</v>
      </c>
      <c r="R5582" s="9">
        <v>20.901467178587069</v>
      </c>
      <c r="S5582" s="9">
        <v>21.789694031871221</v>
      </c>
      <c r="T5582" s="9">
        <v>22.685842380093916</v>
      </c>
      <c r="U5582" s="9">
        <v>25.139615720574728</v>
      </c>
      <c r="V5582" s="9">
        <v>25.139615720574728</v>
      </c>
      <c r="W5582" s="9">
        <v>25.139615720574728</v>
      </c>
      <c r="X5582" s="9">
        <v>28.431126761040446</v>
      </c>
      <c r="Y5582" s="9">
        <v>28.431126761040446</v>
      </c>
      <c r="Z5582" s="9">
        <v>31.8133765751437</v>
      </c>
      <c r="AA5582" s="9">
        <v>31.8133765751437</v>
      </c>
      <c r="AB5582" s="9">
        <v>35.295439040248269</v>
      </c>
      <c r="AC5582" s="9">
        <v>35.295439040248269</v>
      </c>
      <c r="AD5582" s="9">
        <v>40.66038110622798</v>
      </c>
      <c r="AE5582" s="9">
        <v>44.145469767258199</v>
      </c>
      <c r="AF5582" s="9">
        <v>47.802065076832598</v>
      </c>
      <c r="AG5582" s="9">
        <v>47.802065076832598</v>
      </c>
      <c r="AH5582" s="9">
        <v>52.368463891218347</v>
      </c>
      <c r="AI5582" s="9">
        <v>56.090712435126555</v>
      </c>
      <c r="AJ5582" s="9">
        <v>3.0428788910505911</v>
      </c>
    </row>
    <row r="5583" spans="1:36" x14ac:dyDescent="0.25">
      <c r="A5583" t="s">
        <v>5411</v>
      </c>
      <c r="B5583" t="s">
        <v>16</v>
      </c>
      <c r="C5583" t="s">
        <v>17</v>
      </c>
      <c r="D5583">
        <v>95840000</v>
      </c>
      <c r="E5583">
        <v>95859999</v>
      </c>
      <c r="F5583" t="s">
        <v>2366</v>
      </c>
      <c r="G5583" t="str">
        <f t="shared" si="174"/>
        <v>RSI II</v>
      </c>
      <c r="H5583" t="s">
        <v>4915</v>
      </c>
      <c r="I5583" t="s">
        <v>20</v>
      </c>
      <c r="J5583" t="s">
        <v>64</v>
      </c>
      <c r="K5583" s="6">
        <v>0.03</v>
      </c>
      <c r="L5583" s="7">
        <f t="shared" si="175"/>
        <v>2E-3</v>
      </c>
      <c r="M5583" s="7">
        <v>3.0000000000000001E-3</v>
      </c>
      <c r="N5583">
        <v>11</v>
      </c>
      <c r="O5583" s="8">
        <v>20.328747193832452</v>
      </c>
      <c r="P5583" s="9">
        <v>20.328747193832452</v>
      </c>
      <c r="Q5583" s="9">
        <v>20.328747193832452</v>
      </c>
      <c r="R5583" s="9">
        <v>20.901467178587069</v>
      </c>
      <c r="S5583" s="9">
        <v>21.789694031871221</v>
      </c>
      <c r="T5583" s="9">
        <v>22.685842380093916</v>
      </c>
      <c r="U5583" s="9">
        <v>25.139615720574728</v>
      </c>
      <c r="V5583" s="9">
        <v>25.139615720574728</v>
      </c>
      <c r="W5583" s="9">
        <v>25.139615720574728</v>
      </c>
      <c r="X5583" s="9">
        <v>28.431126761040446</v>
      </c>
      <c r="Y5583" s="9">
        <v>28.431126761040446</v>
      </c>
      <c r="Z5583" s="9">
        <v>31.8133765751437</v>
      </c>
      <c r="AA5583" s="9">
        <v>31.8133765751437</v>
      </c>
      <c r="AB5583" s="9">
        <v>35.295439040248269</v>
      </c>
      <c r="AC5583" s="9">
        <v>35.295439040248269</v>
      </c>
      <c r="AD5583" s="9">
        <v>40.66038110622798</v>
      </c>
      <c r="AE5583" s="9">
        <v>44.145469767258199</v>
      </c>
      <c r="AF5583" s="9">
        <v>47.802065076832598</v>
      </c>
      <c r="AG5583" s="9">
        <v>47.802065076832598</v>
      </c>
      <c r="AH5583" s="9">
        <v>52.368463891218347</v>
      </c>
      <c r="AI5583" s="9">
        <v>56.090712435126555</v>
      </c>
      <c r="AJ5583" s="9">
        <v>3.0428788910505911</v>
      </c>
    </row>
    <row r="5584" spans="1:36" x14ac:dyDescent="0.25">
      <c r="A5584" t="s">
        <v>5411</v>
      </c>
      <c r="B5584" t="s">
        <v>16</v>
      </c>
      <c r="C5584" t="s">
        <v>17</v>
      </c>
      <c r="D5584">
        <v>95860000</v>
      </c>
      <c r="E5584">
        <v>95862999</v>
      </c>
      <c r="F5584" t="s">
        <v>5038</v>
      </c>
      <c r="G5584" t="str">
        <f t="shared" si="174"/>
        <v>RSI II</v>
      </c>
      <c r="H5584" t="s">
        <v>4915</v>
      </c>
      <c r="I5584" t="s">
        <v>20</v>
      </c>
      <c r="J5584" t="s">
        <v>64</v>
      </c>
      <c r="K5584" s="6">
        <v>0.03</v>
      </c>
      <c r="L5584" s="7">
        <f t="shared" si="175"/>
        <v>2E-3</v>
      </c>
      <c r="M5584" s="7">
        <v>3.0000000000000001E-3</v>
      </c>
      <c r="N5584">
        <v>11</v>
      </c>
      <c r="O5584" s="8">
        <v>20.328747193832452</v>
      </c>
      <c r="P5584" s="9">
        <v>20.328747193832452</v>
      </c>
      <c r="Q5584" s="9">
        <v>20.328747193832452</v>
      </c>
      <c r="R5584" s="9">
        <v>20.901467178587069</v>
      </c>
      <c r="S5584" s="9">
        <v>21.789694031871221</v>
      </c>
      <c r="T5584" s="9">
        <v>22.685842380093916</v>
      </c>
      <c r="U5584" s="9">
        <v>25.139615720574728</v>
      </c>
      <c r="V5584" s="9">
        <v>25.139615720574728</v>
      </c>
      <c r="W5584" s="9">
        <v>25.139615720574728</v>
      </c>
      <c r="X5584" s="9">
        <v>28.431126761040446</v>
      </c>
      <c r="Y5584" s="9">
        <v>28.431126761040446</v>
      </c>
      <c r="Z5584" s="9">
        <v>31.8133765751437</v>
      </c>
      <c r="AA5584" s="9">
        <v>31.8133765751437</v>
      </c>
      <c r="AB5584" s="9">
        <v>35.295439040248269</v>
      </c>
      <c r="AC5584" s="9">
        <v>35.295439040248269</v>
      </c>
      <c r="AD5584" s="9">
        <v>40.66038110622798</v>
      </c>
      <c r="AE5584" s="9">
        <v>44.145469767258199</v>
      </c>
      <c r="AF5584" s="9">
        <v>47.802065076832598</v>
      </c>
      <c r="AG5584" s="9">
        <v>47.802065076832598</v>
      </c>
      <c r="AH5584" s="9">
        <v>52.368463891218347</v>
      </c>
      <c r="AI5584" s="9">
        <v>56.090712435126555</v>
      </c>
      <c r="AJ5584" s="9">
        <v>3.0428788910505911</v>
      </c>
    </row>
    <row r="5585" spans="1:36" x14ac:dyDescent="0.25">
      <c r="A5585" t="s">
        <v>5411</v>
      </c>
      <c r="B5585" t="s">
        <v>16</v>
      </c>
      <c r="C5585" t="s">
        <v>17</v>
      </c>
      <c r="D5585">
        <v>95863000</v>
      </c>
      <c r="E5585">
        <v>95864999</v>
      </c>
      <c r="F5585" t="s">
        <v>5039</v>
      </c>
      <c r="G5585" t="str">
        <f t="shared" si="174"/>
        <v>RSI II</v>
      </c>
      <c r="H5585" t="s">
        <v>4915</v>
      </c>
      <c r="I5585" t="s">
        <v>20</v>
      </c>
      <c r="J5585" t="s">
        <v>64</v>
      </c>
      <c r="K5585" s="6">
        <v>0.03</v>
      </c>
      <c r="L5585" s="7">
        <f t="shared" si="175"/>
        <v>2E-3</v>
      </c>
      <c r="M5585" s="7">
        <v>3.0000000000000001E-3</v>
      </c>
      <c r="N5585">
        <v>11</v>
      </c>
      <c r="O5585" s="8">
        <v>20.328747193832452</v>
      </c>
      <c r="P5585" s="9">
        <v>20.328747193832452</v>
      </c>
      <c r="Q5585" s="9">
        <v>20.328747193832452</v>
      </c>
      <c r="R5585" s="9">
        <v>20.901467178587069</v>
      </c>
      <c r="S5585" s="9">
        <v>21.789694031871221</v>
      </c>
      <c r="T5585" s="9">
        <v>22.685842380093916</v>
      </c>
      <c r="U5585" s="9">
        <v>25.139615720574728</v>
      </c>
      <c r="V5585" s="9">
        <v>25.139615720574728</v>
      </c>
      <c r="W5585" s="9">
        <v>25.139615720574728</v>
      </c>
      <c r="X5585" s="9">
        <v>28.431126761040446</v>
      </c>
      <c r="Y5585" s="9">
        <v>28.431126761040446</v>
      </c>
      <c r="Z5585" s="9">
        <v>31.8133765751437</v>
      </c>
      <c r="AA5585" s="9">
        <v>31.8133765751437</v>
      </c>
      <c r="AB5585" s="9">
        <v>35.295439040248269</v>
      </c>
      <c r="AC5585" s="9">
        <v>35.295439040248269</v>
      </c>
      <c r="AD5585" s="9">
        <v>40.66038110622798</v>
      </c>
      <c r="AE5585" s="9">
        <v>44.145469767258199</v>
      </c>
      <c r="AF5585" s="9">
        <v>47.802065076832598</v>
      </c>
      <c r="AG5585" s="9">
        <v>47.802065076832598</v>
      </c>
      <c r="AH5585" s="9">
        <v>52.368463891218347</v>
      </c>
      <c r="AI5585" s="9">
        <v>56.090712435126555</v>
      </c>
      <c r="AJ5585" s="9">
        <v>3.0428788910505911</v>
      </c>
    </row>
    <row r="5586" spans="1:36" x14ac:dyDescent="0.25">
      <c r="A5586" t="s">
        <v>5411</v>
      </c>
      <c r="B5586" t="s">
        <v>16</v>
      </c>
      <c r="C5586" t="s">
        <v>17</v>
      </c>
      <c r="D5586">
        <v>95865000</v>
      </c>
      <c r="E5586">
        <v>95869999</v>
      </c>
      <c r="F5586" t="s">
        <v>5040</v>
      </c>
      <c r="G5586" t="str">
        <f t="shared" si="174"/>
        <v>RSI II</v>
      </c>
      <c r="H5586" t="s">
        <v>4915</v>
      </c>
      <c r="I5586" t="s">
        <v>20</v>
      </c>
      <c r="J5586" t="s">
        <v>64</v>
      </c>
      <c r="K5586" s="6">
        <v>0.03</v>
      </c>
      <c r="L5586" s="7">
        <f t="shared" si="175"/>
        <v>2E-3</v>
      </c>
      <c r="M5586" s="7">
        <v>3.0000000000000001E-3</v>
      </c>
      <c r="N5586">
        <v>11</v>
      </c>
      <c r="O5586" s="8">
        <v>20.328747193832452</v>
      </c>
      <c r="P5586" s="9">
        <v>20.328747193832452</v>
      </c>
      <c r="Q5586" s="9">
        <v>20.328747193832452</v>
      </c>
      <c r="R5586" s="9">
        <v>20.901467178587069</v>
      </c>
      <c r="S5586" s="9">
        <v>21.789694031871221</v>
      </c>
      <c r="T5586" s="9">
        <v>22.685842380093916</v>
      </c>
      <c r="U5586" s="9">
        <v>25.139615720574728</v>
      </c>
      <c r="V5586" s="9">
        <v>25.139615720574728</v>
      </c>
      <c r="W5586" s="9">
        <v>25.139615720574728</v>
      </c>
      <c r="X5586" s="9">
        <v>28.431126761040446</v>
      </c>
      <c r="Y5586" s="9">
        <v>28.431126761040446</v>
      </c>
      <c r="Z5586" s="9">
        <v>31.8133765751437</v>
      </c>
      <c r="AA5586" s="9">
        <v>31.8133765751437</v>
      </c>
      <c r="AB5586" s="9">
        <v>35.295439040248269</v>
      </c>
      <c r="AC5586" s="9">
        <v>35.295439040248269</v>
      </c>
      <c r="AD5586" s="9">
        <v>40.66038110622798</v>
      </c>
      <c r="AE5586" s="9">
        <v>44.145469767258199</v>
      </c>
      <c r="AF5586" s="9">
        <v>47.802065076832598</v>
      </c>
      <c r="AG5586" s="9">
        <v>47.802065076832598</v>
      </c>
      <c r="AH5586" s="9">
        <v>52.368463891218347</v>
      </c>
      <c r="AI5586" s="9">
        <v>56.090712435126555</v>
      </c>
      <c r="AJ5586" s="9">
        <v>3.0428788910505911</v>
      </c>
    </row>
    <row r="5587" spans="1:36" x14ac:dyDescent="0.25">
      <c r="A5587" t="s">
        <v>5411</v>
      </c>
      <c r="B5587" t="s">
        <v>16</v>
      </c>
      <c r="C5587" t="s">
        <v>17</v>
      </c>
      <c r="D5587">
        <v>95870000</v>
      </c>
      <c r="E5587">
        <v>95874999</v>
      </c>
      <c r="F5587" t="s">
        <v>5041</v>
      </c>
      <c r="G5587" t="str">
        <f t="shared" si="174"/>
        <v>RSI II</v>
      </c>
      <c r="H5587" t="s">
        <v>4915</v>
      </c>
      <c r="I5587" t="s">
        <v>20</v>
      </c>
      <c r="J5587" t="s">
        <v>64</v>
      </c>
      <c r="K5587" s="6">
        <v>0.03</v>
      </c>
      <c r="L5587" s="7">
        <f t="shared" si="175"/>
        <v>2E-3</v>
      </c>
      <c r="M5587" s="7">
        <v>3.0000000000000001E-3</v>
      </c>
      <c r="N5587">
        <v>11</v>
      </c>
      <c r="O5587" s="8">
        <v>20.328747193832452</v>
      </c>
      <c r="P5587" s="9">
        <v>20.328747193832452</v>
      </c>
      <c r="Q5587" s="9">
        <v>20.328747193832452</v>
      </c>
      <c r="R5587" s="9">
        <v>20.901467178587069</v>
      </c>
      <c r="S5587" s="9">
        <v>21.789694031871221</v>
      </c>
      <c r="T5587" s="9">
        <v>22.685842380093916</v>
      </c>
      <c r="U5587" s="9">
        <v>25.139615720574728</v>
      </c>
      <c r="V5587" s="9">
        <v>25.139615720574728</v>
      </c>
      <c r="W5587" s="9">
        <v>25.139615720574728</v>
      </c>
      <c r="X5587" s="9">
        <v>28.431126761040446</v>
      </c>
      <c r="Y5587" s="9">
        <v>28.431126761040446</v>
      </c>
      <c r="Z5587" s="9">
        <v>31.8133765751437</v>
      </c>
      <c r="AA5587" s="9">
        <v>31.8133765751437</v>
      </c>
      <c r="AB5587" s="9">
        <v>35.295439040248269</v>
      </c>
      <c r="AC5587" s="9">
        <v>35.295439040248269</v>
      </c>
      <c r="AD5587" s="9">
        <v>40.66038110622798</v>
      </c>
      <c r="AE5587" s="9">
        <v>44.145469767258199</v>
      </c>
      <c r="AF5587" s="9">
        <v>47.802065076832598</v>
      </c>
      <c r="AG5587" s="9">
        <v>47.802065076832598</v>
      </c>
      <c r="AH5587" s="9">
        <v>52.368463891218347</v>
      </c>
      <c r="AI5587" s="9">
        <v>56.090712435126555</v>
      </c>
      <c r="AJ5587" s="9">
        <v>3.0428788910505911</v>
      </c>
    </row>
    <row r="5588" spans="1:36" x14ac:dyDescent="0.25">
      <c r="A5588" t="s">
        <v>5411</v>
      </c>
      <c r="B5588" t="s">
        <v>16</v>
      </c>
      <c r="C5588" t="s">
        <v>17</v>
      </c>
      <c r="D5588">
        <v>95875000</v>
      </c>
      <c r="E5588">
        <v>95879999</v>
      </c>
      <c r="F5588" t="s">
        <v>5042</v>
      </c>
      <c r="G5588" t="str">
        <f t="shared" si="174"/>
        <v>RSI II</v>
      </c>
      <c r="H5588" t="s">
        <v>4915</v>
      </c>
      <c r="I5588" t="s">
        <v>20</v>
      </c>
      <c r="J5588" t="s">
        <v>64</v>
      </c>
      <c r="K5588" s="6">
        <v>0.03</v>
      </c>
      <c r="L5588" s="7">
        <f t="shared" si="175"/>
        <v>2E-3</v>
      </c>
      <c r="M5588" s="7">
        <v>3.0000000000000001E-3</v>
      </c>
      <c r="N5588">
        <v>11</v>
      </c>
      <c r="O5588" s="8">
        <v>20.328747193832452</v>
      </c>
      <c r="P5588" s="9">
        <v>20.328747193832452</v>
      </c>
      <c r="Q5588" s="9">
        <v>20.328747193832452</v>
      </c>
      <c r="R5588" s="9">
        <v>20.901467178587069</v>
      </c>
      <c r="S5588" s="9">
        <v>21.789694031871221</v>
      </c>
      <c r="T5588" s="9">
        <v>22.685842380093916</v>
      </c>
      <c r="U5588" s="9">
        <v>25.139615720574728</v>
      </c>
      <c r="V5588" s="9">
        <v>25.139615720574728</v>
      </c>
      <c r="W5588" s="9">
        <v>25.139615720574728</v>
      </c>
      <c r="X5588" s="9">
        <v>28.431126761040446</v>
      </c>
      <c r="Y5588" s="9">
        <v>28.431126761040446</v>
      </c>
      <c r="Z5588" s="9">
        <v>31.8133765751437</v>
      </c>
      <c r="AA5588" s="9">
        <v>31.8133765751437</v>
      </c>
      <c r="AB5588" s="9">
        <v>35.295439040248269</v>
      </c>
      <c r="AC5588" s="9">
        <v>35.295439040248269</v>
      </c>
      <c r="AD5588" s="9">
        <v>40.66038110622798</v>
      </c>
      <c r="AE5588" s="9">
        <v>44.145469767258199</v>
      </c>
      <c r="AF5588" s="9">
        <v>47.802065076832598</v>
      </c>
      <c r="AG5588" s="9">
        <v>47.802065076832598</v>
      </c>
      <c r="AH5588" s="9">
        <v>52.368463891218347</v>
      </c>
      <c r="AI5588" s="9">
        <v>56.090712435126555</v>
      </c>
      <c r="AJ5588" s="9">
        <v>3.0428788910505911</v>
      </c>
    </row>
    <row r="5589" spans="1:36" x14ac:dyDescent="0.25">
      <c r="A5589" t="s">
        <v>5411</v>
      </c>
      <c r="B5589" t="s">
        <v>16</v>
      </c>
      <c r="C5589" t="s">
        <v>17</v>
      </c>
      <c r="D5589">
        <v>95880000</v>
      </c>
      <c r="E5589">
        <v>95884999</v>
      </c>
      <c r="F5589" t="s">
        <v>5043</v>
      </c>
      <c r="G5589" t="str">
        <f t="shared" si="174"/>
        <v>RSI</v>
      </c>
      <c r="H5589" t="s">
        <v>4915</v>
      </c>
      <c r="I5589" t="s">
        <v>20</v>
      </c>
      <c r="J5589" t="s">
        <v>62</v>
      </c>
      <c r="K5589" s="6">
        <v>0.03</v>
      </c>
      <c r="L5589" s="7">
        <f t="shared" si="175"/>
        <v>2E-3</v>
      </c>
      <c r="M5589" s="7">
        <v>3.0000000000000001E-3</v>
      </c>
      <c r="N5589">
        <v>9</v>
      </c>
      <c r="O5589" s="8">
        <v>17.509302802156309</v>
      </c>
      <c r="P5589" s="9">
        <v>17.509302802156309</v>
      </c>
      <c r="Q5589" s="9">
        <v>17.509302802156309</v>
      </c>
      <c r="R5589" s="9">
        <v>17.960073121579438</v>
      </c>
      <c r="S5589" s="9">
        <v>18.978426201825126</v>
      </c>
      <c r="T5589" s="9">
        <v>19.861619996324769</v>
      </c>
      <c r="U5589" s="9">
        <v>21.605211693624167</v>
      </c>
      <c r="V5589" s="9">
        <v>21.605211693624167</v>
      </c>
      <c r="W5589" s="9">
        <v>21.605211693624167</v>
      </c>
      <c r="X5589" s="9">
        <v>24.342346895578043</v>
      </c>
      <c r="Y5589" s="9">
        <v>24.342346895578043</v>
      </c>
      <c r="Z5589" s="9">
        <v>27.269806221922281</v>
      </c>
      <c r="AA5589" s="9">
        <v>27.269806221922281</v>
      </c>
      <c r="AB5589" s="9">
        <v>30.447232473217717</v>
      </c>
      <c r="AC5589" s="9">
        <v>30.447232473217717</v>
      </c>
      <c r="AD5589" s="9">
        <v>33.773696777878271</v>
      </c>
      <c r="AE5589" s="9">
        <v>37.668102449503657</v>
      </c>
      <c r="AF5589" s="9">
        <v>41.795656089883373</v>
      </c>
      <c r="AG5589" s="9">
        <v>41.795656089883373</v>
      </c>
      <c r="AH5589" s="9">
        <v>45.638668972740511</v>
      </c>
      <c r="AI5589" s="9">
        <v>49.380739592962819</v>
      </c>
      <c r="AJ5589" s="9">
        <v>3.0428788910505911</v>
      </c>
    </row>
    <row r="5590" spans="1:36" x14ac:dyDescent="0.25">
      <c r="A5590" t="s">
        <v>5411</v>
      </c>
      <c r="B5590" t="s">
        <v>16</v>
      </c>
      <c r="C5590" t="s">
        <v>17</v>
      </c>
      <c r="D5590">
        <v>95885000</v>
      </c>
      <c r="E5590">
        <v>95889999</v>
      </c>
      <c r="F5590" t="s">
        <v>5044</v>
      </c>
      <c r="G5590" t="str">
        <f t="shared" si="174"/>
        <v>RSI II</v>
      </c>
      <c r="H5590" t="s">
        <v>4915</v>
      </c>
      <c r="I5590" t="s">
        <v>20</v>
      </c>
      <c r="J5590" t="s">
        <v>64</v>
      </c>
      <c r="K5590" s="6">
        <v>0.03</v>
      </c>
      <c r="L5590" s="7">
        <f t="shared" si="175"/>
        <v>2E-3</v>
      </c>
      <c r="M5590" s="7">
        <v>3.0000000000000001E-3</v>
      </c>
      <c r="N5590">
        <v>11</v>
      </c>
      <c r="O5590" s="8">
        <v>20.328747193832452</v>
      </c>
      <c r="P5590" s="9">
        <v>20.328747193832452</v>
      </c>
      <c r="Q5590" s="9">
        <v>20.328747193832452</v>
      </c>
      <c r="R5590" s="9">
        <v>20.901467178587069</v>
      </c>
      <c r="S5590" s="9">
        <v>21.789694031871221</v>
      </c>
      <c r="T5590" s="9">
        <v>22.685842380093916</v>
      </c>
      <c r="U5590" s="9">
        <v>25.139615720574728</v>
      </c>
      <c r="V5590" s="9">
        <v>25.139615720574728</v>
      </c>
      <c r="W5590" s="9">
        <v>25.139615720574728</v>
      </c>
      <c r="X5590" s="9">
        <v>28.431126761040446</v>
      </c>
      <c r="Y5590" s="9">
        <v>28.431126761040446</v>
      </c>
      <c r="Z5590" s="9">
        <v>31.8133765751437</v>
      </c>
      <c r="AA5590" s="9">
        <v>31.8133765751437</v>
      </c>
      <c r="AB5590" s="9">
        <v>35.295439040248269</v>
      </c>
      <c r="AC5590" s="9">
        <v>35.295439040248269</v>
      </c>
      <c r="AD5590" s="9">
        <v>40.66038110622798</v>
      </c>
      <c r="AE5590" s="9">
        <v>44.145469767258199</v>
      </c>
      <c r="AF5590" s="9">
        <v>47.802065076832598</v>
      </c>
      <c r="AG5590" s="9">
        <v>47.802065076832598</v>
      </c>
      <c r="AH5590" s="9">
        <v>52.368463891218347</v>
      </c>
      <c r="AI5590" s="9">
        <v>56.090712435126555</v>
      </c>
      <c r="AJ5590" s="9">
        <v>3.0428788910505911</v>
      </c>
    </row>
    <row r="5591" spans="1:36" x14ac:dyDescent="0.25">
      <c r="A5591" t="s">
        <v>5411</v>
      </c>
      <c r="B5591" t="s">
        <v>16</v>
      </c>
      <c r="C5591" t="s">
        <v>17</v>
      </c>
      <c r="D5591">
        <v>95890000</v>
      </c>
      <c r="E5591">
        <v>95892999</v>
      </c>
      <c r="F5591" t="s">
        <v>5045</v>
      </c>
      <c r="G5591" t="str">
        <f t="shared" si="174"/>
        <v>RSI</v>
      </c>
      <c r="H5591" t="s">
        <v>4915</v>
      </c>
      <c r="I5591" t="s">
        <v>20</v>
      </c>
      <c r="J5591" t="s">
        <v>62</v>
      </c>
      <c r="K5591" s="6">
        <v>0.03</v>
      </c>
      <c r="L5591" s="7">
        <f t="shared" si="175"/>
        <v>2E-3</v>
      </c>
      <c r="M5591" s="7">
        <v>3.0000000000000001E-3</v>
      </c>
      <c r="N5591">
        <v>9</v>
      </c>
      <c r="O5591" s="8">
        <v>17.509302802156309</v>
      </c>
      <c r="P5591" s="9">
        <v>17.509302802156309</v>
      </c>
      <c r="Q5591" s="9">
        <v>17.509302802156309</v>
      </c>
      <c r="R5591" s="9">
        <v>17.960073121579438</v>
      </c>
      <c r="S5591" s="9">
        <v>18.978426201825126</v>
      </c>
      <c r="T5591" s="9">
        <v>19.861619996324769</v>
      </c>
      <c r="U5591" s="9">
        <v>21.605211693624167</v>
      </c>
      <c r="V5591" s="9">
        <v>21.605211693624167</v>
      </c>
      <c r="W5591" s="9">
        <v>21.605211693624167</v>
      </c>
      <c r="X5591" s="9">
        <v>24.342346895578043</v>
      </c>
      <c r="Y5591" s="9">
        <v>24.342346895578043</v>
      </c>
      <c r="Z5591" s="9">
        <v>27.269806221922281</v>
      </c>
      <c r="AA5591" s="9">
        <v>27.269806221922281</v>
      </c>
      <c r="AB5591" s="9">
        <v>30.447232473217717</v>
      </c>
      <c r="AC5591" s="9">
        <v>30.447232473217717</v>
      </c>
      <c r="AD5591" s="9">
        <v>33.773696777878271</v>
      </c>
      <c r="AE5591" s="9">
        <v>37.668102449503657</v>
      </c>
      <c r="AF5591" s="9">
        <v>41.795656089883373</v>
      </c>
      <c r="AG5591" s="9">
        <v>41.795656089883373</v>
      </c>
      <c r="AH5591" s="9">
        <v>45.638668972740511</v>
      </c>
      <c r="AI5591" s="9">
        <v>49.380739592962819</v>
      </c>
      <c r="AJ5591" s="9">
        <v>3.0428788910505911</v>
      </c>
    </row>
    <row r="5592" spans="1:36" x14ac:dyDescent="0.25">
      <c r="A5592" t="s">
        <v>5411</v>
      </c>
      <c r="B5592" t="s">
        <v>16</v>
      </c>
      <c r="C5592" t="s">
        <v>17</v>
      </c>
      <c r="D5592">
        <v>95893000</v>
      </c>
      <c r="E5592">
        <v>95894999</v>
      </c>
      <c r="F5592" t="s">
        <v>5046</v>
      </c>
      <c r="G5592" t="str">
        <f t="shared" si="174"/>
        <v>RSI II</v>
      </c>
      <c r="H5592" t="s">
        <v>4915</v>
      </c>
      <c r="I5592" t="s">
        <v>20</v>
      </c>
      <c r="J5592" t="s">
        <v>64</v>
      </c>
      <c r="K5592" s="6">
        <v>0.03</v>
      </c>
      <c r="L5592" s="7">
        <f t="shared" si="175"/>
        <v>2E-3</v>
      </c>
      <c r="M5592" s="7">
        <v>3.0000000000000001E-3</v>
      </c>
      <c r="N5592">
        <v>11</v>
      </c>
      <c r="O5592" s="8">
        <v>20.328747193832452</v>
      </c>
      <c r="P5592" s="9">
        <v>20.328747193832452</v>
      </c>
      <c r="Q5592" s="9">
        <v>20.328747193832452</v>
      </c>
      <c r="R5592" s="9">
        <v>20.901467178587069</v>
      </c>
      <c r="S5592" s="9">
        <v>21.789694031871221</v>
      </c>
      <c r="T5592" s="9">
        <v>22.685842380093916</v>
      </c>
      <c r="U5592" s="9">
        <v>25.139615720574728</v>
      </c>
      <c r="V5592" s="9">
        <v>25.139615720574728</v>
      </c>
      <c r="W5592" s="9">
        <v>25.139615720574728</v>
      </c>
      <c r="X5592" s="9">
        <v>28.431126761040446</v>
      </c>
      <c r="Y5592" s="9">
        <v>28.431126761040446</v>
      </c>
      <c r="Z5592" s="9">
        <v>31.8133765751437</v>
      </c>
      <c r="AA5592" s="9">
        <v>31.8133765751437</v>
      </c>
      <c r="AB5592" s="9">
        <v>35.295439040248269</v>
      </c>
      <c r="AC5592" s="9">
        <v>35.295439040248269</v>
      </c>
      <c r="AD5592" s="9">
        <v>40.66038110622798</v>
      </c>
      <c r="AE5592" s="9">
        <v>44.145469767258199</v>
      </c>
      <c r="AF5592" s="9">
        <v>47.802065076832598</v>
      </c>
      <c r="AG5592" s="9">
        <v>47.802065076832598</v>
      </c>
      <c r="AH5592" s="9">
        <v>52.368463891218347</v>
      </c>
      <c r="AI5592" s="9">
        <v>56.090712435126555</v>
      </c>
      <c r="AJ5592" s="9">
        <v>3.0428788910505911</v>
      </c>
    </row>
    <row r="5593" spans="1:36" x14ac:dyDescent="0.25">
      <c r="A5593" t="s">
        <v>5411</v>
      </c>
      <c r="B5593" t="s">
        <v>16</v>
      </c>
      <c r="C5593" t="s">
        <v>17</v>
      </c>
      <c r="D5593">
        <v>95895000</v>
      </c>
      <c r="E5593">
        <v>95899999</v>
      </c>
      <c r="F5593" t="s">
        <v>3336</v>
      </c>
      <c r="G5593" t="str">
        <f t="shared" si="174"/>
        <v>RSI II</v>
      </c>
      <c r="H5593" t="s">
        <v>4915</v>
      </c>
      <c r="I5593" t="s">
        <v>20</v>
      </c>
      <c r="J5593" t="s">
        <v>64</v>
      </c>
      <c r="K5593" s="6">
        <v>0.03</v>
      </c>
      <c r="L5593" s="7">
        <f t="shared" si="175"/>
        <v>2E-3</v>
      </c>
      <c r="M5593" s="7">
        <v>3.0000000000000001E-3</v>
      </c>
      <c r="N5593">
        <v>11</v>
      </c>
      <c r="O5593" s="8">
        <v>20.328747193832452</v>
      </c>
      <c r="P5593" s="9">
        <v>20.328747193832452</v>
      </c>
      <c r="Q5593" s="9">
        <v>20.328747193832452</v>
      </c>
      <c r="R5593" s="9">
        <v>20.901467178587069</v>
      </c>
      <c r="S5593" s="9">
        <v>21.789694031871221</v>
      </c>
      <c r="T5593" s="9">
        <v>22.685842380093916</v>
      </c>
      <c r="U5593" s="9">
        <v>25.139615720574728</v>
      </c>
      <c r="V5593" s="9">
        <v>25.139615720574728</v>
      </c>
      <c r="W5593" s="9">
        <v>25.139615720574728</v>
      </c>
      <c r="X5593" s="9">
        <v>28.431126761040446</v>
      </c>
      <c r="Y5593" s="9">
        <v>28.431126761040446</v>
      </c>
      <c r="Z5593" s="9">
        <v>31.8133765751437</v>
      </c>
      <c r="AA5593" s="9">
        <v>31.8133765751437</v>
      </c>
      <c r="AB5593" s="9">
        <v>35.295439040248269</v>
      </c>
      <c r="AC5593" s="9">
        <v>35.295439040248269</v>
      </c>
      <c r="AD5593" s="9">
        <v>40.66038110622798</v>
      </c>
      <c r="AE5593" s="9">
        <v>44.145469767258199</v>
      </c>
      <c r="AF5593" s="9">
        <v>47.802065076832598</v>
      </c>
      <c r="AG5593" s="9">
        <v>47.802065076832598</v>
      </c>
      <c r="AH5593" s="9">
        <v>52.368463891218347</v>
      </c>
      <c r="AI5593" s="9">
        <v>56.090712435126555</v>
      </c>
      <c r="AJ5593" s="9">
        <v>3.0428788910505911</v>
      </c>
    </row>
    <row r="5594" spans="1:36" x14ac:dyDescent="0.25">
      <c r="A5594" t="s">
        <v>5411</v>
      </c>
      <c r="B5594" t="s">
        <v>16</v>
      </c>
      <c r="C5594" t="s">
        <v>17</v>
      </c>
      <c r="D5594">
        <v>95900000</v>
      </c>
      <c r="E5594">
        <v>95914999</v>
      </c>
      <c r="F5594" t="s">
        <v>4011</v>
      </c>
      <c r="G5594" t="str">
        <f t="shared" si="174"/>
        <v>RSI</v>
      </c>
      <c r="H5594" t="s">
        <v>4915</v>
      </c>
      <c r="I5594" t="s">
        <v>20</v>
      </c>
      <c r="J5594" t="s">
        <v>62</v>
      </c>
      <c r="K5594" s="6">
        <v>0.03</v>
      </c>
      <c r="L5594" s="7">
        <f t="shared" si="175"/>
        <v>2E-3</v>
      </c>
      <c r="M5594" s="7">
        <v>3.0000000000000001E-3</v>
      </c>
      <c r="N5594">
        <v>9</v>
      </c>
      <c r="O5594" s="8">
        <v>17.509302802156309</v>
      </c>
      <c r="P5594" s="9">
        <v>17.509302802156309</v>
      </c>
      <c r="Q5594" s="9">
        <v>17.509302802156309</v>
      </c>
      <c r="R5594" s="9">
        <v>17.960073121579438</v>
      </c>
      <c r="S5594" s="9">
        <v>18.978426201825126</v>
      </c>
      <c r="T5594" s="9">
        <v>19.861619996324769</v>
      </c>
      <c r="U5594" s="9">
        <v>21.605211693624167</v>
      </c>
      <c r="V5594" s="9">
        <v>21.605211693624167</v>
      </c>
      <c r="W5594" s="9">
        <v>21.605211693624167</v>
      </c>
      <c r="X5594" s="9">
        <v>24.342346895578043</v>
      </c>
      <c r="Y5594" s="9">
        <v>24.342346895578043</v>
      </c>
      <c r="Z5594" s="9">
        <v>27.269806221922281</v>
      </c>
      <c r="AA5594" s="9">
        <v>27.269806221922281</v>
      </c>
      <c r="AB5594" s="9">
        <v>30.447232473217717</v>
      </c>
      <c r="AC5594" s="9">
        <v>30.447232473217717</v>
      </c>
      <c r="AD5594" s="9">
        <v>33.773696777878271</v>
      </c>
      <c r="AE5594" s="9">
        <v>37.668102449503657</v>
      </c>
      <c r="AF5594" s="9">
        <v>41.795656089883373</v>
      </c>
      <c r="AG5594" s="9">
        <v>41.795656089883373</v>
      </c>
      <c r="AH5594" s="9">
        <v>45.638668972740511</v>
      </c>
      <c r="AI5594" s="9">
        <v>49.380739592962819</v>
      </c>
      <c r="AJ5594" s="9">
        <v>3.0428788910505911</v>
      </c>
    </row>
    <row r="5595" spans="1:36" x14ac:dyDescent="0.25">
      <c r="A5595" t="s">
        <v>5411</v>
      </c>
      <c r="B5595" t="s">
        <v>16</v>
      </c>
      <c r="C5595" t="s">
        <v>17</v>
      </c>
      <c r="D5595">
        <v>95915000</v>
      </c>
      <c r="E5595">
        <v>95917999</v>
      </c>
      <c r="F5595" t="s">
        <v>5047</v>
      </c>
      <c r="G5595" t="str">
        <f t="shared" si="174"/>
        <v>RSI II</v>
      </c>
      <c r="H5595" t="s">
        <v>4915</v>
      </c>
      <c r="I5595" t="s">
        <v>20</v>
      </c>
      <c r="J5595" t="s">
        <v>64</v>
      </c>
      <c r="K5595" s="6">
        <v>0.03</v>
      </c>
      <c r="L5595" s="7">
        <f t="shared" si="175"/>
        <v>2E-3</v>
      </c>
      <c r="M5595" s="7">
        <v>3.0000000000000001E-3</v>
      </c>
      <c r="N5595">
        <v>11</v>
      </c>
      <c r="O5595" s="8">
        <v>20.328747193832452</v>
      </c>
      <c r="P5595" s="9">
        <v>20.328747193832452</v>
      </c>
      <c r="Q5595" s="9">
        <v>20.328747193832452</v>
      </c>
      <c r="R5595" s="9">
        <v>20.901467178587069</v>
      </c>
      <c r="S5595" s="9">
        <v>21.789694031871221</v>
      </c>
      <c r="T5595" s="9">
        <v>22.685842380093916</v>
      </c>
      <c r="U5595" s="9">
        <v>25.139615720574728</v>
      </c>
      <c r="V5595" s="9">
        <v>25.139615720574728</v>
      </c>
      <c r="W5595" s="9">
        <v>25.139615720574728</v>
      </c>
      <c r="X5595" s="9">
        <v>28.431126761040446</v>
      </c>
      <c r="Y5595" s="9">
        <v>28.431126761040446</v>
      </c>
      <c r="Z5595" s="9">
        <v>31.8133765751437</v>
      </c>
      <c r="AA5595" s="9">
        <v>31.8133765751437</v>
      </c>
      <c r="AB5595" s="9">
        <v>35.295439040248269</v>
      </c>
      <c r="AC5595" s="9">
        <v>35.295439040248269</v>
      </c>
      <c r="AD5595" s="9">
        <v>40.66038110622798</v>
      </c>
      <c r="AE5595" s="9">
        <v>44.145469767258199</v>
      </c>
      <c r="AF5595" s="9">
        <v>47.802065076832598</v>
      </c>
      <c r="AG5595" s="9">
        <v>47.802065076832598</v>
      </c>
      <c r="AH5595" s="9">
        <v>52.368463891218347</v>
      </c>
      <c r="AI5595" s="9">
        <v>56.090712435126555</v>
      </c>
      <c r="AJ5595" s="9">
        <v>3.0428788910505911</v>
      </c>
    </row>
    <row r="5596" spans="1:36" x14ac:dyDescent="0.25">
      <c r="A5596" t="s">
        <v>5411</v>
      </c>
      <c r="B5596" t="s">
        <v>16</v>
      </c>
      <c r="C5596" t="s">
        <v>17</v>
      </c>
      <c r="D5596">
        <v>95918000</v>
      </c>
      <c r="E5596">
        <v>95919999</v>
      </c>
      <c r="F5596" t="s">
        <v>5048</v>
      </c>
      <c r="G5596" t="str">
        <f t="shared" si="174"/>
        <v>RSI II</v>
      </c>
      <c r="H5596" t="s">
        <v>4915</v>
      </c>
      <c r="I5596" t="s">
        <v>20</v>
      </c>
      <c r="J5596" t="s">
        <v>64</v>
      </c>
      <c r="K5596" s="6">
        <v>0.03</v>
      </c>
      <c r="L5596" s="7">
        <f t="shared" si="175"/>
        <v>2E-3</v>
      </c>
      <c r="M5596" s="7">
        <v>3.0000000000000001E-3</v>
      </c>
      <c r="N5596">
        <v>11</v>
      </c>
      <c r="O5596" s="8">
        <v>20.328747193832452</v>
      </c>
      <c r="P5596" s="9">
        <v>20.328747193832452</v>
      </c>
      <c r="Q5596" s="9">
        <v>20.328747193832452</v>
      </c>
      <c r="R5596" s="9">
        <v>20.901467178587069</v>
      </c>
      <c r="S5596" s="9">
        <v>21.789694031871221</v>
      </c>
      <c r="T5596" s="9">
        <v>22.685842380093916</v>
      </c>
      <c r="U5596" s="9">
        <v>25.139615720574728</v>
      </c>
      <c r="V5596" s="9">
        <v>25.139615720574728</v>
      </c>
      <c r="W5596" s="9">
        <v>25.139615720574728</v>
      </c>
      <c r="X5596" s="9">
        <v>28.431126761040446</v>
      </c>
      <c r="Y5596" s="9">
        <v>28.431126761040446</v>
      </c>
      <c r="Z5596" s="9">
        <v>31.8133765751437</v>
      </c>
      <c r="AA5596" s="9">
        <v>31.8133765751437</v>
      </c>
      <c r="AB5596" s="9">
        <v>35.295439040248269</v>
      </c>
      <c r="AC5596" s="9">
        <v>35.295439040248269</v>
      </c>
      <c r="AD5596" s="9">
        <v>40.66038110622798</v>
      </c>
      <c r="AE5596" s="9">
        <v>44.145469767258199</v>
      </c>
      <c r="AF5596" s="9">
        <v>47.802065076832598</v>
      </c>
      <c r="AG5596" s="9">
        <v>47.802065076832598</v>
      </c>
      <c r="AH5596" s="9">
        <v>52.368463891218347</v>
      </c>
      <c r="AI5596" s="9">
        <v>56.090712435126555</v>
      </c>
      <c r="AJ5596" s="9">
        <v>3.0428788910505911</v>
      </c>
    </row>
    <row r="5597" spans="1:36" x14ac:dyDescent="0.25">
      <c r="A5597" t="s">
        <v>5411</v>
      </c>
      <c r="B5597" t="s">
        <v>16</v>
      </c>
      <c r="C5597" t="s">
        <v>17</v>
      </c>
      <c r="D5597">
        <v>95920000</v>
      </c>
      <c r="E5597">
        <v>95922999</v>
      </c>
      <c r="F5597" t="s">
        <v>5049</v>
      </c>
      <c r="G5597" t="str">
        <f t="shared" si="174"/>
        <v>RSI II</v>
      </c>
      <c r="H5597" t="s">
        <v>4915</v>
      </c>
      <c r="I5597" t="s">
        <v>20</v>
      </c>
      <c r="J5597" t="s">
        <v>64</v>
      </c>
      <c r="K5597" s="6">
        <v>0.03</v>
      </c>
      <c r="L5597" s="7">
        <f t="shared" si="175"/>
        <v>2E-3</v>
      </c>
      <c r="M5597" s="7">
        <v>3.0000000000000001E-3</v>
      </c>
      <c r="N5597">
        <v>11</v>
      </c>
      <c r="O5597" s="8">
        <v>20.328747193832452</v>
      </c>
      <c r="P5597" s="9">
        <v>20.328747193832452</v>
      </c>
      <c r="Q5597" s="9">
        <v>20.328747193832452</v>
      </c>
      <c r="R5597" s="9">
        <v>20.901467178587069</v>
      </c>
      <c r="S5597" s="9">
        <v>21.789694031871221</v>
      </c>
      <c r="T5597" s="9">
        <v>22.685842380093916</v>
      </c>
      <c r="U5597" s="9">
        <v>25.139615720574728</v>
      </c>
      <c r="V5597" s="9">
        <v>25.139615720574728</v>
      </c>
      <c r="W5597" s="9">
        <v>25.139615720574728</v>
      </c>
      <c r="X5597" s="9">
        <v>28.431126761040446</v>
      </c>
      <c r="Y5597" s="9">
        <v>28.431126761040446</v>
      </c>
      <c r="Z5597" s="9">
        <v>31.8133765751437</v>
      </c>
      <c r="AA5597" s="9">
        <v>31.8133765751437</v>
      </c>
      <c r="AB5597" s="9">
        <v>35.295439040248269</v>
      </c>
      <c r="AC5597" s="9">
        <v>35.295439040248269</v>
      </c>
      <c r="AD5597" s="9">
        <v>40.66038110622798</v>
      </c>
      <c r="AE5597" s="9">
        <v>44.145469767258199</v>
      </c>
      <c r="AF5597" s="9">
        <v>47.802065076832598</v>
      </c>
      <c r="AG5597" s="9">
        <v>47.802065076832598</v>
      </c>
      <c r="AH5597" s="9">
        <v>52.368463891218347</v>
      </c>
      <c r="AI5597" s="9">
        <v>56.090712435126555</v>
      </c>
      <c r="AJ5597" s="9">
        <v>3.0428788910505911</v>
      </c>
    </row>
    <row r="5598" spans="1:36" x14ac:dyDescent="0.25">
      <c r="A5598" t="s">
        <v>5411</v>
      </c>
      <c r="B5598" t="s">
        <v>16</v>
      </c>
      <c r="C5598" t="s">
        <v>17</v>
      </c>
      <c r="D5598">
        <v>95923000</v>
      </c>
      <c r="E5598">
        <v>95924999</v>
      </c>
      <c r="F5598" t="s">
        <v>5050</v>
      </c>
      <c r="G5598" t="str">
        <f t="shared" si="174"/>
        <v>RSI II</v>
      </c>
      <c r="H5598" t="s">
        <v>4915</v>
      </c>
      <c r="I5598" t="s">
        <v>20</v>
      </c>
      <c r="J5598" t="s">
        <v>64</v>
      </c>
      <c r="K5598" s="6">
        <v>0.03</v>
      </c>
      <c r="L5598" s="7">
        <f t="shared" si="175"/>
        <v>2E-3</v>
      </c>
      <c r="M5598" s="7">
        <v>3.0000000000000001E-3</v>
      </c>
      <c r="N5598">
        <v>11</v>
      </c>
      <c r="O5598" s="8">
        <v>20.328747193832452</v>
      </c>
      <c r="P5598" s="9">
        <v>20.328747193832452</v>
      </c>
      <c r="Q5598" s="9">
        <v>20.328747193832452</v>
      </c>
      <c r="R5598" s="9">
        <v>20.901467178587069</v>
      </c>
      <c r="S5598" s="9">
        <v>21.789694031871221</v>
      </c>
      <c r="T5598" s="9">
        <v>22.685842380093916</v>
      </c>
      <c r="U5598" s="9">
        <v>25.139615720574728</v>
      </c>
      <c r="V5598" s="9">
        <v>25.139615720574728</v>
      </c>
      <c r="W5598" s="9">
        <v>25.139615720574728</v>
      </c>
      <c r="X5598" s="9">
        <v>28.431126761040446</v>
      </c>
      <c r="Y5598" s="9">
        <v>28.431126761040446</v>
      </c>
      <c r="Z5598" s="9">
        <v>31.8133765751437</v>
      </c>
      <c r="AA5598" s="9">
        <v>31.8133765751437</v>
      </c>
      <c r="AB5598" s="9">
        <v>35.295439040248269</v>
      </c>
      <c r="AC5598" s="9">
        <v>35.295439040248269</v>
      </c>
      <c r="AD5598" s="9">
        <v>40.66038110622798</v>
      </c>
      <c r="AE5598" s="9">
        <v>44.145469767258199</v>
      </c>
      <c r="AF5598" s="9">
        <v>47.802065076832598</v>
      </c>
      <c r="AG5598" s="9">
        <v>47.802065076832598</v>
      </c>
      <c r="AH5598" s="9">
        <v>52.368463891218347</v>
      </c>
      <c r="AI5598" s="9">
        <v>56.090712435126555</v>
      </c>
      <c r="AJ5598" s="9">
        <v>3.0428788910505911</v>
      </c>
    </row>
    <row r="5599" spans="1:36" x14ac:dyDescent="0.25">
      <c r="A5599" t="s">
        <v>5411</v>
      </c>
      <c r="B5599" t="s">
        <v>16</v>
      </c>
      <c r="C5599" t="s">
        <v>17</v>
      </c>
      <c r="D5599">
        <v>95925000</v>
      </c>
      <c r="E5599">
        <v>95929999</v>
      </c>
      <c r="F5599" t="s">
        <v>5051</v>
      </c>
      <c r="G5599" t="str">
        <f t="shared" si="174"/>
        <v>RSI II</v>
      </c>
      <c r="H5599" t="s">
        <v>4915</v>
      </c>
      <c r="I5599" t="s">
        <v>20</v>
      </c>
      <c r="J5599" t="s">
        <v>64</v>
      </c>
      <c r="K5599" s="6">
        <v>0.03</v>
      </c>
      <c r="L5599" s="7">
        <f t="shared" si="175"/>
        <v>2E-3</v>
      </c>
      <c r="M5599" s="7">
        <v>3.0000000000000001E-3</v>
      </c>
      <c r="N5599">
        <v>11</v>
      </c>
      <c r="O5599" s="8">
        <v>20.328747193832452</v>
      </c>
      <c r="P5599" s="9">
        <v>20.328747193832452</v>
      </c>
      <c r="Q5599" s="9">
        <v>20.328747193832452</v>
      </c>
      <c r="R5599" s="9">
        <v>20.901467178587069</v>
      </c>
      <c r="S5599" s="9">
        <v>21.789694031871221</v>
      </c>
      <c r="T5599" s="9">
        <v>22.685842380093916</v>
      </c>
      <c r="U5599" s="9">
        <v>25.139615720574728</v>
      </c>
      <c r="V5599" s="9">
        <v>25.139615720574728</v>
      </c>
      <c r="W5599" s="9">
        <v>25.139615720574728</v>
      </c>
      <c r="X5599" s="9">
        <v>28.431126761040446</v>
      </c>
      <c r="Y5599" s="9">
        <v>28.431126761040446</v>
      </c>
      <c r="Z5599" s="9">
        <v>31.8133765751437</v>
      </c>
      <c r="AA5599" s="9">
        <v>31.8133765751437</v>
      </c>
      <c r="AB5599" s="9">
        <v>35.295439040248269</v>
      </c>
      <c r="AC5599" s="9">
        <v>35.295439040248269</v>
      </c>
      <c r="AD5599" s="9">
        <v>40.66038110622798</v>
      </c>
      <c r="AE5599" s="9">
        <v>44.145469767258199</v>
      </c>
      <c r="AF5599" s="9">
        <v>47.802065076832598</v>
      </c>
      <c r="AG5599" s="9">
        <v>47.802065076832598</v>
      </c>
      <c r="AH5599" s="9">
        <v>52.368463891218347</v>
      </c>
      <c r="AI5599" s="9">
        <v>56.090712435126555</v>
      </c>
      <c r="AJ5599" s="9">
        <v>3.0428788910505911</v>
      </c>
    </row>
    <row r="5600" spans="1:36" x14ac:dyDescent="0.25">
      <c r="A5600" t="s">
        <v>5411</v>
      </c>
      <c r="B5600" t="s">
        <v>16</v>
      </c>
      <c r="C5600" t="s">
        <v>17</v>
      </c>
      <c r="D5600">
        <v>95930000</v>
      </c>
      <c r="E5600">
        <v>95932999</v>
      </c>
      <c r="F5600" t="s">
        <v>3664</v>
      </c>
      <c r="G5600" t="str">
        <f t="shared" si="174"/>
        <v>RSI II</v>
      </c>
      <c r="H5600" t="s">
        <v>4915</v>
      </c>
      <c r="I5600" t="s">
        <v>20</v>
      </c>
      <c r="J5600" t="s">
        <v>64</v>
      </c>
      <c r="K5600" s="6">
        <v>0.03</v>
      </c>
      <c r="L5600" s="7">
        <f t="shared" si="175"/>
        <v>2E-3</v>
      </c>
      <c r="M5600" s="7">
        <v>3.0000000000000001E-3</v>
      </c>
      <c r="N5600">
        <v>11</v>
      </c>
      <c r="O5600" s="8">
        <v>20.328747193832452</v>
      </c>
      <c r="P5600" s="9">
        <v>20.328747193832452</v>
      </c>
      <c r="Q5600" s="9">
        <v>20.328747193832452</v>
      </c>
      <c r="R5600" s="9">
        <v>20.901467178587069</v>
      </c>
      <c r="S5600" s="9">
        <v>21.789694031871221</v>
      </c>
      <c r="T5600" s="9">
        <v>22.685842380093916</v>
      </c>
      <c r="U5600" s="9">
        <v>25.139615720574728</v>
      </c>
      <c r="V5600" s="9">
        <v>25.139615720574728</v>
      </c>
      <c r="W5600" s="9">
        <v>25.139615720574728</v>
      </c>
      <c r="X5600" s="9">
        <v>28.431126761040446</v>
      </c>
      <c r="Y5600" s="9">
        <v>28.431126761040446</v>
      </c>
      <c r="Z5600" s="9">
        <v>31.8133765751437</v>
      </c>
      <c r="AA5600" s="9">
        <v>31.8133765751437</v>
      </c>
      <c r="AB5600" s="9">
        <v>35.295439040248269</v>
      </c>
      <c r="AC5600" s="9">
        <v>35.295439040248269</v>
      </c>
      <c r="AD5600" s="9">
        <v>40.66038110622798</v>
      </c>
      <c r="AE5600" s="9">
        <v>44.145469767258199</v>
      </c>
      <c r="AF5600" s="9">
        <v>47.802065076832598</v>
      </c>
      <c r="AG5600" s="9">
        <v>47.802065076832598</v>
      </c>
      <c r="AH5600" s="9">
        <v>52.368463891218347</v>
      </c>
      <c r="AI5600" s="9">
        <v>56.090712435126555</v>
      </c>
      <c r="AJ5600" s="9">
        <v>3.0428788910505911</v>
      </c>
    </row>
    <row r="5601" spans="1:36" x14ac:dyDescent="0.25">
      <c r="A5601" t="s">
        <v>5411</v>
      </c>
      <c r="B5601" t="s">
        <v>16</v>
      </c>
      <c r="C5601" t="s">
        <v>17</v>
      </c>
      <c r="D5601">
        <v>95933000</v>
      </c>
      <c r="E5601">
        <v>95934999</v>
      </c>
      <c r="F5601" t="s">
        <v>5052</v>
      </c>
      <c r="G5601" t="str">
        <f t="shared" si="174"/>
        <v>RSI II</v>
      </c>
      <c r="H5601" t="s">
        <v>4915</v>
      </c>
      <c r="I5601" t="s">
        <v>20</v>
      </c>
      <c r="J5601" t="s">
        <v>64</v>
      </c>
      <c r="K5601" s="6">
        <v>0.03</v>
      </c>
      <c r="L5601" s="7">
        <f t="shared" si="175"/>
        <v>2E-3</v>
      </c>
      <c r="M5601" s="7">
        <v>3.0000000000000001E-3</v>
      </c>
      <c r="N5601">
        <v>11</v>
      </c>
      <c r="O5601" s="8">
        <v>20.328747193832452</v>
      </c>
      <c r="P5601" s="9">
        <v>20.328747193832452</v>
      </c>
      <c r="Q5601" s="9">
        <v>20.328747193832452</v>
      </c>
      <c r="R5601" s="9">
        <v>20.901467178587069</v>
      </c>
      <c r="S5601" s="9">
        <v>21.789694031871221</v>
      </c>
      <c r="T5601" s="9">
        <v>22.685842380093916</v>
      </c>
      <c r="U5601" s="9">
        <v>25.139615720574728</v>
      </c>
      <c r="V5601" s="9">
        <v>25.139615720574728</v>
      </c>
      <c r="W5601" s="9">
        <v>25.139615720574728</v>
      </c>
      <c r="X5601" s="9">
        <v>28.431126761040446</v>
      </c>
      <c r="Y5601" s="9">
        <v>28.431126761040446</v>
      </c>
      <c r="Z5601" s="9">
        <v>31.8133765751437</v>
      </c>
      <c r="AA5601" s="9">
        <v>31.8133765751437</v>
      </c>
      <c r="AB5601" s="9">
        <v>35.295439040248269</v>
      </c>
      <c r="AC5601" s="9">
        <v>35.295439040248269</v>
      </c>
      <c r="AD5601" s="9">
        <v>40.66038110622798</v>
      </c>
      <c r="AE5601" s="9">
        <v>44.145469767258199</v>
      </c>
      <c r="AF5601" s="9">
        <v>47.802065076832598</v>
      </c>
      <c r="AG5601" s="9">
        <v>47.802065076832598</v>
      </c>
      <c r="AH5601" s="9">
        <v>52.368463891218347</v>
      </c>
      <c r="AI5601" s="9">
        <v>56.090712435126555</v>
      </c>
      <c r="AJ5601" s="9">
        <v>3.0428788910505911</v>
      </c>
    </row>
    <row r="5602" spans="1:36" x14ac:dyDescent="0.25">
      <c r="A5602" t="s">
        <v>5411</v>
      </c>
      <c r="B5602" t="s">
        <v>16</v>
      </c>
      <c r="C5602" t="s">
        <v>17</v>
      </c>
      <c r="D5602">
        <v>95935000</v>
      </c>
      <c r="E5602">
        <v>95936999</v>
      </c>
      <c r="F5602" t="s">
        <v>5053</v>
      </c>
      <c r="G5602" t="str">
        <f t="shared" si="174"/>
        <v>RSI II</v>
      </c>
      <c r="H5602" t="s">
        <v>4915</v>
      </c>
      <c r="I5602" t="s">
        <v>20</v>
      </c>
      <c r="J5602" t="s">
        <v>64</v>
      </c>
      <c r="K5602" s="6">
        <v>0.03</v>
      </c>
      <c r="L5602" s="7">
        <f t="shared" si="175"/>
        <v>2E-3</v>
      </c>
      <c r="M5602" s="7">
        <v>3.0000000000000001E-3</v>
      </c>
      <c r="N5602">
        <v>11</v>
      </c>
      <c r="O5602" s="8">
        <v>20.328747193832452</v>
      </c>
      <c r="P5602" s="9">
        <v>20.328747193832452</v>
      </c>
      <c r="Q5602" s="9">
        <v>20.328747193832452</v>
      </c>
      <c r="R5602" s="9">
        <v>20.901467178587069</v>
      </c>
      <c r="S5602" s="9">
        <v>21.789694031871221</v>
      </c>
      <c r="T5602" s="9">
        <v>22.685842380093916</v>
      </c>
      <c r="U5602" s="9">
        <v>25.139615720574728</v>
      </c>
      <c r="V5602" s="9">
        <v>25.139615720574728</v>
      </c>
      <c r="W5602" s="9">
        <v>25.139615720574728</v>
      </c>
      <c r="X5602" s="9">
        <v>28.431126761040446</v>
      </c>
      <c r="Y5602" s="9">
        <v>28.431126761040446</v>
      </c>
      <c r="Z5602" s="9">
        <v>31.8133765751437</v>
      </c>
      <c r="AA5602" s="9">
        <v>31.8133765751437</v>
      </c>
      <c r="AB5602" s="9">
        <v>35.295439040248269</v>
      </c>
      <c r="AC5602" s="9">
        <v>35.295439040248269</v>
      </c>
      <c r="AD5602" s="9">
        <v>40.66038110622798</v>
      </c>
      <c r="AE5602" s="9">
        <v>44.145469767258199</v>
      </c>
      <c r="AF5602" s="9">
        <v>47.802065076832598</v>
      </c>
      <c r="AG5602" s="9">
        <v>47.802065076832598</v>
      </c>
      <c r="AH5602" s="9">
        <v>52.368463891218347</v>
      </c>
      <c r="AI5602" s="9">
        <v>56.090712435126555</v>
      </c>
      <c r="AJ5602" s="9">
        <v>3.0428788910505911</v>
      </c>
    </row>
    <row r="5603" spans="1:36" x14ac:dyDescent="0.25">
      <c r="A5603" t="s">
        <v>5411</v>
      </c>
      <c r="B5603" t="s">
        <v>16</v>
      </c>
      <c r="C5603" t="s">
        <v>17</v>
      </c>
      <c r="D5603">
        <v>95937000</v>
      </c>
      <c r="E5603">
        <v>95939999</v>
      </c>
      <c r="F5603" t="s">
        <v>5054</v>
      </c>
      <c r="G5603" t="str">
        <f t="shared" si="174"/>
        <v>RSI II</v>
      </c>
      <c r="H5603" t="s">
        <v>4915</v>
      </c>
      <c r="I5603" t="s">
        <v>20</v>
      </c>
      <c r="J5603" t="s">
        <v>64</v>
      </c>
      <c r="K5603" s="6">
        <v>0.03</v>
      </c>
      <c r="L5603" s="7">
        <f t="shared" si="175"/>
        <v>2E-3</v>
      </c>
      <c r="M5603" s="7">
        <v>3.0000000000000001E-3</v>
      </c>
      <c r="N5603">
        <v>11</v>
      </c>
      <c r="O5603" s="8">
        <v>20.328747193832452</v>
      </c>
      <c r="P5603" s="9">
        <v>20.328747193832452</v>
      </c>
      <c r="Q5603" s="9">
        <v>20.328747193832452</v>
      </c>
      <c r="R5603" s="9">
        <v>20.901467178587069</v>
      </c>
      <c r="S5603" s="9">
        <v>21.789694031871221</v>
      </c>
      <c r="T5603" s="9">
        <v>22.685842380093916</v>
      </c>
      <c r="U5603" s="9">
        <v>25.139615720574728</v>
      </c>
      <c r="V5603" s="9">
        <v>25.139615720574728</v>
      </c>
      <c r="W5603" s="9">
        <v>25.139615720574728</v>
      </c>
      <c r="X5603" s="9">
        <v>28.431126761040446</v>
      </c>
      <c r="Y5603" s="9">
        <v>28.431126761040446</v>
      </c>
      <c r="Z5603" s="9">
        <v>31.8133765751437</v>
      </c>
      <c r="AA5603" s="9">
        <v>31.8133765751437</v>
      </c>
      <c r="AB5603" s="9">
        <v>35.295439040248269</v>
      </c>
      <c r="AC5603" s="9">
        <v>35.295439040248269</v>
      </c>
      <c r="AD5603" s="9">
        <v>40.66038110622798</v>
      </c>
      <c r="AE5603" s="9">
        <v>44.145469767258199</v>
      </c>
      <c r="AF5603" s="9">
        <v>47.802065076832598</v>
      </c>
      <c r="AG5603" s="9">
        <v>47.802065076832598</v>
      </c>
      <c r="AH5603" s="9">
        <v>52.368463891218347</v>
      </c>
      <c r="AI5603" s="9">
        <v>56.090712435126555</v>
      </c>
      <c r="AJ5603" s="9">
        <v>3.0428788910505911</v>
      </c>
    </row>
    <row r="5604" spans="1:36" x14ac:dyDescent="0.25">
      <c r="A5604" t="s">
        <v>5411</v>
      </c>
      <c r="B5604" t="s">
        <v>16</v>
      </c>
      <c r="C5604" t="s">
        <v>17</v>
      </c>
      <c r="D5604">
        <v>95940000</v>
      </c>
      <c r="E5604">
        <v>95944999</v>
      </c>
      <c r="F5604" t="s">
        <v>5055</v>
      </c>
      <c r="G5604" t="str">
        <f t="shared" si="174"/>
        <v>RSI II</v>
      </c>
      <c r="H5604" t="s">
        <v>4915</v>
      </c>
      <c r="I5604" t="s">
        <v>20</v>
      </c>
      <c r="J5604" t="s">
        <v>64</v>
      </c>
      <c r="K5604" s="6">
        <v>0.03</v>
      </c>
      <c r="L5604" s="7">
        <f t="shared" si="175"/>
        <v>2E-3</v>
      </c>
      <c r="M5604" s="7">
        <v>3.0000000000000001E-3</v>
      </c>
      <c r="N5604">
        <v>11</v>
      </c>
      <c r="O5604" s="8">
        <v>20.328747193832452</v>
      </c>
      <c r="P5604" s="9">
        <v>20.328747193832452</v>
      </c>
      <c r="Q5604" s="9">
        <v>20.328747193832452</v>
      </c>
      <c r="R5604" s="9">
        <v>20.901467178587069</v>
      </c>
      <c r="S5604" s="9">
        <v>21.789694031871221</v>
      </c>
      <c r="T5604" s="9">
        <v>22.685842380093916</v>
      </c>
      <c r="U5604" s="9">
        <v>25.139615720574728</v>
      </c>
      <c r="V5604" s="9">
        <v>25.139615720574728</v>
      </c>
      <c r="W5604" s="9">
        <v>25.139615720574728</v>
      </c>
      <c r="X5604" s="9">
        <v>28.431126761040446</v>
      </c>
      <c r="Y5604" s="9">
        <v>28.431126761040446</v>
      </c>
      <c r="Z5604" s="9">
        <v>31.8133765751437</v>
      </c>
      <c r="AA5604" s="9">
        <v>31.8133765751437</v>
      </c>
      <c r="AB5604" s="9">
        <v>35.295439040248269</v>
      </c>
      <c r="AC5604" s="9">
        <v>35.295439040248269</v>
      </c>
      <c r="AD5604" s="9">
        <v>40.66038110622798</v>
      </c>
      <c r="AE5604" s="9">
        <v>44.145469767258199</v>
      </c>
      <c r="AF5604" s="9">
        <v>47.802065076832598</v>
      </c>
      <c r="AG5604" s="9">
        <v>47.802065076832598</v>
      </c>
      <c r="AH5604" s="9">
        <v>52.368463891218347</v>
      </c>
      <c r="AI5604" s="9">
        <v>56.090712435126555</v>
      </c>
      <c r="AJ5604" s="9">
        <v>3.0428788910505911</v>
      </c>
    </row>
    <row r="5605" spans="1:36" x14ac:dyDescent="0.25">
      <c r="A5605" t="s">
        <v>5411</v>
      </c>
      <c r="B5605" t="s">
        <v>16</v>
      </c>
      <c r="C5605" t="s">
        <v>17</v>
      </c>
      <c r="D5605">
        <v>95945000</v>
      </c>
      <c r="E5605">
        <v>95947999</v>
      </c>
      <c r="F5605" t="s">
        <v>5056</v>
      </c>
      <c r="G5605" t="str">
        <f t="shared" si="174"/>
        <v>RSI II</v>
      </c>
      <c r="H5605" t="s">
        <v>4915</v>
      </c>
      <c r="I5605" t="s">
        <v>20</v>
      </c>
      <c r="J5605" t="s">
        <v>64</v>
      </c>
      <c r="K5605" s="6">
        <v>0.03</v>
      </c>
      <c r="L5605" s="7">
        <f t="shared" si="175"/>
        <v>2E-3</v>
      </c>
      <c r="M5605" s="7">
        <v>3.0000000000000001E-3</v>
      </c>
      <c r="N5605">
        <v>11</v>
      </c>
      <c r="O5605" s="8">
        <v>20.328747193832452</v>
      </c>
      <c r="P5605" s="9">
        <v>20.328747193832452</v>
      </c>
      <c r="Q5605" s="9">
        <v>20.328747193832452</v>
      </c>
      <c r="R5605" s="9">
        <v>20.901467178587069</v>
      </c>
      <c r="S5605" s="9">
        <v>21.789694031871221</v>
      </c>
      <c r="T5605" s="9">
        <v>22.685842380093916</v>
      </c>
      <c r="U5605" s="9">
        <v>25.139615720574728</v>
      </c>
      <c r="V5605" s="9">
        <v>25.139615720574728</v>
      </c>
      <c r="W5605" s="9">
        <v>25.139615720574728</v>
      </c>
      <c r="X5605" s="9">
        <v>28.431126761040446</v>
      </c>
      <c r="Y5605" s="9">
        <v>28.431126761040446</v>
      </c>
      <c r="Z5605" s="9">
        <v>31.8133765751437</v>
      </c>
      <c r="AA5605" s="9">
        <v>31.8133765751437</v>
      </c>
      <c r="AB5605" s="9">
        <v>35.295439040248269</v>
      </c>
      <c r="AC5605" s="9">
        <v>35.295439040248269</v>
      </c>
      <c r="AD5605" s="9">
        <v>40.66038110622798</v>
      </c>
      <c r="AE5605" s="9">
        <v>44.145469767258199</v>
      </c>
      <c r="AF5605" s="9">
        <v>47.802065076832598</v>
      </c>
      <c r="AG5605" s="9">
        <v>47.802065076832598</v>
      </c>
      <c r="AH5605" s="9">
        <v>52.368463891218347</v>
      </c>
      <c r="AI5605" s="9">
        <v>56.090712435126555</v>
      </c>
      <c r="AJ5605" s="9">
        <v>3.0428788910505911</v>
      </c>
    </row>
    <row r="5606" spans="1:36" x14ac:dyDescent="0.25">
      <c r="A5606" t="s">
        <v>5411</v>
      </c>
      <c r="B5606" t="s">
        <v>16</v>
      </c>
      <c r="C5606" t="s">
        <v>17</v>
      </c>
      <c r="D5606">
        <v>95948000</v>
      </c>
      <c r="E5606">
        <v>95949999</v>
      </c>
      <c r="F5606" t="s">
        <v>5057</v>
      </c>
      <c r="G5606" t="str">
        <f t="shared" si="174"/>
        <v>RSI II</v>
      </c>
      <c r="H5606" t="s">
        <v>4915</v>
      </c>
      <c r="I5606" t="s">
        <v>20</v>
      </c>
      <c r="J5606" t="s">
        <v>64</v>
      </c>
      <c r="K5606" s="6">
        <v>0.03</v>
      </c>
      <c r="L5606" s="7">
        <f t="shared" si="175"/>
        <v>2E-3</v>
      </c>
      <c r="M5606" s="7">
        <v>3.0000000000000001E-3</v>
      </c>
      <c r="N5606">
        <v>11</v>
      </c>
      <c r="O5606" s="8">
        <v>20.328747193832452</v>
      </c>
      <c r="P5606" s="9">
        <v>20.328747193832452</v>
      </c>
      <c r="Q5606" s="9">
        <v>20.328747193832452</v>
      </c>
      <c r="R5606" s="9">
        <v>20.901467178587069</v>
      </c>
      <c r="S5606" s="9">
        <v>21.789694031871221</v>
      </c>
      <c r="T5606" s="9">
        <v>22.685842380093916</v>
      </c>
      <c r="U5606" s="9">
        <v>25.139615720574728</v>
      </c>
      <c r="V5606" s="9">
        <v>25.139615720574728</v>
      </c>
      <c r="W5606" s="9">
        <v>25.139615720574728</v>
      </c>
      <c r="X5606" s="9">
        <v>28.431126761040446</v>
      </c>
      <c r="Y5606" s="9">
        <v>28.431126761040446</v>
      </c>
      <c r="Z5606" s="9">
        <v>31.8133765751437</v>
      </c>
      <c r="AA5606" s="9">
        <v>31.8133765751437</v>
      </c>
      <c r="AB5606" s="9">
        <v>35.295439040248269</v>
      </c>
      <c r="AC5606" s="9">
        <v>35.295439040248269</v>
      </c>
      <c r="AD5606" s="9">
        <v>40.66038110622798</v>
      </c>
      <c r="AE5606" s="9">
        <v>44.145469767258199</v>
      </c>
      <c r="AF5606" s="9">
        <v>47.802065076832598</v>
      </c>
      <c r="AG5606" s="9">
        <v>47.802065076832598</v>
      </c>
      <c r="AH5606" s="9">
        <v>52.368463891218347</v>
      </c>
      <c r="AI5606" s="9">
        <v>56.090712435126555</v>
      </c>
      <c r="AJ5606" s="9">
        <v>3.0428788910505911</v>
      </c>
    </row>
    <row r="5607" spans="1:36" x14ac:dyDescent="0.25">
      <c r="A5607" t="s">
        <v>5411</v>
      </c>
      <c r="B5607" t="s">
        <v>16</v>
      </c>
      <c r="C5607" t="s">
        <v>17</v>
      </c>
      <c r="D5607">
        <v>95950000</v>
      </c>
      <c r="E5607">
        <v>95954999</v>
      </c>
      <c r="F5607" t="s">
        <v>5058</v>
      </c>
      <c r="G5607" t="str">
        <f t="shared" si="174"/>
        <v>RSI II</v>
      </c>
      <c r="H5607" t="s">
        <v>4915</v>
      </c>
      <c r="I5607" t="s">
        <v>20</v>
      </c>
      <c r="J5607" t="s">
        <v>64</v>
      </c>
      <c r="K5607" s="6">
        <v>0.03</v>
      </c>
      <c r="L5607" s="7">
        <f t="shared" si="175"/>
        <v>2E-3</v>
      </c>
      <c r="M5607" s="7">
        <v>3.0000000000000001E-3</v>
      </c>
      <c r="N5607">
        <v>11</v>
      </c>
      <c r="O5607" s="8">
        <v>20.328747193832452</v>
      </c>
      <c r="P5607" s="9">
        <v>20.328747193832452</v>
      </c>
      <c r="Q5607" s="9">
        <v>20.328747193832452</v>
      </c>
      <c r="R5607" s="9">
        <v>20.901467178587069</v>
      </c>
      <c r="S5607" s="9">
        <v>21.789694031871221</v>
      </c>
      <c r="T5607" s="9">
        <v>22.685842380093916</v>
      </c>
      <c r="U5607" s="9">
        <v>25.139615720574728</v>
      </c>
      <c r="V5607" s="9">
        <v>25.139615720574728</v>
      </c>
      <c r="W5607" s="9">
        <v>25.139615720574728</v>
      </c>
      <c r="X5607" s="9">
        <v>28.431126761040446</v>
      </c>
      <c r="Y5607" s="9">
        <v>28.431126761040446</v>
      </c>
      <c r="Z5607" s="9">
        <v>31.8133765751437</v>
      </c>
      <c r="AA5607" s="9">
        <v>31.8133765751437</v>
      </c>
      <c r="AB5607" s="9">
        <v>35.295439040248269</v>
      </c>
      <c r="AC5607" s="9">
        <v>35.295439040248269</v>
      </c>
      <c r="AD5607" s="9">
        <v>40.66038110622798</v>
      </c>
      <c r="AE5607" s="9">
        <v>44.145469767258199</v>
      </c>
      <c r="AF5607" s="9">
        <v>47.802065076832598</v>
      </c>
      <c r="AG5607" s="9">
        <v>47.802065076832598</v>
      </c>
      <c r="AH5607" s="9">
        <v>52.368463891218347</v>
      </c>
      <c r="AI5607" s="9">
        <v>56.090712435126555</v>
      </c>
      <c r="AJ5607" s="9">
        <v>3.0428788910505911</v>
      </c>
    </row>
    <row r="5608" spans="1:36" x14ac:dyDescent="0.25">
      <c r="A5608" t="s">
        <v>5411</v>
      </c>
      <c r="B5608" t="s">
        <v>16</v>
      </c>
      <c r="C5608" t="s">
        <v>17</v>
      </c>
      <c r="D5608">
        <v>95955000</v>
      </c>
      <c r="E5608">
        <v>95959999</v>
      </c>
      <c r="F5608" t="s">
        <v>5059</v>
      </c>
      <c r="G5608" t="str">
        <f t="shared" si="174"/>
        <v>RSI II</v>
      </c>
      <c r="H5608" t="s">
        <v>4915</v>
      </c>
      <c r="I5608" t="s">
        <v>20</v>
      </c>
      <c r="J5608" t="s">
        <v>64</v>
      </c>
      <c r="K5608" s="6">
        <v>0.03</v>
      </c>
      <c r="L5608" s="7">
        <f t="shared" si="175"/>
        <v>2E-3</v>
      </c>
      <c r="M5608" s="7">
        <v>3.0000000000000001E-3</v>
      </c>
      <c r="N5608">
        <v>11</v>
      </c>
      <c r="O5608" s="8">
        <v>20.328747193832452</v>
      </c>
      <c r="P5608" s="9">
        <v>20.328747193832452</v>
      </c>
      <c r="Q5608" s="9">
        <v>20.328747193832452</v>
      </c>
      <c r="R5608" s="9">
        <v>20.901467178587069</v>
      </c>
      <c r="S5608" s="9">
        <v>21.789694031871221</v>
      </c>
      <c r="T5608" s="9">
        <v>22.685842380093916</v>
      </c>
      <c r="U5608" s="9">
        <v>25.139615720574728</v>
      </c>
      <c r="V5608" s="9">
        <v>25.139615720574728</v>
      </c>
      <c r="W5608" s="9">
        <v>25.139615720574728</v>
      </c>
      <c r="X5608" s="9">
        <v>28.431126761040446</v>
      </c>
      <c r="Y5608" s="9">
        <v>28.431126761040446</v>
      </c>
      <c r="Z5608" s="9">
        <v>31.8133765751437</v>
      </c>
      <c r="AA5608" s="9">
        <v>31.8133765751437</v>
      </c>
      <c r="AB5608" s="9">
        <v>35.295439040248269</v>
      </c>
      <c r="AC5608" s="9">
        <v>35.295439040248269</v>
      </c>
      <c r="AD5608" s="9">
        <v>40.66038110622798</v>
      </c>
      <c r="AE5608" s="9">
        <v>44.145469767258199</v>
      </c>
      <c r="AF5608" s="9">
        <v>47.802065076832598</v>
      </c>
      <c r="AG5608" s="9">
        <v>47.802065076832598</v>
      </c>
      <c r="AH5608" s="9">
        <v>52.368463891218347</v>
      </c>
      <c r="AI5608" s="9">
        <v>56.090712435126555</v>
      </c>
      <c r="AJ5608" s="9">
        <v>3.0428788910505911</v>
      </c>
    </row>
    <row r="5609" spans="1:36" x14ac:dyDescent="0.25">
      <c r="A5609" t="s">
        <v>5411</v>
      </c>
      <c r="B5609" t="s">
        <v>16</v>
      </c>
      <c r="C5609" t="s">
        <v>17</v>
      </c>
      <c r="D5609">
        <v>95960000</v>
      </c>
      <c r="E5609">
        <v>95964999</v>
      </c>
      <c r="F5609" t="s">
        <v>5060</v>
      </c>
      <c r="G5609" t="str">
        <f t="shared" si="174"/>
        <v>RSI II</v>
      </c>
      <c r="H5609" t="s">
        <v>4915</v>
      </c>
      <c r="I5609" t="s">
        <v>20</v>
      </c>
      <c r="J5609" t="s">
        <v>64</v>
      </c>
      <c r="K5609" s="6">
        <v>0.03</v>
      </c>
      <c r="L5609" s="7">
        <f t="shared" si="175"/>
        <v>2E-3</v>
      </c>
      <c r="M5609" s="7">
        <v>3.0000000000000001E-3</v>
      </c>
      <c r="N5609">
        <v>11</v>
      </c>
      <c r="O5609" s="8">
        <v>20.328747193832452</v>
      </c>
      <c r="P5609" s="9">
        <v>20.328747193832452</v>
      </c>
      <c r="Q5609" s="9">
        <v>20.328747193832452</v>
      </c>
      <c r="R5609" s="9">
        <v>20.901467178587069</v>
      </c>
      <c r="S5609" s="9">
        <v>21.789694031871221</v>
      </c>
      <c r="T5609" s="9">
        <v>22.685842380093916</v>
      </c>
      <c r="U5609" s="9">
        <v>25.139615720574728</v>
      </c>
      <c r="V5609" s="9">
        <v>25.139615720574728</v>
      </c>
      <c r="W5609" s="9">
        <v>25.139615720574728</v>
      </c>
      <c r="X5609" s="9">
        <v>28.431126761040446</v>
      </c>
      <c r="Y5609" s="9">
        <v>28.431126761040446</v>
      </c>
      <c r="Z5609" s="9">
        <v>31.8133765751437</v>
      </c>
      <c r="AA5609" s="9">
        <v>31.8133765751437</v>
      </c>
      <c r="AB5609" s="9">
        <v>35.295439040248269</v>
      </c>
      <c r="AC5609" s="9">
        <v>35.295439040248269</v>
      </c>
      <c r="AD5609" s="9">
        <v>40.66038110622798</v>
      </c>
      <c r="AE5609" s="9">
        <v>44.145469767258199</v>
      </c>
      <c r="AF5609" s="9">
        <v>47.802065076832598</v>
      </c>
      <c r="AG5609" s="9">
        <v>47.802065076832598</v>
      </c>
      <c r="AH5609" s="9">
        <v>52.368463891218347</v>
      </c>
      <c r="AI5609" s="9">
        <v>56.090712435126555</v>
      </c>
      <c r="AJ5609" s="9">
        <v>3.0428788910505911</v>
      </c>
    </row>
    <row r="5610" spans="1:36" x14ac:dyDescent="0.25">
      <c r="A5610" t="s">
        <v>5411</v>
      </c>
      <c r="B5610" t="s">
        <v>16</v>
      </c>
      <c r="C5610" t="s">
        <v>17</v>
      </c>
      <c r="D5610">
        <v>95965000</v>
      </c>
      <c r="E5610">
        <v>95966999</v>
      </c>
      <c r="F5610" t="s">
        <v>5061</v>
      </c>
      <c r="G5610" t="str">
        <f t="shared" si="174"/>
        <v>RSI II</v>
      </c>
      <c r="H5610" t="s">
        <v>4915</v>
      </c>
      <c r="I5610" t="s">
        <v>20</v>
      </c>
      <c r="J5610" t="s">
        <v>64</v>
      </c>
      <c r="K5610" s="6">
        <v>0.03</v>
      </c>
      <c r="L5610" s="7">
        <f t="shared" si="175"/>
        <v>2E-3</v>
      </c>
      <c r="M5610" s="7">
        <v>3.0000000000000001E-3</v>
      </c>
      <c r="N5610">
        <v>11</v>
      </c>
      <c r="O5610" s="8">
        <v>20.328747193832452</v>
      </c>
      <c r="P5610" s="9">
        <v>20.328747193832452</v>
      </c>
      <c r="Q5610" s="9">
        <v>20.328747193832452</v>
      </c>
      <c r="R5610" s="9">
        <v>20.901467178587069</v>
      </c>
      <c r="S5610" s="9">
        <v>21.789694031871221</v>
      </c>
      <c r="T5610" s="9">
        <v>22.685842380093916</v>
      </c>
      <c r="U5610" s="9">
        <v>25.139615720574728</v>
      </c>
      <c r="V5610" s="9">
        <v>25.139615720574728</v>
      </c>
      <c r="W5610" s="9">
        <v>25.139615720574728</v>
      </c>
      <c r="X5610" s="9">
        <v>28.431126761040446</v>
      </c>
      <c r="Y5610" s="9">
        <v>28.431126761040446</v>
      </c>
      <c r="Z5610" s="9">
        <v>31.8133765751437</v>
      </c>
      <c r="AA5610" s="9">
        <v>31.8133765751437</v>
      </c>
      <c r="AB5610" s="9">
        <v>35.295439040248269</v>
      </c>
      <c r="AC5610" s="9">
        <v>35.295439040248269</v>
      </c>
      <c r="AD5610" s="9">
        <v>40.66038110622798</v>
      </c>
      <c r="AE5610" s="9">
        <v>44.145469767258199</v>
      </c>
      <c r="AF5610" s="9">
        <v>47.802065076832598</v>
      </c>
      <c r="AG5610" s="9">
        <v>47.802065076832598</v>
      </c>
      <c r="AH5610" s="9">
        <v>52.368463891218347</v>
      </c>
      <c r="AI5610" s="9">
        <v>56.090712435126555</v>
      </c>
      <c r="AJ5610" s="9">
        <v>3.0428788910505911</v>
      </c>
    </row>
    <row r="5611" spans="1:36" x14ac:dyDescent="0.25">
      <c r="A5611" t="s">
        <v>5411</v>
      </c>
      <c r="B5611" t="s">
        <v>16</v>
      </c>
      <c r="C5611" t="s">
        <v>17</v>
      </c>
      <c r="D5611">
        <v>95967000</v>
      </c>
      <c r="E5611">
        <v>95969999</v>
      </c>
      <c r="F5611" t="s">
        <v>5062</v>
      </c>
      <c r="G5611" t="str">
        <f t="shared" si="174"/>
        <v>RSI II</v>
      </c>
      <c r="H5611" t="s">
        <v>4915</v>
      </c>
      <c r="I5611" t="s">
        <v>20</v>
      </c>
      <c r="J5611" t="s">
        <v>64</v>
      </c>
      <c r="K5611" s="6">
        <v>0.03</v>
      </c>
      <c r="L5611" s="7">
        <f t="shared" si="175"/>
        <v>2E-3</v>
      </c>
      <c r="M5611" s="7">
        <v>3.0000000000000001E-3</v>
      </c>
      <c r="N5611">
        <v>11</v>
      </c>
      <c r="O5611" s="8">
        <v>20.328747193832452</v>
      </c>
      <c r="P5611" s="9">
        <v>20.328747193832452</v>
      </c>
      <c r="Q5611" s="9">
        <v>20.328747193832452</v>
      </c>
      <c r="R5611" s="9">
        <v>20.901467178587069</v>
      </c>
      <c r="S5611" s="9">
        <v>21.789694031871221</v>
      </c>
      <c r="T5611" s="9">
        <v>22.685842380093916</v>
      </c>
      <c r="U5611" s="9">
        <v>25.139615720574728</v>
      </c>
      <c r="V5611" s="9">
        <v>25.139615720574728</v>
      </c>
      <c r="W5611" s="9">
        <v>25.139615720574728</v>
      </c>
      <c r="X5611" s="9">
        <v>28.431126761040446</v>
      </c>
      <c r="Y5611" s="9">
        <v>28.431126761040446</v>
      </c>
      <c r="Z5611" s="9">
        <v>31.8133765751437</v>
      </c>
      <c r="AA5611" s="9">
        <v>31.8133765751437</v>
      </c>
      <c r="AB5611" s="9">
        <v>35.295439040248269</v>
      </c>
      <c r="AC5611" s="9">
        <v>35.295439040248269</v>
      </c>
      <c r="AD5611" s="9">
        <v>40.66038110622798</v>
      </c>
      <c r="AE5611" s="9">
        <v>44.145469767258199</v>
      </c>
      <c r="AF5611" s="9">
        <v>47.802065076832598</v>
      </c>
      <c r="AG5611" s="9">
        <v>47.802065076832598</v>
      </c>
      <c r="AH5611" s="9">
        <v>52.368463891218347</v>
      </c>
      <c r="AI5611" s="9">
        <v>56.090712435126555</v>
      </c>
      <c r="AJ5611" s="9">
        <v>3.0428788910505911</v>
      </c>
    </row>
    <row r="5612" spans="1:36" x14ac:dyDescent="0.25">
      <c r="A5612" t="s">
        <v>5411</v>
      </c>
      <c r="B5612" t="s">
        <v>16</v>
      </c>
      <c r="C5612" t="s">
        <v>17</v>
      </c>
      <c r="D5612">
        <v>95970000</v>
      </c>
      <c r="E5612">
        <v>95971999</v>
      </c>
      <c r="F5612" t="s">
        <v>5063</v>
      </c>
      <c r="G5612" t="str">
        <f t="shared" si="174"/>
        <v>RSI II</v>
      </c>
      <c r="H5612" t="s">
        <v>4915</v>
      </c>
      <c r="I5612" t="s">
        <v>20</v>
      </c>
      <c r="J5612" t="s">
        <v>64</v>
      </c>
      <c r="K5612" s="6">
        <v>0.03</v>
      </c>
      <c r="L5612" s="7">
        <f t="shared" si="175"/>
        <v>2E-3</v>
      </c>
      <c r="M5612" s="7">
        <v>3.0000000000000001E-3</v>
      </c>
      <c r="N5612">
        <v>11</v>
      </c>
      <c r="O5612" s="8">
        <v>20.328747193832452</v>
      </c>
      <c r="P5612" s="9">
        <v>20.328747193832452</v>
      </c>
      <c r="Q5612" s="9">
        <v>20.328747193832452</v>
      </c>
      <c r="R5612" s="9">
        <v>20.901467178587069</v>
      </c>
      <c r="S5612" s="9">
        <v>21.789694031871221</v>
      </c>
      <c r="T5612" s="9">
        <v>22.685842380093916</v>
      </c>
      <c r="U5612" s="9">
        <v>25.139615720574728</v>
      </c>
      <c r="V5612" s="9">
        <v>25.139615720574728</v>
      </c>
      <c r="W5612" s="9">
        <v>25.139615720574728</v>
      </c>
      <c r="X5612" s="9">
        <v>28.431126761040446</v>
      </c>
      <c r="Y5612" s="9">
        <v>28.431126761040446</v>
      </c>
      <c r="Z5612" s="9">
        <v>31.8133765751437</v>
      </c>
      <c r="AA5612" s="9">
        <v>31.8133765751437</v>
      </c>
      <c r="AB5612" s="9">
        <v>35.295439040248269</v>
      </c>
      <c r="AC5612" s="9">
        <v>35.295439040248269</v>
      </c>
      <c r="AD5612" s="9">
        <v>40.66038110622798</v>
      </c>
      <c r="AE5612" s="9">
        <v>44.145469767258199</v>
      </c>
      <c r="AF5612" s="9">
        <v>47.802065076832598</v>
      </c>
      <c r="AG5612" s="9">
        <v>47.802065076832598</v>
      </c>
      <c r="AH5612" s="9">
        <v>52.368463891218347</v>
      </c>
      <c r="AI5612" s="9">
        <v>56.090712435126555</v>
      </c>
      <c r="AJ5612" s="9">
        <v>3.0428788910505911</v>
      </c>
    </row>
    <row r="5613" spans="1:36" x14ac:dyDescent="0.25">
      <c r="A5613" t="s">
        <v>5411</v>
      </c>
      <c r="B5613" t="s">
        <v>16</v>
      </c>
      <c r="C5613" t="s">
        <v>17</v>
      </c>
      <c r="D5613">
        <v>95972000</v>
      </c>
      <c r="E5613">
        <v>95974999</v>
      </c>
      <c r="F5613" t="s">
        <v>5064</v>
      </c>
      <c r="G5613" t="str">
        <f t="shared" si="174"/>
        <v>RSI II</v>
      </c>
      <c r="H5613" t="s">
        <v>4915</v>
      </c>
      <c r="I5613" t="s">
        <v>20</v>
      </c>
      <c r="J5613" t="s">
        <v>64</v>
      </c>
      <c r="K5613" s="6">
        <v>0.03</v>
      </c>
      <c r="L5613" s="7">
        <f t="shared" si="175"/>
        <v>2E-3</v>
      </c>
      <c r="M5613" s="7">
        <v>3.0000000000000001E-3</v>
      </c>
      <c r="N5613">
        <v>11</v>
      </c>
      <c r="O5613" s="8">
        <v>20.328747193832452</v>
      </c>
      <c r="P5613" s="9">
        <v>20.328747193832452</v>
      </c>
      <c r="Q5613" s="9">
        <v>20.328747193832452</v>
      </c>
      <c r="R5613" s="9">
        <v>20.901467178587069</v>
      </c>
      <c r="S5613" s="9">
        <v>21.789694031871221</v>
      </c>
      <c r="T5613" s="9">
        <v>22.685842380093916</v>
      </c>
      <c r="U5613" s="9">
        <v>25.139615720574728</v>
      </c>
      <c r="V5613" s="9">
        <v>25.139615720574728</v>
      </c>
      <c r="W5613" s="9">
        <v>25.139615720574728</v>
      </c>
      <c r="X5613" s="9">
        <v>28.431126761040446</v>
      </c>
      <c r="Y5613" s="9">
        <v>28.431126761040446</v>
      </c>
      <c r="Z5613" s="9">
        <v>31.8133765751437</v>
      </c>
      <c r="AA5613" s="9">
        <v>31.8133765751437</v>
      </c>
      <c r="AB5613" s="9">
        <v>35.295439040248269</v>
      </c>
      <c r="AC5613" s="9">
        <v>35.295439040248269</v>
      </c>
      <c r="AD5613" s="9">
        <v>40.66038110622798</v>
      </c>
      <c r="AE5613" s="9">
        <v>44.145469767258199</v>
      </c>
      <c r="AF5613" s="9">
        <v>47.802065076832598</v>
      </c>
      <c r="AG5613" s="9">
        <v>47.802065076832598</v>
      </c>
      <c r="AH5613" s="9">
        <v>52.368463891218347</v>
      </c>
      <c r="AI5613" s="9">
        <v>56.090712435126555</v>
      </c>
      <c r="AJ5613" s="9">
        <v>3.0428788910505911</v>
      </c>
    </row>
    <row r="5614" spans="1:36" x14ac:dyDescent="0.25">
      <c r="A5614" t="s">
        <v>5411</v>
      </c>
      <c r="B5614" t="s">
        <v>16</v>
      </c>
      <c r="C5614" t="s">
        <v>17</v>
      </c>
      <c r="D5614">
        <v>95975000</v>
      </c>
      <c r="E5614">
        <v>95979999</v>
      </c>
      <c r="F5614" t="s">
        <v>5065</v>
      </c>
      <c r="G5614" t="str">
        <f t="shared" si="174"/>
        <v>RSI II</v>
      </c>
      <c r="H5614" t="s">
        <v>4915</v>
      </c>
      <c r="I5614" t="s">
        <v>20</v>
      </c>
      <c r="J5614" t="s">
        <v>64</v>
      </c>
      <c r="K5614" s="6">
        <v>0.03</v>
      </c>
      <c r="L5614" s="7">
        <f t="shared" si="175"/>
        <v>2E-3</v>
      </c>
      <c r="M5614" s="7">
        <v>3.0000000000000001E-3</v>
      </c>
      <c r="N5614">
        <v>11</v>
      </c>
      <c r="O5614" s="8">
        <v>20.328747193832452</v>
      </c>
      <c r="P5614" s="9">
        <v>20.328747193832452</v>
      </c>
      <c r="Q5614" s="9">
        <v>20.328747193832452</v>
      </c>
      <c r="R5614" s="9">
        <v>20.901467178587069</v>
      </c>
      <c r="S5614" s="9">
        <v>21.789694031871221</v>
      </c>
      <c r="T5614" s="9">
        <v>22.685842380093916</v>
      </c>
      <c r="U5614" s="9">
        <v>25.139615720574728</v>
      </c>
      <c r="V5614" s="9">
        <v>25.139615720574728</v>
      </c>
      <c r="W5614" s="9">
        <v>25.139615720574728</v>
      </c>
      <c r="X5614" s="9">
        <v>28.431126761040446</v>
      </c>
      <c r="Y5614" s="9">
        <v>28.431126761040446</v>
      </c>
      <c r="Z5614" s="9">
        <v>31.8133765751437</v>
      </c>
      <c r="AA5614" s="9">
        <v>31.8133765751437</v>
      </c>
      <c r="AB5614" s="9">
        <v>35.295439040248269</v>
      </c>
      <c r="AC5614" s="9">
        <v>35.295439040248269</v>
      </c>
      <c r="AD5614" s="9">
        <v>40.66038110622798</v>
      </c>
      <c r="AE5614" s="9">
        <v>44.145469767258199</v>
      </c>
      <c r="AF5614" s="9">
        <v>47.802065076832598</v>
      </c>
      <c r="AG5614" s="9">
        <v>47.802065076832598</v>
      </c>
      <c r="AH5614" s="9">
        <v>52.368463891218347</v>
      </c>
      <c r="AI5614" s="9">
        <v>56.090712435126555</v>
      </c>
      <c r="AJ5614" s="9">
        <v>3.0428788910505911</v>
      </c>
    </row>
    <row r="5615" spans="1:36" x14ac:dyDescent="0.25">
      <c r="A5615" t="s">
        <v>5411</v>
      </c>
      <c r="B5615" t="s">
        <v>16</v>
      </c>
      <c r="C5615" t="s">
        <v>17</v>
      </c>
      <c r="D5615">
        <v>95980000</v>
      </c>
      <c r="E5615">
        <v>95984999</v>
      </c>
      <c r="F5615" t="s">
        <v>5066</v>
      </c>
      <c r="G5615" t="str">
        <f t="shared" si="174"/>
        <v>RSI II</v>
      </c>
      <c r="H5615" t="s">
        <v>4915</v>
      </c>
      <c r="I5615" t="s">
        <v>20</v>
      </c>
      <c r="J5615" t="s">
        <v>64</v>
      </c>
      <c r="K5615" s="6">
        <v>0.03</v>
      </c>
      <c r="L5615" s="7">
        <f t="shared" si="175"/>
        <v>2E-3</v>
      </c>
      <c r="M5615" s="7">
        <v>3.0000000000000001E-3</v>
      </c>
      <c r="N5615">
        <v>11</v>
      </c>
      <c r="O5615" s="8">
        <v>20.328747193832452</v>
      </c>
      <c r="P5615" s="9">
        <v>20.328747193832452</v>
      </c>
      <c r="Q5615" s="9">
        <v>20.328747193832452</v>
      </c>
      <c r="R5615" s="9">
        <v>20.901467178587069</v>
      </c>
      <c r="S5615" s="9">
        <v>21.789694031871221</v>
      </c>
      <c r="T5615" s="9">
        <v>22.685842380093916</v>
      </c>
      <c r="U5615" s="9">
        <v>25.139615720574728</v>
      </c>
      <c r="V5615" s="9">
        <v>25.139615720574728</v>
      </c>
      <c r="W5615" s="9">
        <v>25.139615720574728</v>
      </c>
      <c r="X5615" s="9">
        <v>28.431126761040446</v>
      </c>
      <c r="Y5615" s="9">
        <v>28.431126761040446</v>
      </c>
      <c r="Z5615" s="9">
        <v>31.8133765751437</v>
      </c>
      <c r="AA5615" s="9">
        <v>31.8133765751437</v>
      </c>
      <c r="AB5615" s="9">
        <v>35.295439040248269</v>
      </c>
      <c r="AC5615" s="9">
        <v>35.295439040248269</v>
      </c>
      <c r="AD5615" s="9">
        <v>40.66038110622798</v>
      </c>
      <c r="AE5615" s="9">
        <v>44.145469767258199</v>
      </c>
      <c r="AF5615" s="9">
        <v>47.802065076832598</v>
      </c>
      <c r="AG5615" s="9">
        <v>47.802065076832598</v>
      </c>
      <c r="AH5615" s="9">
        <v>52.368463891218347</v>
      </c>
      <c r="AI5615" s="9">
        <v>56.090712435126555</v>
      </c>
      <c r="AJ5615" s="9">
        <v>3.0428788910505911</v>
      </c>
    </row>
    <row r="5616" spans="1:36" x14ac:dyDescent="0.25">
      <c r="A5616" t="s">
        <v>5411</v>
      </c>
      <c r="B5616" t="s">
        <v>16</v>
      </c>
      <c r="C5616" t="s">
        <v>17</v>
      </c>
      <c r="D5616">
        <v>95985000</v>
      </c>
      <c r="E5616">
        <v>95989999</v>
      </c>
      <c r="F5616" t="s">
        <v>5067</v>
      </c>
      <c r="G5616" t="str">
        <f t="shared" si="174"/>
        <v>RSI II</v>
      </c>
      <c r="H5616" t="s">
        <v>4915</v>
      </c>
      <c r="I5616" t="s">
        <v>20</v>
      </c>
      <c r="J5616" t="s">
        <v>64</v>
      </c>
      <c r="K5616" s="6">
        <v>0.03</v>
      </c>
      <c r="L5616" s="7">
        <f t="shared" si="175"/>
        <v>2E-3</v>
      </c>
      <c r="M5616" s="7">
        <v>3.0000000000000001E-3</v>
      </c>
      <c r="N5616">
        <v>11</v>
      </c>
      <c r="O5616" s="8">
        <v>20.328747193832452</v>
      </c>
      <c r="P5616" s="9">
        <v>20.328747193832452</v>
      </c>
      <c r="Q5616" s="9">
        <v>20.328747193832452</v>
      </c>
      <c r="R5616" s="9">
        <v>20.901467178587069</v>
      </c>
      <c r="S5616" s="9">
        <v>21.789694031871221</v>
      </c>
      <c r="T5616" s="9">
        <v>22.685842380093916</v>
      </c>
      <c r="U5616" s="9">
        <v>25.139615720574728</v>
      </c>
      <c r="V5616" s="9">
        <v>25.139615720574728</v>
      </c>
      <c r="W5616" s="9">
        <v>25.139615720574728</v>
      </c>
      <c r="X5616" s="9">
        <v>28.431126761040446</v>
      </c>
      <c r="Y5616" s="9">
        <v>28.431126761040446</v>
      </c>
      <c r="Z5616" s="9">
        <v>31.8133765751437</v>
      </c>
      <c r="AA5616" s="9">
        <v>31.8133765751437</v>
      </c>
      <c r="AB5616" s="9">
        <v>35.295439040248269</v>
      </c>
      <c r="AC5616" s="9">
        <v>35.295439040248269</v>
      </c>
      <c r="AD5616" s="9">
        <v>40.66038110622798</v>
      </c>
      <c r="AE5616" s="9">
        <v>44.145469767258199</v>
      </c>
      <c r="AF5616" s="9">
        <v>47.802065076832598</v>
      </c>
      <c r="AG5616" s="9">
        <v>47.802065076832598</v>
      </c>
      <c r="AH5616" s="9">
        <v>52.368463891218347</v>
      </c>
      <c r="AI5616" s="9">
        <v>56.090712435126555</v>
      </c>
      <c r="AJ5616" s="9">
        <v>3.0428788910505911</v>
      </c>
    </row>
    <row r="5617" spans="1:36" x14ac:dyDescent="0.25">
      <c r="A5617" t="s">
        <v>5411</v>
      </c>
      <c r="B5617" t="s">
        <v>16</v>
      </c>
      <c r="C5617" t="s">
        <v>17</v>
      </c>
      <c r="D5617">
        <v>95990000</v>
      </c>
      <c r="E5617">
        <v>95994999</v>
      </c>
      <c r="F5617" t="s">
        <v>5068</v>
      </c>
      <c r="G5617" t="str">
        <f t="shared" si="174"/>
        <v>RSI II</v>
      </c>
      <c r="H5617" t="s">
        <v>4915</v>
      </c>
      <c r="I5617" t="s">
        <v>20</v>
      </c>
      <c r="J5617" t="s">
        <v>64</v>
      </c>
      <c r="K5617" s="6">
        <v>0.03</v>
      </c>
      <c r="L5617" s="7">
        <f t="shared" si="175"/>
        <v>2E-3</v>
      </c>
      <c r="M5617" s="7">
        <v>3.0000000000000001E-3</v>
      </c>
      <c r="N5617">
        <v>11</v>
      </c>
      <c r="O5617" s="8">
        <v>20.328747193832452</v>
      </c>
      <c r="P5617" s="9">
        <v>20.328747193832452</v>
      </c>
      <c r="Q5617" s="9">
        <v>20.328747193832452</v>
      </c>
      <c r="R5617" s="9">
        <v>20.901467178587069</v>
      </c>
      <c r="S5617" s="9">
        <v>21.789694031871221</v>
      </c>
      <c r="T5617" s="9">
        <v>22.685842380093916</v>
      </c>
      <c r="U5617" s="9">
        <v>25.139615720574728</v>
      </c>
      <c r="V5617" s="9">
        <v>25.139615720574728</v>
      </c>
      <c r="W5617" s="9">
        <v>25.139615720574728</v>
      </c>
      <c r="X5617" s="9">
        <v>28.431126761040446</v>
      </c>
      <c r="Y5617" s="9">
        <v>28.431126761040446</v>
      </c>
      <c r="Z5617" s="9">
        <v>31.8133765751437</v>
      </c>
      <c r="AA5617" s="9">
        <v>31.8133765751437</v>
      </c>
      <c r="AB5617" s="9">
        <v>35.295439040248269</v>
      </c>
      <c r="AC5617" s="9">
        <v>35.295439040248269</v>
      </c>
      <c r="AD5617" s="9">
        <v>40.66038110622798</v>
      </c>
      <c r="AE5617" s="9">
        <v>44.145469767258199</v>
      </c>
      <c r="AF5617" s="9">
        <v>47.802065076832598</v>
      </c>
      <c r="AG5617" s="9">
        <v>47.802065076832598</v>
      </c>
      <c r="AH5617" s="9">
        <v>52.368463891218347</v>
      </c>
      <c r="AI5617" s="9">
        <v>56.090712435126555</v>
      </c>
      <c r="AJ5617" s="9">
        <v>3.0428788910505911</v>
      </c>
    </row>
    <row r="5618" spans="1:36" x14ac:dyDescent="0.25">
      <c r="A5618" t="s">
        <v>5411</v>
      </c>
      <c r="B5618" t="s">
        <v>16</v>
      </c>
      <c r="C5618" t="s">
        <v>17</v>
      </c>
      <c r="D5618">
        <v>95995000</v>
      </c>
      <c r="E5618">
        <v>95996999</v>
      </c>
      <c r="F5618" t="s">
        <v>5069</v>
      </c>
      <c r="G5618" t="str">
        <f t="shared" si="174"/>
        <v>RSI II</v>
      </c>
      <c r="H5618" t="s">
        <v>4915</v>
      </c>
      <c r="I5618" t="s">
        <v>20</v>
      </c>
      <c r="J5618" t="s">
        <v>64</v>
      </c>
      <c r="K5618" s="6">
        <v>0.03</v>
      </c>
      <c r="L5618" s="7">
        <f t="shared" si="175"/>
        <v>2E-3</v>
      </c>
      <c r="M5618" s="7">
        <v>3.0000000000000001E-3</v>
      </c>
      <c r="N5618">
        <v>11</v>
      </c>
      <c r="O5618" s="8">
        <v>20.328747193832452</v>
      </c>
      <c r="P5618" s="9">
        <v>20.328747193832452</v>
      </c>
      <c r="Q5618" s="9">
        <v>20.328747193832452</v>
      </c>
      <c r="R5618" s="9">
        <v>20.901467178587069</v>
      </c>
      <c r="S5618" s="9">
        <v>21.789694031871221</v>
      </c>
      <c r="T5618" s="9">
        <v>22.685842380093916</v>
      </c>
      <c r="U5618" s="9">
        <v>25.139615720574728</v>
      </c>
      <c r="V5618" s="9">
        <v>25.139615720574728</v>
      </c>
      <c r="W5618" s="9">
        <v>25.139615720574728</v>
      </c>
      <c r="X5618" s="9">
        <v>28.431126761040446</v>
      </c>
      <c r="Y5618" s="9">
        <v>28.431126761040446</v>
      </c>
      <c r="Z5618" s="9">
        <v>31.8133765751437</v>
      </c>
      <c r="AA5618" s="9">
        <v>31.8133765751437</v>
      </c>
      <c r="AB5618" s="9">
        <v>35.295439040248269</v>
      </c>
      <c r="AC5618" s="9">
        <v>35.295439040248269</v>
      </c>
      <c r="AD5618" s="9">
        <v>40.66038110622798</v>
      </c>
      <c r="AE5618" s="9">
        <v>44.145469767258199</v>
      </c>
      <c r="AF5618" s="9">
        <v>47.802065076832598</v>
      </c>
      <c r="AG5618" s="9">
        <v>47.802065076832598</v>
      </c>
      <c r="AH5618" s="9">
        <v>52.368463891218347</v>
      </c>
      <c r="AI5618" s="9">
        <v>56.090712435126555</v>
      </c>
      <c r="AJ5618" s="9">
        <v>3.0428788910505911</v>
      </c>
    </row>
    <row r="5619" spans="1:36" x14ac:dyDescent="0.25">
      <c r="A5619" t="s">
        <v>5411</v>
      </c>
      <c r="B5619" t="s">
        <v>16</v>
      </c>
      <c r="C5619" t="s">
        <v>17</v>
      </c>
      <c r="D5619">
        <v>95997000</v>
      </c>
      <c r="E5619">
        <v>95999999</v>
      </c>
      <c r="F5619" t="s">
        <v>5070</v>
      </c>
      <c r="G5619" t="str">
        <f t="shared" si="174"/>
        <v>RSI II</v>
      </c>
      <c r="H5619" t="s">
        <v>4915</v>
      </c>
      <c r="I5619" t="s">
        <v>20</v>
      </c>
      <c r="J5619" t="s">
        <v>64</v>
      </c>
      <c r="K5619" s="6">
        <v>0.03</v>
      </c>
      <c r="L5619" s="7">
        <f t="shared" si="175"/>
        <v>2E-3</v>
      </c>
      <c r="M5619" s="7">
        <v>3.0000000000000001E-3</v>
      </c>
      <c r="N5619">
        <v>11</v>
      </c>
      <c r="O5619" s="8">
        <v>20.328747193832452</v>
      </c>
      <c r="P5619" s="9">
        <v>20.328747193832452</v>
      </c>
      <c r="Q5619" s="9">
        <v>20.328747193832452</v>
      </c>
      <c r="R5619" s="9">
        <v>20.901467178587069</v>
      </c>
      <c r="S5619" s="9">
        <v>21.789694031871221</v>
      </c>
      <c r="T5619" s="9">
        <v>22.685842380093916</v>
      </c>
      <c r="U5619" s="9">
        <v>25.139615720574728</v>
      </c>
      <c r="V5619" s="9">
        <v>25.139615720574728</v>
      </c>
      <c r="W5619" s="9">
        <v>25.139615720574728</v>
      </c>
      <c r="X5619" s="9">
        <v>28.431126761040446</v>
      </c>
      <c r="Y5619" s="9">
        <v>28.431126761040446</v>
      </c>
      <c r="Z5619" s="9">
        <v>31.8133765751437</v>
      </c>
      <c r="AA5619" s="9">
        <v>31.8133765751437</v>
      </c>
      <c r="AB5619" s="9">
        <v>35.295439040248269</v>
      </c>
      <c r="AC5619" s="9">
        <v>35.295439040248269</v>
      </c>
      <c r="AD5619" s="9">
        <v>40.66038110622798</v>
      </c>
      <c r="AE5619" s="9">
        <v>44.145469767258199</v>
      </c>
      <c r="AF5619" s="9">
        <v>47.802065076832598</v>
      </c>
      <c r="AG5619" s="9">
        <v>47.802065076832598</v>
      </c>
      <c r="AH5619" s="9">
        <v>52.368463891218347</v>
      </c>
      <c r="AI5619" s="9">
        <v>56.090712435126555</v>
      </c>
      <c r="AJ5619" s="9">
        <v>3.0428788910505911</v>
      </c>
    </row>
    <row r="5620" spans="1:36" x14ac:dyDescent="0.25">
      <c r="A5620" t="s">
        <v>5411</v>
      </c>
      <c r="B5620" t="s">
        <v>16</v>
      </c>
      <c r="C5620" t="s">
        <v>17</v>
      </c>
      <c r="D5620">
        <v>96000000</v>
      </c>
      <c r="E5620">
        <v>96147999</v>
      </c>
      <c r="F5620" t="s">
        <v>5071</v>
      </c>
      <c r="G5620" t="str">
        <f t="shared" si="174"/>
        <v>RSI</v>
      </c>
      <c r="H5620" t="s">
        <v>4915</v>
      </c>
      <c r="I5620" t="s">
        <v>20</v>
      </c>
      <c r="J5620" t="s">
        <v>62</v>
      </c>
      <c r="K5620" s="6">
        <v>0.03</v>
      </c>
      <c r="L5620" s="7">
        <f t="shared" si="175"/>
        <v>2E-3</v>
      </c>
      <c r="M5620" s="7">
        <v>3.0000000000000001E-3</v>
      </c>
      <c r="N5620">
        <v>8</v>
      </c>
      <c r="O5620" s="8">
        <v>17.509302802156309</v>
      </c>
      <c r="P5620" s="9">
        <v>17.509302802156309</v>
      </c>
      <c r="Q5620" s="9">
        <v>17.509302802156309</v>
      </c>
      <c r="R5620" s="9">
        <v>17.960073121579438</v>
      </c>
      <c r="S5620" s="9">
        <v>18.978426201825126</v>
      </c>
      <c r="T5620" s="9">
        <v>19.861619996324769</v>
      </c>
      <c r="U5620" s="9">
        <v>21.605211693624167</v>
      </c>
      <c r="V5620" s="9">
        <v>21.605211693624167</v>
      </c>
      <c r="W5620" s="9">
        <v>21.605211693624167</v>
      </c>
      <c r="X5620" s="9">
        <v>24.342346895578043</v>
      </c>
      <c r="Y5620" s="9">
        <v>24.342346895578043</v>
      </c>
      <c r="Z5620" s="9">
        <v>27.269806221922281</v>
      </c>
      <c r="AA5620" s="9">
        <v>27.269806221922281</v>
      </c>
      <c r="AB5620" s="9">
        <v>30.447232473217717</v>
      </c>
      <c r="AC5620" s="9">
        <v>30.447232473217717</v>
      </c>
      <c r="AD5620" s="9">
        <v>33.773696777878271</v>
      </c>
      <c r="AE5620" s="9">
        <v>37.668102449503657</v>
      </c>
      <c r="AF5620" s="9">
        <v>41.795656089883373</v>
      </c>
      <c r="AG5620" s="9">
        <v>41.795656089883373</v>
      </c>
      <c r="AH5620" s="9">
        <v>45.638668972740511</v>
      </c>
      <c r="AI5620" s="9">
        <v>49.380739592962819</v>
      </c>
      <c r="AJ5620" s="9">
        <v>3.0428788910505911</v>
      </c>
    </row>
    <row r="5621" spans="1:36" x14ac:dyDescent="0.25">
      <c r="A5621" t="s">
        <v>5411</v>
      </c>
      <c r="B5621" t="s">
        <v>16</v>
      </c>
      <c r="C5621" t="s">
        <v>17</v>
      </c>
      <c r="D5621">
        <v>96148000</v>
      </c>
      <c r="E5621">
        <v>96149999</v>
      </c>
      <c r="F5621" t="s">
        <v>5072</v>
      </c>
      <c r="G5621" t="str">
        <f t="shared" si="174"/>
        <v>RSI II</v>
      </c>
      <c r="H5621" t="s">
        <v>4915</v>
      </c>
      <c r="I5621" t="s">
        <v>20</v>
      </c>
      <c r="J5621" t="s">
        <v>64</v>
      </c>
      <c r="K5621" s="6">
        <v>0.03</v>
      </c>
      <c r="L5621" s="7">
        <f t="shared" si="175"/>
        <v>2E-3</v>
      </c>
      <c r="M5621" s="7">
        <v>3.0000000000000001E-3</v>
      </c>
      <c r="N5621">
        <v>11</v>
      </c>
      <c r="O5621" s="8">
        <v>20.328747193832452</v>
      </c>
      <c r="P5621" s="9">
        <v>20.328747193832452</v>
      </c>
      <c r="Q5621" s="9">
        <v>20.328747193832452</v>
      </c>
      <c r="R5621" s="9">
        <v>20.901467178587069</v>
      </c>
      <c r="S5621" s="9">
        <v>21.789694031871221</v>
      </c>
      <c r="T5621" s="9">
        <v>22.685842380093916</v>
      </c>
      <c r="U5621" s="9">
        <v>25.139615720574728</v>
      </c>
      <c r="V5621" s="9">
        <v>25.139615720574728</v>
      </c>
      <c r="W5621" s="9">
        <v>25.139615720574728</v>
      </c>
      <c r="X5621" s="9">
        <v>28.431126761040446</v>
      </c>
      <c r="Y5621" s="9">
        <v>28.431126761040446</v>
      </c>
      <c r="Z5621" s="9">
        <v>31.8133765751437</v>
      </c>
      <c r="AA5621" s="9">
        <v>31.8133765751437</v>
      </c>
      <c r="AB5621" s="9">
        <v>35.295439040248269</v>
      </c>
      <c r="AC5621" s="9">
        <v>35.295439040248269</v>
      </c>
      <c r="AD5621" s="9">
        <v>40.66038110622798</v>
      </c>
      <c r="AE5621" s="9">
        <v>44.145469767258199</v>
      </c>
      <c r="AF5621" s="9">
        <v>47.802065076832598</v>
      </c>
      <c r="AG5621" s="9">
        <v>47.802065076832598</v>
      </c>
      <c r="AH5621" s="9">
        <v>52.368463891218347</v>
      </c>
      <c r="AI5621" s="9">
        <v>56.090712435126555</v>
      </c>
      <c r="AJ5621" s="9">
        <v>3.0428788910505911</v>
      </c>
    </row>
    <row r="5622" spans="1:36" x14ac:dyDescent="0.25">
      <c r="A5622" t="s">
        <v>5411</v>
      </c>
      <c r="B5622" t="s">
        <v>16</v>
      </c>
      <c r="C5622" t="s">
        <v>17</v>
      </c>
      <c r="D5622">
        <v>96150000</v>
      </c>
      <c r="E5622">
        <v>96154999</v>
      </c>
      <c r="F5622" t="s">
        <v>5073</v>
      </c>
      <c r="G5622" t="str">
        <f t="shared" si="174"/>
        <v>RSI II</v>
      </c>
      <c r="H5622" t="s">
        <v>4915</v>
      </c>
      <c r="I5622" t="s">
        <v>20</v>
      </c>
      <c r="J5622" t="s">
        <v>64</v>
      </c>
      <c r="K5622" s="6">
        <v>0.03</v>
      </c>
      <c r="L5622" s="7">
        <f t="shared" si="175"/>
        <v>2E-3</v>
      </c>
      <c r="M5622" s="7">
        <v>3.0000000000000001E-3</v>
      </c>
      <c r="N5622">
        <v>11</v>
      </c>
      <c r="O5622" s="8">
        <v>20.328747193832452</v>
      </c>
      <c r="P5622" s="9">
        <v>20.328747193832452</v>
      </c>
      <c r="Q5622" s="9">
        <v>20.328747193832452</v>
      </c>
      <c r="R5622" s="9">
        <v>20.901467178587069</v>
      </c>
      <c r="S5622" s="9">
        <v>21.789694031871221</v>
      </c>
      <c r="T5622" s="9">
        <v>22.685842380093916</v>
      </c>
      <c r="U5622" s="9">
        <v>25.139615720574728</v>
      </c>
      <c r="V5622" s="9">
        <v>25.139615720574728</v>
      </c>
      <c r="W5622" s="9">
        <v>25.139615720574728</v>
      </c>
      <c r="X5622" s="9">
        <v>28.431126761040446</v>
      </c>
      <c r="Y5622" s="9">
        <v>28.431126761040446</v>
      </c>
      <c r="Z5622" s="9">
        <v>31.8133765751437</v>
      </c>
      <c r="AA5622" s="9">
        <v>31.8133765751437</v>
      </c>
      <c r="AB5622" s="9">
        <v>35.295439040248269</v>
      </c>
      <c r="AC5622" s="9">
        <v>35.295439040248269</v>
      </c>
      <c r="AD5622" s="9">
        <v>40.66038110622798</v>
      </c>
      <c r="AE5622" s="9">
        <v>44.145469767258199</v>
      </c>
      <c r="AF5622" s="9">
        <v>47.802065076832598</v>
      </c>
      <c r="AG5622" s="9">
        <v>47.802065076832598</v>
      </c>
      <c r="AH5622" s="9">
        <v>52.368463891218347</v>
      </c>
      <c r="AI5622" s="9">
        <v>56.090712435126555</v>
      </c>
      <c r="AJ5622" s="9">
        <v>3.0428788910505911</v>
      </c>
    </row>
    <row r="5623" spans="1:36" x14ac:dyDescent="0.25">
      <c r="A5623" t="s">
        <v>5411</v>
      </c>
      <c r="B5623" t="s">
        <v>16</v>
      </c>
      <c r="C5623" t="s">
        <v>17</v>
      </c>
      <c r="D5623">
        <v>96155000</v>
      </c>
      <c r="E5623">
        <v>96159999</v>
      </c>
      <c r="F5623" t="s">
        <v>5074</v>
      </c>
      <c r="G5623" t="str">
        <f t="shared" si="174"/>
        <v>RSI II</v>
      </c>
      <c r="H5623" t="s">
        <v>4915</v>
      </c>
      <c r="I5623" t="s">
        <v>20</v>
      </c>
      <c r="J5623" t="s">
        <v>64</v>
      </c>
      <c r="K5623" s="6">
        <v>0.03</v>
      </c>
      <c r="L5623" s="7">
        <f t="shared" si="175"/>
        <v>2E-3</v>
      </c>
      <c r="M5623" s="7">
        <v>3.0000000000000001E-3</v>
      </c>
      <c r="N5623">
        <v>11</v>
      </c>
      <c r="O5623" s="8">
        <v>20.328747193832452</v>
      </c>
      <c r="P5623" s="9">
        <v>20.328747193832452</v>
      </c>
      <c r="Q5623" s="9">
        <v>20.328747193832452</v>
      </c>
      <c r="R5623" s="9">
        <v>20.901467178587069</v>
      </c>
      <c r="S5623" s="9">
        <v>21.789694031871221</v>
      </c>
      <c r="T5623" s="9">
        <v>22.685842380093916</v>
      </c>
      <c r="U5623" s="9">
        <v>25.139615720574728</v>
      </c>
      <c r="V5623" s="9">
        <v>25.139615720574728</v>
      </c>
      <c r="W5623" s="9">
        <v>25.139615720574728</v>
      </c>
      <c r="X5623" s="9">
        <v>28.431126761040446</v>
      </c>
      <c r="Y5623" s="9">
        <v>28.431126761040446</v>
      </c>
      <c r="Z5623" s="9">
        <v>31.8133765751437</v>
      </c>
      <c r="AA5623" s="9">
        <v>31.8133765751437</v>
      </c>
      <c r="AB5623" s="9">
        <v>35.295439040248269</v>
      </c>
      <c r="AC5623" s="9">
        <v>35.295439040248269</v>
      </c>
      <c r="AD5623" s="9">
        <v>40.66038110622798</v>
      </c>
      <c r="AE5623" s="9">
        <v>44.145469767258199</v>
      </c>
      <c r="AF5623" s="9">
        <v>47.802065076832598</v>
      </c>
      <c r="AG5623" s="9">
        <v>47.802065076832598</v>
      </c>
      <c r="AH5623" s="9">
        <v>52.368463891218347</v>
      </c>
      <c r="AI5623" s="9">
        <v>56.090712435126555</v>
      </c>
      <c r="AJ5623" s="9">
        <v>3.0428788910505911</v>
      </c>
    </row>
    <row r="5624" spans="1:36" x14ac:dyDescent="0.25">
      <c r="A5624" t="s">
        <v>5411</v>
      </c>
      <c r="B5624" t="s">
        <v>16</v>
      </c>
      <c r="C5624" t="s">
        <v>17</v>
      </c>
      <c r="D5624">
        <v>96160000</v>
      </c>
      <c r="E5624">
        <v>96169999</v>
      </c>
      <c r="F5624" t="s">
        <v>5075</v>
      </c>
      <c r="G5624" t="str">
        <f t="shared" si="174"/>
        <v>RSI II</v>
      </c>
      <c r="H5624" t="s">
        <v>4915</v>
      </c>
      <c r="I5624" t="s">
        <v>20</v>
      </c>
      <c r="J5624" t="s">
        <v>64</v>
      </c>
      <c r="K5624" s="6">
        <v>0.03</v>
      </c>
      <c r="L5624" s="7">
        <f t="shared" si="175"/>
        <v>2E-3</v>
      </c>
      <c r="M5624" s="7">
        <v>3.0000000000000001E-3</v>
      </c>
      <c r="N5624">
        <v>11</v>
      </c>
      <c r="O5624" s="8">
        <v>20.328747193832452</v>
      </c>
      <c r="P5624" s="9">
        <v>20.328747193832452</v>
      </c>
      <c r="Q5624" s="9">
        <v>20.328747193832452</v>
      </c>
      <c r="R5624" s="9">
        <v>20.901467178587069</v>
      </c>
      <c r="S5624" s="9">
        <v>21.789694031871221</v>
      </c>
      <c r="T5624" s="9">
        <v>22.685842380093916</v>
      </c>
      <c r="U5624" s="9">
        <v>25.139615720574728</v>
      </c>
      <c r="V5624" s="9">
        <v>25.139615720574728</v>
      </c>
      <c r="W5624" s="9">
        <v>25.139615720574728</v>
      </c>
      <c r="X5624" s="9">
        <v>28.431126761040446</v>
      </c>
      <c r="Y5624" s="9">
        <v>28.431126761040446</v>
      </c>
      <c r="Z5624" s="9">
        <v>31.8133765751437</v>
      </c>
      <c r="AA5624" s="9">
        <v>31.8133765751437</v>
      </c>
      <c r="AB5624" s="9">
        <v>35.295439040248269</v>
      </c>
      <c r="AC5624" s="9">
        <v>35.295439040248269</v>
      </c>
      <c r="AD5624" s="9">
        <v>40.66038110622798</v>
      </c>
      <c r="AE5624" s="9">
        <v>44.145469767258199</v>
      </c>
      <c r="AF5624" s="9">
        <v>47.802065076832598</v>
      </c>
      <c r="AG5624" s="9">
        <v>47.802065076832598</v>
      </c>
      <c r="AH5624" s="9">
        <v>52.368463891218347</v>
      </c>
      <c r="AI5624" s="9">
        <v>56.090712435126555</v>
      </c>
      <c r="AJ5624" s="9">
        <v>3.0428788910505911</v>
      </c>
    </row>
    <row r="5625" spans="1:36" x14ac:dyDescent="0.25">
      <c r="A5625" t="s">
        <v>5411</v>
      </c>
      <c r="B5625" t="s">
        <v>16</v>
      </c>
      <c r="C5625" t="s">
        <v>17</v>
      </c>
      <c r="D5625">
        <v>96170000</v>
      </c>
      <c r="E5625">
        <v>96177999</v>
      </c>
      <c r="F5625" t="s">
        <v>5076</v>
      </c>
      <c r="G5625" t="str">
        <f t="shared" si="174"/>
        <v>RSI II</v>
      </c>
      <c r="H5625" t="s">
        <v>4915</v>
      </c>
      <c r="I5625" t="s">
        <v>20</v>
      </c>
      <c r="J5625" t="s">
        <v>64</v>
      </c>
      <c r="K5625" s="6">
        <v>0.03</v>
      </c>
      <c r="L5625" s="7">
        <f t="shared" si="175"/>
        <v>2E-3</v>
      </c>
      <c r="M5625" s="7">
        <v>3.0000000000000001E-3</v>
      </c>
      <c r="N5625">
        <v>11</v>
      </c>
      <c r="O5625" s="8">
        <v>20.328747193832452</v>
      </c>
      <c r="P5625" s="9">
        <v>20.328747193832452</v>
      </c>
      <c r="Q5625" s="9">
        <v>20.328747193832452</v>
      </c>
      <c r="R5625" s="9">
        <v>20.901467178587069</v>
      </c>
      <c r="S5625" s="9">
        <v>21.789694031871221</v>
      </c>
      <c r="T5625" s="9">
        <v>22.685842380093916</v>
      </c>
      <c r="U5625" s="9">
        <v>25.139615720574728</v>
      </c>
      <c r="V5625" s="9">
        <v>25.139615720574728</v>
      </c>
      <c r="W5625" s="9">
        <v>25.139615720574728</v>
      </c>
      <c r="X5625" s="9">
        <v>28.431126761040446</v>
      </c>
      <c r="Y5625" s="9">
        <v>28.431126761040446</v>
      </c>
      <c r="Z5625" s="9">
        <v>31.8133765751437</v>
      </c>
      <c r="AA5625" s="9">
        <v>31.8133765751437</v>
      </c>
      <c r="AB5625" s="9">
        <v>35.295439040248269</v>
      </c>
      <c r="AC5625" s="9">
        <v>35.295439040248269</v>
      </c>
      <c r="AD5625" s="9">
        <v>40.66038110622798</v>
      </c>
      <c r="AE5625" s="9">
        <v>44.145469767258199</v>
      </c>
      <c r="AF5625" s="9">
        <v>47.802065076832598</v>
      </c>
      <c r="AG5625" s="9">
        <v>47.802065076832598</v>
      </c>
      <c r="AH5625" s="9">
        <v>52.368463891218347</v>
      </c>
      <c r="AI5625" s="9">
        <v>56.090712435126555</v>
      </c>
      <c r="AJ5625" s="9">
        <v>3.0428788910505911</v>
      </c>
    </row>
    <row r="5626" spans="1:36" x14ac:dyDescent="0.25">
      <c r="A5626" t="s">
        <v>5411</v>
      </c>
      <c r="B5626" t="s">
        <v>16</v>
      </c>
      <c r="C5626" t="s">
        <v>17</v>
      </c>
      <c r="D5626">
        <v>96178000</v>
      </c>
      <c r="E5626">
        <v>96179999</v>
      </c>
      <c r="F5626" t="s">
        <v>5077</v>
      </c>
      <c r="G5626" t="str">
        <f t="shared" si="174"/>
        <v>RSI II</v>
      </c>
      <c r="H5626" t="s">
        <v>4915</v>
      </c>
      <c r="I5626" t="s">
        <v>20</v>
      </c>
      <c r="J5626" t="s">
        <v>64</v>
      </c>
      <c r="K5626" s="6">
        <v>0.03</v>
      </c>
      <c r="L5626" s="7">
        <f t="shared" si="175"/>
        <v>2E-3</v>
      </c>
      <c r="M5626" s="7">
        <v>3.0000000000000001E-3</v>
      </c>
      <c r="N5626">
        <v>10</v>
      </c>
      <c r="O5626" s="8">
        <v>20.328747193832452</v>
      </c>
      <c r="P5626" s="9">
        <v>20.328747193832452</v>
      </c>
      <c r="Q5626" s="9">
        <v>20.328747193832452</v>
      </c>
      <c r="R5626" s="9">
        <v>20.901467178587069</v>
      </c>
      <c r="S5626" s="9">
        <v>21.789694031871221</v>
      </c>
      <c r="T5626" s="9">
        <v>22.685842380093916</v>
      </c>
      <c r="U5626" s="9">
        <v>25.139615720574728</v>
      </c>
      <c r="V5626" s="9">
        <v>25.139615720574728</v>
      </c>
      <c r="W5626" s="9">
        <v>25.139615720574728</v>
      </c>
      <c r="X5626" s="9">
        <v>28.431126761040446</v>
      </c>
      <c r="Y5626" s="9">
        <v>28.431126761040446</v>
      </c>
      <c r="Z5626" s="9">
        <v>31.8133765751437</v>
      </c>
      <c r="AA5626" s="9">
        <v>31.8133765751437</v>
      </c>
      <c r="AB5626" s="9">
        <v>35.295439040248269</v>
      </c>
      <c r="AC5626" s="9">
        <v>35.295439040248269</v>
      </c>
      <c r="AD5626" s="9">
        <v>40.66038110622798</v>
      </c>
      <c r="AE5626" s="9">
        <v>44.145469767258199</v>
      </c>
      <c r="AF5626" s="9">
        <v>47.802065076832598</v>
      </c>
      <c r="AG5626" s="9">
        <v>47.802065076832598</v>
      </c>
      <c r="AH5626" s="9">
        <v>52.368463891218347</v>
      </c>
      <c r="AI5626" s="9">
        <v>56.090712435126555</v>
      </c>
      <c r="AJ5626" s="9">
        <v>3.0428788910505911</v>
      </c>
    </row>
    <row r="5627" spans="1:36" x14ac:dyDescent="0.25">
      <c r="A5627" t="s">
        <v>5411</v>
      </c>
      <c r="B5627" t="s">
        <v>16</v>
      </c>
      <c r="C5627" t="s">
        <v>17</v>
      </c>
      <c r="D5627">
        <v>96180000</v>
      </c>
      <c r="E5627">
        <v>96189999</v>
      </c>
      <c r="F5627" t="s">
        <v>5078</v>
      </c>
      <c r="G5627" t="str">
        <f t="shared" si="174"/>
        <v>RSI</v>
      </c>
      <c r="H5627" t="s">
        <v>4915</v>
      </c>
      <c r="I5627" t="s">
        <v>20</v>
      </c>
      <c r="J5627" t="s">
        <v>62</v>
      </c>
      <c r="K5627" s="6">
        <v>0.03</v>
      </c>
      <c r="L5627" s="7">
        <f t="shared" si="175"/>
        <v>2E-3</v>
      </c>
      <c r="M5627" s="7">
        <v>3.0000000000000001E-3</v>
      </c>
      <c r="N5627">
        <v>9</v>
      </c>
      <c r="O5627" s="8">
        <v>17.509302802156309</v>
      </c>
      <c r="P5627" s="9">
        <v>17.509302802156309</v>
      </c>
      <c r="Q5627" s="9">
        <v>17.509302802156309</v>
      </c>
      <c r="R5627" s="9">
        <v>17.960073121579438</v>
      </c>
      <c r="S5627" s="9">
        <v>18.978426201825126</v>
      </c>
      <c r="T5627" s="9">
        <v>19.861619996324769</v>
      </c>
      <c r="U5627" s="9">
        <v>21.605211693624167</v>
      </c>
      <c r="V5627" s="9">
        <v>21.605211693624167</v>
      </c>
      <c r="W5627" s="9">
        <v>21.605211693624167</v>
      </c>
      <c r="X5627" s="9">
        <v>24.342346895578043</v>
      </c>
      <c r="Y5627" s="9">
        <v>24.342346895578043</v>
      </c>
      <c r="Z5627" s="9">
        <v>27.269806221922281</v>
      </c>
      <c r="AA5627" s="9">
        <v>27.269806221922281</v>
      </c>
      <c r="AB5627" s="9">
        <v>30.447232473217717</v>
      </c>
      <c r="AC5627" s="9">
        <v>30.447232473217717</v>
      </c>
      <c r="AD5627" s="9">
        <v>33.773696777878271</v>
      </c>
      <c r="AE5627" s="9">
        <v>37.668102449503657</v>
      </c>
      <c r="AF5627" s="9">
        <v>41.795656089883373</v>
      </c>
      <c r="AG5627" s="9">
        <v>41.795656089883373</v>
      </c>
      <c r="AH5627" s="9">
        <v>45.638668972740511</v>
      </c>
      <c r="AI5627" s="9">
        <v>49.380739592962819</v>
      </c>
      <c r="AJ5627" s="9">
        <v>3.0428788910505911</v>
      </c>
    </row>
    <row r="5628" spans="1:36" x14ac:dyDescent="0.25">
      <c r="A5628" t="s">
        <v>5411</v>
      </c>
      <c r="B5628" t="s">
        <v>16</v>
      </c>
      <c r="C5628" t="s">
        <v>17</v>
      </c>
      <c r="D5628">
        <v>96190000</v>
      </c>
      <c r="E5628">
        <v>96192999</v>
      </c>
      <c r="F5628" t="s">
        <v>5079</v>
      </c>
      <c r="G5628" t="str">
        <f t="shared" si="174"/>
        <v>RSI II</v>
      </c>
      <c r="H5628" t="s">
        <v>4915</v>
      </c>
      <c r="I5628" t="s">
        <v>20</v>
      </c>
      <c r="J5628" t="s">
        <v>64</v>
      </c>
      <c r="K5628" s="6">
        <v>0.03</v>
      </c>
      <c r="L5628" s="7">
        <f t="shared" si="175"/>
        <v>2E-3</v>
      </c>
      <c r="M5628" s="7">
        <v>3.0000000000000001E-3</v>
      </c>
      <c r="N5628">
        <v>10</v>
      </c>
      <c r="O5628" s="8">
        <v>20.328747193832452</v>
      </c>
      <c r="P5628" s="9">
        <v>20.328747193832452</v>
      </c>
      <c r="Q5628" s="9">
        <v>20.328747193832452</v>
      </c>
      <c r="R5628" s="9">
        <v>20.901467178587069</v>
      </c>
      <c r="S5628" s="9">
        <v>21.789694031871221</v>
      </c>
      <c r="T5628" s="9">
        <v>22.685842380093916</v>
      </c>
      <c r="U5628" s="9">
        <v>25.139615720574728</v>
      </c>
      <c r="V5628" s="9">
        <v>25.139615720574728</v>
      </c>
      <c r="W5628" s="9">
        <v>25.139615720574728</v>
      </c>
      <c r="X5628" s="9">
        <v>28.431126761040446</v>
      </c>
      <c r="Y5628" s="9">
        <v>28.431126761040446</v>
      </c>
      <c r="Z5628" s="9">
        <v>31.8133765751437</v>
      </c>
      <c r="AA5628" s="9">
        <v>31.8133765751437</v>
      </c>
      <c r="AB5628" s="9">
        <v>35.295439040248269</v>
      </c>
      <c r="AC5628" s="9">
        <v>35.295439040248269</v>
      </c>
      <c r="AD5628" s="9">
        <v>40.66038110622798</v>
      </c>
      <c r="AE5628" s="9">
        <v>44.145469767258199</v>
      </c>
      <c r="AF5628" s="9">
        <v>47.802065076832598</v>
      </c>
      <c r="AG5628" s="9">
        <v>47.802065076832598</v>
      </c>
      <c r="AH5628" s="9">
        <v>52.368463891218347</v>
      </c>
      <c r="AI5628" s="9">
        <v>56.090712435126555</v>
      </c>
      <c r="AJ5628" s="9">
        <v>3.0428788910505911</v>
      </c>
    </row>
    <row r="5629" spans="1:36" x14ac:dyDescent="0.25">
      <c r="A5629" t="s">
        <v>5411</v>
      </c>
      <c r="B5629" t="s">
        <v>16</v>
      </c>
      <c r="C5629" t="s">
        <v>17</v>
      </c>
      <c r="D5629">
        <v>96193000</v>
      </c>
      <c r="E5629">
        <v>96194999</v>
      </c>
      <c r="F5629" t="s">
        <v>5080</v>
      </c>
      <c r="G5629" t="str">
        <f t="shared" si="174"/>
        <v>RSI II</v>
      </c>
      <c r="H5629" t="s">
        <v>4915</v>
      </c>
      <c r="I5629" t="s">
        <v>20</v>
      </c>
      <c r="J5629" t="s">
        <v>64</v>
      </c>
      <c r="K5629" s="6">
        <v>0.03</v>
      </c>
      <c r="L5629" s="7">
        <f t="shared" si="175"/>
        <v>2E-3</v>
      </c>
      <c r="M5629" s="7">
        <v>3.0000000000000001E-3</v>
      </c>
      <c r="N5629">
        <v>10</v>
      </c>
      <c r="O5629" s="8">
        <v>20.328747193832452</v>
      </c>
      <c r="P5629" s="9">
        <v>20.328747193832452</v>
      </c>
      <c r="Q5629" s="9">
        <v>20.328747193832452</v>
      </c>
      <c r="R5629" s="9">
        <v>20.901467178587069</v>
      </c>
      <c r="S5629" s="9">
        <v>21.789694031871221</v>
      </c>
      <c r="T5629" s="9">
        <v>22.685842380093916</v>
      </c>
      <c r="U5629" s="9">
        <v>25.139615720574728</v>
      </c>
      <c r="V5629" s="9">
        <v>25.139615720574728</v>
      </c>
      <c r="W5629" s="9">
        <v>25.139615720574728</v>
      </c>
      <c r="X5629" s="9">
        <v>28.431126761040446</v>
      </c>
      <c r="Y5629" s="9">
        <v>28.431126761040446</v>
      </c>
      <c r="Z5629" s="9">
        <v>31.8133765751437</v>
      </c>
      <c r="AA5629" s="9">
        <v>31.8133765751437</v>
      </c>
      <c r="AB5629" s="9">
        <v>35.295439040248269</v>
      </c>
      <c r="AC5629" s="9">
        <v>35.295439040248269</v>
      </c>
      <c r="AD5629" s="9">
        <v>40.66038110622798</v>
      </c>
      <c r="AE5629" s="9">
        <v>44.145469767258199</v>
      </c>
      <c r="AF5629" s="9">
        <v>47.802065076832598</v>
      </c>
      <c r="AG5629" s="9">
        <v>47.802065076832598</v>
      </c>
      <c r="AH5629" s="9">
        <v>52.368463891218347</v>
      </c>
      <c r="AI5629" s="9">
        <v>56.090712435126555</v>
      </c>
      <c r="AJ5629" s="9">
        <v>3.0428788910505911</v>
      </c>
    </row>
    <row r="5630" spans="1:36" x14ac:dyDescent="0.25">
      <c r="A5630" t="s">
        <v>5411</v>
      </c>
      <c r="B5630" t="s">
        <v>16</v>
      </c>
      <c r="C5630" t="s">
        <v>17</v>
      </c>
      <c r="D5630">
        <v>96195000</v>
      </c>
      <c r="E5630">
        <v>96199999</v>
      </c>
      <c r="F5630" t="s">
        <v>5081</v>
      </c>
      <c r="G5630" t="str">
        <f t="shared" si="174"/>
        <v>RSI II</v>
      </c>
      <c r="H5630" t="s">
        <v>4915</v>
      </c>
      <c r="I5630" t="s">
        <v>20</v>
      </c>
      <c r="J5630" t="s">
        <v>64</v>
      </c>
      <c r="K5630" s="6">
        <v>0.03</v>
      </c>
      <c r="L5630" s="7">
        <f t="shared" si="175"/>
        <v>2E-3</v>
      </c>
      <c r="M5630" s="7">
        <v>3.0000000000000001E-3</v>
      </c>
      <c r="N5630">
        <v>10</v>
      </c>
      <c r="O5630" s="8">
        <v>20.328747193832452</v>
      </c>
      <c r="P5630" s="9">
        <v>20.328747193832452</v>
      </c>
      <c r="Q5630" s="9">
        <v>20.328747193832452</v>
      </c>
      <c r="R5630" s="9">
        <v>20.901467178587069</v>
      </c>
      <c r="S5630" s="9">
        <v>21.789694031871221</v>
      </c>
      <c r="T5630" s="9">
        <v>22.685842380093916</v>
      </c>
      <c r="U5630" s="9">
        <v>25.139615720574728</v>
      </c>
      <c r="V5630" s="9">
        <v>25.139615720574728</v>
      </c>
      <c r="W5630" s="9">
        <v>25.139615720574728</v>
      </c>
      <c r="X5630" s="9">
        <v>28.431126761040446</v>
      </c>
      <c r="Y5630" s="9">
        <v>28.431126761040446</v>
      </c>
      <c r="Z5630" s="9">
        <v>31.8133765751437</v>
      </c>
      <c r="AA5630" s="9">
        <v>31.8133765751437</v>
      </c>
      <c r="AB5630" s="9">
        <v>35.295439040248269</v>
      </c>
      <c r="AC5630" s="9">
        <v>35.295439040248269</v>
      </c>
      <c r="AD5630" s="9">
        <v>40.66038110622798</v>
      </c>
      <c r="AE5630" s="9">
        <v>44.145469767258199</v>
      </c>
      <c r="AF5630" s="9">
        <v>47.802065076832598</v>
      </c>
      <c r="AG5630" s="9">
        <v>47.802065076832598</v>
      </c>
      <c r="AH5630" s="9">
        <v>52.368463891218347</v>
      </c>
      <c r="AI5630" s="9">
        <v>56.090712435126555</v>
      </c>
      <c r="AJ5630" s="9">
        <v>3.0428788910505911</v>
      </c>
    </row>
    <row r="5631" spans="1:36" x14ac:dyDescent="0.25">
      <c r="A5631" t="s">
        <v>5411</v>
      </c>
      <c r="B5631" t="s">
        <v>16</v>
      </c>
      <c r="C5631" t="s">
        <v>17</v>
      </c>
      <c r="D5631">
        <v>96200000</v>
      </c>
      <c r="E5631">
        <v>96224999</v>
      </c>
      <c r="F5631" t="s">
        <v>5082</v>
      </c>
      <c r="G5631" t="str">
        <f t="shared" si="174"/>
        <v>RSI</v>
      </c>
      <c r="H5631" t="s">
        <v>4915</v>
      </c>
      <c r="I5631" t="s">
        <v>20</v>
      </c>
      <c r="J5631" t="s">
        <v>62</v>
      </c>
      <c r="K5631" s="6">
        <v>0.03</v>
      </c>
      <c r="L5631" s="7">
        <f t="shared" si="175"/>
        <v>2E-3</v>
      </c>
      <c r="M5631" s="7">
        <v>3.0000000000000001E-3</v>
      </c>
      <c r="N5631">
        <v>8</v>
      </c>
      <c r="O5631" s="8">
        <v>17.509302802156309</v>
      </c>
      <c r="P5631" s="9">
        <v>17.509302802156309</v>
      </c>
      <c r="Q5631" s="9">
        <v>17.509302802156309</v>
      </c>
      <c r="R5631" s="9">
        <v>17.960073121579438</v>
      </c>
      <c r="S5631" s="9">
        <v>18.978426201825126</v>
      </c>
      <c r="T5631" s="9">
        <v>19.861619996324769</v>
      </c>
      <c r="U5631" s="9">
        <v>21.605211693624167</v>
      </c>
      <c r="V5631" s="9">
        <v>21.605211693624167</v>
      </c>
      <c r="W5631" s="9">
        <v>21.605211693624167</v>
      </c>
      <c r="X5631" s="9">
        <v>24.342346895578043</v>
      </c>
      <c r="Y5631" s="9">
        <v>24.342346895578043</v>
      </c>
      <c r="Z5631" s="9">
        <v>27.269806221922281</v>
      </c>
      <c r="AA5631" s="9">
        <v>27.269806221922281</v>
      </c>
      <c r="AB5631" s="9">
        <v>30.447232473217717</v>
      </c>
      <c r="AC5631" s="9">
        <v>30.447232473217717</v>
      </c>
      <c r="AD5631" s="9">
        <v>33.773696777878271</v>
      </c>
      <c r="AE5631" s="9">
        <v>37.668102449503657</v>
      </c>
      <c r="AF5631" s="9">
        <v>41.795656089883373</v>
      </c>
      <c r="AG5631" s="9">
        <v>41.795656089883373</v>
      </c>
      <c r="AH5631" s="9">
        <v>45.638668972740511</v>
      </c>
      <c r="AI5631" s="9">
        <v>49.380739592962819</v>
      </c>
      <c r="AJ5631" s="9">
        <v>3.0428788910505911</v>
      </c>
    </row>
    <row r="5632" spans="1:36" x14ac:dyDescent="0.25">
      <c r="A5632" t="s">
        <v>5411</v>
      </c>
      <c r="B5632" t="s">
        <v>16</v>
      </c>
      <c r="C5632" t="s">
        <v>17</v>
      </c>
      <c r="D5632">
        <v>96225000</v>
      </c>
      <c r="E5632">
        <v>96229999</v>
      </c>
      <c r="F5632" t="s">
        <v>5083</v>
      </c>
      <c r="G5632" t="str">
        <f t="shared" si="174"/>
        <v>RSI II</v>
      </c>
      <c r="H5632" t="s">
        <v>4915</v>
      </c>
      <c r="I5632" t="s">
        <v>20</v>
      </c>
      <c r="J5632" t="s">
        <v>64</v>
      </c>
      <c r="K5632" s="6">
        <v>0.03</v>
      </c>
      <c r="L5632" s="7">
        <f t="shared" si="175"/>
        <v>2E-3</v>
      </c>
      <c r="M5632" s="7">
        <v>3.0000000000000001E-3</v>
      </c>
      <c r="N5632">
        <v>11</v>
      </c>
      <c r="O5632" s="8">
        <v>20.328747193832452</v>
      </c>
      <c r="P5632" s="9">
        <v>20.328747193832452</v>
      </c>
      <c r="Q5632" s="9">
        <v>20.328747193832452</v>
      </c>
      <c r="R5632" s="9">
        <v>20.901467178587069</v>
      </c>
      <c r="S5632" s="9">
        <v>21.789694031871221</v>
      </c>
      <c r="T5632" s="9">
        <v>22.685842380093916</v>
      </c>
      <c r="U5632" s="9">
        <v>25.139615720574728</v>
      </c>
      <c r="V5632" s="9">
        <v>25.139615720574728</v>
      </c>
      <c r="W5632" s="9">
        <v>25.139615720574728</v>
      </c>
      <c r="X5632" s="9">
        <v>28.431126761040446</v>
      </c>
      <c r="Y5632" s="9">
        <v>28.431126761040446</v>
      </c>
      <c r="Z5632" s="9">
        <v>31.8133765751437</v>
      </c>
      <c r="AA5632" s="9">
        <v>31.8133765751437</v>
      </c>
      <c r="AB5632" s="9">
        <v>35.295439040248269</v>
      </c>
      <c r="AC5632" s="9">
        <v>35.295439040248269</v>
      </c>
      <c r="AD5632" s="9">
        <v>40.66038110622798</v>
      </c>
      <c r="AE5632" s="9">
        <v>44.145469767258199</v>
      </c>
      <c r="AF5632" s="9">
        <v>47.802065076832598</v>
      </c>
      <c r="AG5632" s="9">
        <v>47.802065076832598</v>
      </c>
      <c r="AH5632" s="9">
        <v>52.368463891218347</v>
      </c>
      <c r="AI5632" s="9">
        <v>56.090712435126555</v>
      </c>
      <c r="AJ5632" s="9">
        <v>3.0428788910505911</v>
      </c>
    </row>
    <row r="5633" spans="1:36" x14ac:dyDescent="0.25">
      <c r="A5633" t="s">
        <v>5411</v>
      </c>
      <c r="B5633" t="s">
        <v>16</v>
      </c>
      <c r="C5633" t="s">
        <v>17</v>
      </c>
      <c r="D5633">
        <v>96230000</v>
      </c>
      <c r="E5633">
        <v>96254999</v>
      </c>
      <c r="F5633" t="s">
        <v>5084</v>
      </c>
      <c r="G5633" t="str">
        <f t="shared" si="174"/>
        <v>RSI II</v>
      </c>
      <c r="H5633" t="s">
        <v>4915</v>
      </c>
      <c r="I5633" t="s">
        <v>20</v>
      </c>
      <c r="J5633" t="s">
        <v>64</v>
      </c>
      <c r="K5633" s="6">
        <v>0.03</v>
      </c>
      <c r="L5633" s="7">
        <f t="shared" si="175"/>
        <v>2E-3</v>
      </c>
      <c r="M5633" s="7">
        <v>3.0000000000000001E-3</v>
      </c>
      <c r="N5633">
        <v>11</v>
      </c>
      <c r="O5633" s="8">
        <v>20.328747193832452</v>
      </c>
      <c r="P5633" s="9">
        <v>20.328747193832452</v>
      </c>
      <c r="Q5633" s="9">
        <v>20.328747193832452</v>
      </c>
      <c r="R5633" s="9">
        <v>20.901467178587069</v>
      </c>
      <c r="S5633" s="9">
        <v>21.789694031871221</v>
      </c>
      <c r="T5633" s="9">
        <v>22.685842380093916</v>
      </c>
      <c r="U5633" s="9">
        <v>25.139615720574728</v>
      </c>
      <c r="V5633" s="9">
        <v>25.139615720574728</v>
      </c>
      <c r="W5633" s="9">
        <v>25.139615720574728</v>
      </c>
      <c r="X5633" s="9">
        <v>28.431126761040446</v>
      </c>
      <c r="Y5633" s="9">
        <v>28.431126761040446</v>
      </c>
      <c r="Z5633" s="9">
        <v>31.8133765751437</v>
      </c>
      <c r="AA5633" s="9">
        <v>31.8133765751437</v>
      </c>
      <c r="AB5633" s="9">
        <v>35.295439040248269</v>
      </c>
      <c r="AC5633" s="9">
        <v>35.295439040248269</v>
      </c>
      <c r="AD5633" s="9">
        <v>40.66038110622798</v>
      </c>
      <c r="AE5633" s="9">
        <v>44.145469767258199</v>
      </c>
      <c r="AF5633" s="9">
        <v>47.802065076832598</v>
      </c>
      <c r="AG5633" s="9">
        <v>47.802065076832598</v>
      </c>
      <c r="AH5633" s="9">
        <v>52.368463891218347</v>
      </c>
      <c r="AI5633" s="9">
        <v>56.090712435126555</v>
      </c>
      <c r="AJ5633" s="9">
        <v>3.0428788910505911</v>
      </c>
    </row>
    <row r="5634" spans="1:36" x14ac:dyDescent="0.25">
      <c r="A5634" t="s">
        <v>5411</v>
      </c>
      <c r="B5634" t="s">
        <v>16</v>
      </c>
      <c r="C5634" t="s">
        <v>17</v>
      </c>
      <c r="D5634">
        <v>96255000</v>
      </c>
      <c r="E5634">
        <v>96269999</v>
      </c>
      <c r="F5634" t="s">
        <v>5085</v>
      </c>
      <c r="G5634" t="str">
        <f t="shared" si="174"/>
        <v>RSI II</v>
      </c>
      <c r="H5634" t="s">
        <v>4915</v>
      </c>
      <c r="I5634" t="s">
        <v>20</v>
      </c>
      <c r="J5634" t="s">
        <v>64</v>
      </c>
      <c r="K5634" s="6">
        <v>0.03</v>
      </c>
      <c r="L5634" s="7">
        <f t="shared" si="175"/>
        <v>2E-3</v>
      </c>
      <c r="M5634" s="7">
        <v>3.0000000000000001E-3</v>
      </c>
      <c r="N5634">
        <v>11</v>
      </c>
      <c r="O5634" s="8">
        <v>20.328747193832452</v>
      </c>
      <c r="P5634" s="9">
        <v>20.328747193832452</v>
      </c>
      <c r="Q5634" s="9">
        <v>20.328747193832452</v>
      </c>
      <c r="R5634" s="9">
        <v>20.901467178587069</v>
      </c>
      <c r="S5634" s="9">
        <v>21.789694031871221</v>
      </c>
      <c r="T5634" s="9">
        <v>22.685842380093916</v>
      </c>
      <c r="U5634" s="9">
        <v>25.139615720574728</v>
      </c>
      <c r="V5634" s="9">
        <v>25.139615720574728</v>
      </c>
      <c r="W5634" s="9">
        <v>25.139615720574728</v>
      </c>
      <c r="X5634" s="9">
        <v>28.431126761040446</v>
      </c>
      <c r="Y5634" s="9">
        <v>28.431126761040446</v>
      </c>
      <c r="Z5634" s="9">
        <v>31.8133765751437</v>
      </c>
      <c r="AA5634" s="9">
        <v>31.8133765751437</v>
      </c>
      <c r="AB5634" s="9">
        <v>35.295439040248269</v>
      </c>
      <c r="AC5634" s="9">
        <v>35.295439040248269</v>
      </c>
      <c r="AD5634" s="9">
        <v>40.66038110622798</v>
      </c>
      <c r="AE5634" s="9">
        <v>44.145469767258199</v>
      </c>
      <c r="AF5634" s="9">
        <v>47.802065076832598</v>
      </c>
      <c r="AG5634" s="9">
        <v>47.802065076832598</v>
      </c>
      <c r="AH5634" s="9">
        <v>52.368463891218347</v>
      </c>
      <c r="AI5634" s="9">
        <v>56.090712435126555</v>
      </c>
      <c r="AJ5634" s="9">
        <v>3.0428788910505911</v>
      </c>
    </row>
    <row r="5635" spans="1:36" x14ac:dyDescent="0.25">
      <c r="A5635" t="s">
        <v>5411</v>
      </c>
      <c r="B5635" t="s">
        <v>16</v>
      </c>
      <c r="C5635" t="s">
        <v>17</v>
      </c>
      <c r="D5635">
        <v>96270000</v>
      </c>
      <c r="E5635">
        <v>96289999</v>
      </c>
      <c r="F5635" t="s">
        <v>5086</v>
      </c>
      <c r="G5635" t="str">
        <f t="shared" si="174"/>
        <v>RSI II</v>
      </c>
      <c r="H5635" t="s">
        <v>4915</v>
      </c>
      <c r="I5635" t="s">
        <v>20</v>
      </c>
      <c r="J5635" t="s">
        <v>64</v>
      </c>
      <c r="K5635" s="6">
        <v>0.03</v>
      </c>
      <c r="L5635" s="7">
        <f t="shared" si="175"/>
        <v>2E-3</v>
      </c>
      <c r="M5635" s="7">
        <v>3.0000000000000001E-3</v>
      </c>
      <c r="N5635">
        <v>10</v>
      </c>
      <c r="O5635" s="8">
        <v>20.328747193832452</v>
      </c>
      <c r="P5635" s="9">
        <v>20.328747193832452</v>
      </c>
      <c r="Q5635" s="9">
        <v>20.328747193832452</v>
      </c>
      <c r="R5635" s="9">
        <v>20.901467178587069</v>
      </c>
      <c r="S5635" s="9">
        <v>21.789694031871221</v>
      </c>
      <c r="T5635" s="9">
        <v>22.685842380093916</v>
      </c>
      <c r="U5635" s="9">
        <v>25.139615720574728</v>
      </c>
      <c r="V5635" s="9">
        <v>25.139615720574728</v>
      </c>
      <c r="W5635" s="9">
        <v>25.139615720574728</v>
      </c>
      <c r="X5635" s="9">
        <v>28.431126761040446</v>
      </c>
      <c r="Y5635" s="9">
        <v>28.431126761040446</v>
      </c>
      <c r="Z5635" s="9">
        <v>31.8133765751437</v>
      </c>
      <c r="AA5635" s="9">
        <v>31.8133765751437</v>
      </c>
      <c r="AB5635" s="9">
        <v>35.295439040248269</v>
      </c>
      <c r="AC5635" s="9">
        <v>35.295439040248269</v>
      </c>
      <c r="AD5635" s="9">
        <v>40.66038110622798</v>
      </c>
      <c r="AE5635" s="9">
        <v>44.145469767258199</v>
      </c>
      <c r="AF5635" s="9">
        <v>47.802065076832598</v>
      </c>
      <c r="AG5635" s="9">
        <v>47.802065076832598</v>
      </c>
      <c r="AH5635" s="9">
        <v>52.368463891218347</v>
      </c>
      <c r="AI5635" s="9">
        <v>56.090712435126555</v>
      </c>
      <c r="AJ5635" s="9">
        <v>3.0428788910505911</v>
      </c>
    </row>
    <row r="5636" spans="1:36" x14ac:dyDescent="0.25">
      <c r="A5636" t="s">
        <v>5411</v>
      </c>
      <c r="B5636" t="s">
        <v>16</v>
      </c>
      <c r="C5636" t="s">
        <v>17</v>
      </c>
      <c r="D5636">
        <v>96290000</v>
      </c>
      <c r="E5636">
        <v>96299999</v>
      </c>
      <c r="F5636" t="s">
        <v>2613</v>
      </c>
      <c r="G5636" t="str">
        <f t="shared" ref="G5636:G5699" si="176">H5636&amp;IF(J5636="CAPITAL","C",IF(J5636="INTERIOR","I",IF(J5636="INTERIOR II","I II","R")))</f>
        <v>RSI II</v>
      </c>
      <c r="H5636" t="s">
        <v>4915</v>
      </c>
      <c r="I5636" t="s">
        <v>20</v>
      </c>
      <c r="J5636" t="s">
        <v>64</v>
      </c>
      <c r="K5636" s="6">
        <v>0.03</v>
      </c>
      <c r="L5636" s="7">
        <f t="shared" ref="L5636:L5699" si="177">IF(I5636="(0) Não",0.2%,3%)</f>
        <v>2E-3</v>
      </c>
      <c r="M5636" s="7">
        <v>3.0000000000000001E-3</v>
      </c>
      <c r="N5636">
        <v>10</v>
      </c>
      <c r="O5636" s="8">
        <v>20.328747193832452</v>
      </c>
      <c r="P5636" s="9">
        <v>20.328747193832452</v>
      </c>
      <c r="Q5636" s="9">
        <v>20.328747193832452</v>
      </c>
      <c r="R5636" s="9">
        <v>20.901467178587069</v>
      </c>
      <c r="S5636" s="9">
        <v>21.789694031871221</v>
      </c>
      <c r="T5636" s="9">
        <v>22.685842380093916</v>
      </c>
      <c r="U5636" s="9">
        <v>25.139615720574728</v>
      </c>
      <c r="V5636" s="9">
        <v>25.139615720574728</v>
      </c>
      <c r="W5636" s="9">
        <v>25.139615720574728</v>
      </c>
      <c r="X5636" s="9">
        <v>28.431126761040446</v>
      </c>
      <c r="Y5636" s="9">
        <v>28.431126761040446</v>
      </c>
      <c r="Z5636" s="9">
        <v>31.8133765751437</v>
      </c>
      <c r="AA5636" s="9">
        <v>31.8133765751437</v>
      </c>
      <c r="AB5636" s="9">
        <v>35.295439040248269</v>
      </c>
      <c r="AC5636" s="9">
        <v>35.295439040248269</v>
      </c>
      <c r="AD5636" s="9">
        <v>40.66038110622798</v>
      </c>
      <c r="AE5636" s="9">
        <v>44.145469767258199</v>
      </c>
      <c r="AF5636" s="9">
        <v>47.802065076832598</v>
      </c>
      <c r="AG5636" s="9">
        <v>47.802065076832598</v>
      </c>
      <c r="AH5636" s="9">
        <v>52.368463891218347</v>
      </c>
      <c r="AI5636" s="9">
        <v>56.090712435126555</v>
      </c>
      <c r="AJ5636" s="9">
        <v>3.0428788910505911</v>
      </c>
    </row>
    <row r="5637" spans="1:36" x14ac:dyDescent="0.25">
      <c r="A5637" t="s">
        <v>5411</v>
      </c>
      <c r="B5637" t="s">
        <v>16</v>
      </c>
      <c r="C5637" t="s">
        <v>17</v>
      </c>
      <c r="D5637">
        <v>96300000</v>
      </c>
      <c r="E5637">
        <v>96309999</v>
      </c>
      <c r="F5637" t="s">
        <v>5087</v>
      </c>
      <c r="G5637" t="str">
        <f t="shared" si="176"/>
        <v>RSI II</v>
      </c>
      <c r="H5637" t="s">
        <v>4915</v>
      </c>
      <c r="I5637" t="s">
        <v>20</v>
      </c>
      <c r="J5637" t="s">
        <v>64</v>
      </c>
      <c r="K5637" s="6">
        <v>0.03</v>
      </c>
      <c r="L5637" s="7">
        <f t="shared" si="177"/>
        <v>2E-3</v>
      </c>
      <c r="M5637" s="7">
        <v>3.0000000000000001E-3</v>
      </c>
      <c r="N5637">
        <v>11</v>
      </c>
      <c r="O5637" s="8">
        <v>20.328747193832452</v>
      </c>
      <c r="P5637" s="9">
        <v>20.328747193832452</v>
      </c>
      <c r="Q5637" s="9">
        <v>20.328747193832452</v>
      </c>
      <c r="R5637" s="9">
        <v>20.901467178587069</v>
      </c>
      <c r="S5637" s="9">
        <v>21.789694031871221</v>
      </c>
      <c r="T5637" s="9">
        <v>22.685842380093916</v>
      </c>
      <c r="U5637" s="9">
        <v>25.139615720574728</v>
      </c>
      <c r="V5637" s="9">
        <v>25.139615720574728</v>
      </c>
      <c r="W5637" s="9">
        <v>25.139615720574728</v>
      </c>
      <c r="X5637" s="9">
        <v>28.431126761040446</v>
      </c>
      <c r="Y5637" s="9">
        <v>28.431126761040446</v>
      </c>
      <c r="Z5637" s="9">
        <v>31.8133765751437</v>
      </c>
      <c r="AA5637" s="9">
        <v>31.8133765751437</v>
      </c>
      <c r="AB5637" s="9">
        <v>35.295439040248269</v>
      </c>
      <c r="AC5637" s="9">
        <v>35.295439040248269</v>
      </c>
      <c r="AD5637" s="9">
        <v>40.66038110622798</v>
      </c>
      <c r="AE5637" s="9">
        <v>44.145469767258199</v>
      </c>
      <c r="AF5637" s="9">
        <v>47.802065076832598</v>
      </c>
      <c r="AG5637" s="9">
        <v>47.802065076832598</v>
      </c>
      <c r="AH5637" s="9">
        <v>52.368463891218347</v>
      </c>
      <c r="AI5637" s="9">
        <v>56.090712435126555</v>
      </c>
      <c r="AJ5637" s="9">
        <v>3.0428788910505911</v>
      </c>
    </row>
    <row r="5638" spans="1:36" x14ac:dyDescent="0.25">
      <c r="A5638" t="s">
        <v>5411</v>
      </c>
      <c r="B5638" t="s">
        <v>16</v>
      </c>
      <c r="C5638" t="s">
        <v>17</v>
      </c>
      <c r="D5638">
        <v>96310000</v>
      </c>
      <c r="E5638">
        <v>96329999</v>
      </c>
      <c r="F5638" t="s">
        <v>5088</v>
      </c>
      <c r="G5638" t="str">
        <f t="shared" si="176"/>
        <v>RSI II</v>
      </c>
      <c r="H5638" t="s">
        <v>4915</v>
      </c>
      <c r="I5638" t="s">
        <v>20</v>
      </c>
      <c r="J5638" t="s">
        <v>64</v>
      </c>
      <c r="K5638" s="6">
        <v>0.03</v>
      </c>
      <c r="L5638" s="7">
        <f t="shared" si="177"/>
        <v>2E-3</v>
      </c>
      <c r="M5638" s="7">
        <v>3.0000000000000001E-3</v>
      </c>
      <c r="N5638">
        <v>11</v>
      </c>
      <c r="O5638" s="8">
        <v>20.328747193832452</v>
      </c>
      <c r="P5638" s="9">
        <v>20.328747193832452</v>
      </c>
      <c r="Q5638" s="9">
        <v>20.328747193832452</v>
      </c>
      <c r="R5638" s="9">
        <v>20.901467178587069</v>
      </c>
      <c r="S5638" s="9">
        <v>21.789694031871221</v>
      </c>
      <c r="T5638" s="9">
        <v>22.685842380093916</v>
      </c>
      <c r="U5638" s="9">
        <v>25.139615720574728</v>
      </c>
      <c r="V5638" s="9">
        <v>25.139615720574728</v>
      </c>
      <c r="W5638" s="9">
        <v>25.139615720574728</v>
      </c>
      <c r="X5638" s="9">
        <v>28.431126761040446</v>
      </c>
      <c r="Y5638" s="9">
        <v>28.431126761040446</v>
      </c>
      <c r="Z5638" s="9">
        <v>31.8133765751437</v>
      </c>
      <c r="AA5638" s="9">
        <v>31.8133765751437</v>
      </c>
      <c r="AB5638" s="9">
        <v>35.295439040248269</v>
      </c>
      <c r="AC5638" s="9">
        <v>35.295439040248269</v>
      </c>
      <c r="AD5638" s="9">
        <v>40.66038110622798</v>
      </c>
      <c r="AE5638" s="9">
        <v>44.145469767258199</v>
      </c>
      <c r="AF5638" s="9">
        <v>47.802065076832598</v>
      </c>
      <c r="AG5638" s="9">
        <v>47.802065076832598</v>
      </c>
      <c r="AH5638" s="9">
        <v>52.368463891218347</v>
      </c>
      <c r="AI5638" s="9">
        <v>56.090712435126555</v>
      </c>
      <c r="AJ5638" s="9">
        <v>3.0428788910505911</v>
      </c>
    </row>
    <row r="5639" spans="1:36" x14ac:dyDescent="0.25">
      <c r="A5639" t="s">
        <v>5411</v>
      </c>
      <c r="B5639" t="s">
        <v>16</v>
      </c>
      <c r="C5639" t="s">
        <v>17</v>
      </c>
      <c r="D5639">
        <v>96330000</v>
      </c>
      <c r="E5639">
        <v>96359999</v>
      </c>
      <c r="F5639" t="s">
        <v>5089</v>
      </c>
      <c r="G5639" t="str">
        <f t="shared" si="176"/>
        <v>RSI II</v>
      </c>
      <c r="H5639" t="s">
        <v>4915</v>
      </c>
      <c r="I5639" t="s">
        <v>20</v>
      </c>
      <c r="J5639" t="s">
        <v>64</v>
      </c>
      <c r="K5639" s="6">
        <v>0.03</v>
      </c>
      <c r="L5639" s="7">
        <f t="shared" si="177"/>
        <v>2E-3</v>
      </c>
      <c r="M5639" s="7">
        <v>3.0000000000000001E-3</v>
      </c>
      <c r="N5639">
        <v>11</v>
      </c>
      <c r="O5639" s="8">
        <v>20.328747193832452</v>
      </c>
      <c r="P5639" s="9">
        <v>20.328747193832452</v>
      </c>
      <c r="Q5639" s="9">
        <v>20.328747193832452</v>
      </c>
      <c r="R5639" s="9">
        <v>20.901467178587069</v>
      </c>
      <c r="S5639" s="9">
        <v>21.789694031871221</v>
      </c>
      <c r="T5639" s="9">
        <v>22.685842380093916</v>
      </c>
      <c r="U5639" s="9">
        <v>25.139615720574728</v>
      </c>
      <c r="V5639" s="9">
        <v>25.139615720574728</v>
      </c>
      <c r="W5639" s="9">
        <v>25.139615720574728</v>
      </c>
      <c r="X5639" s="9">
        <v>28.431126761040446</v>
      </c>
      <c r="Y5639" s="9">
        <v>28.431126761040446</v>
      </c>
      <c r="Z5639" s="9">
        <v>31.8133765751437</v>
      </c>
      <c r="AA5639" s="9">
        <v>31.8133765751437</v>
      </c>
      <c r="AB5639" s="9">
        <v>35.295439040248269</v>
      </c>
      <c r="AC5639" s="9">
        <v>35.295439040248269</v>
      </c>
      <c r="AD5639" s="9">
        <v>40.66038110622798</v>
      </c>
      <c r="AE5639" s="9">
        <v>44.145469767258199</v>
      </c>
      <c r="AF5639" s="9">
        <v>47.802065076832598</v>
      </c>
      <c r="AG5639" s="9">
        <v>47.802065076832598</v>
      </c>
      <c r="AH5639" s="9">
        <v>52.368463891218347</v>
      </c>
      <c r="AI5639" s="9">
        <v>56.090712435126555</v>
      </c>
      <c r="AJ5639" s="9">
        <v>3.0428788910505911</v>
      </c>
    </row>
    <row r="5640" spans="1:36" x14ac:dyDescent="0.25">
      <c r="A5640" t="s">
        <v>5411</v>
      </c>
      <c r="B5640" t="s">
        <v>16</v>
      </c>
      <c r="C5640" t="s">
        <v>17</v>
      </c>
      <c r="D5640">
        <v>96360000</v>
      </c>
      <c r="E5640">
        <v>96394999</v>
      </c>
      <c r="F5640" t="s">
        <v>5090</v>
      </c>
      <c r="G5640" t="str">
        <f t="shared" si="176"/>
        <v>RSI II</v>
      </c>
      <c r="H5640" t="s">
        <v>4915</v>
      </c>
      <c r="I5640" t="s">
        <v>20</v>
      </c>
      <c r="J5640" t="s">
        <v>64</v>
      </c>
      <c r="K5640" s="6">
        <v>0.03</v>
      </c>
      <c r="L5640" s="7">
        <f t="shared" si="177"/>
        <v>2E-3</v>
      </c>
      <c r="M5640" s="7">
        <v>3.0000000000000001E-3</v>
      </c>
      <c r="N5640">
        <v>11</v>
      </c>
      <c r="O5640" s="8">
        <v>20.328747193832452</v>
      </c>
      <c r="P5640" s="9">
        <v>20.328747193832452</v>
      </c>
      <c r="Q5640" s="9">
        <v>20.328747193832452</v>
      </c>
      <c r="R5640" s="9">
        <v>20.901467178587069</v>
      </c>
      <c r="S5640" s="9">
        <v>21.789694031871221</v>
      </c>
      <c r="T5640" s="9">
        <v>22.685842380093916</v>
      </c>
      <c r="U5640" s="9">
        <v>25.139615720574728</v>
      </c>
      <c r="V5640" s="9">
        <v>25.139615720574728</v>
      </c>
      <c r="W5640" s="9">
        <v>25.139615720574728</v>
      </c>
      <c r="X5640" s="9">
        <v>28.431126761040446</v>
      </c>
      <c r="Y5640" s="9">
        <v>28.431126761040446</v>
      </c>
      <c r="Z5640" s="9">
        <v>31.8133765751437</v>
      </c>
      <c r="AA5640" s="9">
        <v>31.8133765751437</v>
      </c>
      <c r="AB5640" s="9">
        <v>35.295439040248269</v>
      </c>
      <c r="AC5640" s="9">
        <v>35.295439040248269</v>
      </c>
      <c r="AD5640" s="9">
        <v>40.66038110622798</v>
      </c>
      <c r="AE5640" s="9">
        <v>44.145469767258199</v>
      </c>
      <c r="AF5640" s="9">
        <v>47.802065076832598</v>
      </c>
      <c r="AG5640" s="9">
        <v>47.802065076832598</v>
      </c>
      <c r="AH5640" s="9">
        <v>52.368463891218347</v>
      </c>
      <c r="AI5640" s="9">
        <v>56.090712435126555</v>
      </c>
      <c r="AJ5640" s="9">
        <v>3.0428788910505911</v>
      </c>
    </row>
    <row r="5641" spans="1:36" x14ac:dyDescent="0.25">
      <c r="A5641" t="s">
        <v>5411</v>
      </c>
      <c r="B5641" t="s">
        <v>16</v>
      </c>
      <c r="C5641" t="s">
        <v>17</v>
      </c>
      <c r="D5641">
        <v>96395000</v>
      </c>
      <c r="E5641">
        <v>96399999</v>
      </c>
      <c r="F5641" t="s">
        <v>5091</v>
      </c>
      <c r="G5641" t="str">
        <f t="shared" si="176"/>
        <v>RSI II</v>
      </c>
      <c r="H5641" t="s">
        <v>4915</v>
      </c>
      <c r="I5641" t="s">
        <v>20</v>
      </c>
      <c r="J5641" t="s">
        <v>64</v>
      </c>
      <c r="K5641" s="6">
        <v>0.03</v>
      </c>
      <c r="L5641" s="7">
        <f t="shared" si="177"/>
        <v>2E-3</v>
      </c>
      <c r="M5641" s="7">
        <v>3.0000000000000001E-3</v>
      </c>
      <c r="N5641">
        <v>11</v>
      </c>
      <c r="O5641" s="8">
        <v>20.328747193832452</v>
      </c>
      <c r="P5641" s="9">
        <v>20.328747193832452</v>
      </c>
      <c r="Q5641" s="9">
        <v>20.328747193832452</v>
      </c>
      <c r="R5641" s="9">
        <v>20.901467178587069</v>
      </c>
      <c r="S5641" s="9">
        <v>21.789694031871221</v>
      </c>
      <c r="T5641" s="9">
        <v>22.685842380093916</v>
      </c>
      <c r="U5641" s="9">
        <v>25.139615720574728</v>
      </c>
      <c r="V5641" s="9">
        <v>25.139615720574728</v>
      </c>
      <c r="W5641" s="9">
        <v>25.139615720574728</v>
      </c>
      <c r="X5641" s="9">
        <v>28.431126761040446</v>
      </c>
      <c r="Y5641" s="9">
        <v>28.431126761040446</v>
      </c>
      <c r="Z5641" s="9">
        <v>31.8133765751437</v>
      </c>
      <c r="AA5641" s="9">
        <v>31.8133765751437</v>
      </c>
      <c r="AB5641" s="9">
        <v>35.295439040248269</v>
      </c>
      <c r="AC5641" s="9">
        <v>35.295439040248269</v>
      </c>
      <c r="AD5641" s="9">
        <v>40.66038110622798</v>
      </c>
      <c r="AE5641" s="9">
        <v>44.145469767258199</v>
      </c>
      <c r="AF5641" s="9">
        <v>47.802065076832598</v>
      </c>
      <c r="AG5641" s="9">
        <v>47.802065076832598</v>
      </c>
      <c r="AH5641" s="9">
        <v>52.368463891218347</v>
      </c>
      <c r="AI5641" s="9">
        <v>56.090712435126555</v>
      </c>
      <c r="AJ5641" s="9">
        <v>3.0428788910505911</v>
      </c>
    </row>
    <row r="5642" spans="1:36" x14ac:dyDescent="0.25">
      <c r="A5642" t="s">
        <v>5411</v>
      </c>
      <c r="B5642" t="s">
        <v>16</v>
      </c>
      <c r="C5642" t="s">
        <v>17</v>
      </c>
      <c r="D5642">
        <v>96400000</v>
      </c>
      <c r="E5642">
        <v>96444999</v>
      </c>
      <c r="F5642" t="s">
        <v>5092</v>
      </c>
      <c r="G5642" t="str">
        <f t="shared" si="176"/>
        <v>RSI</v>
      </c>
      <c r="H5642" t="s">
        <v>4915</v>
      </c>
      <c r="I5642" t="s">
        <v>20</v>
      </c>
      <c r="J5642" t="s">
        <v>62</v>
      </c>
      <c r="K5642" s="6">
        <v>0.03</v>
      </c>
      <c r="L5642" s="7">
        <f t="shared" si="177"/>
        <v>2E-3</v>
      </c>
      <c r="M5642" s="7">
        <v>3.0000000000000001E-3</v>
      </c>
      <c r="N5642">
        <v>9</v>
      </c>
      <c r="O5642" s="8">
        <v>17.509302802156309</v>
      </c>
      <c r="P5642" s="9">
        <v>17.509302802156309</v>
      </c>
      <c r="Q5642" s="9">
        <v>17.509302802156309</v>
      </c>
      <c r="R5642" s="9">
        <v>17.960073121579438</v>
      </c>
      <c r="S5642" s="9">
        <v>18.978426201825126</v>
      </c>
      <c r="T5642" s="9">
        <v>19.861619996324769</v>
      </c>
      <c r="U5642" s="9">
        <v>21.605211693624167</v>
      </c>
      <c r="V5642" s="9">
        <v>21.605211693624167</v>
      </c>
      <c r="W5642" s="9">
        <v>21.605211693624167</v>
      </c>
      <c r="X5642" s="9">
        <v>24.342346895578043</v>
      </c>
      <c r="Y5642" s="9">
        <v>24.342346895578043</v>
      </c>
      <c r="Z5642" s="9">
        <v>27.269806221922281</v>
      </c>
      <c r="AA5642" s="9">
        <v>27.269806221922281</v>
      </c>
      <c r="AB5642" s="9">
        <v>30.447232473217717</v>
      </c>
      <c r="AC5642" s="9">
        <v>30.447232473217717</v>
      </c>
      <c r="AD5642" s="9">
        <v>33.773696777878271</v>
      </c>
      <c r="AE5642" s="9">
        <v>37.668102449503657</v>
      </c>
      <c r="AF5642" s="9">
        <v>41.795656089883373</v>
      </c>
      <c r="AG5642" s="9">
        <v>41.795656089883373</v>
      </c>
      <c r="AH5642" s="9">
        <v>45.638668972740511</v>
      </c>
      <c r="AI5642" s="9">
        <v>49.380739592962819</v>
      </c>
      <c r="AJ5642" s="9">
        <v>3.0428788910505911</v>
      </c>
    </row>
    <row r="5643" spans="1:36" x14ac:dyDescent="0.25">
      <c r="A5643" t="s">
        <v>5411</v>
      </c>
      <c r="B5643" t="s">
        <v>16</v>
      </c>
      <c r="C5643" t="s">
        <v>17</v>
      </c>
      <c r="D5643">
        <v>96445000</v>
      </c>
      <c r="E5643">
        <v>96449999</v>
      </c>
      <c r="F5643" t="s">
        <v>5093</v>
      </c>
      <c r="G5643" t="str">
        <f t="shared" si="176"/>
        <v>RSI II</v>
      </c>
      <c r="H5643" t="s">
        <v>4915</v>
      </c>
      <c r="I5643" t="s">
        <v>20</v>
      </c>
      <c r="J5643" t="s">
        <v>64</v>
      </c>
      <c r="K5643" s="6">
        <v>0.03</v>
      </c>
      <c r="L5643" s="7">
        <f t="shared" si="177"/>
        <v>2E-3</v>
      </c>
      <c r="M5643" s="7">
        <v>3.0000000000000001E-3</v>
      </c>
      <c r="N5643">
        <v>11</v>
      </c>
      <c r="O5643" s="8">
        <v>20.328747193832452</v>
      </c>
      <c r="P5643" s="9">
        <v>20.328747193832452</v>
      </c>
      <c r="Q5643" s="9">
        <v>20.328747193832452</v>
      </c>
      <c r="R5643" s="9">
        <v>20.901467178587069</v>
      </c>
      <c r="S5643" s="9">
        <v>21.789694031871221</v>
      </c>
      <c r="T5643" s="9">
        <v>22.685842380093916</v>
      </c>
      <c r="U5643" s="9">
        <v>25.139615720574728</v>
      </c>
      <c r="V5643" s="9">
        <v>25.139615720574728</v>
      </c>
      <c r="W5643" s="9">
        <v>25.139615720574728</v>
      </c>
      <c r="X5643" s="9">
        <v>28.431126761040446</v>
      </c>
      <c r="Y5643" s="9">
        <v>28.431126761040446</v>
      </c>
      <c r="Z5643" s="9">
        <v>31.8133765751437</v>
      </c>
      <c r="AA5643" s="9">
        <v>31.8133765751437</v>
      </c>
      <c r="AB5643" s="9">
        <v>35.295439040248269</v>
      </c>
      <c r="AC5643" s="9">
        <v>35.295439040248269</v>
      </c>
      <c r="AD5643" s="9">
        <v>40.66038110622798</v>
      </c>
      <c r="AE5643" s="9">
        <v>44.145469767258199</v>
      </c>
      <c r="AF5643" s="9">
        <v>47.802065076832598</v>
      </c>
      <c r="AG5643" s="9">
        <v>47.802065076832598</v>
      </c>
      <c r="AH5643" s="9">
        <v>52.368463891218347</v>
      </c>
      <c r="AI5643" s="9">
        <v>56.090712435126555</v>
      </c>
      <c r="AJ5643" s="9">
        <v>3.0428788910505911</v>
      </c>
    </row>
    <row r="5644" spans="1:36" x14ac:dyDescent="0.25">
      <c r="A5644" t="s">
        <v>5411</v>
      </c>
      <c r="B5644" t="s">
        <v>16</v>
      </c>
      <c r="C5644" t="s">
        <v>17</v>
      </c>
      <c r="D5644">
        <v>96450000</v>
      </c>
      <c r="E5644">
        <v>96459999</v>
      </c>
      <c r="F5644" t="s">
        <v>5094</v>
      </c>
      <c r="G5644" t="str">
        <f t="shared" si="176"/>
        <v>RSI II</v>
      </c>
      <c r="H5644" t="s">
        <v>4915</v>
      </c>
      <c r="I5644" t="s">
        <v>20</v>
      </c>
      <c r="J5644" t="s">
        <v>64</v>
      </c>
      <c r="K5644" s="6">
        <v>0.03</v>
      </c>
      <c r="L5644" s="7">
        <f t="shared" si="177"/>
        <v>2E-3</v>
      </c>
      <c r="M5644" s="7">
        <v>3.0000000000000001E-3</v>
      </c>
      <c r="N5644">
        <v>11</v>
      </c>
      <c r="O5644" s="8">
        <v>20.328747193832452</v>
      </c>
      <c r="P5644" s="9">
        <v>20.328747193832452</v>
      </c>
      <c r="Q5644" s="9">
        <v>20.328747193832452</v>
      </c>
      <c r="R5644" s="9">
        <v>20.901467178587069</v>
      </c>
      <c r="S5644" s="9">
        <v>21.789694031871221</v>
      </c>
      <c r="T5644" s="9">
        <v>22.685842380093916</v>
      </c>
      <c r="U5644" s="9">
        <v>25.139615720574728</v>
      </c>
      <c r="V5644" s="9">
        <v>25.139615720574728</v>
      </c>
      <c r="W5644" s="9">
        <v>25.139615720574728</v>
      </c>
      <c r="X5644" s="9">
        <v>28.431126761040446</v>
      </c>
      <c r="Y5644" s="9">
        <v>28.431126761040446</v>
      </c>
      <c r="Z5644" s="9">
        <v>31.8133765751437</v>
      </c>
      <c r="AA5644" s="9">
        <v>31.8133765751437</v>
      </c>
      <c r="AB5644" s="9">
        <v>35.295439040248269</v>
      </c>
      <c r="AC5644" s="9">
        <v>35.295439040248269</v>
      </c>
      <c r="AD5644" s="9">
        <v>40.66038110622798</v>
      </c>
      <c r="AE5644" s="9">
        <v>44.145469767258199</v>
      </c>
      <c r="AF5644" s="9">
        <v>47.802065076832598</v>
      </c>
      <c r="AG5644" s="9">
        <v>47.802065076832598</v>
      </c>
      <c r="AH5644" s="9">
        <v>52.368463891218347</v>
      </c>
      <c r="AI5644" s="9">
        <v>56.090712435126555</v>
      </c>
      <c r="AJ5644" s="9">
        <v>3.0428788910505911</v>
      </c>
    </row>
    <row r="5645" spans="1:36" x14ac:dyDescent="0.25">
      <c r="A5645" t="s">
        <v>5411</v>
      </c>
      <c r="B5645" t="s">
        <v>16</v>
      </c>
      <c r="C5645" t="s">
        <v>17</v>
      </c>
      <c r="D5645">
        <v>96460000</v>
      </c>
      <c r="E5645">
        <v>96469999</v>
      </c>
      <c r="F5645" t="s">
        <v>5095</v>
      </c>
      <c r="G5645" t="str">
        <f t="shared" si="176"/>
        <v>RSI II</v>
      </c>
      <c r="H5645" t="s">
        <v>4915</v>
      </c>
      <c r="I5645" t="s">
        <v>20</v>
      </c>
      <c r="J5645" t="s">
        <v>64</v>
      </c>
      <c r="K5645" s="6">
        <v>0.03</v>
      </c>
      <c r="L5645" s="7">
        <f t="shared" si="177"/>
        <v>2E-3</v>
      </c>
      <c r="M5645" s="7">
        <v>3.0000000000000001E-3</v>
      </c>
      <c r="N5645">
        <v>11</v>
      </c>
      <c r="O5645" s="8">
        <v>20.328747193832452</v>
      </c>
      <c r="P5645" s="9">
        <v>20.328747193832452</v>
      </c>
      <c r="Q5645" s="9">
        <v>20.328747193832452</v>
      </c>
      <c r="R5645" s="9">
        <v>20.901467178587069</v>
      </c>
      <c r="S5645" s="9">
        <v>21.789694031871221</v>
      </c>
      <c r="T5645" s="9">
        <v>22.685842380093916</v>
      </c>
      <c r="U5645" s="9">
        <v>25.139615720574728</v>
      </c>
      <c r="V5645" s="9">
        <v>25.139615720574728</v>
      </c>
      <c r="W5645" s="9">
        <v>25.139615720574728</v>
      </c>
      <c r="X5645" s="9">
        <v>28.431126761040446</v>
      </c>
      <c r="Y5645" s="9">
        <v>28.431126761040446</v>
      </c>
      <c r="Z5645" s="9">
        <v>31.8133765751437</v>
      </c>
      <c r="AA5645" s="9">
        <v>31.8133765751437</v>
      </c>
      <c r="AB5645" s="9">
        <v>35.295439040248269</v>
      </c>
      <c r="AC5645" s="9">
        <v>35.295439040248269</v>
      </c>
      <c r="AD5645" s="9">
        <v>40.66038110622798</v>
      </c>
      <c r="AE5645" s="9">
        <v>44.145469767258199</v>
      </c>
      <c r="AF5645" s="9">
        <v>47.802065076832598</v>
      </c>
      <c r="AG5645" s="9">
        <v>47.802065076832598</v>
      </c>
      <c r="AH5645" s="9">
        <v>52.368463891218347</v>
      </c>
      <c r="AI5645" s="9">
        <v>56.090712435126555</v>
      </c>
      <c r="AJ5645" s="9">
        <v>3.0428788910505911</v>
      </c>
    </row>
    <row r="5646" spans="1:36" x14ac:dyDescent="0.25">
      <c r="A5646" t="s">
        <v>5411</v>
      </c>
      <c r="B5646" t="s">
        <v>16</v>
      </c>
      <c r="C5646" t="s">
        <v>17</v>
      </c>
      <c r="D5646">
        <v>96470000</v>
      </c>
      <c r="E5646">
        <v>96486999</v>
      </c>
      <c r="F5646" t="s">
        <v>5096</v>
      </c>
      <c r="G5646" t="str">
        <f t="shared" si="176"/>
        <v>RSI II</v>
      </c>
      <c r="H5646" t="s">
        <v>4915</v>
      </c>
      <c r="I5646" t="s">
        <v>20</v>
      </c>
      <c r="J5646" t="s">
        <v>64</v>
      </c>
      <c r="K5646" s="6">
        <v>0.03</v>
      </c>
      <c r="L5646" s="7">
        <f t="shared" si="177"/>
        <v>2E-3</v>
      </c>
      <c r="M5646" s="7">
        <v>3.0000000000000001E-3</v>
      </c>
      <c r="N5646">
        <v>11</v>
      </c>
      <c r="O5646" s="8">
        <v>20.328747193832452</v>
      </c>
      <c r="P5646" s="9">
        <v>20.328747193832452</v>
      </c>
      <c r="Q5646" s="9">
        <v>20.328747193832452</v>
      </c>
      <c r="R5646" s="9">
        <v>20.901467178587069</v>
      </c>
      <c r="S5646" s="9">
        <v>21.789694031871221</v>
      </c>
      <c r="T5646" s="9">
        <v>22.685842380093916</v>
      </c>
      <c r="U5646" s="9">
        <v>25.139615720574728</v>
      </c>
      <c r="V5646" s="9">
        <v>25.139615720574728</v>
      </c>
      <c r="W5646" s="9">
        <v>25.139615720574728</v>
      </c>
      <c r="X5646" s="9">
        <v>28.431126761040446</v>
      </c>
      <c r="Y5646" s="9">
        <v>28.431126761040446</v>
      </c>
      <c r="Z5646" s="9">
        <v>31.8133765751437</v>
      </c>
      <c r="AA5646" s="9">
        <v>31.8133765751437</v>
      </c>
      <c r="AB5646" s="9">
        <v>35.295439040248269</v>
      </c>
      <c r="AC5646" s="9">
        <v>35.295439040248269</v>
      </c>
      <c r="AD5646" s="9">
        <v>40.66038110622798</v>
      </c>
      <c r="AE5646" s="9">
        <v>44.145469767258199</v>
      </c>
      <c r="AF5646" s="9">
        <v>47.802065076832598</v>
      </c>
      <c r="AG5646" s="9">
        <v>47.802065076832598</v>
      </c>
      <c r="AH5646" s="9">
        <v>52.368463891218347</v>
      </c>
      <c r="AI5646" s="9">
        <v>56.090712435126555</v>
      </c>
      <c r="AJ5646" s="9">
        <v>3.0428788910505911</v>
      </c>
    </row>
    <row r="5647" spans="1:36" x14ac:dyDescent="0.25">
      <c r="A5647" t="s">
        <v>5411</v>
      </c>
      <c r="B5647" t="s">
        <v>16</v>
      </c>
      <c r="C5647" t="s">
        <v>17</v>
      </c>
      <c r="D5647">
        <v>96487000</v>
      </c>
      <c r="E5647">
        <v>96489999</v>
      </c>
      <c r="F5647" t="s">
        <v>5097</v>
      </c>
      <c r="G5647" t="str">
        <f t="shared" si="176"/>
        <v>RSI II</v>
      </c>
      <c r="H5647" t="s">
        <v>4915</v>
      </c>
      <c r="I5647" t="s">
        <v>20</v>
      </c>
      <c r="J5647" t="s">
        <v>64</v>
      </c>
      <c r="K5647" s="6">
        <v>0.03</v>
      </c>
      <c r="L5647" s="7">
        <f t="shared" si="177"/>
        <v>2E-3</v>
      </c>
      <c r="M5647" s="7">
        <v>3.0000000000000001E-3</v>
      </c>
      <c r="N5647">
        <v>11</v>
      </c>
      <c r="O5647" s="8">
        <v>20.328747193832452</v>
      </c>
      <c r="P5647" s="9">
        <v>20.328747193832452</v>
      </c>
      <c r="Q5647" s="9">
        <v>20.328747193832452</v>
      </c>
      <c r="R5647" s="9">
        <v>20.901467178587069</v>
      </c>
      <c r="S5647" s="9">
        <v>21.789694031871221</v>
      </c>
      <c r="T5647" s="9">
        <v>22.685842380093916</v>
      </c>
      <c r="U5647" s="9">
        <v>25.139615720574728</v>
      </c>
      <c r="V5647" s="9">
        <v>25.139615720574728</v>
      </c>
      <c r="W5647" s="9">
        <v>25.139615720574728</v>
      </c>
      <c r="X5647" s="9">
        <v>28.431126761040446</v>
      </c>
      <c r="Y5647" s="9">
        <v>28.431126761040446</v>
      </c>
      <c r="Z5647" s="9">
        <v>31.8133765751437</v>
      </c>
      <c r="AA5647" s="9">
        <v>31.8133765751437</v>
      </c>
      <c r="AB5647" s="9">
        <v>35.295439040248269</v>
      </c>
      <c r="AC5647" s="9">
        <v>35.295439040248269</v>
      </c>
      <c r="AD5647" s="9">
        <v>40.66038110622798</v>
      </c>
      <c r="AE5647" s="9">
        <v>44.145469767258199</v>
      </c>
      <c r="AF5647" s="9">
        <v>47.802065076832598</v>
      </c>
      <c r="AG5647" s="9">
        <v>47.802065076832598</v>
      </c>
      <c r="AH5647" s="9">
        <v>52.368463891218347</v>
      </c>
      <c r="AI5647" s="9">
        <v>56.090712435126555</v>
      </c>
      <c r="AJ5647" s="9">
        <v>3.0428788910505911</v>
      </c>
    </row>
    <row r="5648" spans="1:36" x14ac:dyDescent="0.25">
      <c r="A5648" t="s">
        <v>5411</v>
      </c>
      <c r="B5648" t="s">
        <v>16</v>
      </c>
      <c r="C5648" t="s">
        <v>17</v>
      </c>
      <c r="D5648">
        <v>96490000</v>
      </c>
      <c r="E5648">
        <v>96494999</v>
      </c>
      <c r="F5648" t="s">
        <v>5098</v>
      </c>
      <c r="G5648" t="str">
        <f t="shared" si="176"/>
        <v>RSI II</v>
      </c>
      <c r="H5648" t="s">
        <v>4915</v>
      </c>
      <c r="I5648" t="s">
        <v>20</v>
      </c>
      <c r="J5648" t="s">
        <v>64</v>
      </c>
      <c r="K5648" s="6">
        <v>0.03</v>
      </c>
      <c r="L5648" s="7">
        <f t="shared" si="177"/>
        <v>2E-3</v>
      </c>
      <c r="M5648" s="7">
        <v>3.0000000000000001E-3</v>
      </c>
      <c r="N5648">
        <v>11</v>
      </c>
      <c r="O5648" s="8">
        <v>20.328747193832452</v>
      </c>
      <c r="P5648" s="9">
        <v>20.328747193832452</v>
      </c>
      <c r="Q5648" s="9">
        <v>20.328747193832452</v>
      </c>
      <c r="R5648" s="9">
        <v>20.901467178587069</v>
      </c>
      <c r="S5648" s="9">
        <v>21.789694031871221</v>
      </c>
      <c r="T5648" s="9">
        <v>22.685842380093916</v>
      </c>
      <c r="U5648" s="9">
        <v>25.139615720574728</v>
      </c>
      <c r="V5648" s="9">
        <v>25.139615720574728</v>
      </c>
      <c r="W5648" s="9">
        <v>25.139615720574728</v>
      </c>
      <c r="X5648" s="9">
        <v>28.431126761040446</v>
      </c>
      <c r="Y5648" s="9">
        <v>28.431126761040446</v>
      </c>
      <c r="Z5648" s="9">
        <v>31.8133765751437</v>
      </c>
      <c r="AA5648" s="9">
        <v>31.8133765751437</v>
      </c>
      <c r="AB5648" s="9">
        <v>35.295439040248269</v>
      </c>
      <c r="AC5648" s="9">
        <v>35.295439040248269</v>
      </c>
      <c r="AD5648" s="9">
        <v>40.66038110622798</v>
      </c>
      <c r="AE5648" s="9">
        <v>44.145469767258199</v>
      </c>
      <c r="AF5648" s="9">
        <v>47.802065076832598</v>
      </c>
      <c r="AG5648" s="9">
        <v>47.802065076832598</v>
      </c>
      <c r="AH5648" s="9">
        <v>52.368463891218347</v>
      </c>
      <c r="AI5648" s="9">
        <v>56.090712435126555</v>
      </c>
      <c r="AJ5648" s="9">
        <v>3.0428788910505911</v>
      </c>
    </row>
    <row r="5649" spans="1:36" x14ac:dyDescent="0.25">
      <c r="A5649" t="s">
        <v>5411</v>
      </c>
      <c r="B5649" t="s">
        <v>16</v>
      </c>
      <c r="C5649" t="s">
        <v>17</v>
      </c>
      <c r="D5649">
        <v>96495000</v>
      </c>
      <c r="E5649">
        <v>96499999</v>
      </c>
      <c r="F5649" t="s">
        <v>5099</v>
      </c>
      <c r="G5649" t="str">
        <f t="shared" si="176"/>
        <v>RSI II</v>
      </c>
      <c r="H5649" t="s">
        <v>4915</v>
      </c>
      <c r="I5649" t="s">
        <v>20</v>
      </c>
      <c r="J5649" t="s">
        <v>64</v>
      </c>
      <c r="K5649" s="6">
        <v>0.03</v>
      </c>
      <c r="L5649" s="7">
        <f t="shared" si="177"/>
        <v>2E-3</v>
      </c>
      <c r="M5649" s="7">
        <v>3.0000000000000001E-3</v>
      </c>
      <c r="N5649">
        <v>11</v>
      </c>
      <c r="O5649" s="8">
        <v>20.328747193832452</v>
      </c>
      <c r="P5649" s="9">
        <v>20.328747193832452</v>
      </c>
      <c r="Q5649" s="9">
        <v>20.328747193832452</v>
      </c>
      <c r="R5649" s="9">
        <v>20.901467178587069</v>
      </c>
      <c r="S5649" s="9">
        <v>21.789694031871221</v>
      </c>
      <c r="T5649" s="9">
        <v>22.685842380093916</v>
      </c>
      <c r="U5649" s="9">
        <v>25.139615720574728</v>
      </c>
      <c r="V5649" s="9">
        <v>25.139615720574728</v>
      </c>
      <c r="W5649" s="9">
        <v>25.139615720574728</v>
      </c>
      <c r="X5649" s="9">
        <v>28.431126761040446</v>
      </c>
      <c r="Y5649" s="9">
        <v>28.431126761040446</v>
      </c>
      <c r="Z5649" s="9">
        <v>31.8133765751437</v>
      </c>
      <c r="AA5649" s="9">
        <v>31.8133765751437</v>
      </c>
      <c r="AB5649" s="9">
        <v>35.295439040248269</v>
      </c>
      <c r="AC5649" s="9">
        <v>35.295439040248269</v>
      </c>
      <c r="AD5649" s="9">
        <v>40.66038110622798</v>
      </c>
      <c r="AE5649" s="9">
        <v>44.145469767258199</v>
      </c>
      <c r="AF5649" s="9">
        <v>47.802065076832598</v>
      </c>
      <c r="AG5649" s="9">
        <v>47.802065076832598</v>
      </c>
      <c r="AH5649" s="9">
        <v>52.368463891218347</v>
      </c>
      <c r="AI5649" s="9">
        <v>56.090712435126555</v>
      </c>
      <c r="AJ5649" s="9">
        <v>3.0428788910505911</v>
      </c>
    </row>
    <row r="5650" spans="1:36" x14ac:dyDescent="0.25">
      <c r="A5650" t="s">
        <v>5411</v>
      </c>
      <c r="B5650" t="s">
        <v>16</v>
      </c>
      <c r="C5650" t="s">
        <v>17</v>
      </c>
      <c r="D5650">
        <v>96500000</v>
      </c>
      <c r="E5650">
        <v>96502999</v>
      </c>
      <c r="F5650" t="s">
        <v>5100</v>
      </c>
      <c r="G5650" t="str">
        <f t="shared" si="176"/>
        <v>RSI II</v>
      </c>
      <c r="H5650" t="s">
        <v>4915</v>
      </c>
      <c r="I5650" t="s">
        <v>20</v>
      </c>
      <c r="J5650" t="s">
        <v>64</v>
      </c>
      <c r="K5650" s="6">
        <v>0.03</v>
      </c>
      <c r="L5650" s="7">
        <f t="shared" si="177"/>
        <v>2E-3</v>
      </c>
      <c r="M5650" s="7">
        <v>3.0000000000000001E-3</v>
      </c>
      <c r="N5650">
        <v>9</v>
      </c>
      <c r="O5650" s="8">
        <v>20.328747193832452</v>
      </c>
      <c r="P5650" s="9">
        <v>20.328747193832452</v>
      </c>
      <c r="Q5650" s="9">
        <v>20.328747193832452</v>
      </c>
      <c r="R5650" s="9">
        <v>20.901467178587069</v>
      </c>
      <c r="S5650" s="9">
        <v>21.789694031871221</v>
      </c>
      <c r="T5650" s="9">
        <v>22.685842380093916</v>
      </c>
      <c r="U5650" s="9">
        <v>25.139615720574728</v>
      </c>
      <c r="V5650" s="9">
        <v>25.139615720574728</v>
      </c>
      <c r="W5650" s="9">
        <v>25.139615720574728</v>
      </c>
      <c r="X5650" s="9">
        <v>28.431126761040446</v>
      </c>
      <c r="Y5650" s="9">
        <v>28.431126761040446</v>
      </c>
      <c r="Z5650" s="9">
        <v>31.8133765751437</v>
      </c>
      <c r="AA5650" s="9">
        <v>31.8133765751437</v>
      </c>
      <c r="AB5650" s="9">
        <v>35.295439040248269</v>
      </c>
      <c r="AC5650" s="9">
        <v>35.295439040248269</v>
      </c>
      <c r="AD5650" s="9">
        <v>40.66038110622798</v>
      </c>
      <c r="AE5650" s="9">
        <v>44.145469767258199</v>
      </c>
      <c r="AF5650" s="9">
        <v>47.802065076832598</v>
      </c>
      <c r="AG5650" s="9">
        <v>47.802065076832598</v>
      </c>
      <c r="AH5650" s="9">
        <v>52.368463891218347</v>
      </c>
      <c r="AI5650" s="9">
        <v>56.090712435126555</v>
      </c>
      <c r="AJ5650" s="9">
        <v>3.0428788910505911</v>
      </c>
    </row>
    <row r="5651" spans="1:36" x14ac:dyDescent="0.25">
      <c r="A5651" t="s">
        <v>5411</v>
      </c>
      <c r="B5651" t="s">
        <v>16</v>
      </c>
      <c r="C5651" t="s">
        <v>17</v>
      </c>
      <c r="D5651">
        <v>96503000</v>
      </c>
      <c r="E5651">
        <v>96529999</v>
      </c>
      <c r="F5651" t="s">
        <v>5100</v>
      </c>
      <c r="G5651" t="str">
        <f t="shared" si="176"/>
        <v>RSI II</v>
      </c>
      <c r="H5651" t="s">
        <v>4915</v>
      </c>
      <c r="I5651" t="s">
        <v>20</v>
      </c>
      <c r="J5651" t="s">
        <v>64</v>
      </c>
      <c r="K5651" s="6">
        <v>0.03</v>
      </c>
      <c r="L5651" s="7">
        <f t="shared" si="177"/>
        <v>2E-3</v>
      </c>
      <c r="M5651" s="7">
        <v>3.0000000000000001E-3</v>
      </c>
      <c r="N5651">
        <v>9</v>
      </c>
      <c r="O5651" s="8">
        <v>20.328747193832452</v>
      </c>
      <c r="P5651" s="9">
        <v>20.328747193832452</v>
      </c>
      <c r="Q5651" s="9">
        <v>20.328747193832452</v>
      </c>
      <c r="R5651" s="9">
        <v>20.901467178587069</v>
      </c>
      <c r="S5651" s="9">
        <v>21.789694031871221</v>
      </c>
      <c r="T5651" s="9">
        <v>22.685842380093916</v>
      </c>
      <c r="U5651" s="9">
        <v>25.139615720574728</v>
      </c>
      <c r="V5651" s="9">
        <v>25.139615720574728</v>
      </c>
      <c r="W5651" s="9">
        <v>25.139615720574728</v>
      </c>
      <c r="X5651" s="9">
        <v>28.431126761040446</v>
      </c>
      <c r="Y5651" s="9">
        <v>28.431126761040446</v>
      </c>
      <c r="Z5651" s="9">
        <v>31.8133765751437</v>
      </c>
      <c r="AA5651" s="9">
        <v>31.8133765751437</v>
      </c>
      <c r="AB5651" s="9">
        <v>35.295439040248269</v>
      </c>
      <c r="AC5651" s="9">
        <v>35.295439040248269</v>
      </c>
      <c r="AD5651" s="9">
        <v>40.66038110622798</v>
      </c>
      <c r="AE5651" s="9">
        <v>44.145469767258199</v>
      </c>
      <c r="AF5651" s="9">
        <v>47.802065076832598</v>
      </c>
      <c r="AG5651" s="9">
        <v>47.802065076832598</v>
      </c>
      <c r="AH5651" s="9">
        <v>52.368463891218347</v>
      </c>
      <c r="AI5651" s="9">
        <v>56.090712435126555</v>
      </c>
      <c r="AJ5651" s="9">
        <v>3.0428788910505911</v>
      </c>
    </row>
    <row r="5652" spans="1:36" x14ac:dyDescent="0.25">
      <c r="A5652" t="s">
        <v>5411</v>
      </c>
      <c r="B5652" t="s">
        <v>16</v>
      </c>
      <c r="C5652" t="s">
        <v>17</v>
      </c>
      <c r="D5652">
        <v>96530000</v>
      </c>
      <c r="E5652">
        <v>96534999</v>
      </c>
      <c r="F5652" t="s">
        <v>5101</v>
      </c>
      <c r="G5652" t="str">
        <f t="shared" si="176"/>
        <v>RSI II</v>
      </c>
      <c r="H5652" t="s">
        <v>4915</v>
      </c>
      <c r="I5652" t="s">
        <v>20</v>
      </c>
      <c r="J5652" t="s">
        <v>64</v>
      </c>
      <c r="K5652" s="6">
        <v>0.03</v>
      </c>
      <c r="L5652" s="7">
        <f t="shared" si="177"/>
        <v>2E-3</v>
      </c>
      <c r="M5652" s="7">
        <v>3.0000000000000001E-3</v>
      </c>
      <c r="N5652">
        <v>11</v>
      </c>
      <c r="O5652" s="8">
        <v>20.328747193832452</v>
      </c>
      <c r="P5652" s="9">
        <v>20.328747193832452</v>
      </c>
      <c r="Q5652" s="9">
        <v>20.328747193832452</v>
      </c>
      <c r="R5652" s="9">
        <v>20.901467178587069</v>
      </c>
      <c r="S5652" s="9">
        <v>21.789694031871221</v>
      </c>
      <c r="T5652" s="9">
        <v>22.685842380093916</v>
      </c>
      <c r="U5652" s="9">
        <v>25.139615720574728</v>
      </c>
      <c r="V5652" s="9">
        <v>25.139615720574728</v>
      </c>
      <c r="W5652" s="9">
        <v>25.139615720574728</v>
      </c>
      <c r="X5652" s="9">
        <v>28.431126761040446</v>
      </c>
      <c r="Y5652" s="9">
        <v>28.431126761040446</v>
      </c>
      <c r="Z5652" s="9">
        <v>31.8133765751437</v>
      </c>
      <c r="AA5652" s="9">
        <v>31.8133765751437</v>
      </c>
      <c r="AB5652" s="9">
        <v>35.295439040248269</v>
      </c>
      <c r="AC5652" s="9">
        <v>35.295439040248269</v>
      </c>
      <c r="AD5652" s="9">
        <v>40.66038110622798</v>
      </c>
      <c r="AE5652" s="9">
        <v>44.145469767258199</v>
      </c>
      <c r="AF5652" s="9">
        <v>47.802065076832598</v>
      </c>
      <c r="AG5652" s="9">
        <v>47.802065076832598</v>
      </c>
      <c r="AH5652" s="9">
        <v>52.368463891218347</v>
      </c>
      <c r="AI5652" s="9">
        <v>56.090712435126555</v>
      </c>
      <c r="AJ5652" s="9">
        <v>3.0428788910505911</v>
      </c>
    </row>
    <row r="5653" spans="1:36" x14ac:dyDescent="0.25">
      <c r="A5653" t="s">
        <v>5411</v>
      </c>
      <c r="B5653" t="s">
        <v>16</v>
      </c>
      <c r="C5653" t="s">
        <v>17</v>
      </c>
      <c r="D5653">
        <v>96535000</v>
      </c>
      <c r="E5653">
        <v>96539999</v>
      </c>
      <c r="F5653" t="s">
        <v>5102</v>
      </c>
      <c r="G5653" t="str">
        <f t="shared" si="176"/>
        <v>RSI II</v>
      </c>
      <c r="H5653" t="s">
        <v>4915</v>
      </c>
      <c r="I5653" t="s">
        <v>20</v>
      </c>
      <c r="J5653" t="s">
        <v>64</v>
      </c>
      <c r="K5653" s="6">
        <v>0.03</v>
      </c>
      <c r="L5653" s="7">
        <f t="shared" si="177"/>
        <v>2E-3</v>
      </c>
      <c r="M5653" s="7">
        <v>3.0000000000000001E-3</v>
      </c>
      <c r="N5653">
        <v>11</v>
      </c>
      <c r="O5653" s="8">
        <v>20.328747193832452</v>
      </c>
      <c r="P5653" s="9">
        <v>20.328747193832452</v>
      </c>
      <c r="Q5653" s="9">
        <v>20.328747193832452</v>
      </c>
      <c r="R5653" s="9">
        <v>20.901467178587069</v>
      </c>
      <c r="S5653" s="9">
        <v>21.789694031871221</v>
      </c>
      <c r="T5653" s="9">
        <v>22.685842380093916</v>
      </c>
      <c r="U5653" s="9">
        <v>25.139615720574728</v>
      </c>
      <c r="V5653" s="9">
        <v>25.139615720574728</v>
      </c>
      <c r="W5653" s="9">
        <v>25.139615720574728</v>
      </c>
      <c r="X5653" s="9">
        <v>28.431126761040446</v>
      </c>
      <c r="Y5653" s="9">
        <v>28.431126761040446</v>
      </c>
      <c r="Z5653" s="9">
        <v>31.8133765751437</v>
      </c>
      <c r="AA5653" s="9">
        <v>31.8133765751437</v>
      </c>
      <c r="AB5653" s="9">
        <v>35.295439040248269</v>
      </c>
      <c r="AC5653" s="9">
        <v>35.295439040248269</v>
      </c>
      <c r="AD5653" s="9">
        <v>40.66038110622798</v>
      </c>
      <c r="AE5653" s="9">
        <v>44.145469767258199</v>
      </c>
      <c r="AF5653" s="9">
        <v>47.802065076832598</v>
      </c>
      <c r="AG5653" s="9">
        <v>47.802065076832598</v>
      </c>
      <c r="AH5653" s="9">
        <v>52.368463891218347</v>
      </c>
      <c r="AI5653" s="9">
        <v>56.090712435126555</v>
      </c>
      <c r="AJ5653" s="9">
        <v>3.0428788910505911</v>
      </c>
    </row>
    <row r="5654" spans="1:36" x14ac:dyDescent="0.25">
      <c r="A5654" t="s">
        <v>5411</v>
      </c>
      <c r="B5654" t="s">
        <v>16</v>
      </c>
      <c r="C5654" t="s">
        <v>17</v>
      </c>
      <c r="D5654">
        <v>96540000</v>
      </c>
      <c r="E5654">
        <v>96544999</v>
      </c>
      <c r="F5654" t="s">
        <v>5103</v>
      </c>
      <c r="G5654" t="str">
        <f t="shared" si="176"/>
        <v>RSI II</v>
      </c>
      <c r="H5654" t="s">
        <v>4915</v>
      </c>
      <c r="I5654" t="s">
        <v>20</v>
      </c>
      <c r="J5654" t="s">
        <v>64</v>
      </c>
      <c r="K5654" s="6">
        <v>0.03</v>
      </c>
      <c r="L5654" s="7">
        <f t="shared" si="177"/>
        <v>2E-3</v>
      </c>
      <c r="M5654" s="7">
        <v>3.0000000000000001E-3</v>
      </c>
      <c r="N5654">
        <v>11</v>
      </c>
      <c r="O5654" s="8">
        <v>20.328747193832452</v>
      </c>
      <c r="P5654" s="9">
        <v>20.328747193832452</v>
      </c>
      <c r="Q5654" s="9">
        <v>20.328747193832452</v>
      </c>
      <c r="R5654" s="9">
        <v>20.901467178587069</v>
      </c>
      <c r="S5654" s="9">
        <v>21.789694031871221</v>
      </c>
      <c r="T5654" s="9">
        <v>22.685842380093916</v>
      </c>
      <c r="U5654" s="9">
        <v>25.139615720574728</v>
      </c>
      <c r="V5654" s="9">
        <v>25.139615720574728</v>
      </c>
      <c r="W5654" s="9">
        <v>25.139615720574728</v>
      </c>
      <c r="X5654" s="9">
        <v>28.431126761040446</v>
      </c>
      <c r="Y5654" s="9">
        <v>28.431126761040446</v>
      </c>
      <c r="Z5654" s="9">
        <v>31.8133765751437</v>
      </c>
      <c r="AA5654" s="9">
        <v>31.8133765751437</v>
      </c>
      <c r="AB5654" s="9">
        <v>35.295439040248269</v>
      </c>
      <c r="AC5654" s="9">
        <v>35.295439040248269</v>
      </c>
      <c r="AD5654" s="9">
        <v>40.66038110622798</v>
      </c>
      <c r="AE5654" s="9">
        <v>44.145469767258199</v>
      </c>
      <c r="AF5654" s="9">
        <v>47.802065076832598</v>
      </c>
      <c r="AG5654" s="9">
        <v>47.802065076832598</v>
      </c>
      <c r="AH5654" s="9">
        <v>52.368463891218347</v>
      </c>
      <c r="AI5654" s="9">
        <v>56.090712435126555</v>
      </c>
      <c r="AJ5654" s="9">
        <v>3.0428788910505911</v>
      </c>
    </row>
    <row r="5655" spans="1:36" x14ac:dyDescent="0.25">
      <c r="A5655" t="s">
        <v>5411</v>
      </c>
      <c r="B5655" t="s">
        <v>16</v>
      </c>
      <c r="C5655" t="s">
        <v>17</v>
      </c>
      <c r="D5655">
        <v>96545000</v>
      </c>
      <c r="E5655">
        <v>96569999</v>
      </c>
      <c r="F5655" t="s">
        <v>5104</v>
      </c>
      <c r="G5655" t="str">
        <f t="shared" si="176"/>
        <v>RSI II</v>
      </c>
      <c r="H5655" t="s">
        <v>4915</v>
      </c>
      <c r="I5655" t="s">
        <v>20</v>
      </c>
      <c r="J5655" t="s">
        <v>64</v>
      </c>
      <c r="K5655" s="6">
        <v>0.03</v>
      </c>
      <c r="L5655" s="7">
        <f t="shared" si="177"/>
        <v>2E-3</v>
      </c>
      <c r="M5655" s="7">
        <v>3.0000000000000001E-3</v>
      </c>
      <c r="N5655">
        <v>11</v>
      </c>
      <c r="O5655" s="8">
        <v>20.328747193832452</v>
      </c>
      <c r="P5655" s="9">
        <v>20.328747193832452</v>
      </c>
      <c r="Q5655" s="9">
        <v>20.328747193832452</v>
      </c>
      <c r="R5655" s="9">
        <v>20.901467178587069</v>
      </c>
      <c r="S5655" s="9">
        <v>21.789694031871221</v>
      </c>
      <c r="T5655" s="9">
        <v>22.685842380093916</v>
      </c>
      <c r="U5655" s="9">
        <v>25.139615720574728</v>
      </c>
      <c r="V5655" s="9">
        <v>25.139615720574728</v>
      </c>
      <c r="W5655" s="9">
        <v>25.139615720574728</v>
      </c>
      <c r="X5655" s="9">
        <v>28.431126761040446</v>
      </c>
      <c r="Y5655" s="9">
        <v>28.431126761040446</v>
      </c>
      <c r="Z5655" s="9">
        <v>31.8133765751437</v>
      </c>
      <c r="AA5655" s="9">
        <v>31.8133765751437</v>
      </c>
      <c r="AB5655" s="9">
        <v>35.295439040248269</v>
      </c>
      <c r="AC5655" s="9">
        <v>35.295439040248269</v>
      </c>
      <c r="AD5655" s="9">
        <v>40.66038110622798</v>
      </c>
      <c r="AE5655" s="9">
        <v>44.145469767258199</v>
      </c>
      <c r="AF5655" s="9">
        <v>47.802065076832598</v>
      </c>
      <c r="AG5655" s="9">
        <v>47.802065076832598</v>
      </c>
      <c r="AH5655" s="9">
        <v>52.368463891218347</v>
      </c>
      <c r="AI5655" s="9">
        <v>56.090712435126555</v>
      </c>
      <c r="AJ5655" s="9">
        <v>3.0428788910505911</v>
      </c>
    </row>
    <row r="5656" spans="1:36" x14ac:dyDescent="0.25">
      <c r="A5656" t="s">
        <v>5411</v>
      </c>
      <c r="B5656" t="s">
        <v>16</v>
      </c>
      <c r="C5656" t="s">
        <v>17</v>
      </c>
      <c r="D5656">
        <v>96570000</v>
      </c>
      <c r="E5656">
        <v>96589999</v>
      </c>
      <c r="F5656" t="s">
        <v>5105</v>
      </c>
      <c r="G5656" t="str">
        <f t="shared" si="176"/>
        <v>RSI II</v>
      </c>
      <c r="H5656" t="s">
        <v>4915</v>
      </c>
      <c r="I5656" t="s">
        <v>20</v>
      </c>
      <c r="J5656" t="s">
        <v>64</v>
      </c>
      <c r="K5656" s="6">
        <v>0.03</v>
      </c>
      <c r="L5656" s="7">
        <f t="shared" si="177"/>
        <v>2E-3</v>
      </c>
      <c r="M5656" s="7">
        <v>3.0000000000000001E-3</v>
      </c>
      <c r="N5656">
        <v>11</v>
      </c>
      <c r="O5656" s="8">
        <v>20.328747193832452</v>
      </c>
      <c r="P5656" s="9">
        <v>20.328747193832452</v>
      </c>
      <c r="Q5656" s="9">
        <v>20.328747193832452</v>
      </c>
      <c r="R5656" s="9">
        <v>20.901467178587069</v>
      </c>
      <c r="S5656" s="9">
        <v>21.789694031871221</v>
      </c>
      <c r="T5656" s="9">
        <v>22.685842380093916</v>
      </c>
      <c r="U5656" s="9">
        <v>25.139615720574728</v>
      </c>
      <c r="V5656" s="9">
        <v>25.139615720574728</v>
      </c>
      <c r="W5656" s="9">
        <v>25.139615720574728</v>
      </c>
      <c r="X5656" s="9">
        <v>28.431126761040446</v>
      </c>
      <c r="Y5656" s="9">
        <v>28.431126761040446</v>
      </c>
      <c r="Z5656" s="9">
        <v>31.8133765751437</v>
      </c>
      <c r="AA5656" s="9">
        <v>31.8133765751437</v>
      </c>
      <c r="AB5656" s="9">
        <v>35.295439040248269</v>
      </c>
      <c r="AC5656" s="9">
        <v>35.295439040248269</v>
      </c>
      <c r="AD5656" s="9">
        <v>40.66038110622798</v>
      </c>
      <c r="AE5656" s="9">
        <v>44.145469767258199</v>
      </c>
      <c r="AF5656" s="9">
        <v>47.802065076832598</v>
      </c>
      <c r="AG5656" s="9">
        <v>47.802065076832598</v>
      </c>
      <c r="AH5656" s="9">
        <v>52.368463891218347</v>
      </c>
      <c r="AI5656" s="9">
        <v>56.090712435126555</v>
      </c>
      <c r="AJ5656" s="9">
        <v>3.0428788910505911</v>
      </c>
    </row>
    <row r="5657" spans="1:36" x14ac:dyDescent="0.25">
      <c r="A5657" t="s">
        <v>5411</v>
      </c>
      <c r="B5657" t="s">
        <v>16</v>
      </c>
      <c r="C5657" t="s">
        <v>17</v>
      </c>
      <c r="D5657">
        <v>96590000</v>
      </c>
      <c r="E5657">
        <v>96599999</v>
      </c>
      <c r="F5657" t="s">
        <v>5106</v>
      </c>
      <c r="G5657" t="str">
        <f t="shared" si="176"/>
        <v>RSI II</v>
      </c>
      <c r="H5657" t="s">
        <v>4915</v>
      </c>
      <c r="I5657" t="s">
        <v>20</v>
      </c>
      <c r="J5657" t="s">
        <v>64</v>
      </c>
      <c r="K5657" s="6">
        <v>0.03</v>
      </c>
      <c r="L5657" s="7">
        <f t="shared" si="177"/>
        <v>2E-3</v>
      </c>
      <c r="M5657" s="7">
        <v>3.0000000000000001E-3</v>
      </c>
      <c r="N5657">
        <v>11</v>
      </c>
      <c r="O5657" s="8">
        <v>20.328747193832452</v>
      </c>
      <c r="P5657" s="9">
        <v>20.328747193832452</v>
      </c>
      <c r="Q5657" s="9">
        <v>20.328747193832452</v>
      </c>
      <c r="R5657" s="9">
        <v>20.901467178587069</v>
      </c>
      <c r="S5657" s="9">
        <v>21.789694031871221</v>
      </c>
      <c r="T5657" s="9">
        <v>22.685842380093916</v>
      </c>
      <c r="U5657" s="9">
        <v>25.139615720574728</v>
      </c>
      <c r="V5657" s="9">
        <v>25.139615720574728</v>
      </c>
      <c r="W5657" s="9">
        <v>25.139615720574728</v>
      </c>
      <c r="X5657" s="9">
        <v>28.431126761040446</v>
      </c>
      <c r="Y5657" s="9">
        <v>28.431126761040446</v>
      </c>
      <c r="Z5657" s="9">
        <v>31.8133765751437</v>
      </c>
      <c r="AA5657" s="9">
        <v>31.8133765751437</v>
      </c>
      <c r="AB5657" s="9">
        <v>35.295439040248269</v>
      </c>
      <c r="AC5657" s="9">
        <v>35.295439040248269</v>
      </c>
      <c r="AD5657" s="9">
        <v>40.66038110622798</v>
      </c>
      <c r="AE5657" s="9">
        <v>44.145469767258199</v>
      </c>
      <c r="AF5657" s="9">
        <v>47.802065076832598</v>
      </c>
      <c r="AG5657" s="9">
        <v>47.802065076832598</v>
      </c>
      <c r="AH5657" s="9">
        <v>52.368463891218347</v>
      </c>
      <c r="AI5657" s="9">
        <v>56.090712435126555</v>
      </c>
      <c r="AJ5657" s="9">
        <v>3.0428788910505911</v>
      </c>
    </row>
    <row r="5658" spans="1:36" x14ac:dyDescent="0.25">
      <c r="A5658" t="s">
        <v>5411</v>
      </c>
      <c r="B5658" t="s">
        <v>16</v>
      </c>
      <c r="C5658" t="s">
        <v>17</v>
      </c>
      <c r="D5658">
        <v>96600000</v>
      </c>
      <c r="E5658">
        <v>96609999</v>
      </c>
      <c r="F5658" t="s">
        <v>5107</v>
      </c>
      <c r="G5658" t="str">
        <f t="shared" si="176"/>
        <v>RSI II</v>
      </c>
      <c r="H5658" t="s">
        <v>4915</v>
      </c>
      <c r="I5658" t="s">
        <v>20</v>
      </c>
      <c r="J5658" t="s">
        <v>64</v>
      </c>
      <c r="K5658" s="6">
        <v>0.03</v>
      </c>
      <c r="L5658" s="7">
        <f t="shared" si="177"/>
        <v>2E-3</v>
      </c>
      <c r="M5658" s="7">
        <v>3.0000000000000001E-3</v>
      </c>
      <c r="N5658">
        <v>11</v>
      </c>
      <c r="O5658" s="8">
        <v>20.328747193832452</v>
      </c>
      <c r="P5658" s="9">
        <v>20.328747193832452</v>
      </c>
      <c r="Q5658" s="9">
        <v>20.328747193832452</v>
      </c>
      <c r="R5658" s="9">
        <v>20.901467178587069</v>
      </c>
      <c r="S5658" s="9">
        <v>21.789694031871221</v>
      </c>
      <c r="T5658" s="9">
        <v>22.685842380093916</v>
      </c>
      <c r="U5658" s="9">
        <v>25.139615720574728</v>
      </c>
      <c r="V5658" s="9">
        <v>25.139615720574728</v>
      </c>
      <c r="W5658" s="9">
        <v>25.139615720574728</v>
      </c>
      <c r="X5658" s="9">
        <v>28.431126761040446</v>
      </c>
      <c r="Y5658" s="9">
        <v>28.431126761040446</v>
      </c>
      <c r="Z5658" s="9">
        <v>31.8133765751437</v>
      </c>
      <c r="AA5658" s="9">
        <v>31.8133765751437</v>
      </c>
      <c r="AB5658" s="9">
        <v>35.295439040248269</v>
      </c>
      <c r="AC5658" s="9">
        <v>35.295439040248269</v>
      </c>
      <c r="AD5658" s="9">
        <v>40.66038110622798</v>
      </c>
      <c r="AE5658" s="9">
        <v>44.145469767258199</v>
      </c>
      <c r="AF5658" s="9">
        <v>47.802065076832598</v>
      </c>
      <c r="AG5658" s="9">
        <v>47.802065076832598</v>
      </c>
      <c r="AH5658" s="9">
        <v>52.368463891218347</v>
      </c>
      <c r="AI5658" s="9">
        <v>56.090712435126555</v>
      </c>
      <c r="AJ5658" s="9">
        <v>3.0428788910505911</v>
      </c>
    </row>
    <row r="5659" spans="1:36" x14ac:dyDescent="0.25">
      <c r="A5659" t="s">
        <v>5411</v>
      </c>
      <c r="B5659" t="s">
        <v>16</v>
      </c>
      <c r="C5659" t="s">
        <v>17</v>
      </c>
      <c r="D5659">
        <v>96610000</v>
      </c>
      <c r="E5659">
        <v>96634999</v>
      </c>
      <c r="F5659" t="s">
        <v>5108</v>
      </c>
      <c r="G5659" t="str">
        <f t="shared" si="176"/>
        <v>RSI II</v>
      </c>
      <c r="H5659" t="s">
        <v>4915</v>
      </c>
      <c r="I5659" t="s">
        <v>20</v>
      </c>
      <c r="J5659" t="s">
        <v>64</v>
      </c>
      <c r="K5659" s="6">
        <v>0.03</v>
      </c>
      <c r="L5659" s="7">
        <f t="shared" si="177"/>
        <v>2E-3</v>
      </c>
      <c r="M5659" s="7">
        <v>3.0000000000000001E-3</v>
      </c>
      <c r="N5659">
        <v>11</v>
      </c>
      <c r="O5659" s="8">
        <v>20.328747193832452</v>
      </c>
      <c r="P5659" s="9">
        <v>20.328747193832452</v>
      </c>
      <c r="Q5659" s="9">
        <v>20.328747193832452</v>
      </c>
      <c r="R5659" s="9">
        <v>20.901467178587069</v>
      </c>
      <c r="S5659" s="9">
        <v>21.789694031871221</v>
      </c>
      <c r="T5659" s="9">
        <v>22.685842380093916</v>
      </c>
      <c r="U5659" s="9">
        <v>25.139615720574728</v>
      </c>
      <c r="V5659" s="9">
        <v>25.139615720574728</v>
      </c>
      <c r="W5659" s="9">
        <v>25.139615720574728</v>
      </c>
      <c r="X5659" s="9">
        <v>28.431126761040446</v>
      </c>
      <c r="Y5659" s="9">
        <v>28.431126761040446</v>
      </c>
      <c r="Z5659" s="9">
        <v>31.8133765751437</v>
      </c>
      <c r="AA5659" s="9">
        <v>31.8133765751437</v>
      </c>
      <c r="AB5659" s="9">
        <v>35.295439040248269</v>
      </c>
      <c r="AC5659" s="9">
        <v>35.295439040248269</v>
      </c>
      <c r="AD5659" s="9">
        <v>40.66038110622798</v>
      </c>
      <c r="AE5659" s="9">
        <v>44.145469767258199</v>
      </c>
      <c r="AF5659" s="9">
        <v>47.802065076832598</v>
      </c>
      <c r="AG5659" s="9">
        <v>47.802065076832598</v>
      </c>
      <c r="AH5659" s="9">
        <v>52.368463891218347</v>
      </c>
      <c r="AI5659" s="9">
        <v>56.090712435126555</v>
      </c>
      <c r="AJ5659" s="9">
        <v>3.0428788910505911</v>
      </c>
    </row>
    <row r="5660" spans="1:36" x14ac:dyDescent="0.25">
      <c r="A5660" t="s">
        <v>5411</v>
      </c>
      <c r="B5660" t="s">
        <v>16</v>
      </c>
      <c r="C5660" t="s">
        <v>17</v>
      </c>
      <c r="D5660">
        <v>96635000</v>
      </c>
      <c r="E5660">
        <v>96639999</v>
      </c>
      <c r="F5660" t="s">
        <v>5109</v>
      </c>
      <c r="G5660" t="str">
        <f t="shared" si="176"/>
        <v>RSI II</v>
      </c>
      <c r="H5660" t="s">
        <v>4915</v>
      </c>
      <c r="I5660" t="s">
        <v>20</v>
      </c>
      <c r="J5660" t="s">
        <v>64</v>
      </c>
      <c r="K5660" s="6">
        <v>0.03</v>
      </c>
      <c r="L5660" s="7">
        <f t="shared" si="177"/>
        <v>2E-3</v>
      </c>
      <c r="M5660" s="7">
        <v>3.0000000000000001E-3</v>
      </c>
      <c r="N5660">
        <v>10</v>
      </c>
      <c r="O5660" s="8">
        <v>20.328747193832452</v>
      </c>
      <c r="P5660" s="9">
        <v>20.328747193832452</v>
      </c>
      <c r="Q5660" s="9">
        <v>20.328747193832452</v>
      </c>
      <c r="R5660" s="9">
        <v>20.901467178587069</v>
      </c>
      <c r="S5660" s="9">
        <v>21.789694031871221</v>
      </c>
      <c r="T5660" s="9">
        <v>22.685842380093916</v>
      </c>
      <c r="U5660" s="9">
        <v>25.139615720574728</v>
      </c>
      <c r="V5660" s="9">
        <v>25.139615720574728</v>
      </c>
      <c r="W5660" s="9">
        <v>25.139615720574728</v>
      </c>
      <c r="X5660" s="9">
        <v>28.431126761040446</v>
      </c>
      <c r="Y5660" s="9">
        <v>28.431126761040446</v>
      </c>
      <c r="Z5660" s="9">
        <v>31.8133765751437</v>
      </c>
      <c r="AA5660" s="9">
        <v>31.8133765751437</v>
      </c>
      <c r="AB5660" s="9">
        <v>35.295439040248269</v>
      </c>
      <c r="AC5660" s="9">
        <v>35.295439040248269</v>
      </c>
      <c r="AD5660" s="9">
        <v>40.66038110622798</v>
      </c>
      <c r="AE5660" s="9">
        <v>44.145469767258199</v>
      </c>
      <c r="AF5660" s="9">
        <v>47.802065076832598</v>
      </c>
      <c r="AG5660" s="9">
        <v>47.802065076832598</v>
      </c>
      <c r="AH5660" s="9">
        <v>52.368463891218347</v>
      </c>
      <c r="AI5660" s="9">
        <v>56.090712435126555</v>
      </c>
      <c r="AJ5660" s="9">
        <v>3.0428788910505911</v>
      </c>
    </row>
    <row r="5661" spans="1:36" x14ac:dyDescent="0.25">
      <c r="A5661" t="s">
        <v>5411</v>
      </c>
      <c r="B5661" t="s">
        <v>16</v>
      </c>
      <c r="C5661" t="s">
        <v>17</v>
      </c>
      <c r="D5661">
        <v>96640000</v>
      </c>
      <c r="E5661">
        <v>96684999</v>
      </c>
      <c r="F5661" t="s">
        <v>5110</v>
      </c>
      <c r="G5661" t="str">
        <f t="shared" si="176"/>
        <v>RSI II</v>
      </c>
      <c r="H5661" t="s">
        <v>4915</v>
      </c>
      <c r="I5661" t="s">
        <v>20</v>
      </c>
      <c r="J5661" t="s">
        <v>64</v>
      </c>
      <c r="K5661" s="6">
        <v>0.03</v>
      </c>
      <c r="L5661" s="7">
        <f t="shared" si="177"/>
        <v>2E-3</v>
      </c>
      <c r="M5661" s="7">
        <v>3.0000000000000001E-3</v>
      </c>
      <c r="N5661">
        <v>11</v>
      </c>
      <c r="O5661" s="8">
        <v>20.328747193832452</v>
      </c>
      <c r="P5661" s="9">
        <v>20.328747193832452</v>
      </c>
      <c r="Q5661" s="9">
        <v>20.328747193832452</v>
      </c>
      <c r="R5661" s="9">
        <v>20.901467178587069</v>
      </c>
      <c r="S5661" s="9">
        <v>21.789694031871221</v>
      </c>
      <c r="T5661" s="9">
        <v>22.685842380093916</v>
      </c>
      <c r="U5661" s="9">
        <v>25.139615720574728</v>
      </c>
      <c r="V5661" s="9">
        <v>25.139615720574728</v>
      </c>
      <c r="W5661" s="9">
        <v>25.139615720574728</v>
      </c>
      <c r="X5661" s="9">
        <v>28.431126761040446</v>
      </c>
      <c r="Y5661" s="9">
        <v>28.431126761040446</v>
      </c>
      <c r="Z5661" s="9">
        <v>31.8133765751437</v>
      </c>
      <c r="AA5661" s="9">
        <v>31.8133765751437</v>
      </c>
      <c r="AB5661" s="9">
        <v>35.295439040248269</v>
      </c>
      <c r="AC5661" s="9">
        <v>35.295439040248269</v>
      </c>
      <c r="AD5661" s="9">
        <v>40.66038110622798</v>
      </c>
      <c r="AE5661" s="9">
        <v>44.145469767258199</v>
      </c>
      <c r="AF5661" s="9">
        <v>47.802065076832598</v>
      </c>
      <c r="AG5661" s="9">
        <v>47.802065076832598</v>
      </c>
      <c r="AH5661" s="9">
        <v>52.368463891218347</v>
      </c>
      <c r="AI5661" s="9">
        <v>56.090712435126555</v>
      </c>
      <c r="AJ5661" s="9">
        <v>3.0428788910505911</v>
      </c>
    </row>
    <row r="5662" spans="1:36" x14ac:dyDescent="0.25">
      <c r="A5662" t="s">
        <v>5411</v>
      </c>
      <c r="B5662" t="s">
        <v>16</v>
      </c>
      <c r="C5662" t="s">
        <v>17</v>
      </c>
      <c r="D5662">
        <v>96685000</v>
      </c>
      <c r="E5662">
        <v>96689999</v>
      </c>
      <c r="F5662" t="s">
        <v>5111</v>
      </c>
      <c r="G5662" t="str">
        <f t="shared" si="176"/>
        <v>RSI II</v>
      </c>
      <c r="H5662" t="s">
        <v>4915</v>
      </c>
      <c r="I5662" t="s">
        <v>20</v>
      </c>
      <c r="J5662" t="s">
        <v>64</v>
      </c>
      <c r="K5662" s="6">
        <v>0.03</v>
      </c>
      <c r="L5662" s="7">
        <f t="shared" si="177"/>
        <v>2E-3</v>
      </c>
      <c r="M5662" s="7">
        <v>3.0000000000000001E-3</v>
      </c>
      <c r="N5662">
        <v>11</v>
      </c>
      <c r="O5662" s="8">
        <v>20.328747193832452</v>
      </c>
      <c r="P5662" s="9">
        <v>20.328747193832452</v>
      </c>
      <c r="Q5662" s="9">
        <v>20.328747193832452</v>
      </c>
      <c r="R5662" s="9">
        <v>20.901467178587069</v>
      </c>
      <c r="S5662" s="9">
        <v>21.789694031871221</v>
      </c>
      <c r="T5662" s="9">
        <v>22.685842380093916</v>
      </c>
      <c r="U5662" s="9">
        <v>25.139615720574728</v>
      </c>
      <c r="V5662" s="9">
        <v>25.139615720574728</v>
      </c>
      <c r="W5662" s="9">
        <v>25.139615720574728</v>
      </c>
      <c r="X5662" s="9">
        <v>28.431126761040446</v>
      </c>
      <c r="Y5662" s="9">
        <v>28.431126761040446</v>
      </c>
      <c r="Z5662" s="9">
        <v>31.8133765751437</v>
      </c>
      <c r="AA5662" s="9">
        <v>31.8133765751437</v>
      </c>
      <c r="AB5662" s="9">
        <v>35.295439040248269</v>
      </c>
      <c r="AC5662" s="9">
        <v>35.295439040248269</v>
      </c>
      <c r="AD5662" s="9">
        <v>40.66038110622798</v>
      </c>
      <c r="AE5662" s="9">
        <v>44.145469767258199</v>
      </c>
      <c r="AF5662" s="9">
        <v>47.802065076832598</v>
      </c>
      <c r="AG5662" s="9">
        <v>47.802065076832598</v>
      </c>
      <c r="AH5662" s="9">
        <v>52.368463891218347</v>
      </c>
      <c r="AI5662" s="9">
        <v>56.090712435126555</v>
      </c>
      <c r="AJ5662" s="9">
        <v>3.0428788910505911</v>
      </c>
    </row>
    <row r="5663" spans="1:36" x14ac:dyDescent="0.25">
      <c r="A5663" t="s">
        <v>5411</v>
      </c>
      <c r="B5663" t="s">
        <v>16</v>
      </c>
      <c r="C5663" t="s">
        <v>17</v>
      </c>
      <c r="D5663">
        <v>96690000</v>
      </c>
      <c r="E5663">
        <v>96699999</v>
      </c>
      <c r="F5663" t="s">
        <v>5112</v>
      </c>
      <c r="G5663" t="str">
        <f t="shared" si="176"/>
        <v>RSI II</v>
      </c>
      <c r="H5663" t="s">
        <v>4915</v>
      </c>
      <c r="I5663" t="s">
        <v>20</v>
      </c>
      <c r="J5663" t="s">
        <v>64</v>
      </c>
      <c r="K5663" s="6">
        <v>0.03</v>
      </c>
      <c r="L5663" s="7">
        <f t="shared" si="177"/>
        <v>2E-3</v>
      </c>
      <c r="M5663" s="7">
        <v>3.0000000000000001E-3</v>
      </c>
      <c r="N5663">
        <v>11</v>
      </c>
      <c r="O5663" s="8">
        <v>20.328747193832452</v>
      </c>
      <c r="P5663" s="9">
        <v>20.328747193832452</v>
      </c>
      <c r="Q5663" s="9">
        <v>20.328747193832452</v>
      </c>
      <c r="R5663" s="9">
        <v>20.901467178587069</v>
      </c>
      <c r="S5663" s="9">
        <v>21.789694031871221</v>
      </c>
      <c r="T5663" s="9">
        <v>22.685842380093916</v>
      </c>
      <c r="U5663" s="9">
        <v>25.139615720574728</v>
      </c>
      <c r="V5663" s="9">
        <v>25.139615720574728</v>
      </c>
      <c r="W5663" s="9">
        <v>25.139615720574728</v>
      </c>
      <c r="X5663" s="9">
        <v>28.431126761040446</v>
      </c>
      <c r="Y5663" s="9">
        <v>28.431126761040446</v>
      </c>
      <c r="Z5663" s="9">
        <v>31.8133765751437</v>
      </c>
      <c r="AA5663" s="9">
        <v>31.8133765751437</v>
      </c>
      <c r="AB5663" s="9">
        <v>35.295439040248269</v>
      </c>
      <c r="AC5663" s="9">
        <v>35.295439040248269</v>
      </c>
      <c r="AD5663" s="9">
        <v>40.66038110622798</v>
      </c>
      <c r="AE5663" s="9">
        <v>44.145469767258199</v>
      </c>
      <c r="AF5663" s="9">
        <v>47.802065076832598</v>
      </c>
      <c r="AG5663" s="9">
        <v>47.802065076832598</v>
      </c>
      <c r="AH5663" s="9">
        <v>52.368463891218347</v>
      </c>
      <c r="AI5663" s="9">
        <v>56.090712435126555</v>
      </c>
      <c r="AJ5663" s="9">
        <v>3.0428788910505911</v>
      </c>
    </row>
    <row r="5664" spans="1:36" x14ac:dyDescent="0.25">
      <c r="A5664" t="s">
        <v>5411</v>
      </c>
      <c r="B5664" t="s">
        <v>16</v>
      </c>
      <c r="C5664" t="s">
        <v>17</v>
      </c>
      <c r="D5664">
        <v>96700000</v>
      </c>
      <c r="E5664">
        <v>96734999</v>
      </c>
      <c r="F5664" t="s">
        <v>5113</v>
      </c>
      <c r="G5664" t="str">
        <f t="shared" si="176"/>
        <v>RSI II</v>
      </c>
      <c r="H5664" t="s">
        <v>4915</v>
      </c>
      <c r="I5664" t="s">
        <v>20</v>
      </c>
      <c r="J5664" t="s">
        <v>64</v>
      </c>
      <c r="K5664" s="6">
        <v>0.03</v>
      </c>
      <c r="L5664" s="7">
        <f t="shared" si="177"/>
        <v>2E-3</v>
      </c>
      <c r="M5664" s="7">
        <v>3.0000000000000001E-3</v>
      </c>
      <c r="N5664">
        <v>10</v>
      </c>
      <c r="O5664" s="8">
        <v>20.328747193832452</v>
      </c>
      <c r="P5664" s="9">
        <v>20.328747193832452</v>
      </c>
      <c r="Q5664" s="9">
        <v>20.328747193832452</v>
      </c>
      <c r="R5664" s="9">
        <v>20.901467178587069</v>
      </c>
      <c r="S5664" s="9">
        <v>21.789694031871221</v>
      </c>
      <c r="T5664" s="9">
        <v>22.685842380093916</v>
      </c>
      <c r="U5664" s="9">
        <v>25.139615720574728</v>
      </c>
      <c r="V5664" s="9">
        <v>25.139615720574728</v>
      </c>
      <c r="W5664" s="9">
        <v>25.139615720574728</v>
      </c>
      <c r="X5664" s="9">
        <v>28.431126761040446</v>
      </c>
      <c r="Y5664" s="9">
        <v>28.431126761040446</v>
      </c>
      <c r="Z5664" s="9">
        <v>31.8133765751437</v>
      </c>
      <c r="AA5664" s="9">
        <v>31.8133765751437</v>
      </c>
      <c r="AB5664" s="9">
        <v>35.295439040248269</v>
      </c>
      <c r="AC5664" s="9">
        <v>35.295439040248269</v>
      </c>
      <c r="AD5664" s="9">
        <v>40.66038110622798</v>
      </c>
      <c r="AE5664" s="9">
        <v>44.145469767258199</v>
      </c>
      <c r="AF5664" s="9">
        <v>47.802065076832598</v>
      </c>
      <c r="AG5664" s="9">
        <v>47.802065076832598</v>
      </c>
      <c r="AH5664" s="9">
        <v>52.368463891218347</v>
      </c>
      <c r="AI5664" s="9">
        <v>56.090712435126555</v>
      </c>
      <c r="AJ5664" s="9">
        <v>3.0428788910505911</v>
      </c>
    </row>
    <row r="5665" spans="1:36" x14ac:dyDescent="0.25">
      <c r="A5665" t="s">
        <v>5411</v>
      </c>
      <c r="B5665" t="s">
        <v>16</v>
      </c>
      <c r="C5665" t="s">
        <v>17</v>
      </c>
      <c r="D5665">
        <v>96735000</v>
      </c>
      <c r="E5665">
        <v>96739999</v>
      </c>
      <c r="F5665" t="s">
        <v>5114</v>
      </c>
      <c r="G5665" t="str">
        <f t="shared" si="176"/>
        <v>RSI II</v>
      </c>
      <c r="H5665" t="s">
        <v>4915</v>
      </c>
      <c r="I5665" t="s">
        <v>20</v>
      </c>
      <c r="J5665" t="s">
        <v>64</v>
      </c>
      <c r="K5665" s="6">
        <v>0.03</v>
      </c>
      <c r="L5665" s="7">
        <f t="shared" si="177"/>
        <v>2E-3</v>
      </c>
      <c r="M5665" s="7">
        <v>3.0000000000000001E-3</v>
      </c>
      <c r="N5665">
        <v>10</v>
      </c>
      <c r="O5665" s="8">
        <v>20.328747193832452</v>
      </c>
      <c r="P5665" s="9">
        <v>20.328747193832452</v>
      </c>
      <c r="Q5665" s="9">
        <v>20.328747193832452</v>
      </c>
      <c r="R5665" s="9">
        <v>20.901467178587069</v>
      </c>
      <c r="S5665" s="9">
        <v>21.789694031871221</v>
      </c>
      <c r="T5665" s="9">
        <v>22.685842380093916</v>
      </c>
      <c r="U5665" s="9">
        <v>25.139615720574728</v>
      </c>
      <c r="V5665" s="9">
        <v>25.139615720574728</v>
      </c>
      <c r="W5665" s="9">
        <v>25.139615720574728</v>
      </c>
      <c r="X5665" s="9">
        <v>28.431126761040446</v>
      </c>
      <c r="Y5665" s="9">
        <v>28.431126761040446</v>
      </c>
      <c r="Z5665" s="9">
        <v>31.8133765751437</v>
      </c>
      <c r="AA5665" s="9">
        <v>31.8133765751437</v>
      </c>
      <c r="AB5665" s="9">
        <v>35.295439040248269</v>
      </c>
      <c r="AC5665" s="9">
        <v>35.295439040248269</v>
      </c>
      <c r="AD5665" s="9">
        <v>40.66038110622798</v>
      </c>
      <c r="AE5665" s="9">
        <v>44.145469767258199</v>
      </c>
      <c r="AF5665" s="9">
        <v>47.802065076832598</v>
      </c>
      <c r="AG5665" s="9">
        <v>47.802065076832598</v>
      </c>
      <c r="AH5665" s="9">
        <v>52.368463891218347</v>
      </c>
      <c r="AI5665" s="9">
        <v>56.090712435126555</v>
      </c>
      <c r="AJ5665" s="9">
        <v>3.0428788910505911</v>
      </c>
    </row>
    <row r="5666" spans="1:36" x14ac:dyDescent="0.25">
      <c r="A5666" t="s">
        <v>5411</v>
      </c>
      <c r="B5666" t="s">
        <v>16</v>
      </c>
      <c r="C5666" t="s">
        <v>17</v>
      </c>
      <c r="D5666">
        <v>96740000</v>
      </c>
      <c r="E5666">
        <v>96744999</v>
      </c>
      <c r="F5666" t="s">
        <v>5115</v>
      </c>
      <c r="G5666" t="str">
        <f t="shared" si="176"/>
        <v>RSI II</v>
      </c>
      <c r="H5666" t="s">
        <v>4915</v>
      </c>
      <c r="I5666" t="s">
        <v>20</v>
      </c>
      <c r="J5666" t="s">
        <v>64</v>
      </c>
      <c r="K5666" s="6">
        <v>0.03</v>
      </c>
      <c r="L5666" s="7">
        <f t="shared" si="177"/>
        <v>2E-3</v>
      </c>
      <c r="M5666" s="7">
        <v>3.0000000000000001E-3</v>
      </c>
      <c r="N5666">
        <v>10</v>
      </c>
      <c r="O5666" s="8">
        <v>20.328747193832452</v>
      </c>
      <c r="P5666" s="9">
        <v>20.328747193832452</v>
      </c>
      <c r="Q5666" s="9">
        <v>20.328747193832452</v>
      </c>
      <c r="R5666" s="9">
        <v>20.901467178587069</v>
      </c>
      <c r="S5666" s="9">
        <v>21.789694031871221</v>
      </c>
      <c r="T5666" s="9">
        <v>22.685842380093916</v>
      </c>
      <c r="U5666" s="9">
        <v>25.139615720574728</v>
      </c>
      <c r="V5666" s="9">
        <v>25.139615720574728</v>
      </c>
      <c r="W5666" s="9">
        <v>25.139615720574728</v>
      </c>
      <c r="X5666" s="9">
        <v>28.431126761040446</v>
      </c>
      <c r="Y5666" s="9">
        <v>28.431126761040446</v>
      </c>
      <c r="Z5666" s="9">
        <v>31.8133765751437</v>
      </c>
      <c r="AA5666" s="9">
        <v>31.8133765751437</v>
      </c>
      <c r="AB5666" s="9">
        <v>35.295439040248269</v>
      </c>
      <c r="AC5666" s="9">
        <v>35.295439040248269</v>
      </c>
      <c r="AD5666" s="9">
        <v>40.66038110622798</v>
      </c>
      <c r="AE5666" s="9">
        <v>44.145469767258199</v>
      </c>
      <c r="AF5666" s="9">
        <v>47.802065076832598</v>
      </c>
      <c r="AG5666" s="9">
        <v>47.802065076832598</v>
      </c>
      <c r="AH5666" s="9">
        <v>52.368463891218347</v>
      </c>
      <c r="AI5666" s="9">
        <v>56.090712435126555</v>
      </c>
      <c r="AJ5666" s="9">
        <v>3.0428788910505911</v>
      </c>
    </row>
    <row r="5667" spans="1:36" x14ac:dyDescent="0.25">
      <c r="A5667" t="s">
        <v>5411</v>
      </c>
      <c r="B5667" t="s">
        <v>16</v>
      </c>
      <c r="C5667" t="s">
        <v>17</v>
      </c>
      <c r="D5667">
        <v>96745000</v>
      </c>
      <c r="E5667">
        <v>96749999</v>
      </c>
      <c r="F5667" t="s">
        <v>5116</v>
      </c>
      <c r="G5667" t="str">
        <f t="shared" si="176"/>
        <v>RSI</v>
      </c>
      <c r="H5667" t="s">
        <v>4915</v>
      </c>
      <c r="I5667" t="s">
        <v>20</v>
      </c>
      <c r="J5667" t="s">
        <v>62</v>
      </c>
      <c r="K5667" s="6">
        <v>0.03</v>
      </c>
      <c r="L5667" s="7">
        <f t="shared" si="177"/>
        <v>2E-3</v>
      </c>
      <c r="M5667" s="7">
        <v>3.0000000000000001E-3</v>
      </c>
      <c r="N5667">
        <v>9</v>
      </c>
      <c r="O5667" s="8">
        <v>17.509302802156309</v>
      </c>
      <c r="P5667" s="9">
        <v>17.509302802156309</v>
      </c>
      <c r="Q5667" s="9">
        <v>17.509302802156309</v>
      </c>
      <c r="R5667" s="9">
        <v>17.960073121579438</v>
      </c>
      <c r="S5667" s="9">
        <v>18.978426201825126</v>
      </c>
      <c r="T5667" s="9">
        <v>19.861619996324769</v>
      </c>
      <c r="U5667" s="9">
        <v>21.605211693624167</v>
      </c>
      <c r="V5667" s="9">
        <v>21.605211693624167</v>
      </c>
      <c r="W5667" s="9">
        <v>21.605211693624167</v>
      </c>
      <c r="X5667" s="9">
        <v>24.342346895578043</v>
      </c>
      <c r="Y5667" s="9">
        <v>24.342346895578043</v>
      </c>
      <c r="Z5667" s="9">
        <v>27.269806221922281</v>
      </c>
      <c r="AA5667" s="9">
        <v>27.269806221922281</v>
      </c>
      <c r="AB5667" s="9">
        <v>30.447232473217717</v>
      </c>
      <c r="AC5667" s="9">
        <v>30.447232473217717</v>
      </c>
      <c r="AD5667" s="9">
        <v>33.773696777878271</v>
      </c>
      <c r="AE5667" s="9">
        <v>37.668102449503657</v>
      </c>
      <c r="AF5667" s="9">
        <v>41.795656089883373</v>
      </c>
      <c r="AG5667" s="9">
        <v>41.795656089883373</v>
      </c>
      <c r="AH5667" s="9">
        <v>45.638668972740511</v>
      </c>
      <c r="AI5667" s="9">
        <v>49.380739592962819</v>
      </c>
      <c r="AJ5667" s="9">
        <v>3.0428788910505911</v>
      </c>
    </row>
    <row r="5668" spans="1:36" x14ac:dyDescent="0.25">
      <c r="A5668" t="s">
        <v>5411</v>
      </c>
      <c r="B5668" t="s">
        <v>16</v>
      </c>
      <c r="C5668" t="s">
        <v>17</v>
      </c>
      <c r="D5668">
        <v>96750000</v>
      </c>
      <c r="E5668">
        <v>96754999</v>
      </c>
      <c r="F5668" t="s">
        <v>5117</v>
      </c>
      <c r="G5668" t="str">
        <f t="shared" si="176"/>
        <v>RSI II</v>
      </c>
      <c r="H5668" t="s">
        <v>4915</v>
      </c>
      <c r="I5668" t="s">
        <v>20</v>
      </c>
      <c r="J5668" t="s">
        <v>64</v>
      </c>
      <c r="K5668" s="6">
        <v>0.03</v>
      </c>
      <c r="L5668" s="7">
        <f t="shared" si="177"/>
        <v>2E-3</v>
      </c>
      <c r="M5668" s="7">
        <v>3.0000000000000001E-3</v>
      </c>
      <c r="N5668">
        <v>10</v>
      </c>
      <c r="O5668" s="8">
        <v>20.328747193832452</v>
      </c>
      <c r="P5668" s="9">
        <v>20.328747193832452</v>
      </c>
      <c r="Q5668" s="9">
        <v>20.328747193832452</v>
      </c>
      <c r="R5668" s="9">
        <v>20.901467178587069</v>
      </c>
      <c r="S5668" s="9">
        <v>21.789694031871221</v>
      </c>
      <c r="T5668" s="9">
        <v>22.685842380093916</v>
      </c>
      <c r="U5668" s="9">
        <v>25.139615720574728</v>
      </c>
      <c r="V5668" s="9">
        <v>25.139615720574728</v>
      </c>
      <c r="W5668" s="9">
        <v>25.139615720574728</v>
      </c>
      <c r="X5668" s="9">
        <v>28.431126761040446</v>
      </c>
      <c r="Y5668" s="9">
        <v>28.431126761040446</v>
      </c>
      <c r="Z5668" s="9">
        <v>31.8133765751437</v>
      </c>
      <c r="AA5668" s="9">
        <v>31.8133765751437</v>
      </c>
      <c r="AB5668" s="9">
        <v>35.295439040248269</v>
      </c>
      <c r="AC5668" s="9">
        <v>35.295439040248269</v>
      </c>
      <c r="AD5668" s="9">
        <v>40.66038110622798</v>
      </c>
      <c r="AE5668" s="9">
        <v>44.145469767258199</v>
      </c>
      <c r="AF5668" s="9">
        <v>47.802065076832598</v>
      </c>
      <c r="AG5668" s="9">
        <v>47.802065076832598</v>
      </c>
      <c r="AH5668" s="9">
        <v>52.368463891218347</v>
      </c>
      <c r="AI5668" s="9">
        <v>56.090712435126555</v>
      </c>
      <c r="AJ5668" s="9">
        <v>3.0428788910505911</v>
      </c>
    </row>
    <row r="5669" spans="1:36" x14ac:dyDescent="0.25">
      <c r="A5669" t="s">
        <v>5411</v>
      </c>
      <c r="B5669" t="s">
        <v>16</v>
      </c>
      <c r="C5669" t="s">
        <v>17</v>
      </c>
      <c r="D5669">
        <v>96755000</v>
      </c>
      <c r="E5669">
        <v>96759999</v>
      </c>
      <c r="F5669" t="s">
        <v>5118</v>
      </c>
      <c r="G5669" t="str">
        <f t="shared" si="176"/>
        <v>RSI II</v>
      </c>
      <c r="H5669" t="s">
        <v>4915</v>
      </c>
      <c r="I5669" t="s">
        <v>20</v>
      </c>
      <c r="J5669" t="s">
        <v>64</v>
      </c>
      <c r="K5669" s="6">
        <v>0.03</v>
      </c>
      <c r="L5669" s="7">
        <f t="shared" si="177"/>
        <v>2E-3</v>
      </c>
      <c r="M5669" s="7">
        <v>3.0000000000000001E-3</v>
      </c>
      <c r="N5669">
        <v>10</v>
      </c>
      <c r="O5669" s="8">
        <v>20.328747193832452</v>
      </c>
      <c r="P5669" s="9">
        <v>20.328747193832452</v>
      </c>
      <c r="Q5669" s="9">
        <v>20.328747193832452</v>
      </c>
      <c r="R5669" s="9">
        <v>20.901467178587069</v>
      </c>
      <c r="S5669" s="9">
        <v>21.789694031871221</v>
      </c>
      <c r="T5669" s="9">
        <v>22.685842380093916</v>
      </c>
      <c r="U5669" s="9">
        <v>25.139615720574728</v>
      </c>
      <c r="V5669" s="9">
        <v>25.139615720574728</v>
      </c>
      <c r="W5669" s="9">
        <v>25.139615720574728</v>
      </c>
      <c r="X5669" s="9">
        <v>28.431126761040446</v>
      </c>
      <c r="Y5669" s="9">
        <v>28.431126761040446</v>
      </c>
      <c r="Z5669" s="9">
        <v>31.8133765751437</v>
      </c>
      <c r="AA5669" s="9">
        <v>31.8133765751437</v>
      </c>
      <c r="AB5669" s="9">
        <v>35.295439040248269</v>
      </c>
      <c r="AC5669" s="9">
        <v>35.295439040248269</v>
      </c>
      <c r="AD5669" s="9">
        <v>40.66038110622798</v>
      </c>
      <c r="AE5669" s="9">
        <v>44.145469767258199</v>
      </c>
      <c r="AF5669" s="9">
        <v>47.802065076832598</v>
      </c>
      <c r="AG5669" s="9">
        <v>47.802065076832598</v>
      </c>
      <c r="AH5669" s="9">
        <v>52.368463891218347</v>
      </c>
      <c r="AI5669" s="9">
        <v>56.090712435126555</v>
      </c>
      <c r="AJ5669" s="9">
        <v>3.0428788910505911</v>
      </c>
    </row>
    <row r="5670" spans="1:36" x14ac:dyDescent="0.25">
      <c r="A5670" t="s">
        <v>5411</v>
      </c>
      <c r="B5670" t="s">
        <v>16</v>
      </c>
      <c r="C5670" t="s">
        <v>17</v>
      </c>
      <c r="D5670">
        <v>96760000</v>
      </c>
      <c r="E5670">
        <v>96764999</v>
      </c>
      <c r="F5670" t="s">
        <v>5119</v>
      </c>
      <c r="G5670" t="str">
        <f t="shared" si="176"/>
        <v>RSI II</v>
      </c>
      <c r="H5670" t="s">
        <v>4915</v>
      </c>
      <c r="I5670" t="s">
        <v>20</v>
      </c>
      <c r="J5670" t="s">
        <v>64</v>
      </c>
      <c r="K5670" s="6">
        <v>0.03</v>
      </c>
      <c r="L5670" s="7">
        <f t="shared" si="177"/>
        <v>2E-3</v>
      </c>
      <c r="M5670" s="7">
        <v>3.0000000000000001E-3</v>
      </c>
      <c r="N5670">
        <v>10</v>
      </c>
      <c r="O5670" s="8">
        <v>20.328747193832452</v>
      </c>
      <c r="P5670" s="9">
        <v>20.328747193832452</v>
      </c>
      <c r="Q5670" s="9">
        <v>20.328747193832452</v>
      </c>
      <c r="R5670" s="9">
        <v>20.901467178587069</v>
      </c>
      <c r="S5670" s="9">
        <v>21.789694031871221</v>
      </c>
      <c r="T5670" s="9">
        <v>22.685842380093916</v>
      </c>
      <c r="U5670" s="9">
        <v>25.139615720574728</v>
      </c>
      <c r="V5670" s="9">
        <v>25.139615720574728</v>
      </c>
      <c r="W5670" s="9">
        <v>25.139615720574728</v>
      </c>
      <c r="X5670" s="9">
        <v>28.431126761040446</v>
      </c>
      <c r="Y5670" s="9">
        <v>28.431126761040446</v>
      </c>
      <c r="Z5670" s="9">
        <v>31.8133765751437</v>
      </c>
      <c r="AA5670" s="9">
        <v>31.8133765751437</v>
      </c>
      <c r="AB5670" s="9">
        <v>35.295439040248269</v>
      </c>
      <c r="AC5670" s="9">
        <v>35.295439040248269</v>
      </c>
      <c r="AD5670" s="9">
        <v>40.66038110622798</v>
      </c>
      <c r="AE5670" s="9">
        <v>44.145469767258199</v>
      </c>
      <c r="AF5670" s="9">
        <v>47.802065076832598</v>
      </c>
      <c r="AG5670" s="9">
        <v>47.802065076832598</v>
      </c>
      <c r="AH5670" s="9">
        <v>52.368463891218347</v>
      </c>
      <c r="AI5670" s="9">
        <v>56.090712435126555</v>
      </c>
      <c r="AJ5670" s="9">
        <v>3.0428788910505911</v>
      </c>
    </row>
    <row r="5671" spans="1:36" x14ac:dyDescent="0.25">
      <c r="A5671" t="s">
        <v>5411</v>
      </c>
      <c r="B5671" t="s">
        <v>16</v>
      </c>
      <c r="C5671" t="s">
        <v>17</v>
      </c>
      <c r="D5671">
        <v>96765000</v>
      </c>
      <c r="E5671">
        <v>96769999</v>
      </c>
      <c r="F5671" t="s">
        <v>5120</v>
      </c>
      <c r="G5671" t="str">
        <f t="shared" si="176"/>
        <v>RSI II</v>
      </c>
      <c r="H5671" t="s">
        <v>4915</v>
      </c>
      <c r="I5671" t="s">
        <v>20</v>
      </c>
      <c r="J5671" t="s">
        <v>64</v>
      </c>
      <c r="K5671" s="6">
        <v>0.03</v>
      </c>
      <c r="L5671" s="7">
        <f t="shared" si="177"/>
        <v>2E-3</v>
      </c>
      <c r="M5671" s="7">
        <v>3.0000000000000001E-3</v>
      </c>
      <c r="N5671">
        <v>10</v>
      </c>
      <c r="O5671" s="8">
        <v>20.328747193832452</v>
      </c>
      <c r="P5671" s="9">
        <v>20.328747193832452</v>
      </c>
      <c r="Q5671" s="9">
        <v>20.328747193832452</v>
      </c>
      <c r="R5671" s="9">
        <v>20.901467178587069</v>
      </c>
      <c r="S5671" s="9">
        <v>21.789694031871221</v>
      </c>
      <c r="T5671" s="9">
        <v>22.685842380093916</v>
      </c>
      <c r="U5671" s="9">
        <v>25.139615720574728</v>
      </c>
      <c r="V5671" s="9">
        <v>25.139615720574728</v>
      </c>
      <c r="W5671" s="9">
        <v>25.139615720574728</v>
      </c>
      <c r="X5671" s="9">
        <v>28.431126761040446</v>
      </c>
      <c r="Y5671" s="9">
        <v>28.431126761040446</v>
      </c>
      <c r="Z5671" s="9">
        <v>31.8133765751437</v>
      </c>
      <c r="AA5671" s="9">
        <v>31.8133765751437</v>
      </c>
      <c r="AB5671" s="9">
        <v>35.295439040248269</v>
      </c>
      <c r="AC5671" s="9">
        <v>35.295439040248269</v>
      </c>
      <c r="AD5671" s="9">
        <v>40.66038110622798</v>
      </c>
      <c r="AE5671" s="9">
        <v>44.145469767258199</v>
      </c>
      <c r="AF5671" s="9">
        <v>47.802065076832598</v>
      </c>
      <c r="AG5671" s="9">
        <v>47.802065076832598</v>
      </c>
      <c r="AH5671" s="9">
        <v>52.368463891218347</v>
      </c>
      <c r="AI5671" s="9">
        <v>56.090712435126555</v>
      </c>
      <c r="AJ5671" s="9">
        <v>3.0428788910505911</v>
      </c>
    </row>
    <row r="5672" spans="1:36" x14ac:dyDescent="0.25">
      <c r="A5672" t="s">
        <v>5411</v>
      </c>
      <c r="B5672" t="s">
        <v>16</v>
      </c>
      <c r="C5672" t="s">
        <v>17</v>
      </c>
      <c r="D5672">
        <v>96770000</v>
      </c>
      <c r="E5672">
        <v>96789999</v>
      </c>
      <c r="F5672" t="s">
        <v>5121</v>
      </c>
      <c r="G5672" t="str">
        <f t="shared" si="176"/>
        <v>RSI II</v>
      </c>
      <c r="H5672" t="s">
        <v>4915</v>
      </c>
      <c r="I5672" t="s">
        <v>20</v>
      </c>
      <c r="J5672" t="s">
        <v>64</v>
      </c>
      <c r="K5672" s="6">
        <v>0.03</v>
      </c>
      <c r="L5672" s="7">
        <f t="shared" si="177"/>
        <v>2E-3</v>
      </c>
      <c r="M5672" s="7">
        <v>3.0000000000000001E-3</v>
      </c>
      <c r="N5672">
        <v>10</v>
      </c>
      <c r="O5672" s="8">
        <v>20.328747193832452</v>
      </c>
      <c r="P5672" s="9">
        <v>20.328747193832452</v>
      </c>
      <c r="Q5672" s="9">
        <v>20.328747193832452</v>
      </c>
      <c r="R5672" s="9">
        <v>20.901467178587069</v>
      </c>
      <c r="S5672" s="9">
        <v>21.789694031871221</v>
      </c>
      <c r="T5672" s="9">
        <v>22.685842380093916</v>
      </c>
      <c r="U5672" s="9">
        <v>25.139615720574728</v>
      </c>
      <c r="V5672" s="9">
        <v>25.139615720574728</v>
      </c>
      <c r="W5672" s="9">
        <v>25.139615720574728</v>
      </c>
      <c r="X5672" s="9">
        <v>28.431126761040446</v>
      </c>
      <c r="Y5672" s="9">
        <v>28.431126761040446</v>
      </c>
      <c r="Z5672" s="9">
        <v>31.8133765751437</v>
      </c>
      <c r="AA5672" s="9">
        <v>31.8133765751437</v>
      </c>
      <c r="AB5672" s="9">
        <v>35.295439040248269</v>
      </c>
      <c r="AC5672" s="9">
        <v>35.295439040248269</v>
      </c>
      <c r="AD5672" s="9">
        <v>40.66038110622798</v>
      </c>
      <c r="AE5672" s="9">
        <v>44.145469767258199</v>
      </c>
      <c r="AF5672" s="9">
        <v>47.802065076832598</v>
      </c>
      <c r="AG5672" s="9">
        <v>47.802065076832598</v>
      </c>
      <c r="AH5672" s="9">
        <v>52.368463891218347</v>
      </c>
      <c r="AI5672" s="9">
        <v>56.090712435126555</v>
      </c>
      <c r="AJ5672" s="9">
        <v>3.0428788910505911</v>
      </c>
    </row>
    <row r="5673" spans="1:36" x14ac:dyDescent="0.25">
      <c r="A5673" t="s">
        <v>5411</v>
      </c>
      <c r="B5673" t="s">
        <v>16</v>
      </c>
      <c r="C5673" t="s">
        <v>17</v>
      </c>
      <c r="D5673">
        <v>96790000</v>
      </c>
      <c r="E5673">
        <v>96799999</v>
      </c>
      <c r="F5673" t="s">
        <v>5122</v>
      </c>
      <c r="G5673" t="str">
        <f t="shared" si="176"/>
        <v>RSI II</v>
      </c>
      <c r="H5673" t="s">
        <v>4915</v>
      </c>
      <c r="I5673" t="s">
        <v>20</v>
      </c>
      <c r="J5673" t="s">
        <v>64</v>
      </c>
      <c r="K5673" s="6">
        <v>0.03</v>
      </c>
      <c r="L5673" s="7">
        <f t="shared" si="177"/>
        <v>2E-3</v>
      </c>
      <c r="M5673" s="7">
        <v>3.0000000000000001E-3</v>
      </c>
      <c r="N5673">
        <v>10</v>
      </c>
      <c r="O5673" s="8">
        <v>20.328747193832452</v>
      </c>
      <c r="P5673" s="9">
        <v>20.328747193832452</v>
      </c>
      <c r="Q5673" s="9">
        <v>20.328747193832452</v>
      </c>
      <c r="R5673" s="9">
        <v>20.901467178587069</v>
      </c>
      <c r="S5673" s="9">
        <v>21.789694031871221</v>
      </c>
      <c r="T5673" s="9">
        <v>22.685842380093916</v>
      </c>
      <c r="U5673" s="9">
        <v>25.139615720574728</v>
      </c>
      <c r="V5673" s="9">
        <v>25.139615720574728</v>
      </c>
      <c r="W5673" s="9">
        <v>25.139615720574728</v>
      </c>
      <c r="X5673" s="9">
        <v>28.431126761040446</v>
      </c>
      <c r="Y5673" s="9">
        <v>28.431126761040446</v>
      </c>
      <c r="Z5673" s="9">
        <v>31.8133765751437</v>
      </c>
      <c r="AA5673" s="9">
        <v>31.8133765751437</v>
      </c>
      <c r="AB5673" s="9">
        <v>35.295439040248269</v>
      </c>
      <c r="AC5673" s="9">
        <v>35.295439040248269</v>
      </c>
      <c r="AD5673" s="9">
        <v>40.66038110622798</v>
      </c>
      <c r="AE5673" s="9">
        <v>44.145469767258199</v>
      </c>
      <c r="AF5673" s="9">
        <v>47.802065076832598</v>
      </c>
      <c r="AG5673" s="9">
        <v>47.802065076832598</v>
      </c>
      <c r="AH5673" s="9">
        <v>52.368463891218347</v>
      </c>
      <c r="AI5673" s="9">
        <v>56.090712435126555</v>
      </c>
      <c r="AJ5673" s="9">
        <v>3.0428788910505911</v>
      </c>
    </row>
    <row r="5674" spans="1:36" x14ac:dyDescent="0.25">
      <c r="A5674" t="s">
        <v>5411</v>
      </c>
      <c r="B5674" t="s">
        <v>16</v>
      </c>
      <c r="C5674" t="s">
        <v>17</v>
      </c>
      <c r="D5674">
        <v>96800000</v>
      </c>
      <c r="E5674">
        <v>96874999</v>
      </c>
      <c r="F5674" t="s">
        <v>5123</v>
      </c>
      <c r="G5674" t="str">
        <f t="shared" si="176"/>
        <v>RSI</v>
      </c>
      <c r="H5674" t="s">
        <v>4915</v>
      </c>
      <c r="I5674" t="s">
        <v>20</v>
      </c>
      <c r="J5674" t="s">
        <v>62</v>
      </c>
      <c r="K5674" s="6">
        <v>0.03</v>
      </c>
      <c r="L5674" s="7">
        <f t="shared" si="177"/>
        <v>2E-3</v>
      </c>
      <c r="M5674" s="7">
        <v>3.0000000000000001E-3</v>
      </c>
      <c r="N5674">
        <v>8</v>
      </c>
      <c r="O5674" s="8">
        <v>17.509302802156309</v>
      </c>
      <c r="P5674" s="9">
        <v>17.509302802156309</v>
      </c>
      <c r="Q5674" s="9">
        <v>17.509302802156309</v>
      </c>
      <c r="R5674" s="9">
        <v>17.960073121579438</v>
      </c>
      <c r="S5674" s="9">
        <v>18.978426201825126</v>
      </c>
      <c r="T5674" s="9">
        <v>19.861619996324769</v>
      </c>
      <c r="U5674" s="9">
        <v>21.605211693624167</v>
      </c>
      <c r="V5674" s="9">
        <v>21.605211693624167</v>
      </c>
      <c r="W5674" s="9">
        <v>21.605211693624167</v>
      </c>
      <c r="X5674" s="9">
        <v>24.342346895578043</v>
      </c>
      <c r="Y5674" s="9">
        <v>24.342346895578043</v>
      </c>
      <c r="Z5674" s="9">
        <v>27.269806221922281</v>
      </c>
      <c r="AA5674" s="9">
        <v>27.269806221922281</v>
      </c>
      <c r="AB5674" s="9">
        <v>30.447232473217717</v>
      </c>
      <c r="AC5674" s="9">
        <v>30.447232473217717</v>
      </c>
      <c r="AD5674" s="9">
        <v>33.773696777878271</v>
      </c>
      <c r="AE5674" s="9">
        <v>37.668102449503657</v>
      </c>
      <c r="AF5674" s="9">
        <v>41.795656089883373</v>
      </c>
      <c r="AG5674" s="9">
        <v>41.795656089883373</v>
      </c>
      <c r="AH5674" s="9">
        <v>45.638668972740511</v>
      </c>
      <c r="AI5674" s="9">
        <v>49.380739592962819</v>
      </c>
      <c r="AJ5674" s="9">
        <v>3.0428788910505911</v>
      </c>
    </row>
    <row r="5675" spans="1:36" x14ac:dyDescent="0.25">
      <c r="A5675" t="s">
        <v>5411</v>
      </c>
      <c r="B5675" t="s">
        <v>16</v>
      </c>
      <c r="C5675" t="s">
        <v>17</v>
      </c>
      <c r="D5675">
        <v>96875000</v>
      </c>
      <c r="E5675">
        <v>96877999</v>
      </c>
      <c r="F5675" t="s">
        <v>5124</v>
      </c>
      <c r="G5675" t="str">
        <f t="shared" si="176"/>
        <v>RSI II</v>
      </c>
      <c r="H5675" t="s">
        <v>4915</v>
      </c>
      <c r="I5675" t="s">
        <v>20</v>
      </c>
      <c r="J5675" t="s">
        <v>64</v>
      </c>
      <c r="K5675" s="6">
        <v>0.03</v>
      </c>
      <c r="L5675" s="7">
        <f t="shared" si="177"/>
        <v>2E-3</v>
      </c>
      <c r="M5675" s="7">
        <v>3.0000000000000001E-3</v>
      </c>
      <c r="N5675">
        <v>11</v>
      </c>
      <c r="O5675" s="8">
        <v>20.328747193832452</v>
      </c>
      <c r="P5675" s="9">
        <v>20.328747193832452</v>
      </c>
      <c r="Q5675" s="9">
        <v>20.328747193832452</v>
      </c>
      <c r="R5675" s="9">
        <v>20.901467178587069</v>
      </c>
      <c r="S5675" s="9">
        <v>21.789694031871221</v>
      </c>
      <c r="T5675" s="9">
        <v>22.685842380093916</v>
      </c>
      <c r="U5675" s="9">
        <v>25.139615720574728</v>
      </c>
      <c r="V5675" s="9">
        <v>25.139615720574728</v>
      </c>
      <c r="W5675" s="9">
        <v>25.139615720574728</v>
      </c>
      <c r="X5675" s="9">
        <v>28.431126761040446</v>
      </c>
      <c r="Y5675" s="9">
        <v>28.431126761040446</v>
      </c>
      <c r="Z5675" s="9">
        <v>31.8133765751437</v>
      </c>
      <c r="AA5675" s="9">
        <v>31.8133765751437</v>
      </c>
      <c r="AB5675" s="9">
        <v>35.295439040248269</v>
      </c>
      <c r="AC5675" s="9">
        <v>35.295439040248269</v>
      </c>
      <c r="AD5675" s="9">
        <v>40.66038110622798</v>
      </c>
      <c r="AE5675" s="9">
        <v>44.145469767258199</v>
      </c>
      <c r="AF5675" s="9">
        <v>47.802065076832598</v>
      </c>
      <c r="AG5675" s="9">
        <v>47.802065076832598</v>
      </c>
      <c r="AH5675" s="9">
        <v>52.368463891218347</v>
      </c>
      <c r="AI5675" s="9">
        <v>56.090712435126555</v>
      </c>
      <c r="AJ5675" s="9">
        <v>3.0428788910505911</v>
      </c>
    </row>
    <row r="5676" spans="1:36" x14ac:dyDescent="0.25">
      <c r="A5676" t="s">
        <v>5411</v>
      </c>
      <c r="B5676" t="s">
        <v>16</v>
      </c>
      <c r="C5676" t="s">
        <v>17</v>
      </c>
      <c r="D5676">
        <v>96878000</v>
      </c>
      <c r="E5676">
        <v>96879999</v>
      </c>
      <c r="F5676" t="s">
        <v>5125</v>
      </c>
      <c r="G5676" t="str">
        <f t="shared" si="176"/>
        <v>RSI II</v>
      </c>
      <c r="H5676" t="s">
        <v>4915</v>
      </c>
      <c r="I5676" t="s">
        <v>20</v>
      </c>
      <c r="J5676" t="s">
        <v>64</v>
      </c>
      <c r="K5676" s="6">
        <v>0.03</v>
      </c>
      <c r="L5676" s="7">
        <f t="shared" si="177"/>
        <v>2E-3</v>
      </c>
      <c r="M5676" s="7">
        <v>3.0000000000000001E-3</v>
      </c>
      <c r="N5676">
        <v>11</v>
      </c>
      <c r="O5676" s="8">
        <v>20.328747193832452</v>
      </c>
      <c r="P5676" s="9">
        <v>20.328747193832452</v>
      </c>
      <c r="Q5676" s="9">
        <v>20.328747193832452</v>
      </c>
      <c r="R5676" s="9">
        <v>20.901467178587069</v>
      </c>
      <c r="S5676" s="9">
        <v>21.789694031871221</v>
      </c>
      <c r="T5676" s="9">
        <v>22.685842380093916</v>
      </c>
      <c r="U5676" s="9">
        <v>25.139615720574728</v>
      </c>
      <c r="V5676" s="9">
        <v>25.139615720574728</v>
      </c>
      <c r="W5676" s="9">
        <v>25.139615720574728</v>
      </c>
      <c r="X5676" s="9">
        <v>28.431126761040446</v>
      </c>
      <c r="Y5676" s="9">
        <v>28.431126761040446</v>
      </c>
      <c r="Z5676" s="9">
        <v>31.8133765751437</v>
      </c>
      <c r="AA5676" s="9">
        <v>31.8133765751437</v>
      </c>
      <c r="AB5676" s="9">
        <v>35.295439040248269</v>
      </c>
      <c r="AC5676" s="9">
        <v>35.295439040248269</v>
      </c>
      <c r="AD5676" s="9">
        <v>40.66038110622798</v>
      </c>
      <c r="AE5676" s="9">
        <v>44.145469767258199</v>
      </c>
      <c r="AF5676" s="9">
        <v>47.802065076832598</v>
      </c>
      <c r="AG5676" s="9">
        <v>47.802065076832598</v>
      </c>
      <c r="AH5676" s="9">
        <v>52.368463891218347</v>
      </c>
      <c r="AI5676" s="9">
        <v>56.090712435126555</v>
      </c>
      <c r="AJ5676" s="9">
        <v>3.0428788910505911</v>
      </c>
    </row>
    <row r="5677" spans="1:36" x14ac:dyDescent="0.25">
      <c r="A5677" t="s">
        <v>5411</v>
      </c>
      <c r="B5677" t="s">
        <v>16</v>
      </c>
      <c r="C5677" t="s">
        <v>17</v>
      </c>
      <c r="D5677">
        <v>96880000</v>
      </c>
      <c r="E5677">
        <v>96887999</v>
      </c>
      <c r="F5677" t="s">
        <v>491</v>
      </c>
      <c r="G5677" t="str">
        <f t="shared" si="176"/>
        <v>RSI II</v>
      </c>
      <c r="H5677" t="s">
        <v>4915</v>
      </c>
      <c r="I5677" t="s">
        <v>20</v>
      </c>
      <c r="J5677" t="s">
        <v>64</v>
      </c>
      <c r="K5677" s="6">
        <v>0.03</v>
      </c>
      <c r="L5677" s="7">
        <f t="shared" si="177"/>
        <v>2E-3</v>
      </c>
      <c r="M5677" s="7">
        <v>3.0000000000000001E-3</v>
      </c>
      <c r="N5677">
        <v>11</v>
      </c>
      <c r="O5677" s="8">
        <v>20.328747193832452</v>
      </c>
      <c r="P5677" s="9">
        <v>20.328747193832452</v>
      </c>
      <c r="Q5677" s="9">
        <v>20.328747193832452</v>
      </c>
      <c r="R5677" s="9">
        <v>20.901467178587069</v>
      </c>
      <c r="S5677" s="9">
        <v>21.789694031871221</v>
      </c>
      <c r="T5677" s="9">
        <v>22.685842380093916</v>
      </c>
      <c r="U5677" s="9">
        <v>25.139615720574728</v>
      </c>
      <c r="V5677" s="9">
        <v>25.139615720574728</v>
      </c>
      <c r="W5677" s="9">
        <v>25.139615720574728</v>
      </c>
      <c r="X5677" s="9">
        <v>28.431126761040446</v>
      </c>
      <c r="Y5677" s="9">
        <v>28.431126761040446</v>
      </c>
      <c r="Z5677" s="9">
        <v>31.8133765751437</v>
      </c>
      <c r="AA5677" s="9">
        <v>31.8133765751437</v>
      </c>
      <c r="AB5677" s="9">
        <v>35.295439040248269</v>
      </c>
      <c r="AC5677" s="9">
        <v>35.295439040248269</v>
      </c>
      <c r="AD5677" s="9">
        <v>40.66038110622798</v>
      </c>
      <c r="AE5677" s="9">
        <v>44.145469767258199</v>
      </c>
      <c r="AF5677" s="9">
        <v>47.802065076832598</v>
      </c>
      <c r="AG5677" s="9">
        <v>47.802065076832598</v>
      </c>
      <c r="AH5677" s="9">
        <v>52.368463891218347</v>
      </c>
      <c r="AI5677" s="9">
        <v>56.090712435126555</v>
      </c>
      <c r="AJ5677" s="9">
        <v>3.0428788910505911</v>
      </c>
    </row>
    <row r="5678" spans="1:36" x14ac:dyDescent="0.25">
      <c r="A5678" t="s">
        <v>5411</v>
      </c>
      <c r="B5678" t="s">
        <v>16</v>
      </c>
      <c r="C5678" t="s">
        <v>17</v>
      </c>
      <c r="D5678">
        <v>96888000</v>
      </c>
      <c r="E5678">
        <v>96889999</v>
      </c>
      <c r="F5678" t="s">
        <v>5126</v>
      </c>
      <c r="G5678" t="str">
        <f t="shared" si="176"/>
        <v>RSI II</v>
      </c>
      <c r="H5678" t="s">
        <v>4915</v>
      </c>
      <c r="I5678" t="s">
        <v>20</v>
      </c>
      <c r="J5678" t="s">
        <v>64</v>
      </c>
      <c r="K5678" s="6">
        <v>0.03</v>
      </c>
      <c r="L5678" s="7">
        <f t="shared" si="177"/>
        <v>2E-3</v>
      </c>
      <c r="M5678" s="7">
        <v>3.0000000000000001E-3</v>
      </c>
      <c r="N5678">
        <v>11</v>
      </c>
      <c r="O5678" s="8">
        <v>20.328747193832452</v>
      </c>
      <c r="P5678" s="9">
        <v>20.328747193832452</v>
      </c>
      <c r="Q5678" s="9">
        <v>20.328747193832452</v>
      </c>
      <c r="R5678" s="9">
        <v>20.901467178587069</v>
      </c>
      <c r="S5678" s="9">
        <v>21.789694031871221</v>
      </c>
      <c r="T5678" s="9">
        <v>22.685842380093916</v>
      </c>
      <c r="U5678" s="9">
        <v>25.139615720574728</v>
      </c>
      <c r="V5678" s="9">
        <v>25.139615720574728</v>
      </c>
      <c r="W5678" s="9">
        <v>25.139615720574728</v>
      </c>
      <c r="X5678" s="9">
        <v>28.431126761040446</v>
      </c>
      <c r="Y5678" s="9">
        <v>28.431126761040446</v>
      </c>
      <c r="Z5678" s="9">
        <v>31.8133765751437</v>
      </c>
      <c r="AA5678" s="9">
        <v>31.8133765751437</v>
      </c>
      <c r="AB5678" s="9">
        <v>35.295439040248269</v>
      </c>
      <c r="AC5678" s="9">
        <v>35.295439040248269</v>
      </c>
      <c r="AD5678" s="9">
        <v>40.66038110622798</v>
      </c>
      <c r="AE5678" s="9">
        <v>44.145469767258199</v>
      </c>
      <c r="AF5678" s="9">
        <v>47.802065076832598</v>
      </c>
      <c r="AG5678" s="9">
        <v>47.802065076832598</v>
      </c>
      <c r="AH5678" s="9">
        <v>52.368463891218347</v>
      </c>
      <c r="AI5678" s="9">
        <v>56.090712435126555</v>
      </c>
      <c r="AJ5678" s="9">
        <v>3.0428788910505911</v>
      </c>
    </row>
    <row r="5679" spans="1:36" x14ac:dyDescent="0.25">
      <c r="A5679" t="s">
        <v>5411</v>
      </c>
      <c r="B5679" t="s">
        <v>16</v>
      </c>
      <c r="C5679" t="s">
        <v>17</v>
      </c>
      <c r="D5679">
        <v>96890000</v>
      </c>
      <c r="E5679">
        <v>96899999</v>
      </c>
      <c r="F5679" t="s">
        <v>5127</v>
      </c>
      <c r="G5679" t="str">
        <f t="shared" si="176"/>
        <v>RSI II</v>
      </c>
      <c r="H5679" t="s">
        <v>4915</v>
      </c>
      <c r="I5679" t="s">
        <v>20</v>
      </c>
      <c r="J5679" t="s">
        <v>64</v>
      </c>
      <c r="K5679" s="6">
        <v>0.03</v>
      </c>
      <c r="L5679" s="7">
        <f t="shared" si="177"/>
        <v>2E-3</v>
      </c>
      <c r="M5679" s="7">
        <v>3.0000000000000001E-3</v>
      </c>
      <c r="N5679">
        <v>11</v>
      </c>
      <c r="O5679" s="8">
        <v>20.328747193832452</v>
      </c>
      <c r="P5679" s="9">
        <v>20.328747193832452</v>
      </c>
      <c r="Q5679" s="9">
        <v>20.328747193832452</v>
      </c>
      <c r="R5679" s="9">
        <v>20.901467178587069</v>
      </c>
      <c r="S5679" s="9">
        <v>21.789694031871221</v>
      </c>
      <c r="T5679" s="9">
        <v>22.685842380093916</v>
      </c>
      <c r="U5679" s="9">
        <v>25.139615720574728</v>
      </c>
      <c r="V5679" s="9">
        <v>25.139615720574728</v>
      </c>
      <c r="W5679" s="9">
        <v>25.139615720574728</v>
      </c>
      <c r="X5679" s="9">
        <v>28.431126761040446</v>
      </c>
      <c r="Y5679" s="9">
        <v>28.431126761040446</v>
      </c>
      <c r="Z5679" s="9">
        <v>31.8133765751437</v>
      </c>
      <c r="AA5679" s="9">
        <v>31.8133765751437</v>
      </c>
      <c r="AB5679" s="9">
        <v>35.295439040248269</v>
      </c>
      <c r="AC5679" s="9">
        <v>35.295439040248269</v>
      </c>
      <c r="AD5679" s="9">
        <v>40.66038110622798</v>
      </c>
      <c r="AE5679" s="9">
        <v>44.145469767258199</v>
      </c>
      <c r="AF5679" s="9">
        <v>47.802065076832598</v>
      </c>
      <c r="AG5679" s="9">
        <v>47.802065076832598</v>
      </c>
      <c r="AH5679" s="9">
        <v>52.368463891218347</v>
      </c>
      <c r="AI5679" s="9">
        <v>56.090712435126555</v>
      </c>
      <c r="AJ5679" s="9">
        <v>3.0428788910505911</v>
      </c>
    </row>
    <row r="5680" spans="1:36" x14ac:dyDescent="0.25">
      <c r="A5680" t="s">
        <v>5411</v>
      </c>
      <c r="B5680" t="s">
        <v>16</v>
      </c>
      <c r="C5680" t="s">
        <v>17</v>
      </c>
      <c r="D5680">
        <v>96900000</v>
      </c>
      <c r="E5680">
        <v>96907999</v>
      </c>
      <c r="F5680" t="s">
        <v>2113</v>
      </c>
      <c r="G5680" t="str">
        <f t="shared" si="176"/>
        <v>RSI II</v>
      </c>
      <c r="H5680" t="s">
        <v>4915</v>
      </c>
      <c r="I5680" t="s">
        <v>20</v>
      </c>
      <c r="J5680" t="s">
        <v>64</v>
      </c>
      <c r="K5680" s="6">
        <v>0.03</v>
      </c>
      <c r="L5680" s="7">
        <f t="shared" si="177"/>
        <v>2E-3</v>
      </c>
      <c r="M5680" s="7">
        <v>3.0000000000000001E-3</v>
      </c>
      <c r="N5680">
        <v>11</v>
      </c>
      <c r="O5680" s="8">
        <v>20.328747193832452</v>
      </c>
      <c r="P5680" s="9">
        <v>20.328747193832452</v>
      </c>
      <c r="Q5680" s="9">
        <v>20.328747193832452</v>
      </c>
      <c r="R5680" s="9">
        <v>20.901467178587069</v>
      </c>
      <c r="S5680" s="9">
        <v>21.789694031871221</v>
      </c>
      <c r="T5680" s="9">
        <v>22.685842380093916</v>
      </c>
      <c r="U5680" s="9">
        <v>25.139615720574728</v>
      </c>
      <c r="V5680" s="9">
        <v>25.139615720574728</v>
      </c>
      <c r="W5680" s="9">
        <v>25.139615720574728</v>
      </c>
      <c r="X5680" s="9">
        <v>28.431126761040446</v>
      </c>
      <c r="Y5680" s="9">
        <v>28.431126761040446</v>
      </c>
      <c r="Z5680" s="9">
        <v>31.8133765751437</v>
      </c>
      <c r="AA5680" s="9">
        <v>31.8133765751437</v>
      </c>
      <c r="AB5680" s="9">
        <v>35.295439040248269</v>
      </c>
      <c r="AC5680" s="9">
        <v>35.295439040248269</v>
      </c>
      <c r="AD5680" s="9">
        <v>40.66038110622798</v>
      </c>
      <c r="AE5680" s="9">
        <v>44.145469767258199</v>
      </c>
      <c r="AF5680" s="9">
        <v>47.802065076832598</v>
      </c>
      <c r="AG5680" s="9">
        <v>47.802065076832598</v>
      </c>
      <c r="AH5680" s="9">
        <v>52.368463891218347</v>
      </c>
      <c r="AI5680" s="9">
        <v>56.090712435126555</v>
      </c>
      <c r="AJ5680" s="9">
        <v>3.0428788910505911</v>
      </c>
    </row>
    <row r="5681" spans="1:36" x14ac:dyDescent="0.25">
      <c r="A5681" t="s">
        <v>5411</v>
      </c>
      <c r="B5681" t="s">
        <v>16</v>
      </c>
      <c r="C5681" t="s">
        <v>17</v>
      </c>
      <c r="D5681">
        <v>96908000</v>
      </c>
      <c r="E5681">
        <v>96909999</v>
      </c>
      <c r="F5681" t="s">
        <v>5128</v>
      </c>
      <c r="G5681" t="str">
        <f t="shared" si="176"/>
        <v>RSI II</v>
      </c>
      <c r="H5681" t="s">
        <v>4915</v>
      </c>
      <c r="I5681" t="s">
        <v>20</v>
      </c>
      <c r="J5681" t="s">
        <v>64</v>
      </c>
      <c r="K5681" s="6">
        <v>0.03</v>
      </c>
      <c r="L5681" s="7">
        <f t="shared" si="177"/>
        <v>2E-3</v>
      </c>
      <c r="M5681" s="7">
        <v>3.0000000000000001E-3</v>
      </c>
      <c r="N5681">
        <v>11</v>
      </c>
      <c r="O5681" s="8">
        <v>20.328747193832452</v>
      </c>
      <c r="P5681" s="9">
        <v>20.328747193832452</v>
      </c>
      <c r="Q5681" s="9">
        <v>20.328747193832452</v>
      </c>
      <c r="R5681" s="9">
        <v>20.901467178587069</v>
      </c>
      <c r="S5681" s="9">
        <v>21.789694031871221</v>
      </c>
      <c r="T5681" s="9">
        <v>22.685842380093916</v>
      </c>
      <c r="U5681" s="9">
        <v>25.139615720574728</v>
      </c>
      <c r="V5681" s="9">
        <v>25.139615720574728</v>
      </c>
      <c r="W5681" s="9">
        <v>25.139615720574728</v>
      </c>
      <c r="X5681" s="9">
        <v>28.431126761040446</v>
      </c>
      <c r="Y5681" s="9">
        <v>28.431126761040446</v>
      </c>
      <c r="Z5681" s="9">
        <v>31.8133765751437</v>
      </c>
      <c r="AA5681" s="9">
        <v>31.8133765751437</v>
      </c>
      <c r="AB5681" s="9">
        <v>35.295439040248269</v>
      </c>
      <c r="AC5681" s="9">
        <v>35.295439040248269</v>
      </c>
      <c r="AD5681" s="9">
        <v>40.66038110622798</v>
      </c>
      <c r="AE5681" s="9">
        <v>44.145469767258199</v>
      </c>
      <c r="AF5681" s="9">
        <v>47.802065076832598</v>
      </c>
      <c r="AG5681" s="9">
        <v>47.802065076832598</v>
      </c>
      <c r="AH5681" s="9">
        <v>52.368463891218347</v>
      </c>
      <c r="AI5681" s="9">
        <v>56.090712435126555</v>
      </c>
      <c r="AJ5681" s="9">
        <v>3.0428788910505911</v>
      </c>
    </row>
    <row r="5682" spans="1:36" x14ac:dyDescent="0.25">
      <c r="A5682" t="s">
        <v>5411</v>
      </c>
      <c r="B5682" t="s">
        <v>16</v>
      </c>
      <c r="C5682" t="s">
        <v>17</v>
      </c>
      <c r="D5682">
        <v>96910000</v>
      </c>
      <c r="E5682">
        <v>96919999</v>
      </c>
      <c r="F5682" t="s">
        <v>5129</v>
      </c>
      <c r="G5682" t="str">
        <f t="shared" si="176"/>
        <v>RSI II</v>
      </c>
      <c r="H5682" t="s">
        <v>4915</v>
      </c>
      <c r="I5682" t="s">
        <v>20</v>
      </c>
      <c r="J5682" t="s">
        <v>64</v>
      </c>
      <c r="K5682" s="6">
        <v>0.03</v>
      </c>
      <c r="L5682" s="7">
        <f t="shared" si="177"/>
        <v>2E-3</v>
      </c>
      <c r="M5682" s="7">
        <v>3.0000000000000001E-3</v>
      </c>
      <c r="N5682">
        <v>11</v>
      </c>
      <c r="O5682" s="8">
        <v>20.328747193832452</v>
      </c>
      <c r="P5682" s="9">
        <v>20.328747193832452</v>
      </c>
      <c r="Q5682" s="9">
        <v>20.328747193832452</v>
      </c>
      <c r="R5682" s="9">
        <v>20.901467178587069</v>
      </c>
      <c r="S5682" s="9">
        <v>21.789694031871221</v>
      </c>
      <c r="T5682" s="9">
        <v>22.685842380093916</v>
      </c>
      <c r="U5682" s="9">
        <v>25.139615720574728</v>
      </c>
      <c r="V5682" s="9">
        <v>25.139615720574728</v>
      </c>
      <c r="W5682" s="9">
        <v>25.139615720574728</v>
      </c>
      <c r="X5682" s="9">
        <v>28.431126761040446</v>
      </c>
      <c r="Y5682" s="9">
        <v>28.431126761040446</v>
      </c>
      <c r="Z5682" s="9">
        <v>31.8133765751437</v>
      </c>
      <c r="AA5682" s="9">
        <v>31.8133765751437</v>
      </c>
      <c r="AB5682" s="9">
        <v>35.295439040248269</v>
      </c>
      <c r="AC5682" s="9">
        <v>35.295439040248269</v>
      </c>
      <c r="AD5682" s="9">
        <v>40.66038110622798</v>
      </c>
      <c r="AE5682" s="9">
        <v>44.145469767258199</v>
      </c>
      <c r="AF5682" s="9">
        <v>47.802065076832598</v>
      </c>
      <c r="AG5682" s="9">
        <v>47.802065076832598</v>
      </c>
      <c r="AH5682" s="9">
        <v>52.368463891218347</v>
      </c>
      <c r="AI5682" s="9">
        <v>56.090712435126555</v>
      </c>
      <c r="AJ5682" s="9">
        <v>3.0428788910505911</v>
      </c>
    </row>
    <row r="5683" spans="1:36" x14ac:dyDescent="0.25">
      <c r="A5683" t="s">
        <v>5411</v>
      </c>
      <c r="B5683" t="s">
        <v>16</v>
      </c>
      <c r="C5683" t="s">
        <v>17</v>
      </c>
      <c r="D5683">
        <v>96920000</v>
      </c>
      <c r="E5683">
        <v>96924999</v>
      </c>
      <c r="F5683" t="s">
        <v>5130</v>
      </c>
      <c r="G5683" t="str">
        <f t="shared" si="176"/>
        <v>RSI II</v>
      </c>
      <c r="H5683" t="s">
        <v>4915</v>
      </c>
      <c r="I5683" t="s">
        <v>20</v>
      </c>
      <c r="J5683" t="s">
        <v>64</v>
      </c>
      <c r="K5683" s="6">
        <v>0.03</v>
      </c>
      <c r="L5683" s="7">
        <f t="shared" si="177"/>
        <v>2E-3</v>
      </c>
      <c r="M5683" s="7">
        <v>3.0000000000000001E-3</v>
      </c>
      <c r="N5683">
        <v>11</v>
      </c>
      <c r="O5683" s="8">
        <v>20.328747193832452</v>
      </c>
      <c r="P5683" s="9">
        <v>20.328747193832452</v>
      </c>
      <c r="Q5683" s="9">
        <v>20.328747193832452</v>
      </c>
      <c r="R5683" s="9">
        <v>20.901467178587069</v>
      </c>
      <c r="S5683" s="9">
        <v>21.789694031871221</v>
      </c>
      <c r="T5683" s="9">
        <v>22.685842380093916</v>
      </c>
      <c r="U5683" s="9">
        <v>25.139615720574728</v>
      </c>
      <c r="V5683" s="9">
        <v>25.139615720574728</v>
      </c>
      <c r="W5683" s="9">
        <v>25.139615720574728</v>
      </c>
      <c r="X5683" s="9">
        <v>28.431126761040446</v>
      </c>
      <c r="Y5683" s="9">
        <v>28.431126761040446</v>
      </c>
      <c r="Z5683" s="9">
        <v>31.8133765751437</v>
      </c>
      <c r="AA5683" s="9">
        <v>31.8133765751437</v>
      </c>
      <c r="AB5683" s="9">
        <v>35.295439040248269</v>
      </c>
      <c r="AC5683" s="9">
        <v>35.295439040248269</v>
      </c>
      <c r="AD5683" s="9">
        <v>40.66038110622798</v>
      </c>
      <c r="AE5683" s="9">
        <v>44.145469767258199</v>
      </c>
      <c r="AF5683" s="9">
        <v>47.802065076832598</v>
      </c>
      <c r="AG5683" s="9">
        <v>47.802065076832598</v>
      </c>
      <c r="AH5683" s="9">
        <v>52.368463891218347</v>
      </c>
      <c r="AI5683" s="9">
        <v>56.090712435126555</v>
      </c>
      <c r="AJ5683" s="9">
        <v>3.0428788910505911</v>
      </c>
    </row>
    <row r="5684" spans="1:36" x14ac:dyDescent="0.25">
      <c r="A5684" t="s">
        <v>5411</v>
      </c>
      <c r="B5684" t="s">
        <v>16</v>
      </c>
      <c r="C5684" t="s">
        <v>17</v>
      </c>
      <c r="D5684">
        <v>96925000</v>
      </c>
      <c r="E5684">
        <v>96929999</v>
      </c>
      <c r="F5684" t="s">
        <v>5131</v>
      </c>
      <c r="G5684" t="str">
        <f t="shared" si="176"/>
        <v>RSI II</v>
      </c>
      <c r="H5684" t="s">
        <v>4915</v>
      </c>
      <c r="I5684" t="s">
        <v>20</v>
      </c>
      <c r="J5684" t="s">
        <v>64</v>
      </c>
      <c r="K5684" s="6">
        <v>0.03</v>
      </c>
      <c r="L5684" s="7">
        <f t="shared" si="177"/>
        <v>2E-3</v>
      </c>
      <c r="M5684" s="7">
        <v>3.0000000000000001E-3</v>
      </c>
      <c r="N5684">
        <v>11</v>
      </c>
      <c r="O5684" s="8">
        <v>20.328747193832452</v>
      </c>
      <c r="P5684" s="9">
        <v>20.328747193832452</v>
      </c>
      <c r="Q5684" s="9">
        <v>20.328747193832452</v>
      </c>
      <c r="R5684" s="9">
        <v>20.901467178587069</v>
      </c>
      <c r="S5684" s="9">
        <v>21.789694031871221</v>
      </c>
      <c r="T5684" s="9">
        <v>22.685842380093916</v>
      </c>
      <c r="U5684" s="9">
        <v>25.139615720574728</v>
      </c>
      <c r="V5684" s="9">
        <v>25.139615720574728</v>
      </c>
      <c r="W5684" s="9">
        <v>25.139615720574728</v>
      </c>
      <c r="X5684" s="9">
        <v>28.431126761040446</v>
      </c>
      <c r="Y5684" s="9">
        <v>28.431126761040446</v>
      </c>
      <c r="Z5684" s="9">
        <v>31.8133765751437</v>
      </c>
      <c r="AA5684" s="9">
        <v>31.8133765751437</v>
      </c>
      <c r="AB5684" s="9">
        <v>35.295439040248269</v>
      </c>
      <c r="AC5684" s="9">
        <v>35.295439040248269</v>
      </c>
      <c r="AD5684" s="9">
        <v>40.66038110622798</v>
      </c>
      <c r="AE5684" s="9">
        <v>44.145469767258199</v>
      </c>
      <c r="AF5684" s="9">
        <v>47.802065076832598</v>
      </c>
      <c r="AG5684" s="9">
        <v>47.802065076832598</v>
      </c>
      <c r="AH5684" s="9">
        <v>52.368463891218347</v>
      </c>
      <c r="AI5684" s="9">
        <v>56.090712435126555</v>
      </c>
      <c r="AJ5684" s="9">
        <v>3.0428788910505911</v>
      </c>
    </row>
    <row r="5685" spans="1:36" x14ac:dyDescent="0.25">
      <c r="A5685" t="s">
        <v>5411</v>
      </c>
      <c r="B5685" t="s">
        <v>16</v>
      </c>
      <c r="C5685" t="s">
        <v>17</v>
      </c>
      <c r="D5685">
        <v>96930000</v>
      </c>
      <c r="E5685">
        <v>96949999</v>
      </c>
      <c r="F5685" t="s">
        <v>5132</v>
      </c>
      <c r="G5685" t="str">
        <f t="shared" si="176"/>
        <v>RSI II</v>
      </c>
      <c r="H5685" t="s">
        <v>4915</v>
      </c>
      <c r="I5685" t="s">
        <v>20</v>
      </c>
      <c r="J5685" t="s">
        <v>64</v>
      </c>
      <c r="K5685" s="6">
        <v>0.03</v>
      </c>
      <c r="L5685" s="7">
        <f t="shared" si="177"/>
        <v>2E-3</v>
      </c>
      <c r="M5685" s="7">
        <v>3.0000000000000001E-3</v>
      </c>
      <c r="N5685">
        <v>11</v>
      </c>
      <c r="O5685" s="8">
        <v>20.328747193832452</v>
      </c>
      <c r="P5685" s="9">
        <v>20.328747193832452</v>
      </c>
      <c r="Q5685" s="9">
        <v>20.328747193832452</v>
      </c>
      <c r="R5685" s="9">
        <v>20.901467178587069</v>
      </c>
      <c r="S5685" s="9">
        <v>21.789694031871221</v>
      </c>
      <c r="T5685" s="9">
        <v>22.685842380093916</v>
      </c>
      <c r="U5685" s="9">
        <v>25.139615720574728</v>
      </c>
      <c r="V5685" s="9">
        <v>25.139615720574728</v>
      </c>
      <c r="W5685" s="9">
        <v>25.139615720574728</v>
      </c>
      <c r="X5685" s="9">
        <v>28.431126761040446</v>
      </c>
      <c r="Y5685" s="9">
        <v>28.431126761040446</v>
      </c>
      <c r="Z5685" s="9">
        <v>31.8133765751437</v>
      </c>
      <c r="AA5685" s="9">
        <v>31.8133765751437</v>
      </c>
      <c r="AB5685" s="9">
        <v>35.295439040248269</v>
      </c>
      <c r="AC5685" s="9">
        <v>35.295439040248269</v>
      </c>
      <c r="AD5685" s="9">
        <v>40.66038110622798</v>
      </c>
      <c r="AE5685" s="9">
        <v>44.145469767258199</v>
      </c>
      <c r="AF5685" s="9">
        <v>47.802065076832598</v>
      </c>
      <c r="AG5685" s="9">
        <v>47.802065076832598</v>
      </c>
      <c r="AH5685" s="9">
        <v>52.368463891218347</v>
      </c>
      <c r="AI5685" s="9">
        <v>56.090712435126555</v>
      </c>
      <c r="AJ5685" s="9">
        <v>3.0428788910505911</v>
      </c>
    </row>
    <row r="5686" spans="1:36" x14ac:dyDescent="0.25">
      <c r="A5686" t="s">
        <v>5411</v>
      </c>
      <c r="B5686" t="s">
        <v>16</v>
      </c>
      <c r="C5686" t="s">
        <v>17</v>
      </c>
      <c r="D5686">
        <v>96950000</v>
      </c>
      <c r="E5686">
        <v>96989999</v>
      </c>
      <c r="F5686" t="s">
        <v>5133</v>
      </c>
      <c r="G5686" t="str">
        <f t="shared" si="176"/>
        <v>RSI II</v>
      </c>
      <c r="H5686" t="s">
        <v>4915</v>
      </c>
      <c r="I5686" t="s">
        <v>20</v>
      </c>
      <c r="J5686" t="s">
        <v>64</v>
      </c>
      <c r="K5686" s="6">
        <v>0.03</v>
      </c>
      <c r="L5686" s="7">
        <f t="shared" si="177"/>
        <v>2E-3</v>
      </c>
      <c r="M5686" s="7">
        <v>3.0000000000000001E-3</v>
      </c>
      <c r="N5686">
        <v>11</v>
      </c>
      <c r="O5686" s="8">
        <v>20.328747193832452</v>
      </c>
      <c r="P5686" s="9">
        <v>20.328747193832452</v>
      </c>
      <c r="Q5686" s="9">
        <v>20.328747193832452</v>
      </c>
      <c r="R5686" s="9">
        <v>20.901467178587069</v>
      </c>
      <c r="S5686" s="9">
        <v>21.789694031871221</v>
      </c>
      <c r="T5686" s="9">
        <v>22.685842380093916</v>
      </c>
      <c r="U5686" s="9">
        <v>25.139615720574728</v>
      </c>
      <c r="V5686" s="9">
        <v>25.139615720574728</v>
      </c>
      <c r="W5686" s="9">
        <v>25.139615720574728</v>
      </c>
      <c r="X5686" s="9">
        <v>28.431126761040446</v>
      </c>
      <c r="Y5686" s="9">
        <v>28.431126761040446</v>
      </c>
      <c r="Z5686" s="9">
        <v>31.8133765751437</v>
      </c>
      <c r="AA5686" s="9">
        <v>31.8133765751437</v>
      </c>
      <c r="AB5686" s="9">
        <v>35.295439040248269</v>
      </c>
      <c r="AC5686" s="9">
        <v>35.295439040248269</v>
      </c>
      <c r="AD5686" s="9">
        <v>40.66038110622798</v>
      </c>
      <c r="AE5686" s="9">
        <v>44.145469767258199</v>
      </c>
      <c r="AF5686" s="9">
        <v>47.802065076832598</v>
      </c>
      <c r="AG5686" s="9">
        <v>47.802065076832598</v>
      </c>
      <c r="AH5686" s="9">
        <v>52.368463891218347</v>
      </c>
      <c r="AI5686" s="9">
        <v>56.090712435126555</v>
      </c>
      <c r="AJ5686" s="9">
        <v>3.0428788910505911</v>
      </c>
    </row>
    <row r="5687" spans="1:36" x14ac:dyDescent="0.25">
      <c r="A5687" t="s">
        <v>5411</v>
      </c>
      <c r="B5687" t="s">
        <v>16</v>
      </c>
      <c r="C5687" t="s">
        <v>17</v>
      </c>
      <c r="D5687">
        <v>96990000</v>
      </c>
      <c r="E5687">
        <v>96999999</v>
      </c>
      <c r="F5687" t="s">
        <v>5134</v>
      </c>
      <c r="G5687" t="str">
        <f t="shared" si="176"/>
        <v>RSI II</v>
      </c>
      <c r="H5687" t="s">
        <v>4915</v>
      </c>
      <c r="I5687" t="s">
        <v>20</v>
      </c>
      <c r="J5687" t="s">
        <v>64</v>
      </c>
      <c r="K5687" s="6">
        <v>0.03</v>
      </c>
      <c r="L5687" s="7">
        <f t="shared" si="177"/>
        <v>2E-3</v>
      </c>
      <c r="M5687" s="7">
        <v>3.0000000000000001E-3</v>
      </c>
      <c r="N5687">
        <v>11</v>
      </c>
      <c r="O5687" s="8">
        <v>20.328747193832452</v>
      </c>
      <c r="P5687" s="9">
        <v>20.328747193832452</v>
      </c>
      <c r="Q5687" s="9">
        <v>20.328747193832452</v>
      </c>
      <c r="R5687" s="9">
        <v>20.901467178587069</v>
      </c>
      <c r="S5687" s="9">
        <v>21.789694031871221</v>
      </c>
      <c r="T5687" s="9">
        <v>22.685842380093916</v>
      </c>
      <c r="U5687" s="9">
        <v>25.139615720574728</v>
      </c>
      <c r="V5687" s="9">
        <v>25.139615720574728</v>
      </c>
      <c r="W5687" s="9">
        <v>25.139615720574728</v>
      </c>
      <c r="X5687" s="9">
        <v>28.431126761040446</v>
      </c>
      <c r="Y5687" s="9">
        <v>28.431126761040446</v>
      </c>
      <c r="Z5687" s="9">
        <v>31.8133765751437</v>
      </c>
      <c r="AA5687" s="9">
        <v>31.8133765751437</v>
      </c>
      <c r="AB5687" s="9">
        <v>35.295439040248269</v>
      </c>
      <c r="AC5687" s="9">
        <v>35.295439040248269</v>
      </c>
      <c r="AD5687" s="9">
        <v>40.66038110622798</v>
      </c>
      <c r="AE5687" s="9">
        <v>44.145469767258199</v>
      </c>
      <c r="AF5687" s="9">
        <v>47.802065076832598</v>
      </c>
      <c r="AG5687" s="9">
        <v>47.802065076832598</v>
      </c>
      <c r="AH5687" s="9">
        <v>52.368463891218347</v>
      </c>
      <c r="AI5687" s="9">
        <v>56.090712435126555</v>
      </c>
      <c r="AJ5687" s="9">
        <v>3.0428788910505911</v>
      </c>
    </row>
    <row r="5688" spans="1:36" x14ac:dyDescent="0.25">
      <c r="A5688" t="s">
        <v>5411</v>
      </c>
      <c r="B5688" t="s">
        <v>16</v>
      </c>
      <c r="C5688" t="s">
        <v>17</v>
      </c>
      <c r="D5688">
        <v>97000000</v>
      </c>
      <c r="E5688">
        <v>97009999</v>
      </c>
      <c r="F5688" t="s">
        <v>5135</v>
      </c>
      <c r="G5688" t="str">
        <f t="shared" si="176"/>
        <v>RSI</v>
      </c>
      <c r="H5688" t="s">
        <v>4915</v>
      </c>
      <c r="I5688" t="s">
        <v>20</v>
      </c>
      <c r="J5688" t="s">
        <v>62</v>
      </c>
      <c r="K5688" s="6">
        <v>0.03</v>
      </c>
      <c r="L5688" s="7">
        <f t="shared" si="177"/>
        <v>2E-3</v>
      </c>
      <c r="M5688" s="7">
        <v>3.0000000000000001E-3</v>
      </c>
      <c r="N5688">
        <v>11</v>
      </c>
      <c r="O5688" s="8">
        <v>17.509302802156309</v>
      </c>
      <c r="P5688" s="9">
        <v>17.509302802156309</v>
      </c>
      <c r="Q5688" s="9">
        <v>17.509302802156309</v>
      </c>
      <c r="R5688" s="9">
        <v>17.960073121579438</v>
      </c>
      <c r="S5688" s="9">
        <v>18.978426201825126</v>
      </c>
      <c r="T5688" s="9">
        <v>19.861619996324769</v>
      </c>
      <c r="U5688" s="9">
        <v>21.605211693624167</v>
      </c>
      <c r="V5688" s="9">
        <v>21.605211693624167</v>
      </c>
      <c r="W5688" s="9">
        <v>21.605211693624167</v>
      </c>
      <c r="X5688" s="9">
        <v>24.342346895578043</v>
      </c>
      <c r="Y5688" s="9">
        <v>24.342346895578043</v>
      </c>
      <c r="Z5688" s="9">
        <v>27.269806221922281</v>
      </c>
      <c r="AA5688" s="9">
        <v>27.269806221922281</v>
      </c>
      <c r="AB5688" s="9">
        <v>30.447232473217717</v>
      </c>
      <c r="AC5688" s="9">
        <v>30.447232473217717</v>
      </c>
      <c r="AD5688" s="9">
        <v>33.773696777878271</v>
      </c>
      <c r="AE5688" s="9">
        <v>37.668102449503657</v>
      </c>
      <c r="AF5688" s="9">
        <v>41.795656089883373</v>
      </c>
      <c r="AG5688" s="9">
        <v>41.795656089883373</v>
      </c>
      <c r="AH5688" s="9">
        <v>45.638668972740511</v>
      </c>
      <c r="AI5688" s="9">
        <v>49.380739592962819</v>
      </c>
      <c r="AJ5688" s="9">
        <v>3.0428788910505911</v>
      </c>
    </row>
    <row r="5689" spans="1:36" x14ac:dyDescent="0.25">
      <c r="A5689" t="s">
        <v>5411</v>
      </c>
      <c r="B5689" t="s">
        <v>16</v>
      </c>
      <c r="C5689" t="s">
        <v>17</v>
      </c>
      <c r="D5689">
        <v>97010000</v>
      </c>
      <c r="E5689">
        <v>97109999</v>
      </c>
      <c r="F5689" t="s">
        <v>5135</v>
      </c>
      <c r="G5689" t="str">
        <f t="shared" si="176"/>
        <v>RSI</v>
      </c>
      <c r="H5689" t="s">
        <v>4915</v>
      </c>
      <c r="I5689" t="s">
        <v>20</v>
      </c>
      <c r="J5689" t="s">
        <v>62</v>
      </c>
      <c r="K5689" s="6">
        <v>0.03</v>
      </c>
      <c r="L5689" s="7">
        <f t="shared" si="177"/>
        <v>2E-3</v>
      </c>
      <c r="M5689" s="7">
        <v>3.0000000000000001E-3</v>
      </c>
      <c r="N5689">
        <v>8</v>
      </c>
      <c r="O5689" s="8">
        <v>17.509302802156309</v>
      </c>
      <c r="P5689" s="9">
        <v>17.509302802156309</v>
      </c>
      <c r="Q5689" s="9">
        <v>17.509302802156309</v>
      </c>
      <c r="R5689" s="9">
        <v>17.960073121579438</v>
      </c>
      <c r="S5689" s="9">
        <v>18.978426201825126</v>
      </c>
      <c r="T5689" s="9">
        <v>19.861619996324769</v>
      </c>
      <c r="U5689" s="9">
        <v>21.605211693624167</v>
      </c>
      <c r="V5689" s="9">
        <v>21.605211693624167</v>
      </c>
      <c r="W5689" s="9">
        <v>21.605211693624167</v>
      </c>
      <c r="X5689" s="9">
        <v>24.342346895578043</v>
      </c>
      <c r="Y5689" s="9">
        <v>24.342346895578043</v>
      </c>
      <c r="Z5689" s="9">
        <v>27.269806221922281</v>
      </c>
      <c r="AA5689" s="9">
        <v>27.269806221922281</v>
      </c>
      <c r="AB5689" s="9">
        <v>30.447232473217717</v>
      </c>
      <c r="AC5689" s="9">
        <v>30.447232473217717</v>
      </c>
      <c r="AD5689" s="9">
        <v>33.773696777878271</v>
      </c>
      <c r="AE5689" s="9">
        <v>37.668102449503657</v>
      </c>
      <c r="AF5689" s="9">
        <v>41.795656089883373</v>
      </c>
      <c r="AG5689" s="9">
        <v>41.795656089883373</v>
      </c>
      <c r="AH5689" s="9">
        <v>45.638668972740511</v>
      </c>
      <c r="AI5689" s="9">
        <v>49.380739592962819</v>
      </c>
      <c r="AJ5689" s="9">
        <v>3.0428788910505911</v>
      </c>
    </row>
    <row r="5690" spans="1:36" x14ac:dyDescent="0.25">
      <c r="A5690" t="s">
        <v>5411</v>
      </c>
      <c r="B5690" t="s">
        <v>16</v>
      </c>
      <c r="C5690" t="s">
        <v>17</v>
      </c>
      <c r="D5690">
        <v>97110000</v>
      </c>
      <c r="E5690">
        <v>97179999</v>
      </c>
      <c r="F5690" t="s">
        <v>5135</v>
      </c>
      <c r="G5690" t="str">
        <f t="shared" si="176"/>
        <v>RSI</v>
      </c>
      <c r="H5690" t="s">
        <v>4915</v>
      </c>
      <c r="I5690" t="s">
        <v>20</v>
      </c>
      <c r="J5690" t="s">
        <v>62</v>
      </c>
      <c r="K5690" s="6">
        <v>0.03</v>
      </c>
      <c r="L5690" s="7">
        <f t="shared" si="177"/>
        <v>2E-3</v>
      </c>
      <c r="M5690" s="7">
        <v>3.0000000000000001E-3</v>
      </c>
      <c r="N5690">
        <v>8</v>
      </c>
      <c r="O5690" s="8">
        <v>17.509302802156309</v>
      </c>
      <c r="P5690" s="9">
        <v>17.509302802156309</v>
      </c>
      <c r="Q5690" s="9">
        <v>17.509302802156309</v>
      </c>
      <c r="R5690" s="9">
        <v>17.960073121579438</v>
      </c>
      <c r="S5690" s="9">
        <v>18.978426201825126</v>
      </c>
      <c r="T5690" s="9">
        <v>19.861619996324769</v>
      </c>
      <c r="U5690" s="9">
        <v>21.605211693624167</v>
      </c>
      <c r="V5690" s="9">
        <v>21.605211693624167</v>
      </c>
      <c r="W5690" s="9">
        <v>21.605211693624167</v>
      </c>
      <c r="X5690" s="9">
        <v>24.342346895578043</v>
      </c>
      <c r="Y5690" s="9">
        <v>24.342346895578043</v>
      </c>
      <c r="Z5690" s="9">
        <v>27.269806221922281</v>
      </c>
      <c r="AA5690" s="9">
        <v>27.269806221922281</v>
      </c>
      <c r="AB5690" s="9">
        <v>30.447232473217717</v>
      </c>
      <c r="AC5690" s="9">
        <v>30.447232473217717</v>
      </c>
      <c r="AD5690" s="9">
        <v>33.773696777878271</v>
      </c>
      <c r="AE5690" s="9">
        <v>37.668102449503657</v>
      </c>
      <c r="AF5690" s="9">
        <v>41.795656089883373</v>
      </c>
      <c r="AG5690" s="9">
        <v>41.795656089883373</v>
      </c>
      <c r="AH5690" s="9">
        <v>45.638668972740511</v>
      </c>
      <c r="AI5690" s="9">
        <v>49.380739592962819</v>
      </c>
      <c r="AJ5690" s="9">
        <v>3.0428788910505911</v>
      </c>
    </row>
    <row r="5691" spans="1:36" x14ac:dyDescent="0.25">
      <c r="A5691" t="s">
        <v>5411</v>
      </c>
      <c r="B5691" t="s">
        <v>16</v>
      </c>
      <c r="C5691" t="s">
        <v>17</v>
      </c>
      <c r="D5691">
        <v>97180000</v>
      </c>
      <c r="E5691">
        <v>97184999</v>
      </c>
      <c r="F5691" t="s">
        <v>5136</v>
      </c>
      <c r="G5691" t="str">
        <f t="shared" si="176"/>
        <v>RSI II</v>
      </c>
      <c r="H5691" t="s">
        <v>4915</v>
      </c>
      <c r="I5691" t="s">
        <v>20</v>
      </c>
      <c r="J5691" t="s">
        <v>64</v>
      </c>
      <c r="K5691" s="6">
        <v>0.03</v>
      </c>
      <c r="L5691" s="7">
        <f t="shared" si="177"/>
        <v>2E-3</v>
      </c>
      <c r="M5691" s="7">
        <v>3.0000000000000001E-3</v>
      </c>
      <c r="N5691">
        <v>11</v>
      </c>
      <c r="O5691" s="8">
        <v>20.328747193832452</v>
      </c>
      <c r="P5691" s="9">
        <v>20.328747193832452</v>
      </c>
      <c r="Q5691" s="9">
        <v>20.328747193832452</v>
      </c>
      <c r="R5691" s="9">
        <v>20.901467178587069</v>
      </c>
      <c r="S5691" s="9">
        <v>21.789694031871221</v>
      </c>
      <c r="T5691" s="9">
        <v>22.685842380093916</v>
      </c>
      <c r="U5691" s="9">
        <v>25.139615720574728</v>
      </c>
      <c r="V5691" s="9">
        <v>25.139615720574728</v>
      </c>
      <c r="W5691" s="9">
        <v>25.139615720574728</v>
      </c>
      <c r="X5691" s="9">
        <v>28.431126761040446</v>
      </c>
      <c r="Y5691" s="9">
        <v>28.431126761040446</v>
      </c>
      <c r="Z5691" s="9">
        <v>31.8133765751437</v>
      </c>
      <c r="AA5691" s="9">
        <v>31.8133765751437</v>
      </c>
      <c r="AB5691" s="9">
        <v>35.295439040248269</v>
      </c>
      <c r="AC5691" s="9">
        <v>35.295439040248269</v>
      </c>
      <c r="AD5691" s="9">
        <v>40.66038110622798</v>
      </c>
      <c r="AE5691" s="9">
        <v>44.145469767258199</v>
      </c>
      <c r="AF5691" s="9">
        <v>47.802065076832598</v>
      </c>
      <c r="AG5691" s="9">
        <v>47.802065076832598</v>
      </c>
      <c r="AH5691" s="9">
        <v>52.368463891218347</v>
      </c>
      <c r="AI5691" s="9">
        <v>56.090712435126555</v>
      </c>
      <c r="AJ5691" s="9">
        <v>3.0428788910505911</v>
      </c>
    </row>
    <row r="5692" spans="1:36" x14ac:dyDescent="0.25">
      <c r="A5692" t="s">
        <v>5411</v>
      </c>
      <c r="B5692" t="s">
        <v>16</v>
      </c>
      <c r="C5692" t="s">
        <v>17</v>
      </c>
      <c r="D5692">
        <v>97185000</v>
      </c>
      <c r="E5692">
        <v>97189999</v>
      </c>
      <c r="F5692" t="s">
        <v>5137</v>
      </c>
      <c r="G5692" t="str">
        <f t="shared" si="176"/>
        <v>RSI II</v>
      </c>
      <c r="H5692" t="s">
        <v>4915</v>
      </c>
      <c r="I5692" t="s">
        <v>20</v>
      </c>
      <c r="J5692" t="s">
        <v>64</v>
      </c>
      <c r="K5692" s="6">
        <v>0.03</v>
      </c>
      <c r="L5692" s="7">
        <f t="shared" si="177"/>
        <v>2E-3</v>
      </c>
      <c r="M5692" s="7">
        <v>3.0000000000000001E-3</v>
      </c>
      <c r="N5692">
        <v>11</v>
      </c>
      <c r="O5692" s="8">
        <v>20.328747193832452</v>
      </c>
      <c r="P5692" s="9">
        <v>20.328747193832452</v>
      </c>
      <c r="Q5692" s="9">
        <v>20.328747193832452</v>
      </c>
      <c r="R5692" s="9">
        <v>20.901467178587069</v>
      </c>
      <c r="S5692" s="9">
        <v>21.789694031871221</v>
      </c>
      <c r="T5692" s="9">
        <v>22.685842380093916</v>
      </c>
      <c r="U5692" s="9">
        <v>25.139615720574728</v>
      </c>
      <c r="V5692" s="9">
        <v>25.139615720574728</v>
      </c>
      <c r="W5692" s="9">
        <v>25.139615720574728</v>
      </c>
      <c r="X5692" s="9">
        <v>28.431126761040446</v>
      </c>
      <c r="Y5692" s="9">
        <v>28.431126761040446</v>
      </c>
      <c r="Z5692" s="9">
        <v>31.8133765751437</v>
      </c>
      <c r="AA5692" s="9">
        <v>31.8133765751437</v>
      </c>
      <c r="AB5692" s="9">
        <v>35.295439040248269</v>
      </c>
      <c r="AC5692" s="9">
        <v>35.295439040248269</v>
      </c>
      <c r="AD5692" s="9">
        <v>40.66038110622798</v>
      </c>
      <c r="AE5692" s="9">
        <v>44.145469767258199</v>
      </c>
      <c r="AF5692" s="9">
        <v>47.802065076832598</v>
      </c>
      <c r="AG5692" s="9">
        <v>47.802065076832598</v>
      </c>
      <c r="AH5692" s="9">
        <v>52.368463891218347</v>
      </c>
      <c r="AI5692" s="9">
        <v>56.090712435126555</v>
      </c>
      <c r="AJ5692" s="9">
        <v>3.0428788910505911</v>
      </c>
    </row>
    <row r="5693" spans="1:36" x14ac:dyDescent="0.25">
      <c r="A5693" t="s">
        <v>5411</v>
      </c>
      <c r="B5693" t="s">
        <v>16</v>
      </c>
      <c r="C5693" t="s">
        <v>17</v>
      </c>
      <c r="D5693">
        <v>97190000</v>
      </c>
      <c r="E5693">
        <v>97194999</v>
      </c>
      <c r="F5693" t="s">
        <v>5138</v>
      </c>
      <c r="G5693" t="str">
        <f t="shared" si="176"/>
        <v>RSI II</v>
      </c>
      <c r="H5693" t="s">
        <v>4915</v>
      </c>
      <c r="I5693" t="s">
        <v>20</v>
      </c>
      <c r="J5693" t="s">
        <v>64</v>
      </c>
      <c r="K5693" s="6">
        <v>0.03</v>
      </c>
      <c r="L5693" s="7">
        <f t="shared" si="177"/>
        <v>2E-3</v>
      </c>
      <c r="M5693" s="7">
        <v>3.0000000000000001E-3</v>
      </c>
      <c r="N5693">
        <v>11</v>
      </c>
      <c r="O5693" s="8">
        <v>20.328747193832452</v>
      </c>
      <c r="P5693" s="9">
        <v>20.328747193832452</v>
      </c>
      <c r="Q5693" s="9">
        <v>20.328747193832452</v>
      </c>
      <c r="R5693" s="9">
        <v>20.901467178587069</v>
      </c>
      <c r="S5693" s="9">
        <v>21.789694031871221</v>
      </c>
      <c r="T5693" s="9">
        <v>22.685842380093916</v>
      </c>
      <c r="U5693" s="9">
        <v>25.139615720574728</v>
      </c>
      <c r="V5693" s="9">
        <v>25.139615720574728</v>
      </c>
      <c r="W5693" s="9">
        <v>25.139615720574728</v>
      </c>
      <c r="X5693" s="9">
        <v>28.431126761040446</v>
      </c>
      <c r="Y5693" s="9">
        <v>28.431126761040446</v>
      </c>
      <c r="Z5693" s="9">
        <v>31.8133765751437</v>
      </c>
      <c r="AA5693" s="9">
        <v>31.8133765751437</v>
      </c>
      <c r="AB5693" s="9">
        <v>35.295439040248269</v>
      </c>
      <c r="AC5693" s="9">
        <v>35.295439040248269</v>
      </c>
      <c r="AD5693" s="9">
        <v>40.66038110622798</v>
      </c>
      <c r="AE5693" s="9">
        <v>44.145469767258199</v>
      </c>
      <c r="AF5693" s="9">
        <v>47.802065076832598</v>
      </c>
      <c r="AG5693" s="9">
        <v>47.802065076832598</v>
      </c>
      <c r="AH5693" s="9">
        <v>52.368463891218347</v>
      </c>
      <c r="AI5693" s="9">
        <v>56.090712435126555</v>
      </c>
      <c r="AJ5693" s="9">
        <v>3.0428788910505911</v>
      </c>
    </row>
    <row r="5694" spans="1:36" x14ac:dyDescent="0.25">
      <c r="A5694" t="s">
        <v>5411</v>
      </c>
      <c r="B5694" t="s">
        <v>16</v>
      </c>
      <c r="C5694" t="s">
        <v>17</v>
      </c>
      <c r="D5694">
        <v>97195000</v>
      </c>
      <c r="E5694">
        <v>97199999</v>
      </c>
      <c r="F5694" t="s">
        <v>5139</v>
      </c>
      <c r="G5694" t="str">
        <f t="shared" si="176"/>
        <v>RSI II</v>
      </c>
      <c r="H5694" t="s">
        <v>4915</v>
      </c>
      <c r="I5694" t="s">
        <v>20</v>
      </c>
      <c r="J5694" t="s">
        <v>64</v>
      </c>
      <c r="K5694" s="6">
        <v>0.03</v>
      </c>
      <c r="L5694" s="7">
        <f t="shared" si="177"/>
        <v>2E-3</v>
      </c>
      <c r="M5694" s="7">
        <v>3.0000000000000001E-3</v>
      </c>
      <c r="N5694">
        <v>11</v>
      </c>
      <c r="O5694" s="8">
        <v>20.328747193832452</v>
      </c>
      <c r="P5694" s="9">
        <v>20.328747193832452</v>
      </c>
      <c r="Q5694" s="9">
        <v>20.328747193832452</v>
      </c>
      <c r="R5694" s="9">
        <v>20.901467178587069</v>
      </c>
      <c r="S5694" s="9">
        <v>21.789694031871221</v>
      </c>
      <c r="T5694" s="9">
        <v>22.685842380093916</v>
      </c>
      <c r="U5694" s="9">
        <v>25.139615720574728</v>
      </c>
      <c r="V5694" s="9">
        <v>25.139615720574728</v>
      </c>
      <c r="W5694" s="9">
        <v>25.139615720574728</v>
      </c>
      <c r="X5694" s="9">
        <v>28.431126761040446</v>
      </c>
      <c r="Y5694" s="9">
        <v>28.431126761040446</v>
      </c>
      <c r="Z5694" s="9">
        <v>31.8133765751437</v>
      </c>
      <c r="AA5694" s="9">
        <v>31.8133765751437</v>
      </c>
      <c r="AB5694" s="9">
        <v>35.295439040248269</v>
      </c>
      <c r="AC5694" s="9">
        <v>35.295439040248269</v>
      </c>
      <c r="AD5694" s="9">
        <v>40.66038110622798</v>
      </c>
      <c r="AE5694" s="9">
        <v>44.145469767258199</v>
      </c>
      <c r="AF5694" s="9">
        <v>47.802065076832598</v>
      </c>
      <c r="AG5694" s="9">
        <v>47.802065076832598</v>
      </c>
      <c r="AH5694" s="9">
        <v>52.368463891218347</v>
      </c>
      <c r="AI5694" s="9">
        <v>56.090712435126555</v>
      </c>
      <c r="AJ5694" s="9">
        <v>3.0428788910505911</v>
      </c>
    </row>
    <row r="5695" spans="1:36" x14ac:dyDescent="0.25">
      <c r="A5695" t="s">
        <v>5411</v>
      </c>
      <c r="B5695" t="s">
        <v>16</v>
      </c>
      <c r="C5695" t="s">
        <v>17</v>
      </c>
      <c r="D5695">
        <v>97200000</v>
      </c>
      <c r="E5695">
        <v>97209999</v>
      </c>
      <c r="F5695" t="s">
        <v>5140</v>
      </c>
      <c r="G5695" t="str">
        <f t="shared" si="176"/>
        <v>RSI II</v>
      </c>
      <c r="H5695" t="s">
        <v>4915</v>
      </c>
      <c r="I5695" t="s">
        <v>20</v>
      </c>
      <c r="J5695" t="s">
        <v>64</v>
      </c>
      <c r="K5695" s="6">
        <v>0.03</v>
      </c>
      <c r="L5695" s="7">
        <f t="shared" si="177"/>
        <v>2E-3</v>
      </c>
      <c r="M5695" s="7">
        <v>3.0000000000000001E-3</v>
      </c>
      <c r="N5695">
        <v>11</v>
      </c>
      <c r="O5695" s="8">
        <v>20.328747193832452</v>
      </c>
      <c r="P5695" s="9">
        <v>20.328747193832452</v>
      </c>
      <c r="Q5695" s="9">
        <v>20.328747193832452</v>
      </c>
      <c r="R5695" s="9">
        <v>20.901467178587069</v>
      </c>
      <c r="S5695" s="9">
        <v>21.789694031871221</v>
      </c>
      <c r="T5695" s="9">
        <v>22.685842380093916</v>
      </c>
      <c r="U5695" s="9">
        <v>25.139615720574728</v>
      </c>
      <c r="V5695" s="9">
        <v>25.139615720574728</v>
      </c>
      <c r="W5695" s="9">
        <v>25.139615720574728</v>
      </c>
      <c r="X5695" s="9">
        <v>28.431126761040446</v>
      </c>
      <c r="Y5695" s="9">
        <v>28.431126761040446</v>
      </c>
      <c r="Z5695" s="9">
        <v>31.8133765751437</v>
      </c>
      <c r="AA5695" s="9">
        <v>31.8133765751437</v>
      </c>
      <c r="AB5695" s="9">
        <v>35.295439040248269</v>
      </c>
      <c r="AC5695" s="9">
        <v>35.295439040248269</v>
      </c>
      <c r="AD5695" s="9">
        <v>40.66038110622798</v>
      </c>
      <c r="AE5695" s="9">
        <v>44.145469767258199</v>
      </c>
      <c r="AF5695" s="9">
        <v>47.802065076832598</v>
      </c>
      <c r="AG5695" s="9">
        <v>47.802065076832598</v>
      </c>
      <c r="AH5695" s="9">
        <v>52.368463891218347</v>
      </c>
      <c r="AI5695" s="9">
        <v>56.090712435126555</v>
      </c>
      <c r="AJ5695" s="9">
        <v>3.0428788910505911</v>
      </c>
    </row>
    <row r="5696" spans="1:36" x14ac:dyDescent="0.25">
      <c r="A5696" t="s">
        <v>5411</v>
      </c>
      <c r="B5696" t="s">
        <v>16</v>
      </c>
      <c r="C5696" t="s">
        <v>17</v>
      </c>
      <c r="D5696">
        <v>97210000</v>
      </c>
      <c r="E5696">
        <v>97219999</v>
      </c>
      <c r="F5696" t="s">
        <v>5141</v>
      </c>
      <c r="G5696" t="str">
        <f t="shared" si="176"/>
        <v>RSI II</v>
      </c>
      <c r="H5696" t="s">
        <v>4915</v>
      </c>
      <c r="I5696" t="s">
        <v>20</v>
      </c>
      <c r="J5696" t="s">
        <v>64</v>
      </c>
      <c r="K5696" s="6">
        <v>0.03</v>
      </c>
      <c r="L5696" s="7">
        <f t="shared" si="177"/>
        <v>2E-3</v>
      </c>
      <c r="M5696" s="7">
        <v>3.0000000000000001E-3</v>
      </c>
      <c r="N5696">
        <v>11</v>
      </c>
      <c r="O5696" s="8">
        <v>20.328747193832452</v>
      </c>
      <c r="P5696" s="9">
        <v>20.328747193832452</v>
      </c>
      <c r="Q5696" s="9">
        <v>20.328747193832452</v>
      </c>
      <c r="R5696" s="9">
        <v>20.901467178587069</v>
      </c>
      <c r="S5696" s="9">
        <v>21.789694031871221</v>
      </c>
      <c r="T5696" s="9">
        <v>22.685842380093916</v>
      </c>
      <c r="U5696" s="9">
        <v>25.139615720574728</v>
      </c>
      <c r="V5696" s="9">
        <v>25.139615720574728</v>
      </c>
      <c r="W5696" s="9">
        <v>25.139615720574728</v>
      </c>
      <c r="X5696" s="9">
        <v>28.431126761040446</v>
      </c>
      <c r="Y5696" s="9">
        <v>28.431126761040446</v>
      </c>
      <c r="Z5696" s="9">
        <v>31.8133765751437</v>
      </c>
      <c r="AA5696" s="9">
        <v>31.8133765751437</v>
      </c>
      <c r="AB5696" s="9">
        <v>35.295439040248269</v>
      </c>
      <c r="AC5696" s="9">
        <v>35.295439040248269</v>
      </c>
      <c r="AD5696" s="9">
        <v>40.66038110622798</v>
      </c>
      <c r="AE5696" s="9">
        <v>44.145469767258199</v>
      </c>
      <c r="AF5696" s="9">
        <v>47.802065076832598</v>
      </c>
      <c r="AG5696" s="9">
        <v>47.802065076832598</v>
      </c>
      <c r="AH5696" s="9">
        <v>52.368463891218347</v>
      </c>
      <c r="AI5696" s="9">
        <v>56.090712435126555</v>
      </c>
      <c r="AJ5696" s="9">
        <v>3.0428788910505911</v>
      </c>
    </row>
    <row r="5697" spans="1:36" x14ac:dyDescent="0.25">
      <c r="A5697" t="s">
        <v>5411</v>
      </c>
      <c r="B5697" t="s">
        <v>16</v>
      </c>
      <c r="C5697" t="s">
        <v>17</v>
      </c>
      <c r="D5697">
        <v>97220000</v>
      </c>
      <c r="E5697">
        <v>97229999</v>
      </c>
      <c r="F5697" t="s">
        <v>5142</v>
      </c>
      <c r="G5697" t="str">
        <f t="shared" si="176"/>
        <v>RSI II</v>
      </c>
      <c r="H5697" t="s">
        <v>4915</v>
      </c>
      <c r="I5697" t="s">
        <v>20</v>
      </c>
      <c r="J5697" t="s">
        <v>64</v>
      </c>
      <c r="K5697" s="6">
        <v>0.03</v>
      </c>
      <c r="L5697" s="7">
        <f t="shared" si="177"/>
        <v>2E-3</v>
      </c>
      <c r="M5697" s="7">
        <v>3.0000000000000001E-3</v>
      </c>
      <c r="N5697">
        <v>11</v>
      </c>
      <c r="O5697" s="8">
        <v>20.328747193832452</v>
      </c>
      <c r="P5697" s="9">
        <v>20.328747193832452</v>
      </c>
      <c r="Q5697" s="9">
        <v>20.328747193832452</v>
      </c>
      <c r="R5697" s="9">
        <v>20.901467178587069</v>
      </c>
      <c r="S5697" s="9">
        <v>21.789694031871221</v>
      </c>
      <c r="T5697" s="9">
        <v>22.685842380093916</v>
      </c>
      <c r="U5697" s="9">
        <v>25.139615720574728</v>
      </c>
      <c r="V5697" s="9">
        <v>25.139615720574728</v>
      </c>
      <c r="W5697" s="9">
        <v>25.139615720574728</v>
      </c>
      <c r="X5697" s="9">
        <v>28.431126761040446</v>
      </c>
      <c r="Y5697" s="9">
        <v>28.431126761040446</v>
      </c>
      <c r="Z5697" s="9">
        <v>31.8133765751437</v>
      </c>
      <c r="AA5697" s="9">
        <v>31.8133765751437</v>
      </c>
      <c r="AB5697" s="9">
        <v>35.295439040248269</v>
      </c>
      <c r="AC5697" s="9">
        <v>35.295439040248269</v>
      </c>
      <c r="AD5697" s="9">
        <v>40.66038110622798</v>
      </c>
      <c r="AE5697" s="9">
        <v>44.145469767258199</v>
      </c>
      <c r="AF5697" s="9">
        <v>47.802065076832598</v>
      </c>
      <c r="AG5697" s="9">
        <v>47.802065076832598</v>
      </c>
      <c r="AH5697" s="9">
        <v>52.368463891218347</v>
      </c>
      <c r="AI5697" s="9">
        <v>56.090712435126555</v>
      </c>
      <c r="AJ5697" s="9">
        <v>3.0428788910505911</v>
      </c>
    </row>
    <row r="5698" spans="1:36" x14ac:dyDescent="0.25">
      <c r="A5698" t="s">
        <v>5411</v>
      </c>
      <c r="B5698" t="s">
        <v>16</v>
      </c>
      <c r="C5698" t="s">
        <v>17</v>
      </c>
      <c r="D5698">
        <v>97230000</v>
      </c>
      <c r="E5698">
        <v>97249999</v>
      </c>
      <c r="F5698" t="s">
        <v>5143</v>
      </c>
      <c r="G5698" t="str">
        <f t="shared" si="176"/>
        <v>RSI II</v>
      </c>
      <c r="H5698" t="s">
        <v>4915</v>
      </c>
      <c r="I5698" t="s">
        <v>20</v>
      </c>
      <c r="J5698" t="s">
        <v>64</v>
      </c>
      <c r="K5698" s="6">
        <v>0.03</v>
      </c>
      <c r="L5698" s="7">
        <f t="shared" si="177"/>
        <v>2E-3</v>
      </c>
      <c r="M5698" s="7">
        <v>3.0000000000000001E-3</v>
      </c>
      <c r="N5698">
        <v>11</v>
      </c>
      <c r="O5698" s="8">
        <v>20.328747193832452</v>
      </c>
      <c r="P5698" s="9">
        <v>20.328747193832452</v>
      </c>
      <c r="Q5698" s="9">
        <v>20.328747193832452</v>
      </c>
      <c r="R5698" s="9">
        <v>20.901467178587069</v>
      </c>
      <c r="S5698" s="9">
        <v>21.789694031871221</v>
      </c>
      <c r="T5698" s="9">
        <v>22.685842380093916</v>
      </c>
      <c r="U5698" s="9">
        <v>25.139615720574728</v>
      </c>
      <c r="V5698" s="9">
        <v>25.139615720574728</v>
      </c>
      <c r="W5698" s="9">
        <v>25.139615720574728</v>
      </c>
      <c r="X5698" s="9">
        <v>28.431126761040446</v>
      </c>
      <c r="Y5698" s="9">
        <v>28.431126761040446</v>
      </c>
      <c r="Z5698" s="9">
        <v>31.8133765751437</v>
      </c>
      <c r="AA5698" s="9">
        <v>31.8133765751437</v>
      </c>
      <c r="AB5698" s="9">
        <v>35.295439040248269</v>
      </c>
      <c r="AC5698" s="9">
        <v>35.295439040248269</v>
      </c>
      <c r="AD5698" s="9">
        <v>40.66038110622798</v>
      </c>
      <c r="AE5698" s="9">
        <v>44.145469767258199</v>
      </c>
      <c r="AF5698" s="9">
        <v>47.802065076832598</v>
      </c>
      <c r="AG5698" s="9">
        <v>47.802065076832598</v>
      </c>
      <c r="AH5698" s="9">
        <v>52.368463891218347</v>
      </c>
      <c r="AI5698" s="9">
        <v>56.090712435126555</v>
      </c>
      <c r="AJ5698" s="9">
        <v>3.0428788910505911</v>
      </c>
    </row>
    <row r="5699" spans="1:36" x14ac:dyDescent="0.25">
      <c r="A5699" t="s">
        <v>5411</v>
      </c>
      <c r="B5699" t="s">
        <v>16</v>
      </c>
      <c r="C5699" t="s">
        <v>17</v>
      </c>
      <c r="D5699">
        <v>97250000</v>
      </c>
      <c r="E5699">
        <v>97279999</v>
      </c>
      <c r="F5699" t="s">
        <v>5144</v>
      </c>
      <c r="G5699" t="str">
        <f t="shared" si="176"/>
        <v>RSI II</v>
      </c>
      <c r="H5699" t="s">
        <v>4915</v>
      </c>
      <c r="I5699" t="s">
        <v>20</v>
      </c>
      <c r="J5699" t="s">
        <v>64</v>
      </c>
      <c r="K5699" s="6">
        <v>0.03</v>
      </c>
      <c r="L5699" s="7">
        <f t="shared" si="177"/>
        <v>2E-3</v>
      </c>
      <c r="M5699" s="7">
        <v>3.0000000000000001E-3</v>
      </c>
      <c r="N5699">
        <v>11</v>
      </c>
      <c r="O5699" s="8">
        <v>20.328747193832452</v>
      </c>
      <c r="P5699" s="9">
        <v>20.328747193832452</v>
      </c>
      <c r="Q5699" s="9">
        <v>20.328747193832452</v>
      </c>
      <c r="R5699" s="9">
        <v>20.901467178587069</v>
      </c>
      <c r="S5699" s="9">
        <v>21.789694031871221</v>
      </c>
      <c r="T5699" s="9">
        <v>22.685842380093916</v>
      </c>
      <c r="U5699" s="9">
        <v>25.139615720574728</v>
      </c>
      <c r="V5699" s="9">
        <v>25.139615720574728</v>
      </c>
      <c r="W5699" s="9">
        <v>25.139615720574728</v>
      </c>
      <c r="X5699" s="9">
        <v>28.431126761040446</v>
      </c>
      <c r="Y5699" s="9">
        <v>28.431126761040446</v>
      </c>
      <c r="Z5699" s="9">
        <v>31.8133765751437</v>
      </c>
      <c r="AA5699" s="9">
        <v>31.8133765751437</v>
      </c>
      <c r="AB5699" s="9">
        <v>35.295439040248269</v>
      </c>
      <c r="AC5699" s="9">
        <v>35.295439040248269</v>
      </c>
      <c r="AD5699" s="9">
        <v>40.66038110622798</v>
      </c>
      <c r="AE5699" s="9">
        <v>44.145469767258199</v>
      </c>
      <c r="AF5699" s="9">
        <v>47.802065076832598</v>
      </c>
      <c r="AG5699" s="9">
        <v>47.802065076832598</v>
      </c>
      <c r="AH5699" s="9">
        <v>52.368463891218347</v>
      </c>
      <c r="AI5699" s="9">
        <v>56.090712435126555</v>
      </c>
      <c r="AJ5699" s="9">
        <v>3.0428788910505911</v>
      </c>
    </row>
    <row r="5700" spans="1:36" x14ac:dyDescent="0.25">
      <c r="A5700" t="s">
        <v>5411</v>
      </c>
      <c r="B5700" t="s">
        <v>16</v>
      </c>
      <c r="C5700" t="s">
        <v>17</v>
      </c>
      <c r="D5700">
        <v>97280000</v>
      </c>
      <c r="E5700">
        <v>97299999</v>
      </c>
      <c r="F5700" t="s">
        <v>5145</v>
      </c>
      <c r="G5700" t="str">
        <f t="shared" ref="G5700:G5763" si="178">H5700&amp;IF(J5700="CAPITAL","C",IF(J5700="INTERIOR","I",IF(J5700="INTERIOR II","I II","R")))</f>
        <v>RSI II</v>
      </c>
      <c r="H5700" t="s">
        <v>4915</v>
      </c>
      <c r="I5700" t="s">
        <v>20</v>
      </c>
      <c r="J5700" t="s">
        <v>64</v>
      </c>
      <c r="K5700" s="6">
        <v>0.03</v>
      </c>
      <c r="L5700" s="7">
        <f t="shared" ref="L5700:L5763" si="179">IF(I5700="(0) Não",0.2%,3%)</f>
        <v>2E-3</v>
      </c>
      <c r="M5700" s="7">
        <v>3.0000000000000001E-3</v>
      </c>
      <c r="N5700">
        <v>11</v>
      </c>
      <c r="O5700" s="8">
        <v>20.328747193832452</v>
      </c>
      <c r="P5700" s="9">
        <v>20.328747193832452</v>
      </c>
      <c r="Q5700" s="9">
        <v>20.328747193832452</v>
      </c>
      <c r="R5700" s="9">
        <v>20.901467178587069</v>
      </c>
      <c r="S5700" s="9">
        <v>21.789694031871221</v>
      </c>
      <c r="T5700" s="9">
        <v>22.685842380093916</v>
      </c>
      <c r="U5700" s="9">
        <v>25.139615720574728</v>
      </c>
      <c r="V5700" s="9">
        <v>25.139615720574728</v>
      </c>
      <c r="W5700" s="9">
        <v>25.139615720574728</v>
      </c>
      <c r="X5700" s="9">
        <v>28.431126761040446</v>
      </c>
      <c r="Y5700" s="9">
        <v>28.431126761040446</v>
      </c>
      <c r="Z5700" s="9">
        <v>31.8133765751437</v>
      </c>
      <c r="AA5700" s="9">
        <v>31.8133765751437</v>
      </c>
      <c r="AB5700" s="9">
        <v>35.295439040248269</v>
      </c>
      <c r="AC5700" s="9">
        <v>35.295439040248269</v>
      </c>
      <c r="AD5700" s="9">
        <v>40.66038110622798</v>
      </c>
      <c r="AE5700" s="9">
        <v>44.145469767258199</v>
      </c>
      <c r="AF5700" s="9">
        <v>47.802065076832598</v>
      </c>
      <c r="AG5700" s="9">
        <v>47.802065076832598</v>
      </c>
      <c r="AH5700" s="9">
        <v>52.368463891218347</v>
      </c>
      <c r="AI5700" s="9">
        <v>56.090712435126555</v>
      </c>
      <c r="AJ5700" s="9">
        <v>3.0428788910505911</v>
      </c>
    </row>
    <row r="5701" spans="1:36" x14ac:dyDescent="0.25">
      <c r="A5701" t="s">
        <v>5411</v>
      </c>
      <c r="B5701" t="s">
        <v>16</v>
      </c>
      <c r="C5701" t="s">
        <v>17</v>
      </c>
      <c r="D5701">
        <v>97300000</v>
      </c>
      <c r="E5701">
        <v>97334999</v>
      </c>
      <c r="F5701" t="s">
        <v>1790</v>
      </c>
      <c r="G5701" t="str">
        <f t="shared" si="178"/>
        <v>RSI</v>
      </c>
      <c r="H5701" t="s">
        <v>4915</v>
      </c>
      <c r="I5701" t="s">
        <v>20</v>
      </c>
      <c r="J5701" t="s">
        <v>62</v>
      </c>
      <c r="K5701" s="6">
        <v>0.03</v>
      </c>
      <c r="L5701" s="7">
        <f t="shared" si="179"/>
        <v>2E-3</v>
      </c>
      <c r="M5701" s="7">
        <v>3.0000000000000001E-3</v>
      </c>
      <c r="N5701">
        <v>10</v>
      </c>
      <c r="O5701" s="8">
        <v>17.509302802156309</v>
      </c>
      <c r="P5701" s="9">
        <v>17.509302802156309</v>
      </c>
      <c r="Q5701" s="9">
        <v>17.509302802156309</v>
      </c>
      <c r="R5701" s="9">
        <v>17.960073121579438</v>
      </c>
      <c r="S5701" s="9">
        <v>18.978426201825126</v>
      </c>
      <c r="T5701" s="9">
        <v>19.861619996324769</v>
      </c>
      <c r="U5701" s="9">
        <v>21.605211693624167</v>
      </c>
      <c r="V5701" s="9">
        <v>21.605211693624167</v>
      </c>
      <c r="W5701" s="9">
        <v>21.605211693624167</v>
      </c>
      <c r="X5701" s="9">
        <v>24.342346895578043</v>
      </c>
      <c r="Y5701" s="9">
        <v>24.342346895578043</v>
      </c>
      <c r="Z5701" s="9">
        <v>27.269806221922281</v>
      </c>
      <c r="AA5701" s="9">
        <v>27.269806221922281</v>
      </c>
      <c r="AB5701" s="9">
        <v>30.447232473217717</v>
      </c>
      <c r="AC5701" s="9">
        <v>30.447232473217717</v>
      </c>
      <c r="AD5701" s="9">
        <v>33.773696777878271</v>
      </c>
      <c r="AE5701" s="9">
        <v>37.668102449503657</v>
      </c>
      <c r="AF5701" s="9">
        <v>41.795656089883373</v>
      </c>
      <c r="AG5701" s="9">
        <v>41.795656089883373</v>
      </c>
      <c r="AH5701" s="9">
        <v>45.638668972740511</v>
      </c>
      <c r="AI5701" s="9">
        <v>49.380739592962819</v>
      </c>
      <c r="AJ5701" s="9">
        <v>3.0428788910505911</v>
      </c>
    </row>
    <row r="5702" spans="1:36" x14ac:dyDescent="0.25">
      <c r="A5702" t="s">
        <v>5411</v>
      </c>
      <c r="B5702" t="s">
        <v>16</v>
      </c>
      <c r="C5702" t="s">
        <v>17</v>
      </c>
      <c r="D5702">
        <v>97335000</v>
      </c>
      <c r="E5702">
        <v>97339999</v>
      </c>
      <c r="F5702" t="s">
        <v>5146</v>
      </c>
      <c r="G5702" t="str">
        <f t="shared" si="178"/>
        <v>RSI II</v>
      </c>
      <c r="H5702" t="s">
        <v>4915</v>
      </c>
      <c r="I5702" t="s">
        <v>20</v>
      </c>
      <c r="J5702" t="s">
        <v>64</v>
      </c>
      <c r="K5702" s="6">
        <v>0.03</v>
      </c>
      <c r="L5702" s="7">
        <f t="shared" si="179"/>
        <v>2E-3</v>
      </c>
      <c r="M5702" s="7">
        <v>3.0000000000000001E-3</v>
      </c>
      <c r="N5702">
        <v>11</v>
      </c>
      <c r="O5702" s="8">
        <v>20.328747193832452</v>
      </c>
      <c r="P5702" s="9">
        <v>20.328747193832452</v>
      </c>
      <c r="Q5702" s="9">
        <v>20.328747193832452</v>
      </c>
      <c r="R5702" s="9">
        <v>20.901467178587069</v>
      </c>
      <c r="S5702" s="9">
        <v>21.789694031871221</v>
      </c>
      <c r="T5702" s="9">
        <v>22.685842380093916</v>
      </c>
      <c r="U5702" s="9">
        <v>25.139615720574728</v>
      </c>
      <c r="V5702" s="9">
        <v>25.139615720574728</v>
      </c>
      <c r="W5702" s="9">
        <v>25.139615720574728</v>
      </c>
      <c r="X5702" s="9">
        <v>28.431126761040446</v>
      </c>
      <c r="Y5702" s="9">
        <v>28.431126761040446</v>
      </c>
      <c r="Z5702" s="9">
        <v>31.8133765751437</v>
      </c>
      <c r="AA5702" s="9">
        <v>31.8133765751437</v>
      </c>
      <c r="AB5702" s="9">
        <v>35.295439040248269</v>
      </c>
      <c r="AC5702" s="9">
        <v>35.295439040248269</v>
      </c>
      <c r="AD5702" s="9">
        <v>40.66038110622798</v>
      </c>
      <c r="AE5702" s="9">
        <v>44.145469767258199</v>
      </c>
      <c r="AF5702" s="9">
        <v>47.802065076832598</v>
      </c>
      <c r="AG5702" s="9">
        <v>47.802065076832598</v>
      </c>
      <c r="AH5702" s="9">
        <v>52.368463891218347</v>
      </c>
      <c r="AI5702" s="9">
        <v>56.090712435126555</v>
      </c>
      <c r="AJ5702" s="9">
        <v>3.0428788910505911</v>
      </c>
    </row>
    <row r="5703" spans="1:36" x14ac:dyDescent="0.25">
      <c r="A5703" t="s">
        <v>5411</v>
      </c>
      <c r="B5703" t="s">
        <v>16</v>
      </c>
      <c r="C5703" t="s">
        <v>17</v>
      </c>
      <c r="D5703">
        <v>97340000</v>
      </c>
      <c r="E5703">
        <v>97384999</v>
      </c>
      <c r="F5703" t="s">
        <v>5147</v>
      </c>
      <c r="G5703" t="str">
        <f t="shared" si="178"/>
        <v>RSI II</v>
      </c>
      <c r="H5703" t="s">
        <v>4915</v>
      </c>
      <c r="I5703" t="s">
        <v>20</v>
      </c>
      <c r="J5703" t="s">
        <v>64</v>
      </c>
      <c r="K5703" s="6">
        <v>0.03</v>
      </c>
      <c r="L5703" s="7">
        <f t="shared" si="179"/>
        <v>2E-3</v>
      </c>
      <c r="M5703" s="7">
        <v>3.0000000000000001E-3</v>
      </c>
      <c r="N5703">
        <v>11</v>
      </c>
      <c r="O5703" s="8">
        <v>20.328747193832452</v>
      </c>
      <c r="P5703" s="9">
        <v>20.328747193832452</v>
      </c>
      <c r="Q5703" s="9">
        <v>20.328747193832452</v>
      </c>
      <c r="R5703" s="9">
        <v>20.901467178587069</v>
      </c>
      <c r="S5703" s="9">
        <v>21.789694031871221</v>
      </c>
      <c r="T5703" s="9">
        <v>22.685842380093916</v>
      </c>
      <c r="U5703" s="9">
        <v>25.139615720574728</v>
      </c>
      <c r="V5703" s="9">
        <v>25.139615720574728</v>
      </c>
      <c r="W5703" s="9">
        <v>25.139615720574728</v>
      </c>
      <c r="X5703" s="9">
        <v>28.431126761040446</v>
      </c>
      <c r="Y5703" s="9">
        <v>28.431126761040446</v>
      </c>
      <c r="Z5703" s="9">
        <v>31.8133765751437</v>
      </c>
      <c r="AA5703" s="9">
        <v>31.8133765751437</v>
      </c>
      <c r="AB5703" s="9">
        <v>35.295439040248269</v>
      </c>
      <c r="AC5703" s="9">
        <v>35.295439040248269</v>
      </c>
      <c r="AD5703" s="9">
        <v>40.66038110622798</v>
      </c>
      <c r="AE5703" s="9">
        <v>44.145469767258199</v>
      </c>
      <c r="AF5703" s="9">
        <v>47.802065076832598</v>
      </c>
      <c r="AG5703" s="9">
        <v>47.802065076832598</v>
      </c>
      <c r="AH5703" s="9">
        <v>52.368463891218347</v>
      </c>
      <c r="AI5703" s="9">
        <v>56.090712435126555</v>
      </c>
      <c r="AJ5703" s="9">
        <v>3.0428788910505911</v>
      </c>
    </row>
    <row r="5704" spans="1:36" x14ac:dyDescent="0.25">
      <c r="A5704" t="s">
        <v>5411</v>
      </c>
      <c r="B5704" t="s">
        <v>16</v>
      </c>
      <c r="C5704" t="s">
        <v>17</v>
      </c>
      <c r="D5704">
        <v>97385000</v>
      </c>
      <c r="E5704">
        <v>97389999</v>
      </c>
      <c r="F5704" t="s">
        <v>5148</v>
      </c>
      <c r="G5704" t="str">
        <f t="shared" si="178"/>
        <v>RSI II</v>
      </c>
      <c r="H5704" t="s">
        <v>4915</v>
      </c>
      <c r="I5704" t="s">
        <v>20</v>
      </c>
      <c r="J5704" t="s">
        <v>64</v>
      </c>
      <c r="K5704" s="6">
        <v>0.03</v>
      </c>
      <c r="L5704" s="7">
        <f t="shared" si="179"/>
        <v>2E-3</v>
      </c>
      <c r="M5704" s="7">
        <v>3.0000000000000001E-3</v>
      </c>
      <c r="N5704">
        <v>11</v>
      </c>
      <c r="O5704" s="8">
        <v>20.328747193832452</v>
      </c>
      <c r="P5704" s="9">
        <v>20.328747193832452</v>
      </c>
      <c r="Q5704" s="9">
        <v>20.328747193832452</v>
      </c>
      <c r="R5704" s="9">
        <v>20.901467178587069</v>
      </c>
      <c r="S5704" s="9">
        <v>21.789694031871221</v>
      </c>
      <c r="T5704" s="9">
        <v>22.685842380093916</v>
      </c>
      <c r="U5704" s="9">
        <v>25.139615720574728</v>
      </c>
      <c r="V5704" s="9">
        <v>25.139615720574728</v>
      </c>
      <c r="W5704" s="9">
        <v>25.139615720574728</v>
      </c>
      <c r="X5704" s="9">
        <v>28.431126761040446</v>
      </c>
      <c r="Y5704" s="9">
        <v>28.431126761040446</v>
      </c>
      <c r="Z5704" s="9">
        <v>31.8133765751437</v>
      </c>
      <c r="AA5704" s="9">
        <v>31.8133765751437</v>
      </c>
      <c r="AB5704" s="9">
        <v>35.295439040248269</v>
      </c>
      <c r="AC5704" s="9">
        <v>35.295439040248269</v>
      </c>
      <c r="AD5704" s="9">
        <v>40.66038110622798</v>
      </c>
      <c r="AE5704" s="9">
        <v>44.145469767258199</v>
      </c>
      <c r="AF5704" s="9">
        <v>47.802065076832598</v>
      </c>
      <c r="AG5704" s="9">
        <v>47.802065076832598</v>
      </c>
      <c r="AH5704" s="9">
        <v>52.368463891218347</v>
      </c>
      <c r="AI5704" s="9">
        <v>56.090712435126555</v>
      </c>
      <c r="AJ5704" s="9">
        <v>3.0428788910505911</v>
      </c>
    </row>
    <row r="5705" spans="1:36" x14ac:dyDescent="0.25">
      <c r="A5705" t="s">
        <v>5411</v>
      </c>
      <c r="B5705" t="s">
        <v>16</v>
      </c>
      <c r="C5705" t="s">
        <v>17</v>
      </c>
      <c r="D5705">
        <v>97390000</v>
      </c>
      <c r="E5705">
        <v>97399999</v>
      </c>
      <c r="F5705" t="s">
        <v>5149</v>
      </c>
      <c r="G5705" t="str">
        <f t="shared" si="178"/>
        <v>RSI II</v>
      </c>
      <c r="H5705" t="s">
        <v>4915</v>
      </c>
      <c r="I5705" t="s">
        <v>20</v>
      </c>
      <c r="J5705" t="s">
        <v>64</v>
      </c>
      <c r="K5705" s="6">
        <v>0.03</v>
      </c>
      <c r="L5705" s="7">
        <f t="shared" si="179"/>
        <v>2E-3</v>
      </c>
      <c r="M5705" s="7">
        <v>3.0000000000000001E-3</v>
      </c>
      <c r="N5705">
        <v>11</v>
      </c>
      <c r="O5705" s="8">
        <v>20.328747193832452</v>
      </c>
      <c r="P5705" s="9">
        <v>20.328747193832452</v>
      </c>
      <c r="Q5705" s="9">
        <v>20.328747193832452</v>
      </c>
      <c r="R5705" s="9">
        <v>20.901467178587069</v>
      </c>
      <c r="S5705" s="9">
        <v>21.789694031871221</v>
      </c>
      <c r="T5705" s="9">
        <v>22.685842380093916</v>
      </c>
      <c r="U5705" s="9">
        <v>25.139615720574728</v>
      </c>
      <c r="V5705" s="9">
        <v>25.139615720574728</v>
      </c>
      <c r="W5705" s="9">
        <v>25.139615720574728</v>
      </c>
      <c r="X5705" s="9">
        <v>28.431126761040446</v>
      </c>
      <c r="Y5705" s="9">
        <v>28.431126761040446</v>
      </c>
      <c r="Z5705" s="9">
        <v>31.8133765751437</v>
      </c>
      <c r="AA5705" s="9">
        <v>31.8133765751437</v>
      </c>
      <c r="AB5705" s="9">
        <v>35.295439040248269</v>
      </c>
      <c r="AC5705" s="9">
        <v>35.295439040248269</v>
      </c>
      <c r="AD5705" s="9">
        <v>40.66038110622798</v>
      </c>
      <c r="AE5705" s="9">
        <v>44.145469767258199</v>
      </c>
      <c r="AF5705" s="9">
        <v>47.802065076832598</v>
      </c>
      <c r="AG5705" s="9">
        <v>47.802065076832598</v>
      </c>
      <c r="AH5705" s="9">
        <v>52.368463891218347</v>
      </c>
      <c r="AI5705" s="9">
        <v>56.090712435126555</v>
      </c>
      <c r="AJ5705" s="9">
        <v>3.0428788910505911</v>
      </c>
    </row>
    <row r="5706" spans="1:36" x14ac:dyDescent="0.25">
      <c r="A5706" t="s">
        <v>5411</v>
      </c>
      <c r="B5706" t="s">
        <v>16</v>
      </c>
      <c r="C5706" t="s">
        <v>17</v>
      </c>
      <c r="D5706">
        <v>97400000</v>
      </c>
      <c r="E5706">
        <v>97409999</v>
      </c>
      <c r="F5706" t="s">
        <v>5150</v>
      </c>
      <c r="G5706" t="str">
        <f t="shared" si="178"/>
        <v>RSI II</v>
      </c>
      <c r="H5706" t="s">
        <v>4915</v>
      </c>
      <c r="I5706" t="s">
        <v>20</v>
      </c>
      <c r="J5706" t="s">
        <v>64</v>
      </c>
      <c r="K5706" s="6">
        <v>0.03</v>
      </c>
      <c r="L5706" s="7">
        <f t="shared" si="179"/>
        <v>2E-3</v>
      </c>
      <c r="M5706" s="7">
        <v>3.0000000000000001E-3</v>
      </c>
      <c r="N5706">
        <v>11</v>
      </c>
      <c r="O5706" s="8">
        <v>20.328747193832452</v>
      </c>
      <c r="P5706" s="9">
        <v>20.328747193832452</v>
      </c>
      <c r="Q5706" s="9">
        <v>20.328747193832452</v>
      </c>
      <c r="R5706" s="9">
        <v>20.901467178587069</v>
      </c>
      <c r="S5706" s="9">
        <v>21.789694031871221</v>
      </c>
      <c r="T5706" s="9">
        <v>22.685842380093916</v>
      </c>
      <c r="U5706" s="9">
        <v>25.139615720574728</v>
      </c>
      <c r="V5706" s="9">
        <v>25.139615720574728</v>
      </c>
      <c r="W5706" s="9">
        <v>25.139615720574728</v>
      </c>
      <c r="X5706" s="9">
        <v>28.431126761040446</v>
      </c>
      <c r="Y5706" s="9">
        <v>28.431126761040446</v>
      </c>
      <c r="Z5706" s="9">
        <v>31.8133765751437</v>
      </c>
      <c r="AA5706" s="9">
        <v>31.8133765751437</v>
      </c>
      <c r="AB5706" s="9">
        <v>35.295439040248269</v>
      </c>
      <c r="AC5706" s="9">
        <v>35.295439040248269</v>
      </c>
      <c r="AD5706" s="9">
        <v>40.66038110622798</v>
      </c>
      <c r="AE5706" s="9">
        <v>44.145469767258199</v>
      </c>
      <c r="AF5706" s="9">
        <v>47.802065076832598</v>
      </c>
      <c r="AG5706" s="9">
        <v>47.802065076832598</v>
      </c>
      <c r="AH5706" s="9">
        <v>52.368463891218347</v>
      </c>
      <c r="AI5706" s="9">
        <v>56.090712435126555</v>
      </c>
      <c r="AJ5706" s="9">
        <v>3.0428788910505911</v>
      </c>
    </row>
    <row r="5707" spans="1:36" x14ac:dyDescent="0.25">
      <c r="A5707" t="s">
        <v>5411</v>
      </c>
      <c r="B5707" t="s">
        <v>16</v>
      </c>
      <c r="C5707" t="s">
        <v>17</v>
      </c>
      <c r="D5707">
        <v>97410000</v>
      </c>
      <c r="E5707">
        <v>97417999</v>
      </c>
      <c r="F5707" t="s">
        <v>5151</v>
      </c>
      <c r="G5707" t="str">
        <f t="shared" si="178"/>
        <v>RSI II</v>
      </c>
      <c r="H5707" t="s">
        <v>4915</v>
      </c>
      <c r="I5707" t="s">
        <v>20</v>
      </c>
      <c r="J5707" t="s">
        <v>64</v>
      </c>
      <c r="K5707" s="6">
        <v>0.03</v>
      </c>
      <c r="L5707" s="7">
        <f t="shared" si="179"/>
        <v>2E-3</v>
      </c>
      <c r="M5707" s="7">
        <v>3.0000000000000001E-3</v>
      </c>
      <c r="N5707">
        <v>11</v>
      </c>
      <c r="O5707" s="8">
        <v>20.328747193832452</v>
      </c>
      <c r="P5707" s="9">
        <v>20.328747193832452</v>
      </c>
      <c r="Q5707" s="9">
        <v>20.328747193832452</v>
      </c>
      <c r="R5707" s="9">
        <v>20.901467178587069</v>
      </c>
      <c r="S5707" s="9">
        <v>21.789694031871221</v>
      </c>
      <c r="T5707" s="9">
        <v>22.685842380093916</v>
      </c>
      <c r="U5707" s="9">
        <v>25.139615720574728</v>
      </c>
      <c r="V5707" s="9">
        <v>25.139615720574728</v>
      </c>
      <c r="W5707" s="9">
        <v>25.139615720574728</v>
      </c>
      <c r="X5707" s="9">
        <v>28.431126761040446</v>
      </c>
      <c r="Y5707" s="9">
        <v>28.431126761040446</v>
      </c>
      <c r="Z5707" s="9">
        <v>31.8133765751437</v>
      </c>
      <c r="AA5707" s="9">
        <v>31.8133765751437</v>
      </c>
      <c r="AB5707" s="9">
        <v>35.295439040248269</v>
      </c>
      <c r="AC5707" s="9">
        <v>35.295439040248269</v>
      </c>
      <c r="AD5707" s="9">
        <v>40.66038110622798</v>
      </c>
      <c r="AE5707" s="9">
        <v>44.145469767258199</v>
      </c>
      <c r="AF5707" s="9">
        <v>47.802065076832598</v>
      </c>
      <c r="AG5707" s="9">
        <v>47.802065076832598</v>
      </c>
      <c r="AH5707" s="9">
        <v>52.368463891218347</v>
      </c>
      <c r="AI5707" s="9">
        <v>56.090712435126555</v>
      </c>
      <c r="AJ5707" s="9">
        <v>3.0428788910505911</v>
      </c>
    </row>
    <row r="5708" spans="1:36" x14ac:dyDescent="0.25">
      <c r="A5708" t="s">
        <v>5411</v>
      </c>
      <c r="B5708" t="s">
        <v>16</v>
      </c>
      <c r="C5708" t="s">
        <v>17</v>
      </c>
      <c r="D5708">
        <v>97418000</v>
      </c>
      <c r="E5708">
        <v>97419999</v>
      </c>
      <c r="F5708" t="s">
        <v>5152</v>
      </c>
      <c r="G5708" t="str">
        <f t="shared" si="178"/>
        <v>RSI II</v>
      </c>
      <c r="H5708" t="s">
        <v>4915</v>
      </c>
      <c r="I5708" t="s">
        <v>20</v>
      </c>
      <c r="J5708" t="s">
        <v>64</v>
      </c>
      <c r="K5708" s="6">
        <v>0.03</v>
      </c>
      <c r="L5708" s="7">
        <f t="shared" si="179"/>
        <v>2E-3</v>
      </c>
      <c r="M5708" s="7">
        <v>3.0000000000000001E-3</v>
      </c>
      <c r="N5708">
        <v>11</v>
      </c>
      <c r="O5708" s="8">
        <v>20.328747193832452</v>
      </c>
      <c r="P5708" s="9">
        <v>20.328747193832452</v>
      </c>
      <c r="Q5708" s="9">
        <v>20.328747193832452</v>
      </c>
      <c r="R5708" s="9">
        <v>20.901467178587069</v>
      </c>
      <c r="S5708" s="9">
        <v>21.789694031871221</v>
      </c>
      <c r="T5708" s="9">
        <v>22.685842380093916</v>
      </c>
      <c r="U5708" s="9">
        <v>25.139615720574728</v>
      </c>
      <c r="V5708" s="9">
        <v>25.139615720574728</v>
      </c>
      <c r="W5708" s="9">
        <v>25.139615720574728</v>
      </c>
      <c r="X5708" s="9">
        <v>28.431126761040446</v>
      </c>
      <c r="Y5708" s="9">
        <v>28.431126761040446</v>
      </c>
      <c r="Z5708" s="9">
        <v>31.8133765751437</v>
      </c>
      <c r="AA5708" s="9">
        <v>31.8133765751437</v>
      </c>
      <c r="AB5708" s="9">
        <v>35.295439040248269</v>
      </c>
      <c r="AC5708" s="9">
        <v>35.295439040248269</v>
      </c>
      <c r="AD5708" s="9">
        <v>40.66038110622798</v>
      </c>
      <c r="AE5708" s="9">
        <v>44.145469767258199</v>
      </c>
      <c r="AF5708" s="9">
        <v>47.802065076832598</v>
      </c>
      <c r="AG5708" s="9">
        <v>47.802065076832598</v>
      </c>
      <c r="AH5708" s="9">
        <v>52.368463891218347</v>
      </c>
      <c r="AI5708" s="9">
        <v>56.090712435126555</v>
      </c>
      <c r="AJ5708" s="9">
        <v>3.0428788910505911</v>
      </c>
    </row>
    <row r="5709" spans="1:36" x14ac:dyDescent="0.25">
      <c r="A5709" t="s">
        <v>5411</v>
      </c>
      <c r="B5709" t="s">
        <v>16</v>
      </c>
      <c r="C5709" t="s">
        <v>17</v>
      </c>
      <c r="D5709">
        <v>97420000</v>
      </c>
      <c r="E5709">
        <v>97449999</v>
      </c>
      <c r="F5709" t="s">
        <v>5153</v>
      </c>
      <c r="G5709" t="str">
        <f t="shared" si="178"/>
        <v>RSI II</v>
      </c>
      <c r="H5709" t="s">
        <v>4915</v>
      </c>
      <c r="I5709" t="s">
        <v>20</v>
      </c>
      <c r="J5709" t="s">
        <v>64</v>
      </c>
      <c r="K5709" s="6">
        <v>0.03</v>
      </c>
      <c r="L5709" s="7">
        <f t="shared" si="179"/>
        <v>2E-3</v>
      </c>
      <c r="M5709" s="7">
        <v>3.0000000000000001E-3</v>
      </c>
      <c r="N5709">
        <v>11</v>
      </c>
      <c r="O5709" s="8">
        <v>20.328747193832452</v>
      </c>
      <c r="P5709" s="9">
        <v>20.328747193832452</v>
      </c>
      <c r="Q5709" s="9">
        <v>20.328747193832452</v>
      </c>
      <c r="R5709" s="9">
        <v>20.901467178587069</v>
      </c>
      <c r="S5709" s="9">
        <v>21.789694031871221</v>
      </c>
      <c r="T5709" s="9">
        <v>22.685842380093916</v>
      </c>
      <c r="U5709" s="9">
        <v>25.139615720574728</v>
      </c>
      <c r="V5709" s="9">
        <v>25.139615720574728</v>
      </c>
      <c r="W5709" s="9">
        <v>25.139615720574728</v>
      </c>
      <c r="X5709" s="9">
        <v>28.431126761040446</v>
      </c>
      <c r="Y5709" s="9">
        <v>28.431126761040446</v>
      </c>
      <c r="Z5709" s="9">
        <v>31.8133765751437</v>
      </c>
      <c r="AA5709" s="9">
        <v>31.8133765751437</v>
      </c>
      <c r="AB5709" s="9">
        <v>35.295439040248269</v>
      </c>
      <c r="AC5709" s="9">
        <v>35.295439040248269</v>
      </c>
      <c r="AD5709" s="9">
        <v>40.66038110622798</v>
      </c>
      <c r="AE5709" s="9">
        <v>44.145469767258199</v>
      </c>
      <c r="AF5709" s="9">
        <v>47.802065076832598</v>
      </c>
      <c r="AG5709" s="9">
        <v>47.802065076832598</v>
      </c>
      <c r="AH5709" s="9">
        <v>52.368463891218347</v>
      </c>
      <c r="AI5709" s="9">
        <v>56.090712435126555</v>
      </c>
      <c r="AJ5709" s="9">
        <v>3.0428788910505911</v>
      </c>
    </row>
    <row r="5710" spans="1:36" x14ac:dyDescent="0.25">
      <c r="A5710" t="s">
        <v>5411</v>
      </c>
      <c r="B5710" t="s">
        <v>16</v>
      </c>
      <c r="C5710" t="s">
        <v>17</v>
      </c>
      <c r="D5710">
        <v>97450000</v>
      </c>
      <c r="E5710">
        <v>97499999</v>
      </c>
      <c r="F5710" t="s">
        <v>5154</v>
      </c>
      <c r="G5710" t="str">
        <f t="shared" si="178"/>
        <v>RSI II</v>
      </c>
      <c r="H5710" t="s">
        <v>4915</v>
      </c>
      <c r="I5710" t="s">
        <v>20</v>
      </c>
      <c r="J5710" t="s">
        <v>64</v>
      </c>
      <c r="K5710" s="6">
        <v>0.03</v>
      </c>
      <c r="L5710" s="7">
        <f t="shared" si="179"/>
        <v>2E-3</v>
      </c>
      <c r="M5710" s="7">
        <v>3.0000000000000001E-3</v>
      </c>
      <c r="N5710">
        <v>11</v>
      </c>
      <c r="O5710" s="8">
        <v>20.328747193832452</v>
      </c>
      <c r="P5710" s="9">
        <v>20.328747193832452</v>
      </c>
      <c r="Q5710" s="9">
        <v>20.328747193832452</v>
      </c>
      <c r="R5710" s="9">
        <v>20.901467178587069</v>
      </c>
      <c r="S5710" s="9">
        <v>21.789694031871221</v>
      </c>
      <c r="T5710" s="9">
        <v>22.685842380093916</v>
      </c>
      <c r="U5710" s="9">
        <v>25.139615720574728</v>
      </c>
      <c r="V5710" s="9">
        <v>25.139615720574728</v>
      </c>
      <c r="W5710" s="9">
        <v>25.139615720574728</v>
      </c>
      <c r="X5710" s="9">
        <v>28.431126761040446</v>
      </c>
      <c r="Y5710" s="9">
        <v>28.431126761040446</v>
      </c>
      <c r="Z5710" s="9">
        <v>31.8133765751437</v>
      </c>
      <c r="AA5710" s="9">
        <v>31.8133765751437</v>
      </c>
      <c r="AB5710" s="9">
        <v>35.295439040248269</v>
      </c>
      <c r="AC5710" s="9">
        <v>35.295439040248269</v>
      </c>
      <c r="AD5710" s="9">
        <v>40.66038110622798</v>
      </c>
      <c r="AE5710" s="9">
        <v>44.145469767258199</v>
      </c>
      <c r="AF5710" s="9">
        <v>47.802065076832598</v>
      </c>
      <c r="AG5710" s="9">
        <v>47.802065076832598</v>
      </c>
      <c r="AH5710" s="9">
        <v>52.368463891218347</v>
      </c>
      <c r="AI5710" s="9">
        <v>56.090712435126555</v>
      </c>
      <c r="AJ5710" s="9">
        <v>3.0428788910505911</v>
      </c>
    </row>
    <row r="5711" spans="1:36" x14ac:dyDescent="0.25">
      <c r="A5711" t="s">
        <v>5411</v>
      </c>
      <c r="B5711" t="s">
        <v>16</v>
      </c>
      <c r="C5711" t="s">
        <v>17</v>
      </c>
      <c r="D5711">
        <v>97500000</v>
      </c>
      <c r="E5711">
        <v>97537999</v>
      </c>
      <c r="F5711" t="s">
        <v>5155</v>
      </c>
      <c r="G5711" t="str">
        <f t="shared" si="178"/>
        <v>RSI</v>
      </c>
      <c r="H5711" t="s">
        <v>4915</v>
      </c>
      <c r="I5711" t="s">
        <v>20</v>
      </c>
      <c r="J5711" t="s">
        <v>62</v>
      </c>
      <c r="K5711" s="6">
        <v>0.03</v>
      </c>
      <c r="L5711" s="7">
        <f t="shared" si="179"/>
        <v>2E-3</v>
      </c>
      <c r="M5711" s="7">
        <v>3.0000000000000001E-3</v>
      </c>
      <c r="N5711">
        <v>10</v>
      </c>
      <c r="O5711" s="8">
        <v>17.509302802156309</v>
      </c>
      <c r="P5711" s="9">
        <v>17.509302802156309</v>
      </c>
      <c r="Q5711" s="9">
        <v>17.509302802156309</v>
      </c>
      <c r="R5711" s="9">
        <v>17.960073121579438</v>
      </c>
      <c r="S5711" s="9">
        <v>18.978426201825126</v>
      </c>
      <c r="T5711" s="9">
        <v>19.861619996324769</v>
      </c>
      <c r="U5711" s="9">
        <v>21.605211693624167</v>
      </c>
      <c r="V5711" s="9">
        <v>21.605211693624167</v>
      </c>
      <c r="W5711" s="9">
        <v>21.605211693624167</v>
      </c>
      <c r="X5711" s="9">
        <v>24.342346895578043</v>
      </c>
      <c r="Y5711" s="9">
        <v>24.342346895578043</v>
      </c>
      <c r="Z5711" s="9">
        <v>27.269806221922281</v>
      </c>
      <c r="AA5711" s="9">
        <v>27.269806221922281</v>
      </c>
      <c r="AB5711" s="9">
        <v>30.447232473217717</v>
      </c>
      <c r="AC5711" s="9">
        <v>30.447232473217717</v>
      </c>
      <c r="AD5711" s="9">
        <v>33.773696777878271</v>
      </c>
      <c r="AE5711" s="9">
        <v>37.668102449503657</v>
      </c>
      <c r="AF5711" s="9">
        <v>41.795656089883373</v>
      </c>
      <c r="AG5711" s="9">
        <v>41.795656089883373</v>
      </c>
      <c r="AH5711" s="9">
        <v>45.638668972740511</v>
      </c>
      <c r="AI5711" s="9">
        <v>49.380739592962819</v>
      </c>
      <c r="AJ5711" s="9">
        <v>3.0428788910505911</v>
      </c>
    </row>
    <row r="5712" spans="1:36" x14ac:dyDescent="0.25">
      <c r="A5712" t="s">
        <v>5411</v>
      </c>
      <c r="B5712" t="s">
        <v>16</v>
      </c>
      <c r="C5712" t="s">
        <v>17</v>
      </c>
      <c r="D5712">
        <v>97538000</v>
      </c>
      <c r="E5712">
        <v>97539999</v>
      </c>
      <c r="F5712" t="s">
        <v>5156</v>
      </c>
      <c r="G5712" t="str">
        <f t="shared" si="178"/>
        <v>RSI II</v>
      </c>
      <c r="H5712" t="s">
        <v>4915</v>
      </c>
      <c r="I5712" t="s">
        <v>20</v>
      </c>
      <c r="J5712" t="s">
        <v>64</v>
      </c>
      <c r="K5712" s="6">
        <v>0.03</v>
      </c>
      <c r="L5712" s="7">
        <f t="shared" si="179"/>
        <v>2E-3</v>
      </c>
      <c r="M5712" s="7">
        <v>3.0000000000000001E-3</v>
      </c>
      <c r="N5712">
        <v>11</v>
      </c>
      <c r="O5712" s="8">
        <v>20.328747193832452</v>
      </c>
      <c r="P5712" s="9">
        <v>20.328747193832452</v>
      </c>
      <c r="Q5712" s="9">
        <v>20.328747193832452</v>
      </c>
      <c r="R5712" s="9">
        <v>20.901467178587069</v>
      </c>
      <c r="S5712" s="9">
        <v>21.789694031871221</v>
      </c>
      <c r="T5712" s="9">
        <v>22.685842380093916</v>
      </c>
      <c r="U5712" s="9">
        <v>25.139615720574728</v>
      </c>
      <c r="V5712" s="9">
        <v>25.139615720574728</v>
      </c>
      <c r="W5712" s="9">
        <v>25.139615720574728</v>
      </c>
      <c r="X5712" s="9">
        <v>28.431126761040446</v>
      </c>
      <c r="Y5712" s="9">
        <v>28.431126761040446</v>
      </c>
      <c r="Z5712" s="9">
        <v>31.8133765751437</v>
      </c>
      <c r="AA5712" s="9">
        <v>31.8133765751437</v>
      </c>
      <c r="AB5712" s="9">
        <v>35.295439040248269</v>
      </c>
      <c r="AC5712" s="9">
        <v>35.295439040248269</v>
      </c>
      <c r="AD5712" s="9">
        <v>40.66038110622798</v>
      </c>
      <c r="AE5712" s="9">
        <v>44.145469767258199</v>
      </c>
      <c r="AF5712" s="9">
        <v>47.802065076832598</v>
      </c>
      <c r="AG5712" s="9">
        <v>47.802065076832598</v>
      </c>
      <c r="AH5712" s="9">
        <v>52.368463891218347</v>
      </c>
      <c r="AI5712" s="9">
        <v>56.090712435126555</v>
      </c>
      <c r="AJ5712" s="9">
        <v>3.0428788910505911</v>
      </c>
    </row>
    <row r="5713" spans="1:36" x14ac:dyDescent="0.25">
      <c r="A5713" t="s">
        <v>5411</v>
      </c>
      <c r="B5713" t="s">
        <v>16</v>
      </c>
      <c r="C5713" t="s">
        <v>17</v>
      </c>
      <c r="D5713">
        <v>97540000</v>
      </c>
      <c r="E5713">
        <v>97559999</v>
      </c>
      <c r="F5713" t="s">
        <v>5157</v>
      </c>
      <c r="G5713" t="str">
        <f t="shared" si="178"/>
        <v>RSI</v>
      </c>
      <c r="H5713" t="s">
        <v>4915</v>
      </c>
      <c r="I5713" t="s">
        <v>20</v>
      </c>
      <c r="J5713" t="s">
        <v>62</v>
      </c>
      <c r="K5713" s="6">
        <v>0.03</v>
      </c>
      <c r="L5713" s="7">
        <f t="shared" si="179"/>
        <v>2E-3</v>
      </c>
      <c r="M5713" s="7">
        <v>3.0000000000000001E-3</v>
      </c>
      <c r="N5713">
        <v>9</v>
      </c>
      <c r="O5713" s="8">
        <v>17.509302802156309</v>
      </c>
      <c r="P5713" s="9">
        <v>17.509302802156309</v>
      </c>
      <c r="Q5713" s="9">
        <v>17.509302802156309</v>
      </c>
      <c r="R5713" s="9">
        <v>17.960073121579438</v>
      </c>
      <c r="S5713" s="9">
        <v>18.978426201825126</v>
      </c>
      <c r="T5713" s="9">
        <v>19.861619996324769</v>
      </c>
      <c r="U5713" s="9">
        <v>21.605211693624167</v>
      </c>
      <c r="V5713" s="9">
        <v>21.605211693624167</v>
      </c>
      <c r="W5713" s="9">
        <v>21.605211693624167</v>
      </c>
      <c r="X5713" s="9">
        <v>24.342346895578043</v>
      </c>
      <c r="Y5713" s="9">
        <v>24.342346895578043</v>
      </c>
      <c r="Z5713" s="9">
        <v>27.269806221922281</v>
      </c>
      <c r="AA5713" s="9">
        <v>27.269806221922281</v>
      </c>
      <c r="AB5713" s="9">
        <v>30.447232473217717</v>
      </c>
      <c r="AC5713" s="9">
        <v>30.447232473217717</v>
      </c>
      <c r="AD5713" s="9">
        <v>33.773696777878271</v>
      </c>
      <c r="AE5713" s="9">
        <v>37.668102449503657</v>
      </c>
      <c r="AF5713" s="9">
        <v>41.795656089883373</v>
      </c>
      <c r="AG5713" s="9">
        <v>41.795656089883373</v>
      </c>
      <c r="AH5713" s="9">
        <v>45.638668972740511</v>
      </c>
      <c r="AI5713" s="9">
        <v>49.380739592962819</v>
      </c>
      <c r="AJ5713" s="9">
        <v>3.0428788910505911</v>
      </c>
    </row>
    <row r="5714" spans="1:36" x14ac:dyDescent="0.25">
      <c r="A5714" t="s">
        <v>5411</v>
      </c>
      <c r="B5714" t="s">
        <v>16</v>
      </c>
      <c r="C5714" t="s">
        <v>17</v>
      </c>
      <c r="D5714">
        <v>97560000</v>
      </c>
      <c r="E5714">
        <v>97569999</v>
      </c>
      <c r="F5714" t="s">
        <v>5158</v>
      </c>
      <c r="G5714" t="str">
        <f t="shared" si="178"/>
        <v>RSI II</v>
      </c>
      <c r="H5714" t="s">
        <v>4915</v>
      </c>
      <c r="I5714" t="s">
        <v>20</v>
      </c>
      <c r="J5714" t="s">
        <v>64</v>
      </c>
      <c r="K5714" s="6">
        <v>0.03</v>
      </c>
      <c r="L5714" s="7">
        <f t="shared" si="179"/>
        <v>2E-3</v>
      </c>
      <c r="M5714" s="7">
        <v>3.0000000000000001E-3</v>
      </c>
      <c r="N5714">
        <v>9</v>
      </c>
      <c r="O5714" s="8">
        <v>20.328747193832452</v>
      </c>
      <c r="P5714" s="9">
        <v>20.328747193832452</v>
      </c>
      <c r="Q5714" s="9">
        <v>20.328747193832452</v>
      </c>
      <c r="R5714" s="9">
        <v>20.901467178587069</v>
      </c>
      <c r="S5714" s="9">
        <v>21.789694031871221</v>
      </c>
      <c r="T5714" s="9">
        <v>22.685842380093916</v>
      </c>
      <c r="U5714" s="9">
        <v>25.139615720574728</v>
      </c>
      <c r="V5714" s="9">
        <v>25.139615720574728</v>
      </c>
      <c r="W5714" s="9">
        <v>25.139615720574728</v>
      </c>
      <c r="X5714" s="9">
        <v>28.431126761040446</v>
      </c>
      <c r="Y5714" s="9">
        <v>28.431126761040446</v>
      </c>
      <c r="Z5714" s="9">
        <v>31.8133765751437</v>
      </c>
      <c r="AA5714" s="9">
        <v>31.8133765751437</v>
      </c>
      <c r="AB5714" s="9">
        <v>35.295439040248269</v>
      </c>
      <c r="AC5714" s="9">
        <v>35.295439040248269</v>
      </c>
      <c r="AD5714" s="9">
        <v>40.66038110622798</v>
      </c>
      <c r="AE5714" s="9">
        <v>44.145469767258199</v>
      </c>
      <c r="AF5714" s="9">
        <v>47.802065076832598</v>
      </c>
      <c r="AG5714" s="9">
        <v>47.802065076832598</v>
      </c>
      <c r="AH5714" s="9">
        <v>52.368463891218347</v>
      </c>
      <c r="AI5714" s="9">
        <v>56.090712435126555</v>
      </c>
      <c r="AJ5714" s="9">
        <v>3.0428788910505911</v>
      </c>
    </row>
    <row r="5715" spans="1:36" x14ac:dyDescent="0.25">
      <c r="A5715" t="s">
        <v>5411</v>
      </c>
      <c r="B5715" t="s">
        <v>16</v>
      </c>
      <c r="C5715" t="s">
        <v>17</v>
      </c>
      <c r="D5715">
        <v>97570000</v>
      </c>
      <c r="E5715">
        <v>97589999</v>
      </c>
      <c r="F5715" t="s">
        <v>5159</v>
      </c>
      <c r="G5715" t="str">
        <f t="shared" si="178"/>
        <v>RSI</v>
      </c>
      <c r="H5715" t="s">
        <v>4915</v>
      </c>
      <c r="I5715" t="s">
        <v>20</v>
      </c>
      <c r="J5715" t="s">
        <v>62</v>
      </c>
      <c r="K5715" s="6">
        <v>0.03</v>
      </c>
      <c r="L5715" s="7">
        <f t="shared" si="179"/>
        <v>2E-3</v>
      </c>
      <c r="M5715" s="7">
        <v>3.0000000000000001E-3</v>
      </c>
      <c r="N5715">
        <v>10</v>
      </c>
      <c r="O5715" s="8">
        <v>17.509302802156309</v>
      </c>
      <c r="P5715" s="9">
        <v>17.509302802156309</v>
      </c>
      <c r="Q5715" s="9">
        <v>17.509302802156309</v>
      </c>
      <c r="R5715" s="9">
        <v>17.960073121579438</v>
      </c>
      <c r="S5715" s="9">
        <v>18.978426201825126</v>
      </c>
      <c r="T5715" s="9">
        <v>19.861619996324769</v>
      </c>
      <c r="U5715" s="9">
        <v>21.605211693624167</v>
      </c>
      <c r="V5715" s="9">
        <v>21.605211693624167</v>
      </c>
      <c r="W5715" s="9">
        <v>21.605211693624167</v>
      </c>
      <c r="X5715" s="9">
        <v>24.342346895578043</v>
      </c>
      <c r="Y5715" s="9">
        <v>24.342346895578043</v>
      </c>
      <c r="Z5715" s="9">
        <v>27.269806221922281</v>
      </c>
      <c r="AA5715" s="9">
        <v>27.269806221922281</v>
      </c>
      <c r="AB5715" s="9">
        <v>30.447232473217717</v>
      </c>
      <c r="AC5715" s="9">
        <v>30.447232473217717</v>
      </c>
      <c r="AD5715" s="9">
        <v>33.773696777878271</v>
      </c>
      <c r="AE5715" s="9">
        <v>37.668102449503657</v>
      </c>
      <c r="AF5715" s="9">
        <v>41.795656089883373</v>
      </c>
      <c r="AG5715" s="9">
        <v>41.795656089883373</v>
      </c>
      <c r="AH5715" s="9">
        <v>45.638668972740511</v>
      </c>
      <c r="AI5715" s="9">
        <v>49.380739592962819</v>
      </c>
      <c r="AJ5715" s="9">
        <v>3.0428788910505911</v>
      </c>
    </row>
    <row r="5716" spans="1:36" x14ac:dyDescent="0.25">
      <c r="A5716" t="s">
        <v>5411</v>
      </c>
      <c r="B5716" t="s">
        <v>16</v>
      </c>
      <c r="C5716" t="s">
        <v>17</v>
      </c>
      <c r="D5716">
        <v>97590000</v>
      </c>
      <c r="E5716">
        <v>97609999</v>
      </c>
      <c r="F5716" t="s">
        <v>5160</v>
      </c>
      <c r="G5716" t="str">
        <f t="shared" si="178"/>
        <v>RSI II</v>
      </c>
      <c r="H5716" t="s">
        <v>4915</v>
      </c>
      <c r="I5716" t="s">
        <v>20</v>
      </c>
      <c r="J5716" t="s">
        <v>64</v>
      </c>
      <c r="K5716" s="6">
        <v>0.03</v>
      </c>
      <c r="L5716" s="7">
        <f t="shared" si="179"/>
        <v>2E-3</v>
      </c>
      <c r="M5716" s="7">
        <v>3.0000000000000001E-3</v>
      </c>
      <c r="N5716">
        <v>11</v>
      </c>
      <c r="O5716" s="8">
        <v>20.328747193832452</v>
      </c>
      <c r="P5716" s="9">
        <v>20.328747193832452</v>
      </c>
      <c r="Q5716" s="9">
        <v>20.328747193832452</v>
      </c>
      <c r="R5716" s="9">
        <v>20.901467178587069</v>
      </c>
      <c r="S5716" s="9">
        <v>21.789694031871221</v>
      </c>
      <c r="T5716" s="9">
        <v>22.685842380093916</v>
      </c>
      <c r="U5716" s="9">
        <v>25.139615720574728</v>
      </c>
      <c r="V5716" s="9">
        <v>25.139615720574728</v>
      </c>
      <c r="W5716" s="9">
        <v>25.139615720574728</v>
      </c>
      <c r="X5716" s="9">
        <v>28.431126761040446</v>
      </c>
      <c r="Y5716" s="9">
        <v>28.431126761040446</v>
      </c>
      <c r="Z5716" s="9">
        <v>31.8133765751437</v>
      </c>
      <c r="AA5716" s="9">
        <v>31.8133765751437</v>
      </c>
      <c r="AB5716" s="9">
        <v>35.295439040248269</v>
      </c>
      <c r="AC5716" s="9">
        <v>35.295439040248269</v>
      </c>
      <c r="AD5716" s="9">
        <v>40.66038110622798</v>
      </c>
      <c r="AE5716" s="9">
        <v>44.145469767258199</v>
      </c>
      <c r="AF5716" s="9">
        <v>47.802065076832598</v>
      </c>
      <c r="AG5716" s="9">
        <v>47.802065076832598</v>
      </c>
      <c r="AH5716" s="9">
        <v>52.368463891218347</v>
      </c>
      <c r="AI5716" s="9">
        <v>56.090712435126555</v>
      </c>
      <c r="AJ5716" s="9">
        <v>3.0428788910505911</v>
      </c>
    </row>
    <row r="5717" spans="1:36" x14ac:dyDescent="0.25">
      <c r="A5717" t="s">
        <v>5411</v>
      </c>
      <c r="B5717" t="s">
        <v>16</v>
      </c>
      <c r="C5717" t="s">
        <v>17</v>
      </c>
      <c r="D5717">
        <v>97610000</v>
      </c>
      <c r="E5717">
        <v>97639999</v>
      </c>
      <c r="F5717" t="s">
        <v>5161</v>
      </c>
      <c r="G5717" t="str">
        <f t="shared" si="178"/>
        <v>RSI II</v>
      </c>
      <c r="H5717" t="s">
        <v>4915</v>
      </c>
      <c r="I5717" t="s">
        <v>20</v>
      </c>
      <c r="J5717" t="s">
        <v>64</v>
      </c>
      <c r="K5717" s="6">
        <v>0.03</v>
      </c>
      <c r="L5717" s="7">
        <f t="shared" si="179"/>
        <v>2E-3</v>
      </c>
      <c r="M5717" s="7">
        <v>3.0000000000000001E-3</v>
      </c>
      <c r="N5717">
        <v>11</v>
      </c>
      <c r="O5717" s="8">
        <v>20.328747193832452</v>
      </c>
      <c r="P5717" s="9">
        <v>20.328747193832452</v>
      </c>
      <c r="Q5717" s="9">
        <v>20.328747193832452</v>
      </c>
      <c r="R5717" s="9">
        <v>20.901467178587069</v>
      </c>
      <c r="S5717" s="9">
        <v>21.789694031871221</v>
      </c>
      <c r="T5717" s="9">
        <v>22.685842380093916</v>
      </c>
      <c r="U5717" s="9">
        <v>25.139615720574728</v>
      </c>
      <c r="V5717" s="9">
        <v>25.139615720574728</v>
      </c>
      <c r="W5717" s="9">
        <v>25.139615720574728</v>
      </c>
      <c r="X5717" s="9">
        <v>28.431126761040446</v>
      </c>
      <c r="Y5717" s="9">
        <v>28.431126761040446</v>
      </c>
      <c r="Z5717" s="9">
        <v>31.8133765751437</v>
      </c>
      <c r="AA5717" s="9">
        <v>31.8133765751437</v>
      </c>
      <c r="AB5717" s="9">
        <v>35.295439040248269</v>
      </c>
      <c r="AC5717" s="9">
        <v>35.295439040248269</v>
      </c>
      <c r="AD5717" s="9">
        <v>40.66038110622798</v>
      </c>
      <c r="AE5717" s="9">
        <v>44.145469767258199</v>
      </c>
      <c r="AF5717" s="9">
        <v>47.802065076832598</v>
      </c>
      <c r="AG5717" s="9">
        <v>47.802065076832598</v>
      </c>
      <c r="AH5717" s="9">
        <v>52.368463891218347</v>
      </c>
      <c r="AI5717" s="9">
        <v>56.090712435126555</v>
      </c>
      <c r="AJ5717" s="9">
        <v>3.0428788910505911</v>
      </c>
    </row>
    <row r="5718" spans="1:36" x14ac:dyDescent="0.25">
      <c r="A5718" t="s">
        <v>5411</v>
      </c>
      <c r="B5718" t="s">
        <v>16</v>
      </c>
      <c r="C5718" t="s">
        <v>17</v>
      </c>
      <c r="D5718">
        <v>97640000</v>
      </c>
      <c r="E5718">
        <v>97644999</v>
      </c>
      <c r="F5718" t="s">
        <v>5162</v>
      </c>
      <c r="G5718" t="str">
        <f t="shared" si="178"/>
        <v>RSI II</v>
      </c>
      <c r="H5718" t="s">
        <v>4915</v>
      </c>
      <c r="I5718" t="s">
        <v>20</v>
      </c>
      <c r="J5718" t="s">
        <v>64</v>
      </c>
      <c r="K5718" s="6">
        <v>0.03</v>
      </c>
      <c r="L5718" s="7">
        <f t="shared" si="179"/>
        <v>2E-3</v>
      </c>
      <c r="M5718" s="7">
        <v>3.0000000000000001E-3</v>
      </c>
      <c r="N5718">
        <v>11</v>
      </c>
      <c r="O5718" s="8">
        <v>20.328747193832452</v>
      </c>
      <c r="P5718" s="9">
        <v>20.328747193832452</v>
      </c>
      <c r="Q5718" s="9">
        <v>20.328747193832452</v>
      </c>
      <c r="R5718" s="9">
        <v>20.901467178587069</v>
      </c>
      <c r="S5718" s="9">
        <v>21.789694031871221</v>
      </c>
      <c r="T5718" s="9">
        <v>22.685842380093916</v>
      </c>
      <c r="U5718" s="9">
        <v>25.139615720574728</v>
      </c>
      <c r="V5718" s="9">
        <v>25.139615720574728</v>
      </c>
      <c r="W5718" s="9">
        <v>25.139615720574728</v>
      </c>
      <c r="X5718" s="9">
        <v>28.431126761040446</v>
      </c>
      <c r="Y5718" s="9">
        <v>28.431126761040446</v>
      </c>
      <c r="Z5718" s="9">
        <v>31.8133765751437</v>
      </c>
      <c r="AA5718" s="9">
        <v>31.8133765751437</v>
      </c>
      <c r="AB5718" s="9">
        <v>35.295439040248269</v>
      </c>
      <c r="AC5718" s="9">
        <v>35.295439040248269</v>
      </c>
      <c r="AD5718" s="9">
        <v>40.66038110622798</v>
      </c>
      <c r="AE5718" s="9">
        <v>44.145469767258199</v>
      </c>
      <c r="AF5718" s="9">
        <v>47.802065076832598</v>
      </c>
      <c r="AG5718" s="9">
        <v>47.802065076832598</v>
      </c>
      <c r="AH5718" s="9">
        <v>52.368463891218347</v>
      </c>
      <c r="AI5718" s="9">
        <v>56.090712435126555</v>
      </c>
      <c r="AJ5718" s="9">
        <v>3.0428788910505911</v>
      </c>
    </row>
    <row r="5719" spans="1:36" x14ac:dyDescent="0.25">
      <c r="A5719" t="s">
        <v>5411</v>
      </c>
      <c r="B5719" t="s">
        <v>16</v>
      </c>
      <c r="C5719" t="s">
        <v>17</v>
      </c>
      <c r="D5719">
        <v>97645000</v>
      </c>
      <c r="E5719">
        <v>97649999</v>
      </c>
      <c r="F5719" t="s">
        <v>5163</v>
      </c>
      <c r="G5719" t="str">
        <f t="shared" si="178"/>
        <v>RSI II</v>
      </c>
      <c r="H5719" t="s">
        <v>4915</v>
      </c>
      <c r="I5719" t="s">
        <v>20</v>
      </c>
      <c r="J5719" t="s">
        <v>64</v>
      </c>
      <c r="K5719" s="6">
        <v>0.03</v>
      </c>
      <c r="L5719" s="7">
        <f t="shared" si="179"/>
        <v>2E-3</v>
      </c>
      <c r="M5719" s="7">
        <v>3.0000000000000001E-3</v>
      </c>
      <c r="N5719">
        <v>11</v>
      </c>
      <c r="O5719" s="8">
        <v>20.328747193832452</v>
      </c>
      <c r="P5719" s="9">
        <v>20.328747193832452</v>
      </c>
      <c r="Q5719" s="9">
        <v>20.328747193832452</v>
      </c>
      <c r="R5719" s="9">
        <v>20.901467178587069</v>
      </c>
      <c r="S5719" s="9">
        <v>21.789694031871221</v>
      </c>
      <c r="T5719" s="9">
        <v>22.685842380093916</v>
      </c>
      <c r="U5719" s="9">
        <v>25.139615720574728</v>
      </c>
      <c r="V5719" s="9">
        <v>25.139615720574728</v>
      </c>
      <c r="W5719" s="9">
        <v>25.139615720574728</v>
      </c>
      <c r="X5719" s="9">
        <v>28.431126761040446</v>
      </c>
      <c r="Y5719" s="9">
        <v>28.431126761040446</v>
      </c>
      <c r="Z5719" s="9">
        <v>31.8133765751437</v>
      </c>
      <c r="AA5719" s="9">
        <v>31.8133765751437</v>
      </c>
      <c r="AB5719" s="9">
        <v>35.295439040248269</v>
      </c>
      <c r="AC5719" s="9">
        <v>35.295439040248269</v>
      </c>
      <c r="AD5719" s="9">
        <v>40.66038110622798</v>
      </c>
      <c r="AE5719" s="9">
        <v>44.145469767258199</v>
      </c>
      <c r="AF5719" s="9">
        <v>47.802065076832598</v>
      </c>
      <c r="AG5719" s="9">
        <v>47.802065076832598</v>
      </c>
      <c r="AH5719" s="9">
        <v>52.368463891218347</v>
      </c>
      <c r="AI5719" s="9">
        <v>56.090712435126555</v>
      </c>
      <c r="AJ5719" s="9">
        <v>3.0428788910505911</v>
      </c>
    </row>
    <row r="5720" spans="1:36" x14ac:dyDescent="0.25">
      <c r="A5720" t="s">
        <v>5411</v>
      </c>
      <c r="B5720" t="s">
        <v>16</v>
      </c>
      <c r="C5720" t="s">
        <v>17</v>
      </c>
      <c r="D5720">
        <v>97650000</v>
      </c>
      <c r="E5720">
        <v>97669999</v>
      </c>
      <c r="F5720" t="s">
        <v>5164</v>
      </c>
      <c r="G5720" t="str">
        <f t="shared" si="178"/>
        <v>RSI II</v>
      </c>
      <c r="H5720" t="s">
        <v>4915</v>
      </c>
      <c r="I5720" t="s">
        <v>20</v>
      </c>
      <c r="J5720" t="s">
        <v>64</v>
      </c>
      <c r="K5720" s="6">
        <v>0.03</v>
      </c>
      <c r="L5720" s="7">
        <f t="shared" si="179"/>
        <v>2E-3</v>
      </c>
      <c r="M5720" s="7">
        <v>3.0000000000000001E-3</v>
      </c>
      <c r="N5720">
        <v>11</v>
      </c>
      <c r="O5720" s="8">
        <v>20.328747193832452</v>
      </c>
      <c r="P5720" s="9">
        <v>20.328747193832452</v>
      </c>
      <c r="Q5720" s="9">
        <v>20.328747193832452</v>
      </c>
      <c r="R5720" s="9">
        <v>20.901467178587069</v>
      </c>
      <c r="S5720" s="9">
        <v>21.789694031871221</v>
      </c>
      <c r="T5720" s="9">
        <v>22.685842380093916</v>
      </c>
      <c r="U5720" s="9">
        <v>25.139615720574728</v>
      </c>
      <c r="V5720" s="9">
        <v>25.139615720574728</v>
      </c>
      <c r="W5720" s="9">
        <v>25.139615720574728</v>
      </c>
      <c r="X5720" s="9">
        <v>28.431126761040446</v>
      </c>
      <c r="Y5720" s="9">
        <v>28.431126761040446</v>
      </c>
      <c r="Z5720" s="9">
        <v>31.8133765751437</v>
      </c>
      <c r="AA5720" s="9">
        <v>31.8133765751437</v>
      </c>
      <c r="AB5720" s="9">
        <v>35.295439040248269</v>
      </c>
      <c r="AC5720" s="9">
        <v>35.295439040248269</v>
      </c>
      <c r="AD5720" s="9">
        <v>40.66038110622798</v>
      </c>
      <c r="AE5720" s="9">
        <v>44.145469767258199</v>
      </c>
      <c r="AF5720" s="9">
        <v>47.802065076832598</v>
      </c>
      <c r="AG5720" s="9">
        <v>47.802065076832598</v>
      </c>
      <c r="AH5720" s="9">
        <v>52.368463891218347</v>
      </c>
      <c r="AI5720" s="9">
        <v>56.090712435126555</v>
      </c>
      <c r="AJ5720" s="9">
        <v>3.0428788910505911</v>
      </c>
    </row>
    <row r="5721" spans="1:36" x14ac:dyDescent="0.25">
      <c r="A5721" t="s">
        <v>5411</v>
      </c>
      <c r="B5721" t="s">
        <v>16</v>
      </c>
      <c r="C5721" t="s">
        <v>17</v>
      </c>
      <c r="D5721">
        <v>97670000</v>
      </c>
      <c r="E5721">
        <v>97684999</v>
      </c>
      <c r="F5721" t="s">
        <v>5165</v>
      </c>
      <c r="G5721" t="str">
        <f t="shared" si="178"/>
        <v>RSI</v>
      </c>
      <c r="H5721" t="s">
        <v>4915</v>
      </c>
      <c r="I5721" t="s">
        <v>20</v>
      </c>
      <c r="J5721" t="s">
        <v>62</v>
      </c>
      <c r="K5721" s="6">
        <v>0.03</v>
      </c>
      <c r="L5721" s="7">
        <f t="shared" si="179"/>
        <v>2E-3</v>
      </c>
      <c r="M5721" s="7">
        <v>3.0000000000000001E-3</v>
      </c>
      <c r="N5721">
        <v>10</v>
      </c>
      <c r="O5721" s="8">
        <v>17.509302802156309</v>
      </c>
      <c r="P5721" s="9">
        <v>17.509302802156309</v>
      </c>
      <c r="Q5721" s="9">
        <v>17.509302802156309</v>
      </c>
      <c r="R5721" s="9">
        <v>17.960073121579438</v>
      </c>
      <c r="S5721" s="9">
        <v>18.978426201825126</v>
      </c>
      <c r="T5721" s="9">
        <v>19.861619996324769</v>
      </c>
      <c r="U5721" s="9">
        <v>21.605211693624167</v>
      </c>
      <c r="V5721" s="9">
        <v>21.605211693624167</v>
      </c>
      <c r="W5721" s="9">
        <v>21.605211693624167</v>
      </c>
      <c r="X5721" s="9">
        <v>24.342346895578043</v>
      </c>
      <c r="Y5721" s="9">
        <v>24.342346895578043</v>
      </c>
      <c r="Z5721" s="9">
        <v>27.269806221922281</v>
      </c>
      <c r="AA5721" s="9">
        <v>27.269806221922281</v>
      </c>
      <c r="AB5721" s="9">
        <v>30.447232473217717</v>
      </c>
      <c r="AC5721" s="9">
        <v>30.447232473217717</v>
      </c>
      <c r="AD5721" s="9">
        <v>33.773696777878271</v>
      </c>
      <c r="AE5721" s="9">
        <v>37.668102449503657</v>
      </c>
      <c r="AF5721" s="9">
        <v>41.795656089883373</v>
      </c>
      <c r="AG5721" s="9">
        <v>41.795656089883373</v>
      </c>
      <c r="AH5721" s="9">
        <v>45.638668972740511</v>
      </c>
      <c r="AI5721" s="9">
        <v>49.380739592962819</v>
      </c>
      <c r="AJ5721" s="9">
        <v>3.0428788910505911</v>
      </c>
    </row>
    <row r="5722" spans="1:36" x14ac:dyDescent="0.25">
      <c r="A5722" t="s">
        <v>5411</v>
      </c>
      <c r="B5722" t="s">
        <v>16</v>
      </c>
      <c r="C5722" t="s">
        <v>17</v>
      </c>
      <c r="D5722">
        <v>97685000</v>
      </c>
      <c r="E5722">
        <v>97689999</v>
      </c>
      <c r="F5722" t="s">
        <v>5166</v>
      </c>
      <c r="G5722" t="str">
        <f t="shared" si="178"/>
        <v>RSI II</v>
      </c>
      <c r="H5722" t="s">
        <v>4915</v>
      </c>
      <c r="I5722" t="s">
        <v>20</v>
      </c>
      <c r="J5722" t="s">
        <v>64</v>
      </c>
      <c r="K5722" s="6">
        <v>0.03</v>
      </c>
      <c r="L5722" s="7">
        <f t="shared" si="179"/>
        <v>2E-3</v>
      </c>
      <c r="M5722" s="7">
        <v>3.0000000000000001E-3</v>
      </c>
      <c r="N5722">
        <v>11</v>
      </c>
      <c r="O5722" s="8">
        <v>20.328747193832452</v>
      </c>
      <c r="P5722" s="9">
        <v>20.328747193832452</v>
      </c>
      <c r="Q5722" s="9">
        <v>20.328747193832452</v>
      </c>
      <c r="R5722" s="9">
        <v>20.901467178587069</v>
      </c>
      <c r="S5722" s="9">
        <v>21.789694031871221</v>
      </c>
      <c r="T5722" s="9">
        <v>22.685842380093916</v>
      </c>
      <c r="U5722" s="9">
        <v>25.139615720574728</v>
      </c>
      <c r="V5722" s="9">
        <v>25.139615720574728</v>
      </c>
      <c r="W5722" s="9">
        <v>25.139615720574728</v>
      </c>
      <c r="X5722" s="9">
        <v>28.431126761040446</v>
      </c>
      <c r="Y5722" s="9">
        <v>28.431126761040446</v>
      </c>
      <c r="Z5722" s="9">
        <v>31.8133765751437</v>
      </c>
      <c r="AA5722" s="9">
        <v>31.8133765751437</v>
      </c>
      <c r="AB5722" s="9">
        <v>35.295439040248269</v>
      </c>
      <c r="AC5722" s="9">
        <v>35.295439040248269</v>
      </c>
      <c r="AD5722" s="9">
        <v>40.66038110622798</v>
      </c>
      <c r="AE5722" s="9">
        <v>44.145469767258199</v>
      </c>
      <c r="AF5722" s="9">
        <v>47.802065076832598</v>
      </c>
      <c r="AG5722" s="9">
        <v>47.802065076832598</v>
      </c>
      <c r="AH5722" s="9">
        <v>52.368463891218347</v>
      </c>
      <c r="AI5722" s="9">
        <v>56.090712435126555</v>
      </c>
      <c r="AJ5722" s="9">
        <v>3.0428788910505911</v>
      </c>
    </row>
    <row r="5723" spans="1:36" x14ac:dyDescent="0.25">
      <c r="A5723" t="s">
        <v>5411</v>
      </c>
      <c r="B5723" t="s">
        <v>16</v>
      </c>
      <c r="C5723" t="s">
        <v>17</v>
      </c>
      <c r="D5723">
        <v>97690000</v>
      </c>
      <c r="E5723">
        <v>97699999</v>
      </c>
      <c r="F5723" t="s">
        <v>5167</v>
      </c>
      <c r="G5723" t="str">
        <f t="shared" si="178"/>
        <v>RSI II</v>
      </c>
      <c r="H5723" t="s">
        <v>4915</v>
      </c>
      <c r="I5723" t="s">
        <v>20</v>
      </c>
      <c r="J5723" t="s">
        <v>64</v>
      </c>
      <c r="K5723" s="6">
        <v>0.03</v>
      </c>
      <c r="L5723" s="7">
        <f t="shared" si="179"/>
        <v>2E-3</v>
      </c>
      <c r="M5723" s="7">
        <v>3.0000000000000001E-3</v>
      </c>
      <c r="N5723">
        <v>11</v>
      </c>
      <c r="O5723" s="8">
        <v>20.328747193832452</v>
      </c>
      <c r="P5723" s="9">
        <v>20.328747193832452</v>
      </c>
      <c r="Q5723" s="9">
        <v>20.328747193832452</v>
      </c>
      <c r="R5723" s="9">
        <v>20.901467178587069</v>
      </c>
      <c r="S5723" s="9">
        <v>21.789694031871221</v>
      </c>
      <c r="T5723" s="9">
        <v>22.685842380093916</v>
      </c>
      <c r="U5723" s="9">
        <v>25.139615720574728</v>
      </c>
      <c r="V5723" s="9">
        <v>25.139615720574728</v>
      </c>
      <c r="W5723" s="9">
        <v>25.139615720574728</v>
      </c>
      <c r="X5723" s="9">
        <v>28.431126761040446</v>
      </c>
      <c r="Y5723" s="9">
        <v>28.431126761040446</v>
      </c>
      <c r="Z5723" s="9">
        <v>31.8133765751437</v>
      </c>
      <c r="AA5723" s="9">
        <v>31.8133765751437</v>
      </c>
      <c r="AB5723" s="9">
        <v>35.295439040248269</v>
      </c>
      <c r="AC5723" s="9">
        <v>35.295439040248269</v>
      </c>
      <c r="AD5723" s="9">
        <v>40.66038110622798</v>
      </c>
      <c r="AE5723" s="9">
        <v>44.145469767258199</v>
      </c>
      <c r="AF5723" s="9">
        <v>47.802065076832598</v>
      </c>
      <c r="AG5723" s="9">
        <v>47.802065076832598</v>
      </c>
      <c r="AH5723" s="9">
        <v>52.368463891218347</v>
      </c>
      <c r="AI5723" s="9">
        <v>56.090712435126555</v>
      </c>
      <c r="AJ5723" s="9">
        <v>3.0428788910505911</v>
      </c>
    </row>
    <row r="5724" spans="1:36" x14ac:dyDescent="0.25">
      <c r="A5724" t="s">
        <v>5411</v>
      </c>
      <c r="B5724" t="s">
        <v>16</v>
      </c>
      <c r="C5724" t="s">
        <v>17</v>
      </c>
      <c r="D5724">
        <v>97700000</v>
      </c>
      <c r="E5724">
        <v>97752999</v>
      </c>
      <c r="F5724" t="s">
        <v>5168</v>
      </c>
      <c r="G5724" t="str">
        <f t="shared" si="178"/>
        <v>RSI</v>
      </c>
      <c r="H5724" t="s">
        <v>4915</v>
      </c>
      <c r="I5724" t="s">
        <v>20</v>
      </c>
      <c r="J5724" t="s">
        <v>62</v>
      </c>
      <c r="K5724" s="6">
        <v>0.03</v>
      </c>
      <c r="L5724" s="7">
        <f t="shared" si="179"/>
        <v>2E-3</v>
      </c>
      <c r="M5724" s="7">
        <v>3.0000000000000001E-3</v>
      </c>
      <c r="N5724">
        <v>9</v>
      </c>
      <c r="O5724" s="8">
        <v>17.509302802156309</v>
      </c>
      <c r="P5724" s="9">
        <v>17.509302802156309</v>
      </c>
      <c r="Q5724" s="9">
        <v>17.509302802156309</v>
      </c>
      <c r="R5724" s="9">
        <v>17.960073121579438</v>
      </c>
      <c r="S5724" s="9">
        <v>18.978426201825126</v>
      </c>
      <c r="T5724" s="9">
        <v>19.861619996324769</v>
      </c>
      <c r="U5724" s="9">
        <v>21.605211693624167</v>
      </c>
      <c r="V5724" s="9">
        <v>21.605211693624167</v>
      </c>
      <c r="W5724" s="9">
        <v>21.605211693624167</v>
      </c>
      <c r="X5724" s="9">
        <v>24.342346895578043</v>
      </c>
      <c r="Y5724" s="9">
        <v>24.342346895578043</v>
      </c>
      <c r="Z5724" s="9">
        <v>27.269806221922281</v>
      </c>
      <c r="AA5724" s="9">
        <v>27.269806221922281</v>
      </c>
      <c r="AB5724" s="9">
        <v>30.447232473217717</v>
      </c>
      <c r="AC5724" s="9">
        <v>30.447232473217717</v>
      </c>
      <c r="AD5724" s="9">
        <v>33.773696777878271</v>
      </c>
      <c r="AE5724" s="9">
        <v>37.668102449503657</v>
      </c>
      <c r="AF5724" s="9">
        <v>41.795656089883373</v>
      </c>
      <c r="AG5724" s="9">
        <v>41.795656089883373</v>
      </c>
      <c r="AH5724" s="9">
        <v>45.638668972740511</v>
      </c>
      <c r="AI5724" s="9">
        <v>49.380739592962819</v>
      </c>
      <c r="AJ5724" s="9">
        <v>3.0428788910505911</v>
      </c>
    </row>
    <row r="5725" spans="1:36" x14ac:dyDescent="0.25">
      <c r="A5725" t="s">
        <v>5411</v>
      </c>
      <c r="B5725" t="s">
        <v>16</v>
      </c>
      <c r="C5725" t="s">
        <v>17</v>
      </c>
      <c r="D5725">
        <v>97753000</v>
      </c>
      <c r="E5725">
        <v>97754999</v>
      </c>
      <c r="F5725" t="s">
        <v>5169</v>
      </c>
      <c r="G5725" t="str">
        <f t="shared" si="178"/>
        <v>RSI II</v>
      </c>
      <c r="H5725" t="s">
        <v>4915</v>
      </c>
      <c r="I5725" t="s">
        <v>20</v>
      </c>
      <c r="J5725" t="s">
        <v>64</v>
      </c>
      <c r="K5725" s="6">
        <v>0.03</v>
      </c>
      <c r="L5725" s="7">
        <f t="shared" si="179"/>
        <v>2E-3</v>
      </c>
      <c r="M5725" s="7">
        <v>3.0000000000000001E-3</v>
      </c>
      <c r="N5725">
        <v>11</v>
      </c>
      <c r="O5725" s="8">
        <v>20.328747193832452</v>
      </c>
      <c r="P5725" s="9">
        <v>20.328747193832452</v>
      </c>
      <c r="Q5725" s="9">
        <v>20.328747193832452</v>
      </c>
      <c r="R5725" s="9">
        <v>20.901467178587069</v>
      </c>
      <c r="S5725" s="9">
        <v>21.789694031871221</v>
      </c>
      <c r="T5725" s="9">
        <v>22.685842380093916</v>
      </c>
      <c r="U5725" s="9">
        <v>25.139615720574728</v>
      </c>
      <c r="V5725" s="9">
        <v>25.139615720574728</v>
      </c>
      <c r="W5725" s="9">
        <v>25.139615720574728</v>
      </c>
      <c r="X5725" s="9">
        <v>28.431126761040446</v>
      </c>
      <c r="Y5725" s="9">
        <v>28.431126761040446</v>
      </c>
      <c r="Z5725" s="9">
        <v>31.8133765751437</v>
      </c>
      <c r="AA5725" s="9">
        <v>31.8133765751437</v>
      </c>
      <c r="AB5725" s="9">
        <v>35.295439040248269</v>
      </c>
      <c r="AC5725" s="9">
        <v>35.295439040248269</v>
      </c>
      <c r="AD5725" s="9">
        <v>40.66038110622798</v>
      </c>
      <c r="AE5725" s="9">
        <v>44.145469767258199</v>
      </c>
      <c r="AF5725" s="9">
        <v>47.802065076832598</v>
      </c>
      <c r="AG5725" s="9">
        <v>47.802065076832598</v>
      </c>
      <c r="AH5725" s="9">
        <v>52.368463891218347</v>
      </c>
      <c r="AI5725" s="9">
        <v>56.090712435126555</v>
      </c>
      <c r="AJ5725" s="9">
        <v>3.0428788910505911</v>
      </c>
    </row>
    <row r="5726" spans="1:36" x14ac:dyDescent="0.25">
      <c r="A5726" t="s">
        <v>5411</v>
      </c>
      <c r="B5726" t="s">
        <v>16</v>
      </c>
      <c r="C5726" t="s">
        <v>17</v>
      </c>
      <c r="D5726">
        <v>97755000</v>
      </c>
      <c r="E5726">
        <v>97759999</v>
      </c>
      <c r="F5726" t="s">
        <v>5170</v>
      </c>
      <c r="G5726" t="str">
        <f t="shared" si="178"/>
        <v>RSI II</v>
      </c>
      <c r="H5726" t="s">
        <v>4915</v>
      </c>
      <c r="I5726" t="s">
        <v>20</v>
      </c>
      <c r="J5726" t="s">
        <v>64</v>
      </c>
      <c r="K5726" s="6">
        <v>0.03</v>
      </c>
      <c r="L5726" s="7">
        <f t="shared" si="179"/>
        <v>2E-3</v>
      </c>
      <c r="M5726" s="7">
        <v>3.0000000000000001E-3</v>
      </c>
      <c r="N5726">
        <v>11</v>
      </c>
      <c r="O5726" s="8">
        <v>20.328747193832452</v>
      </c>
      <c r="P5726" s="9">
        <v>20.328747193832452</v>
      </c>
      <c r="Q5726" s="9">
        <v>20.328747193832452</v>
      </c>
      <c r="R5726" s="9">
        <v>20.901467178587069</v>
      </c>
      <c r="S5726" s="9">
        <v>21.789694031871221</v>
      </c>
      <c r="T5726" s="9">
        <v>22.685842380093916</v>
      </c>
      <c r="U5726" s="9">
        <v>25.139615720574728</v>
      </c>
      <c r="V5726" s="9">
        <v>25.139615720574728</v>
      </c>
      <c r="W5726" s="9">
        <v>25.139615720574728</v>
      </c>
      <c r="X5726" s="9">
        <v>28.431126761040446</v>
      </c>
      <c r="Y5726" s="9">
        <v>28.431126761040446</v>
      </c>
      <c r="Z5726" s="9">
        <v>31.8133765751437</v>
      </c>
      <c r="AA5726" s="9">
        <v>31.8133765751437</v>
      </c>
      <c r="AB5726" s="9">
        <v>35.295439040248269</v>
      </c>
      <c r="AC5726" s="9">
        <v>35.295439040248269</v>
      </c>
      <c r="AD5726" s="9">
        <v>40.66038110622798</v>
      </c>
      <c r="AE5726" s="9">
        <v>44.145469767258199</v>
      </c>
      <c r="AF5726" s="9">
        <v>47.802065076832598</v>
      </c>
      <c r="AG5726" s="9">
        <v>47.802065076832598</v>
      </c>
      <c r="AH5726" s="9">
        <v>52.368463891218347</v>
      </c>
      <c r="AI5726" s="9">
        <v>56.090712435126555</v>
      </c>
      <c r="AJ5726" s="9">
        <v>3.0428788910505911</v>
      </c>
    </row>
    <row r="5727" spans="1:36" x14ac:dyDescent="0.25">
      <c r="A5727" t="s">
        <v>5411</v>
      </c>
      <c r="B5727" t="s">
        <v>16</v>
      </c>
      <c r="C5727" t="s">
        <v>17</v>
      </c>
      <c r="D5727">
        <v>97760000</v>
      </c>
      <c r="E5727">
        <v>97769999</v>
      </c>
      <c r="F5727" t="s">
        <v>5171</v>
      </c>
      <c r="G5727" t="str">
        <f t="shared" si="178"/>
        <v>RSI II</v>
      </c>
      <c r="H5727" t="s">
        <v>4915</v>
      </c>
      <c r="I5727" t="s">
        <v>20</v>
      </c>
      <c r="J5727" t="s">
        <v>64</v>
      </c>
      <c r="K5727" s="6">
        <v>0.03</v>
      </c>
      <c r="L5727" s="7">
        <f t="shared" si="179"/>
        <v>2E-3</v>
      </c>
      <c r="M5727" s="7">
        <v>3.0000000000000001E-3</v>
      </c>
      <c r="N5727">
        <v>11</v>
      </c>
      <c r="O5727" s="8">
        <v>20.328747193832452</v>
      </c>
      <c r="P5727" s="9">
        <v>20.328747193832452</v>
      </c>
      <c r="Q5727" s="9">
        <v>20.328747193832452</v>
      </c>
      <c r="R5727" s="9">
        <v>20.901467178587069</v>
      </c>
      <c r="S5727" s="9">
        <v>21.789694031871221</v>
      </c>
      <c r="T5727" s="9">
        <v>22.685842380093916</v>
      </c>
      <c r="U5727" s="9">
        <v>25.139615720574728</v>
      </c>
      <c r="V5727" s="9">
        <v>25.139615720574728</v>
      </c>
      <c r="W5727" s="9">
        <v>25.139615720574728</v>
      </c>
      <c r="X5727" s="9">
        <v>28.431126761040446</v>
      </c>
      <c r="Y5727" s="9">
        <v>28.431126761040446</v>
      </c>
      <c r="Z5727" s="9">
        <v>31.8133765751437</v>
      </c>
      <c r="AA5727" s="9">
        <v>31.8133765751437</v>
      </c>
      <c r="AB5727" s="9">
        <v>35.295439040248269</v>
      </c>
      <c r="AC5727" s="9">
        <v>35.295439040248269</v>
      </c>
      <c r="AD5727" s="9">
        <v>40.66038110622798</v>
      </c>
      <c r="AE5727" s="9">
        <v>44.145469767258199</v>
      </c>
      <c r="AF5727" s="9">
        <v>47.802065076832598</v>
      </c>
      <c r="AG5727" s="9">
        <v>47.802065076832598</v>
      </c>
      <c r="AH5727" s="9">
        <v>52.368463891218347</v>
      </c>
      <c r="AI5727" s="9">
        <v>56.090712435126555</v>
      </c>
      <c r="AJ5727" s="9">
        <v>3.0428788910505911</v>
      </c>
    </row>
    <row r="5728" spans="1:36" x14ac:dyDescent="0.25">
      <c r="A5728" t="s">
        <v>5411</v>
      </c>
      <c r="B5728" t="s">
        <v>16</v>
      </c>
      <c r="C5728" t="s">
        <v>17</v>
      </c>
      <c r="D5728">
        <v>97770000</v>
      </c>
      <c r="E5728">
        <v>97799999</v>
      </c>
      <c r="F5728" t="s">
        <v>5172</v>
      </c>
      <c r="G5728" t="str">
        <f t="shared" si="178"/>
        <v>RSI II</v>
      </c>
      <c r="H5728" t="s">
        <v>4915</v>
      </c>
      <c r="I5728" t="s">
        <v>20</v>
      </c>
      <c r="J5728" t="s">
        <v>64</v>
      </c>
      <c r="K5728" s="6">
        <v>0.03</v>
      </c>
      <c r="L5728" s="7">
        <f t="shared" si="179"/>
        <v>2E-3</v>
      </c>
      <c r="M5728" s="7">
        <v>3.0000000000000001E-3</v>
      </c>
      <c r="N5728">
        <v>11</v>
      </c>
      <c r="O5728" s="8">
        <v>20.328747193832452</v>
      </c>
      <c r="P5728" s="9">
        <v>20.328747193832452</v>
      </c>
      <c r="Q5728" s="9">
        <v>20.328747193832452</v>
      </c>
      <c r="R5728" s="9">
        <v>20.901467178587069</v>
      </c>
      <c r="S5728" s="9">
        <v>21.789694031871221</v>
      </c>
      <c r="T5728" s="9">
        <v>22.685842380093916</v>
      </c>
      <c r="U5728" s="9">
        <v>25.139615720574728</v>
      </c>
      <c r="V5728" s="9">
        <v>25.139615720574728</v>
      </c>
      <c r="W5728" s="9">
        <v>25.139615720574728</v>
      </c>
      <c r="X5728" s="9">
        <v>28.431126761040446</v>
      </c>
      <c r="Y5728" s="9">
        <v>28.431126761040446</v>
      </c>
      <c r="Z5728" s="9">
        <v>31.8133765751437</v>
      </c>
      <c r="AA5728" s="9">
        <v>31.8133765751437</v>
      </c>
      <c r="AB5728" s="9">
        <v>35.295439040248269</v>
      </c>
      <c r="AC5728" s="9">
        <v>35.295439040248269</v>
      </c>
      <c r="AD5728" s="9">
        <v>40.66038110622798</v>
      </c>
      <c r="AE5728" s="9">
        <v>44.145469767258199</v>
      </c>
      <c r="AF5728" s="9">
        <v>47.802065076832598</v>
      </c>
      <c r="AG5728" s="9">
        <v>47.802065076832598</v>
      </c>
      <c r="AH5728" s="9">
        <v>52.368463891218347</v>
      </c>
      <c r="AI5728" s="9">
        <v>56.090712435126555</v>
      </c>
      <c r="AJ5728" s="9">
        <v>3.0428788910505911</v>
      </c>
    </row>
    <row r="5729" spans="1:36" x14ac:dyDescent="0.25">
      <c r="A5729" t="s">
        <v>5411</v>
      </c>
      <c r="B5729" t="s">
        <v>16</v>
      </c>
      <c r="C5729" t="s">
        <v>17</v>
      </c>
      <c r="D5729">
        <v>97800000</v>
      </c>
      <c r="E5729">
        <v>97842999</v>
      </c>
      <c r="F5729" t="s">
        <v>5173</v>
      </c>
      <c r="G5729" t="str">
        <f t="shared" si="178"/>
        <v>RSI II</v>
      </c>
      <c r="H5729" t="s">
        <v>4915</v>
      </c>
      <c r="I5729" t="s">
        <v>20</v>
      </c>
      <c r="J5729" t="s">
        <v>64</v>
      </c>
      <c r="K5729" s="6">
        <v>0.03</v>
      </c>
      <c r="L5729" s="7">
        <f t="shared" si="179"/>
        <v>2E-3</v>
      </c>
      <c r="M5729" s="7">
        <v>3.0000000000000001E-3</v>
      </c>
      <c r="N5729">
        <v>11</v>
      </c>
      <c r="O5729" s="8">
        <v>20.328747193832452</v>
      </c>
      <c r="P5729" s="9">
        <v>20.328747193832452</v>
      </c>
      <c r="Q5729" s="9">
        <v>20.328747193832452</v>
      </c>
      <c r="R5729" s="9">
        <v>20.901467178587069</v>
      </c>
      <c r="S5729" s="9">
        <v>21.789694031871221</v>
      </c>
      <c r="T5729" s="9">
        <v>22.685842380093916</v>
      </c>
      <c r="U5729" s="9">
        <v>25.139615720574728</v>
      </c>
      <c r="V5729" s="9">
        <v>25.139615720574728</v>
      </c>
      <c r="W5729" s="9">
        <v>25.139615720574728</v>
      </c>
      <c r="X5729" s="9">
        <v>28.431126761040446</v>
      </c>
      <c r="Y5729" s="9">
        <v>28.431126761040446</v>
      </c>
      <c r="Z5729" s="9">
        <v>31.8133765751437</v>
      </c>
      <c r="AA5729" s="9">
        <v>31.8133765751437</v>
      </c>
      <c r="AB5729" s="9">
        <v>35.295439040248269</v>
      </c>
      <c r="AC5729" s="9">
        <v>35.295439040248269</v>
      </c>
      <c r="AD5729" s="9">
        <v>40.66038110622798</v>
      </c>
      <c r="AE5729" s="9">
        <v>44.145469767258199</v>
      </c>
      <c r="AF5729" s="9">
        <v>47.802065076832598</v>
      </c>
      <c r="AG5729" s="9">
        <v>47.802065076832598</v>
      </c>
      <c r="AH5729" s="9">
        <v>52.368463891218347</v>
      </c>
      <c r="AI5729" s="9">
        <v>56.090712435126555</v>
      </c>
      <c r="AJ5729" s="9">
        <v>3.0428788910505911</v>
      </c>
    </row>
    <row r="5730" spans="1:36" x14ac:dyDescent="0.25">
      <c r="A5730" t="s">
        <v>5411</v>
      </c>
      <c r="B5730" t="s">
        <v>16</v>
      </c>
      <c r="C5730" t="s">
        <v>17</v>
      </c>
      <c r="D5730">
        <v>97843000</v>
      </c>
      <c r="E5730">
        <v>97844999</v>
      </c>
      <c r="F5730" t="s">
        <v>5174</v>
      </c>
      <c r="G5730" t="str">
        <f t="shared" si="178"/>
        <v>RSI II</v>
      </c>
      <c r="H5730" t="s">
        <v>4915</v>
      </c>
      <c r="I5730" t="s">
        <v>20</v>
      </c>
      <c r="J5730" t="s">
        <v>64</v>
      </c>
      <c r="K5730" s="6">
        <v>0.03</v>
      </c>
      <c r="L5730" s="7">
        <f t="shared" si="179"/>
        <v>2E-3</v>
      </c>
      <c r="M5730" s="7">
        <v>3.0000000000000001E-3</v>
      </c>
      <c r="N5730">
        <v>11</v>
      </c>
      <c r="O5730" s="8">
        <v>20.328747193832452</v>
      </c>
      <c r="P5730" s="9">
        <v>20.328747193832452</v>
      </c>
      <c r="Q5730" s="9">
        <v>20.328747193832452</v>
      </c>
      <c r="R5730" s="9">
        <v>20.901467178587069</v>
      </c>
      <c r="S5730" s="9">
        <v>21.789694031871221</v>
      </c>
      <c r="T5730" s="9">
        <v>22.685842380093916</v>
      </c>
      <c r="U5730" s="9">
        <v>25.139615720574728</v>
      </c>
      <c r="V5730" s="9">
        <v>25.139615720574728</v>
      </c>
      <c r="W5730" s="9">
        <v>25.139615720574728</v>
      </c>
      <c r="X5730" s="9">
        <v>28.431126761040446</v>
      </c>
      <c r="Y5730" s="9">
        <v>28.431126761040446</v>
      </c>
      <c r="Z5730" s="9">
        <v>31.8133765751437</v>
      </c>
      <c r="AA5730" s="9">
        <v>31.8133765751437</v>
      </c>
      <c r="AB5730" s="9">
        <v>35.295439040248269</v>
      </c>
      <c r="AC5730" s="9">
        <v>35.295439040248269</v>
      </c>
      <c r="AD5730" s="9">
        <v>40.66038110622798</v>
      </c>
      <c r="AE5730" s="9">
        <v>44.145469767258199</v>
      </c>
      <c r="AF5730" s="9">
        <v>47.802065076832598</v>
      </c>
      <c r="AG5730" s="9">
        <v>47.802065076832598</v>
      </c>
      <c r="AH5730" s="9">
        <v>52.368463891218347</v>
      </c>
      <c r="AI5730" s="9">
        <v>56.090712435126555</v>
      </c>
      <c r="AJ5730" s="9">
        <v>3.0428788910505911</v>
      </c>
    </row>
    <row r="5731" spans="1:36" x14ac:dyDescent="0.25">
      <c r="A5731" t="s">
        <v>5411</v>
      </c>
      <c r="B5731" t="s">
        <v>16</v>
      </c>
      <c r="C5731" t="s">
        <v>17</v>
      </c>
      <c r="D5731">
        <v>97845000</v>
      </c>
      <c r="E5731">
        <v>97849999</v>
      </c>
      <c r="F5731" t="s">
        <v>5175</v>
      </c>
      <c r="G5731" t="str">
        <f t="shared" si="178"/>
        <v>RSI II</v>
      </c>
      <c r="H5731" t="s">
        <v>4915</v>
      </c>
      <c r="I5731" t="s">
        <v>20</v>
      </c>
      <c r="J5731" t="s">
        <v>64</v>
      </c>
      <c r="K5731" s="6">
        <v>0.03</v>
      </c>
      <c r="L5731" s="7">
        <f t="shared" si="179"/>
        <v>2E-3</v>
      </c>
      <c r="M5731" s="7">
        <v>3.0000000000000001E-3</v>
      </c>
      <c r="N5731">
        <v>11</v>
      </c>
      <c r="O5731" s="8">
        <v>20.328747193832452</v>
      </c>
      <c r="P5731" s="9">
        <v>20.328747193832452</v>
      </c>
      <c r="Q5731" s="9">
        <v>20.328747193832452</v>
      </c>
      <c r="R5731" s="9">
        <v>20.901467178587069</v>
      </c>
      <c r="S5731" s="9">
        <v>21.789694031871221</v>
      </c>
      <c r="T5731" s="9">
        <v>22.685842380093916</v>
      </c>
      <c r="U5731" s="9">
        <v>25.139615720574728</v>
      </c>
      <c r="V5731" s="9">
        <v>25.139615720574728</v>
      </c>
      <c r="W5731" s="9">
        <v>25.139615720574728</v>
      </c>
      <c r="X5731" s="9">
        <v>28.431126761040446</v>
      </c>
      <c r="Y5731" s="9">
        <v>28.431126761040446</v>
      </c>
      <c r="Z5731" s="9">
        <v>31.8133765751437</v>
      </c>
      <c r="AA5731" s="9">
        <v>31.8133765751437</v>
      </c>
      <c r="AB5731" s="9">
        <v>35.295439040248269</v>
      </c>
      <c r="AC5731" s="9">
        <v>35.295439040248269</v>
      </c>
      <c r="AD5731" s="9">
        <v>40.66038110622798</v>
      </c>
      <c r="AE5731" s="9">
        <v>44.145469767258199</v>
      </c>
      <c r="AF5731" s="9">
        <v>47.802065076832598</v>
      </c>
      <c r="AG5731" s="9">
        <v>47.802065076832598</v>
      </c>
      <c r="AH5731" s="9">
        <v>52.368463891218347</v>
      </c>
      <c r="AI5731" s="9">
        <v>56.090712435126555</v>
      </c>
      <c r="AJ5731" s="9">
        <v>3.0428788910505911</v>
      </c>
    </row>
    <row r="5732" spans="1:36" x14ac:dyDescent="0.25">
      <c r="A5732" t="s">
        <v>5411</v>
      </c>
      <c r="B5732" t="s">
        <v>16</v>
      </c>
      <c r="C5732" t="s">
        <v>17</v>
      </c>
      <c r="D5732">
        <v>97850000</v>
      </c>
      <c r="E5732">
        <v>97869999</v>
      </c>
      <c r="F5732" t="s">
        <v>5176</v>
      </c>
      <c r="G5732" t="str">
        <f t="shared" si="178"/>
        <v>RSI II</v>
      </c>
      <c r="H5732" t="s">
        <v>4915</v>
      </c>
      <c r="I5732" t="s">
        <v>20</v>
      </c>
      <c r="J5732" t="s">
        <v>64</v>
      </c>
      <c r="K5732" s="6">
        <v>0.03</v>
      </c>
      <c r="L5732" s="7">
        <f t="shared" si="179"/>
        <v>2E-3</v>
      </c>
      <c r="M5732" s="7">
        <v>3.0000000000000001E-3</v>
      </c>
      <c r="N5732">
        <v>11</v>
      </c>
      <c r="O5732" s="8">
        <v>20.328747193832452</v>
      </c>
      <c r="P5732" s="9">
        <v>20.328747193832452</v>
      </c>
      <c r="Q5732" s="9">
        <v>20.328747193832452</v>
      </c>
      <c r="R5732" s="9">
        <v>20.901467178587069</v>
      </c>
      <c r="S5732" s="9">
        <v>21.789694031871221</v>
      </c>
      <c r="T5732" s="9">
        <v>22.685842380093916</v>
      </c>
      <c r="U5732" s="9">
        <v>25.139615720574728</v>
      </c>
      <c r="V5732" s="9">
        <v>25.139615720574728</v>
      </c>
      <c r="W5732" s="9">
        <v>25.139615720574728</v>
      </c>
      <c r="X5732" s="9">
        <v>28.431126761040446</v>
      </c>
      <c r="Y5732" s="9">
        <v>28.431126761040446</v>
      </c>
      <c r="Z5732" s="9">
        <v>31.8133765751437</v>
      </c>
      <c r="AA5732" s="9">
        <v>31.8133765751437</v>
      </c>
      <c r="AB5732" s="9">
        <v>35.295439040248269</v>
      </c>
      <c r="AC5732" s="9">
        <v>35.295439040248269</v>
      </c>
      <c r="AD5732" s="9">
        <v>40.66038110622798</v>
      </c>
      <c r="AE5732" s="9">
        <v>44.145469767258199</v>
      </c>
      <c r="AF5732" s="9">
        <v>47.802065076832598</v>
      </c>
      <c r="AG5732" s="9">
        <v>47.802065076832598</v>
      </c>
      <c r="AH5732" s="9">
        <v>52.368463891218347</v>
      </c>
      <c r="AI5732" s="9">
        <v>56.090712435126555</v>
      </c>
      <c r="AJ5732" s="9">
        <v>3.0428788910505911</v>
      </c>
    </row>
    <row r="5733" spans="1:36" x14ac:dyDescent="0.25">
      <c r="A5733" t="s">
        <v>5411</v>
      </c>
      <c r="B5733" t="s">
        <v>16</v>
      </c>
      <c r="C5733" t="s">
        <v>17</v>
      </c>
      <c r="D5733">
        <v>97870000</v>
      </c>
      <c r="E5733">
        <v>97879999</v>
      </c>
      <c r="F5733" t="s">
        <v>5177</v>
      </c>
      <c r="G5733" t="str">
        <f t="shared" si="178"/>
        <v>RSI II</v>
      </c>
      <c r="H5733" t="s">
        <v>4915</v>
      </c>
      <c r="I5733" t="s">
        <v>20</v>
      </c>
      <c r="J5733" t="s">
        <v>64</v>
      </c>
      <c r="K5733" s="6">
        <v>0.03</v>
      </c>
      <c r="L5733" s="7">
        <f t="shared" si="179"/>
        <v>2E-3</v>
      </c>
      <c r="M5733" s="7">
        <v>3.0000000000000001E-3</v>
      </c>
      <c r="N5733">
        <v>11</v>
      </c>
      <c r="O5733" s="8">
        <v>20.328747193832452</v>
      </c>
      <c r="P5733" s="9">
        <v>20.328747193832452</v>
      </c>
      <c r="Q5733" s="9">
        <v>20.328747193832452</v>
      </c>
      <c r="R5733" s="9">
        <v>20.901467178587069</v>
      </c>
      <c r="S5733" s="9">
        <v>21.789694031871221</v>
      </c>
      <c r="T5733" s="9">
        <v>22.685842380093916</v>
      </c>
      <c r="U5733" s="9">
        <v>25.139615720574728</v>
      </c>
      <c r="V5733" s="9">
        <v>25.139615720574728</v>
      </c>
      <c r="W5733" s="9">
        <v>25.139615720574728</v>
      </c>
      <c r="X5733" s="9">
        <v>28.431126761040446</v>
      </c>
      <c r="Y5733" s="9">
        <v>28.431126761040446</v>
      </c>
      <c r="Z5733" s="9">
        <v>31.8133765751437</v>
      </c>
      <c r="AA5733" s="9">
        <v>31.8133765751437</v>
      </c>
      <c r="AB5733" s="9">
        <v>35.295439040248269</v>
      </c>
      <c r="AC5733" s="9">
        <v>35.295439040248269</v>
      </c>
      <c r="AD5733" s="9">
        <v>40.66038110622798</v>
      </c>
      <c r="AE5733" s="9">
        <v>44.145469767258199</v>
      </c>
      <c r="AF5733" s="9">
        <v>47.802065076832598</v>
      </c>
      <c r="AG5733" s="9">
        <v>47.802065076832598</v>
      </c>
      <c r="AH5733" s="9">
        <v>52.368463891218347</v>
      </c>
      <c r="AI5733" s="9">
        <v>56.090712435126555</v>
      </c>
      <c r="AJ5733" s="9">
        <v>3.0428788910505911</v>
      </c>
    </row>
    <row r="5734" spans="1:36" x14ac:dyDescent="0.25">
      <c r="A5734" t="s">
        <v>5411</v>
      </c>
      <c r="B5734" t="s">
        <v>16</v>
      </c>
      <c r="C5734" t="s">
        <v>17</v>
      </c>
      <c r="D5734">
        <v>97880000</v>
      </c>
      <c r="E5734">
        <v>97884999</v>
      </c>
      <c r="F5734" t="s">
        <v>5178</v>
      </c>
      <c r="G5734" t="str">
        <f t="shared" si="178"/>
        <v>RSI II</v>
      </c>
      <c r="H5734" t="s">
        <v>4915</v>
      </c>
      <c r="I5734" t="s">
        <v>20</v>
      </c>
      <c r="J5734" t="s">
        <v>64</v>
      </c>
      <c r="K5734" s="6">
        <v>0.03</v>
      </c>
      <c r="L5734" s="7">
        <f t="shared" si="179"/>
        <v>2E-3</v>
      </c>
      <c r="M5734" s="7">
        <v>3.0000000000000001E-3</v>
      </c>
      <c r="N5734">
        <v>11</v>
      </c>
      <c r="O5734" s="8">
        <v>20.328747193832452</v>
      </c>
      <c r="P5734" s="9">
        <v>20.328747193832452</v>
      </c>
      <c r="Q5734" s="9">
        <v>20.328747193832452</v>
      </c>
      <c r="R5734" s="9">
        <v>20.901467178587069</v>
      </c>
      <c r="S5734" s="9">
        <v>21.789694031871221</v>
      </c>
      <c r="T5734" s="9">
        <v>22.685842380093916</v>
      </c>
      <c r="U5734" s="9">
        <v>25.139615720574728</v>
      </c>
      <c r="V5734" s="9">
        <v>25.139615720574728</v>
      </c>
      <c r="W5734" s="9">
        <v>25.139615720574728</v>
      </c>
      <c r="X5734" s="9">
        <v>28.431126761040446</v>
      </c>
      <c r="Y5734" s="9">
        <v>28.431126761040446</v>
      </c>
      <c r="Z5734" s="9">
        <v>31.8133765751437</v>
      </c>
      <c r="AA5734" s="9">
        <v>31.8133765751437</v>
      </c>
      <c r="AB5734" s="9">
        <v>35.295439040248269</v>
      </c>
      <c r="AC5734" s="9">
        <v>35.295439040248269</v>
      </c>
      <c r="AD5734" s="9">
        <v>40.66038110622798</v>
      </c>
      <c r="AE5734" s="9">
        <v>44.145469767258199</v>
      </c>
      <c r="AF5734" s="9">
        <v>47.802065076832598</v>
      </c>
      <c r="AG5734" s="9">
        <v>47.802065076832598</v>
      </c>
      <c r="AH5734" s="9">
        <v>52.368463891218347</v>
      </c>
      <c r="AI5734" s="9">
        <v>56.090712435126555</v>
      </c>
      <c r="AJ5734" s="9">
        <v>3.0428788910505911</v>
      </c>
    </row>
    <row r="5735" spans="1:36" x14ac:dyDescent="0.25">
      <c r="A5735" t="s">
        <v>5411</v>
      </c>
      <c r="B5735" t="s">
        <v>16</v>
      </c>
      <c r="C5735" t="s">
        <v>17</v>
      </c>
      <c r="D5735">
        <v>97885000</v>
      </c>
      <c r="E5735">
        <v>97899999</v>
      </c>
      <c r="F5735" t="s">
        <v>5179</v>
      </c>
      <c r="G5735" t="str">
        <f t="shared" si="178"/>
        <v>RSI II</v>
      </c>
      <c r="H5735" t="s">
        <v>4915</v>
      </c>
      <c r="I5735" t="s">
        <v>20</v>
      </c>
      <c r="J5735" t="s">
        <v>64</v>
      </c>
      <c r="K5735" s="6">
        <v>0.03</v>
      </c>
      <c r="L5735" s="7">
        <f t="shared" si="179"/>
        <v>2E-3</v>
      </c>
      <c r="M5735" s="7">
        <v>3.0000000000000001E-3</v>
      </c>
      <c r="N5735">
        <v>11</v>
      </c>
      <c r="O5735" s="8">
        <v>20.328747193832452</v>
      </c>
      <c r="P5735" s="9">
        <v>20.328747193832452</v>
      </c>
      <c r="Q5735" s="9">
        <v>20.328747193832452</v>
      </c>
      <c r="R5735" s="9">
        <v>20.901467178587069</v>
      </c>
      <c r="S5735" s="9">
        <v>21.789694031871221</v>
      </c>
      <c r="T5735" s="9">
        <v>22.685842380093916</v>
      </c>
      <c r="U5735" s="9">
        <v>25.139615720574728</v>
      </c>
      <c r="V5735" s="9">
        <v>25.139615720574728</v>
      </c>
      <c r="W5735" s="9">
        <v>25.139615720574728</v>
      </c>
      <c r="X5735" s="9">
        <v>28.431126761040446</v>
      </c>
      <c r="Y5735" s="9">
        <v>28.431126761040446</v>
      </c>
      <c r="Z5735" s="9">
        <v>31.8133765751437</v>
      </c>
      <c r="AA5735" s="9">
        <v>31.8133765751437</v>
      </c>
      <c r="AB5735" s="9">
        <v>35.295439040248269</v>
      </c>
      <c r="AC5735" s="9">
        <v>35.295439040248269</v>
      </c>
      <c r="AD5735" s="9">
        <v>40.66038110622798</v>
      </c>
      <c r="AE5735" s="9">
        <v>44.145469767258199</v>
      </c>
      <c r="AF5735" s="9">
        <v>47.802065076832598</v>
      </c>
      <c r="AG5735" s="9">
        <v>47.802065076832598</v>
      </c>
      <c r="AH5735" s="9">
        <v>52.368463891218347</v>
      </c>
      <c r="AI5735" s="9">
        <v>56.090712435126555</v>
      </c>
      <c r="AJ5735" s="9">
        <v>3.0428788910505911</v>
      </c>
    </row>
    <row r="5736" spans="1:36" x14ac:dyDescent="0.25">
      <c r="A5736" t="s">
        <v>5411</v>
      </c>
      <c r="B5736" t="s">
        <v>16</v>
      </c>
      <c r="C5736" t="s">
        <v>17</v>
      </c>
      <c r="D5736">
        <v>97900000</v>
      </c>
      <c r="E5736">
        <v>97919999</v>
      </c>
      <c r="F5736" t="s">
        <v>5180</v>
      </c>
      <c r="G5736" t="str">
        <f t="shared" si="178"/>
        <v>RSI II</v>
      </c>
      <c r="H5736" t="s">
        <v>4915</v>
      </c>
      <c r="I5736" t="s">
        <v>20</v>
      </c>
      <c r="J5736" t="s">
        <v>64</v>
      </c>
      <c r="K5736" s="6">
        <v>0.03</v>
      </c>
      <c r="L5736" s="7">
        <f t="shared" si="179"/>
        <v>2E-3</v>
      </c>
      <c r="M5736" s="7">
        <v>3.0000000000000001E-3</v>
      </c>
      <c r="N5736">
        <v>11</v>
      </c>
      <c r="O5736" s="8">
        <v>20.328747193832452</v>
      </c>
      <c r="P5736" s="9">
        <v>20.328747193832452</v>
      </c>
      <c r="Q5736" s="9">
        <v>20.328747193832452</v>
      </c>
      <c r="R5736" s="9">
        <v>20.901467178587069</v>
      </c>
      <c r="S5736" s="9">
        <v>21.789694031871221</v>
      </c>
      <c r="T5736" s="9">
        <v>22.685842380093916</v>
      </c>
      <c r="U5736" s="9">
        <v>25.139615720574728</v>
      </c>
      <c r="V5736" s="9">
        <v>25.139615720574728</v>
      </c>
      <c r="W5736" s="9">
        <v>25.139615720574728</v>
      </c>
      <c r="X5736" s="9">
        <v>28.431126761040446</v>
      </c>
      <c r="Y5736" s="9">
        <v>28.431126761040446</v>
      </c>
      <c r="Z5736" s="9">
        <v>31.8133765751437</v>
      </c>
      <c r="AA5736" s="9">
        <v>31.8133765751437</v>
      </c>
      <c r="AB5736" s="9">
        <v>35.295439040248269</v>
      </c>
      <c r="AC5736" s="9">
        <v>35.295439040248269</v>
      </c>
      <c r="AD5736" s="9">
        <v>40.66038110622798</v>
      </c>
      <c r="AE5736" s="9">
        <v>44.145469767258199</v>
      </c>
      <c r="AF5736" s="9">
        <v>47.802065076832598</v>
      </c>
      <c r="AG5736" s="9">
        <v>47.802065076832598</v>
      </c>
      <c r="AH5736" s="9">
        <v>52.368463891218347</v>
      </c>
      <c r="AI5736" s="9">
        <v>56.090712435126555</v>
      </c>
      <c r="AJ5736" s="9">
        <v>3.0428788910505911</v>
      </c>
    </row>
    <row r="5737" spans="1:36" x14ac:dyDescent="0.25">
      <c r="A5737" t="s">
        <v>5411</v>
      </c>
      <c r="B5737" t="s">
        <v>16</v>
      </c>
      <c r="C5737" t="s">
        <v>17</v>
      </c>
      <c r="D5737">
        <v>97920000</v>
      </c>
      <c r="E5737">
        <v>97929999</v>
      </c>
      <c r="F5737" t="s">
        <v>5181</v>
      </c>
      <c r="G5737" t="str">
        <f t="shared" si="178"/>
        <v>RSI II</v>
      </c>
      <c r="H5737" t="s">
        <v>4915</v>
      </c>
      <c r="I5737" t="s">
        <v>20</v>
      </c>
      <c r="J5737" t="s">
        <v>64</v>
      </c>
      <c r="K5737" s="6">
        <v>0.03</v>
      </c>
      <c r="L5737" s="7">
        <f t="shared" si="179"/>
        <v>2E-3</v>
      </c>
      <c r="M5737" s="7">
        <v>3.0000000000000001E-3</v>
      </c>
      <c r="N5737">
        <v>11</v>
      </c>
      <c r="O5737" s="8">
        <v>20.328747193832452</v>
      </c>
      <c r="P5737" s="9">
        <v>20.328747193832452</v>
      </c>
      <c r="Q5737" s="9">
        <v>20.328747193832452</v>
      </c>
      <c r="R5737" s="9">
        <v>20.901467178587069</v>
      </c>
      <c r="S5737" s="9">
        <v>21.789694031871221</v>
      </c>
      <c r="T5737" s="9">
        <v>22.685842380093916</v>
      </c>
      <c r="U5737" s="9">
        <v>25.139615720574728</v>
      </c>
      <c r="V5737" s="9">
        <v>25.139615720574728</v>
      </c>
      <c r="W5737" s="9">
        <v>25.139615720574728</v>
      </c>
      <c r="X5737" s="9">
        <v>28.431126761040446</v>
      </c>
      <c r="Y5737" s="9">
        <v>28.431126761040446</v>
      </c>
      <c r="Z5737" s="9">
        <v>31.8133765751437</v>
      </c>
      <c r="AA5737" s="9">
        <v>31.8133765751437</v>
      </c>
      <c r="AB5737" s="9">
        <v>35.295439040248269</v>
      </c>
      <c r="AC5737" s="9">
        <v>35.295439040248269</v>
      </c>
      <c r="AD5737" s="9">
        <v>40.66038110622798</v>
      </c>
      <c r="AE5737" s="9">
        <v>44.145469767258199</v>
      </c>
      <c r="AF5737" s="9">
        <v>47.802065076832598</v>
      </c>
      <c r="AG5737" s="9">
        <v>47.802065076832598</v>
      </c>
      <c r="AH5737" s="9">
        <v>52.368463891218347</v>
      </c>
      <c r="AI5737" s="9">
        <v>56.090712435126555</v>
      </c>
      <c r="AJ5737" s="9">
        <v>3.0428788910505911</v>
      </c>
    </row>
    <row r="5738" spans="1:36" x14ac:dyDescent="0.25">
      <c r="A5738" t="s">
        <v>5411</v>
      </c>
      <c r="B5738" t="s">
        <v>16</v>
      </c>
      <c r="C5738" t="s">
        <v>17</v>
      </c>
      <c r="D5738">
        <v>97930000</v>
      </c>
      <c r="E5738">
        <v>97934999</v>
      </c>
      <c r="F5738" t="s">
        <v>5182</v>
      </c>
      <c r="G5738" t="str">
        <f t="shared" si="178"/>
        <v>RSI II</v>
      </c>
      <c r="H5738" t="s">
        <v>4915</v>
      </c>
      <c r="I5738" t="s">
        <v>20</v>
      </c>
      <c r="J5738" t="s">
        <v>64</v>
      </c>
      <c r="K5738" s="6">
        <v>0.03</v>
      </c>
      <c r="L5738" s="7">
        <f t="shared" si="179"/>
        <v>2E-3</v>
      </c>
      <c r="M5738" s="7">
        <v>3.0000000000000001E-3</v>
      </c>
      <c r="N5738">
        <v>11</v>
      </c>
      <c r="O5738" s="8">
        <v>20.328747193832452</v>
      </c>
      <c r="P5738" s="9">
        <v>20.328747193832452</v>
      </c>
      <c r="Q5738" s="9">
        <v>20.328747193832452</v>
      </c>
      <c r="R5738" s="9">
        <v>20.901467178587069</v>
      </c>
      <c r="S5738" s="9">
        <v>21.789694031871221</v>
      </c>
      <c r="T5738" s="9">
        <v>22.685842380093916</v>
      </c>
      <c r="U5738" s="9">
        <v>25.139615720574728</v>
      </c>
      <c r="V5738" s="9">
        <v>25.139615720574728</v>
      </c>
      <c r="W5738" s="9">
        <v>25.139615720574728</v>
      </c>
      <c r="X5738" s="9">
        <v>28.431126761040446</v>
      </c>
      <c r="Y5738" s="9">
        <v>28.431126761040446</v>
      </c>
      <c r="Z5738" s="9">
        <v>31.8133765751437</v>
      </c>
      <c r="AA5738" s="9">
        <v>31.8133765751437</v>
      </c>
      <c r="AB5738" s="9">
        <v>35.295439040248269</v>
      </c>
      <c r="AC5738" s="9">
        <v>35.295439040248269</v>
      </c>
      <c r="AD5738" s="9">
        <v>40.66038110622798</v>
      </c>
      <c r="AE5738" s="9">
        <v>44.145469767258199</v>
      </c>
      <c r="AF5738" s="9">
        <v>47.802065076832598</v>
      </c>
      <c r="AG5738" s="9">
        <v>47.802065076832598</v>
      </c>
      <c r="AH5738" s="9">
        <v>52.368463891218347</v>
      </c>
      <c r="AI5738" s="9">
        <v>56.090712435126555</v>
      </c>
      <c r="AJ5738" s="9">
        <v>3.0428788910505911</v>
      </c>
    </row>
    <row r="5739" spans="1:36" x14ac:dyDescent="0.25">
      <c r="A5739" t="s">
        <v>5411</v>
      </c>
      <c r="B5739" t="s">
        <v>16</v>
      </c>
      <c r="C5739" t="s">
        <v>17</v>
      </c>
      <c r="D5739">
        <v>97935000</v>
      </c>
      <c r="E5739">
        <v>97939999</v>
      </c>
      <c r="F5739" t="s">
        <v>5183</v>
      </c>
      <c r="G5739" t="str">
        <f t="shared" si="178"/>
        <v>RSI II</v>
      </c>
      <c r="H5739" t="s">
        <v>4915</v>
      </c>
      <c r="I5739" t="s">
        <v>20</v>
      </c>
      <c r="J5739" t="s">
        <v>64</v>
      </c>
      <c r="K5739" s="6">
        <v>0.03</v>
      </c>
      <c r="L5739" s="7">
        <f t="shared" si="179"/>
        <v>2E-3</v>
      </c>
      <c r="M5739" s="7">
        <v>3.0000000000000001E-3</v>
      </c>
      <c r="N5739">
        <v>11</v>
      </c>
      <c r="O5739" s="8">
        <v>20.328747193832452</v>
      </c>
      <c r="P5739" s="9">
        <v>20.328747193832452</v>
      </c>
      <c r="Q5739" s="9">
        <v>20.328747193832452</v>
      </c>
      <c r="R5739" s="9">
        <v>20.901467178587069</v>
      </c>
      <c r="S5739" s="9">
        <v>21.789694031871221</v>
      </c>
      <c r="T5739" s="9">
        <v>22.685842380093916</v>
      </c>
      <c r="U5739" s="9">
        <v>25.139615720574728</v>
      </c>
      <c r="V5739" s="9">
        <v>25.139615720574728</v>
      </c>
      <c r="W5739" s="9">
        <v>25.139615720574728</v>
      </c>
      <c r="X5739" s="9">
        <v>28.431126761040446</v>
      </c>
      <c r="Y5739" s="9">
        <v>28.431126761040446</v>
      </c>
      <c r="Z5739" s="9">
        <v>31.8133765751437</v>
      </c>
      <c r="AA5739" s="9">
        <v>31.8133765751437</v>
      </c>
      <c r="AB5739" s="9">
        <v>35.295439040248269</v>
      </c>
      <c r="AC5739" s="9">
        <v>35.295439040248269</v>
      </c>
      <c r="AD5739" s="9">
        <v>40.66038110622798</v>
      </c>
      <c r="AE5739" s="9">
        <v>44.145469767258199</v>
      </c>
      <c r="AF5739" s="9">
        <v>47.802065076832598</v>
      </c>
      <c r="AG5739" s="9">
        <v>47.802065076832598</v>
      </c>
      <c r="AH5739" s="9">
        <v>52.368463891218347</v>
      </c>
      <c r="AI5739" s="9">
        <v>56.090712435126555</v>
      </c>
      <c r="AJ5739" s="9">
        <v>3.0428788910505911</v>
      </c>
    </row>
    <row r="5740" spans="1:36" x14ac:dyDescent="0.25">
      <c r="A5740" t="s">
        <v>5411</v>
      </c>
      <c r="B5740" t="s">
        <v>16</v>
      </c>
      <c r="C5740" t="s">
        <v>17</v>
      </c>
      <c r="D5740">
        <v>97940000</v>
      </c>
      <c r="E5740">
        <v>97949999</v>
      </c>
      <c r="F5740" t="s">
        <v>5184</v>
      </c>
      <c r="G5740" t="str">
        <f t="shared" si="178"/>
        <v>RSI II</v>
      </c>
      <c r="H5740" t="s">
        <v>4915</v>
      </c>
      <c r="I5740" t="s">
        <v>20</v>
      </c>
      <c r="J5740" t="s">
        <v>64</v>
      </c>
      <c r="K5740" s="6">
        <v>0.03</v>
      </c>
      <c r="L5740" s="7">
        <f t="shared" si="179"/>
        <v>2E-3</v>
      </c>
      <c r="M5740" s="7">
        <v>3.0000000000000001E-3</v>
      </c>
      <c r="N5740">
        <v>11</v>
      </c>
      <c r="O5740" s="8">
        <v>20.328747193832452</v>
      </c>
      <c r="P5740" s="9">
        <v>20.328747193832452</v>
      </c>
      <c r="Q5740" s="9">
        <v>20.328747193832452</v>
      </c>
      <c r="R5740" s="9">
        <v>20.901467178587069</v>
      </c>
      <c r="S5740" s="9">
        <v>21.789694031871221</v>
      </c>
      <c r="T5740" s="9">
        <v>22.685842380093916</v>
      </c>
      <c r="U5740" s="9">
        <v>25.139615720574728</v>
      </c>
      <c r="V5740" s="9">
        <v>25.139615720574728</v>
      </c>
      <c r="W5740" s="9">
        <v>25.139615720574728</v>
      </c>
      <c r="X5740" s="9">
        <v>28.431126761040446</v>
      </c>
      <c r="Y5740" s="9">
        <v>28.431126761040446</v>
      </c>
      <c r="Z5740" s="9">
        <v>31.8133765751437</v>
      </c>
      <c r="AA5740" s="9">
        <v>31.8133765751437</v>
      </c>
      <c r="AB5740" s="9">
        <v>35.295439040248269</v>
      </c>
      <c r="AC5740" s="9">
        <v>35.295439040248269</v>
      </c>
      <c r="AD5740" s="9">
        <v>40.66038110622798</v>
      </c>
      <c r="AE5740" s="9">
        <v>44.145469767258199</v>
      </c>
      <c r="AF5740" s="9">
        <v>47.802065076832598</v>
      </c>
      <c r="AG5740" s="9">
        <v>47.802065076832598</v>
      </c>
      <c r="AH5740" s="9">
        <v>52.368463891218347</v>
      </c>
      <c r="AI5740" s="9">
        <v>56.090712435126555</v>
      </c>
      <c r="AJ5740" s="9">
        <v>3.0428788910505911</v>
      </c>
    </row>
    <row r="5741" spans="1:36" x14ac:dyDescent="0.25">
      <c r="A5741" t="s">
        <v>5411</v>
      </c>
      <c r="B5741" t="s">
        <v>16</v>
      </c>
      <c r="C5741" t="s">
        <v>17</v>
      </c>
      <c r="D5741">
        <v>97950000</v>
      </c>
      <c r="E5741">
        <v>97959999</v>
      </c>
      <c r="F5741" t="s">
        <v>5185</v>
      </c>
      <c r="G5741" t="str">
        <f t="shared" si="178"/>
        <v>RSI II</v>
      </c>
      <c r="H5741" t="s">
        <v>4915</v>
      </c>
      <c r="I5741" t="s">
        <v>20</v>
      </c>
      <c r="J5741" t="s">
        <v>64</v>
      </c>
      <c r="K5741" s="6">
        <v>0.03</v>
      </c>
      <c r="L5741" s="7">
        <f t="shared" si="179"/>
        <v>2E-3</v>
      </c>
      <c r="M5741" s="7">
        <v>3.0000000000000001E-3</v>
      </c>
      <c r="N5741">
        <v>11</v>
      </c>
      <c r="O5741" s="8">
        <v>20.328747193832452</v>
      </c>
      <c r="P5741" s="9">
        <v>20.328747193832452</v>
      </c>
      <c r="Q5741" s="9">
        <v>20.328747193832452</v>
      </c>
      <c r="R5741" s="9">
        <v>20.901467178587069</v>
      </c>
      <c r="S5741" s="9">
        <v>21.789694031871221</v>
      </c>
      <c r="T5741" s="9">
        <v>22.685842380093916</v>
      </c>
      <c r="U5741" s="9">
        <v>25.139615720574728</v>
      </c>
      <c r="V5741" s="9">
        <v>25.139615720574728</v>
      </c>
      <c r="W5741" s="9">
        <v>25.139615720574728</v>
      </c>
      <c r="X5741" s="9">
        <v>28.431126761040446</v>
      </c>
      <c r="Y5741" s="9">
        <v>28.431126761040446</v>
      </c>
      <c r="Z5741" s="9">
        <v>31.8133765751437</v>
      </c>
      <c r="AA5741" s="9">
        <v>31.8133765751437</v>
      </c>
      <c r="AB5741" s="9">
        <v>35.295439040248269</v>
      </c>
      <c r="AC5741" s="9">
        <v>35.295439040248269</v>
      </c>
      <c r="AD5741" s="9">
        <v>40.66038110622798</v>
      </c>
      <c r="AE5741" s="9">
        <v>44.145469767258199</v>
      </c>
      <c r="AF5741" s="9">
        <v>47.802065076832598</v>
      </c>
      <c r="AG5741" s="9">
        <v>47.802065076832598</v>
      </c>
      <c r="AH5741" s="9">
        <v>52.368463891218347</v>
      </c>
      <c r="AI5741" s="9">
        <v>56.090712435126555</v>
      </c>
      <c r="AJ5741" s="9">
        <v>3.0428788910505911</v>
      </c>
    </row>
    <row r="5742" spans="1:36" x14ac:dyDescent="0.25">
      <c r="A5742" t="s">
        <v>5411</v>
      </c>
      <c r="B5742" t="s">
        <v>16</v>
      </c>
      <c r="C5742" t="s">
        <v>17</v>
      </c>
      <c r="D5742">
        <v>97960000</v>
      </c>
      <c r="E5742">
        <v>97969999</v>
      </c>
      <c r="F5742" t="s">
        <v>5186</v>
      </c>
      <c r="G5742" t="str">
        <f t="shared" si="178"/>
        <v>RSI II</v>
      </c>
      <c r="H5742" t="s">
        <v>4915</v>
      </c>
      <c r="I5742" t="s">
        <v>20</v>
      </c>
      <c r="J5742" t="s">
        <v>64</v>
      </c>
      <c r="K5742" s="6">
        <v>0.03</v>
      </c>
      <c r="L5742" s="7">
        <f t="shared" si="179"/>
        <v>2E-3</v>
      </c>
      <c r="M5742" s="7">
        <v>3.0000000000000001E-3</v>
      </c>
      <c r="N5742">
        <v>11</v>
      </c>
      <c r="O5742" s="8">
        <v>20.328747193832452</v>
      </c>
      <c r="P5742" s="9">
        <v>20.328747193832452</v>
      </c>
      <c r="Q5742" s="9">
        <v>20.328747193832452</v>
      </c>
      <c r="R5742" s="9">
        <v>20.901467178587069</v>
      </c>
      <c r="S5742" s="9">
        <v>21.789694031871221</v>
      </c>
      <c r="T5742" s="9">
        <v>22.685842380093916</v>
      </c>
      <c r="U5742" s="9">
        <v>25.139615720574728</v>
      </c>
      <c r="V5742" s="9">
        <v>25.139615720574728</v>
      </c>
      <c r="W5742" s="9">
        <v>25.139615720574728</v>
      </c>
      <c r="X5742" s="9">
        <v>28.431126761040446</v>
      </c>
      <c r="Y5742" s="9">
        <v>28.431126761040446</v>
      </c>
      <c r="Z5742" s="9">
        <v>31.8133765751437</v>
      </c>
      <c r="AA5742" s="9">
        <v>31.8133765751437</v>
      </c>
      <c r="AB5742" s="9">
        <v>35.295439040248269</v>
      </c>
      <c r="AC5742" s="9">
        <v>35.295439040248269</v>
      </c>
      <c r="AD5742" s="9">
        <v>40.66038110622798</v>
      </c>
      <c r="AE5742" s="9">
        <v>44.145469767258199</v>
      </c>
      <c r="AF5742" s="9">
        <v>47.802065076832598</v>
      </c>
      <c r="AG5742" s="9">
        <v>47.802065076832598</v>
      </c>
      <c r="AH5742" s="9">
        <v>52.368463891218347</v>
      </c>
      <c r="AI5742" s="9">
        <v>56.090712435126555</v>
      </c>
      <c r="AJ5742" s="9">
        <v>3.0428788910505911</v>
      </c>
    </row>
    <row r="5743" spans="1:36" x14ac:dyDescent="0.25">
      <c r="A5743" t="s">
        <v>5411</v>
      </c>
      <c r="B5743" t="s">
        <v>16</v>
      </c>
      <c r="C5743" t="s">
        <v>17</v>
      </c>
      <c r="D5743">
        <v>97970000</v>
      </c>
      <c r="E5743">
        <v>97979999</v>
      </c>
      <c r="F5743" t="s">
        <v>5187</v>
      </c>
      <c r="G5743" t="str">
        <f t="shared" si="178"/>
        <v>RSI II</v>
      </c>
      <c r="H5743" t="s">
        <v>4915</v>
      </c>
      <c r="I5743" t="s">
        <v>20</v>
      </c>
      <c r="J5743" t="s">
        <v>64</v>
      </c>
      <c r="K5743" s="6">
        <v>0.03</v>
      </c>
      <c r="L5743" s="7">
        <f t="shared" si="179"/>
        <v>2E-3</v>
      </c>
      <c r="M5743" s="7">
        <v>3.0000000000000001E-3</v>
      </c>
      <c r="N5743">
        <v>11</v>
      </c>
      <c r="O5743" s="8">
        <v>20.328747193832452</v>
      </c>
      <c r="P5743" s="9">
        <v>20.328747193832452</v>
      </c>
      <c r="Q5743" s="9">
        <v>20.328747193832452</v>
      </c>
      <c r="R5743" s="9">
        <v>20.901467178587069</v>
      </c>
      <c r="S5743" s="9">
        <v>21.789694031871221</v>
      </c>
      <c r="T5743" s="9">
        <v>22.685842380093916</v>
      </c>
      <c r="U5743" s="9">
        <v>25.139615720574728</v>
      </c>
      <c r="V5743" s="9">
        <v>25.139615720574728</v>
      </c>
      <c r="W5743" s="9">
        <v>25.139615720574728</v>
      </c>
      <c r="X5743" s="9">
        <v>28.431126761040446</v>
      </c>
      <c r="Y5743" s="9">
        <v>28.431126761040446</v>
      </c>
      <c r="Z5743" s="9">
        <v>31.8133765751437</v>
      </c>
      <c r="AA5743" s="9">
        <v>31.8133765751437</v>
      </c>
      <c r="AB5743" s="9">
        <v>35.295439040248269</v>
      </c>
      <c r="AC5743" s="9">
        <v>35.295439040248269</v>
      </c>
      <c r="AD5743" s="9">
        <v>40.66038110622798</v>
      </c>
      <c r="AE5743" s="9">
        <v>44.145469767258199</v>
      </c>
      <c r="AF5743" s="9">
        <v>47.802065076832598</v>
      </c>
      <c r="AG5743" s="9">
        <v>47.802065076832598</v>
      </c>
      <c r="AH5743" s="9">
        <v>52.368463891218347</v>
      </c>
      <c r="AI5743" s="9">
        <v>56.090712435126555</v>
      </c>
      <c r="AJ5743" s="9">
        <v>3.0428788910505911</v>
      </c>
    </row>
    <row r="5744" spans="1:36" x14ac:dyDescent="0.25">
      <c r="A5744" t="s">
        <v>5411</v>
      </c>
      <c r="B5744" t="s">
        <v>16</v>
      </c>
      <c r="C5744" t="s">
        <v>17</v>
      </c>
      <c r="D5744">
        <v>97980000</v>
      </c>
      <c r="E5744">
        <v>97999999</v>
      </c>
      <c r="F5744" t="s">
        <v>5188</v>
      </c>
      <c r="G5744" t="str">
        <f t="shared" si="178"/>
        <v>RSI II</v>
      </c>
      <c r="H5744" t="s">
        <v>4915</v>
      </c>
      <c r="I5744" t="s">
        <v>20</v>
      </c>
      <c r="J5744" t="s">
        <v>64</v>
      </c>
      <c r="K5744" s="6">
        <v>0.03</v>
      </c>
      <c r="L5744" s="7">
        <f t="shared" si="179"/>
        <v>2E-3</v>
      </c>
      <c r="M5744" s="7">
        <v>3.0000000000000001E-3</v>
      </c>
      <c r="N5744">
        <v>11</v>
      </c>
      <c r="O5744" s="8">
        <v>20.328747193832452</v>
      </c>
      <c r="P5744" s="9">
        <v>20.328747193832452</v>
      </c>
      <c r="Q5744" s="9">
        <v>20.328747193832452</v>
      </c>
      <c r="R5744" s="9">
        <v>20.901467178587069</v>
      </c>
      <c r="S5744" s="9">
        <v>21.789694031871221</v>
      </c>
      <c r="T5744" s="9">
        <v>22.685842380093916</v>
      </c>
      <c r="U5744" s="9">
        <v>25.139615720574728</v>
      </c>
      <c r="V5744" s="9">
        <v>25.139615720574728</v>
      </c>
      <c r="W5744" s="9">
        <v>25.139615720574728</v>
      </c>
      <c r="X5744" s="9">
        <v>28.431126761040446</v>
      </c>
      <c r="Y5744" s="9">
        <v>28.431126761040446</v>
      </c>
      <c r="Z5744" s="9">
        <v>31.8133765751437</v>
      </c>
      <c r="AA5744" s="9">
        <v>31.8133765751437</v>
      </c>
      <c r="AB5744" s="9">
        <v>35.295439040248269</v>
      </c>
      <c r="AC5744" s="9">
        <v>35.295439040248269</v>
      </c>
      <c r="AD5744" s="9">
        <v>40.66038110622798</v>
      </c>
      <c r="AE5744" s="9">
        <v>44.145469767258199</v>
      </c>
      <c r="AF5744" s="9">
        <v>47.802065076832598</v>
      </c>
      <c r="AG5744" s="9">
        <v>47.802065076832598</v>
      </c>
      <c r="AH5744" s="9">
        <v>52.368463891218347</v>
      </c>
      <c r="AI5744" s="9">
        <v>56.090712435126555</v>
      </c>
      <c r="AJ5744" s="9">
        <v>3.0428788910505911</v>
      </c>
    </row>
    <row r="5745" spans="1:36" x14ac:dyDescent="0.25">
      <c r="A5745" t="s">
        <v>5411</v>
      </c>
      <c r="B5745" t="s">
        <v>16</v>
      </c>
      <c r="C5745" t="s">
        <v>17</v>
      </c>
      <c r="D5745">
        <v>98000000</v>
      </c>
      <c r="E5745">
        <v>98117999</v>
      </c>
      <c r="F5745" t="s">
        <v>5189</v>
      </c>
      <c r="G5745" t="str">
        <f t="shared" si="178"/>
        <v>RSI</v>
      </c>
      <c r="H5745" t="s">
        <v>4915</v>
      </c>
      <c r="I5745" t="s">
        <v>20</v>
      </c>
      <c r="J5745" t="s">
        <v>62</v>
      </c>
      <c r="K5745" s="6">
        <v>0.03</v>
      </c>
      <c r="L5745" s="7">
        <f t="shared" si="179"/>
        <v>2E-3</v>
      </c>
      <c r="M5745" s="7">
        <v>3.0000000000000001E-3</v>
      </c>
      <c r="N5745">
        <v>9</v>
      </c>
      <c r="O5745" s="8">
        <v>17.509302802156309</v>
      </c>
      <c r="P5745" s="9">
        <v>17.509302802156309</v>
      </c>
      <c r="Q5745" s="9">
        <v>17.509302802156309</v>
      </c>
      <c r="R5745" s="9">
        <v>17.960073121579438</v>
      </c>
      <c r="S5745" s="9">
        <v>18.978426201825126</v>
      </c>
      <c r="T5745" s="9">
        <v>19.861619996324769</v>
      </c>
      <c r="U5745" s="9">
        <v>21.605211693624167</v>
      </c>
      <c r="V5745" s="9">
        <v>21.605211693624167</v>
      </c>
      <c r="W5745" s="9">
        <v>21.605211693624167</v>
      </c>
      <c r="X5745" s="9">
        <v>24.342346895578043</v>
      </c>
      <c r="Y5745" s="9">
        <v>24.342346895578043</v>
      </c>
      <c r="Z5745" s="9">
        <v>27.269806221922281</v>
      </c>
      <c r="AA5745" s="9">
        <v>27.269806221922281</v>
      </c>
      <c r="AB5745" s="9">
        <v>30.447232473217717</v>
      </c>
      <c r="AC5745" s="9">
        <v>30.447232473217717</v>
      </c>
      <c r="AD5745" s="9">
        <v>33.773696777878271</v>
      </c>
      <c r="AE5745" s="9">
        <v>37.668102449503657</v>
      </c>
      <c r="AF5745" s="9">
        <v>41.795656089883373</v>
      </c>
      <c r="AG5745" s="9">
        <v>41.795656089883373</v>
      </c>
      <c r="AH5745" s="9">
        <v>45.638668972740511</v>
      </c>
      <c r="AI5745" s="9">
        <v>49.380739592962819</v>
      </c>
      <c r="AJ5745" s="9">
        <v>3.0428788910505911</v>
      </c>
    </row>
    <row r="5746" spans="1:36" x14ac:dyDescent="0.25">
      <c r="A5746" t="s">
        <v>5411</v>
      </c>
      <c r="B5746" t="s">
        <v>16</v>
      </c>
      <c r="C5746" t="s">
        <v>17</v>
      </c>
      <c r="D5746">
        <v>98118000</v>
      </c>
      <c r="E5746">
        <v>98119999</v>
      </c>
      <c r="F5746" t="s">
        <v>5190</v>
      </c>
      <c r="G5746" t="str">
        <f t="shared" si="178"/>
        <v>RSI II</v>
      </c>
      <c r="H5746" t="s">
        <v>4915</v>
      </c>
      <c r="I5746" t="s">
        <v>20</v>
      </c>
      <c r="J5746" t="s">
        <v>64</v>
      </c>
      <c r="K5746" s="6">
        <v>0.03</v>
      </c>
      <c r="L5746" s="7">
        <f t="shared" si="179"/>
        <v>2E-3</v>
      </c>
      <c r="M5746" s="7">
        <v>3.0000000000000001E-3</v>
      </c>
      <c r="N5746">
        <v>11</v>
      </c>
      <c r="O5746" s="8">
        <v>20.328747193832452</v>
      </c>
      <c r="P5746" s="9">
        <v>20.328747193832452</v>
      </c>
      <c r="Q5746" s="9">
        <v>20.328747193832452</v>
      </c>
      <c r="R5746" s="9">
        <v>20.901467178587069</v>
      </c>
      <c r="S5746" s="9">
        <v>21.789694031871221</v>
      </c>
      <c r="T5746" s="9">
        <v>22.685842380093916</v>
      </c>
      <c r="U5746" s="9">
        <v>25.139615720574728</v>
      </c>
      <c r="V5746" s="9">
        <v>25.139615720574728</v>
      </c>
      <c r="W5746" s="9">
        <v>25.139615720574728</v>
      </c>
      <c r="X5746" s="9">
        <v>28.431126761040446</v>
      </c>
      <c r="Y5746" s="9">
        <v>28.431126761040446</v>
      </c>
      <c r="Z5746" s="9">
        <v>31.8133765751437</v>
      </c>
      <c r="AA5746" s="9">
        <v>31.8133765751437</v>
      </c>
      <c r="AB5746" s="9">
        <v>35.295439040248269</v>
      </c>
      <c r="AC5746" s="9">
        <v>35.295439040248269</v>
      </c>
      <c r="AD5746" s="9">
        <v>40.66038110622798</v>
      </c>
      <c r="AE5746" s="9">
        <v>44.145469767258199</v>
      </c>
      <c r="AF5746" s="9">
        <v>47.802065076832598</v>
      </c>
      <c r="AG5746" s="9">
        <v>47.802065076832598</v>
      </c>
      <c r="AH5746" s="9">
        <v>52.368463891218347</v>
      </c>
      <c r="AI5746" s="9">
        <v>56.090712435126555</v>
      </c>
      <c r="AJ5746" s="9">
        <v>3.0428788910505911</v>
      </c>
    </row>
    <row r="5747" spans="1:36" x14ac:dyDescent="0.25">
      <c r="A5747" t="s">
        <v>5411</v>
      </c>
      <c r="B5747" t="s">
        <v>16</v>
      </c>
      <c r="C5747" t="s">
        <v>17</v>
      </c>
      <c r="D5747">
        <v>98120000</v>
      </c>
      <c r="E5747">
        <v>98124999</v>
      </c>
      <c r="F5747" t="s">
        <v>5191</v>
      </c>
      <c r="G5747" t="str">
        <f t="shared" si="178"/>
        <v>RSI II</v>
      </c>
      <c r="H5747" t="s">
        <v>4915</v>
      </c>
      <c r="I5747" t="s">
        <v>20</v>
      </c>
      <c r="J5747" t="s">
        <v>64</v>
      </c>
      <c r="K5747" s="6">
        <v>0.03</v>
      </c>
      <c r="L5747" s="7">
        <f t="shared" si="179"/>
        <v>2E-3</v>
      </c>
      <c r="M5747" s="7">
        <v>3.0000000000000001E-3</v>
      </c>
      <c r="N5747">
        <v>11</v>
      </c>
      <c r="O5747" s="8">
        <v>20.328747193832452</v>
      </c>
      <c r="P5747" s="9">
        <v>20.328747193832452</v>
      </c>
      <c r="Q5747" s="9">
        <v>20.328747193832452</v>
      </c>
      <c r="R5747" s="9">
        <v>20.901467178587069</v>
      </c>
      <c r="S5747" s="9">
        <v>21.789694031871221</v>
      </c>
      <c r="T5747" s="9">
        <v>22.685842380093916</v>
      </c>
      <c r="U5747" s="9">
        <v>25.139615720574728</v>
      </c>
      <c r="V5747" s="9">
        <v>25.139615720574728</v>
      </c>
      <c r="W5747" s="9">
        <v>25.139615720574728</v>
      </c>
      <c r="X5747" s="9">
        <v>28.431126761040446</v>
      </c>
      <c r="Y5747" s="9">
        <v>28.431126761040446</v>
      </c>
      <c r="Z5747" s="9">
        <v>31.8133765751437</v>
      </c>
      <c r="AA5747" s="9">
        <v>31.8133765751437</v>
      </c>
      <c r="AB5747" s="9">
        <v>35.295439040248269</v>
      </c>
      <c r="AC5747" s="9">
        <v>35.295439040248269</v>
      </c>
      <c r="AD5747" s="9">
        <v>40.66038110622798</v>
      </c>
      <c r="AE5747" s="9">
        <v>44.145469767258199</v>
      </c>
      <c r="AF5747" s="9">
        <v>47.802065076832598</v>
      </c>
      <c r="AG5747" s="9">
        <v>47.802065076832598</v>
      </c>
      <c r="AH5747" s="9">
        <v>52.368463891218347</v>
      </c>
      <c r="AI5747" s="9">
        <v>56.090712435126555</v>
      </c>
      <c r="AJ5747" s="9">
        <v>3.0428788910505911</v>
      </c>
    </row>
    <row r="5748" spans="1:36" x14ac:dyDescent="0.25">
      <c r="A5748" t="s">
        <v>5411</v>
      </c>
      <c r="B5748" t="s">
        <v>16</v>
      </c>
      <c r="C5748" t="s">
        <v>17</v>
      </c>
      <c r="D5748">
        <v>98125000</v>
      </c>
      <c r="E5748">
        <v>98129999</v>
      </c>
      <c r="F5748" t="s">
        <v>5192</v>
      </c>
      <c r="G5748" t="str">
        <f t="shared" si="178"/>
        <v>RSI II</v>
      </c>
      <c r="H5748" t="s">
        <v>4915</v>
      </c>
      <c r="I5748" t="s">
        <v>20</v>
      </c>
      <c r="J5748" t="s">
        <v>64</v>
      </c>
      <c r="K5748" s="6">
        <v>0.03</v>
      </c>
      <c r="L5748" s="7">
        <f t="shared" si="179"/>
        <v>2E-3</v>
      </c>
      <c r="M5748" s="7">
        <v>3.0000000000000001E-3</v>
      </c>
      <c r="N5748">
        <v>11</v>
      </c>
      <c r="O5748" s="8">
        <v>20.328747193832452</v>
      </c>
      <c r="P5748" s="9">
        <v>20.328747193832452</v>
      </c>
      <c r="Q5748" s="9">
        <v>20.328747193832452</v>
      </c>
      <c r="R5748" s="9">
        <v>20.901467178587069</v>
      </c>
      <c r="S5748" s="9">
        <v>21.789694031871221</v>
      </c>
      <c r="T5748" s="9">
        <v>22.685842380093916</v>
      </c>
      <c r="U5748" s="9">
        <v>25.139615720574728</v>
      </c>
      <c r="V5748" s="9">
        <v>25.139615720574728</v>
      </c>
      <c r="W5748" s="9">
        <v>25.139615720574728</v>
      </c>
      <c r="X5748" s="9">
        <v>28.431126761040446</v>
      </c>
      <c r="Y5748" s="9">
        <v>28.431126761040446</v>
      </c>
      <c r="Z5748" s="9">
        <v>31.8133765751437</v>
      </c>
      <c r="AA5748" s="9">
        <v>31.8133765751437</v>
      </c>
      <c r="AB5748" s="9">
        <v>35.295439040248269</v>
      </c>
      <c r="AC5748" s="9">
        <v>35.295439040248269</v>
      </c>
      <c r="AD5748" s="9">
        <v>40.66038110622798</v>
      </c>
      <c r="AE5748" s="9">
        <v>44.145469767258199</v>
      </c>
      <c r="AF5748" s="9">
        <v>47.802065076832598</v>
      </c>
      <c r="AG5748" s="9">
        <v>47.802065076832598</v>
      </c>
      <c r="AH5748" s="9">
        <v>52.368463891218347</v>
      </c>
      <c r="AI5748" s="9">
        <v>56.090712435126555</v>
      </c>
      <c r="AJ5748" s="9">
        <v>3.0428788910505911</v>
      </c>
    </row>
    <row r="5749" spans="1:36" x14ac:dyDescent="0.25">
      <c r="A5749" t="s">
        <v>5411</v>
      </c>
      <c r="B5749" t="s">
        <v>16</v>
      </c>
      <c r="C5749" t="s">
        <v>17</v>
      </c>
      <c r="D5749">
        <v>98130000</v>
      </c>
      <c r="E5749">
        <v>98139999</v>
      </c>
      <c r="F5749" t="s">
        <v>5193</v>
      </c>
      <c r="G5749" t="str">
        <f t="shared" si="178"/>
        <v>RSI II</v>
      </c>
      <c r="H5749" t="s">
        <v>4915</v>
      </c>
      <c r="I5749" t="s">
        <v>20</v>
      </c>
      <c r="J5749" t="s">
        <v>64</v>
      </c>
      <c r="K5749" s="6">
        <v>0.03</v>
      </c>
      <c r="L5749" s="7">
        <f t="shared" si="179"/>
        <v>2E-3</v>
      </c>
      <c r="M5749" s="7">
        <v>3.0000000000000001E-3</v>
      </c>
      <c r="N5749">
        <v>11</v>
      </c>
      <c r="O5749" s="8">
        <v>20.328747193832452</v>
      </c>
      <c r="P5749" s="9">
        <v>20.328747193832452</v>
      </c>
      <c r="Q5749" s="9">
        <v>20.328747193832452</v>
      </c>
      <c r="R5749" s="9">
        <v>20.901467178587069</v>
      </c>
      <c r="S5749" s="9">
        <v>21.789694031871221</v>
      </c>
      <c r="T5749" s="9">
        <v>22.685842380093916</v>
      </c>
      <c r="U5749" s="9">
        <v>25.139615720574728</v>
      </c>
      <c r="V5749" s="9">
        <v>25.139615720574728</v>
      </c>
      <c r="W5749" s="9">
        <v>25.139615720574728</v>
      </c>
      <c r="X5749" s="9">
        <v>28.431126761040446</v>
      </c>
      <c r="Y5749" s="9">
        <v>28.431126761040446</v>
      </c>
      <c r="Z5749" s="9">
        <v>31.8133765751437</v>
      </c>
      <c r="AA5749" s="9">
        <v>31.8133765751437</v>
      </c>
      <c r="AB5749" s="9">
        <v>35.295439040248269</v>
      </c>
      <c r="AC5749" s="9">
        <v>35.295439040248269</v>
      </c>
      <c r="AD5749" s="9">
        <v>40.66038110622798</v>
      </c>
      <c r="AE5749" s="9">
        <v>44.145469767258199</v>
      </c>
      <c r="AF5749" s="9">
        <v>47.802065076832598</v>
      </c>
      <c r="AG5749" s="9">
        <v>47.802065076832598</v>
      </c>
      <c r="AH5749" s="9">
        <v>52.368463891218347</v>
      </c>
      <c r="AI5749" s="9">
        <v>56.090712435126555</v>
      </c>
      <c r="AJ5749" s="9">
        <v>3.0428788910505911</v>
      </c>
    </row>
    <row r="5750" spans="1:36" x14ac:dyDescent="0.25">
      <c r="A5750" t="s">
        <v>5411</v>
      </c>
      <c r="B5750" t="s">
        <v>16</v>
      </c>
      <c r="C5750" t="s">
        <v>17</v>
      </c>
      <c r="D5750">
        <v>98140000</v>
      </c>
      <c r="E5750">
        <v>98149999</v>
      </c>
      <c r="F5750" t="s">
        <v>5194</v>
      </c>
      <c r="G5750" t="str">
        <f t="shared" si="178"/>
        <v>RSI II</v>
      </c>
      <c r="H5750" t="s">
        <v>4915</v>
      </c>
      <c r="I5750" t="s">
        <v>20</v>
      </c>
      <c r="J5750" t="s">
        <v>64</v>
      </c>
      <c r="K5750" s="6">
        <v>0.03</v>
      </c>
      <c r="L5750" s="7">
        <f t="shared" si="179"/>
        <v>2E-3</v>
      </c>
      <c r="M5750" s="7">
        <v>3.0000000000000001E-3</v>
      </c>
      <c r="N5750">
        <v>11</v>
      </c>
      <c r="O5750" s="8">
        <v>20.328747193832452</v>
      </c>
      <c r="P5750" s="9">
        <v>20.328747193832452</v>
      </c>
      <c r="Q5750" s="9">
        <v>20.328747193832452</v>
      </c>
      <c r="R5750" s="9">
        <v>20.901467178587069</v>
      </c>
      <c r="S5750" s="9">
        <v>21.789694031871221</v>
      </c>
      <c r="T5750" s="9">
        <v>22.685842380093916</v>
      </c>
      <c r="U5750" s="9">
        <v>25.139615720574728</v>
      </c>
      <c r="V5750" s="9">
        <v>25.139615720574728</v>
      </c>
      <c r="W5750" s="9">
        <v>25.139615720574728</v>
      </c>
      <c r="X5750" s="9">
        <v>28.431126761040446</v>
      </c>
      <c r="Y5750" s="9">
        <v>28.431126761040446</v>
      </c>
      <c r="Z5750" s="9">
        <v>31.8133765751437</v>
      </c>
      <c r="AA5750" s="9">
        <v>31.8133765751437</v>
      </c>
      <c r="AB5750" s="9">
        <v>35.295439040248269</v>
      </c>
      <c r="AC5750" s="9">
        <v>35.295439040248269</v>
      </c>
      <c r="AD5750" s="9">
        <v>40.66038110622798</v>
      </c>
      <c r="AE5750" s="9">
        <v>44.145469767258199</v>
      </c>
      <c r="AF5750" s="9">
        <v>47.802065076832598</v>
      </c>
      <c r="AG5750" s="9">
        <v>47.802065076832598</v>
      </c>
      <c r="AH5750" s="9">
        <v>52.368463891218347</v>
      </c>
      <c r="AI5750" s="9">
        <v>56.090712435126555</v>
      </c>
      <c r="AJ5750" s="9">
        <v>3.0428788910505911</v>
      </c>
    </row>
    <row r="5751" spans="1:36" x14ac:dyDescent="0.25">
      <c r="A5751" t="s">
        <v>5411</v>
      </c>
      <c r="B5751" t="s">
        <v>16</v>
      </c>
      <c r="C5751" t="s">
        <v>17</v>
      </c>
      <c r="D5751">
        <v>98150000</v>
      </c>
      <c r="E5751">
        <v>98159999</v>
      </c>
      <c r="F5751" t="s">
        <v>5195</v>
      </c>
      <c r="G5751" t="str">
        <f t="shared" si="178"/>
        <v>RSI II</v>
      </c>
      <c r="H5751" t="s">
        <v>4915</v>
      </c>
      <c r="I5751" t="s">
        <v>20</v>
      </c>
      <c r="J5751" t="s">
        <v>64</v>
      </c>
      <c r="K5751" s="6">
        <v>0.03</v>
      </c>
      <c r="L5751" s="7">
        <f t="shared" si="179"/>
        <v>2E-3</v>
      </c>
      <c r="M5751" s="7">
        <v>3.0000000000000001E-3</v>
      </c>
      <c r="N5751">
        <v>11</v>
      </c>
      <c r="O5751" s="8">
        <v>20.328747193832452</v>
      </c>
      <c r="P5751" s="9">
        <v>20.328747193832452</v>
      </c>
      <c r="Q5751" s="9">
        <v>20.328747193832452</v>
      </c>
      <c r="R5751" s="9">
        <v>20.901467178587069</v>
      </c>
      <c r="S5751" s="9">
        <v>21.789694031871221</v>
      </c>
      <c r="T5751" s="9">
        <v>22.685842380093916</v>
      </c>
      <c r="U5751" s="9">
        <v>25.139615720574728</v>
      </c>
      <c r="V5751" s="9">
        <v>25.139615720574728</v>
      </c>
      <c r="W5751" s="9">
        <v>25.139615720574728</v>
      </c>
      <c r="X5751" s="9">
        <v>28.431126761040446</v>
      </c>
      <c r="Y5751" s="9">
        <v>28.431126761040446</v>
      </c>
      <c r="Z5751" s="9">
        <v>31.8133765751437</v>
      </c>
      <c r="AA5751" s="9">
        <v>31.8133765751437</v>
      </c>
      <c r="AB5751" s="9">
        <v>35.295439040248269</v>
      </c>
      <c r="AC5751" s="9">
        <v>35.295439040248269</v>
      </c>
      <c r="AD5751" s="9">
        <v>40.66038110622798</v>
      </c>
      <c r="AE5751" s="9">
        <v>44.145469767258199</v>
      </c>
      <c r="AF5751" s="9">
        <v>47.802065076832598</v>
      </c>
      <c r="AG5751" s="9">
        <v>47.802065076832598</v>
      </c>
      <c r="AH5751" s="9">
        <v>52.368463891218347</v>
      </c>
      <c r="AI5751" s="9">
        <v>56.090712435126555</v>
      </c>
      <c r="AJ5751" s="9">
        <v>3.0428788910505911</v>
      </c>
    </row>
    <row r="5752" spans="1:36" x14ac:dyDescent="0.25">
      <c r="A5752" t="s">
        <v>5411</v>
      </c>
      <c r="B5752" t="s">
        <v>16</v>
      </c>
      <c r="C5752" t="s">
        <v>17</v>
      </c>
      <c r="D5752">
        <v>98160000</v>
      </c>
      <c r="E5752">
        <v>98169999</v>
      </c>
      <c r="F5752" t="s">
        <v>5196</v>
      </c>
      <c r="G5752" t="str">
        <f t="shared" si="178"/>
        <v>RSI II</v>
      </c>
      <c r="H5752" t="s">
        <v>4915</v>
      </c>
      <c r="I5752" t="s">
        <v>20</v>
      </c>
      <c r="J5752" t="s">
        <v>64</v>
      </c>
      <c r="K5752" s="6">
        <v>0.03</v>
      </c>
      <c r="L5752" s="7">
        <f t="shared" si="179"/>
        <v>2E-3</v>
      </c>
      <c r="M5752" s="7">
        <v>3.0000000000000001E-3</v>
      </c>
      <c r="N5752">
        <v>11</v>
      </c>
      <c r="O5752" s="8">
        <v>20.328747193832452</v>
      </c>
      <c r="P5752" s="9">
        <v>20.328747193832452</v>
      </c>
      <c r="Q5752" s="9">
        <v>20.328747193832452</v>
      </c>
      <c r="R5752" s="9">
        <v>20.901467178587069</v>
      </c>
      <c r="S5752" s="9">
        <v>21.789694031871221</v>
      </c>
      <c r="T5752" s="9">
        <v>22.685842380093916</v>
      </c>
      <c r="U5752" s="9">
        <v>25.139615720574728</v>
      </c>
      <c r="V5752" s="9">
        <v>25.139615720574728</v>
      </c>
      <c r="W5752" s="9">
        <v>25.139615720574728</v>
      </c>
      <c r="X5752" s="9">
        <v>28.431126761040446</v>
      </c>
      <c r="Y5752" s="9">
        <v>28.431126761040446</v>
      </c>
      <c r="Z5752" s="9">
        <v>31.8133765751437</v>
      </c>
      <c r="AA5752" s="9">
        <v>31.8133765751437</v>
      </c>
      <c r="AB5752" s="9">
        <v>35.295439040248269</v>
      </c>
      <c r="AC5752" s="9">
        <v>35.295439040248269</v>
      </c>
      <c r="AD5752" s="9">
        <v>40.66038110622798</v>
      </c>
      <c r="AE5752" s="9">
        <v>44.145469767258199</v>
      </c>
      <c r="AF5752" s="9">
        <v>47.802065076832598</v>
      </c>
      <c r="AG5752" s="9">
        <v>47.802065076832598</v>
      </c>
      <c r="AH5752" s="9">
        <v>52.368463891218347</v>
      </c>
      <c r="AI5752" s="9">
        <v>56.090712435126555</v>
      </c>
      <c r="AJ5752" s="9">
        <v>3.0428788910505911</v>
      </c>
    </row>
    <row r="5753" spans="1:36" x14ac:dyDescent="0.25">
      <c r="A5753" t="s">
        <v>5411</v>
      </c>
      <c r="B5753" t="s">
        <v>16</v>
      </c>
      <c r="C5753" t="s">
        <v>17</v>
      </c>
      <c r="D5753">
        <v>98170000</v>
      </c>
      <c r="E5753">
        <v>98174999</v>
      </c>
      <c r="F5753" t="s">
        <v>5197</v>
      </c>
      <c r="G5753" t="str">
        <f t="shared" si="178"/>
        <v>RSI II</v>
      </c>
      <c r="H5753" t="s">
        <v>4915</v>
      </c>
      <c r="I5753" t="s">
        <v>20</v>
      </c>
      <c r="J5753" t="s">
        <v>64</v>
      </c>
      <c r="K5753" s="6">
        <v>0.03</v>
      </c>
      <c r="L5753" s="7">
        <f t="shared" si="179"/>
        <v>2E-3</v>
      </c>
      <c r="M5753" s="7">
        <v>3.0000000000000001E-3</v>
      </c>
      <c r="N5753">
        <v>11</v>
      </c>
      <c r="O5753" s="8">
        <v>20.328747193832452</v>
      </c>
      <c r="P5753" s="9">
        <v>20.328747193832452</v>
      </c>
      <c r="Q5753" s="9">
        <v>20.328747193832452</v>
      </c>
      <c r="R5753" s="9">
        <v>20.901467178587069</v>
      </c>
      <c r="S5753" s="9">
        <v>21.789694031871221</v>
      </c>
      <c r="T5753" s="9">
        <v>22.685842380093916</v>
      </c>
      <c r="U5753" s="9">
        <v>25.139615720574728</v>
      </c>
      <c r="V5753" s="9">
        <v>25.139615720574728</v>
      </c>
      <c r="W5753" s="9">
        <v>25.139615720574728</v>
      </c>
      <c r="X5753" s="9">
        <v>28.431126761040446</v>
      </c>
      <c r="Y5753" s="9">
        <v>28.431126761040446</v>
      </c>
      <c r="Z5753" s="9">
        <v>31.8133765751437</v>
      </c>
      <c r="AA5753" s="9">
        <v>31.8133765751437</v>
      </c>
      <c r="AB5753" s="9">
        <v>35.295439040248269</v>
      </c>
      <c r="AC5753" s="9">
        <v>35.295439040248269</v>
      </c>
      <c r="AD5753" s="9">
        <v>40.66038110622798</v>
      </c>
      <c r="AE5753" s="9">
        <v>44.145469767258199</v>
      </c>
      <c r="AF5753" s="9">
        <v>47.802065076832598</v>
      </c>
      <c r="AG5753" s="9">
        <v>47.802065076832598</v>
      </c>
      <c r="AH5753" s="9">
        <v>52.368463891218347</v>
      </c>
      <c r="AI5753" s="9">
        <v>56.090712435126555</v>
      </c>
      <c r="AJ5753" s="9">
        <v>3.0428788910505911</v>
      </c>
    </row>
    <row r="5754" spans="1:36" x14ac:dyDescent="0.25">
      <c r="A5754" t="s">
        <v>5411</v>
      </c>
      <c r="B5754" t="s">
        <v>16</v>
      </c>
      <c r="C5754" t="s">
        <v>17</v>
      </c>
      <c r="D5754">
        <v>98175000</v>
      </c>
      <c r="E5754">
        <v>98179999</v>
      </c>
      <c r="F5754" t="s">
        <v>5198</v>
      </c>
      <c r="G5754" t="str">
        <f t="shared" si="178"/>
        <v>RSI II</v>
      </c>
      <c r="H5754" t="s">
        <v>4915</v>
      </c>
      <c r="I5754" t="s">
        <v>20</v>
      </c>
      <c r="J5754" t="s">
        <v>64</v>
      </c>
      <c r="K5754" s="6">
        <v>0.03</v>
      </c>
      <c r="L5754" s="7">
        <f t="shared" si="179"/>
        <v>2E-3</v>
      </c>
      <c r="M5754" s="7">
        <v>3.0000000000000001E-3</v>
      </c>
      <c r="N5754">
        <v>11</v>
      </c>
      <c r="O5754" s="8">
        <v>20.328747193832452</v>
      </c>
      <c r="P5754" s="9">
        <v>20.328747193832452</v>
      </c>
      <c r="Q5754" s="9">
        <v>20.328747193832452</v>
      </c>
      <c r="R5754" s="9">
        <v>20.901467178587069</v>
      </c>
      <c r="S5754" s="9">
        <v>21.789694031871221</v>
      </c>
      <c r="T5754" s="9">
        <v>22.685842380093916</v>
      </c>
      <c r="U5754" s="9">
        <v>25.139615720574728</v>
      </c>
      <c r="V5754" s="9">
        <v>25.139615720574728</v>
      </c>
      <c r="W5754" s="9">
        <v>25.139615720574728</v>
      </c>
      <c r="X5754" s="9">
        <v>28.431126761040446</v>
      </c>
      <c r="Y5754" s="9">
        <v>28.431126761040446</v>
      </c>
      <c r="Z5754" s="9">
        <v>31.8133765751437</v>
      </c>
      <c r="AA5754" s="9">
        <v>31.8133765751437</v>
      </c>
      <c r="AB5754" s="9">
        <v>35.295439040248269</v>
      </c>
      <c r="AC5754" s="9">
        <v>35.295439040248269</v>
      </c>
      <c r="AD5754" s="9">
        <v>40.66038110622798</v>
      </c>
      <c r="AE5754" s="9">
        <v>44.145469767258199</v>
      </c>
      <c r="AF5754" s="9">
        <v>47.802065076832598</v>
      </c>
      <c r="AG5754" s="9">
        <v>47.802065076832598</v>
      </c>
      <c r="AH5754" s="9">
        <v>52.368463891218347</v>
      </c>
      <c r="AI5754" s="9">
        <v>56.090712435126555</v>
      </c>
      <c r="AJ5754" s="9">
        <v>3.0428788910505911</v>
      </c>
    </row>
    <row r="5755" spans="1:36" x14ac:dyDescent="0.25">
      <c r="A5755" t="s">
        <v>5411</v>
      </c>
      <c r="B5755" t="s">
        <v>16</v>
      </c>
      <c r="C5755" t="s">
        <v>17</v>
      </c>
      <c r="D5755">
        <v>98180000</v>
      </c>
      <c r="E5755">
        <v>98199999</v>
      </c>
      <c r="F5755" t="s">
        <v>5199</v>
      </c>
      <c r="G5755" t="str">
        <f t="shared" si="178"/>
        <v>RSI II</v>
      </c>
      <c r="H5755" t="s">
        <v>4915</v>
      </c>
      <c r="I5755" t="s">
        <v>20</v>
      </c>
      <c r="J5755" t="s">
        <v>64</v>
      </c>
      <c r="K5755" s="6">
        <v>0.03</v>
      </c>
      <c r="L5755" s="7">
        <f t="shared" si="179"/>
        <v>2E-3</v>
      </c>
      <c r="M5755" s="7">
        <v>3.0000000000000001E-3</v>
      </c>
      <c r="N5755">
        <v>11</v>
      </c>
      <c r="O5755" s="8">
        <v>20.328747193832452</v>
      </c>
      <c r="P5755" s="9">
        <v>20.328747193832452</v>
      </c>
      <c r="Q5755" s="9">
        <v>20.328747193832452</v>
      </c>
      <c r="R5755" s="9">
        <v>20.901467178587069</v>
      </c>
      <c r="S5755" s="9">
        <v>21.789694031871221</v>
      </c>
      <c r="T5755" s="9">
        <v>22.685842380093916</v>
      </c>
      <c r="U5755" s="9">
        <v>25.139615720574728</v>
      </c>
      <c r="V5755" s="9">
        <v>25.139615720574728</v>
      </c>
      <c r="W5755" s="9">
        <v>25.139615720574728</v>
      </c>
      <c r="X5755" s="9">
        <v>28.431126761040446</v>
      </c>
      <c r="Y5755" s="9">
        <v>28.431126761040446</v>
      </c>
      <c r="Z5755" s="9">
        <v>31.8133765751437</v>
      </c>
      <c r="AA5755" s="9">
        <v>31.8133765751437</v>
      </c>
      <c r="AB5755" s="9">
        <v>35.295439040248269</v>
      </c>
      <c r="AC5755" s="9">
        <v>35.295439040248269</v>
      </c>
      <c r="AD5755" s="9">
        <v>40.66038110622798</v>
      </c>
      <c r="AE5755" s="9">
        <v>44.145469767258199</v>
      </c>
      <c r="AF5755" s="9">
        <v>47.802065076832598</v>
      </c>
      <c r="AG5755" s="9">
        <v>47.802065076832598</v>
      </c>
      <c r="AH5755" s="9">
        <v>52.368463891218347</v>
      </c>
      <c r="AI5755" s="9">
        <v>56.090712435126555</v>
      </c>
      <c r="AJ5755" s="9">
        <v>3.0428788910505911</v>
      </c>
    </row>
    <row r="5756" spans="1:36" x14ac:dyDescent="0.25">
      <c r="A5756" t="s">
        <v>5411</v>
      </c>
      <c r="B5756" t="s">
        <v>16</v>
      </c>
      <c r="C5756" t="s">
        <v>17</v>
      </c>
      <c r="D5756">
        <v>98200000</v>
      </c>
      <c r="E5756">
        <v>98229999</v>
      </c>
      <c r="F5756" t="s">
        <v>5200</v>
      </c>
      <c r="G5756" t="str">
        <f t="shared" si="178"/>
        <v>RSI II</v>
      </c>
      <c r="H5756" t="s">
        <v>4915</v>
      </c>
      <c r="I5756" t="s">
        <v>20</v>
      </c>
      <c r="J5756" t="s">
        <v>64</v>
      </c>
      <c r="K5756" s="6">
        <v>0.03</v>
      </c>
      <c r="L5756" s="7">
        <f t="shared" si="179"/>
        <v>2E-3</v>
      </c>
      <c r="M5756" s="7">
        <v>3.0000000000000001E-3</v>
      </c>
      <c r="N5756">
        <v>11</v>
      </c>
      <c r="O5756" s="8">
        <v>20.328747193832452</v>
      </c>
      <c r="P5756" s="9">
        <v>20.328747193832452</v>
      </c>
      <c r="Q5756" s="9">
        <v>20.328747193832452</v>
      </c>
      <c r="R5756" s="9">
        <v>20.901467178587069</v>
      </c>
      <c r="S5756" s="9">
        <v>21.789694031871221</v>
      </c>
      <c r="T5756" s="9">
        <v>22.685842380093916</v>
      </c>
      <c r="U5756" s="9">
        <v>25.139615720574728</v>
      </c>
      <c r="V5756" s="9">
        <v>25.139615720574728</v>
      </c>
      <c r="W5756" s="9">
        <v>25.139615720574728</v>
      </c>
      <c r="X5756" s="9">
        <v>28.431126761040446</v>
      </c>
      <c r="Y5756" s="9">
        <v>28.431126761040446</v>
      </c>
      <c r="Z5756" s="9">
        <v>31.8133765751437</v>
      </c>
      <c r="AA5756" s="9">
        <v>31.8133765751437</v>
      </c>
      <c r="AB5756" s="9">
        <v>35.295439040248269</v>
      </c>
      <c r="AC5756" s="9">
        <v>35.295439040248269</v>
      </c>
      <c r="AD5756" s="9">
        <v>40.66038110622798</v>
      </c>
      <c r="AE5756" s="9">
        <v>44.145469767258199</v>
      </c>
      <c r="AF5756" s="9">
        <v>47.802065076832598</v>
      </c>
      <c r="AG5756" s="9">
        <v>47.802065076832598</v>
      </c>
      <c r="AH5756" s="9">
        <v>52.368463891218347</v>
      </c>
      <c r="AI5756" s="9">
        <v>56.090712435126555</v>
      </c>
      <c r="AJ5756" s="9">
        <v>3.0428788910505911</v>
      </c>
    </row>
    <row r="5757" spans="1:36" x14ac:dyDescent="0.25">
      <c r="A5757" t="s">
        <v>5411</v>
      </c>
      <c r="B5757" t="s">
        <v>16</v>
      </c>
      <c r="C5757" t="s">
        <v>17</v>
      </c>
      <c r="D5757">
        <v>98230000</v>
      </c>
      <c r="E5757">
        <v>98239999</v>
      </c>
      <c r="F5757" t="s">
        <v>5201</v>
      </c>
      <c r="G5757" t="str">
        <f t="shared" si="178"/>
        <v>RSI II</v>
      </c>
      <c r="H5757" t="s">
        <v>4915</v>
      </c>
      <c r="I5757" t="s">
        <v>20</v>
      </c>
      <c r="J5757" t="s">
        <v>64</v>
      </c>
      <c r="K5757" s="6">
        <v>0.03</v>
      </c>
      <c r="L5757" s="7">
        <f t="shared" si="179"/>
        <v>2E-3</v>
      </c>
      <c r="M5757" s="7">
        <v>3.0000000000000001E-3</v>
      </c>
      <c r="N5757">
        <v>11</v>
      </c>
      <c r="O5757" s="8">
        <v>20.328747193832452</v>
      </c>
      <c r="P5757" s="9">
        <v>20.328747193832452</v>
      </c>
      <c r="Q5757" s="9">
        <v>20.328747193832452</v>
      </c>
      <c r="R5757" s="9">
        <v>20.901467178587069</v>
      </c>
      <c r="S5757" s="9">
        <v>21.789694031871221</v>
      </c>
      <c r="T5757" s="9">
        <v>22.685842380093916</v>
      </c>
      <c r="U5757" s="9">
        <v>25.139615720574728</v>
      </c>
      <c r="V5757" s="9">
        <v>25.139615720574728</v>
      </c>
      <c r="W5757" s="9">
        <v>25.139615720574728</v>
      </c>
      <c r="X5757" s="9">
        <v>28.431126761040446</v>
      </c>
      <c r="Y5757" s="9">
        <v>28.431126761040446</v>
      </c>
      <c r="Z5757" s="9">
        <v>31.8133765751437</v>
      </c>
      <c r="AA5757" s="9">
        <v>31.8133765751437</v>
      </c>
      <c r="AB5757" s="9">
        <v>35.295439040248269</v>
      </c>
      <c r="AC5757" s="9">
        <v>35.295439040248269</v>
      </c>
      <c r="AD5757" s="9">
        <v>40.66038110622798</v>
      </c>
      <c r="AE5757" s="9">
        <v>44.145469767258199</v>
      </c>
      <c r="AF5757" s="9">
        <v>47.802065076832598</v>
      </c>
      <c r="AG5757" s="9">
        <v>47.802065076832598</v>
      </c>
      <c r="AH5757" s="9">
        <v>52.368463891218347</v>
      </c>
      <c r="AI5757" s="9">
        <v>56.090712435126555</v>
      </c>
      <c r="AJ5757" s="9">
        <v>3.0428788910505911</v>
      </c>
    </row>
    <row r="5758" spans="1:36" x14ac:dyDescent="0.25">
      <c r="A5758" t="s">
        <v>5411</v>
      </c>
      <c r="B5758" t="s">
        <v>16</v>
      </c>
      <c r="C5758" t="s">
        <v>17</v>
      </c>
      <c r="D5758">
        <v>98240000</v>
      </c>
      <c r="E5758">
        <v>98249999</v>
      </c>
      <c r="F5758" t="s">
        <v>5202</v>
      </c>
      <c r="G5758" t="str">
        <f t="shared" si="178"/>
        <v>RSI II</v>
      </c>
      <c r="H5758" t="s">
        <v>4915</v>
      </c>
      <c r="I5758" t="s">
        <v>20</v>
      </c>
      <c r="J5758" t="s">
        <v>64</v>
      </c>
      <c r="K5758" s="6">
        <v>0.03</v>
      </c>
      <c r="L5758" s="7">
        <f t="shared" si="179"/>
        <v>2E-3</v>
      </c>
      <c r="M5758" s="7">
        <v>3.0000000000000001E-3</v>
      </c>
      <c r="N5758">
        <v>11</v>
      </c>
      <c r="O5758" s="8">
        <v>20.328747193832452</v>
      </c>
      <c r="P5758" s="9">
        <v>20.328747193832452</v>
      </c>
      <c r="Q5758" s="9">
        <v>20.328747193832452</v>
      </c>
      <c r="R5758" s="9">
        <v>20.901467178587069</v>
      </c>
      <c r="S5758" s="9">
        <v>21.789694031871221</v>
      </c>
      <c r="T5758" s="9">
        <v>22.685842380093916</v>
      </c>
      <c r="U5758" s="9">
        <v>25.139615720574728</v>
      </c>
      <c r="V5758" s="9">
        <v>25.139615720574728</v>
      </c>
      <c r="W5758" s="9">
        <v>25.139615720574728</v>
      </c>
      <c r="X5758" s="9">
        <v>28.431126761040446</v>
      </c>
      <c r="Y5758" s="9">
        <v>28.431126761040446</v>
      </c>
      <c r="Z5758" s="9">
        <v>31.8133765751437</v>
      </c>
      <c r="AA5758" s="9">
        <v>31.8133765751437</v>
      </c>
      <c r="AB5758" s="9">
        <v>35.295439040248269</v>
      </c>
      <c r="AC5758" s="9">
        <v>35.295439040248269</v>
      </c>
      <c r="AD5758" s="9">
        <v>40.66038110622798</v>
      </c>
      <c r="AE5758" s="9">
        <v>44.145469767258199</v>
      </c>
      <c r="AF5758" s="9">
        <v>47.802065076832598</v>
      </c>
      <c r="AG5758" s="9">
        <v>47.802065076832598</v>
      </c>
      <c r="AH5758" s="9">
        <v>52.368463891218347</v>
      </c>
      <c r="AI5758" s="9">
        <v>56.090712435126555</v>
      </c>
      <c r="AJ5758" s="9">
        <v>3.0428788910505911</v>
      </c>
    </row>
    <row r="5759" spans="1:36" x14ac:dyDescent="0.25">
      <c r="A5759" t="s">
        <v>5411</v>
      </c>
      <c r="B5759" t="s">
        <v>16</v>
      </c>
      <c r="C5759" t="s">
        <v>17</v>
      </c>
      <c r="D5759">
        <v>98250000</v>
      </c>
      <c r="E5759">
        <v>98269999</v>
      </c>
      <c r="F5759" t="s">
        <v>5203</v>
      </c>
      <c r="G5759" t="str">
        <f t="shared" si="178"/>
        <v>RSI II</v>
      </c>
      <c r="H5759" t="s">
        <v>4915</v>
      </c>
      <c r="I5759" t="s">
        <v>20</v>
      </c>
      <c r="J5759" t="s">
        <v>64</v>
      </c>
      <c r="K5759" s="6">
        <v>0.03</v>
      </c>
      <c r="L5759" s="7">
        <f t="shared" si="179"/>
        <v>2E-3</v>
      </c>
      <c r="M5759" s="7">
        <v>3.0000000000000001E-3</v>
      </c>
      <c r="N5759">
        <v>11</v>
      </c>
      <c r="O5759" s="8">
        <v>20.328747193832452</v>
      </c>
      <c r="P5759" s="9">
        <v>20.328747193832452</v>
      </c>
      <c r="Q5759" s="9">
        <v>20.328747193832452</v>
      </c>
      <c r="R5759" s="9">
        <v>20.901467178587069</v>
      </c>
      <c r="S5759" s="9">
        <v>21.789694031871221</v>
      </c>
      <c r="T5759" s="9">
        <v>22.685842380093916</v>
      </c>
      <c r="U5759" s="9">
        <v>25.139615720574728</v>
      </c>
      <c r="V5759" s="9">
        <v>25.139615720574728</v>
      </c>
      <c r="W5759" s="9">
        <v>25.139615720574728</v>
      </c>
      <c r="X5759" s="9">
        <v>28.431126761040446</v>
      </c>
      <c r="Y5759" s="9">
        <v>28.431126761040446</v>
      </c>
      <c r="Z5759" s="9">
        <v>31.8133765751437</v>
      </c>
      <c r="AA5759" s="9">
        <v>31.8133765751437</v>
      </c>
      <c r="AB5759" s="9">
        <v>35.295439040248269</v>
      </c>
      <c r="AC5759" s="9">
        <v>35.295439040248269</v>
      </c>
      <c r="AD5759" s="9">
        <v>40.66038110622798</v>
      </c>
      <c r="AE5759" s="9">
        <v>44.145469767258199</v>
      </c>
      <c r="AF5759" s="9">
        <v>47.802065076832598</v>
      </c>
      <c r="AG5759" s="9">
        <v>47.802065076832598</v>
      </c>
      <c r="AH5759" s="9">
        <v>52.368463891218347</v>
      </c>
      <c r="AI5759" s="9">
        <v>56.090712435126555</v>
      </c>
      <c r="AJ5759" s="9">
        <v>3.0428788910505911</v>
      </c>
    </row>
    <row r="5760" spans="1:36" x14ac:dyDescent="0.25">
      <c r="A5760" t="s">
        <v>5411</v>
      </c>
      <c r="B5760" t="s">
        <v>16</v>
      </c>
      <c r="C5760" t="s">
        <v>17</v>
      </c>
      <c r="D5760">
        <v>98270000</v>
      </c>
      <c r="E5760">
        <v>98279999</v>
      </c>
      <c r="F5760" t="s">
        <v>5204</v>
      </c>
      <c r="G5760" t="str">
        <f t="shared" si="178"/>
        <v>RSI II</v>
      </c>
      <c r="H5760" t="s">
        <v>4915</v>
      </c>
      <c r="I5760" t="s">
        <v>20</v>
      </c>
      <c r="J5760" t="s">
        <v>64</v>
      </c>
      <c r="K5760" s="6">
        <v>0.03</v>
      </c>
      <c r="L5760" s="7">
        <f t="shared" si="179"/>
        <v>2E-3</v>
      </c>
      <c r="M5760" s="7">
        <v>3.0000000000000001E-3</v>
      </c>
      <c r="N5760">
        <v>11</v>
      </c>
      <c r="O5760" s="8">
        <v>20.328747193832452</v>
      </c>
      <c r="P5760" s="9">
        <v>20.328747193832452</v>
      </c>
      <c r="Q5760" s="9">
        <v>20.328747193832452</v>
      </c>
      <c r="R5760" s="9">
        <v>20.901467178587069</v>
      </c>
      <c r="S5760" s="9">
        <v>21.789694031871221</v>
      </c>
      <c r="T5760" s="9">
        <v>22.685842380093916</v>
      </c>
      <c r="U5760" s="9">
        <v>25.139615720574728</v>
      </c>
      <c r="V5760" s="9">
        <v>25.139615720574728</v>
      </c>
      <c r="W5760" s="9">
        <v>25.139615720574728</v>
      </c>
      <c r="X5760" s="9">
        <v>28.431126761040446</v>
      </c>
      <c r="Y5760" s="9">
        <v>28.431126761040446</v>
      </c>
      <c r="Z5760" s="9">
        <v>31.8133765751437</v>
      </c>
      <c r="AA5760" s="9">
        <v>31.8133765751437</v>
      </c>
      <c r="AB5760" s="9">
        <v>35.295439040248269</v>
      </c>
      <c r="AC5760" s="9">
        <v>35.295439040248269</v>
      </c>
      <c r="AD5760" s="9">
        <v>40.66038110622798</v>
      </c>
      <c r="AE5760" s="9">
        <v>44.145469767258199</v>
      </c>
      <c r="AF5760" s="9">
        <v>47.802065076832598</v>
      </c>
      <c r="AG5760" s="9">
        <v>47.802065076832598</v>
      </c>
      <c r="AH5760" s="9">
        <v>52.368463891218347</v>
      </c>
      <c r="AI5760" s="9">
        <v>56.090712435126555</v>
      </c>
      <c r="AJ5760" s="9">
        <v>3.0428788910505911</v>
      </c>
    </row>
    <row r="5761" spans="1:36" x14ac:dyDescent="0.25">
      <c r="A5761" t="s">
        <v>5411</v>
      </c>
      <c r="B5761" t="s">
        <v>16</v>
      </c>
      <c r="C5761" t="s">
        <v>17</v>
      </c>
      <c r="D5761">
        <v>98280000</v>
      </c>
      <c r="E5761">
        <v>98289999</v>
      </c>
      <c r="F5761" t="s">
        <v>5205</v>
      </c>
      <c r="G5761" t="str">
        <f t="shared" si="178"/>
        <v>RSI</v>
      </c>
      <c r="H5761" t="s">
        <v>4915</v>
      </c>
      <c r="I5761" t="s">
        <v>20</v>
      </c>
      <c r="J5761" t="s">
        <v>62</v>
      </c>
      <c r="K5761" s="6">
        <v>0.03</v>
      </c>
      <c r="L5761" s="7">
        <f t="shared" si="179"/>
        <v>2E-3</v>
      </c>
      <c r="M5761" s="7">
        <v>3.0000000000000001E-3</v>
      </c>
      <c r="N5761">
        <v>11</v>
      </c>
      <c r="O5761" s="8">
        <v>17.509302802156309</v>
      </c>
      <c r="P5761" s="9">
        <v>17.509302802156309</v>
      </c>
      <c r="Q5761" s="9">
        <v>17.509302802156309</v>
      </c>
      <c r="R5761" s="9">
        <v>17.960073121579438</v>
      </c>
      <c r="S5761" s="9">
        <v>18.978426201825126</v>
      </c>
      <c r="T5761" s="9">
        <v>19.861619996324769</v>
      </c>
      <c r="U5761" s="9">
        <v>21.605211693624167</v>
      </c>
      <c r="V5761" s="9">
        <v>21.605211693624167</v>
      </c>
      <c r="W5761" s="9">
        <v>21.605211693624167</v>
      </c>
      <c r="X5761" s="9">
        <v>24.342346895578043</v>
      </c>
      <c r="Y5761" s="9">
        <v>24.342346895578043</v>
      </c>
      <c r="Z5761" s="9">
        <v>27.269806221922281</v>
      </c>
      <c r="AA5761" s="9">
        <v>27.269806221922281</v>
      </c>
      <c r="AB5761" s="9">
        <v>30.447232473217717</v>
      </c>
      <c r="AC5761" s="9">
        <v>30.447232473217717</v>
      </c>
      <c r="AD5761" s="9">
        <v>33.773696777878271</v>
      </c>
      <c r="AE5761" s="9">
        <v>37.668102449503657</v>
      </c>
      <c r="AF5761" s="9">
        <v>41.795656089883373</v>
      </c>
      <c r="AG5761" s="9">
        <v>41.795656089883373</v>
      </c>
      <c r="AH5761" s="9">
        <v>45.638668972740511</v>
      </c>
      <c r="AI5761" s="9">
        <v>49.380739592962819</v>
      </c>
      <c r="AJ5761" s="9">
        <v>3.0428788910505911</v>
      </c>
    </row>
    <row r="5762" spans="1:36" x14ac:dyDescent="0.25">
      <c r="A5762" t="s">
        <v>5411</v>
      </c>
      <c r="B5762" t="s">
        <v>16</v>
      </c>
      <c r="C5762" t="s">
        <v>17</v>
      </c>
      <c r="D5762">
        <v>98290000</v>
      </c>
      <c r="E5762">
        <v>98299999</v>
      </c>
      <c r="F5762" t="s">
        <v>5206</v>
      </c>
      <c r="G5762" t="str">
        <f t="shared" si="178"/>
        <v>RSI II</v>
      </c>
      <c r="H5762" t="s">
        <v>4915</v>
      </c>
      <c r="I5762" t="s">
        <v>20</v>
      </c>
      <c r="J5762" t="s">
        <v>64</v>
      </c>
      <c r="K5762" s="6">
        <v>0.03</v>
      </c>
      <c r="L5762" s="7">
        <f t="shared" si="179"/>
        <v>2E-3</v>
      </c>
      <c r="M5762" s="7">
        <v>3.0000000000000001E-3</v>
      </c>
      <c r="N5762">
        <v>11</v>
      </c>
      <c r="O5762" s="8">
        <v>20.328747193832452</v>
      </c>
      <c r="P5762" s="9">
        <v>20.328747193832452</v>
      </c>
      <c r="Q5762" s="9">
        <v>20.328747193832452</v>
      </c>
      <c r="R5762" s="9">
        <v>20.901467178587069</v>
      </c>
      <c r="S5762" s="9">
        <v>21.789694031871221</v>
      </c>
      <c r="T5762" s="9">
        <v>22.685842380093916</v>
      </c>
      <c r="U5762" s="9">
        <v>25.139615720574728</v>
      </c>
      <c r="V5762" s="9">
        <v>25.139615720574728</v>
      </c>
      <c r="W5762" s="9">
        <v>25.139615720574728</v>
      </c>
      <c r="X5762" s="9">
        <v>28.431126761040446</v>
      </c>
      <c r="Y5762" s="9">
        <v>28.431126761040446</v>
      </c>
      <c r="Z5762" s="9">
        <v>31.8133765751437</v>
      </c>
      <c r="AA5762" s="9">
        <v>31.8133765751437</v>
      </c>
      <c r="AB5762" s="9">
        <v>35.295439040248269</v>
      </c>
      <c r="AC5762" s="9">
        <v>35.295439040248269</v>
      </c>
      <c r="AD5762" s="9">
        <v>40.66038110622798</v>
      </c>
      <c r="AE5762" s="9">
        <v>44.145469767258199</v>
      </c>
      <c r="AF5762" s="9">
        <v>47.802065076832598</v>
      </c>
      <c r="AG5762" s="9">
        <v>47.802065076832598</v>
      </c>
      <c r="AH5762" s="9">
        <v>52.368463891218347</v>
      </c>
      <c r="AI5762" s="9">
        <v>56.090712435126555</v>
      </c>
      <c r="AJ5762" s="9">
        <v>3.0428788910505911</v>
      </c>
    </row>
    <row r="5763" spans="1:36" x14ac:dyDescent="0.25">
      <c r="A5763" t="s">
        <v>5411</v>
      </c>
      <c r="B5763" t="s">
        <v>16</v>
      </c>
      <c r="C5763" t="s">
        <v>17</v>
      </c>
      <c r="D5763">
        <v>98300000</v>
      </c>
      <c r="E5763">
        <v>98319999</v>
      </c>
      <c r="F5763" t="s">
        <v>5207</v>
      </c>
      <c r="G5763" t="str">
        <f t="shared" si="178"/>
        <v>RSI II</v>
      </c>
      <c r="H5763" t="s">
        <v>4915</v>
      </c>
      <c r="I5763" t="s">
        <v>20</v>
      </c>
      <c r="J5763" t="s">
        <v>64</v>
      </c>
      <c r="K5763" s="6">
        <v>0.03</v>
      </c>
      <c r="L5763" s="7">
        <f t="shared" si="179"/>
        <v>2E-3</v>
      </c>
      <c r="M5763" s="7">
        <v>3.0000000000000001E-3</v>
      </c>
      <c r="N5763">
        <v>11</v>
      </c>
      <c r="O5763" s="8">
        <v>20.328747193832452</v>
      </c>
      <c r="P5763" s="9">
        <v>20.328747193832452</v>
      </c>
      <c r="Q5763" s="9">
        <v>20.328747193832452</v>
      </c>
      <c r="R5763" s="9">
        <v>20.901467178587069</v>
      </c>
      <c r="S5763" s="9">
        <v>21.789694031871221</v>
      </c>
      <c r="T5763" s="9">
        <v>22.685842380093916</v>
      </c>
      <c r="U5763" s="9">
        <v>25.139615720574728</v>
      </c>
      <c r="V5763" s="9">
        <v>25.139615720574728</v>
      </c>
      <c r="W5763" s="9">
        <v>25.139615720574728</v>
      </c>
      <c r="X5763" s="9">
        <v>28.431126761040446</v>
      </c>
      <c r="Y5763" s="9">
        <v>28.431126761040446</v>
      </c>
      <c r="Z5763" s="9">
        <v>31.8133765751437</v>
      </c>
      <c r="AA5763" s="9">
        <v>31.8133765751437</v>
      </c>
      <c r="AB5763" s="9">
        <v>35.295439040248269</v>
      </c>
      <c r="AC5763" s="9">
        <v>35.295439040248269</v>
      </c>
      <c r="AD5763" s="9">
        <v>40.66038110622798</v>
      </c>
      <c r="AE5763" s="9">
        <v>44.145469767258199</v>
      </c>
      <c r="AF5763" s="9">
        <v>47.802065076832598</v>
      </c>
      <c r="AG5763" s="9">
        <v>47.802065076832598</v>
      </c>
      <c r="AH5763" s="9">
        <v>52.368463891218347</v>
      </c>
      <c r="AI5763" s="9">
        <v>56.090712435126555</v>
      </c>
      <c r="AJ5763" s="9">
        <v>3.0428788910505911</v>
      </c>
    </row>
    <row r="5764" spans="1:36" x14ac:dyDescent="0.25">
      <c r="A5764" t="s">
        <v>5411</v>
      </c>
      <c r="B5764" t="s">
        <v>16</v>
      </c>
      <c r="C5764" t="s">
        <v>17</v>
      </c>
      <c r="D5764">
        <v>98320000</v>
      </c>
      <c r="E5764">
        <v>98322999</v>
      </c>
      <c r="F5764" t="s">
        <v>5208</v>
      </c>
      <c r="G5764" t="str">
        <f t="shared" ref="G5764:G5827" si="180">H5764&amp;IF(J5764="CAPITAL","C",IF(J5764="INTERIOR","I",IF(J5764="INTERIOR II","I II","R")))</f>
        <v>RSI II</v>
      </c>
      <c r="H5764" t="s">
        <v>4915</v>
      </c>
      <c r="I5764" t="s">
        <v>20</v>
      </c>
      <c r="J5764" t="s">
        <v>64</v>
      </c>
      <c r="K5764" s="6">
        <v>0.03</v>
      </c>
      <c r="L5764" s="7">
        <f t="shared" ref="L5764:L5827" si="181">IF(I5764="(0) Não",0.2%,3%)</f>
        <v>2E-3</v>
      </c>
      <c r="M5764" s="7">
        <v>3.0000000000000001E-3</v>
      </c>
      <c r="N5764">
        <v>11</v>
      </c>
      <c r="O5764" s="8">
        <v>20.328747193832452</v>
      </c>
      <c r="P5764" s="9">
        <v>20.328747193832452</v>
      </c>
      <c r="Q5764" s="9">
        <v>20.328747193832452</v>
      </c>
      <c r="R5764" s="9">
        <v>20.901467178587069</v>
      </c>
      <c r="S5764" s="9">
        <v>21.789694031871221</v>
      </c>
      <c r="T5764" s="9">
        <v>22.685842380093916</v>
      </c>
      <c r="U5764" s="9">
        <v>25.139615720574728</v>
      </c>
      <c r="V5764" s="9">
        <v>25.139615720574728</v>
      </c>
      <c r="W5764" s="9">
        <v>25.139615720574728</v>
      </c>
      <c r="X5764" s="9">
        <v>28.431126761040446</v>
      </c>
      <c r="Y5764" s="9">
        <v>28.431126761040446</v>
      </c>
      <c r="Z5764" s="9">
        <v>31.8133765751437</v>
      </c>
      <c r="AA5764" s="9">
        <v>31.8133765751437</v>
      </c>
      <c r="AB5764" s="9">
        <v>35.295439040248269</v>
      </c>
      <c r="AC5764" s="9">
        <v>35.295439040248269</v>
      </c>
      <c r="AD5764" s="9">
        <v>40.66038110622798</v>
      </c>
      <c r="AE5764" s="9">
        <v>44.145469767258199</v>
      </c>
      <c r="AF5764" s="9">
        <v>47.802065076832598</v>
      </c>
      <c r="AG5764" s="9">
        <v>47.802065076832598</v>
      </c>
      <c r="AH5764" s="9">
        <v>52.368463891218347</v>
      </c>
      <c r="AI5764" s="9">
        <v>56.090712435126555</v>
      </c>
      <c r="AJ5764" s="9">
        <v>3.0428788910505911</v>
      </c>
    </row>
    <row r="5765" spans="1:36" x14ac:dyDescent="0.25">
      <c r="A5765" t="s">
        <v>5411</v>
      </c>
      <c r="B5765" t="s">
        <v>16</v>
      </c>
      <c r="C5765" t="s">
        <v>17</v>
      </c>
      <c r="D5765">
        <v>98323000</v>
      </c>
      <c r="E5765">
        <v>98324999</v>
      </c>
      <c r="F5765" t="s">
        <v>5209</v>
      </c>
      <c r="G5765" t="str">
        <f t="shared" si="180"/>
        <v>RSI II</v>
      </c>
      <c r="H5765" t="s">
        <v>4915</v>
      </c>
      <c r="I5765" t="s">
        <v>20</v>
      </c>
      <c r="J5765" t="s">
        <v>64</v>
      </c>
      <c r="K5765" s="6">
        <v>0.03</v>
      </c>
      <c r="L5765" s="7">
        <f t="shared" si="181"/>
        <v>2E-3</v>
      </c>
      <c r="M5765" s="7">
        <v>3.0000000000000001E-3</v>
      </c>
      <c r="N5765">
        <v>11</v>
      </c>
      <c r="O5765" s="8">
        <v>20.328747193832452</v>
      </c>
      <c r="P5765" s="9">
        <v>20.328747193832452</v>
      </c>
      <c r="Q5765" s="9">
        <v>20.328747193832452</v>
      </c>
      <c r="R5765" s="9">
        <v>20.901467178587069</v>
      </c>
      <c r="S5765" s="9">
        <v>21.789694031871221</v>
      </c>
      <c r="T5765" s="9">
        <v>22.685842380093916</v>
      </c>
      <c r="U5765" s="9">
        <v>25.139615720574728</v>
      </c>
      <c r="V5765" s="9">
        <v>25.139615720574728</v>
      </c>
      <c r="W5765" s="9">
        <v>25.139615720574728</v>
      </c>
      <c r="X5765" s="9">
        <v>28.431126761040446</v>
      </c>
      <c r="Y5765" s="9">
        <v>28.431126761040446</v>
      </c>
      <c r="Z5765" s="9">
        <v>31.8133765751437</v>
      </c>
      <c r="AA5765" s="9">
        <v>31.8133765751437</v>
      </c>
      <c r="AB5765" s="9">
        <v>35.295439040248269</v>
      </c>
      <c r="AC5765" s="9">
        <v>35.295439040248269</v>
      </c>
      <c r="AD5765" s="9">
        <v>40.66038110622798</v>
      </c>
      <c r="AE5765" s="9">
        <v>44.145469767258199</v>
      </c>
      <c r="AF5765" s="9">
        <v>47.802065076832598</v>
      </c>
      <c r="AG5765" s="9">
        <v>47.802065076832598</v>
      </c>
      <c r="AH5765" s="9">
        <v>52.368463891218347</v>
      </c>
      <c r="AI5765" s="9">
        <v>56.090712435126555</v>
      </c>
      <c r="AJ5765" s="9">
        <v>3.0428788910505911</v>
      </c>
    </row>
    <row r="5766" spans="1:36" x14ac:dyDescent="0.25">
      <c r="A5766" t="s">
        <v>5411</v>
      </c>
      <c r="B5766" t="s">
        <v>16</v>
      </c>
      <c r="C5766" t="s">
        <v>17</v>
      </c>
      <c r="D5766">
        <v>98325000</v>
      </c>
      <c r="E5766">
        <v>98329999</v>
      </c>
      <c r="F5766" t="s">
        <v>5210</v>
      </c>
      <c r="G5766" t="str">
        <f t="shared" si="180"/>
        <v>RSI II</v>
      </c>
      <c r="H5766" t="s">
        <v>4915</v>
      </c>
      <c r="I5766" t="s">
        <v>20</v>
      </c>
      <c r="J5766" t="s">
        <v>64</v>
      </c>
      <c r="K5766" s="6">
        <v>0.03</v>
      </c>
      <c r="L5766" s="7">
        <f t="shared" si="181"/>
        <v>2E-3</v>
      </c>
      <c r="M5766" s="7">
        <v>3.0000000000000001E-3</v>
      </c>
      <c r="N5766">
        <v>11</v>
      </c>
      <c r="O5766" s="8">
        <v>20.328747193832452</v>
      </c>
      <c r="P5766" s="9">
        <v>20.328747193832452</v>
      </c>
      <c r="Q5766" s="9">
        <v>20.328747193832452</v>
      </c>
      <c r="R5766" s="9">
        <v>20.901467178587069</v>
      </c>
      <c r="S5766" s="9">
        <v>21.789694031871221</v>
      </c>
      <c r="T5766" s="9">
        <v>22.685842380093916</v>
      </c>
      <c r="U5766" s="9">
        <v>25.139615720574728</v>
      </c>
      <c r="V5766" s="9">
        <v>25.139615720574728</v>
      </c>
      <c r="W5766" s="9">
        <v>25.139615720574728</v>
      </c>
      <c r="X5766" s="9">
        <v>28.431126761040446</v>
      </c>
      <c r="Y5766" s="9">
        <v>28.431126761040446</v>
      </c>
      <c r="Z5766" s="9">
        <v>31.8133765751437</v>
      </c>
      <c r="AA5766" s="9">
        <v>31.8133765751437</v>
      </c>
      <c r="AB5766" s="9">
        <v>35.295439040248269</v>
      </c>
      <c r="AC5766" s="9">
        <v>35.295439040248269</v>
      </c>
      <c r="AD5766" s="9">
        <v>40.66038110622798</v>
      </c>
      <c r="AE5766" s="9">
        <v>44.145469767258199</v>
      </c>
      <c r="AF5766" s="9">
        <v>47.802065076832598</v>
      </c>
      <c r="AG5766" s="9">
        <v>47.802065076832598</v>
      </c>
      <c r="AH5766" s="9">
        <v>52.368463891218347</v>
      </c>
      <c r="AI5766" s="9">
        <v>56.090712435126555</v>
      </c>
      <c r="AJ5766" s="9">
        <v>3.0428788910505911</v>
      </c>
    </row>
    <row r="5767" spans="1:36" x14ac:dyDescent="0.25">
      <c r="A5767" t="s">
        <v>5411</v>
      </c>
      <c r="B5767" t="s">
        <v>16</v>
      </c>
      <c r="C5767" t="s">
        <v>17</v>
      </c>
      <c r="D5767">
        <v>98330000</v>
      </c>
      <c r="E5767">
        <v>98334999</v>
      </c>
      <c r="F5767" t="s">
        <v>5211</v>
      </c>
      <c r="G5767" t="str">
        <f t="shared" si="180"/>
        <v>RSI II</v>
      </c>
      <c r="H5767" t="s">
        <v>4915</v>
      </c>
      <c r="I5767" t="s">
        <v>20</v>
      </c>
      <c r="J5767" t="s">
        <v>64</v>
      </c>
      <c r="K5767" s="6">
        <v>0.03</v>
      </c>
      <c r="L5767" s="7">
        <f t="shared" si="181"/>
        <v>2E-3</v>
      </c>
      <c r="M5767" s="7">
        <v>3.0000000000000001E-3</v>
      </c>
      <c r="N5767">
        <v>11</v>
      </c>
      <c r="O5767" s="8">
        <v>20.328747193832452</v>
      </c>
      <c r="P5767" s="9">
        <v>20.328747193832452</v>
      </c>
      <c r="Q5767" s="9">
        <v>20.328747193832452</v>
      </c>
      <c r="R5767" s="9">
        <v>20.901467178587069</v>
      </c>
      <c r="S5767" s="9">
        <v>21.789694031871221</v>
      </c>
      <c r="T5767" s="9">
        <v>22.685842380093916</v>
      </c>
      <c r="U5767" s="9">
        <v>25.139615720574728</v>
      </c>
      <c r="V5767" s="9">
        <v>25.139615720574728</v>
      </c>
      <c r="W5767" s="9">
        <v>25.139615720574728</v>
      </c>
      <c r="X5767" s="9">
        <v>28.431126761040446</v>
      </c>
      <c r="Y5767" s="9">
        <v>28.431126761040446</v>
      </c>
      <c r="Z5767" s="9">
        <v>31.8133765751437</v>
      </c>
      <c r="AA5767" s="9">
        <v>31.8133765751437</v>
      </c>
      <c r="AB5767" s="9">
        <v>35.295439040248269</v>
      </c>
      <c r="AC5767" s="9">
        <v>35.295439040248269</v>
      </c>
      <c r="AD5767" s="9">
        <v>40.66038110622798</v>
      </c>
      <c r="AE5767" s="9">
        <v>44.145469767258199</v>
      </c>
      <c r="AF5767" s="9">
        <v>47.802065076832598</v>
      </c>
      <c r="AG5767" s="9">
        <v>47.802065076832598</v>
      </c>
      <c r="AH5767" s="9">
        <v>52.368463891218347</v>
      </c>
      <c r="AI5767" s="9">
        <v>56.090712435126555</v>
      </c>
      <c r="AJ5767" s="9">
        <v>3.0428788910505911</v>
      </c>
    </row>
    <row r="5768" spans="1:36" x14ac:dyDescent="0.25">
      <c r="A5768" t="s">
        <v>5411</v>
      </c>
      <c r="B5768" t="s">
        <v>16</v>
      </c>
      <c r="C5768" t="s">
        <v>17</v>
      </c>
      <c r="D5768">
        <v>98335000</v>
      </c>
      <c r="E5768">
        <v>98337999</v>
      </c>
      <c r="F5768" t="s">
        <v>5212</v>
      </c>
      <c r="G5768" t="str">
        <f t="shared" si="180"/>
        <v>RSI II</v>
      </c>
      <c r="H5768" t="s">
        <v>4915</v>
      </c>
      <c r="I5768" t="s">
        <v>20</v>
      </c>
      <c r="J5768" t="s">
        <v>64</v>
      </c>
      <c r="K5768" s="6">
        <v>0.03</v>
      </c>
      <c r="L5768" s="7">
        <f t="shared" si="181"/>
        <v>2E-3</v>
      </c>
      <c r="M5768" s="7">
        <v>3.0000000000000001E-3</v>
      </c>
      <c r="N5768">
        <v>11</v>
      </c>
      <c r="O5768" s="8">
        <v>20.328747193832452</v>
      </c>
      <c r="P5768" s="9">
        <v>20.328747193832452</v>
      </c>
      <c r="Q5768" s="9">
        <v>20.328747193832452</v>
      </c>
      <c r="R5768" s="9">
        <v>20.901467178587069</v>
      </c>
      <c r="S5768" s="9">
        <v>21.789694031871221</v>
      </c>
      <c r="T5768" s="9">
        <v>22.685842380093916</v>
      </c>
      <c r="U5768" s="9">
        <v>25.139615720574728</v>
      </c>
      <c r="V5768" s="9">
        <v>25.139615720574728</v>
      </c>
      <c r="W5768" s="9">
        <v>25.139615720574728</v>
      </c>
      <c r="X5768" s="9">
        <v>28.431126761040446</v>
      </c>
      <c r="Y5768" s="9">
        <v>28.431126761040446</v>
      </c>
      <c r="Z5768" s="9">
        <v>31.8133765751437</v>
      </c>
      <c r="AA5768" s="9">
        <v>31.8133765751437</v>
      </c>
      <c r="AB5768" s="9">
        <v>35.295439040248269</v>
      </c>
      <c r="AC5768" s="9">
        <v>35.295439040248269</v>
      </c>
      <c r="AD5768" s="9">
        <v>40.66038110622798</v>
      </c>
      <c r="AE5768" s="9">
        <v>44.145469767258199</v>
      </c>
      <c r="AF5768" s="9">
        <v>47.802065076832598</v>
      </c>
      <c r="AG5768" s="9">
        <v>47.802065076832598</v>
      </c>
      <c r="AH5768" s="9">
        <v>52.368463891218347</v>
      </c>
      <c r="AI5768" s="9">
        <v>56.090712435126555</v>
      </c>
      <c r="AJ5768" s="9">
        <v>3.0428788910505911</v>
      </c>
    </row>
    <row r="5769" spans="1:36" x14ac:dyDescent="0.25">
      <c r="A5769" t="s">
        <v>5411</v>
      </c>
      <c r="B5769" t="s">
        <v>16</v>
      </c>
      <c r="C5769" t="s">
        <v>17</v>
      </c>
      <c r="D5769">
        <v>98338000</v>
      </c>
      <c r="E5769">
        <v>98339999</v>
      </c>
      <c r="F5769" t="s">
        <v>5213</v>
      </c>
      <c r="G5769" t="str">
        <f t="shared" si="180"/>
        <v>RSI II</v>
      </c>
      <c r="H5769" t="s">
        <v>4915</v>
      </c>
      <c r="I5769" t="s">
        <v>20</v>
      </c>
      <c r="J5769" t="s">
        <v>64</v>
      </c>
      <c r="K5769" s="6">
        <v>0.03</v>
      </c>
      <c r="L5769" s="7">
        <f t="shared" si="181"/>
        <v>2E-3</v>
      </c>
      <c r="M5769" s="7">
        <v>3.0000000000000001E-3</v>
      </c>
      <c r="N5769">
        <v>11</v>
      </c>
      <c r="O5769" s="8">
        <v>20.328747193832452</v>
      </c>
      <c r="P5769" s="9">
        <v>20.328747193832452</v>
      </c>
      <c r="Q5769" s="9">
        <v>20.328747193832452</v>
      </c>
      <c r="R5769" s="9">
        <v>20.901467178587069</v>
      </c>
      <c r="S5769" s="9">
        <v>21.789694031871221</v>
      </c>
      <c r="T5769" s="9">
        <v>22.685842380093916</v>
      </c>
      <c r="U5769" s="9">
        <v>25.139615720574728</v>
      </c>
      <c r="V5769" s="9">
        <v>25.139615720574728</v>
      </c>
      <c r="W5769" s="9">
        <v>25.139615720574728</v>
      </c>
      <c r="X5769" s="9">
        <v>28.431126761040446</v>
      </c>
      <c r="Y5769" s="9">
        <v>28.431126761040446</v>
      </c>
      <c r="Z5769" s="9">
        <v>31.8133765751437</v>
      </c>
      <c r="AA5769" s="9">
        <v>31.8133765751437</v>
      </c>
      <c r="AB5769" s="9">
        <v>35.295439040248269</v>
      </c>
      <c r="AC5769" s="9">
        <v>35.295439040248269</v>
      </c>
      <c r="AD5769" s="9">
        <v>40.66038110622798</v>
      </c>
      <c r="AE5769" s="9">
        <v>44.145469767258199</v>
      </c>
      <c r="AF5769" s="9">
        <v>47.802065076832598</v>
      </c>
      <c r="AG5769" s="9">
        <v>47.802065076832598</v>
      </c>
      <c r="AH5769" s="9">
        <v>52.368463891218347</v>
      </c>
      <c r="AI5769" s="9">
        <v>56.090712435126555</v>
      </c>
      <c r="AJ5769" s="9">
        <v>3.0428788910505911</v>
      </c>
    </row>
    <row r="5770" spans="1:36" x14ac:dyDescent="0.25">
      <c r="A5770" t="s">
        <v>5411</v>
      </c>
      <c r="B5770" t="s">
        <v>16</v>
      </c>
      <c r="C5770" t="s">
        <v>17</v>
      </c>
      <c r="D5770">
        <v>98340000</v>
      </c>
      <c r="E5770">
        <v>98344999</v>
      </c>
      <c r="F5770" t="s">
        <v>5214</v>
      </c>
      <c r="G5770" t="str">
        <f t="shared" si="180"/>
        <v>RSI II</v>
      </c>
      <c r="H5770" t="s">
        <v>4915</v>
      </c>
      <c r="I5770" t="s">
        <v>20</v>
      </c>
      <c r="J5770" t="s">
        <v>64</v>
      </c>
      <c r="K5770" s="6">
        <v>0.03</v>
      </c>
      <c r="L5770" s="7">
        <f t="shared" si="181"/>
        <v>2E-3</v>
      </c>
      <c r="M5770" s="7">
        <v>3.0000000000000001E-3</v>
      </c>
      <c r="N5770">
        <v>11</v>
      </c>
      <c r="O5770" s="8">
        <v>20.328747193832452</v>
      </c>
      <c r="P5770" s="9">
        <v>20.328747193832452</v>
      </c>
      <c r="Q5770" s="9">
        <v>20.328747193832452</v>
      </c>
      <c r="R5770" s="9">
        <v>20.901467178587069</v>
      </c>
      <c r="S5770" s="9">
        <v>21.789694031871221</v>
      </c>
      <c r="T5770" s="9">
        <v>22.685842380093916</v>
      </c>
      <c r="U5770" s="9">
        <v>25.139615720574728</v>
      </c>
      <c r="V5770" s="9">
        <v>25.139615720574728</v>
      </c>
      <c r="W5770" s="9">
        <v>25.139615720574728</v>
      </c>
      <c r="X5770" s="9">
        <v>28.431126761040446</v>
      </c>
      <c r="Y5770" s="9">
        <v>28.431126761040446</v>
      </c>
      <c r="Z5770" s="9">
        <v>31.8133765751437</v>
      </c>
      <c r="AA5770" s="9">
        <v>31.8133765751437</v>
      </c>
      <c r="AB5770" s="9">
        <v>35.295439040248269</v>
      </c>
      <c r="AC5770" s="9">
        <v>35.295439040248269</v>
      </c>
      <c r="AD5770" s="9">
        <v>40.66038110622798</v>
      </c>
      <c r="AE5770" s="9">
        <v>44.145469767258199</v>
      </c>
      <c r="AF5770" s="9">
        <v>47.802065076832598</v>
      </c>
      <c r="AG5770" s="9">
        <v>47.802065076832598</v>
      </c>
      <c r="AH5770" s="9">
        <v>52.368463891218347</v>
      </c>
      <c r="AI5770" s="9">
        <v>56.090712435126555</v>
      </c>
      <c r="AJ5770" s="9">
        <v>3.0428788910505911</v>
      </c>
    </row>
    <row r="5771" spans="1:36" x14ac:dyDescent="0.25">
      <c r="A5771" t="s">
        <v>5411</v>
      </c>
      <c r="B5771" t="s">
        <v>16</v>
      </c>
      <c r="C5771" t="s">
        <v>17</v>
      </c>
      <c r="D5771">
        <v>98345000</v>
      </c>
      <c r="E5771">
        <v>98349999</v>
      </c>
      <c r="F5771" t="s">
        <v>5215</v>
      </c>
      <c r="G5771" t="str">
        <f t="shared" si="180"/>
        <v>RSI II</v>
      </c>
      <c r="H5771" t="s">
        <v>4915</v>
      </c>
      <c r="I5771" t="s">
        <v>20</v>
      </c>
      <c r="J5771" t="s">
        <v>64</v>
      </c>
      <c r="K5771" s="6">
        <v>0.03</v>
      </c>
      <c r="L5771" s="7">
        <f t="shared" si="181"/>
        <v>2E-3</v>
      </c>
      <c r="M5771" s="7">
        <v>3.0000000000000001E-3</v>
      </c>
      <c r="N5771">
        <v>11</v>
      </c>
      <c r="O5771" s="8">
        <v>20.328747193832452</v>
      </c>
      <c r="P5771" s="9">
        <v>20.328747193832452</v>
      </c>
      <c r="Q5771" s="9">
        <v>20.328747193832452</v>
      </c>
      <c r="R5771" s="9">
        <v>20.901467178587069</v>
      </c>
      <c r="S5771" s="9">
        <v>21.789694031871221</v>
      </c>
      <c r="T5771" s="9">
        <v>22.685842380093916</v>
      </c>
      <c r="U5771" s="9">
        <v>25.139615720574728</v>
      </c>
      <c r="V5771" s="9">
        <v>25.139615720574728</v>
      </c>
      <c r="W5771" s="9">
        <v>25.139615720574728</v>
      </c>
      <c r="X5771" s="9">
        <v>28.431126761040446</v>
      </c>
      <c r="Y5771" s="9">
        <v>28.431126761040446</v>
      </c>
      <c r="Z5771" s="9">
        <v>31.8133765751437</v>
      </c>
      <c r="AA5771" s="9">
        <v>31.8133765751437</v>
      </c>
      <c r="AB5771" s="9">
        <v>35.295439040248269</v>
      </c>
      <c r="AC5771" s="9">
        <v>35.295439040248269</v>
      </c>
      <c r="AD5771" s="9">
        <v>40.66038110622798</v>
      </c>
      <c r="AE5771" s="9">
        <v>44.145469767258199</v>
      </c>
      <c r="AF5771" s="9">
        <v>47.802065076832598</v>
      </c>
      <c r="AG5771" s="9">
        <v>47.802065076832598</v>
      </c>
      <c r="AH5771" s="9">
        <v>52.368463891218347</v>
      </c>
      <c r="AI5771" s="9">
        <v>56.090712435126555</v>
      </c>
      <c r="AJ5771" s="9">
        <v>3.0428788910505911</v>
      </c>
    </row>
    <row r="5772" spans="1:36" x14ac:dyDescent="0.25">
      <c r="A5772" t="s">
        <v>5411</v>
      </c>
      <c r="B5772" t="s">
        <v>16</v>
      </c>
      <c r="C5772" t="s">
        <v>17</v>
      </c>
      <c r="D5772">
        <v>98350000</v>
      </c>
      <c r="E5772">
        <v>98359999</v>
      </c>
      <c r="F5772" t="s">
        <v>5216</v>
      </c>
      <c r="G5772" t="str">
        <f t="shared" si="180"/>
        <v>RSI II</v>
      </c>
      <c r="H5772" t="s">
        <v>4915</v>
      </c>
      <c r="I5772" t="s">
        <v>20</v>
      </c>
      <c r="J5772" t="s">
        <v>64</v>
      </c>
      <c r="K5772" s="6">
        <v>0.03</v>
      </c>
      <c r="L5772" s="7">
        <f t="shared" si="181"/>
        <v>2E-3</v>
      </c>
      <c r="M5772" s="7">
        <v>3.0000000000000001E-3</v>
      </c>
      <c r="N5772">
        <v>11</v>
      </c>
      <c r="O5772" s="8">
        <v>20.328747193832452</v>
      </c>
      <c r="P5772" s="9">
        <v>20.328747193832452</v>
      </c>
      <c r="Q5772" s="9">
        <v>20.328747193832452</v>
      </c>
      <c r="R5772" s="9">
        <v>20.901467178587069</v>
      </c>
      <c r="S5772" s="9">
        <v>21.789694031871221</v>
      </c>
      <c r="T5772" s="9">
        <v>22.685842380093916</v>
      </c>
      <c r="U5772" s="9">
        <v>25.139615720574728</v>
      </c>
      <c r="V5772" s="9">
        <v>25.139615720574728</v>
      </c>
      <c r="W5772" s="9">
        <v>25.139615720574728</v>
      </c>
      <c r="X5772" s="9">
        <v>28.431126761040446</v>
      </c>
      <c r="Y5772" s="9">
        <v>28.431126761040446</v>
      </c>
      <c r="Z5772" s="9">
        <v>31.8133765751437</v>
      </c>
      <c r="AA5772" s="9">
        <v>31.8133765751437</v>
      </c>
      <c r="AB5772" s="9">
        <v>35.295439040248269</v>
      </c>
      <c r="AC5772" s="9">
        <v>35.295439040248269</v>
      </c>
      <c r="AD5772" s="9">
        <v>40.66038110622798</v>
      </c>
      <c r="AE5772" s="9">
        <v>44.145469767258199</v>
      </c>
      <c r="AF5772" s="9">
        <v>47.802065076832598</v>
      </c>
      <c r="AG5772" s="9">
        <v>47.802065076832598</v>
      </c>
      <c r="AH5772" s="9">
        <v>52.368463891218347</v>
      </c>
      <c r="AI5772" s="9">
        <v>56.090712435126555</v>
      </c>
      <c r="AJ5772" s="9">
        <v>3.0428788910505911</v>
      </c>
    </row>
    <row r="5773" spans="1:36" x14ac:dyDescent="0.25">
      <c r="A5773" t="s">
        <v>5411</v>
      </c>
      <c r="B5773" t="s">
        <v>16</v>
      </c>
      <c r="C5773" t="s">
        <v>17</v>
      </c>
      <c r="D5773">
        <v>98360000</v>
      </c>
      <c r="E5773">
        <v>98367999</v>
      </c>
      <c r="F5773" t="s">
        <v>5217</v>
      </c>
      <c r="G5773" t="str">
        <f t="shared" si="180"/>
        <v>RSI II</v>
      </c>
      <c r="H5773" t="s">
        <v>4915</v>
      </c>
      <c r="I5773" t="s">
        <v>20</v>
      </c>
      <c r="J5773" t="s">
        <v>64</v>
      </c>
      <c r="K5773" s="6">
        <v>0.03</v>
      </c>
      <c r="L5773" s="7">
        <f t="shared" si="181"/>
        <v>2E-3</v>
      </c>
      <c r="M5773" s="7">
        <v>3.0000000000000001E-3</v>
      </c>
      <c r="N5773">
        <v>11</v>
      </c>
      <c r="O5773" s="8">
        <v>20.328747193832452</v>
      </c>
      <c r="P5773" s="9">
        <v>20.328747193832452</v>
      </c>
      <c r="Q5773" s="9">
        <v>20.328747193832452</v>
      </c>
      <c r="R5773" s="9">
        <v>20.901467178587069</v>
      </c>
      <c r="S5773" s="9">
        <v>21.789694031871221</v>
      </c>
      <c r="T5773" s="9">
        <v>22.685842380093916</v>
      </c>
      <c r="U5773" s="9">
        <v>25.139615720574728</v>
      </c>
      <c r="V5773" s="9">
        <v>25.139615720574728</v>
      </c>
      <c r="W5773" s="9">
        <v>25.139615720574728</v>
      </c>
      <c r="X5773" s="9">
        <v>28.431126761040446</v>
      </c>
      <c r="Y5773" s="9">
        <v>28.431126761040446</v>
      </c>
      <c r="Z5773" s="9">
        <v>31.8133765751437</v>
      </c>
      <c r="AA5773" s="9">
        <v>31.8133765751437</v>
      </c>
      <c r="AB5773" s="9">
        <v>35.295439040248269</v>
      </c>
      <c r="AC5773" s="9">
        <v>35.295439040248269</v>
      </c>
      <c r="AD5773" s="9">
        <v>40.66038110622798</v>
      </c>
      <c r="AE5773" s="9">
        <v>44.145469767258199</v>
      </c>
      <c r="AF5773" s="9">
        <v>47.802065076832598</v>
      </c>
      <c r="AG5773" s="9">
        <v>47.802065076832598</v>
      </c>
      <c r="AH5773" s="9">
        <v>52.368463891218347</v>
      </c>
      <c r="AI5773" s="9">
        <v>56.090712435126555</v>
      </c>
      <c r="AJ5773" s="9">
        <v>3.0428788910505911</v>
      </c>
    </row>
    <row r="5774" spans="1:36" x14ac:dyDescent="0.25">
      <c r="A5774" t="s">
        <v>5411</v>
      </c>
      <c r="B5774" t="s">
        <v>16</v>
      </c>
      <c r="C5774" t="s">
        <v>17</v>
      </c>
      <c r="D5774">
        <v>98368000</v>
      </c>
      <c r="E5774">
        <v>98369999</v>
      </c>
      <c r="F5774" t="s">
        <v>5218</v>
      </c>
      <c r="G5774" t="str">
        <f t="shared" si="180"/>
        <v>RSI II</v>
      </c>
      <c r="H5774" t="s">
        <v>4915</v>
      </c>
      <c r="I5774" t="s">
        <v>20</v>
      </c>
      <c r="J5774" t="s">
        <v>64</v>
      </c>
      <c r="K5774" s="6">
        <v>0.03</v>
      </c>
      <c r="L5774" s="7">
        <f t="shared" si="181"/>
        <v>2E-3</v>
      </c>
      <c r="M5774" s="7">
        <v>3.0000000000000001E-3</v>
      </c>
      <c r="N5774">
        <v>11</v>
      </c>
      <c r="O5774" s="8">
        <v>20.328747193832452</v>
      </c>
      <c r="P5774" s="9">
        <v>20.328747193832452</v>
      </c>
      <c r="Q5774" s="9">
        <v>20.328747193832452</v>
      </c>
      <c r="R5774" s="9">
        <v>20.901467178587069</v>
      </c>
      <c r="S5774" s="9">
        <v>21.789694031871221</v>
      </c>
      <c r="T5774" s="9">
        <v>22.685842380093916</v>
      </c>
      <c r="U5774" s="9">
        <v>25.139615720574728</v>
      </c>
      <c r="V5774" s="9">
        <v>25.139615720574728</v>
      </c>
      <c r="W5774" s="9">
        <v>25.139615720574728</v>
      </c>
      <c r="X5774" s="9">
        <v>28.431126761040446</v>
      </c>
      <c r="Y5774" s="9">
        <v>28.431126761040446</v>
      </c>
      <c r="Z5774" s="9">
        <v>31.8133765751437</v>
      </c>
      <c r="AA5774" s="9">
        <v>31.8133765751437</v>
      </c>
      <c r="AB5774" s="9">
        <v>35.295439040248269</v>
      </c>
      <c r="AC5774" s="9">
        <v>35.295439040248269</v>
      </c>
      <c r="AD5774" s="9">
        <v>40.66038110622798</v>
      </c>
      <c r="AE5774" s="9">
        <v>44.145469767258199</v>
      </c>
      <c r="AF5774" s="9">
        <v>47.802065076832598</v>
      </c>
      <c r="AG5774" s="9">
        <v>47.802065076832598</v>
      </c>
      <c r="AH5774" s="9">
        <v>52.368463891218347</v>
      </c>
      <c r="AI5774" s="9">
        <v>56.090712435126555</v>
      </c>
      <c r="AJ5774" s="9">
        <v>3.0428788910505911</v>
      </c>
    </row>
    <row r="5775" spans="1:36" x14ac:dyDescent="0.25">
      <c r="A5775" t="s">
        <v>5411</v>
      </c>
      <c r="B5775" t="s">
        <v>16</v>
      </c>
      <c r="C5775" t="s">
        <v>17</v>
      </c>
      <c r="D5775">
        <v>98370000</v>
      </c>
      <c r="E5775">
        <v>98379999</v>
      </c>
      <c r="F5775" t="s">
        <v>5219</v>
      </c>
      <c r="G5775" t="str">
        <f t="shared" si="180"/>
        <v>RSI II</v>
      </c>
      <c r="H5775" t="s">
        <v>4915</v>
      </c>
      <c r="I5775" t="s">
        <v>20</v>
      </c>
      <c r="J5775" t="s">
        <v>64</v>
      </c>
      <c r="K5775" s="6">
        <v>0.03</v>
      </c>
      <c r="L5775" s="7">
        <f t="shared" si="181"/>
        <v>2E-3</v>
      </c>
      <c r="M5775" s="7">
        <v>3.0000000000000001E-3</v>
      </c>
      <c r="N5775">
        <v>11</v>
      </c>
      <c r="O5775" s="8">
        <v>20.328747193832452</v>
      </c>
      <c r="P5775" s="9">
        <v>20.328747193832452</v>
      </c>
      <c r="Q5775" s="9">
        <v>20.328747193832452</v>
      </c>
      <c r="R5775" s="9">
        <v>20.901467178587069</v>
      </c>
      <c r="S5775" s="9">
        <v>21.789694031871221</v>
      </c>
      <c r="T5775" s="9">
        <v>22.685842380093916</v>
      </c>
      <c r="U5775" s="9">
        <v>25.139615720574728</v>
      </c>
      <c r="V5775" s="9">
        <v>25.139615720574728</v>
      </c>
      <c r="W5775" s="9">
        <v>25.139615720574728</v>
      </c>
      <c r="X5775" s="9">
        <v>28.431126761040446</v>
      </c>
      <c r="Y5775" s="9">
        <v>28.431126761040446</v>
      </c>
      <c r="Z5775" s="9">
        <v>31.8133765751437</v>
      </c>
      <c r="AA5775" s="9">
        <v>31.8133765751437</v>
      </c>
      <c r="AB5775" s="9">
        <v>35.295439040248269</v>
      </c>
      <c r="AC5775" s="9">
        <v>35.295439040248269</v>
      </c>
      <c r="AD5775" s="9">
        <v>40.66038110622798</v>
      </c>
      <c r="AE5775" s="9">
        <v>44.145469767258199</v>
      </c>
      <c r="AF5775" s="9">
        <v>47.802065076832598</v>
      </c>
      <c r="AG5775" s="9">
        <v>47.802065076832598</v>
      </c>
      <c r="AH5775" s="9">
        <v>52.368463891218347</v>
      </c>
      <c r="AI5775" s="9">
        <v>56.090712435126555</v>
      </c>
      <c r="AJ5775" s="9">
        <v>3.0428788910505911</v>
      </c>
    </row>
    <row r="5776" spans="1:36" x14ac:dyDescent="0.25">
      <c r="A5776" t="s">
        <v>5411</v>
      </c>
      <c r="B5776" t="s">
        <v>16</v>
      </c>
      <c r="C5776" t="s">
        <v>17</v>
      </c>
      <c r="D5776">
        <v>98380000</v>
      </c>
      <c r="E5776">
        <v>98384999</v>
      </c>
      <c r="F5776" t="s">
        <v>5220</v>
      </c>
      <c r="G5776" t="str">
        <f t="shared" si="180"/>
        <v>RSI II</v>
      </c>
      <c r="H5776" t="s">
        <v>4915</v>
      </c>
      <c r="I5776" t="s">
        <v>20</v>
      </c>
      <c r="J5776" t="s">
        <v>64</v>
      </c>
      <c r="K5776" s="6">
        <v>0.03</v>
      </c>
      <c r="L5776" s="7">
        <f t="shared" si="181"/>
        <v>2E-3</v>
      </c>
      <c r="M5776" s="7">
        <v>3.0000000000000001E-3</v>
      </c>
      <c r="N5776">
        <v>11</v>
      </c>
      <c r="O5776" s="8">
        <v>20.328747193832452</v>
      </c>
      <c r="P5776" s="9">
        <v>20.328747193832452</v>
      </c>
      <c r="Q5776" s="9">
        <v>20.328747193832452</v>
      </c>
      <c r="R5776" s="9">
        <v>20.901467178587069</v>
      </c>
      <c r="S5776" s="9">
        <v>21.789694031871221</v>
      </c>
      <c r="T5776" s="9">
        <v>22.685842380093916</v>
      </c>
      <c r="U5776" s="9">
        <v>25.139615720574728</v>
      </c>
      <c r="V5776" s="9">
        <v>25.139615720574728</v>
      </c>
      <c r="W5776" s="9">
        <v>25.139615720574728</v>
      </c>
      <c r="X5776" s="9">
        <v>28.431126761040446</v>
      </c>
      <c r="Y5776" s="9">
        <v>28.431126761040446</v>
      </c>
      <c r="Z5776" s="9">
        <v>31.8133765751437</v>
      </c>
      <c r="AA5776" s="9">
        <v>31.8133765751437</v>
      </c>
      <c r="AB5776" s="9">
        <v>35.295439040248269</v>
      </c>
      <c r="AC5776" s="9">
        <v>35.295439040248269</v>
      </c>
      <c r="AD5776" s="9">
        <v>40.66038110622798</v>
      </c>
      <c r="AE5776" s="9">
        <v>44.145469767258199</v>
      </c>
      <c r="AF5776" s="9">
        <v>47.802065076832598</v>
      </c>
      <c r="AG5776" s="9">
        <v>47.802065076832598</v>
      </c>
      <c r="AH5776" s="9">
        <v>52.368463891218347</v>
      </c>
      <c r="AI5776" s="9">
        <v>56.090712435126555</v>
      </c>
      <c r="AJ5776" s="9">
        <v>3.0428788910505911</v>
      </c>
    </row>
    <row r="5777" spans="1:36" x14ac:dyDescent="0.25">
      <c r="A5777" t="s">
        <v>5411</v>
      </c>
      <c r="B5777" t="s">
        <v>16</v>
      </c>
      <c r="C5777" t="s">
        <v>17</v>
      </c>
      <c r="D5777">
        <v>98385000</v>
      </c>
      <c r="E5777">
        <v>98389999</v>
      </c>
      <c r="F5777" t="s">
        <v>5221</v>
      </c>
      <c r="G5777" t="str">
        <f t="shared" si="180"/>
        <v>RSI II</v>
      </c>
      <c r="H5777" t="s">
        <v>4915</v>
      </c>
      <c r="I5777" t="s">
        <v>20</v>
      </c>
      <c r="J5777" t="s">
        <v>64</v>
      </c>
      <c r="K5777" s="6">
        <v>0.03</v>
      </c>
      <c r="L5777" s="7">
        <f t="shared" si="181"/>
        <v>2E-3</v>
      </c>
      <c r="M5777" s="7">
        <v>3.0000000000000001E-3</v>
      </c>
      <c r="N5777">
        <v>11</v>
      </c>
      <c r="O5777" s="8">
        <v>20.328747193832452</v>
      </c>
      <c r="P5777" s="9">
        <v>20.328747193832452</v>
      </c>
      <c r="Q5777" s="9">
        <v>20.328747193832452</v>
      </c>
      <c r="R5777" s="9">
        <v>20.901467178587069</v>
      </c>
      <c r="S5777" s="9">
        <v>21.789694031871221</v>
      </c>
      <c r="T5777" s="9">
        <v>22.685842380093916</v>
      </c>
      <c r="U5777" s="9">
        <v>25.139615720574728</v>
      </c>
      <c r="V5777" s="9">
        <v>25.139615720574728</v>
      </c>
      <c r="W5777" s="9">
        <v>25.139615720574728</v>
      </c>
      <c r="X5777" s="9">
        <v>28.431126761040446</v>
      </c>
      <c r="Y5777" s="9">
        <v>28.431126761040446</v>
      </c>
      <c r="Z5777" s="9">
        <v>31.8133765751437</v>
      </c>
      <c r="AA5777" s="9">
        <v>31.8133765751437</v>
      </c>
      <c r="AB5777" s="9">
        <v>35.295439040248269</v>
      </c>
      <c r="AC5777" s="9">
        <v>35.295439040248269</v>
      </c>
      <c r="AD5777" s="9">
        <v>40.66038110622798</v>
      </c>
      <c r="AE5777" s="9">
        <v>44.145469767258199</v>
      </c>
      <c r="AF5777" s="9">
        <v>47.802065076832598</v>
      </c>
      <c r="AG5777" s="9">
        <v>47.802065076832598</v>
      </c>
      <c r="AH5777" s="9">
        <v>52.368463891218347</v>
      </c>
      <c r="AI5777" s="9">
        <v>56.090712435126555</v>
      </c>
      <c r="AJ5777" s="9">
        <v>3.0428788910505911</v>
      </c>
    </row>
    <row r="5778" spans="1:36" x14ac:dyDescent="0.25">
      <c r="A5778" t="s">
        <v>5411</v>
      </c>
      <c r="B5778" t="s">
        <v>16</v>
      </c>
      <c r="C5778" t="s">
        <v>17</v>
      </c>
      <c r="D5778">
        <v>98390000</v>
      </c>
      <c r="E5778">
        <v>98399999</v>
      </c>
      <c r="F5778" t="s">
        <v>5222</v>
      </c>
      <c r="G5778" t="str">
        <f t="shared" si="180"/>
        <v>RSI II</v>
      </c>
      <c r="H5778" t="s">
        <v>4915</v>
      </c>
      <c r="I5778" t="s">
        <v>20</v>
      </c>
      <c r="J5778" t="s">
        <v>64</v>
      </c>
      <c r="K5778" s="6">
        <v>0.03</v>
      </c>
      <c r="L5778" s="7">
        <f t="shared" si="181"/>
        <v>2E-3</v>
      </c>
      <c r="M5778" s="7">
        <v>3.0000000000000001E-3</v>
      </c>
      <c r="N5778">
        <v>11</v>
      </c>
      <c r="O5778" s="8">
        <v>20.328747193832452</v>
      </c>
      <c r="P5778" s="9">
        <v>20.328747193832452</v>
      </c>
      <c r="Q5778" s="9">
        <v>20.328747193832452</v>
      </c>
      <c r="R5778" s="9">
        <v>20.901467178587069</v>
      </c>
      <c r="S5778" s="9">
        <v>21.789694031871221</v>
      </c>
      <c r="T5778" s="9">
        <v>22.685842380093916</v>
      </c>
      <c r="U5778" s="9">
        <v>25.139615720574728</v>
      </c>
      <c r="V5778" s="9">
        <v>25.139615720574728</v>
      </c>
      <c r="W5778" s="9">
        <v>25.139615720574728</v>
      </c>
      <c r="X5778" s="9">
        <v>28.431126761040446</v>
      </c>
      <c r="Y5778" s="9">
        <v>28.431126761040446</v>
      </c>
      <c r="Z5778" s="9">
        <v>31.8133765751437</v>
      </c>
      <c r="AA5778" s="9">
        <v>31.8133765751437</v>
      </c>
      <c r="AB5778" s="9">
        <v>35.295439040248269</v>
      </c>
      <c r="AC5778" s="9">
        <v>35.295439040248269</v>
      </c>
      <c r="AD5778" s="9">
        <v>40.66038110622798</v>
      </c>
      <c r="AE5778" s="9">
        <v>44.145469767258199</v>
      </c>
      <c r="AF5778" s="9">
        <v>47.802065076832598</v>
      </c>
      <c r="AG5778" s="9">
        <v>47.802065076832598</v>
      </c>
      <c r="AH5778" s="9">
        <v>52.368463891218347</v>
      </c>
      <c r="AI5778" s="9">
        <v>56.090712435126555</v>
      </c>
      <c r="AJ5778" s="9">
        <v>3.0428788910505911</v>
      </c>
    </row>
    <row r="5779" spans="1:36" x14ac:dyDescent="0.25">
      <c r="A5779" t="s">
        <v>5411</v>
      </c>
      <c r="B5779" t="s">
        <v>16</v>
      </c>
      <c r="C5779" t="s">
        <v>17</v>
      </c>
      <c r="D5779">
        <v>98400000</v>
      </c>
      <c r="E5779">
        <v>98409999</v>
      </c>
      <c r="F5779" t="s">
        <v>5223</v>
      </c>
      <c r="G5779" t="str">
        <f t="shared" si="180"/>
        <v>RSI II</v>
      </c>
      <c r="H5779" t="s">
        <v>4915</v>
      </c>
      <c r="I5779" t="s">
        <v>20</v>
      </c>
      <c r="J5779" t="s">
        <v>64</v>
      </c>
      <c r="K5779" s="6">
        <v>0.03</v>
      </c>
      <c r="L5779" s="7">
        <f t="shared" si="181"/>
        <v>2E-3</v>
      </c>
      <c r="M5779" s="7">
        <v>3.0000000000000001E-3</v>
      </c>
      <c r="N5779">
        <v>8</v>
      </c>
      <c r="O5779" s="8">
        <v>20.328747193832452</v>
      </c>
      <c r="P5779" s="9">
        <v>20.328747193832452</v>
      </c>
      <c r="Q5779" s="9">
        <v>20.328747193832452</v>
      </c>
      <c r="R5779" s="9">
        <v>20.901467178587069</v>
      </c>
      <c r="S5779" s="9">
        <v>21.789694031871221</v>
      </c>
      <c r="T5779" s="9">
        <v>22.685842380093916</v>
      </c>
      <c r="U5779" s="9">
        <v>25.139615720574728</v>
      </c>
      <c r="V5779" s="9">
        <v>25.139615720574728</v>
      </c>
      <c r="W5779" s="9">
        <v>25.139615720574728</v>
      </c>
      <c r="X5779" s="9">
        <v>28.431126761040446</v>
      </c>
      <c r="Y5779" s="9">
        <v>28.431126761040446</v>
      </c>
      <c r="Z5779" s="9">
        <v>31.8133765751437</v>
      </c>
      <c r="AA5779" s="9">
        <v>31.8133765751437</v>
      </c>
      <c r="AB5779" s="9">
        <v>35.295439040248269</v>
      </c>
      <c r="AC5779" s="9">
        <v>35.295439040248269</v>
      </c>
      <c r="AD5779" s="9">
        <v>40.66038110622798</v>
      </c>
      <c r="AE5779" s="9">
        <v>44.145469767258199</v>
      </c>
      <c r="AF5779" s="9">
        <v>47.802065076832598</v>
      </c>
      <c r="AG5779" s="9">
        <v>47.802065076832598</v>
      </c>
      <c r="AH5779" s="9">
        <v>52.368463891218347</v>
      </c>
      <c r="AI5779" s="9">
        <v>56.090712435126555</v>
      </c>
      <c r="AJ5779" s="9">
        <v>3.0428788910505911</v>
      </c>
    </row>
    <row r="5780" spans="1:36" x14ac:dyDescent="0.25">
      <c r="A5780" t="s">
        <v>5411</v>
      </c>
      <c r="B5780" t="s">
        <v>16</v>
      </c>
      <c r="C5780" t="s">
        <v>17</v>
      </c>
      <c r="D5780">
        <v>98410000</v>
      </c>
      <c r="E5780">
        <v>98414999</v>
      </c>
      <c r="F5780" t="s">
        <v>5224</v>
      </c>
      <c r="G5780" t="str">
        <f t="shared" si="180"/>
        <v>RSI II</v>
      </c>
      <c r="H5780" t="s">
        <v>4915</v>
      </c>
      <c r="I5780" t="s">
        <v>20</v>
      </c>
      <c r="J5780" t="s">
        <v>64</v>
      </c>
      <c r="K5780" s="6">
        <v>0.03</v>
      </c>
      <c r="L5780" s="7">
        <f t="shared" si="181"/>
        <v>2E-3</v>
      </c>
      <c r="M5780" s="7">
        <v>3.0000000000000001E-3</v>
      </c>
      <c r="N5780">
        <v>11</v>
      </c>
      <c r="O5780" s="8">
        <v>20.328747193832452</v>
      </c>
      <c r="P5780" s="9">
        <v>20.328747193832452</v>
      </c>
      <c r="Q5780" s="9">
        <v>20.328747193832452</v>
      </c>
      <c r="R5780" s="9">
        <v>20.901467178587069</v>
      </c>
      <c r="S5780" s="9">
        <v>21.789694031871221</v>
      </c>
      <c r="T5780" s="9">
        <v>22.685842380093916</v>
      </c>
      <c r="U5780" s="9">
        <v>25.139615720574728</v>
      </c>
      <c r="V5780" s="9">
        <v>25.139615720574728</v>
      </c>
      <c r="W5780" s="9">
        <v>25.139615720574728</v>
      </c>
      <c r="X5780" s="9">
        <v>28.431126761040446</v>
      </c>
      <c r="Y5780" s="9">
        <v>28.431126761040446</v>
      </c>
      <c r="Z5780" s="9">
        <v>31.8133765751437</v>
      </c>
      <c r="AA5780" s="9">
        <v>31.8133765751437</v>
      </c>
      <c r="AB5780" s="9">
        <v>35.295439040248269</v>
      </c>
      <c r="AC5780" s="9">
        <v>35.295439040248269</v>
      </c>
      <c r="AD5780" s="9">
        <v>40.66038110622798</v>
      </c>
      <c r="AE5780" s="9">
        <v>44.145469767258199</v>
      </c>
      <c r="AF5780" s="9">
        <v>47.802065076832598</v>
      </c>
      <c r="AG5780" s="9">
        <v>47.802065076832598</v>
      </c>
      <c r="AH5780" s="9">
        <v>52.368463891218347</v>
      </c>
      <c r="AI5780" s="9">
        <v>56.090712435126555</v>
      </c>
      <c r="AJ5780" s="9">
        <v>3.0428788910505911</v>
      </c>
    </row>
    <row r="5781" spans="1:36" x14ac:dyDescent="0.25">
      <c r="A5781" t="s">
        <v>5411</v>
      </c>
      <c r="B5781" t="s">
        <v>16</v>
      </c>
      <c r="C5781" t="s">
        <v>17</v>
      </c>
      <c r="D5781">
        <v>98415000</v>
      </c>
      <c r="E5781">
        <v>98429999</v>
      </c>
      <c r="F5781" t="s">
        <v>5225</v>
      </c>
      <c r="G5781" t="str">
        <f t="shared" si="180"/>
        <v>RSI II</v>
      </c>
      <c r="H5781" t="s">
        <v>4915</v>
      </c>
      <c r="I5781" t="s">
        <v>20</v>
      </c>
      <c r="J5781" t="s">
        <v>64</v>
      </c>
      <c r="K5781" s="6">
        <v>0.03</v>
      </c>
      <c r="L5781" s="7">
        <f t="shared" si="181"/>
        <v>2E-3</v>
      </c>
      <c r="M5781" s="7">
        <v>3.0000000000000001E-3</v>
      </c>
      <c r="N5781">
        <v>11</v>
      </c>
      <c r="O5781" s="8">
        <v>20.328747193832452</v>
      </c>
      <c r="P5781" s="9">
        <v>20.328747193832452</v>
      </c>
      <c r="Q5781" s="9">
        <v>20.328747193832452</v>
      </c>
      <c r="R5781" s="9">
        <v>20.901467178587069</v>
      </c>
      <c r="S5781" s="9">
        <v>21.789694031871221</v>
      </c>
      <c r="T5781" s="9">
        <v>22.685842380093916</v>
      </c>
      <c r="U5781" s="9">
        <v>25.139615720574728</v>
      </c>
      <c r="V5781" s="9">
        <v>25.139615720574728</v>
      </c>
      <c r="W5781" s="9">
        <v>25.139615720574728</v>
      </c>
      <c r="X5781" s="9">
        <v>28.431126761040446</v>
      </c>
      <c r="Y5781" s="9">
        <v>28.431126761040446</v>
      </c>
      <c r="Z5781" s="9">
        <v>31.8133765751437</v>
      </c>
      <c r="AA5781" s="9">
        <v>31.8133765751437</v>
      </c>
      <c r="AB5781" s="9">
        <v>35.295439040248269</v>
      </c>
      <c r="AC5781" s="9">
        <v>35.295439040248269</v>
      </c>
      <c r="AD5781" s="9">
        <v>40.66038110622798</v>
      </c>
      <c r="AE5781" s="9">
        <v>44.145469767258199</v>
      </c>
      <c r="AF5781" s="9">
        <v>47.802065076832598</v>
      </c>
      <c r="AG5781" s="9">
        <v>47.802065076832598</v>
      </c>
      <c r="AH5781" s="9">
        <v>52.368463891218347</v>
      </c>
      <c r="AI5781" s="9">
        <v>56.090712435126555</v>
      </c>
      <c r="AJ5781" s="9">
        <v>3.0428788910505911</v>
      </c>
    </row>
    <row r="5782" spans="1:36" x14ac:dyDescent="0.25">
      <c r="A5782" t="s">
        <v>5411</v>
      </c>
      <c r="B5782" t="s">
        <v>16</v>
      </c>
      <c r="C5782" t="s">
        <v>17</v>
      </c>
      <c r="D5782">
        <v>98430000</v>
      </c>
      <c r="E5782">
        <v>98434999</v>
      </c>
      <c r="F5782" t="s">
        <v>5226</v>
      </c>
      <c r="G5782" t="str">
        <f t="shared" si="180"/>
        <v>RSI II</v>
      </c>
      <c r="H5782" t="s">
        <v>4915</v>
      </c>
      <c r="I5782" t="s">
        <v>20</v>
      </c>
      <c r="J5782" t="s">
        <v>64</v>
      </c>
      <c r="K5782" s="6">
        <v>0.03</v>
      </c>
      <c r="L5782" s="7">
        <f t="shared" si="181"/>
        <v>2E-3</v>
      </c>
      <c r="M5782" s="7">
        <v>3.0000000000000001E-3</v>
      </c>
      <c r="N5782">
        <v>11</v>
      </c>
      <c r="O5782" s="8">
        <v>20.328747193832452</v>
      </c>
      <c r="P5782" s="9">
        <v>20.328747193832452</v>
      </c>
      <c r="Q5782" s="9">
        <v>20.328747193832452</v>
      </c>
      <c r="R5782" s="9">
        <v>20.901467178587069</v>
      </c>
      <c r="S5782" s="9">
        <v>21.789694031871221</v>
      </c>
      <c r="T5782" s="9">
        <v>22.685842380093916</v>
      </c>
      <c r="U5782" s="9">
        <v>25.139615720574728</v>
      </c>
      <c r="V5782" s="9">
        <v>25.139615720574728</v>
      </c>
      <c r="W5782" s="9">
        <v>25.139615720574728</v>
      </c>
      <c r="X5782" s="9">
        <v>28.431126761040446</v>
      </c>
      <c r="Y5782" s="9">
        <v>28.431126761040446</v>
      </c>
      <c r="Z5782" s="9">
        <v>31.8133765751437</v>
      </c>
      <c r="AA5782" s="9">
        <v>31.8133765751437</v>
      </c>
      <c r="AB5782" s="9">
        <v>35.295439040248269</v>
      </c>
      <c r="AC5782" s="9">
        <v>35.295439040248269</v>
      </c>
      <c r="AD5782" s="9">
        <v>40.66038110622798</v>
      </c>
      <c r="AE5782" s="9">
        <v>44.145469767258199</v>
      </c>
      <c r="AF5782" s="9">
        <v>47.802065076832598</v>
      </c>
      <c r="AG5782" s="9">
        <v>47.802065076832598</v>
      </c>
      <c r="AH5782" s="9">
        <v>52.368463891218347</v>
      </c>
      <c r="AI5782" s="9">
        <v>56.090712435126555</v>
      </c>
      <c r="AJ5782" s="9">
        <v>3.0428788910505911</v>
      </c>
    </row>
    <row r="5783" spans="1:36" x14ac:dyDescent="0.25">
      <c r="A5783" t="s">
        <v>5411</v>
      </c>
      <c r="B5783" t="s">
        <v>16</v>
      </c>
      <c r="C5783" t="s">
        <v>17</v>
      </c>
      <c r="D5783">
        <v>98435000</v>
      </c>
      <c r="E5783">
        <v>98439999</v>
      </c>
      <c r="F5783" t="s">
        <v>5227</v>
      </c>
      <c r="G5783" t="str">
        <f t="shared" si="180"/>
        <v>RSI II</v>
      </c>
      <c r="H5783" t="s">
        <v>4915</v>
      </c>
      <c r="I5783" t="s">
        <v>20</v>
      </c>
      <c r="J5783" t="s">
        <v>64</v>
      </c>
      <c r="K5783" s="6">
        <v>0.03</v>
      </c>
      <c r="L5783" s="7">
        <f t="shared" si="181"/>
        <v>2E-3</v>
      </c>
      <c r="M5783" s="7">
        <v>3.0000000000000001E-3</v>
      </c>
      <c r="N5783">
        <v>11</v>
      </c>
      <c r="O5783" s="8">
        <v>20.328747193832452</v>
      </c>
      <c r="P5783" s="9">
        <v>20.328747193832452</v>
      </c>
      <c r="Q5783" s="9">
        <v>20.328747193832452</v>
      </c>
      <c r="R5783" s="9">
        <v>20.901467178587069</v>
      </c>
      <c r="S5783" s="9">
        <v>21.789694031871221</v>
      </c>
      <c r="T5783" s="9">
        <v>22.685842380093916</v>
      </c>
      <c r="U5783" s="9">
        <v>25.139615720574728</v>
      </c>
      <c r="V5783" s="9">
        <v>25.139615720574728</v>
      </c>
      <c r="W5783" s="9">
        <v>25.139615720574728</v>
      </c>
      <c r="X5783" s="9">
        <v>28.431126761040446</v>
      </c>
      <c r="Y5783" s="9">
        <v>28.431126761040446</v>
      </c>
      <c r="Z5783" s="9">
        <v>31.8133765751437</v>
      </c>
      <c r="AA5783" s="9">
        <v>31.8133765751437</v>
      </c>
      <c r="AB5783" s="9">
        <v>35.295439040248269</v>
      </c>
      <c r="AC5783" s="9">
        <v>35.295439040248269</v>
      </c>
      <c r="AD5783" s="9">
        <v>40.66038110622798</v>
      </c>
      <c r="AE5783" s="9">
        <v>44.145469767258199</v>
      </c>
      <c r="AF5783" s="9">
        <v>47.802065076832598</v>
      </c>
      <c r="AG5783" s="9">
        <v>47.802065076832598</v>
      </c>
      <c r="AH5783" s="9">
        <v>52.368463891218347</v>
      </c>
      <c r="AI5783" s="9">
        <v>56.090712435126555</v>
      </c>
      <c r="AJ5783" s="9">
        <v>3.0428788910505911</v>
      </c>
    </row>
    <row r="5784" spans="1:36" x14ac:dyDescent="0.25">
      <c r="A5784" t="s">
        <v>5411</v>
      </c>
      <c r="B5784" t="s">
        <v>16</v>
      </c>
      <c r="C5784" t="s">
        <v>17</v>
      </c>
      <c r="D5784">
        <v>98440000</v>
      </c>
      <c r="E5784">
        <v>98449999</v>
      </c>
      <c r="F5784" t="s">
        <v>2511</v>
      </c>
      <c r="G5784" t="str">
        <f t="shared" si="180"/>
        <v>RSI II</v>
      </c>
      <c r="H5784" t="s">
        <v>4915</v>
      </c>
      <c r="I5784" t="s">
        <v>20</v>
      </c>
      <c r="J5784" t="s">
        <v>64</v>
      </c>
      <c r="K5784" s="6">
        <v>0.03</v>
      </c>
      <c r="L5784" s="7">
        <f t="shared" si="181"/>
        <v>2E-3</v>
      </c>
      <c r="M5784" s="7">
        <v>3.0000000000000001E-3</v>
      </c>
      <c r="N5784">
        <v>11</v>
      </c>
      <c r="O5784" s="8">
        <v>20.328747193832452</v>
      </c>
      <c r="P5784" s="9">
        <v>20.328747193832452</v>
      </c>
      <c r="Q5784" s="9">
        <v>20.328747193832452</v>
      </c>
      <c r="R5784" s="9">
        <v>20.901467178587069</v>
      </c>
      <c r="S5784" s="9">
        <v>21.789694031871221</v>
      </c>
      <c r="T5784" s="9">
        <v>22.685842380093916</v>
      </c>
      <c r="U5784" s="9">
        <v>25.139615720574728</v>
      </c>
      <c r="V5784" s="9">
        <v>25.139615720574728</v>
      </c>
      <c r="W5784" s="9">
        <v>25.139615720574728</v>
      </c>
      <c r="X5784" s="9">
        <v>28.431126761040446</v>
      </c>
      <c r="Y5784" s="9">
        <v>28.431126761040446</v>
      </c>
      <c r="Z5784" s="9">
        <v>31.8133765751437</v>
      </c>
      <c r="AA5784" s="9">
        <v>31.8133765751437</v>
      </c>
      <c r="AB5784" s="9">
        <v>35.295439040248269</v>
      </c>
      <c r="AC5784" s="9">
        <v>35.295439040248269</v>
      </c>
      <c r="AD5784" s="9">
        <v>40.66038110622798</v>
      </c>
      <c r="AE5784" s="9">
        <v>44.145469767258199</v>
      </c>
      <c r="AF5784" s="9">
        <v>47.802065076832598</v>
      </c>
      <c r="AG5784" s="9">
        <v>47.802065076832598</v>
      </c>
      <c r="AH5784" s="9">
        <v>52.368463891218347</v>
      </c>
      <c r="AI5784" s="9">
        <v>56.090712435126555</v>
      </c>
      <c r="AJ5784" s="9">
        <v>3.0428788910505911</v>
      </c>
    </row>
    <row r="5785" spans="1:36" x14ac:dyDescent="0.25">
      <c r="A5785" t="s">
        <v>5411</v>
      </c>
      <c r="B5785" t="s">
        <v>16</v>
      </c>
      <c r="C5785" t="s">
        <v>17</v>
      </c>
      <c r="D5785">
        <v>98450000</v>
      </c>
      <c r="E5785">
        <v>98459999</v>
      </c>
      <c r="F5785" t="s">
        <v>5228</v>
      </c>
      <c r="G5785" t="str">
        <f t="shared" si="180"/>
        <v>RSI II</v>
      </c>
      <c r="H5785" t="s">
        <v>4915</v>
      </c>
      <c r="I5785" t="s">
        <v>20</v>
      </c>
      <c r="J5785" t="s">
        <v>64</v>
      </c>
      <c r="K5785" s="6">
        <v>0.03</v>
      </c>
      <c r="L5785" s="7">
        <f t="shared" si="181"/>
        <v>2E-3</v>
      </c>
      <c r="M5785" s="7">
        <v>3.0000000000000001E-3</v>
      </c>
      <c r="N5785">
        <v>11</v>
      </c>
      <c r="O5785" s="8">
        <v>20.328747193832452</v>
      </c>
      <c r="P5785" s="9">
        <v>20.328747193832452</v>
      </c>
      <c r="Q5785" s="9">
        <v>20.328747193832452</v>
      </c>
      <c r="R5785" s="9">
        <v>20.901467178587069</v>
      </c>
      <c r="S5785" s="9">
        <v>21.789694031871221</v>
      </c>
      <c r="T5785" s="9">
        <v>22.685842380093916</v>
      </c>
      <c r="U5785" s="9">
        <v>25.139615720574728</v>
      </c>
      <c r="V5785" s="9">
        <v>25.139615720574728</v>
      </c>
      <c r="W5785" s="9">
        <v>25.139615720574728</v>
      </c>
      <c r="X5785" s="9">
        <v>28.431126761040446</v>
      </c>
      <c r="Y5785" s="9">
        <v>28.431126761040446</v>
      </c>
      <c r="Z5785" s="9">
        <v>31.8133765751437</v>
      </c>
      <c r="AA5785" s="9">
        <v>31.8133765751437</v>
      </c>
      <c r="AB5785" s="9">
        <v>35.295439040248269</v>
      </c>
      <c r="AC5785" s="9">
        <v>35.295439040248269</v>
      </c>
      <c r="AD5785" s="9">
        <v>40.66038110622798</v>
      </c>
      <c r="AE5785" s="9">
        <v>44.145469767258199</v>
      </c>
      <c r="AF5785" s="9">
        <v>47.802065076832598</v>
      </c>
      <c r="AG5785" s="9">
        <v>47.802065076832598</v>
      </c>
      <c r="AH5785" s="9">
        <v>52.368463891218347</v>
      </c>
      <c r="AI5785" s="9">
        <v>56.090712435126555</v>
      </c>
      <c r="AJ5785" s="9">
        <v>3.0428788910505911</v>
      </c>
    </row>
    <row r="5786" spans="1:36" x14ac:dyDescent="0.25">
      <c r="A5786" t="s">
        <v>5411</v>
      </c>
      <c r="B5786" t="s">
        <v>16</v>
      </c>
      <c r="C5786" t="s">
        <v>17</v>
      </c>
      <c r="D5786">
        <v>98460000</v>
      </c>
      <c r="E5786">
        <v>98464999</v>
      </c>
      <c r="F5786" t="s">
        <v>5229</v>
      </c>
      <c r="G5786" t="str">
        <f t="shared" si="180"/>
        <v>RSI II</v>
      </c>
      <c r="H5786" t="s">
        <v>4915</v>
      </c>
      <c r="I5786" t="s">
        <v>20</v>
      </c>
      <c r="J5786" t="s">
        <v>64</v>
      </c>
      <c r="K5786" s="6">
        <v>0.03</v>
      </c>
      <c r="L5786" s="7">
        <f t="shared" si="181"/>
        <v>2E-3</v>
      </c>
      <c r="M5786" s="7">
        <v>3.0000000000000001E-3</v>
      </c>
      <c r="N5786">
        <v>11</v>
      </c>
      <c r="O5786" s="8">
        <v>20.328747193832452</v>
      </c>
      <c r="P5786" s="9">
        <v>20.328747193832452</v>
      </c>
      <c r="Q5786" s="9">
        <v>20.328747193832452</v>
      </c>
      <c r="R5786" s="9">
        <v>20.901467178587069</v>
      </c>
      <c r="S5786" s="9">
        <v>21.789694031871221</v>
      </c>
      <c r="T5786" s="9">
        <v>22.685842380093916</v>
      </c>
      <c r="U5786" s="9">
        <v>25.139615720574728</v>
      </c>
      <c r="V5786" s="9">
        <v>25.139615720574728</v>
      </c>
      <c r="W5786" s="9">
        <v>25.139615720574728</v>
      </c>
      <c r="X5786" s="9">
        <v>28.431126761040446</v>
      </c>
      <c r="Y5786" s="9">
        <v>28.431126761040446</v>
      </c>
      <c r="Z5786" s="9">
        <v>31.8133765751437</v>
      </c>
      <c r="AA5786" s="9">
        <v>31.8133765751437</v>
      </c>
      <c r="AB5786" s="9">
        <v>35.295439040248269</v>
      </c>
      <c r="AC5786" s="9">
        <v>35.295439040248269</v>
      </c>
      <c r="AD5786" s="9">
        <v>40.66038110622798</v>
      </c>
      <c r="AE5786" s="9">
        <v>44.145469767258199</v>
      </c>
      <c r="AF5786" s="9">
        <v>47.802065076832598</v>
      </c>
      <c r="AG5786" s="9">
        <v>47.802065076832598</v>
      </c>
      <c r="AH5786" s="9">
        <v>52.368463891218347</v>
      </c>
      <c r="AI5786" s="9">
        <v>56.090712435126555</v>
      </c>
      <c r="AJ5786" s="9">
        <v>3.0428788910505911</v>
      </c>
    </row>
    <row r="5787" spans="1:36" x14ac:dyDescent="0.25">
      <c r="A5787" t="s">
        <v>5411</v>
      </c>
      <c r="B5787" t="s">
        <v>16</v>
      </c>
      <c r="C5787" t="s">
        <v>17</v>
      </c>
      <c r="D5787">
        <v>98465000</v>
      </c>
      <c r="E5787">
        <v>98469999</v>
      </c>
      <c r="F5787" t="s">
        <v>5230</v>
      </c>
      <c r="G5787" t="str">
        <f t="shared" si="180"/>
        <v>RSI II</v>
      </c>
      <c r="H5787" t="s">
        <v>4915</v>
      </c>
      <c r="I5787" t="s">
        <v>20</v>
      </c>
      <c r="J5787" t="s">
        <v>64</v>
      </c>
      <c r="K5787" s="6">
        <v>0.03</v>
      </c>
      <c r="L5787" s="7">
        <f t="shared" si="181"/>
        <v>2E-3</v>
      </c>
      <c r="M5787" s="7">
        <v>3.0000000000000001E-3</v>
      </c>
      <c r="N5787">
        <v>11</v>
      </c>
      <c r="O5787" s="8">
        <v>20.328747193832452</v>
      </c>
      <c r="P5787" s="9">
        <v>20.328747193832452</v>
      </c>
      <c r="Q5787" s="9">
        <v>20.328747193832452</v>
      </c>
      <c r="R5787" s="9">
        <v>20.901467178587069</v>
      </c>
      <c r="S5787" s="9">
        <v>21.789694031871221</v>
      </c>
      <c r="T5787" s="9">
        <v>22.685842380093916</v>
      </c>
      <c r="U5787" s="9">
        <v>25.139615720574728</v>
      </c>
      <c r="V5787" s="9">
        <v>25.139615720574728</v>
      </c>
      <c r="W5787" s="9">
        <v>25.139615720574728</v>
      </c>
      <c r="X5787" s="9">
        <v>28.431126761040446</v>
      </c>
      <c r="Y5787" s="9">
        <v>28.431126761040446</v>
      </c>
      <c r="Z5787" s="9">
        <v>31.8133765751437</v>
      </c>
      <c r="AA5787" s="9">
        <v>31.8133765751437</v>
      </c>
      <c r="AB5787" s="9">
        <v>35.295439040248269</v>
      </c>
      <c r="AC5787" s="9">
        <v>35.295439040248269</v>
      </c>
      <c r="AD5787" s="9">
        <v>40.66038110622798</v>
      </c>
      <c r="AE5787" s="9">
        <v>44.145469767258199</v>
      </c>
      <c r="AF5787" s="9">
        <v>47.802065076832598</v>
      </c>
      <c r="AG5787" s="9">
        <v>47.802065076832598</v>
      </c>
      <c r="AH5787" s="9">
        <v>52.368463891218347</v>
      </c>
      <c r="AI5787" s="9">
        <v>56.090712435126555</v>
      </c>
      <c r="AJ5787" s="9">
        <v>3.0428788910505911</v>
      </c>
    </row>
    <row r="5788" spans="1:36" x14ac:dyDescent="0.25">
      <c r="A5788" t="s">
        <v>5411</v>
      </c>
      <c r="B5788" t="s">
        <v>16</v>
      </c>
      <c r="C5788" t="s">
        <v>17</v>
      </c>
      <c r="D5788">
        <v>98470000</v>
      </c>
      <c r="E5788">
        <v>98479999</v>
      </c>
      <c r="F5788" t="s">
        <v>317</v>
      </c>
      <c r="G5788" t="str">
        <f t="shared" si="180"/>
        <v>RSI II</v>
      </c>
      <c r="H5788" t="s">
        <v>4915</v>
      </c>
      <c r="I5788" t="s">
        <v>20</v>
      </c>
      <c r="J5788" t="s">
        <v>64</v>
      </c>
      <c r="K5788" s="6">
        <v>0.03</v>
      </c>
      <c r="L5788" s="7">
        <f t="shared" si="181"/>
        <v>2E-3</v>
      </c>
      <c r="M5788" s="7">
        <v>3.0000000000000001E-3</v>
      </c>
      <c r="N5788">
        <v>11</v>
      </c>
      <c r="O5788" s="8">
        <v>20.328747193832452</v>
      </c>
      <c r="P5788" s="9">
        <v>20.328747193832452</v>
      </c>
      <c r="Q5788" s="9">
        <v>20.328747193832452</v>
      </c>
      <c r="R5788" s="9">
        <v>20.901467178587069</v>
      </c>
      <c r="S5788" s="9">
        <v>21.789694031871221</v>
      </c>
      <c r="T5788" s="9">
        <v>22.685842380093916</v>
      </c>
      <c r="U5788" s="9">
        <v>25.139615720574728</v>
      </c>
      <c r="V5788" s="9">
        <v>25.139615720574728</v>
      </c>
      <c r="W5788" s="9">
        <v>25.139615720574728</v>
      </c>
      <c r="X5788" s="9">
        <v>28.431126761040446</v>
      </c>
      <c r="Y5788" s="9">
        <v>28.431126761040446</v>
      </c>
      <c r="Z5788" s="9">
        <v>31.8133765751437</v>
      </c>
      <c r="AA5788" s="9">
        <v>31.8133765751437</v>
      </c>
      <c r="AB5788" s="9">
        <v>35.295439040248269</v>
      </c>
      <c r="AC5788" s="9">
        <v>35.295439040248269</v>
      </c>
      <c r="AD5788" s="9">
        <v>40.66038110622798</v>
      </c>
      <c r="AE5788" s="9">
        <v>44.145469767258199</v>
      </c>
      <c r="AF5788" s="9">
        <v>47.802065076832598</v>
      </c>
      <c r="AG5788" s="9">
        <v>47.802065076832598</v>
      </c>
      <c r="AH5788" s="9">
        <v>52.368463891218347</v>
      </c>
      <c r="AI5788" s="9">
        <v>56.090712435126555</v>
      </c>
      <c r="AJ5788" s="9">
        <v>3.0428788910505911</v>
      </c>
    </row>
    <row r="5789" spans="1:36" x14ac:dyDescent="0.25">
      <c r="A5789" t="s">
        <v>5411</v>
      </c>
      <c r="B5789" t="s">
        <v>16</v>
      </c>
      <c r="C5789" t="s">
        <v>17</v>
      </c>
      <c r="D5789">
        <v>98480000</v>
      </c>
      <c r="E5789">
        <v>98499999</v>
      </c>
      <c r="F5789" t="s">
        <v>5231</v>
      </c>
      <c r="G5789" t="str">
        <f t="shared" si="180"/>
        <v>RSI II</v>
      </c>
      <c r="H5789" t="s">
        <v>4915</v>
      </c>
      <c r="I5789" t="s">
        <v>20</v>
      </c>
      <c r="J5789" t="s">
        <v>64</v>
      </c>
      <c r="K5789" s="6">
        <v>0.03</v>
      </c>
      <c r="L5789" s="7">
        <f t="shared" si="181"/>
        <v>2E-3</v>
      </c>
      <c r="M5789" s="7">
        <v>3.0000000000000001E-3</v>
      </c>
      <c r="N5789">
        <v>11</v>
      </c>
      <c r="O5789" s="8">
        <v>20.328747193832452</v>
      </c>
      <c r="P5789" s="9">
        <v>20.328747193832452</v>
      </c>
      <c r="Q5789" s="9">
        <v>20.328747193832452</v>
      </c>
      <c r="R5789" s="9">
        <v>20.901467178587069</v>
      </c>
      <c r="S5789" s="9">
        <v>21.789694031871221</v>
      </c>
      <c r="T5789" s="9">
        <v>22.685842380093916</v>
      </c>
      <c r="U5789" s="9">
        <v>25.139615720574728</v>
      </c>
      <c r="V5789" s="9">
        <v>25.139615720574728</v>
      </c>
      <c r="W5789" s="9">
        <v>25.139615720574728</v>
      </c>
      <c r="X5789" s="9">
        <v>28.431126761040446</v>
      </c>
      <c r="Y5789" s="9">
        <v>28.431126761040446</v>
      </c>
      <c r="Z5789" s="9">
        <v>31.8133765751437</v>
      </c>
      <c r="AA5789" s="9">
        <v>31.8133765751437</v>
      </c>
      <c r="AB5789" s="9">
        <v>35.295439040248269</v>
      </c>
      <c r="AC5789" s="9">
        <v>35.295439040248269</v>
      </c>
      <c r="AD5789" s="9">
        <v>40.66038110622798</v>
      </c>
      <c r="AE5789" s="9">
        <v>44.145469767258199</v>
      </c>
      <c r="AF5789" s="9">
        <v>47.802065076832598</v>
      </c>
      <c r="AG5789" s="9">
        <v>47.802065076832598</v>
      </c>
      <c r="AH5789" s="9">
        <v>52.368463891218347</v>
      </c>
      <c r="AI5789" s="9">
        <v>56.090712435126555</v>
      </c>
      <c r="AJ5789" s="9">
        <v>3.0428788910505911</v>
      </c>
    </row>
    <row r="5790" spans="1:36" x14ac:dyDescent="0.25">
      <c r="A5790" t="s">
        <v>5411</v>
      </c>
      <c r="B5790" t="s">
        <v>16</v>
      </c>
      <c r="C5790" t="s">
        <v>17</v>
      </c>
      <c r="D5790">
        <v>98500000</v>
      </c>
      <c r="E5790">
        <v>98527999</v>
      </c>
      <c r="F5790" t="s">
        <v>5232</v>
      </c>
      <c r="G5790" t="str">
        <f t="shared" si="180"/>
        <v>RSI II</v>
      </c>
      <c r="H5790" t="s">
        <v>4915</v>
      </c>
      <c r="I5790" t="s">
        <v>20</v>
      </c>
      <c r="J5790" t="s">
        <v>64</v>
      </c>
      <c r="K5790" s="6">
        <v>0.03</v>
      </c>
      <c r="L5790" s="7">
        <f t="shared" si="181"/>
        <v>2E-3</v>
      </c>
      <c r="M5790" s="7">
        <v>3.0000000000000001E-3</v>
      </c>
      <c r="N5790">
        <v>11</v>
      </c>
      <c r="O5790" s="8">
        <v>20.328747193832452</v>
      </c>
      <c r="P5790" s="9">
        <v>20.328747193832452</v>
      </c>
      <c r="Q5790" s="9">
        <v>20.328747193832452</v>
      </c>
      <c r="R5790" s="9">
        <v>20.901467178587069</v>
      </c>
      <c r="S5790" s="9">
        <v>21.789694031871221</v>
      </c>
      <c r="T5790" s="9">
        <v>22.685842380093916</v>
      </c>
      <c r="U5790" s="9">
        <v>25.139615720574728</v>
      </c>
      <c r="V5790" s="9">
        <v>25.139615720574728</v>
      </c>
      <c r="W5790" s="9">
        <v>25.139615720574728</v>
      </c>
      <c r="X5790" s="9">
        <v>28.431126761040446</v>
      </c>
      <c r="Y5790" s="9">
        <v>28.431126761040446</v>
      </c>
      <c r="Z5790" s="9">
        <v>31.8133765751437</v>
      </c>
      <c r="AA5790" s="9">
        <v>31.8133765751437</v>
      </c>
      <c r="AB5790" s="9">
        <v>35.295439040248269</v>
      </c>
      <c r="AC5790" s="9">
        <v>35.295439040248269</v>
      </c>
      <c r="AD5790" s="9">
        <v>40.66038110622798</v>
      </c>
      <c r="AE5790" s="9">
        <v>44.145469767258199</v>
      </c>
      <c r="AF5790" s="9">
        <v>47.802065076832598</v>
      </c>
      <c r="AG5790" s="9">
        <v>47.802065076832598</v>
      </c>
      <c r="AH5790" s="9">
        <v>52.368463891218347</v>
      </c>
      <c r="AI5790" s="9">
        <v>56.090712435126555</v>
      </c>
      <c r="AJ5790" s="9">
        <v>3.0428788910505911</v>
      </c>
    </row>
    <row r="5791" spans="1:36" x14ac:dyDescent="0.25">
      <c r="A5791" t="s">
        <v>5411</v>
      </c>
      <c r="B5791" t="s">
        <v>16</v>
      </c>
      <c r="C5791" t="s">
        <v>17</v>
      </c>
      <c r="D5791">
        <v>98528000</v>
      </c>
      <c r="E5791">
        <v>98529999</v>
      </c>
      <c r="F5791" t="s">
        <v>5233</v>
      </c>
      <c r="G5791" t="str">
        <f t="shared" si="180"/>
        <v>RSI II</v>
      </c>
      <c r="H5791" t="s">
        <v>4915</v>
      </c>
      <c r="I5791" t="s">
        <v>20</v>
      </c>
      <c r="J5791" t="s">
        <v>64</v>
      </c>
      <c r="K5791" s="6">
        <v>0.03</v>
      </c>
      <c r="L5791" s="7">
        <f t="shared" si="181"/>
        <v>2E-3</v>
      </c>
      <c r="M5791" s="7">
        <v>3.0000000000000001E-3</v>
      </c>
      <c r="N5791">
        <v>11</v>
      </c>
      <c r="O5791" s="8">
        <v>20.328747193832452</v>
      </c>
      <c r="P5791" s="9">
        <v>20.328747193832452</v>
      </c>
      <c r="Q5791" s="9">
        <v>20.328747193832452</v>
      </c>
      <c r="R5791" s="9">
        <v>20.901467178587069</v>
      </c>
      <c r="S5791" s="9">
        <v>21.789694031871221</v>
      </c>
      <c r="T5791" s="9">
        <v>22.685842380093916</v>
      </c>
      <c r="U5791" s="9">
        <v>25.139615720574728</v>
      </c>
      <c r="V5791" s="9">
        <v>25.139615720574728</v>
      </c>
      <c r="W5791" s="9">
        <v>25.139615720574728</v>
      </c>
      <c r="X5791" s="9">
        <v>28.431126761040446</v>
      </c>
      <c r="Y5791" s="9">
        <v>28.431126761040446</v>
      </c>
      <c r="Z5791" s="9">
        <v>31.8133765751437</v>
      </c>
      <c r="AA5791" s="9">
        <v>31.8133765751437</v>
      </c>
      <c r="AB5791" s="9">
        <v>35.295439040248269</v>
      </c>
      <c r="AC5791" s="9">
        <v>35.295439040248269</v>
      </c>
      <c r="AD5791" s="9">
        <v>40.66038110622798</v>
      </c>
      <c r="AE5791" s="9">
        <v>44.145469767258199</v>
      </c>
      <c r="AF5791" s="9">
        <v>47.802065076832598</v>
      </c>
      <c r="AG5791" s="9">
        <v>47.802065076832598</v>
      </c>
      <c r="AH5791" s="9">
        <v>52.368463891218347</v>
      </c>
      <c r="AI5791" s="9">
        <v>56.090712435126555</v>
      </c>
      <c r="AJ5791" s="9">
        <v>3.0428788910505911</v>
      </c>
    </row>
    <row r="5792" spans="1:36" x14ac:dyDescent="0.25">
      <c r="A5792" t="s">
        <v>5411</v>
      </c>
      <c r="B5792" t="s">
        <v>16</v>
      </c>
      <c r="C5792" t="s">
        <v>17</v>
      </c>
      <c r="D5792">
        <v>98530000</v>
      </c>
      <c r="E5792">
        <v>98534999</v>
      </c>
      <c r="F5792" t="s">
        <v>5234</v>
      </c>
      <c r="G5792" t="str">
        <f t="shared" si="180"/>
        <v>RSI II</v>
      </c>
      <c r="H5792" t="s">
        <v>4915</v>
      </c>
      <c r="I5792" t="s">
        <v>20</v>
      </c>
      <c r="J5792" t="s">
        <v>64</v>
      </c>
      <c r="K5792" s="6">
        <v>0.03</v>
      </c>
      <c r="L5792" s="7">
        <f t="shared" si="181"/>
        <v>2E-3</v>
      </c>
      <c r="M5792" s="7">
        <v>3.0000000000000001E-3</v>
      </c>
      <c r="N5792">
        <v>11</v>
      </c>
      <c r="O5792" s="8">
        <v>20.328747193832452</v>
      </c>
      <c r="P5792" s="9">
        <v>20.328747193832452</v>
      </c>
      <c r="Q5792" s="9">
        <v>20.328747193832452</v>
      </c>
      <c r="R5792" s="9">
        <v>20.901467178587069</v>
      </c>
      <c r="S5792" s="9">
        <v>21.789694031871221</v>
      </c>
      <c r="T5792" s="9">
        <v>22.685842380093916</v>
      </c>
      <c r="U5792" s="9">
        <v>25.139615720574728</v>
      </c>
      <c r="V5792" s="9">
        <v>25.139615720574728</v>
      </c>
      <c r="W5792" s="9">
        <v>25.139615720574728</v>
      </c>
      <c r="X5792" s="9">
        <v>28.431126761040446</v>
      </c>
      <c r="Y5792" s="9">
        <v>28.431126761040446</v>
      </c>
      <c r="Z5792" s="9">
        <v>31.8133765751437</v>
      </c>
      <c r="AA5792" s="9">
        <v>31.8133765751437</v>
      </c>
      <c r="AB5792" s="9">
        <v>35.295439040248269</v>
      </c>
      <c r="AC5792" s="9">
        <v>35.295439040248269</v>
      </c>
      <c r="AD5792" s="9">
        <v>40.66038110622798</v>
      </c>
      <c r="AE5792" s="9">
        <v>44.145469767258199</v>
      </c>
      <c r="AF5792" s="9">
        <v>47.802065076832598</v>
      </c>
      <c r="AG5792" s="9">
        <v>47.802065076832598</v>
      </c>
      <c r="AH5792" s="9">
        <v>52.368463891218347</v>
      </c>
      <c r="AI5792" s="9">
        <v>56.090712435126555</v>
      </c>
      <c r="AJ5792" s="9">
        <v>3.0428788910505911</v>
      </c>
    </row>
    <row r="5793" spans="1:36" x14ac:dyDescent="0.25">
      <c r="A5793" t="s">
        <v>5411</v>
      </c>
      <c r="B5793" t="s">
        <v>16</v>
      </c>
      <c r="C5793" t="s">
        <v>17</v>
      </c>
      <c r="D5793">
        <v>98535000</v>
      </c>
      <c r="E5793">
        <v>98539999</v>
      </c>
      <c r="F5793" t="s">
        <v>5235</v>
      </c>
      <c r="G5793" t="str">
        <f t="shared" si="180"/>
        <v>RSI II</v>
      </c>
      <c r="H5793" t="s">
        <v>4915</v>
      </c>
      <c r="I5793" t="s">
        <v>20</v>
      </c>
      <c r="J5793" t="s">
        <v>64</v>
      </c>
      <c r="K5793" s="6">
        <v>0.03</v>
      </c>
      <c r="L5793" s="7">
        <f t="shared" si="181"/>
        <v>2E-3</v>
      </c>
      <c r="M5793" s="7">
        <v>3.0000000000000001E-3</v>
      </c>
      <c r="N5793">
        <v>11</v>
      </c>
      <c r="O5793" s="8">
        <v>20.328747193832452</v>
      </c>
      <c r="P5793" s="9">
        <v>20.328747193832452</v>
      </c>
      <c r="Q5793" s="9">
        <v>20.328747193832452</v>
      </c>
      <c r="R5793" s="9">
        <v>20.901467178587069</v>
      </c>
      <c r="S5793" s="9">
        <v>21.789694031871221</v>
      </c>
      <c r="T5793" s="9">
        <v>22.685842380093916</v>
      </c>
      <c r="U5793" s="9">
        <v>25.139615720574728</v>
      </c>
      <c r="V5793" s="9">
        <v>25.139615720574728</v>
      </c>
      <c r="W5793" s="9">
        <v>25.139615720574728</v>
      </c>
      <c r="X5793" s="9">
        <v>28.431126761040446</v>
      </c>
      <c r="Y5793" s="9">
        <v>28.431126761040446</v>
      </c>
      <c r="Z5793" s="9">
        <v>31.8133765751437</v>
      </c>
      <c r="AA5793" s="9">
        <v>31.8133765751437</v>
      </c>
      <c r="AB5793" s="9">
        <v>35.295439040248269</v>
      </c>
      <c r="AC5793" s="9">
        <v>35.295439040248269</v>
      </c>
      <c r="AD5793" s="9">
        <v>40.66038110622798</v>
      </c>
      <c r="AE5793" s="9">
        <v>44.145469767258199</v>
      </c>
      <c r="AF5793" s="9">
        <v>47.802065076832598</v>
      </c>
      <c r="AG5793" s="9">
        <v>47.802065076832598</v>
      </c>
      <c r="AH5793" s="9">
        <v>52.368463891218347</v>
      </c>
      <c r="AI5793" s="9">
        <v>56.090712435126555</v>
      </c>
      <c r="AJ5793" s="9">
        <v>3.0428788910505911</v>
      </c>
    </row>
    <row r="5794" spans="1:36" x14ac:dyDescent="0.25">
      <c r="A5794" t="s">
        <v>5411</v>
      </c>
      <c r="B5794" t="s">
        <v>16</v>
      </c>
      <c r="C5794" t="s">
        <v>17</v>
      </c>
      <c r="D5794">
        <v>98540000</v>
      </c>
      <c r="E5794">
        <v>98549999</v>
      </c>
      <c r="F5794" t="s">
        <v>5236</v>
      </c>
      <c r="G5794" t="str">
        <f t="shared" si="180"/>
        <v>RSI II</v>
      </c>
      <c r="H5794" t="s">
        <v>4915</v>
      </c>
      <c r="I5794" t="s">
        <v>20</v>
      </c>
      <c r="J5794" t="s">
        <v>64</v>
      </c>
      <c r="K5794" s="6">
        <v>0.03</v>
      </c>
      <c r="L5794" s="7">
        <f t="shared" si="181"/>
        <v>2E-3</v>
      </c>
      <c r="M5794" s="7">
        <v>3.0000000000000001E-3</v>
      </c>
      <c r="N5794">
        <v>11</v>
      </c>
      <c r="O5794" s="8">
        <v>20.328747193832452</v>
      </c>
      <c r="P5794" s="9">
        <v>20.328747193832452</v>
      </c>
      <c r="Q5794" s="9">
        <v>20.328747193832452</v>
      </c>
      <c r="R5794" s="9">
        <v>20.901467178587069</v>
      </c>
      <c r="S5794" s="9">
        <v>21.789694031871221</v>
      </c>
      <c r="T5794" s="9">
        <v>22.685842380093916</v>
      </c>
      <c r="U5794" s="9">
        <v>25.139615720574728</v>
      </c>
      <c r="V5794" s="9">
        <v>25.139615720574728</v>
      </c>
      <c r="W5794" s="9">
        <v>25.139615720574728</v>
      </c>
      <c r="X5794" s="9">
        <v>28.431126761040446</v>
      </c>
      <c r="Y5794" s="9">
        <v>28.431126761040446</v>
      </c>
      <c r="Z5794" s="9">
        <v>31.8133765751437</v>
      </c>
      <c r="AA5794" s="9">
        <v>31.8133765751437</v>
      </c>
      <c r="AB5794" s="9">
        <v>35.295439040248269</v>
      </c>
      <c r="AC5794" s="9">
        <v>35.295439040248269</v>
      </c>
      <c r="AD5794" s="9">
        <v>40.66038110622798</v>
      </c>
      <c r="AE5794" s="9">
        <v>44.145469767258199</v>
      </c>
      <c r="AF5794" s="9">
        <v>47.802065076832598</v>
      </c>
      <c r="AG5794" s="9">
        <v>47.802065076832598</v>
      </c>
      <c r="AH5794" s="9">
        <v>52.368463891218347</v>
      </c>
      <c r="AI5794" s="9">
        <v>56.090712435126555</v>
      </c>
      <c r="AJ5794" s="9">
        <v>3.0428788910505911</v>
      </c>
    </row>
    <row r="5795" spans="1:36" x14ac:dyDescent="0.25">
      <c r="A5795" t="s">
        <v>5411</v>
      </c>
      <c r="B5795" t="s">
        <v>16</v>
      </c>
      <c r="C5795" t="s">
        <v>17</v>
      </c>
      <c r="D5795">
        <v>98550000</v>
      </c>
      <c r="E5795">
        <v>98559999</v>
      </c>
      <c r="F5795" t="s">
        <v>5237</v>
      </c>
      <c r="G5795" t="str">
        <f t="shared" si="180"/>
        <v>RSI II</v>
      </c>
      <c r="H5795" t="s">
        <v>4915</v>
      </c>
      <c r="I5795" t="s">
        <v>20</v>
      </c>
      <c r="J5795" t="s">
        <v>64</v>
      </c>
      <c r="K5795" s="6">
        <v>0.03</v>
      </c>
      <c r="L5795" s="7">
        <f t="shared" si="181"/>
        <v>2E-3</v>
      </c>
      <c r="M5795" s="7">
        <v>3.0000000000000001E-3</v>
      </c>
      <c r="N5795">
        <v>11</v>
      </c>
      <c r="O5795" s="8">
        <v>20.328747193832452</v>
      </c>
      <c r="P5795" s="9">
        <v>20.328747193832452</v>
      </c>
      <c r="Q5795" s="9">
        <v>20.328747193832452</v>
      </c>
      <c r="R5795" s="9">
        <v>20.901467178587069</v>
      </c>
      <c r="S5795" s="9">
        <v>21.789694031871221</v>
      </c>
      <c r="T5795" s="9">
        <v>22.685842380093916</v>
      </c>
      <c r="U5795" s="9">
        <v>25.139615720574728</v>
      </c>
      <c r="V5795" s="9">
        <v>25.139615720574728</v>
      </c>
      <c r="W5795" s="9">
        <v>25.139615720574728</v>
      </c>
      <c r="X5795" s="9">
        <v>28.431126761040446</v>
      </c>
      <c r="Y5795" s="9">
        <v>28.431126761040446</v>
      </c>
      <c r="Z5795" s="9">
        <v>31.8133765751437</v>
      </c>
      <c r="AA5795" s="9">
        <v>31.8133765751437</v>
      </c>
      <c r="AB5795" s="9">
        <v>35.295439040248269</v>
      </c>
      <c r="AC5795" s="9">
        <v>35.295439040248269</v>
      </c>
      <c r="AD5795" s="9">
        <v>40.66038110622798</v>
      </c>
      <c r="AE5795" s="9">
        <v>44.145469767258199</v>
      </c>
      <c r="AF5795" s="9">
        <v>47.802065076832598</v>
      </c>
      <c r="AG5795" s="9">
        <v>47.802065076832598</v>
      </c>
      <c r="AH5795" s="9">
        <v>52.368463891218347</v>
      </c>
      <c r="AI5795" s="9">
        <v>56.090712435126555</v>
      </c>
      <c r="AJ5795" s="9">
        <v>3.0428788910505911</v>
      </c>
    </row>
    <row r="5796" spans="1:36" x14ac:dyDescent="0.25">
      <c r="A5796" t="s">
        <v>5411</v>
      </c>
      <c r="B5796" t="s">
        <v>16</v>
      </c>
      <c r="C5796" t="s">
        <v>17</v>
      </c>
      <c r="D5796">
        <v>98560000</v>
      </c>
      <c r="E5796">
        <v>98569999</v>
      </c>
      <c r="F5796" t="s">
        <v>5238</v>
      </c>
      <c r="G5796" t="str">
        <f t="shared" si="180"/>
        <v>RSI II</v>
      </c>
      <c r="H5796" t="s">
        <v>4915</v>
      </c>
      <c r="I5796" t="s">
        <v>20</v>
      </c>
      <c r="J5796" t="s">
        <v>64</v>
      </c>
      <c r="K5796" s="6">
        <v>0.03</v>
      </c>
      <c r="L5796" s="7">
        <f t="shared" si="181"/>
        <v>2E-3</v>
      </c>
      <c r="M5796" s="7">
        <v>3.0000000000000001E-3</v>
      </c>
      <c r="N5796">
        <v>11</v>
      </c>
      <c r="O5796" s="8">
        <v>20.328747193832452</v>
      </c>
      <c r="P5796" s="9">
        <v>20.328747193832452</v>
      </c>
      <c r="Q5796" s="9">
        <v>20.328747193832452</v>
      </c>
      <c r="R5796" s="9">
        <v>20.901467178587069</v>
      </c>
      <c r="S5796" s="9">
        <v>21.789694031871221</v>
      </c>
      <c r="T5796" s="9">
        <v>22.685842380093916</v>
      </c>
      <c r="U5796" s="9">
        <v>25.139615720574728</v>
      </c>
      <c r="V5796" s="9">
        <v>25.139615720574728</v>
      </c>
      <c r="W5796" s="9">
        <v>25.139615720574728</v>
      </c>
      <c r="X5796" s="9">
        <v>28.431126761040446</v>
      </c>
      <c r="Y5796" s="9">
        <v>28.431126761040446</v>
      </c>
      <c r="Z5796" s="9">
        <v>31.8133765751437</v>
      </c>
      <c r="AA5796" s="9">
        <v>31.8133765751437</v>
      </c>
      <c r="AB5796" s="9">
        <v>35.295439040248269</v>
      </c>
      <c r="AC5796" s="9">
        <v>35.295439040248269</v>
      </c>
      <c r="AD5796" s="9">
        <v>40.66038110622798</v>
      </c>
      <c r="AE5796" s="9">
        <v>44.145469767258199</v>
      </c>
      <c r="AF5796" s="9">
        <v>47.802065076832598</v>
      </c>
      <c r="AG5796" s="9">
        <v>47.802065076832598</v>
      </c>
      <c r="AH5796" s="9">
        <v>52.368463891218347</v>
      </c>
      <c r="AI5796" s="9">
        <v>56.090712435126555</v>
      </c>
      <c r="AJ5796" s="9">
        <v>3.0428788910505911</v>
      </c>
    </row>
    <row r="5797" spans="1:36" x14ac:dyDescent="0.25">
      <c r="A5797" t="s">
        <v>5411</v>
      </c>
      <c r="B5797" t="s">
        <v>16</v>
      </c>
      <c r="C5797" t="s">
        <v>17</v>
      </c>
      <c r="D5797">
        <v>98570000</v>
      </c>
      <c r="E5797">
        <v>98574999</v>
      </c>
      <c r="F5797" t="s">
        <v>5239</v>
      </c>
      <c r="G5797" t="str">
        <f t="shared" si="180"/>
        <v>RSI II</v>
      </c>
      <c r="H5797" t="s">
        <v>4915</v>
      </c>
      <c r="I5797" t="s">
        <v>20</v>
      </c>
      <c r="J5797" t="s">
        <v>64</v>
      </c>
      <c r="K5797" s="6">
        <v>0.03</v>
      </c>
      <c r="L5797" s="7">
        <f t="shared" si="181"/>
        <v>2E-3</v>
      </c>
      <c r="M5797" s="7">
        <v>3.0000000000000001E-3</v>
      </c>
      <c r="N5797">
        <v>11</v>
      </c>
      <c r="O5797" s="8">
        <v>20.328747193832452</v>
      </c>
      <c r="P5797" s="9">
        <v>20.328747193832452</v>
      </c>
      <c r="Q5797" s="9">
        <v>20.328747193832452</v>
      </c>
      <c r="R5797" s="9">
        <v>20.901467178587069</v>
      </c>
      <c r="S5797" s="9">
        <v>21.789694031871221</v>
      </c>
      <c r="T5797" s="9">
        <v>22.685842380093916</v>
      </c>
      <c r="U5797" s="9">
        <v>25.139615720574728</v>
      </c>
      <c r="V5797" s="9">
        <v>25.139615720574728</v>
      </c>
      <c r="W5797" s="9">
        <v>25.139615720574728</v>
      </c>
      <c r="X5797" s="9">
        <v>28.431126761040446</v>
      </c>
      <c r="Y5797" s="9">
        <v>28.431126761040446</v>
      </c>
      <c r="Z5797" s="9">
        <v>31.8133765751437</v>
      </c>
      <c r="AA5797" s="9">
        <v>31.8133765751437</v>
      </c>
      <c r="AB5797" s="9">
        <v>35.295439040248269</v>
      </c>
      <c r="AC5797" s="9">
        <v>35.295439040248269</v>
      </c>
      <c r="AD5797" s="9">
        <v>40.66038110622798</v>
      </c>
      <c r="AE5797" s="9">
        <v>44.145469767258199</v>
      </c>
      <c r="AF5797" s="9">
        <v>47.802065076832598</v>
      </c>
      <c r="AG5797" s="9">
        <v>47.802065076832598</v>
      </c>
      <c r="AH5797" s="9">
        <v>52.368463891218347</v>
      </c>
      <c r="AI5797" s="9">
        <v>56.090712435126555</v>
      </c>
      <c r="AJ5797" s="9">
        <v>3.0428788910505911</v>
      </c>
    </row>
    <row r="5798" spans="1:36" x14ac:dyDescent="0.25">
      <c r="A5798" t="s">
        <v>5411</v>
      </c>
      <c r="B5798" t="s">
        <v>16</v>
      </c>
      <c r="C5798" t="s">
        <v>17</v>
      </c>
      <c r="D5798">
        <v>98575000</v>
      </c>
      <c r="E5798">
        <v>98579999</v>
      </c>
      <c r="F5798" t="s">
        <v>5240</v>
      </c>
      <c r="G5798" t="str">
        <f t="shared" si="180"/>
        <v>RSI II</v>
      </c>
      <c r="H5798" t="s">
        <v>4915</v>
      </c>
      <c r="I5798" t="s">
        <v>20</v>
      </c>
      <c r="J5798" t="s">
        <v>64</v>
      </c>
      <c r="K5798" s="6">
        <v>0.03</v>
      </c>
      <c r="L5798" s="7">
        <f t="shared" si="181"/>
        <v>2E-3</v>
      </c>
      <c r="M5798" s="7">
        <v>3.0000000000000001E-3</v>
      </c>
      <c r="N5798">
        <v>11</v>
      </c>
      <c r="O5798" s="8">
        <v>20.328747193832452</v>
      </c>
      <c r="P5798" s="9">
        <v>20.328747193832452</v>
      </c>
      <c r="Q5798" s="9">
        <v>20.328747193832452</v>
      </c>
      <c r="R5798" s="9">
        <v>20.901467178587069</v>
      </c>
      <c r="S5798" s="9">
        <v>21.789694031871221</v>
      </c>
      <c r="T5798" s="9">
        <v>22.685842380093916</v>
      </c>
      <c r="U5798" s="9">
        <v>25.139615720574728</v>
      </c>
      <c r="V5798" s="9">
        <v>25.139615720574728</v>
      </c>
      <c r="W5798" s="9">
        <v>25.139615720574728</v>
      </c>
      <c r="X5798" s="9">
        <v>28.431126761040446</v>
      </c>
      <c r="Y5798" s="9">
        <v>28.431126761040446</v>
      </c>
      <c r="Z5798" s="9">
        <v>31.8133765751437</v>
      </c>
      <c r="AA5798" s="9">
        <v>31.8133765751437</v>
      </c>
      <c r="AB5798" s="9">
        <v>35.295439040248269</v>
      </c>
      <c r="AC5798" s="9">
        <v>35.295439040248269</v>
      </c>
      <c r="AD5798" s="9">
        <v>40.66038110622798</v>
      </c>
      <c r="AE5798" s="9">
        <v>44.145469767258199</v>
      </c>
      <c r="AF5798" s="9">
        <v>47.802065076832598</v>
      </c>
      <c r="AG5798" s="9">
        <v>47.802065076832598</v>
      </c>
      <c r="AH5798" s="9">
        <v>52.368463891218347</v>
      </c>
      <c r="AI5798" s="9">
        <v>56.090712435126555</v>
      </c>
      <c r="AJ5798" s="9">
        <v>3.0428788910505911</v>
      </c>
    </row>
    <row r="5799" spans="1:36" x14ac:dyDescent="0.25">
      <c r="A5799" t="s">
        <v>5411</v>
      </c>
      <c r="B5799" t="s">
        <v>16</v>
      </c>
      <c r="C5799" t="s">
        <v>17</v>
      </c>
      <c r="D5799">
        <v>98580000</v>
      </c>
      <c r="E5799">
        <v>98589999</v>
      </c>
      <c r="F5799" t="s">
        <v>5241</v>
      </c>
      <c r="G5799" t="str">
        <f t="shared" si="180"/>
        <v>RSI II</v>
      </c>
      <c r="H5799" t="s">
        <v>4915</v>
      </c>
      <c r="I5799" t="s">
        <v>20</v>
      </c>
      <c r="J5799" t="s">
        <v>64</v>
      </c>
      <c r="K5799" s="6">
        <v>0.03</v>
      </c>
      <c r="L5799" s="7">
        <f t="shared" si="181"/>
        <v>2E-3</v>
      </c>
      <c r="M5799" s="7">
        <v>3.0000000000000001E-3</v>
      </c>
      <c r="N5799">
        <v>11</v>
      </c>
      <c r="O5799" s="8">
        <v>20.328747193832452</v>
      </c>
      <c r="P5799" s="9">
        <v>20.328747193832452</v>
      </c>
      <c r="Q5799" s="9">
        <v>20.328747193832452</v>
      </c>
      <c r="R5799" s="9">
        <v>20.901467178587069</v>
      </c>
      <c r="S5799" s="9">
        <v>21.789694031871221</v>
      </c>
      <c r="T5799" s="9">
        <v>22.685842380093916</v>
      </c>
      <c r="U5799" s="9">
        <v>25.139615720574728</v>
      </c>
      <c r="V5799" s="9">
        <v>25.139615720574728</v>
      </c>
      <c r="W5799" s="9">
        <v>25.139615720574728</v>
      </c>
      <c r="X5799" s="9">
        <v>28.431126761040446</v>
      </c>
      <c r="Y5799" s="9">
        <v>28.431126761040446</v>
      </c>
      <c r="Z5799" s="9">
        <v>31.8133765751437</v>
      </c>
      <c r="AA5799" s="9">
        <v>31.8133765751437</v>
      </c>
      <c r="AB5799" s="9">
        <v>35.295439040248269</v>
      </c>
      <c r="AC5799" s="9">
        <v>35.295439040248269</v>
      </c>
      <c r="AD5799" s="9">
        <v>40.66038110622798</v>
      </c>
      <c r="AE5799" s="9">
        <v>44.145469767258199</v>
      </c>
      <c r="AF5799" s="9">
        <v>47.802065076832598</v>
      </c>
      <c r="AG5799" s="9">
        <v>47.802065076832598</v>
      </c>
      <c r="AH5799" s="9">
        <v>52.368463891218347</v>
      </c>
      <c r="AI5799" s="9">
        <v>56.090712435126555</v>
      </c>
      <c r="AJ5799" s="9">
        <v>3.0428788910505911</v>
      </c>
    </row>
    <row r="5800" spans="1:36" x14ac:dyDescent="0.25">
      <c r="A5800" t="s">
        <v>5411</v>
      </c>
      <c r="B5800" t="s">
        <v>16</v>
      </c>
      <c r="C5800" t="s">
        <v>17</v>
      </c>
      <c r="D5800">
        <v>98590000</v>
      </c>
      <c r="E5800">
        <v>98594999</v>
      </c>
      <c r="F5800" t="s">
        <v>5242</v>
      </c>
      <c r="G5800" t="str">
        <f t="shared" si="180"/>
        <v>RSI II</v>
      </c>
      <c r="H5800" t="s">
        <v>4915</v>
      </c>
      <c r="I5800" t="s">
        <v>20</v>
      </c>
      <c r="J5800" t="s">
        <v>64</v>
      </c>
      <c r="K5800" s="6">
        <v>0.03</v>
      </c>
      <c r="L5800" s="7">
        <f t="shared" si="181"/>
        <v>2E-3</v>
      </c>
      <c r="M5800" s="7">
        <v>3.0000000000000001E-3</v>
      </c>
      <c r="N5800">
        <v>11</v>
      </c>
      <c r="O5800" s="8">
        <v>20.328747193832452</v>
      </c>
      <c r="P5800" s="9">
        <v>20.328747193832452</v>
      </c>
      <c r="Q5800" s="9">
        <v>20.328747193832452</v>
      </c>
      <c r="R5800" s="9">
        <v>20.901467178587069</v>
      </c>
      <c r="S5800" s="9">
        <v>21.789694031871221</v>
      </c>
      <c r="T5800" s="9">
        <v>22.685842380093916</v>
      </c>
      <c r="U5800" s="9">
        <v>25.139615720574728</v>
      </c>
      <c r="V5800" s="9">
        <v>25.139615720574728</v>
      </c>
      <c r="W5800" s="9">
        <v>25.139615720574728</v>
      </c>
      <c r="X5800" s="9">
        <v>28.431126761040446</v>
      </c>
      <c r="Y5800" s="9">
        <v>28.431126761040446</v>
      </c>
      <c r="Z5800" s="9">
        <v>31.8133765751437</v>
      </c>
      <c r="AA5800" s="9">
        <v>31.8133765751437</v>
      </c>
      <c r="AB5800" s="9">
        <v>35.295439040248269</v>
      </c>
      <c r="AC5800" s="9">
        <v>35.295439040248269</v>
      </c>
      <c r="AD5800" s="9">
        <v>40.66038110622798</v>
      </c>
      <c r="AE5800" s="9">
        <v>44.145469767258199</v>
      </c>
      <c r="AF5800" s="9">
        <v>47.802065076832598</v>
      </c>
      <c r="AG5800" s="9">
        <v>47.802065076832598</v>
      </c>
      <c r="AH5800" s="9">
        <v>52.368463891218347</v>
      </c>
      <c r="AI5800" s="9">
        <v>56.090712435126555</v>
      </c>
      <c r="AJ5800" s="9">
        <v>3.0428788910505911</v>
      </c>
    </row>
    <row r="5801" spans="1:36" x14ac:dyDescent="0.25">
      <c r="A5801" t="s">
        <v>5411</v>
      </c>
      <c r="B5801" t="s">
        <v>16</v>
      </c>
      <c r="C5801" t="s">
        <v>17</v>
      </c>
      <c r="D5801">
        <v>98595000</v>
      </c>
      <c r="E5801">
        <v>98599999</v>
      </c>
      <c r="F5801" t="s">
        <v>5243</v>
      </c>
      <c r="G5801" t="str">
        <f t="shared" si="180"/>
        <v>RSI II</v>
      </c>
      <c r="H5801" t="s">
        <v>4915</v>
      </c>
      <c r="I5801" t="s">
        <v>20</v>
      </c>
      <c r="J5801" t="s">
        <v>64</v>
      </c>
      <c r="K5801" s="6">
        <v>0.03</v>
      </c>
      <c r="L5801" s="7">
        <f t="shared" si="181"/>
        <v>2E-3</v>
      </c>
      <c r="M5801" s="7">
        <v>3.0000000000000001E-3</v>
      </c>
      <c r="N5801">
        <v>11</v>
      </c>
      <c r="O5801" s="8">
        <v>20.328747193832452</v>
      </c>
      <c r="P5801" s="9">
        <v>20.328747193832452</v>
      </c>
      <c r="Q5801" s="9">
        <v>20.328747193832452</v>
      </c>
      <c r="R5801" s="9">
        <v>20.901467178587069</v>
      </c>
      <c r="S5801" s="9">
        <v>21.789694031871221</v>
      </c>
      <c r="T5801" s="9">
        <v>22.685842380093916</v>
      </c>
      <c r="U5801" s="9">
        <v>25.139615720574728</v>
      </c>
      <c r="V5801" s="9">
        <v>25.139615720574728</v>
      </c>
      <c r="W5801" s="9">
        <v>25.139615720574728</v>
      </c>
      <c r="X5801" s="9">
        <v>28.431126761040446</v>
      </c>
      <c r="Y5801" s="9">
        <v>28.431126761040446</v>
      </c>
      <c r="Z5801" s="9">
        <v>31.8133765751437</v>
      </c>
      <c r="AA5801" s="9">
        <v>31.8133765751437</v>
      </c>
      <c r="AB5801" s="9">
        <v>35.295439040248269</v>
      </c>
      <c r="AC5801" s="9">
        <v>35.295439040248269</v>
      </c>
      <c r="AD5801" s="9">
        <v>40.66038110622798</v>
      </c>
      <c r="AE5801" s="9">
        <v>44.145469767258199</v>
      </c>
      <c r="AF5801" s="9">
        <v>47.802065076832598</v>
      </c>
      <c r="AG5801" s="9">
        <v>47.802065076832598</v>
      </c>
      <c r="AH5801" s="9">
        <v>52.368463891218347</v>
      </c>
      <c r="AI5801" s="9">
        <v>56.090712435126555</v>
      </c>
      <c r="AJ5801" s="9">
        <v>3.0428788910505911</v>
      </c>
    </row>
    <row r="5802" spans="1:36" x14ac:dyDescent="0.25">
      <c r="A5802" t="s">
        <v>5411</v>
      </c>
      <c r="B5802" t="s">
        <v>16</v>
      </c>
      <c r="C5802" t="s">
        <v>17</v>
      </c>
      <c r="D5802">
        <v>98600000</v>
      </c>
      <c r="E5802">
        <v>98634999</v>
      </c>
      <c r="F5802" t="s">
        <v>5244</v>
      </c>
      <c r="G5802" t="str">
        <f t="shared" si="180"/>
        <v>RSI II</v>
      </c>
      <c r="H5802" t="s">
        <v>4915</v>
      </c>
      <c r="I5802" t="s">
        <v>20</v>
      </c>
      <c r="J5802" t="s">
        <v>64</v>
      </c>
      <c r="K5802" s="6">
        <v>0.03</v>
      </c>
      <c r="L5802" s="7">
        <f t="shared" si="181"/>
        <v>2E-3</v>
      </c>
      <c r="M5802" s="7">
        <v>3.0000000000000001E-3</v>
      </c>
      <c r="N5802">
        <v>11</v>
      </c>
      <c r="O5802" s="8">
        <v>20.328747193832452</v>
      </c>
      <c r="P5802" s="9">
        <v>20.328747193832452</v>
      </c>
      <c r="Q5802" s="9">
        <v>20.328747193832452</v>
      </c>
      <c r="R5802" s="9">
        <v>20.901467178587069</v>
      </c>
      <c r="S5802" s="9">
        <v>21.789694031871221</v>
      </c>
      <c r="T5802" s="9">
        <v>22.685842380093916</v>
      </c>
      <c r="U5802" s="9">
        <v>25.139615720574728</v>
      </c>
      <c r="V5802" s="9">
        <v>25.139615720574728</v>
      </c>
      <c r="W5802" s="9">
        <v>25.139615720574728</v>
      </c>
      <c r="X5802" s="9">
        <v>28.431126761040446</v>
      </c>
      <c r="Y5802" s="9">
        <v>28.431126761040446</v>
      </c>
      <c r="Z5802" s="9">
        <v>31.8133765751437</v>
      </c>
      <c r="AA5802" s="9">
        <v>31.8133765751437</v>
      </c>
      <c r="AB5802" s="9">
        <v>35.295439040248269</v>
      </c>
      <c r="AC5802" s="9">
        <v>35.295439040248269</v>
      </c>
      <c r="AD5802" s="9">
        <v>40.66038110622798</v>
      </c>
      <c r="AE5802" s="9">
        <v>44.145469767258199</v>
      </c>
      <c r="AF5802" s="9">
        <v>47.802065076832598</v>
      </c>
      <c r="AG5802" s="9">
        <v>47.802065076832598</v>
      </c>
      <c r="AH5802" s="9">
        <v>52.368463891218347</v>
      </c>
      <c r="AI5802" s="9">
        <v>56.090712435126555</v>
      </c>
      <c r="AJ5802" s="9">
        <v>3.0428788910505911</v>
      </c>
    </row>
    <row r="5803" spans="1:36" x14ac:dyDescent="0.25">
      <c r="A5803" t="s">
        <v>5411</v>
      </c>
      <c r="B5803" t="s">
        <v>16</v>
      </c>
      <c r="C5803" t="s">
        <v>17</v>
      </c>
      <c r="D5803">
        <v>98635000</v>
      </c>
      <c r="E5803">
        <v>98639999</v>
      </c>
      <c r="F5803" t="s">
        <v>5245</v>
      </c>
      <c r="G5803" t="str">
        <f t="shared" si="180"/>
        <v>RSI II</v>
      </c>
      <c r="H5803" t="s">
        <v>4915</v>
      </c>
      <c r="I5803" t="s">
        <v>20</v>
      </c>
      <c r="J5803" t="s">
        <v>64</v>
      </c>
      <c r="K5803" s="6">
        <v>0.03</v>
      </c>
      <c r="L5803" s="7">
        <f t="shared" si="181"/>
        <v>2E-3</v>
      </c>
      <c r="M5803" s="7">
        <v>3.0000000000000001E-3</v>
      </c>
      <c r="N5803">
        <v>11</v>
      </c>
      <c r="O5803" s="8">
        <v>20.328747193832452</v>
      </c>
      <c r="P5803" s="9">
        <v>20.328747193832452</v>
      </c>
      <c r="Q5803" s="9">
        <v>20.328747193832452</v>
      </c>
      <c r="R5803" s="9">
        <v>20.901467178587069</v>
      </c>
      <c r="S5803" s="9">
        <v>21.789694031871221</v>
      </c>
      <c r="T5803" s="9">
        <v>22.685842380093916</v>
      </c>
      <c r="U5803" s="9">
        <v>25.139615720574728</v>
      </c>
      <c r="V5803" s="9">
        <v>25.139615720574728</v>
      </c>
      <c r="W5803" s="9">
        <v>25.139615720574728</v>
      </c>
      <c r="X5803" s="9">
        <v>28.431126761040446</v>
      </c>
      <c r="Y5803" s="9">
        <v>28.431126761040446</v>
      </c>
      <c r="Z5803" s="9">
        <v>31.8133765751437</v>
      </c>
      <c r="AA5803" s="9">
        <v>31.8133765751437</v>
      </c>
      <c r="AB5803" s="9">
        <v>35.295439040248269</v>
      </c>
      <c r="AC5803" s="9">
        <v>35.295439040248269</v>
      </c>
      <c r="AD5803" s="9">
        <v>40.66038110622798</v>
      </c>
      <c r="AE5803" s="9">
        <v>44.145469767258199</v>
      </c>
      <c r="AF5803" s="9">
        <v>47.802065076832598</v>
      </c>
      <c r="AG5803" s="9">
        <v>47.802065076832598</v>
      </c>
      <c r="AH5803" s="9">
        <v>52.368463891218347</v>
      </c>
      <c r="AI5803" s="9">
        <v>56.090712435126555</v>
      </c>
      <c r="AJ5803" s="9">
        <v>3.0428788910505911</v>
      </c>
    </row>
    <row r="5804" spans="1:36" x14ac:dyDescent="0.25">
      <c r="A5804" t="s">
        <v>5411</v>
      </c>
      <c r="B5804" t="s">
        <v>16</v>
      </c>
      <c r="C5804" t="s">
        <v>17</v>
      </c>
      <c r="D5804">
        <v>98640000</v>
      </c>
      <c r="E5804">
        <v>98669999</v>
      </c>
      <c r="F5804" t="s">
        <v>5246</v>
      </c>
      <c r="G5804" t="str">
        <f t="shared" si="180"/>
        <v>RSI II</v>
      </c>
      <c r="H5804" t="s">
        <v>4915</v>
      </c>
      <c r="I5804" t="s">
        <v>20</v>
      </c>
      <c r="J5804" t="s">
        <v>64</v>
      </c>
      <c r="K5804" s="6">
        <v>0.03</v>
      </c>
      <c r="L5804" s="7">
        <f t="shared" si="181"/>
        <v>2E-3</v>
      </c>
      <c r="M5804" s="7">
        <v>3.0000000000000001E-3</v>
      </c>
      <c r="N5804">
        <v>11</v>
      </c>
      <c r="O5804" s="8">
        <v>20.328747193832452</v>
      </c>
      <c r="P5804" s="9">
        <v>20.328747193832452</v>
      </c>
      <c r="Q5804" s="9">
        <v>20.328747193832452</v>
      </c>
      <c r="R5804" s="9">
        <v>20.901467178587069</v>
      </c>
      <c r="S5804" s="9">
        <v>21.789694031871221</v>
      </c>
      <c r="T5804" s="9">
        <v>22.685842380093916</v>
      </c>
      <c r="U5804" s="9">
        <v>25.139615720574728</v>
      </c>
      <c r="V5804" s="9">
        <v>25.139615720574728</v>
      </c>
      <c r="W5804" s="9">
        <v>25.139615720574728</v>
      </c>
      <c r="X5804" s="9">
        <v>28.431126761040446</v>
      </c>
      <c r="Y5804" s="9">
        <v>28.431126761040446</v>
      </c>
      <c r="Z5804" s="9">
        <v>31.8133765751437</v>
      </c>
      <c r="AA5804" s="9">
        <v>31.8133765751437</v>
      </c>
      <c r="AB5804" s="9">
        <v>35.295439040248269</v>
      </c>
      <c r="AC5804" s="9">
        <v>35.295439040248269</v>
      </c>
      <c r="AD5804" s="9">
        <v>40.66038110622798</v>
      </c>
      <c r="AE5804" s="9">
        <v>44.145469767258199</v>
      </c>
      <c r="AF5804" s="9">
        <v>47.802065076832598</v>
      </c>
      <c r="AG5804" s="9">
        <v>47.802065076832598</v>
      </c>
      <c r="AH5804" s="9">
        <v>52.368463891218347</v>
      </c>
      <c r="AI5804" s="9">
        <v>56.090712435126555</v>
      </c>
      <c r="AJ5804" s="9">
        <v>3.0428788910505911</v>
      </c>
    </row>
    <row r="5805" spans="1:36" x14ac:dyDescent="0.25">
      <c r="A5805" t="s">
        <v>5411</v>
      </c>
      <c r="B5805" t="s">
        <v>16</v>
      </c>
      <c r="C5805" t="s">
        <v>17</v>
      </c>
      <c r="D5805">
        <v>98670000</v>
      </c>
      <c r="E5805">
        <v>98674999</v>
      </c>
      <c r="F5805" t="s">
        <v>3637</v>
      </c>
      <c r="G5805" t="str">
        <f t="shared" si="180"/>
        <v>RSI II</v>
      </c>
      <c r="H5805" t="s">
        <v>4915</v>
      </c>
      <c r="I5805" t="s">
        <v>20</v>
      </c>
      <c r="J5805" t="s">
        <v>64</v>
      </c>
      <c r="K5805" s="6">
        <v>0.03</v>
      </c>
      <c r="L5805" s="7">
        <f t="shared" si="181"/>
        <v>2E-3</v>
      </c>
      <c r="M5805" s="7">
        <v>3.0000000000000001E-3</v>
      </c>
      <c r="N5805">
        <v>11</v>
      </c>
      <c r="O5805" s="8">
        <v>20.328747193832452</v>
      </c>
      <c r="P5805" s="9">
        <v>20.328747193832452</v>
      </c>
      <c r="Q5805" s="9">
        <v>20.328747193832452</v>
      </c>
      <c r="R5805" s="9">
        <v>20.901467178587069</v>
      </c>
      <c r="S5805" s="9">
        <v>21.789694031871221</v>
      </c>
      <c r="T5805" s="9">
        <v>22.685842380093916</v>
      </c>
      <c r="U5805" s="9">
        <v>25.139615720574728</v>
      </c>
      <c r="V5805" s="9">
        <v>25.139615720574728</v>
      </c>
      <c r="W5805" s="9">
        <v>25.139615720574728</v>
      </c>
      <c r="X5805" s="9">
        <v>28.431126761040446</v>
      </c>
      <c r="Y5805" s="9">
        <v>28.431126761040446</v>
      </c>
      <c r="Z5805" s="9">
        <v>31.8133765751437</v>
      </c>
      <c r="AA5805" s="9">
        <v>31.8133765751437</v>
      </c>
      <c r="AB5805" s="9">
        <v>35.295439040248269</v>
      </c>
      <c r="AC5805" s="9">
        <v>35.295439040248269</v>
      </c>
      <c r="AD5805" s="9">
        <v>40.66038110622798</v>
      </c>
      <c r="AE5805" s="9">
        <v>44.145469767258199</v>
      </c>
      <c r="AF5805" s="9">
        <v>47.802065076832598</v>
      </c>
      <c r="AG5805" s="9">
        <v>47.802065076832598</v>
      </c>
      <c r="AH5805" s="9">
        <v>52.368463891218347</v>
      </c>
      <c r="AI5805" s="9">
        <v>56.090712435126555</v>
      </c>
      <c r="AJ5805" s="9">
        <v>3.0428788910505911</v>
      </c>
    </row>
    <row r="5806" spans="1:36" x14ac:dyDescent="0.25">
      <c r="A5806" t="s">
        <v>5411</v>
      </c>
      <c r="B5806" t="s">
        <v>16</v>
      </c>
      <c r="C5806" t="s">
        <v>17</v>
      </c>
      <c r="D5806">
        <v>98675000</v>
      </c>
      <c r="E5806">
        <v>98679999</v>
      </c>
      <c r="F5806" t="s">
        <v>5247</v>
      </c>
      <c r="G5806" t="str">
        <f t="shared" si="180"/>
        <v>RSI II</v>
      </c>
      <c r="H5806" t="s">
        <v>4915</v>
      </c>
      <c r="I5806" t="s">
        <v>20</v>
      </c>
      <c r="J5806" t="s">
        <v>64</v>
      </c>
      <c r="K5806" s="6">
        <v>0.03</v>
      </c>
      <c r="L5806" s="7">
        <f t="shared" si="181"/>
        <v>2E-3</v>
      </c>
      <c r="M5806" s="7">
        <v>3.0000000000000001E-3</v>
      </c>
      <c r="N5806">
        <v>11</v>
      </c>
      <c r="O5806" s="8">
        <v>20.328747193832452</v>
      </c>
      <c r="P5806" s="9">
        <v>20.328747193832452</v>
      </c>
      <c r="Q5806" s="9">
        <v>20.328747193832452</v>
      </c>
      <c r="R5806" s="9">
        <v>20.901467178587069</v>
      </c>
      <c r="S5806" s="9">
        <v>21.789694031871221</v>
      </c>
      <c r="T5806" s="9">
        <v>22.685842380093916</v>
      </c>
      <c r="U5806" s="9">
        <v>25.139615720574728</v>
      </c>
      <c r="V5806" s="9">
        <v>25.139615720574728</v>
      </c>
      <c r="W5806" s="9">
        <v>25.139615720574728</v>
      </c>
      <c r="X5806" s="9">
        <v>28.431126761040446</v>
      </c>
      <c r="Y5806" s="9">
        <v>28.431126761040446</v>
      </c>
      <c r="Z5806" s="9">
        <v>31.8133765751437</v>
      </c>
      <c r="AA5806" s="9">
        <v>31.8133765751437</v>
      </c>
      <c r="AB5806" s="9">
        <v>35.295439040248269</v>
      </c>
      <c r="AC5806" s="9">
        <v>35.295439040248269</v>
      </c>
      <c r="AD5806" s="9">
        <v>40.66038110622798</v>
      </c>
      <c r="AE5806" s="9">
        <v>44.145469767258199</v>
      </c>
      <c r="AF5806" s="9">
        <v>47.802065076832598</v>
      </c>
      <c r="AG5806" s="9">
        <v>47.802065076832598</v>
      </c>
      <c r="AH5806" s="9">
        <v>52.368463891218347</v>
      </c>
      <c r="AI5806" s="9">
        <v>56.090712435126555</v>
      </c>
      <c r="AJ5806" s="9">
        <v>3.0428788910505911</v>
      </c>
    </row>
    <row r="5807" spans="1:36" x14ac:dyDescent="0.25">
      <c r="A5807" t="s">
        <v>5411</v>
      </c>
      <c r="B5807" t="s">
        <v>16</v>
      </c>
      <c r="C5807" t="s">
        <v>17</v>
      </c>
      <c r="D5807">
        <v>98680000</v>
      </c>
      <c r="E5807">
        <v>98689999</v>
      </c>
      <c r="F5807" t="s">
        <v>5248</v>
      </c>
      <c r="G5807" t="str">
        <f t="shared" si="180"/>
        <v>RSI II</v>
      </c>
      <c r="H5807" t="s">
        <v>4915</v>
      </c>
      <c r="I5807" t="s">
        <v>20</v>
      </c>
      <c r="J5807" t="s">
        <v>64</v>
      </c>
      <c r="K5807" s="6">
        <v>0.03</v>
      </c>
      <c r="L5807" s="7">
        <f t="shared" si="181"/>
        <v>2E-3</v>
      </c>
      <c r="M5807" s="7">
        <v>3.0000000000000001E-3</v>
      </c>
      <c r="N5807">
        <v>11</v>
      </c>
      <c r="O5807" s="8">
        <v>20.328747193832452</v>
      </c>
      <c r="P5807" s="9">
        <v>20.328747193832452</v>
      </c>
      <c r="Q5807" s="9">
        <v>20.328747193832452</v>
      </c>
      <c r="R5807" s="9">
        <v>20.901467178587069</v>
      </c>
      <c r="S5807" s="9">
        <v>21.789694031871221</v>
      </c>
      <c r="T5807" s="9">
        <v>22.685842380093916</v>
      </c>
      <c r="U5807" s="9">
        <v>25.139615720574728</v>
      </c>
      <c r="V5807" s="9">
        <v>25.139615720574728</v>
      </c>
      <c r="W5807" s="9">
        <v>25.139615720574728</v>
      </c>
      <c r="X5807" s="9">
        <v>28.431126761040446</v>
      </c>
      <c r="Y5807" s="9">
        <v>28.431126761040446</v>
      </c>
      <c r="Z5807" s="9">
        <v>31.8133765751437</v>
      </c>
      <c r="AA5807" s="9">
        <v>31.8133765751437</v>
      </c>
      <c r="AB5807" s="9">
        <v>35.295439040248269</v>
      </c>
      <c r="AC5807" s="9">
        <v>35.295439040248269</v>
      </c>
      <c r="AD5807" s="9">
        <v>40.66038110622798</v>
      </c>
      <c r="AE5807" s="9">
        <v>44.145469767258199</v>
      </c>
      <c r="AF5807" s="9">
        <v>47.802065076832598</v>
      </c>
      <c r="AG5807" s="9">
        <v>47.802065076832598</v>
      </c>
      <c r="AH5807" s="9">
        <v>52.368463891218347</v>
      </c>
      <c r="AI5807" s="9">
        <v>56.090712435126555</v>
      </c>
      <c r="AJ5807" s="9">
        <v>3.0428788910505911</v>
      </c>
    </row>
    <row r="5808" spans="1:36" x14ac:dyDescent="0.25">
      <c r="A5808" t="s">
        <v>5411</v>
      </c>
      <c r="B5808" t="s">
        <v>16</v>
      </c>
      <c r="C5808" t="s">
        <v>17</v>
      </c>
      <c r="D5808">
        <v>98690000</v>
      </c>
      <c r="E5808">
        <v>98699999</v>
      </c>
      <c r="F5808" t="s">
        <v>4724</v>
      </c>
      <c r="G5808" t="str">
        <f t="shared" si="180"/>
        <v>RSI II</v>
      </c>
      <c r="H5808" t="s">
        <v>4915</v>
      </c>
      <c r="I5808" t="s">
        <v>20</v>
      </c>
      <c r="J5808" t="s">
        <v>64</v>
      </c>
      <c r="K5808" s="6">
        <v>0.03</v>
      </c>
      <c r="L5808" s="7">
        <f t="shared" si="181"/>
        <v>2E-3</v>
      </c>
      <c r="M5808" s="7">
        <v>3.0000000000000001E-3</v>
      </c>
      <c r="N5808">
        <v>11</v>
      </c>
      <c r="O5808" s="8">
        <v>20.328747193832452</v>
      </c>
      <c r="P5808" s="9">
        <v>20.328747193832452</v>
      </c>
      <c r="Q5808" s="9">
        <v>20.328747193832452</v>
      </c>
      <c r="R5808" s="9">
        <v>20.901467178587069</v>
      </c>
      <c r="S5808" s="9">
        <v>21.789694031871221</v>
      </c>
      <c r="T5808" s="9">
        <v>22.685842380093916</v>
      </c>
      <c r="U5808" s="9">
        <v>25.139615720574728</v>
      </c>
      <c r="V5808" s="9">
        <v>25.139615720574728</v>
      </c>
      <c r="W5808" s="9">
        <v>25.139615720574728</v>
      </c>
      <c r="X5808" s="9">
        <v>28.431126761040446</v>
      </c>
      <c r="Y5808" s="9">
        <v>28.431126761040446</v>
      </c>
      <c r="Z5808" s="9">
        <v>31.8133765751437</v>
      </c>
      <c r="AA5808" s="9">
        <v>31.8133765751437</v>
      </c>
      <c r="AB5808" s="9">
        <v>35.295439040248269</v>
      </c>
      <c r="AC5808" s="9">
        <v>35.295439040248269</v>
      </c>
      <c r="AD5808" s="9">
        <v>40.66038110622798</v>
      </c>
      <c r="AE5808" s="9">
        <v>44.145469767258199</v>
      </c>
      <c r="AF5808" s="9">
        <v>47.802065076832598</v>
      </c>
      <c r="AG5808" s="9">
        <v>47.802065076832598</v>
      </c>
      <c r="AH5808" s="9">
        <v>52.368463891218347</v>
      </c>
      <c r="AI5808" s="9">
        <v>56.090712435126555</v>
      </c>
      <c r="AJ5808" s="9">
        <v>3.0428788910505911</v>
      </c>
    </row>
    <row r="5809" spans="1:36" x14ac:dyDescent="0.25">
      <c r="A5809" t="s">
        <v>5411</v>
      </c>
      <c r="B5809" t="s">
        <v>16</v>
      </c>
      <c r="C5809" t="s">
        <v>17</v>
      </c>
      <c r="D5809">
        <v>98700000</v>
      </c>
      <c r="E5809">
        <v>98732999</v>
      </c>
      <c r="F5809" t="s">
        <v>5249</v>
      </c>
      <c r="G5809" t="str">
        <f t="shared" si="180"/>
        <v>RSI</v>
      </c>
      <c r="H5809" t="s">
        <v>4915</v>
      </c>
      <c r="I5809" t="s">
        <v>20</v>
      </c>
      <c r="J5809" t="s">
        <v>62</v>
      </c>
      <c r="K5809" s="6">
        <v>0.03</v>
      </c>
      <c r="L5809" s="7">
        <f t="shared" si="181"/>
        <v>2E-3</v>
      </c>
      <c r="M5809" s="7">
        <v>3.0000000000000001E-3</v>
      </c>
      <c r="N5809">
        <v>9</v>
      </c>
      <c r="O5809" s="8">
        <v>17.509302802156309</v>
      </c>
      <c r="P5809" s="9">
        <v>17.509302802156309</v>
      </c>
      <c r="Q5809" s="9">
        <v>17.509302802156309</v>
      </c>
      <c r="R5809" s="9">
        <v>17.960073121579438</v>
      </c>
      <c r="S5809" s="9">
        <v>18.978426201825126</v>
      </c>
      <c r="T5809" s="9">
        <v>19.861619996324769</v>
      </c>
      <c r="U5809" s="9">
        <v>21.605211693624167</v>
      </c>
      <c r="V5809" s="9">
        <v>21.605211693624167</v>
      </c>
      <c r="W5809" s="9">
        <v>21.605211693624167</v>
      </c>
      <c r="X5809" s="9">
        <v>24.342346895578043</v>
      </c>
      <c r="Y5809" s="9">
        <v>24.342346895578043</v>
      </c>
      <c r="Z5809" s="9">
        <v>27.269806221922281</v>
      </c>
      <c r="AA5809" s="9">
        <v>27.269806221922281</v>
      </c>
      <c r="AB5809" s="9">
        <v>30.447232473217717</v>
      </c>
      <c r="AC5809" s="9">
        <v>30.447232473217717</v>
      </c>
      <c r="AD5809" s="9">
        <v>33.773696777878271</v>
      </c>
      <c r="AE5809" s="9">
        <v>37.668102449503657</v>
      </c>
      <c r="AF5809" s="9">
        <v>41.795656089883373</v>
      </c>
      <c r="AG5809" s="9">
        <v>41.795656089883373</v>
      </c>
      <c r="AH5809" s="9">
        <v>45.638668972740511</v>
      </c>
      <c r="AI5809" s="9">
        <v>49.380739592962819</v>
      </c>
      <c r="AJ5809" s="9">
        <v>3.0428788910505911</v>
      </c>
    </row>
    <row r="5810" spans="1:36" x14ac:dyDescent="0.25">
      <c r="A5810" t="s">
        <v>5411</v>
      </c>
      <c r="B5810" t="s">
        <v>16</v>
      </c>
      <c r="C5810" t="s">
        <v>17</v>
      </c>
      <c r="D5810">
        <v>98733000</v>
      </c>
      <c r="E5810">
        <v>98734999</v>
      </c>
      <c r="F5810" t="s">
        <v>5250</v>
      </c>
      <c r="G5810" t="str">
        <f t="shared" si="180"/>
        <v>RSI II</v>
      </c>
      <c r="H5810" t="s">
        <v>4915</v>
      </c>
      <c r="I5810" t="s">
        <v>20</v>
      </c>
      <c r="J5810" t="s">
        <v>64</v>
      </c>
      <c r="K5810" s="6">
        <v>0.03</v>
      </c>
      <c r="L5810" s="7">
        <f t="shared" si="181"/>
        <v>2E-3</v>
      </c>
      <c r="M5810" s="7">
        <v>3.0000000000000001E-3</v>
      </c>
      <c r="N5810">
        <v>11</v>
      </c>
      <c r="O5810" s="8">
        <v>20.328747193832452</v>
      </c>
      <c r="P5810" s="9">
        <v>20.328747193832452</v>
      </c>
      <c r="Q5810" s="9">
        <v>20.328747193832452</v>
      </c>
      <c r="R5810" s="9">
        <v>20.901467178587069</v>
      </c>
      <c r="S5810" s="9">
        <v>21.789694031871221</v>
      </c>
      <c r="T5810" s="9">
        <v>22.685842380093916</v>
      </c>
      <c r="U5810" s="9">
        <v>25.139615720574728</v>
      </c>
      <c r="V5810" s="9">
        <v>25.139615720574728</v>
      </c>
      <c r="W5810" s="9">
        <v>25.139615720574728</v>
      </c>
      <c r="X5810" s="9">
        <v>28.431126761040446</v>
      </c>
      <c r="Y5810" s="9">
        <v>28.431126761040446</v>
      </c>
      <c r="Z5810" s="9">
        <v>31.8133765751437</v>
      </c>
      <c r="AA5810" s="9">
        <v>31.8133765751437</v>
      </c>
      <c r="AB5810" s="9">
        <v>35.295439040248269</v>
      </c>
      <c r="AC5810" s="9">
        <v>35.295439040248269</v>
      </c>
      <c r="AD5810" s="9">
        <v>40.66038110622798</v>
      </c>
      <c r="AE5810" s="9">
        <v>44.145469767258199</v>
      </c>
      <c r="AF5810" s="9">
        <v>47.802065076832598</v>
      </c>
      <c r="AG5810" s="9">
        <v>47.802065076832598</v>
      </c>
      <c r="AH5810" s="9">
        <v>52.368463891218347</v>
      </c>
      <c r="AI5810" s="9">
        <v>56.090712435126555</v>
      </c>
      <c r="AJ5810" s="9">
        <v>3.0428788910505911</v>
      </c>
    </row>
    <row r="5811" spans="1:36" x14ac:dyDescent="0.25">
      <c r="A5811" t="s">
        <v>5411</v>
      </c>
      <c r="B5811" t="s">
        <v>16</v>
      </c>
      <c r="C5811" t="s">
        <v>17</v>
      </c>
      <c r="D5811">
        <v>98735000</v>
      </c>
      <c r="E5811">
        <v>98739999</v>
      </c>
      <c r="F5811" t="s">
        <v>5251</v>
      </c>
      <c r="G5811" t="str">
        <f t="shared" si="180"/>
        <v>RSI II</v>
      </c>
      <c r="H5811" t="s">
        <v>4915</v>
      </c>
      <c r="I5811" t="s">
        <v>20</v>
      </c>
      <c r="J5811" t="s">
        <v>64</v>
      </c>
      <c r="K5811" s="6">
        <v>0.03</v>
      </c>
      <c r="L5811" s="7">
        <f t="shared" si="181"/>
        <v>2E-3</v>
      </c>
      <c r="M5811" s="7">
        <v>3.0000000000000001E-3</v>
      </c>
      <c r="N5811">
        <v>11</v>
      </c>
      <c r="O5811" s="8">
        <v>20.328747193832452</v>
      </c>
      <c r="P5811" s="9">
        <v>20.328747193832452</v>
      </c>
      <c r="Q5811" s="9">
        <v>20.328747193832452</v>
      </c>
      <c r="R5811" s="9">
        <v>20.901467178587069</v>
      </c>
      <c r="S5811" s="9">
        <v>21.789694031871221</v>
      </c>
      <c r="T5811" s="9">
        <v>22.685842380093916</v>
      </c>
      <c r="U5811" s="9">
        <v>25.139615720574728</v>
      </c>
      <c r="V5811" s="9">
        <v>25.139615720574728</v>
      </c>
      <c r="W5811" s="9">
        <v>25.139615720574728</v>
      </c>
      <c r="X5811" s="9">
        <v>28.431126761040446</v>
      </c>
      <c r="Y5811" s="9">
        <v>28.431126761040446</v>
      </c>
      <c r="Z5811" s="9">
        <v>31.8133765751437</v>
      </c>
      <c r="AA5811" s="9">
        <v>31.8133765751437</v>
      </c>
      <c r="AB5811" s="9">
        <v>35.295439040248269</v>
      </c>
      <c r="AC5811" s="9">
        <v>35.295439040248269</v>
      </c>
      <c r="AD5811" s="9">
        <v>40.66038110622798</v>
      </c>
      <c r="AE5811" s="9">
        <v>44.145469767258199</v>
      </c>
      <c r="AF5811" s="9">
        <v>47.802065076832598</v>
      </c>
      <c r="AG5811" s="9">
        <v>47.802065076832598</v>
      </c>
      <c r="AH5811" s="9">
        <v>52.368463891218347</v>
      </c>
      <c r="AI5811" s="9">
        <v>56.090712435126555</v>
      </c>
      <c r="AJ5811" s="9">
        <v>3.0428788910505911</v>
      </c>
    </row>
    <row r="5812" spans="1:36" x14ac:dyDescent="0.25">
      <c r="A5812" t="s">
        <v>5411</v>
      </c>
      <c r="B5812" t="s">
        <v>16</v>
      </c>
      <c r="C5812" t="s">
        <v>17</v>
      </c>
      <c r="D5812">
        <v>98740000</v>
      </c>
      <c r="E5812">
        <v>98749999</v>
      </c>
      <c r="F5812" t="s">
        <v>5252</v>
      </c>
      <c r="G5812" t="str">
        <f t="shared" si="180"/>
        <v>RSI II</v>
      </c>
      <c r="H5812" t="s">
        <v>4915</v>
      </c>
      <c r="I5812" t="s">
        <v>20</v>
      </c>
      <c r="J5812" t="s">
        <v>64</v>
      </c>
      <c r="K5812" s="6">
        <v>0.03</v>
      </c>
      <c r="L5812" s="7">
        <f t="shared" si="181"/>
        <v>2E-3</v>
      </c>
      <c r="M5812" s="7">
        <v>3.0000000000000001E-3</v>
      </c>
      <c r="N5812">
        <v>11</v>
      </c>
      <c r="O5812" s="8">
        <v>20.328747193832452</v>
      </c>
      <c r="P5812" s="9">
        <v>20.328747193832452</v>
      </c>
      <c r="Q5812" s="9">
        <v>20.328747193832452</v>
      </c>
      <c r="R5812" s="9">
        <v>20.901467178587069</v>
      </c>
      <c r="S5812" s="9">
        <v>21.789694031871221</v>
      </c>
      <c r="T5812" s="9">
        <v>22.685842380093916</v>
      </c>
      <c r="U5812" s="9">
        <v>25.139615720574728</v>
      </c>
      <c r="V5812" s="9">
        <v>25.139615720574728</v>
      </c>
      <c r="W5812" s="9">
        <v>25.139615720574728</v>
      </c>
      <c r="X5812" s="9">
        <v>28.431126761040446</v>
      </c>
      <c r="Y5812" s="9">
        <v>28.431126761040446</v>
      </c>
      <c r="Z5812" s="9">
        <v>31.8133765751437</v>
      </c>
      <c r="AA5812" s="9">
        <v>31.8133765751437</v>
      </c>
      <c r="AB5812" s="9">
        <v>35.295439040248269</v>
      </c>
      <c r="AC5812" s="9">
        <v>35.295439040248269</v>
      </c>
      <c r="AD5812" s="9">
        <v>40.66038110622798</v>
      </c>
      <c r="AE5812" s="9">
        <v>44.145469767258199</v>
      </c>
      <c r="AF5812" s="9">
        <v>47.802065076832598</v>
      </c>
      <c r="AG5812" s="9">
        <v>47.802065076832598</v>
      </c>
      <c r="AH5812" s="9">
        <v>52.368463891218347</v>
      </c>
      <c r="AI5812" s="9">
        <v>56.090712435126555</v>
      </c>
      <c r="AJ5812" s="9">
        <v>3.0428788910505911</v>
      </c>
    </row>
    <row r="5813" spans="1:36" x14ac:dyDescent="0.25">
      <c r="A5813" t="s">
        <v>5411</v>
      </c>
      <c r="B5813" t="s">
        <v>16</v>
      </c>
      <c r="C5813" t="s">
        <v>17</v>
      </c>
      <c r="D5813">
        <v>98750000</v>
      </c>
      <c r="E5813">
        <v>98757999</v>
      </c>
      <c r="F5813" t="s">
        <v>5253</v>
      </c>
      <c r="G5813" t="str">
        <f t="shared" si="180"/>
        <v>RSI II</v>
      </c>
      <c r="H5813" t="s">
        <v>4915</v>
      </c>
      <c r="I5813" t="s">
        <v>20</v>
      </c>
      <c r="J5813" t="s">
        <v>64</v>
      </c>
      <c r="K5813" s="6">
        <v>0.03</v>
      </c>
      <c r="L5813" s="7">
        <f t="shared" si="181"/>
        <v>2E-3</v>
      </c>
      <c r="M5813" s="7">
        <v>3.0000000000000001E-3</v>
      </c>
      <c r="N5813">
        <v>11</v>
      </c>
      <c r="O5813" s="8">
        <v>20.328747193832452</v>
      </c>
      <c r="P5813" s="9">
        <v>20.328747193832452</v>
      </c>
      <c r="Q5813" s="9">
        <v>20.328747193832452</v>
      </c>
      <c r="R5813" s="9">
        <v>20.901467178587069</v>
      </c>
      <c r="S5813" s="9">
        <v>21.789694031871221</v>
      </c>
      <c r="T5813" s="9">
        <v>22.685842380093916</v>
      </c>
      <c r="U5813" s="9">
        <v>25.139615720574728</v>
      </c>
      <c r="V5813" s="9">
        <v>25.139615720574728</v>
      </c>
      <c r="W5813" s="9">
        <v>25.139615720574728</v>
      </c>
      <c r="X5813" s="9">
        <v>28.431126761040446</v>
      </c>
      <c r="Y5813" s="9">
        <v>28.431126761040446</v>
      </c>
      <c r="Z5813" s="9">
        <v>31.8133765751437</v>
      </c>
      <c r="AA5813" s="9">
        <v>31.8133765751437</v>
      </c>
      <c r="AB5813" s="9">
        <v>35.295439040248269</v>
      </c>
      <c r="AC5813" s="9">
        <v>35.295439040248269</v>
      </c>
      <c r="AD5813" s="9">
        <v>40.66038110622798</v>
      </c>
      <c r="AE5813" s="9">
        <v>44.145469767258199</v>
      </c>
      <c r="AF5813" s="9">
        <v>47.802065076832598</v>
      </c>
      <c r="AG5813" s="9">
        <v>47.802065076832598</v>
      </c>
      <c r="AH5813" s="9">
        <v>52.368463891218347</v>
      </c>
      <c r="AI5813" s="9">
        <v>56.090712435126555</v>
      </c>
      <c r="AJ5813" s="9">
        <v>3.0428788910505911</v>
      </c>
    </row>
    <row r="5814" spans="1:36" x14ac:dyDescent="0.25">
      <c r="A5814" t="s">
        <v>5411</v>
      </c>
      <c r="B5814" t="s">
        <v>16</v>
      </c>
      <c r="C5814" t="s">
        <v>17</v>
      </c>
      <c r="D5814">
        <v>98758000</v>
      </c>
      <c r="E5814">
        <v>98759999</v>
      </c>
      <c r="F5814" t="s">
        <v>5254</v>
      </c>
      <c r="G5814" t="str">
        <f t="shared" si="180"/>
        <v>RSI II</v>
      </c>
      <c r="H5814" t="s">
        <v>4915</v>
      </c>
      <c r="I5814" t="s">
        <v>20</v>
      </c>
      <c r="J5814" t="s">
        <v>64</v>
      </c>
      <c r="K5814" s="6">
        <v>0.03</v>
      </c>
      <c r="L5814" s="7">
        <f t="shared" si="181"/>
        <v>2E-3</v>
      </c>
      <c r="M5814" s="7">
        <v>3.0000000000000001E-3</v>
      </c>
      <c r="N5814">
        <v>11</v>
      </c>
      <c r="O5814" s="8">
        <v>20.328747193832452</v>
      </c>
      <c r="P5814" s="9">
        <v>20.328747193832452</v>
      </c>
      <c r="Q5814" s="9">
        <v>20.328747193832452</v>
      </c>
      <c r="R5814" s="9">
        <v>20.901467178587069</v>
      </c>
      <c r="S5814" s="9">
        <v>21.789694031871221</v>
      </c>
      <c r="T5814" s="9">
        <v>22.685842380093916</v>
      </c>
      <c r="U5814" s="9">
        <v>25.139615720574728</v>
      </c>
      <c r="V5814" s="9">
        <v>25.139615720574728</v>
      </c>
      <c r="W5814" s="9">
        <v>25.139615720574728</v>
      </c>
      <c r="X5814" s="9">
        <v>28.431126761040446</v>
      </c>
      <c r="Y5814" s="9">
        <v>28.431126761040446</v>
      </c>
      <c r="Z5814" s="9">
        <v>31.8133765751437</v>
      </c>
      <c r="AA5814" s="9">
        <v>31.8133765751437</v>
      </c>
      <c r="AB5814" s="9">
        <v>35.295439040248269</v>
      </c>
      <c r="AC5814" s="9">
        <v>35.295439040248269</v>
      </c>
      <c r="AD5814" s="9">
        <v>40.66038110622798</v>
      </c>
      <c r="AE5814" s="9">
        <v>44.145469767258199</v>
      </c>
      <c r="AF5814" s="9">
        <v>47.802065076832598</v>
      </c>
      <c r="AG5814" s="9">
        <v>47.802065076832598</v>
      </c>
      <c r="AH5814" s="9">
        <v>52.368463891218347</v>
      </c>
      <c r="AI5814" s="9">
        <v>56.090712435126555</v>
      </c>
      <c r="AJ5814" s="9">
        <v>3.0428788910505911</v>
      </c>
    </row>
    <row r="5815" spans="1:36" x14ac:dyDescent="0.25">
      <c r="A5815" t="s">
        <v>5411</v>
      </c>
      <c r="B5815" t="s">
        <v>16</v>
      </c>
      <c r="C5815" t="s">
        <v>17</v>
      </c>
      <c r="D5815">
        <v>98760000</v>
      </c>
      <c r="E5815">
        <v>98764999</v>
      </c>
      <c r="F5815" t="s">
        <v>5255</v>
      </c>
      <c r="G5815" t="str">
        <f t="shared" si="180"/>
        <v>RSI II</v>
      </c>
      <c r="H5815" t="s">
        <v>4915</v>
      </c>
      <c r="I5815" t="s">
        <v>20</v>
      </c>
      <c r="J5815" t="s">
        <v>64</v>
      </c>
      <c r="K5815" s="6">
        <v>0.03</v>
      </c>
      <c r="L5815" s="7">
        <f t="shared" si="181"/>
        <v>2E-3</v>
      </c>
      <c r="M5815" s="7">
        <v>3.0000000000000001E-3</v>
      </c>
      <c r="N5815">
        <v>11</v>
      </c>
      <c r="O5815" s="8">
        <v>20.328747193832452</v>
      </c>
      <c r="P5815" s="9">
        <v>20.328747193832452</v>
      </c>
      <c r="Q5815" s="9">
        <v>20.328747193832452</v>
      </c>
      <c r="R5815" s="9">
        <v>20.901467178587069</v>
      </c>
      <c r="S5815" s="9">
        <v>21.789694031871221</v>
      </c>
      <c r="T5815" s="9">
        <v>22.685842380093916</v>
      </c>
      <c r="U5815" s="9">
        <v>25.139615720574728</v>
      </c>
      <c r="V5815" s="9">
        <v>25.139615720574728</v>
      </c>
      <c r="W5815" s="9">
        <v>25.139615720574728</v>
      </c>
      <c r="X5815" s="9">
        <v>28.431126761040446</v>
      </c>
      <c r="Y5815" s="9">
        <v>28.431126761040446</v>
      </c>
      <c r="Z5815" s="9">
        <v>31.8133765751437</v>
      </c>
      <c r="AA5815" s="9">
        <v>31.8133765751437</v>
      </c>
      <c r="AB5815" s="9">
        <v>35.295439040248269</v>
      </c>
      <c r="AC5815" s="9">
        <v>35.295439040248269</v>
      </c>
      <c r="AD5815" s="9">
        <v>40.66038110622798</v>
      </c>
      <c r="AE5815" s="9">
        <v>44.145469767258199</v>
      </c>
      <c r="AF5815" s="9">
        <v>47.802065076832598</v>
      </c>
      <c r="AG5815" s="9">
        <v>47.802065076832598</v>
      </c>
      <c r="AH5815" s="9">
        <v>52.368463891218347</v>
      </c>
      <c r="AI5815" s="9">
        <v>56.090712435126555</v>
      </c>
      <c r="AJ5815" s="9">
        <v>3.0428788910505911</v>
      </c>
    </row>
    <row r="5816" spans="1:36" x14ac:dyDescent="0.25">
      <c r="A5816" t="s">
        <v>5411</v>
      </c>
      <c r="B5816" t="s">
        <v>16</v>
      </c>
      <c r="C5816" t="s">
        <v>17</v>
      </c>
      <c r="D5816">
        <v>98765000</v>
      </c>
      <c r="E5816">
        <v>98769999</v>
      </c>
      <c r="F5816" t="s">
        <v>5256</v>
      </c>
      <c r="G5816" t="str">
        <f t="shared" si="180"/>
        <v>RSI II</v>
      </c>
      <c r="H5816" t="s">
        <v>4915</v>
      </c>
      <c r="I5816" t="s">
        <v>20</v>
      </c>
      <c r="J5816" t="s">
        <v>64</v>
      </c>
      <c r="K5816" s="6">
        <v>0.03</v>
      </c>
      <c r="L5816" s="7">
        <f t="shared" si="181"/>
        <v>2E-3</v>
      </c>
      <c r="M5816" s="7">
        <v>3.0000000000000001E-3</v>
      </c>
      <c r="N5816">
        <v>11</v>
      </c>
      <c r="O5816" s="8">
        <v>20.328747193832452</v>
      </c>
      <c r="P5816" s="9">
        <v>20.328747193832452</v>
      </c>
      <c r="Q5816" s="9">
        <v>20.328747193832452</v>
      </c>
      <c r="R5816" s="9">
        <v>20.901467178587069</v>
      </c>
      <c r="S5816" s="9">
        <v>21.789694031871221</v>
      </c>
      <c r="T5816" s="9">
        <v>22.685842380093916</v>
      </c>
      <c r="U5816" s="9">
        <v>25.139615720574728</v>
      </c>
      <c r="V5816" s="9">
        <v>25.139615720574728</v>
      </c>
      <c r="W5816" s="9">
        <v>25.139615720574728</v>
      </c>
      <c r="X5816" s="9">
        <v>28.431126761040446</v>
      </c>
      <c r="Y5816" s="9">
        <v>28.431126761040446</v>
      </c>
      <c r="Z5816" s="9">
        <v>31.8133765751437</v>
      </c>
      <c r="AA5816" s="9">
        <v>31.8133765751437</v>
      </c>
      <c r="AB5816" s="9">
        <v>35.295439040248269</v>
      </c>
      <c r="AC5816" s="9">
        <v>35.295439040248269</v>
      </c>
      <c r="AD5816" s="9">
        <v>40.66038110622798</v>
      </c>
      <c r="AE5816" s="9">
        <v>44.145469767258199</v>
      </c>
      <c r="AF5816" s="9">
        <v>47.802065076832598</v>
      </c>
      <c r="AG5816" s="9">
        <v>47.802065076832598</v>
      </c>
      <c r="AH5816" s="9">
        <v>52.368463891218347</v>
      </c>
      <c r="AI5816" s="9">
        <v>56.090712435126555</v>
      </c>
      <c r="AJ5816" s="9">
        <v>3.0428788910505911</v>
      </c>
    </row>
    <row r="5817" spans="1:36" x14ac:dyDescent="0.25">
      <c r="A5817" t="s">
        <v>5411</v>
      </c>
      <c r="B5817" t="s">
        <v>16</v>
      </c>
      <c r="C5817" t="s">
        <v>17</v>
      </c>
      <c r="D5817">
        <v>98770000</v>
      </c>
      <c r="E5817">
        <v>98779999</v>
      </c>
      <c r="F5817" t="s">
        <v>5257</v>
      </c>
      <c r="G5817" t="str">
        <f t="shared" si="180"/>
        <v>RSI II</v>
      </c>
      <c r="H5817" t="s">
        <v>4915</v>
      </c>
      <c r="I5817" t="s">
        <v>20</v>
      </c>
      <c r="J5817" t="s">
        <v>64</v>
      </c>
      <c r="K5817" s="6">
        <v>0.03</v>
      </c>
      <c r="L5817" s="7">
        <f t="shared" si="181"/>
        <v>2E-3</v>
      </c>
      <c r="M5817" s="7">
        <v>3.0000000000000001E-3</v>
      </c>
      <c r="N5817">
        <v>11</v>
      </c>
      <c r="O5817" s="8">
        <v>20.328747193832452</v>
      </c>
      <c r="P5817" s="9">
        <v>20.328747193832452</v>
      </c>
      <c r="Q5817" s="9">
        <v>20.328747193832452</v>
      </c>
      <c r="R5817" s="9">
        <v>20.901467178587069</v>
      </c>
      <c r="S5817" s="9">
        <v>21.789694031871221</v>
      </c>
      <c r="T5817" s="9">
        <v>22.685842380093916</v>
      </c>
      <c r="U5817" s="9">
        <v>25.139615720574728</v>
      </c>
      <c r="V5817" s="9">
        <v>25.139615720574728</v>
      </c>
      <c r="W5817" s="9">
        <v>25.139615720574728</v>
      </c>
      <c r="X5817" s="9">
        <v>28.431126761040446</v>
      </c>
      <c r="Y5817" s="9">
        <v>28.431126761040446</v>
      </c>
      <c r="Z5817" s="9">
        <v>31.8133765751437</v>
      </c>
      <c r="AA5817" s="9">
        <v>31.8133765751437</v>
      </c>
      <c r="AB5817" s="9">
        <v>35.295439040248269</v>
      </c>
      <c r="AC5817" s="9">
        <v>35.295439040248269</v>
      </c>
      <c r="AD5817" s="9">
        <v>40.66038110622798</v>
      </c>
      <c r="AE5817" s="9">
        <v>44.145469767258199</v>
      </c>
      <c r="AF5817" s="9">
        <v>47.802065076832598</v>
      </c>
      <c r="AG5817" s="9">
        <v>47.802065076832598</v>
      </c>
      <c r="AH5817" s="9">
        <v>52.368463891218347</v>
      </c>
      <c r="AI5817" s="9">
        <v>56.090712435126555</v>
      </c>
      <c r="AJ5817" s="9">
        <v>3.0428788910505911</v>
      </c>
    </row>
    <row r="5818" spans="1:36" x14ac:dyDescent="0.25">
      <c r="A5818" t="s">
        <v>5411</v>
      </c>
      <c r="B5818" t="s">
        <v>16</v>
      </c>
      <c r="C5818" t="s">
        <v>17</v>
      </c>
      <c r="D5818">
        <v>98780000</v>
      </c>
      <c r="E5818">
        <v>98799999</v>
      </c>
      <c r="F5818" t="s">
        <v>5258</v>
      </c>
      <c r="G5818" t="str">
        <f t="shared" si="180"/>
        <v>RSI II</v>
      </c>
      <c r="H5818" t="s">
        <v>4915</v>
      </c>
      <c r="I5818" t="s">
        <v>20</v>
      </c>
      <c r="J5818" t="s">
        <v>64</v>
      </c>
      <c r="K5818" s="6">
        <v>0.03</v>
      </c>
      <c r="L5818" s="7">
        <f t="shared" si="181"/>
        <v>2E-3</v>
      </c>
      <c r="M5818" s="7">
        <v>3.0000000000000001E-3</v>
      </c>
      <c r="N5818">
        <v>11</v>
      </c>
      <c r="O5818" s="8">
        <v>20.328747193832452</v>
      </c>
      <c r="P5818" s="9">
        <v>20.328747193832452</v>
      </c>
      <c r="Q5818" s="9">
        <v>20.328747193832452</v>
      </c>
      <c r="R5818" s="9">
        <v>20.901467178587069</v>
      </c>
      <c r="S5818" s="9">
        <v>21.789694031871221</v>
      </c>
      <c r="T5818" s="9">
        <v>22.685842380093916</v>
      </c>
      <c r="U5818" s="9">
        <v>25.139615720574728</v>
      </c>
      <c r="V5818" s="9">
        <v>25.139615720574728</v>
      </c>
      <c r="W5818" s="9">
        <v>25.139615720574728</v>
      </c>
      <c r="X5818" s="9">
        <v>28.431126761040446</v>
      </c>
      <c r="Y5818" s="9">
        <v>28.431126761040446</v>
      </c>
      <c r="Z5818" s="9">
        <v>31.8133765751437</v>
      </c>
      <c r="AA5818" s="9">
        <v>31.8133765751437</v>
      </c>
      <c r="AB5818" s="9">
        <v>35.295439040248269</v>
      </c>
      <c r="AC5818" s="9">
        <v>35.295439040248269</v>
      </c>
      <c r="AD5818" s="9">
        <v>40.66038110622798</v>
      </c>
      <c r="AE5818" s="9">
        <v>44.145469767258199</v>
      </c>
      <c r="AF5818" s="9">
        <v>47.802065076832598</v>
      </c>
      <c r="AG5818" s="9">
        <v>47.802065076832598</v>
      </c>
      <c r="AH5818" s="9">
        <v>52.368463891218347</v>
      </c>
      <c r="AI5818" s="9">
        <v>56.090712435126555</v>
      </c>
      <c r="AJ5818" s="9">
        <v>3.0428788910505911</v>
      </c>
    </row>
    <row r="5819" spans="1:36" x14ac:dyDescent="0.25">
      <c r="A5819" t="s">
        <v>5411</v>
      </c>
      <c r="B5819" t="s">
        <v>16</v>
      </c>
      <c r="C5819" t="s">
        <v>17</v>
      </c>
      <c r="D5819">
        <v>98800000</v>
      </c>
      <c r="E5819">
        <v>98849999</v>
      </c>
      <c r="F5819" t="s">
        <v>5259</v>
      </c>
      <c r="G5819" t="str">
        <f t="shared" si="180"/>
        <v>RSI</v>
      </c>
      <c r="H5819" t="s">
        <v>4915</v>
      </c>
      <c r="I5819" t="s">
        <v>20</v>
      </c>
      <c r="J5819" t="s">
        <v>62</v>
      </c>
      <c r="K5819" s="6">
        <v>0.03</v>
      </c>
      <c r="L5819" s="7">
        <f t="shared" si="181"/>
        <v>2E-3</v>
      </c>
      <c r="M5819" s="7">
        <v>3.0000000000000001E-3</v>
      </c>
      <c r="N5819">
        <v>10</v>
      </c>
      <c r="O5819" s="8">
        <v>17.509302802156309</v>
      </c>
      <c r="P5819" s="9">
        <v>17.509302802156309</v>
      </c>
      <c r="Q5819" s="9">
        <v>17.509302802156309</v>
      </c>
      <c r="R5819" s="9">
        <v>17.960073121579438</v>
      </c>
      <c r="S5819" s="9">
        <v>18.978426201825126</v>
      </c>
      <c r="T5819" s="9">
        <v>19.861619996324769</v>
      </c>
      <c r="U5819" s="9">
        <v>21.605211693624167</v>
      </c>
      <c r="V5819" s="9">
        <v>21.605211693624167</v>
      </c>
      <c r="W5819" s="9">
        <v>21.605211693624167</v>
      </c>
      <c r="X5819" s="9">
        <v>24.342346895578043</v>
      </c>
      <c r="Y5819" s="9">
        <v>24.342346895578043</v>
      </c>
      <c r="Z5819" s="9">
        <v>27.269806221922281</v>
      </c>
      <c r="AA5819" s="9">
        <v>27.269806221922281</v>
      </c>
      <c r="AB5819" s="9">
        <v>30.447232473217717</v>
      </c>
      <c r="AC5819" s="9">
        <v>30.447232473217717</v>
      </c>
      <c r="AD5819" s="9">
        <v>33.773696777878271</v>
      </c>
      <c r="AE5819" s="9">
        <v>37.668102449503657</v>
      </c>
      <c r="AF5819" s="9">
        <v>41.795656089883373</v>
      </c>
      <c r="AG5819" s="9">
        <v>41.795656089883373</v>
      </c>
      <c r="AH5819" s="9">
        <v>45.638668972740511</v>
      </c>
      <c r="AI5819" s="9">
        <v>49.380739592962819</v>
      </c>
      <c r="AJ5819" s="9">
        <v>3.0428788910505911</v>
      </c>
    </row>
    <row r="5820" spans="1:36" x14ac:dyDescent="0.25">
      <c r="A5820" t="s">
        <v>5411</v>
      </c>
      <c r="B5820" t="s">
        <v>16</v>
      </c>
      <c r="C5820" t="s">
        <v>17</v>
      </c>
      <c r="D5820">
        <v>98850000</v>
      </c>
      <c r="E5820">
        <v>98854999</v>
      </c>
      <c r="F5820" t="s">
        <v>5260</v>
      </c>
      <c r="G5820" t="str">
        <f t="shared" si="180"/>
        <v>RSI II</v>
      </c>
      <c r="H5820" t="s">
        <v>4915</v>
      </c>
      <c r="I5820" t="s">
        <v>20</v>
      </c>
      <c r="J5820" t="s">
        <v>64</v>
      </c>
      <c r="K5820" s="6">
        <v>0.03</v>
      </c>
      <c r="L5820" s="7">
        <f t="shared" si="181"/>
        <v>2E-3</v>
      </c>
      <c r="M5820" s="7">
        <v>3.0000000000000001E-3</v>
      </c>
      <c r="N5820">
        <v>11</v>
      </c>
      <c r="O5820" s="8">
        <v>20.328747193832452</v>
      </c>
      <c r="P5820" s="9">
        <v>20.328747193832452</v>
      </c>
      <c r="Q5820" s="9">
        <v>20.328747193832452</v>
      </c>
      <c r="R5820" s="9">
        <v>20.901467178587069</v>
      </c>
      <c r="S5820" s="9">
        <v>21.789694031871221</v>
      </c>
      <c r="T5820" s="9">
        <v>22.685842380093916</v>
      </c>
      <c r="U5820" s="9">
        <v>25.139615720574728</v>
      </c>
      <c r="V5820" s="9">
        <v>25.139615720574728</v>
      </c>
      <c r="W5820" s="9">
        <v>25.139615720574728</v>
      </c>
      <c r="X5820" s="9">
        <v>28.431126761040446</v>
      </c>
      <c r="Y5820" s="9">
        <v>28.431126761040446</v>
      </c>
      <c r="Z5820" s="9">
        <v>31.8133765751437</v>
      </c>
      <c r="AA5820" s="9">
        <v>31.8133765751437</v>
      </c>
      <c r="AB5820" s="9">
        <v>35.295439040248269</v>
      </c>
      <c r="AC5820" s="9">
        <v>35.295439040248269</v>
      </c>
      <c r="AD5820" s="9">
        <v>40.66038110622798</v>
      </c>
      <c r="AE5820" s="9">
        <v>44.145469767258199</v>
      </c>
      <c r="AF5820" s="9">
        <v>47.802065076832598</v>
      </c>
      <c r="AG5820" s="9">
        <v>47.802065076832598</v>
      </c>
      <c r="AH5820" s="9">
        <v>52.368463891218347</v>
      </c>
      <c r="AI5820" s="9">
        <v>56.090712435126555</v>
      </c>
      <c r="AJ5820" s="9">
        <v>3.0428788910505911</v>
      </c>
    </row>
    <row r="5821" spans="1:36" x14ac:dyDescent="0.25">
      <c r="A5821" t="s">
        <v>5411</v>
      </c>
      <c r="B5821" t="s">
        <v>16</v>
      </c>
      <c r="C5821" t="s">
        <v>17</v>
      </c>
      <c r="D5821">
        <v>98855000</v>
      </c>
      <c r="E5821">
        <v>98859999</v>
      </c>
      <c r="F5821" t="s">
        <v>5261</v>
      </c>
      <c r="G5821" t="str">
        <f t="shared" si="180"/>
        <v>RSI II</v>
      </c>
      <c r="H5821" t="s">
        <v>4915</v>
      </c>
      <c r="I5821" t="s">
        <v>20</v>
      </c>
      <c r="J5821" t="s">
        <v>64</v>
      </c>
      <c r="K5821" s="6">
        <v>0.03</v>
      </c>
      <c r="L5821" s="7">
        <f t="shared" si="181"/>
        <v>2E-3</v>
      </c>
      <c r="M5821" s="7">
        <v>3.0000000000000001E-3</v>
      </c>
      <c r="N5821">
        <v>11</v>
      </c>
      <c r="O5821" s="8">
        <v>20.328747193832452</v>
      </c>
      <c r="P5821" s="9">
        <v>20.328747193832452</v>
      </c>
      <c r="Q5821" s="9">
        <v>20.328747193832452</v>
      </c>
      <c r="R5821" s="9">
        <v>20.901467178587069</v>
      </c>
      <c r="S5821" s="9">
        <v>21.789694031871221</v>
      </c>
      <c r="T5821" s="9">
        <v>22.685842380093916</v>
      </c>
      <c r="U5821" s="9">
        <v>25.139615720574728</v>
      </c>
      <c r="V5821" s="9">
        <v>25.139615720574728</v>
      </c>
      <c r="W5821" s="9">
        <v>25.139615720574728</v>
      </c>
      <c r="X5821" s="9">
        <v>28.431126761040446</v>
      </c>
      <c r="Y5821" s="9">
        <v>28.431126761040446</v>
      </c>
      <c r="Z5821" s="9">
        <v>31.8133765751437</v>
      </c>
      <c r="AA5821" s="9">
        <v>31.8133765751437</v>
      </c>
      <c r="AB5821" s="9">
        <v>35.295439040248269</v>
      </c>
      <c r="AC5821" s="9">
        <v>35.295439040248269</v>
      </c>
      <c r="AD5821" s="9">
        <v>40.66038110622798</v>
      </c>
      <c r="AE5821" s="9">
        <v>44.145469767258199</v>
      </c>
      <c r="AF5821" s="9">
        <v>47.802065076832598</v>
      </c>
      <c r="AG5821" s="9">
        <v>47.802065076832598</v>
      </c>
      <c r="AH5821" s="9">
        <v>52.368463891218347</v>
      </c>
      <c r="AI5821" s="9">
        <v>56.090712435126555</v>
      </c>
      <c r="AJ5821" s="9">
        <v>3.0428788910505911</v>
      </c>
    </row>
    <row r="5822" spans="1:36" x14ac:dyDescent="0.25">
      <c r="A5822" t="s">
        <v>5411</v>
      </c>
      <c r="B5822" t="s">
        <v>16</v>
      </c>
      <c r="C5822" t="s">
        <v>17</v>
      </c>
      <c r="D5822">
        <v>98860000</v>
      </c>
      <c r="E5822">
        <v>98864999</v>
      </c>
      <c r="F5822" t="s">
        <v>5262</v>
      </c>
      <c r="G5822" t="str">
        <f t="shared" si="180"/>
        <v>RSI II</v>
      </c>
      <c r="H5822" t="s">
        <v>4915</v>
      </c>
      <c r="I5822" t="s">
        <v>20</v>
      </c>
      <c r="J5822" t="s">
        <v>64</v>
      </c>
      <c r="K5822" s="6">
        <v>0.03</v>
      </c>
      <c r="L5822" s="7">
        <f t="shared" si="181"/>
        <v>2E-3</v>
      </c>
      <c r="M5822" s="7">
        <v>3.0000000000000001E-3</v>
      </c>
      <c r="N5822">
        <v>11</v>
      </c>
      <c r="O5822" s="8">
        <v>20.328747193832452</v>
      </c>
      <c r="P5822" s="9">
        <v>20.328747193832452</v>
      </c>
      <c r="Q5822" s="9">
        <v>20.328747193832452</v>
      </c>
      <c r="R5822" s="9">
        <v>20.901467178587069</v>
      </c>
      <c r="S5822" s="9">
        <v>21.789694031871221</v>
      </c>
      <c r="T5822" s="9">
        <v>22.685842380093916</v>
      </c>
      <c r="U5822" s="9">
        <v>25.139615720574728</v>
      </c>
      <c r="V5822" s="9">
        <v>25.139615720574728</v>
      </c>
      <c r="W5822" s="9">
        <v>25.139615720574728</v>
      </c>
      <c r="X5822" s="9">
        <v>28.431126761040446</v>
      </c>
      <c r="Y5822" s="9">
        <v>28.431126761040446</v>
      </c>
      <c r="Z5822" s="9">
        <v>31.8133765751437</v>
      </c>
      <c r="AA5822" s="9">
        <v>31.8133765751437</v>
      </c>
      <c r="AB5822" s="9">
        <v>35.295439040248269</v>
      </c>
      <c r="AC5822" s="9">
        <v>35.295439040248269</v>
      </c>
      <c r="AD5822" s="9">
        <v>40.66038110622798</v>
      </c>
      <c r="AE5822" s="9">
        <v>44.145469767258199</v>
      </c>
      <c r="AF5822" s="9">
        <v>47.802065076832598</v>
      </c>
      <c r="AG5822" s="9">
        <v>47.802065076832598</v>
      </c>
      <c r="AH5822" s="9">
        <v>52.368463891218347</v>
      </c>
      <c r="AI5822" s="9">
        <v>56.090712435126555</v>
      </c>
      <c r="AJ5822" s="9">
        <v>3.0428788910505911</v>
      </c>
    </row>
    <row r="5823" spans="1:36" x14ac:dyDescent="0.25">
      <c r="A5823" t="s">
        <v>5411</v>
      </c>
      <c r="B5823" t="s">
        <v>16</v>
      </c>
      <c r="C5823" t="s">
        <v>17</v>
      </c>
      <c r="D5823">
        <v>98865000</v>
      </c>
      <c r="E5823">
        <v>98869999</v>
      </c>
      <c r="F5823" t="s">
        <v>5263</v>
      </c>
      <c r="G5823" t="str">
        <f t="shared" si="180"/>
        <v>RSI II</v>
      </c>
      <c r="H5823" t="s">
        <v>4915</v>
      </c>
      <c r="I5823" t="s">
        <v>20</v>
      </c>
      <c r="J5823" t="s">
        <v>64</v>
      </c>
      <c r="K5823" s="6">
        <v>0.03</v>
      </c>
      <c r="L5823" s="7">
        <f t="shared" si="181"/>
        <v>2E-3</v>
      </c>
      <c r="M5823" s="7">
        <v>3.0000000000000001E-3</v>
      </c>
      <c r="N5823">
        <v>11</v>
      </c>
      <c r="O5823" s="8">
        <v>20.328747193832452</v>
      </c>
      <c r="P5823" s="9">
        <v>20.328747193832452</v>
      </c>
      <c r="Q5823" s="9">
        <v>20.328747193832452</v>
      </c>
      <c r="R5823" s="9">
        <v>20.901467178587069</v>
      </c>
      <c r="S5823" s="9">
        <v>21.789694031871221</v>
      </c>
      <c r="T5823" s="9">
        <v>22.685842380093916</v>
      </c>
      <c r="U5823" s="9">
        <v>25.139615720574728</v>
      </c>
      <c r="V5823" s="9">
        <v>25.139615720574728</v>
      </c>
      <c r="W5823" s="9">
        <v>25.139615720574728</v>
      </c>
      <c r="X5823" s="9">
        <v>28.431126761040446</v>
      </c>
      <c r="Y5823" s="9">
        <v>28.431126761040446</v>
      </c>
      <c r="Z5823" s="9">
        <v>31.8133765751437</v>
      </c>
      <c r="AA5823" s="9">
        <v>31.8133765751437</v>
      </c>
      <c r="AB5823" s="9">
        <v>35.295439040248269</v>
      </c>
      <c r="AC5823" s="9">
        <v>35.295439040248269</v>
      </c>
      <c r="AD5823" s="9">
        <v>40.66038110622798</v>
      </c>
      <c r="AE5823" s="9">
        <v>44.145469767258199</v>
      </c>
      <c r="AF5823" s="9">
        <v>47.802065076832598</v>
      </c>
      <c r="AG5823" s="9">
        <v>47.802065076832598</v>
      </c>
      <c r="AH5823" s="9">
        <v>52.368463891218347</v>
      </c>
      <c r="AI5823" s="9">
        <v>56.090712435126555</v>
      </c>
      <c r="AJ5823" s="9">
        <v>3.0428788910505911</v>
      </c>
    </row>
    <row r="5824" spans="1:36" x14ac:dyDescent="0.25">
      <c r="A5824" t="s">
        <v>5411</v>
      </c>
      <c r="B5824" t="s">
        <v>16</v>
      </c>
      <c r="C5824" t="s">
        <v>17</v>
      </c>
      <c r="D5824">
        <v>98870000</v>
      </c>
      <c r="E5824">
        <v>98894999</v>
      </c>
      <c r="F5824" t="s">
        <v>5264</v>
      </c>
      <c r="G5824" t="str">
        <f t="shared" si="180"/>
        <v>RSI II</v>
      </c>
      <c r="H5824" t="s">
        <v>4915</v>
      </c>
      <c r="I5824" t="s">
        <v>20</v>
      </c>
      <c r="J5824" t="s">
        <v>64</v>
      </c>
      <c r="K5824" s="6">
        <v>0.03</v>
      </c>
      <c r="L5824" s="7">
        <f t="shared" si="181"/>
        <v>2E-3</v>
      </c>
      <c r="M5824" s="7">
        <v>3.0000000000000001E-3</v>
      </c>
      <c r="N5824">
        <v>11</v>
      </c>
      <c r="O5824" s="8">
        <v>20.328747193832452</v>
      </c>
      <c r="P5824" s="9">
        <v>20.328747193832452</v>
      </c>
      <c r="Q5824" s="9">
        <v>20.328747193832452</v>
      </c>
      <c r="R5824" s="9">
        <v>20.901467178587069</v>
      </c>
      <c r="S5824" s="9">
        <v>21.789694031871221</v>
      </c>
      <c r="T5824" s="9">
        <v>22.685842380093916</v>
      </c>
      <c r="U5824" s="9">
        <v>25.139615720574728</v>
      </c>
      <c r="V5824" s="9">
        <v>25.139615720574728</v>
      </c>
      <c r="W5824" s="9">
        <v>25.139615720574728</v>
      </c>
      <c r="X5824" s="9">
        <v>28.431126761040446</v>
      </c>
      <c r="Y5824" s="9">
        <v>28.431126761040446</v>
      </c>
      <c r="Z5824" s="9">
        <v>31.8133765751437</v>
      </c>
      <c r="AA5824" s="9">
        <v>31.8133765751437</v>
      </c>
      <c r="AB5824" s="9">
        <v>35.295439040248269</v>
      </c>
      <c r="AC5824" s="9">
        <v>35.295439040248269</v>
      </c>
      <c r="AD5824" s="9">
        <v>40.66038110622798</v>
      </c>
      <c r="AE5824" s="9">
        <v>44.145469767258199</v>
      </c>
      <c r="AF5824" s="9">
        <v>47.802065076832598</v>
      </c>
      <c r="AG5824" s="9">
        <v>47.802065076832598</v>
      </c>
      <c r="AH5824" s="9">
        <v>52.368463891218347</v>
      </c>
      <c r="AI5824" s="9">
        <v>56.090712435126555</v>
      </c>
      <c r="AJ5824" s="9">
        <v>3.0428788910505911</v>
      </c>
    </row>
    <row r="5825" spans="1:36" x14ac:dyDescent="0.25">
      <c r="A5825" t="s">
        <v>5411</v>
      </c>
      <c r="B5825" t="s">
        <v>16</v>
      </c>
      <c r="C5825" t="s">
        <v>17</v>
      </c>
      <c r="D5825">
        <v>98895000</v>
      </c>
      <c r="E5825">
        <v>98897999</v>
      </c>
      <c r="F5825" t="s">
        <v>5265</v>
      </c>
      <c r="G5825" t="str">
        <f t="shared" si="180"/>
        <v>RSI II</v>
      </c>
      <c r="H5825" t="s">
        <v>4915</v>
      </c>
      <c r="I5825" t="s">
        <v>20</v>
      </c>
      <c r="J5825" t="s">
        <v>64</v>
      </c>
      <c r="K5825" s="6">
        <v>0.03</v>
      </c>
      <c r="L5825" s="7">
        <f t="shared" si="181"/>
        <v>2E-3</v>
      </c>
      <c r="M5825" s="7">
        <v>3.0000000000000001E-3</v>
      </c>
      <c r="N5825">
        <v>11</v>
      </c>
      <c r="O5825" s="8">
        <v>20.328747193832452</v>
      </c>
      <c r="P5825" s="9">
        <v>20.328747193832452</v>
      </c>
      <c r="Q5825" s="9">
        <v>20.328747193832452</v>
      </c>
      <c r="R5825" s="9">
        <v>20.901467178587069</v>
      </c>
      <c r="S5825" s="9">
        <v>21.789694031871221</v>
      </c>
      <c r="T5825" s="9">
        <v>22.685842380093916</v>
      </c>
      <c r="U5825" s="9">
        <v>25.139615720574728</v>
      </c>
      <c r="V5825" s="9">
        <v>25.139615720574728</v>
      </c>
      <c r="W5825" s="9">
        <v>25.139615720574728</v>
      </c>
      <c r="X5825" s="9">
        <v>28.431126761040446</v>
      </c>
      <c r="Y5825" s="9">
        <v>28.431126761040446</v>
      </c>
      <c r="Z5825" s="9">
        <v>31.8133765751437</v>
      </c>
      <c r="AA5825" s="9">
        <v>31.8133765751437</v>
      </c>
      <c r="AB5825" s="9">
        <v>35.295439040248269</v>
      </c>
      <c r="AC5825" s="9">
        <v>35.295439040248269</v>
      </c>
      <c r="AD5825" s="9">
        <v>40.66038110622798</v>
      </c>
      <c r="AE5825" s="9">
        <v>44.145469767258199</v>
      </c>
      <c r="AF5825" s="9">
        <v>47.802065076832598</v>
      </c>
      <c r="AG5825" s="9">
        <v>47.802065076832598</v>
      </c>
      <c r="AH5825" s="9">
        <v>52.368463891218347</v>
      </c>
      <c r="AI5825" s="9">
        <v>56.090712435126555</v>
      </c>
      <c r="AJ5825" s="9">
        <v>3.0428788910505911</v>
      </c>
    </row>
    <row r="5826" spans="1:36" x14ac:dyDescent="0.25">
      <c r="A5826" t="s">
        <v>5411</v>
      </c>
      <c r="B5826" t="s">
        <v>16</v>
      </c>
      <c r="C5826" t="s">
        <v>17</v>
      </c>
      <c r="D5826">
        <v>98898000</v>
      </c>
      <c r="E5826">
        <v>98904999</v>
      </c>
      <c r="F5826" t="s">
        <v>5266</v>
      </c>
      <c r="G5826" t="str">
        <f t="shared" si="180"/>
        <v>RSI II</v>
      </c>
      <c r="H5826" t="s">
        <v>4915</v>
      </c>
      <c r="I5826" t="s">
        <v>20</v>
      </c>
      <c r="J5826" t="s">
        <v>64</v>
      </c>
      <c r="K5826" s="6">
        <v>0.03</v>
      </c>
      <c r="L5826" s="7">
        <f t="shared" si="181"/>
        <v>2E-3</v>
      </c>
      <c r="M5826" s="7">
        <v>3.0000000000000001E-3</v>
      </c>
      <c r="N5826">
        <v>11</v>
      </c>
      <c r="O5826" s="8">
        <v>20.328747193832452</v>
      </c>
      <c r="P5826" s="9">
        <v>20.328747193832452</v>
      </c>
      <c r="Q5826" s="9">
        <v>20.328747193832452</v>
      </c>
      <c r="R5826" s="9">
        <v>20.901467178587069</v>
      </c>
      <c r="S5826" s="9">
        <v>21.789694031871221</v>
      </c>
      <c r="T5826" s="9">
        <v>22.685842380093916</v>
      </c>
      <c r="U5826" s="9">
        <v>25.139615720574728</v>
      </c>
      <c r="V5826" s="9">
        <v>25.139615720574728</v>
      </c>
      <c r="W5826" s="9">
        <v>25.139615720574728</v>
      </c>
      <c r="X5826" s="9">
        <v>28.431126761040446</v>
      </c>
      <c r="Y5826" s="9">
        <v>28.431126761040446</v>
      </c>
      <c r="Z5826" s="9">
        <v>31.8133765751437</v>
      </c>
      <c r="AA5826" s="9">
        <v>31.8133765751437</v>
      </c>
      <c r="AB5826" s="9">
        <v>35.295439040248269</v>
      </c>
      <c r="AC5826" s="9">
        <v>35.295439040248269</v>
      </c>
      <c r="AD5826" s="9">
        <v>40.66038110622798</v>
      </c>
      <c r="AE5826" s="9">
        <v>44.145469767258199</v>
      </c>
      <c r="AF5826" s="9">
        <v>47.802065076832598</v>
      </c>
      <c r="AG5826" s="9">
        <v>47.802065076832598</v>
      </c>
      <c r="AH5826" s="9">
        <v>52.368463891218347</v>
      </c>
      <c r="AI5826" s="9">
        <v>56.090712435126555</v>
      </c>
      <c r="AJ5826" s="9">
        <v>3.0428788910505911</v>
      </c>
    </row>
    <row r="5827" spans="1:36" x14ac:dyDescent="0.25">
      <c r="A5827" t="s">
        <v>5411</v>
      </c>
      <c r="B5827" t="s">
        <v>16</v>
      </c>
      <c r="C5827" t="s">
        <v>17</v>
      </c>
      <c r="D5827">
        <v>98905000</v>
      </c>
      <c r="E5827">
        <v>98909999</v>
      </c>
      <c r="F5827" t="s">
        <v>5267</v>
      </c>
      <c r="G5827" t="str">
        <f t="shared" si="180"/>
        <v>RSI II</v>
      </c>
      <c r="H5827" t="s">
        <v>4915</v>
      </c>
      <c r="I5827" t="s">
        <v>20</v>
      </c>
      <c r="J5827" t="s">
        <v>64</v>
      </c>
      <c r="K5827" s="6">
        <v>0.03</v>
      </c>
      <c r="L5827" s="7">
        <f t="shared" si="181"/>
        <v>2E-3</v>
      </c>
      <c r="M5827" s="7">
        <v>3.0000000000000001E-3</v>
      </c>
      <c r="N5827">
        <v>11</v>
      </c>
      <c r="O5827" s="8">
        <v>20.328747193832452</v>
      </c>
      <c r="P5827" s="9">
        <v>20.328747193832452</v>
      </c>
      <c r="Q5827" s="9">
        <v>20.328747193832452</v>
      </c>
      <c r="R5827" s="9">
        <v>20.901467178587069</v>
      </c>
      <c r="S5827" s="9">
        <v>21.789694031871221</v>
      </c>
      <c r="T5827" s="9">
        <v>22.685842380093916</v>
      </c>
      <c r="U5827" s="9">
        <v>25.139615720574728</v>
      </c>
      <c r="V5827" s="9">
        <v>25.139615720574728</v>
      </c>
      <c r="W5827" s="9">
        <v>25.139615720574728</v>
      </c>
      <c r="X5827" s="9">
        <v>28.431126761040446</v>
      </c>
      <c r="Y5827" s="9">
        <v>28.431126761040446</v>
      </c>
      <c r="Z5827" s="9">
        <v>31.8133765751437</v>
      </c>
      <c r="AA5827" s="9">
        <v>31.8133765751437</v>
      </c>
      <c r="AB5827" s="9">
        <v>35.295439040248269</v>
      </c>
      <c r="AC5827" s="9">
        <v>35.295439040248269</v>
      </c>
      <c r="AD5827" s="9">
        <v>40.66038110622798</v>
      </c>
      <c r="AE5827" s="9">
        <v>44.145469767258199</v>
      </c>
      <c r="AF5827" s="9">
        <v>47.802065076832598</v>
      </c>
      <c r="AG5827" s="9">
        <v>47.802065076832598</v>
      </c>
      <c r="AH5827" s="9">
        <v>52.368463891218347</v>
      </c>
      <c r="AI5827" s="9">
        <v>56.090712435126555</v>
      </c>
      <c r="AJ5827" s="9">
        <v>3.0428788910505911</v>
      </c>
    </row>
    <row r="5828" spans="1:36" x14ac:dyDescent="0.25">
      <c r="A5828" t="s">
        <v>5411</v>
      </c>
      <c r="B5828" t="s">
        <v>16</v>
      </c>
      <c r="C5828" t="s">
        <v>17</v>
      </c>
      <c r="D5828">
        <v>98910000</v>
      </c>
      <c r="E5828">
        <v>98914999</v>
      </c>
      <c r="F5828" t="s">
        <v>5268</v>
      </c>
      <c r="G5828" t="str">
        <f t="shared" ref="G5828:G5891" si="182">H5828&amp;IF(J5828="CAPITAL","C",IF(J5828="INTERIOR","I",IF(J5828="INTERIOR II","I II","R")))</f>
        <v>RSI II</v>
      </c>
      <c r="H5828" t="s">
        <v>4915</v>
      </c>
      <c r="I5828" t="s">
        <v>20</v>
      </c>
      <c r="J5828" t="s">
        <v>64</v>
      </c>
      <c r="K5828" s="6">
        <v>0.03</v>
      </c>
      <c r="L5828" s="7">
        <f t="shared" ref="L5828:L5891" si="183">IF(I5828="(0) Não",0.2%,3%)</f>
        <v>2E-3</v>
      </c>
      <c r="M5828" s="7">
        <v>3.0000000000000001E-3</v>
      </c>
      <c r="N5828">
        <v>11</v>
      </c>
      <c r="O5828" s="8">
        <v>20.328747193832452</v>
      </c>
      <c r="P5828" s="9">
        <v>20.328747193832452</v>
      </c>
      <c r="Q5828" s="9">
        <v>20.328747193832452</v>
      </c>
      <c r="R5828" s="9">
        <v>20.901467178587069</v>
      </c>
      <c r="S5828" s="9">
        <v>21.789694031871221</v>
      </c>
      <c r="T5828" s="9">
        <v>22.685842380093916</v>
      </c>
      <c r="U5828" s="9">
        <v>25.139615720574728</v>
      </c>
      <c r="V5828" s="9">
        <v>25.139615720574728</v>
      </c>
      <c r="W5828" s="9">
        <v>25.139615720574728</v>
      </c>
      <c r="X5828" s="9">
        <v>28.431126761040446</v>
      </c>
      <c r="Y5828" s="9">
        <v>28.431126761040446</v>
      </c>
      <c r="Z5828" s="9">
        <v>31.8133765751437</v>
      </c>
      <c r="AA5828" s="9">
        <v>31.8133765751437</v>
      </c>
      <c r="AB5828" s="9">
        <v>35.295439040248269</v>
      </c>
      <c r="AC5828" s="9">
        <v>35.295439040248269</v>
      </c>
      <c r="AD5828" s="9">
        <v>40.66038110622798</v>
      </c>
      <c r="AE5828" s="9">
        <v>44.145469767258199</v>
      </c>
      <c r="AF5828" s="9">
        <v>47.802065076832598</v>
      </c>
      <c r="AG5828" s="9">
        <v>47.802065076832598</v>
      </c>
      <c r="AH5828" s="9">
        <v>52.368463891218347</v>
      </c>
      <c r="AI5828" s="9">
        <v>56.090712435126555</v>
      </c>
      <c r="AJ5828" s="9">
        <v>3.0428788910505911</v>
      </c>
    </row>
    <row r="5829" spans="1:36" x14ac:dyDescent="0.25">
      <c r="A5829" t="s">
        <v>5411</v>
      </c>
      <c r="B5829" t="s">
        <v>16</v>
      </c>
      <c r="C5829" t="s">
        <v>17</v>
      </c>
      <c r="D5829">
        <v>98915000</v>
      </c>
      <c r="E5829">
        <v>98917999</v>
      </c>
      <c r="F5829" t="s">
        <v>2977</v>
      </c>
      <c r="G5829" t="str">
        <f t="shared" si="182"/>
        <v>RSI II</v>
      </c>
      <c r="H5829" t="s">
        <v>4915</v>
      </c>
      <c r="I5829" t="s">
        <v>20</v>
      </c>
      <c r="J5829" t="s">
        <v>64</v>
      </c>
      <c r="K5829" s="6">
        <v>0.03</v>
      </c>
      <c r="L5829" s="7">
        <f t="shared" si="183"/>
        <v>2E-3</v>
      </c>
      <c r="M5829" s="7">
        <v>3.0000000000000001E-3</v>
      </c>
      <c r="N5829">
        <v>11</v>
      </c>
      <c r="O5829" s="8">
        <v>20.328747193832452</v>
      </c>
      <c r="P5829" s="9">
        <v>20.328747193832452</v>
      </c>
      <c r="Q5829" s="9">
        <v>20.328747193832452</v>
      </c>
      <c r="R5829" s="9">
        <v>20.901467178587069</v>
      </c>
      <c r="S5829" s="9">
        <v>21.789694031871221</v>
      </c>
      <c r="T5829" s="9">
        <v>22.685842380093916</v>
      </c>
      <c r="U5829" s="9">
        <v>25.139615720574728</v>
      </c>
      <c r="V5829" s="9">
        <v>25.139615720574728</v>
      </c>
      <c r="W5829" s="9">
        <v>25.139615720574728</v>
      </c>
      <c r="X5829" s="9">
        <v>28.431126761040446</v>
      </c>
      <c r="Y5829" s="9">
        <v>28.431126761040446</v>
      </c>
      <c r="Z5829" s="9">
        <v>31.8133765751437</v>
      </c>
      <c r="AA5829" s="9">
        <v>31.8133765751437</v>
      </c>
      <c r="AB5829" s="9">
        <v>35.295439040248269</v>
      </c>
      <c r="AC5829" s="9">
        <v>35.295439040248269</v>
      </c>
      <c r="AD5829" s="9">
        <v>40.66038110622798</v>
      </c>
      <c r="AE5829" s="9">
        <v>44.145469767258199</v>
      </c>
      <c r="AF5829" s="9">
        <v>47.802065076832598</v>
      </c>
      <c r="AG5829" s="9">
        <v>47.802065076832598</v>
      </c>
      <c r="AH5829" s="9">
        <v>52.368463891218347</v>
      </c>
      <c r="AI5829" s="9">
        <v>56.090712435126555</v>
      </c>
      <c r="AJ5829" s="9">
        <v>3.0428788910505911</v>
      </c>
    </row>
    <row r="5830" spans="1:36" x14ac:dyDescent="0.25">
      <c r="A5830" t="s">
        <v>5411</v>
      </c>
      <c r="B5830" t="s">
        <v>16</v>
      </c>
      <c r="C5830" t="s">
        <v>17</v>
      </c>
      <c r="D5830">
        <v>98918000</v>
      </c>
      <c r="E5830">
        <v>98918999</v>
      </c>
      <c r="F5830" t="s">
        <v>5269</v>
      </c>
      <c r="G5830" t="str">
        <f t="shared" si="182"/>
        <v>RSI II</v>
      </c>
      <c r="H5830" t="s">
        <v>4915</v>
      </c>
      <c r="I5830" t="s">
        <v>20</v>
      </c>
      <c r="J5830" t="s">
        <v>64</v>
      </c>
      <c r="K5830" s="6">
        <v>0.03</v>
      </c>
      <c r="L5830" s="7">
        <f t="shared" si="183"/>
        <v>2E-3</v>
      </c>
      <c r="M5830" s="7">
        <v>3.0000000000000001E-3</v>
      </c>
      <c r="N5830">
        <v>11</v>
      </c>
      <c r="O5830" s="8">
        <v>20.328747193832452</v>
      </c>
      <c r="P5830" s="9">
        <v>20.328747193832452</v>
      </c>
      <c r="Q5830" s="9">
        <v>20.328747193832452</v>
      </c>
      <c r="R5830" s="9">
        <v>20.901467178587069</v>
      </c>
      <c r="S5830" s="9">
        <v>21.789694031871221</v>
      </c>
      <c r="T5830" s="9">
        <v>22.685842380093916</v>
      </c>
      <c r="U5830" s="9">
        <v>25.139615720574728</v>
      </c>
      <c r="V5830" s="9">
        <v>25.139615720574728</v>
      </c>
      <c r="W5830" s="9">
        <v>25.139615720574728</v>
      </c>
      <c r="X5830" s="9">
        <v>28.431126761040446</v>
      </c>
      <c r="Y5830" s="9">
        <v>28.431126761040446</v>
      </c>
      <c r="Z5830" s="9">
        <v>31.8133765751437</v>
      </c>
      <c r="AA5830" s="9">
        <v>31.8133765751437</v>
      </c>
      <c r="AB5830" s="9">
        <v>35.295439040248269</v>
      </c>
      <c r="AC5830" s="9">
        <v>35.295439040248269</v>
      </c>
      <c r="AD5830" s="9">
        <v>40.66038110622798</v>
      </c>
      <c r="AE5830" s="9">
        <v>44.145469767258199</v>
      </c>
      <c r="AF5830" s="9">
        <v>47.802065076832598</v>
      </c>
      <c r="AG5830" s="9">
        <v>47.802065076832598</v>
      </c>
      <c r="AH5830" s="9">
        <v>52.368463891218347</v>
      </c>
      <c r="AI5830" s="9">
        <v>56.090712435126555</v>
      </c>
      <c r="AJ5830" s="9">
        <v>3.0428788910505911</v>
      </c>
    </row>
    <row r="5831" spans="1:36" x14ac:dyDescent="0.25">
      <c r="A5831" t="s">
        <v>5411</v>
      </c>
      <c r="B5831" t="s">
        <v>16</v>
      </c>
      <c r="C5831" t="s">
        <v>17</v>
      </c>
      <c r="D5831">
        <v>98919000</v>
      </c>
      <c r="E5831">
        <v>98919999</v>
      </c>
      <c r="F5831" t="s">
        <v>5270</v>
      </c>
      <c r="G5831" t="str">
        <f t="shared" si="182"/>
        <v>RSI II</v>
      </c>
      <c r="H5831" t="s">
        <v>4915</v>
      </c>
      <c r="I5831" t="s">
        <v>20</v>
      </c>
      <c r="J5831" t="s">
        <v>64</v>
      </c>
      <c r="K5831" s="6">
        <v>0.03</v>
      </c>
      <c r="L5831" s="7">
        <f t="shared" si="183"/>
        <v>2E-3</v>
      </c>
      <c r="M5831" s="7">
        <v>3.0000000000000001E-3</v>
      </c>
      <c r="N5831">
        <v>11</v>
      </c>
      <c r="O5831" s="8">
        <v>20.328747193832452</v>
      </c>
      <c r="P5831" s="9">
        <v>20.328747193832452</v>
      </c>
      <c r="Q5831" s="9">
        <v>20.328747193832452</v>
      </c>
      <c r="R5831" s="9">
        <v>20.901467178587069</v>
      </c>
      <c r="S5831" s="9">
        <v>21.789694031871221</v>
      </c>
      <c r="T5831" s="9">
        <v>22.685842380093916</v>
      </c>
      <c r="U5831" s="9">
        <v>25.139615720574728</v>
      </c>
      <c r="V5831" s="9">
        <v>25.139615720574728</v>
      </c>
      <c r="W5831" s="9">
        <v>25.139615720574728</v>
      </c>
      <c r="X5831" s="9">
        <v>28.431126761040446</v>
      </c>
      <c r="Y5831" s="9">
        <v>28.431126761040446</v>
      </c>
      <c r="Z5831" s="9">
        <v>31.8133765751437</v>
      </c>
      <c r="AA5831" s="9">
        <v>31.8133765751437</v>
      </c>
      <c r="AB5831" s="9">
        <v>35.295439040248269</v>
      </c>
      <c r="AC5831" s="9">
        <v>35.295439040248269</v>
      </c>
      <c r="AD5831" s="9">
        <v>40.66038110622798</v>
      </c>
      <c r="AE5831" s="9">
        <v>44.145469767258199</v>
      </c>
      <c r="AF5831" s="9">
        <v>47.802065076832598</v>
      </c>
      <c r="AG5831" s="9">
        <v>47.802065076832598</v>
      </c>
      <c r="AH5831" s="9">
        <v>52.368463891218347</v>
      </c>
      <c r="AI5831" s="9">
        <v>56.090712435126555</v>
      </c>
      <c r="AJ5831" s="9">
        <v>3.0428788910505911</v>
      </c>
    </row>
    <row r="5832" spans="1:36" x14ac:dyDescent="0.25">
      <c r="A5832" t="s">
        <v>5411</v>
      </c>
      <c r="B5832" t="s">
        <v>16</v>
      </c>
      <c r="C5832" t="s">
        <v>17</v>
      </c>
      <c r="D5832">
        <v>98920000</v>
      </c>
      <c r="E5832">
        <v>98924999</v>
      </c>
      <c r="F5832" t="s">
        <v>5271</v>
      </c>
      <c r="G5832" t="str">
        <f t="shared" si="182"/>
        <v>RSI II</v>
      </c>
      <c r="H5832" t="s">
        <v>4915</v>
      </c>
      <c r="I5832" t="s">
        <v>20</v>
      </c>
      <c r="J5832" t="s">
        <v>64</v>
      </c>
      <c r="K5832" s="6">
        <v>0.03</v>
      </c>
      <c r="L5832" s="7">
        <f t="shared" si="183"/>
        <v>2E-3</v>
      </c>
      <c r="M5832" s="7">
        <v>3.0000000000000001E-3</v>
      </c>
      <c r="N5832">
        <v>11</v>
      </c>
      <c r="O5832" s="8">
        <v>20.328747193832452</v>
      </c>
      <c r="P5832" s="9">
        <v>20.328747193832452</v>
      </c>
      <c r="Q5832" s="9">
        <v>20.328747193832452</v>
      </c>
      <c r="R5832" s="9">
        <v>20.901467178587069</v>
      </c>
      <c r="S5832" s="9">
        <v>21.789694031871221</v>
      </c>
      <c r="T5832" s="9">
        <v>22.685842380093916</v>
      </c>
      <c r="U5832" s="9">
        <v>25.139615720574728</v>
      </c>
      <c r="V5832" s="9">
        <v>25.139615720574728</v>
      </c>
      <c r="W5832" s="9">
        <v>25.139615720574728</v>
      </c>
      <c r="X5832" s="9">
        <v>28.431126761040446</v>
      </c>
      <c r="Y5832" s="9">
        <v>28.431126761040446</v>
      </c>
      <c r="Z5832" s="9">
        <v>31.8133765751437</v>
      </c>
      <c r="AA5832" s="9">
        <v>31.8133765751437</v>
      </c>
      <c r="AB5832" s="9">
        <v>35.295439040248269</v>
      </c>
      <c r="AC5832" s="9">
        <v>35.295439040248269</v>
      </c>
      <c r="AD5832" s="9">
        <v>40.66038110622798</v>
      </c>
      <c r="AE5832" s="9">
        <v>44.145469767258199</v>
      </c>
      <c r="AF5832" s="9">
        <v>47.802065076832598</v>
      </c>
      <c r="AG5832" s="9">
        <v>47.802065076832598</v>
      </c>
      <c r="AH5832" s="9">
        <v>52.368463891218347</v>
      </c>
      <c r="AI5832" s="9">
        <v>56.090712435126555</v>
      </c>
      <c r="AJ5832" s="9">
        <v>3.0428788910505911</v>
      </c>
    </row>
    <row r="5833" spans="1:36" x14ac:dyDescent="0.25">
      <c r="A5833" t="s">
        <v>5411</v>
      </c>
      <c r="B5833" t="s">
        <v>16</v>
      </c>
      <c r="C5833" t="s">
        <v>17</v>
      </c>
      <c r="D5833">
        <v>98925000</v>
      </c>
      <c r="E5833">
        <v>98929999</v>
      </c>
      <c r="F5833" t="s">
        <v>5272</v>
      </c>
      <c r="G5833" t="str">
        <f t="shared" si="182"/>
        <v>RSI II</v>
      </c>
      <c r="H5833" t="s">
        <v>4915</v>
      </c>
      <c r="I5833" t="s">
        <v>20</v>
      </c>
      <c r="J5833" t="s">
        <v>64</v>
      </c>
      <c r="K5833" s="6">
        <v>0.03</v>
      </c>
      <c r="L5833" s="7">
        <f t="shared" si="183"/>
        <v>2E-3</v>
      </c>
      <c r="M5833" s="7">
        <v>3.0000000000000001E-3</v>
      </c>
      <c r="N5833">
        <v>11</v>
      </c>
      <c r="O5833" s="8">
        <v>20.328747193832452</v>
      </c>
      <c r="P5833" s="9">
        <v>20.328747193832452</v>
      </c>
      <c r="Q5833" s="9">
        <v>20.328747193832452</v>
      </c>
      <c r="R5833" s="9">
        <v>20.901467178587069</v>
      </c>
      <c r="S5833" s="9">
        <v>21.789694031871221</v>
      </c>
      <c r="T5833" s="9">
        <v>22.685842380093916</v>
      </c>
      <c r="U5833" s="9">
        <v>25.139615720574728</v>
      </c>
      <c r="V5833" s="9">
        <v>25.139615720574728</v>
      </c>
      <c r="W5833" s="9">
        <v>25.139615720574728</v>
      </c>
      <c r="X5833" s="9">
        <v>28.431126761040446</v>
      </c>
      <c r="Y5833" s="9">
        <v>28.431126761040446</v>
      </c>
      <c r="Z5833" s="9">
        <v>31.8133765751437</v>
      </c>
      <c r="AA5833" s="9">
        <v>31.8133765751437</v>
      </c>
      <c r="AB5833" s="9">
        <v>35.295439040248269</v>
      </c>
      <c r="AC5833" s="9">
        <v>35.295439040248269</v>
      </c>
      <c r="AD5833" s="9">
        <v>40.66038110622798</v>
      </c>
      <c r="AE5833" s="9">
        <v>44.145469767258199</v>
      </c>
      <c r="AF5833" s="9">
        <v>47.802065076832598</v>
      </c>
      <c r="AG5833" s="9">
        <v>47.802065076832598</v>
      </c>
      <c r="AH5833" s="9">
        <v>52.368463891218347</v>
      </c>
      <c r="AI5833" s="9">
        <v>56.090712435126555</v>
      </c>
      <c r="AJ5833" s="9">
        <v>3.0428788910505911</v>
      </c>
    </row>
    <row r="5834" spans="1:36" x14ac:dyDescent="0.25">
      <c r="A5834" t="s">
        <v>5411</v>
      </c>
      <c r="B5834" t="s">
        <v>16</v>
      </c>
      <c r="C5834" t="s">
        <v>17</v>
      </c>
      <c r="D5834">
        <v>98930000</v>
      </c>
      <c r="E5834">
        <v>98939999</v>
      </c>
      <c r="F5834" t="s">
        <v>5273</v>
      </c>
      <c r="G5834" t="str">
        <f t="shared" si="182"/>
        <v>RSI II</v>
      </c>
      <c r="H5834" t="s">
        <v>4915</v>
      </c>
      <c r="I5834" t="s">
        <v>20</v>
      </c>
      <c r="J5834" t="s">
        <v>64</v>
      </c>
      <c r="K5834" s="6">
        <v>0.03</v>
      </c>
      <c r="L5834" s="7">
        <f t="shared" si="183"/>
        <v>2E-3</v>
      </c>
      <c r="M5834" s="7">
        <v>3.0000000000000001E-3</v>
      </c>
      <c r="N5834">
        <v>11</v>
      </c>
      <c r="O5834" s="8">
        <v>20.328747193832452</v>
      </c>
      <c r="P5834" s="9">
        <v>20.328747193832452</v>
      </c>
      <c r="Q5834" s="9">
        <v>20.328747193832452</v>
      </c>
      <c r="R5834" s="9">
        <v>20.901467178587069</v>
      </c>
      <c r="S5834" s="9">
        <v>21.789694031871221</v>
      </c>
      <c r="T5834" s="9">
        <v>22.685842380093916</v>
      </c>
      <c r="U5834" s="9">
        <v>25.139615720574728</v>
      </c>
      <c r="V5834" s="9">
        <v>25.139615720574728</v>
      </c>
      <c r="W5834" s="9">
        <v>25.139615720574728</v>
      </c>
      <c r="X5834" s="9">
        <v>28.431126761040446</v>
      </c>
      <c r="Y5834" s="9">
        <v>28.431126761040446</v>
      </c>
      <c r="Z5834" s="9">
        <v>31.8133765751437</v>
      </c>
      <c r="AA5834" s="9">
        <v>31.8133765751437</v>
      </c>
      <c r="AB5834" s="9">
        <v>35.295439040248269</v>
      </c>
      <c r="AC5834" s="9">
        <v>35.295439040248269</v>
      </c>
      <c r="AD5834" s="9">
        <v>40.66038110622798</v>
      </c>
      <c r="AE5834" s="9">
        <v>44.145469767258199</v>
      </c>
      <c r="AF5834" s="9">
        <v>47.802065076832598</v>
      </c>
      <c r="AG5834" s="9">
        <v>47.802065076832598</v>
      </c>
      <c r="AH5834" s="9">
        <v>52.368463891218347</v>
      </c>
      <c r="AI5834" s="9">
        <v>56.090712435126555</v>
      </c>
      <c r="AJ5834" s="9">
        <v>3.0428788910505911</v>
      </c>
    </row>
    <row r="5835" spans="1:36" x14ac:dyDescent="0.25">
      <c r="A5835" t="s">
        <v>5411</v>
      </c>
      <c r="B5835" t="s">
        <v>16</v>
      </c>
      <c r="C5835" t="s">
        <v>17</v>
      </c>
      <c r="D5835">
        <v>98940000</v>
      </c>
      <c r="E5835">
        <v>98946999</v>
      </c>
      <c r="F5835" t="s">
        <v>5274</v>
      </c>
      <c r="G5835" t="str">
        <f t="shared" si="182"/>
        <v>RSI II</v>
      </c>
      <c r="H5835" t="s">
        <v>4915</v>
      </c>
      <c r="I5835" t="s">
        <v>20</v>
      </c>
      <c r="J5835" t="s">
        <v>64</v>
      </c>
      <c r="K5835" s="6">
        <v>0.03</v>
      </c>
      <c r="L5835" s="7">
        <f t="shared" si="183"/>
        <v>2E-3</v>
      </c>
      <c r="M5835" s="7">
        <v>3.0000000000000001E-3</v>
      </c>
      <c r="N5835">
        <v>11</v>
      </c>
      <c r="O5835" s="8">
        <v>20.328747193832452</v>
      </c>
      <c r="P5835" s="9">
        <v>20.328747193832452</v>
      </c>
      <c r="Q5835" s="9">
        <v>20.328747193832452</v>
      </c>
      <c r="R5835" s="9">
        <v>20.901467178587069</v>
      </c>
      <c r="S5835" s="9">
        <v>21.789694031871221</v>
      </c>
      <c r="T5835" s="9">
        <v>22.685842380093916</v>
      </c>
      <c r="U5835" s="9">
        <v>25.139615720574728</v>
      </c>
      <c r="V5835" s="9">
        <v>25.139615720574728</v>
      </c>
      <c r="W5835" s="9">
        <v>25.139615720574728</v>
      </c>
      <c r="X5835" s="9">
        <v>28.431126761040446</v>
      </c>
      <c r="Y5835" s="9">
        <v>28.431126761040446</v>
      </c>
      <c r="Z5835" s="9">
        <v>31.8133765751437</v>
      </c>
      <c r="AA5835" s="9">
        <v>31.8133765751437</v>
      </c>
      <c r="AB5835" s="9">
        <v>35.295439040248269</v>
      </c>
      <c r="AC5835" s="9">
        <v>35.295439040248269</v>
      </c>
      <c r="AD5835" s="9">
        <v>40.66038110622798</v>
      </c>
      <c r="AE5835" s="9">
        <v>44.145469767258199</v>
      </c>
      <c r="AF5835" s="9">
        <v>47.802065076832598</v>
      </c>
      <c r="AG5835" s="9">
        <v>47.802065076832598</v>
      </c>
      <c r="AH5835" s="9">
        <v>52.368463891218347</v>
      </c>
      <c r="AI5835" s="9">
        <v>56.090712435126555</v>
      </c>
      <c r="AJ5835" s="9">
        <v>3.0428788910505911</v>
      </c>
    </row>
    <row r="5836" spans="1:36" x14ac:dyDescent="0.25">
      <c r="A5836" t="s">
        <v>5411</v>
      </c>
      <c r="B5836" t="s">
        <v>16</v>
      </c>
      <c r="C5836" t="s">
        <v>17</v>
      </c>
      <c r="D5836">
        <v>98947000</v>
      </c>
      <c r="E5836">
        <v>98949999</v>
      </c>
      <c r="F5836" t="s">
        <v>5275</v>
      </c>
      <c r="G5836" t="str">
        <f t="shared" si="182"/>
        <v>RSI II</v>
      </c>
      <c r="H5836" t="s">
        <v>4915</v>
      </c>
      <c r="I5836" t="s">
        <v>20</v>
      </c>
      <c r="J5836" t="s">
        <v>64</v>
      </c>
      <c r="K5836" s="6">
        <v>0.03</v>
      </c>
      <c r="L5836" s="7">
        <f t="shared" si="183"/>
        <v>2E-3</v>
      </c>
      <c r="M5836" s="7">
        <v>3.0000000000000001E-3</v>
      </c>
      <c r="N5836">
        <v>11</v>
      </c>
      <c r="O5836" s="8">
        <v>20.328747193832452</v>
      </c>
      <c r="P5836" s="9">
        <v>20.328747193832452</v>
      </c>
      <c r="Q5836" s="9">
        <v>20.328747193832452</v>
      </c>
      <c r="R5836" s="9">
        <v>20.901467178587069</v>
      </c>
      <c r="S5836" s="9">
        <v>21.789694031871221</v>
      </c>
      <c r="T5836" s="9">
        <v>22.685842380093916</v>
      </c>
      <c r="U5836" s="9">
        <v>25.139615720574728</v>
      </c>
      <c r="V5836" s="9">
        <v>25.139615720574728</v>
      </c>
      <c r="W5836" s="9">
        <v>25.139615720574728</v>
      </c>
      <c r="X5836" s="9">
        <v>28.431126761040446</v>
      </c>
      <c r="Y5836" s="9">
        <v>28.431126761040446</v>
      </c>
      <c r="Z5836" s="9">
        <v>31.8133765751437</v>
      </c>
      <c r="AA5836" s="9">
        <v>31.8133765751437</v>
      </c>
      <c r="AB5836" s="9">
        <v>35.295439040248269</v>
      </c>
      <c r="AC5836" s="9">
        <v>35.295439040248269</v>
      </c>
      <c r="AD5836" s="9">
        <v>40.66038110622798</v>
      </c>
      <c r="AE5836" s="9">
        <v>44.145469767258199</v>
      </c>
      <c r="AF5836" s="9">
        <v>47.802065076832598</v>
      </c>
      <c r="AG5836" s="9">
        <v>47.802065076832598</v>
      </c>
      <c r="AH5836" s="9">
        <v>52.368463891218347</v>
      </c>
      <c r="AI5836" s="9">
        <v>56.090712435126555</v>
      </c>
      <c r="AJ5836" s="9">
        <v>3.0428788910505911</v>
      </c>
    </row>
    <row r="5837" spans="1:36" x14ac:dyDescent="0.25">
      <c r="A5837" t="s">
        <v>5411</v>
      </c>
      <c r="B5837" t="s">
        <v>16</v>
      </c>
      <c r="C5837" t="s">
        <v>17</v>
      </c>
      <c r="D5837">
        <v>98950000</v>
      </c>
      <c r="E5837">
        <v>98954999</v>
      </c>
      <c r="F5837" t="s">
        <v>5276</v>
      </c>
      <c r="G5837" t="str">
        <f t="shared" si="182"/>
        <v>RSI II</v>
      </c>
      <c r="H5837" t="s">
        <v>4915</v>
      </c>
      <c r="I5837" t="s">
        <v>20</v>
      </c>
      <c r="J5837" t="s">
        <v>64</v>
      </c>
      <c r="K5837" s="6">
        <v>0.03</v>
      </c>
      <c r="L5837" s="7">
        <f t="shared" si="183"/>
        <v>2E-3</v>
      </c>
      <c r="M5837" s="7">
        <v>3.0000000000000001E-3</v>
      </c>
      <c r="N5837">
        <v>11</v>
      </c>
      <c r="O5837" s="8">
        <v>20.328747193832452</v>
      </c>
      <c r="P5837" s="9">
        <v>20.328747193832452</v>
      </c>
      <c r="Q5837" s="9">
        <v>20.328747193832452</v>
      </c>
      <c r="R5837" s="9">
        <v>20.901467178587069</v>
      </c>
      <c r="S5837" s="9">
        <v>21.789694031871221</v>
      </c>
      <c r="T5837" s="9">
        <v>22.685842380093916</v>
      </c>
      <c r="U5837" s="9">
        <v>25.139615720574728</v>
      </c>
      <c r="V5837" s="9">
        <v>25.139615720574728</v>
      </c>
      <c r="W5837" s="9">
        <v>25.139615720574728</v>
      </c>
      <c r="X5837" s="9">
        <v>28.431126761040446</v>
      </c>
      <c r="Y5837" s="9">
        <v>28.431126761040446</v>
      </c>
      <c r="Z5837" s="9">
        <v>31.8133765751437</v>
      </c>
      <c r="AA5837" s="9">
        <v>31.8133765751437</v>
      </c>
      <c r="AB5837" s="9">
        <v>35.295439040248269</v>
      </c>
      <c r="AC5837" s="9">
        <v>35.295439040248269</v>
      </c>
      <c r="AD5837" s="9">
        <v>40.66038110622798</v>
      </c>
      <c r="AE5837" s="9">
        <v>44.145469767258199</v>
      </c>
      <c r="AF5837" s="9">
        <v>47.802065076832598</v>
      </c>
      <c r="AG5837" s="9">
        <v>47.802065076832598</v>
      </c>
      <c r="AH5837" s="9">
        <v>52.368463891218347</v>
      </c>
      <c r="AI5837" s="9">
        <v>56.090712435126555</v>
      </c>
      <c r="AJ5837" s="9">
        <v>3.0428788910505911</v>
      </c>
    </row>
    <row r="5838" spans="1:36" x14ac:dyDescent="0.25">
      <c r="A5838" t="s">
        <v>5411</v>
      </c>
      <c r="B5838" t="s">
        <v>16</v>
      </c>
      <c r="C5838" t="s">
        <v>17</v>
      </c>
      <c r="D5838">
        <v>98955000</v>
      </c>
      <c r="E5838">
        <v>98957999</v>
      </c>
      <c r="F5838" t="s">
        <v>5277</v>
      </c>
      <c r="G5838" t="str">
        <f t="shared" si="182"/>
        <v>RSI II</v>
      </c>
      <c r="H5838" t="s">
        <v>4915</v>
      </c>
      <c r="I5838" t="s">
        <v>20</v>
      </c>
      <c r="J5838" t="s">
        <v>64</v>
      </c>
      <c r="K5838" s="6">
        <v>0.03</v>
      </c>
      <c r="L5838" s="7">
        <f t="shared" si="183"/>
        <v>2E-3</v>
      </c>
      <c r="M5838" s="7">
        <v>3.0000000000000001E-3</v>
      </c>
      <c r="N5838">
        <v>11</v>
      </c>
      <c r="O5838" s="8">
        <v>20.328747193832452</v>
      </c>
      <c r="P5838" s="9">
        <v>20.328747193832452</v>
      </c>
      <c r="Q5838" s="9">
        <v>20.328747193832452</v>
      </c>
      <c r="R5838" s="9">
        <v>20.901467178587069</v>
      </c>
      <c r="S5838" s="9">
        <v>21.789694031871221</v>
      </c>
      <c r="T5838" s="9">
        <v>22.685842380093916</v>
      </c>
      <c r="U5838" s="9">
        <v>25.139615720574728</v>
      </c>
      <c r="V5838" s="9">
        <v>25.139615720574728</v>
      </c>
      <c r="W5838" s="9">
        <v>25.139615720574728</v>
      </c>
      <c r="X5838" s="9">
        <v>28.431126761040446</v>
      </c>
      <c r="Y5838" s="9">
        <v>28.431126761040446</v>
      </c>
      <c r="Z5838" s="9">
        <v>31.8133765751437</v>
      </c>
      <c r="AA5838" s="9">
        <v>31.8133765751437</v>
      </c>
      <c r="AB5838" s="9">
        <v>35.295439040248269</v>
      </c>
      <c r="AC5838" s="9">
        <v>35.295439040248269</v>
      </c>
      <c r="AD5838" s="9">
        <v>40.66038110622798</v>
      </c>
      <c r="AE5838" s="9">
        <v>44.145469767258199</v>
      </c>
      <c r="AF5838" s="9">
        <v>47.802065076832598</v>
      </c>
      <c r="AG5838" s="9">
        <v>47.802065076832598</v>
      </c>
      <c r="AH5838" s="9">
        <v>52.368463891218347</v>
      </c>
      <c r="AI5838" s="9">
        <v>56.090712435126555</v>
      </c>
      <c r="AJ5838" s="9">
        <v>3.0428788910505911</v>
      </c>
    </row>
    <row r="5839" spans="1:36" x14ac:dyDescent="0.25">
      <c r="A5839" t="s">
        <v>5411</v>
      </c>
      <c r="B5839" t="s">
        <v>16</v>
      </c>
      <c r="C5839" t="s">
        <v>17</v>
      </c>
      <c r="D5839">
        <v>98958000</v>
      </c>
      <c r="E5839">
        <v>98959999</v>
      </c>
      <c r="F5839" t="s">
        <v>5278</v>
      </c>
      <c r="G5839" t="str">
        <f t="shared" si="182"/>
        <v>RSI II</v>
      </c>
      <c r="H5839" t="s">
        <v>4915</v>
      </c>
      <c r="I5839" t="s">
        <v>20</v>
      </c>
      <c r="J5839" t="s">
        <v>64</v>
      </c>
      <c r="K5839" s="6">
        <v>0.03</v>
      </c>
      <c r="L5839" s="7">
        <f t="shared" si="183"/>
        <v>2E-3</v>
      </c>
      <c r="M5839" s="7">
        <v>3.0000000000000001E-3</v>
      </c>
      <c r="N5839">
        <v>11</v>
      </c>
      <c r="O5839" s="8">
        <v>20.328747193832452</v>
      </c>
      <c r="P5839" s="9">
        <v>20.328747193832452</v>
      </c>
      <c r="Q5839" s="9">
        <v>20.328747193832452</v>
      </c>
      <c r="R5839" s="9">
        <v>20.901467178587069</v>
      </c>
      <c r="S5839" s="9">
        <v>21.789694031871221</v>
      </c>
      <c r="T5839" s="9">
        <v>22.685842380093916</v>
      </c>
      <c r="U5839" s="9">
        <v>25.139615720574728</v>
      </c>
      <c r="V5839" s="9">
        <v>25.139615720574728</v>
      </c>
      <c r="W5839" s="9">
        <v>25.139615720574728</v>
      </c>
      <c r="X5839" s="9">
        <v>28.431126761040446</v>
      </c>
      <c r="Y5839" s="9">
        <v>28.431126761040446</v>
      </c>
      <c r="Z5839" s="9">
        <v>31.8133765751437</v>
      </c>
      <c r="AA5839" s="9">
        <v>31.8133765751437</v>
      </c>
      <c r="AB5839" s="9">
        <v>35.295439040248269</v>
      </c>
      <c r="AC5839" s="9">
        <v>35.295439040248269</v>
      </c>
      <c r="AD5839" s="9">
        <v>40.66038110622798</v>
      </c>
      <c r="AE5839" s="9">
        <v>44.145469767258199</v>
      </c>
      <c r="AF5839" s="9">
        <v>47.802065076832598</v>
      </c>
      <c r="AG5839" s="9">
        <v>47.802065076832598</v>
      </c>
      <c r="AH5839" s="9">
        <v>52.368463891218347</v>
      </c>
      <c r="AI5839" s="9">
        <v>56.090712435126555</v>
      </c>
      <c r="AJ5839" s="9">
        <v>3.0428788910505911</v>
      </c>
    </row>
    <row r="5840" spans="1:36" x14ac:dyDescent="0.25">
      <c r="A5840" t="s">
        <v>5411</v>
      </c>
      <c r="B5840" t="s">
        <v>16</v>
      </c>
      <c r="C5840" t="s">
        <v>17</v>
      </c>
      <c r="D5840">
        <v>98960000</v>
      </c>
      <c r="E5840">
        <v>98969999</v>
      </c>
      <c r="F5840" t="s">
        <v>5279</v>
      </c>
      <c r="G5840" t="str">
        <f t="shared" si="182"/>
        <v>RSI II</v>
      </c>
      <c r="H5840" t="s">
        <v>4915</v>
      </c>
      <c r="I5840" t="s">
        <v>20</v>
      </c>
      <c r="J5840" t="s">
        <v>64</v>
      </c>
      <c r="K5840" s="6">
        <v>0.03</v>
      </c>
      <c r="L5840" s="7">
        <f t="shared" si="183"/>
        <v>2E-3</v>
      </c>
      <c r="M5840" s="7">
        <v>3.0000000000000001E-3</v>
      </c>
      <c r="N5840">
        <v>11</v>
      </c>
      <c r="O5840" s="8">
        <v>20.328747193832452</v>
      </c>
      <c r="P5840" s="9">
        <v>20.328747193832452</v>
      </c>
      <c r="Q5840" s="9">
        <v>20.328747193832452</v>
      </c>
      <c r="R5840" s="9">
        <v>20.901467178587069</v>
      </c>
      <c r="S5840" s="9">
        <v>21.789694031871221</v>
      </c>
      <c r="T5840" s="9">
        <v>22.685842380093916</v>
      </c>
      <c r="U5840" s="9">
        <v>25.139615720574728</v>
      </c>
      <c r="V5840" s="9">
        <v>25.139615720574728</v>
      </c>
      <c r="W5840" s="9">
        <v>25.139615720574728</v>
      </c>
      <c r="X5840" s="9">
        <v>28.431126761040446</v>
      </c>
      <c r="Y5840" s="9">
        <v>28.431126761040446</v>
      </c>
      <c r="Z5840" s="9">
        <v>31.8133765751437</v>
      </c>
      <c r="AA5840" s="9">
        <v>31.8133765751437</v>
      </c>
      <c r="AB5840" s="9">
        <v>35.295439040248269</v>
      </c>
      <c r="AC5840" s="9">
        <v>35.295439040248269</v>
      </c>
      <c r="AD5840" s="9">
        <v>40.66038110622798</v>
      </c>
      <c r="AE5840" s="9">
        <v>44.145469767258199</v>
      </c>
      <c r="AF5840" s="9">
        <v>47.802065076832598</v>
      </c>
      <c r="AG5840" s="9">
        <v>47.802065076832598</v>
      </c>
      <c r="AH5840" s="9">
        <v>52.368463891218347</v>
      </c>
      <c r="AI5840" s="9">
        <v>56.090712435126555</v>
      </c>
      <c r="AJ5840" s="9">
        <v>3.0428788910505911</v>
      </c>
    </row>
    <row r="5841" spans="1:36" x14ac:dyDescent="0.25">
      <c r="A5841" t="s">
        <v>5411</v>
      </c>
      <c r="B5841" t="s">
        <v>16</v>
      </c>
      <c r="C5841" t="s">
        <v>17</v>
      </c>
      <c r="D5841">
        <v>98970000</v>
      </c>
      <c r="E5841">
        <v>98974999</v>
      </c>
      <c r="F5841" t="s">
        <v>5280</v>
      </c>
      <c r="G5841" t="str">
        <f t="shared" si="182"/>
        <v>RSI II</v>
      </c>
      <c r="H5841" t="s">
        <v>4915</v>
      </c>
      <c r="I5841" t="s">
        <v>20</v>
      </c>
      <c r="J5841" t="s">
        <v>64</v>
      </c>
      <c r="K5841" s="6">
        <v>0.03</v>
      </c>
      <c r="L5841" s="7">
        <f t="shared" si="183"/>
        <v>2E-3</v>
      </c>
      <c r="M5841" s="7">
        <v>3.0000000000000001E-3</v>
      </c>
      <c r="N5841">
        <v>11</v>
      </c>
      <c r="O5841" s="8">
        <v>20.328747193832452</v>
      </c>
      <c r="P5841" s="9">
        <v>20.328747193832452</v>
      </c>
      <c r="Q5841" s="9">
        <v>20.328747193832452</v>
      </c>
      <c r="R5841" s="9">
        <v>20.901467178587069</v>
      </c>
      <c r="S5841" s="9">
        <v>21.789694031871221</v>
      </c>
      <c r="T5841" s="9">
        <v>22.685842380093916</v>
      </c>
      <c r="U5841" s="9">
        <v>25.139615720574728</v>
      </c>
      <c r="V5841" s="9">
        <v>25.139615720574728</v>
      </c>
      <c r="W5841" s="9">
        <v>25.139615720574728</v>
      </c>
      <c r="X5841" s="9">
        <v>28.431126761040446</v>
      </c>
      <c r="Y5841" s="9">
        <v>28.431126761040446</v>
      </c>
      <c r="Z5841" s="9">
        <v>31.8133765751437</v>
      </c>
      <c r="AA5841" s="9">
        <v>31.8133765751437</v>
      </c>
      <c r="AB5841" s="9">
        <v>35.295439040248269</v>
      </c>
      <c r="AC5841" s="9">
        <v>35.295439040248269</v>
      </c>
      <c r="AD5841" s="9">
        <v>40.66038110622798</v>
      </c>
      <c r="AE5841" s="9">
        <v>44.145469767258199</v>
      </c>
      <c r="AF5841" s="9">
        <v>47.802065076832598</v>
      </c>
      <c r="AG5841" s="9">
        <v>47.802065076832598</v>
      </c>
      <c r="AH5841" s="9">
        <v>52.368463891218347</v>
      </c>
      <c r="AI5841" s="9">
        <v>56.090712435126555</v>
      </c>
      <c r="AJ5841" s="9">
        <v>3.0428788910505911</v>
      </c>
    </row>
    <row r="5842" spans="1:36" x14ac:dyDescent="0.25">
      <c r="A5842" t="s">
        <v>5411</v>
      </c>
      <c r="B5842" t="s">
        <v>16</v>
      </c>
      <c r="C5842" t="s">
        <v>17</v>
      </c>
      <c r="D5842">
        <v>98975000</v>
      </c>
      <c r="E5842">
        <v>98979999</v>
      </c>
      <c r="F5842" t="s">
        <v>5281</v>
      </c>
      <c r="G5842" t="str">
        <f t="shared" si="182"/>
        <v>RSI II</v>
      </c>
      <c r="H5842" t="s">
        <v>4915</v>
      </c>
      <c r="I5842" t="s">
        <v>20</v>
      </c>
      <c r="J5842" t="s">
        <v>64</v>
      </c>
      <c r="K5842" s="6">
        <v>0.03</v>
      </c>
      <c r="L5842" s="7">
        <f t="shared" si="183"/>
        <v>2E-3</v>
      </c>
      <c r="M5842" s="7">
        <v>3.0000000000000001E-3</v>
      </c>
      <c r="N5842">
        <v>11</v>
      </c>
      <c r="O5842" s="8">
        <v>20.328747193832452</v>
      </c>
      <c r="P5842" s="9">
        <v>20.328747193832452</v>
      </c>
      <c r="Q5842" s="9">
        <v>20.328747193832452</v>
      </c>
      <c r="R5842" s="9">
        <v>20.901467178587069</v>
      </c>
      <c r="S5842" s="9">
        <v>21.789694031871221</v>
      </c>
      <c r="T5842" s="9">
        <v>22.685842380093916</v>
      </c>
      <c r="U5842" s="9">
        <v>25.139615720574728</v>
      </c>
      <c r="V5842" s="9">
        <v>25.139615720574728</v>
      </c>
      <c r="W5842" s="9">
        <v>25.139615720574728</v>
      </c>
      <c r="X5842" s="9">
        <v>28.431126761040446</v>
      </c>
      <c r="Y5842" s="9">
        <v>28.431126761040446</v>
      </c>
      <c r="Z5842" s="9">
        <v>31.8133765751437</v>
      </c>
      <c r="AA5842" s="9">
        <v>31.8133765751437</v>
      </c>
      <c r="AB5842" s="9">
        <v>35.295439040248269</v>
      </c>
      <c r="AC5842" s="9">
        <v>35.295439040248269</v>
      </c>
      <c r="AD5842" s="9">
        <v>40.66038110622798</v>
      </c>
      <c r="AE5842" s="9">
        <v>44.145469767258199</v>
      </c>
      <c r="AF5842" s="9">
        <v>47.802065076832598</v>
      </c>
      <c r="AG5842" s="9">
        <v>47.802065076832598</v>
      </c>
      <c r="AH5842" s="9">
        <v>52.368463891218347</v>
      </c>
      <c r="AI5842" s="9">
        <v>56.090712435126555</v>
      </c>
      <c r="AJ5842" s="9">
        <v>3.0428788910505911</v>
      </c>
    </row>
    <row r="5843" spans="1:36" x14ac:dyDescent="0.25">
      <c r="A5843" t="s">
        <v>5411</v>
      </c>
      <c r="B5843" t="s">
        <v>16</v>
      </c>
      <c r="C5843" t="s">
        <v>17</v>
      </c>
      <c r="D5843">
        <v>98980000</v>
      </c>
      <c r="E5843">
        <v>98984999</v>
      </c>
      <c r="F5843" t="s">
        <v>5282</v>
      </c>
      <c r="G5843" t="str">
        <f t="shared" si="182"/>
        <v>RSI II</v>
      </c>
      <c r="H5843" t="s">
        <v>4915</v>
      </c>
      <c r="I5843" t="s">
        <v>20</v>
      </c>
      <c r="J5843" t="s">
        <v>64</v>
      </c>
      <c r="K5843" s="6">
        <v>0.03</v>
      </c>
      <c r="L5843" s="7">
        <f t="shared" si="183"/>
        <v>2E-3</v>
      </c>
      <c r="M5843" s="7">
        <v>3.0000000000000001E-3</v>
      </c>
      <c r="N5843">
        <v>11</v>
      </c>
      <c r="O5843" s="8">
        <v>20.328747193832452</v>
      </c>
      <c r="P5843" s="9">
        <v>20.328747193832452</v>
      </c>
      <c r="Q5843" s="9">
        <v>20.328747193832452</v>
      </c>
      <c r="R5843" s="9">
        <v>20.901467178587069</v>
      </c>
      <c r="S5843" s="9">
        <v>21.789694031871221</v>
      </c>
      <c r="T5843" s="9">
        <v>22.685842380093916</v>
      </c>
      <c r="U5843" s="9">
        <v>25.139615720574728</v>
      </c>
      <c r="V5843" s="9">
        <v>25.139615720574728</v>
      </c>
      <c r="W5843" s="9">
        <v>25.139615720574728</v>
      </c>
      <c r="X5843" s="9">
        <v>28.431126761040446</v>
      </c>
      <c r="Y5843" s="9">
        <v>28.431126761040446</v>
      </c>
      <c r="Z5843" s="9">
        <v>31.8133765751437</v>
      </c>
      <c r="AA5843" s="9">
        <v>31.8133765751437</v>
      </c>
      <c r="AB5843" s="9">
        <v>35.295439040248269</v>
      </c>
      <c r="AC5843" s="9">
        <v>35.295439040248269</v>
      </c>
      <c r="AD5843" s="9">
        <v>40.66038110622798</v>
      </c>
      <c r="AE5843" s="9">
        <v>44.145469767258199</v>
      </c>
      <c r="AF5843" s="9">
        <v>47.802065076832598</v>
      </c>
      <c r="AG5843" s="9">
        <v>47.802065076832598</v>
      </c>
      <c r="AH5843" s="9">
        <v>52.368463891218347</v>
      </c>
      <c r="AI5843" s="9">
        <v>56.090712435126555</v>
      </c>
      <c r="AJ5843" s="9">
        <v>3.0428788910505911</v>
      </c>
    </row>
    <row r="5844" spans="1:36" x14ac:dyDescent="0.25">
      <c r="A5844" t="s">
        <v>5411</v>
      </c>
      <c r="B5844" t="s">
        <v>16</v>
      </c>
      <c r="C5844" t="s">
        <v>17</v>
      </c>
      <c r="D5844">
        <v>98985000</v>
      </c>
      <c r="E5844">
        <v>98994999</v>
      </c>
      <c r="F5844" t="s">
        <v>5283</v>
      </c>
      <c r="G5844" t="str">
        <f t="shared" si="182"/>
        <v>RSI II</v>
      </c>
      <c r="H5844" t="s">
        <v>4915</v>
      </c>
      <c r="I5844" t="s">
        <v>20</v>
      </c>
      <c r="J5844" t="s">
        <v>64</v>
      </c>
      <c r="K5844" s="6">
        <v>0.03</v>
      </c>
      <c r="L5844" s="7">
        <f t="shared" si="183"/>
        <v>2E-3</v>
      </c>
      <c r="M5844" s="7">
        <v>3.0000000000000001E-3</v>
      </c>
      <c r="N5844">
        <v>11</v>
      </c>
      <c r="O5844" s="8">
        <v>20.328747193832452</v>
      </c>
      <c r="P5844" s="9">
        <v>20.328747193832452</v>
      </c>
      <c r="Q5844" s="9">
        <v>20.328747193832452</v>
      </c>
      <c r="R5844" s="9">
        <v>20.901467178587069</v>
      </c>
      <c r="S5844" s="9">
        <v>21.789694031871221</v>
      </c>
      <c r="T5844" s="9">
        <v>22.685842380093916</v>
      </c>
      <c r="U5844" s="9">
        <v>25.139615720574728</v>
      </c>
      <c r="V5844" s="9">
        <v>25.139615720574728</v>
      </c>
      <c r="W5844" s="9">
        <v>25.139615720574728</v>
      </c>
      <c r="X5844" s="9">
        <v>28.431126761040446</v>
      </c>
      <c r="Y5844" s="9">
        <v>28.431126761040446</v>
      </c>
      <c r="Z5844" s="9">
        <v>31.8133765751437</v>
      </c>
      <c r="AA5844" s="9">
        <v>31.8133765751437</v>
      </c>
      <c r="AB5844" s="9">
        <v>35.295439040248269</v>
      </c>
      <c r="AC5844" s="9">
        <v>35.295439040248269</v>
      </c>
      <c r="AD5844" s="9">
        <v>40.66038110622798</v>
      </c>
      <c r="AE5844" s="9">
        <v>44.145469767258199</v>
      </c>
      <c r="AF5844" s="9">
        <v>47.802065076832598</v>
      </c>
      <c r="AG5844" s="9">
        <v>47.802065076832598</v>
      </c>
      <c r="AH5844" s="9">
        <v>52.368463891218347</v>
      </c>
      <c r="AI5844" s="9">
        <v>56.090712435126555</v>
      </c>
      <c r="AJ5844" s="9">
        <v>3.0428788910505911</v>
      </c>
    </row>
    <row r="5845" spans="1:36" x14ac:dyDescent="0.25">
      <c r="A5845" t="s">
        <v>5411</v>
      </c>
      <c r="B5845" t="s">
        <v>16</v>
      </c>
      <c r="C5845" t="s">
        <v>17</v>
      </c>
      <c r="D5845">
        <v>98995000</v>
      </c>
      <c r="E5845">
        <v>98999999</v>
      </c>
      <c r="F5845" t="s">
        <v>5284</v>
      </c>
      <c r="G5845" t="str">
        <f t="shared" si="182"/>
        <v>RSI II</v>
      </c>
      <c r="H5845" t="s">
        <v>4915</v>
      </c>
      <c r="I5845" t="s">
        <v>20</v>
      </c>
      <c r="J5845" t="s">
        <v>64</v>
      </c>
      <c r="K5845" s="6">
        <v>0.03</v>
      </c>
      <c r="L5845" s="7">
        <f t="shared" si="183"/>
        <v>2E-3</v>
      </c>
      <c r="M5845" s="7">
        <v>3.0000000000000001E-3</v>
      </c>
      <c r="N5845">
        <v>11</v>
      </c>
      <c r="O5845" s="8">
        <v>20.328747193832452</v>
      </c>
      <c r="P5845" s="9">
        <v>20.328747193832452</v>
      </c>
      <c r="Q5845" s="9">
        <v>20.328747193832452</v>
      </c>
      <c r="R5845" s="9">
        <v>20.901467178587069</v>
      </c>
      <c r="S5845" s="9">
        <v>21.789694031871221</v>
      </c>
      <c r="T5845" s="9">
        <v>22.685842380093916</v>
      </c>
      <c r="U5845" s="9">
        <v>25.139615720574728</v>
      </c>
      <c r="V5845" s="9">
        <v>25.139615720574728</v>
      </c>
      <c r="W5845" s="9">
        <v>25.139615720574728</v>
      </c>
      <c r="X5845" s="9">
        <v>28.431126761040446</v>
      </c>
      <c r="Y5845" s="9">
        <v>28.431126761040446</v>
      </c>
      <c r="Z5845" s="9">
        <v>31.8133765751437</v>
      </c>
      <c r="AA5845" s="9">
        <v>31.8133765751437</v>
      </c>
      <c r="AB5845" s="9">
        <v>35.295439040248269</v>
      </c>
      <c r="AC5845" s="9">
        <v>35.295439040248269</v>
      </c>
      <c r="AD5845" s="9">
        <v>40.66038110622798</v>
      </c>
      <c r="AE5845" s="9">
        <v>44.145469767258199</v>
      </c>
      <c r="AF5845" s="9">
        <v>47.802065076832598</v>
      </c>
      <c r="AG5845" s="9">
        <v>47.802065076832598</v>
      </c>
      <c r="AH5845" s="9">
        <v>52.368463891218347</v>
      </c>
      <c r="AI5845" s="9">
        <v>56.090712435126555</v>
      </c>
      <c r="AJ5845" s="9">
        <v>3.0428788910505911</v>
      </c>
    </row>
    <row r="5846" spans="1:36" x14ac:dyDescent="0.25">
      <c r="A5846" t="s">
        <v>5411</v>
      </c>
      <c r="B5846" t="s">
        <v>16</v>
      </c>
      <c r="C5846" t="s">
        <v>17</v>
      </c>
      <c r="D5846">
        <v>99000000</v>
      </c>
      <c r="E5846">
        <v>99139999</v>
      </c>
      <c r="F5846" t="s">
        <v>5285</v>
      </c>
      <c r="G5846" t="str">
        <f t="shared" si="182"/>
        <v>RSI</v>
      </c>
      <c r="H5846" t="s">
        <v>4915</v>
      </c>
      <c r="I5846" t="s">
        <v>20</v>
      </c>
      <c r="J5846" t="s">
        <v>62</v>
      </c>
      <c r="K5846" s="6">
        <v>0.03</v>
      </c>
      <c r="L5846" s="7">
        <f t="shared" si="183"/>
        <v>2E-3</v>
      </c>
      <c r="M5846" s="7">
        <v>3.0000000000000001E-3</v>
      </c>
      <c r="N5846">
        <v>8</v>
      </c>
      <c r="O5846" s="8">
        <v>17.509302802156309</v>
      </c>
      <c r="P5846" s="9">
        <v>17.509302802156309</v>
      </c>
      <c r="Q5846" s="9">
        <v>17.509302802156309</v>
      </c>
      <c r="R5846" s="9">
        <v>17.960073121579438</v>
      </c>
      <c r="S5846" s="9">
        <v>18.978426201825126</v>
      </c>
      <c r="T5846" s="9">
        <v>19.861619996324769</v>
      </c>
      <c r="U5846" s="9">
        <v>21.605211693624167</v>
      </c>
      <c r="V5846" s="9">
        <v>21.605211693624167</v>
      </c>
      <c r="W5846" s="9">
        <v>21.605211693624167</v>
      </c>
      <c r="X5846" s="9">
        <v>24.342346895578043</v>
      </c>
      <c r="Y5846" s="9">
        <v>24.342346895578043</v>
      </c>
      <c r="Z5846" s="9">
        <v>27.269806221922281</v>
      </c>
      <c r="AA5846" s="9">
        <v>27.269806221922281</v>
      </c>
      <c r="AB5846" s="9">
        <v>30.447232473217717</v>
      </c>
      <c r="AC5846" s="9">
        <v>30.447232473217717</v>
      </c>
      <c r="AD5846" s="9">
        <v>33.773696777878271</v>
      </c>
      <c r="AE5846" s="9">
        <v>37.668102449503657</v>
      </c>
      <c r="AF5846" s="9">
        <v>41.795656089883373</v>
      </c>
      <c r="AG5846" s="9">
        <v>41.795656089883373</v>
      </c>
      <c r="AH5846" s="9">
        <v>45.638668972740511</v>
      </c>
      <c r="AI5846" s="9">
        <v>49.380739592962819</v>
      </c>
      <c r="AJ5846" s="9">
        <v>3.0428788910505911</v>
      </c>
    </row>
    <row r="5847" spans="1:36" x14ac:dyDescent="0.25">
      <c r="A5847" t="s">
        <v>5411</v>
      </c>
      <c r="B5847" t="s">
        <v>16</v>
      </c>
      <c r="C5847" t="s">
        <v>17</v>
      </c>
      <c r="D5847">
        <v>99140000</v>
      </c>
      <c r="E5847">
        <v>99144999</v>
      </c>
      <c r="F5847" t="s">
        <v>5286</v>
      </c>
      <c r="G5847" t="str">
        <f t="shared" si="182"/>
        <v>RSI II</v>
      </c>
      <c r="H5847" t="s">
        <v>4915</v>
      </c>
      <c r="I5847" t="s">
        <v>20</v>
      </c>
      <c r="J5847" t="s">
        <v>64</v>
      </c>
      <c r="K5847" s="6">
        <v>0.03</v>
      </c>
      <c r="L5847" s="7">
        <f t="shared" si="183"/>
        <v>2E-3</v>
      </c>
      <c r="M5847" s="7">
        <v>3.0000000000000001E-3</v>
      </c>
      <c r="N5847">
        <v>11</v>
      </c>
      <c r="O5847" s="8">
        <v>20.328747193832452</v>
      </c>
      <c r="P5847" s="9">
        <v>20.328747193832452</v>
      </c>
      <c r="Q5847" s="9">
        <v>20.328747193832452</v>
      </c>
      <c r="R5847" s="9">
        <v>20.901467178587069</v>
      </c>
      <c r="S5847" s="9">
        <v>21.789694031871221</v>
      </c>
      <c r="T5847" s="9">
        <v>22.685842380093916</v>
      </c>
      <c r="U5847" s="9">
        <v>25.139615720574728</v>
      </c>
      <c r="V5847" s="9">
        <v>25.139615720574728</v>
      </c>
      <c r="W5847" s="9">
        <v>25.139615720574728</v>
      </c>
      <c r="X5847" s="9">
        <v>28.431126761040446</v>
      </c>
      <c r="Y5847" s="9">
        <v>28.431126761040446</v>
      </c>
      <c r="Z5847" s="9">
        <v>31.8133765751437</v>
      </c>
      <c r="AA5847" s="9">
        <v>31.8133765751437</v>
      </c>
      <c r="AB5847" s="9">
        <v>35.295439040248269</v>
      </c>
      <c r="AC5847" s="9">
        <v>35.295439040248269</v>
      </c>
      <c r="AD5847" s="9">
        <v>40.66038110622798</v>
      </c>
      <c r="AE5847" s="9">
        <v>44.145469767258199</v>
      </c>
      <c r="AF5847" s="9">
        <v>47.802065076832598</v>
      </c>
      <c r="AG5847" s="9">
        <v>47.802065076832598</v>
      </c>
      <c r="AH5847" s="9">
        <v>52.368463891218347</v>
      </c>
      <c r="AI5847" s="9">
        <v>56.090712435126555</v>
      </c>
      <c r="AJ5847" s="9">
        <v>3.0428788910505911</v>
      </c>
    </row>
    <row r="5848" spans="1:36" x14ac:dyDescent="0.25">
      <c r="A5848" t="s">
        <v>5411</v>
      </c>
      <c r="B5848" t="s">
        <v>16</v>
      </c>
      <c r="C5848" t="s">
        <v>17</v>
      </c>
      <c r="D5848">
        <v>99145000</v>
      </c>
      <c r="E5848">
        <v>99149999</v>
      </c>
      <c r="F5848" t="s">
        <v>5287</v>
      </c>
      <c r="G5848" t="str">
        <f t="shared" si="182"/>
        <v>RSI II</v>
      </c>
      <c r="H5848" t="s">
        <v>4915</v>
      </c>
      <c r="I5848" t="s">
        <v>20</v>
      </c>
      <c r="J5848" t="s">
        <v>64</v>
      </c>
      <c r="K5848" s="6">
        <v>0.03</v>
      </c>
      <c r="L5848" s="7">
        <f t="shared" si="183"/>
        <v>2E-3</v>
      </c>
      <c r="M5848" s="7">
        <v>3.0000000000000001E-3</v>
      </c>
      <c r="N5848">
        <v>11</v>
      </c>
      <c r="O5848" s="8">
        <v>20.328747193832452</v>
      </c>
      <c r="P5848" s="9">
        <v>20.328747193832452</v>
      </c>
      <c r="Q5848" s="9">
        <v>20.328747193832452</v>
      </c>
      <c r="R5848" s="9">
        <v>20.901467178587069</v>
      </c>
      <c r="S5848" s="9">
        <v>21.789694031871221</v>
      </c>
      <c r="T5848" s="9">
        <v>22.685842380093916</v>
      </c>
      <c r="U5848" s="9">
        <v>25.139615720574728</v>
      </c>
      <c r="V5848" s="9">
        <v>25.139615720574728</v>
      </c>
      <c r="W5848" s="9">
        <v>25.139615720574728</v>
      </c>
      <c r="X5848" s="9">
        <v>28.431126761040446</v>
      </c>
      <c r="Y5848" s="9">
        <v>28.431126761040446</v>
      </c>
      <c r="Z5848" s="9">
        <v>31.8133765751437</v>
      </c>
      <c r="AA5848" s="9">
        <v>31.8133765751437</v>
      </c>
      <c r="AB5848" s="9">
        <v>35.295439040248269</v>
      </c>
      <c r="AC5848" s="9">
        <v>35.295439040248269</v>
      </c>
      <c r="AD5848" s="9">
        <v>40.66038110622798</v>
      </c>
      <c r="AE5848" s="9">
        <v>44.145469767258199</v>
      </c>
      <c r="AF5848" s="9">
        <v>47.802065076832598</v>
      </c>
      <c r="AG5848" s="9">
        <v>47.802065076832598</v>
      </c>
      <c r="AH5848" s="9">
        <v>52.368463891218347</v>
      </c>
      <c r="AI5848" s="9">
        <v>56.090712435126555</v>
      </c>
      <c r="AJ5848" s="9">
        <v>3.0428788910505911</v>
      </c>
    </row>
    <row r="5849" spans="1:36" x14ac:dyDescent="0.25">
      <c r="A5849" t="s">
        <v>5411</v>
      </c>
      <c r="B5849" t="s">
        <v>16</v>
      </c>
      <c r="C5849" t="s">
        <v>17</v>
      </c>
      <c r="D5849">
        <v>99150000</v>
      </c>
      <c r="E5849">
        <v>99154999</v>
      </c>
      <c r="F5849" t="s">
        <v>1857</v>
      </c>
      <c r="G5849" t="str">
        <f t="shared" si="182"/>
        <v>RSI</v>
      </c>
      <c r="H5849" t="s">
        <v>4915</v>
      </c>
      <c r="I5849" t="s">
        <v>20</v>
      </c>
      <c r="J5849" t="s">
        <v>62</v>
      </c>
      <c r="K5849" s="6">
        <v>0.03</v>
      </c>
      <c r="L5849" s="7">
        <f t="shared" si="183"/>
        <v>2E-3</v>
      </c>
      <c r="M5849" s="7">
        <v>3.0000000000000001E-3</v>
      </c>
      <c r="N5849">
        <v>9</v>
      </c>
      <c r="O5849" s="8">
        <v>17.509302802156309</v>
      </c>
      <c r="P5849" s="9">
        <v>17.509302802156309</v>
      </c>
      <c r="Q5849" s="9">
        <v>17.509302802156309</v>
      </c>
      <c r="R5849" s="9">
        <v>17.960073121579438</v>
      </c>
      <c r="S5849" s="9">
        <v>18.978426201825126</v>
      </c>
      <c r="T5849" s="9">
        <v>19.861619996324769</v>
      </c>
      <c r="U5849" s="9">
        <v>21.605211693624167</v>
      </c>
      <c r="V5849" s="9">
        <v>21.605211693624167</v>
      </c>
      <c r="W5849" s="9">
        <v>21.605211693624167</v>
      </c>
      <c r="X5849" s="9">
        <v>24.342346895578043</v>
      </c>
      <c r="Y5849" s="9">
        <v>24.342346895578043</v>
      </c>
      <c r="Z5849" s="9">
        <v>27.269806221922281</v>
      </c>
      <c r="AA5849" s="9">
        <v>27.269806221922281</v>
      </c>
      <c r="AB5849" s="9">
        <v>30.447232473217717</v>
      </c>
      <c r="AC5849" s="9">
        <v>30.447232473217717</v>
      </c>
      <c r="AD5849" s="9">
        <v>33.773696777878271</v>
      </c>
      <c r="AE5849" s="9">
        <v>37.668102449503657</v>
      </c>
      <c r="AF5849" s="9">
        <v>41.795656089883373</v>
      </c>
      <c r="AG5849" s="9">
        <v>41.795656089883373</v>
      </c>
      <c r="AH5849" s="9">
        <v>45.638668972740511</v>
      </c>
      <c r="AI5849" s="9">
        <v>49.380739592962819</v>
      </c>
      <c r="AJ5849" s="9">
        <v>3.0428788910505911</v>
      </c>
    </row>
    <row r="5850" spans="1:36" x14ac:dyDescent="0.25">
      <c r="A5850" t="s">
        <v>5411</v>
      </c>
      <c r="B5850" t="s">
        <v>16</v>
      </c>
      <c r="C5850" t="s">
        <v>17</v>
      </c>
      <c r="D5850">
        <v>99155000</v>
      </c>
      <c r="E5850">
        <v>99159999</v>
      </c>
      <c r="F5850" t="s">
        <v>5288</v>
      </c>
      <c r="G5850" t="str">
        <f t="shared" si="182"/>
        <v>RSI II</v>
      </c>
      <c r="H5850" t="s">
        <v>4915</v>
      </c>
      <c r="I5850" t="s">
        <v>20</v>
      </c>
      <c r="J5850" t="s">
        <v>64</v>
      </c>
      <c r="K5850" s="6">
        <v>0.03</v>
      </c>
      <c r="L5850" s="7">
        <f t="shared" si="183"/>
        <v>2E-3</v>
      </c>
      <c r="M5850" s="7">
        <v>3.0000000000000001E-3</v>
      </c>
      <c r="N5850">
        <v>11</v>
      </c>
      <c r="O5850" s="8">
        <v>20.328747193832452</v>
      </c>
      <c r="P5850" s="9">
        <v>20.328747193832452</v>
      </c>
      <c r="Q5850" s="9">
        <v>20.328747193832452</v>
      </c>
      <c r="R5850" s="9">
        <v>20.901467178587069</v>
      </c>
      <c r="S5850" s="9">
        <v>21.789694031871221</v>
      </c>
      <c r="T5850" s="9">
        <v>22.685842380093916</v>
      </c>
      <c r="U5850" s="9">
        <v>25.139615720574728</v>
      </c>
      <c r="V5850" s="9">
        <v>25.139615720574728</v>
      </c>
      <c r="W5850" s="9">
        <v>25.139615720574728</v>
      </c>
      <c r="X5850" s="9">
        <v>28.431126761040446</v>
      </c>
      <c r="Y5850" s="9">
        <v>28.431126761040446</v>
      </c>
      <c r="Z5850" s="9">
        <v>31.8133765751437</v>
      </c>
      <c r="AA5850" s="9">
        <v>31.8133765751437</v>
      </c>
      <c r="AB5850" s="9">
        <v>35.295439040248269</v>
      </c>
      <c r="AC5850" s="9">
        <v>35.295439040248269</v>
      </c>
      <c r="AD5850" s="9">
        <v>40.66038110622798</v>
      </c>
      <c r="AE5850" s="9">
        <v>44.145469767258199</v>
      </c>
      <c r="AF5850" s="9">
        <v>47.802065076832598</v>
      </c>
      <c r="AG5850" s="9">
        <v>47.802065076832598</v>
      </c>
      <c r="AH5850" s="9">
        <v>52.368463891218347</v>
      </c>
      <c r="AI5850" s="9">
        <v>56.090712435126555</v>
      </c>
      <c r="AJ5850" s="9">
        <v>3.0428788910505911</v>
      </c>
    </row>
    <row r="5851" spans="1:36" x14ac:dyDescent="0.25">
      <c r="A5851" t="s">
        <v>5411</v>
      </c>
      <c r="B5851" t="s">
        <v>16</v>
      </c>
      <c r="C5851" t="s">
        <v>17</v>
      </c>
      <c r="D5851">
        <v>99160000</v>
      </c>
      <c r="E5851">
        <v>99164999</v>
      </c>
      <c r="F5851" t="s">
        <v>5289</v>
      </c>
      <c r="G5851" t="str">
        <f t="shared" si="182"/>
        <v>RSI II</v>
      </c>
      <c r="H5851" t="s">
        <v>4915</v>
      </c>
      <c r="I5851" t="s">
        <v>20</v>
      </c>
      <c r="J5851" t="s">
        <v>64</v>
      </c>
      <c r="K5851" s="6">
        <v>0.03</v>
      </c>
      <c r="L5851" s="7">
        <f t="shared" si="183"/>
        <v>2E-3</v>
      </c>
      <c r="M5851" s="7">
        <v>3.0000000000000001E-3</v>
      </c>
      <c r="N5851">
        <v>11</v>
      </c>
      <c r="O5851" s="8">
        <v>20.328747193832452</v>
      </c>
      <c r="P5851" s="9">
        <v>20.328747193832452</v>
      </c>
      <c r="Q5851" s="9">
        <v>20.328747193832452</v>
      </c>
      <c r="R5851" s="9">
        <v>20.901467178587069</v>
      </c>
      <c r="S5851" s="9">
        <v>21.789694031871221</v>
      </c>
      <c r="T5851" s="9">
        <v>22.685842380093916</v>
      </c>
      <c r="U5851" s="9">
        <v>25.139615720574728</v>
      </c>
      <c r="V5851" s="9">
        <v>25.139615720574728</v>
      </c>
      <c r="W5851" s="9">
        <v>25.139615720574728</v>
      </c>
      <c r="X5851" s="9">
        <v>28.431126761040446</v>
      </c>
      <c r="Y5851" s="9">
        <v>28.431126761040446</v>
      </c>
      <c r="Z5851" s="9">
        <v>31.8133765751437</v>
      </c>
      <c r="AA5851" s="9">
        <v>31.8133765751437</v>
      </c>
      <c r="AB5851" s="9">
        <v>35.295439040248269</v>
      </c>
      <c r="AC5851" s="9">
        <v>35.295439040248269</v>
      </c>
      <c r="AD5851" s="9">
        <v>40.66038110622798</v>
      </c>
      <c r="AE5851" s="9">
        <v>44.145469767258199</v>
      </c>
      <c r="AF5851" s="9">
        <v>47.802065076832598</v>
      </c>
      <c r="AG5851" s="9">
        <v>47.802065076832598</v>
      </c>
      <c r="AH5851" s="9">
        <v>52.368463891218347</v>
      </c>
      <c r="AI5851" s="9">
        <v>56.090712435126555</v>
      </c>
      <c r="AJ5851" s="9">
        <v>3.0428788910505911</v>
      </c>
    </row>
    <row r="5852" spans="1:36" x14ac:dyDescent="0.25">
      <c r="A5852" t="s">
        <v>5411</v>
      </c>
      <c r="B5852" t="s">
        <v>16</v>
      </c>
      <c r="C5852" t="s">
        <v>17</v>
      </c>
      <c r="D5852">
        <v>99165000</v>
      </c>
      <c r="E5852">
        <v>99169999</v>
      </c>
      <c r="F5852" t="s">
        <v>5290</v>
      </c>
      <c r="G5852" t="str">
        <f t="shared" si="182"/>
        <v>RSI II</v>
      </c>
      <c r="H5852" t="s">
        <v>4915</v>
      </c>
      <c r="I5852" t="s">
        <v>20</v>
      </c>
      <c r="J5852" t="s">
        <v>64</v>
      </c>
      <c r="K5852" s="6">
        <v>0.03</v>
      </c>
      <c r="L5852" s="7">
        <f t="shared" si="183"/>
        <v>2E-3</v>
      </c>
      <c r="M5852" s="7">
        <v>3.0000000000000001E-3</v>
      </c>
      <c r="N5852">
        <v>11</v>
      </c>
      <c r="O5852" s="8">
        <v>20.328747193832452</v>
      </c>
      <c r="P5852" s="9">
        <v>20.328747193832452</v>
      </c>
      <c r="Q5852" s="9">
        <v>20.328747193832452</v>
      </c>
      <c r="R5852" s="9">
        <v>20.901467178587069</v>
      </c>
      <c r="S5852" s="9">
        <v>21.789694031871221</v>
      </c>
      <c r="T5852" s="9">
        <v>22.685842380093916</v>
      </c>
      <c r="U5852" s="9">
        <v>25.139615720574728</v>
      </c>
      <c r="V5852" s="9">
        <v>25.139615720574728</v>
      </c>
      <c r="W5852" s="9">
        <v>25.139615720574728</v>
      </c>
      <c r="X5852" s="9">
        <v>28.431126761040446</v>
      </c>
      <c r="Y5852" s="9">
        <v>28.431126761040446</v>
      </c>
      <c r="Z5852" s="9">
        <v>31.8133765751437</v>
      </c>
      <c r="AA5852" s="9">
        <v>31.8133765751437</v>
      </c>
      <c r="AB5852" s="9">
        <v>35.295439040248269</v>
      </c>
      <c r="AC5852" s="9">
        <v>35.295439040248269</v>
      </c>
      <c r="AD5852" s="9">
        <v>40.66038110622798</v>
      </c>
      <c r="AE5852" s="9">
        <v>44.145469767258199</v>
      </c>
      <c r="AF5852" s="9">
        <v>47.802065076832598</v>
      </c>
      <c r="AG5852" s="9">
        <v>47.802065076832598</v>
      </c>
      <c r="AH5852" s="9">
        <v>52.368463891218347</v>
      </c>
      <c r="AI5852" s="9">
        <v>56.090712435126555</v>
      </c>
      <c r="AJ5852" s="9">
        <v>3.0428788910505911</v>
      </c>
    </row>
    <row r="5853" spans="1:36" x14ac:dyDescent="0.25">
      <c r="A5853" t="s">
        <v>5411</v>
      </c>
      <c r="B5853" t="s">
        <v>16</v>
      </c>
      <c r="C5853" t="s">
        <v>17</v>
      </c>
      <c r="D5853">
        <v>99170000</v>
      </c>
      <c r="E5853">
        <v>99174999</v>
      </c>
      <c r="F5853" t="s">
        <v>5291</v>
      </c>
      <c r="G5853" t="str">
        <f t="shared" si="182"/>
        <v>RSI II</v>
      </c>
      <c r="H5853" t="s">
        <v>4915</v>
      </c>
      <c r="I5853" t="s">
        <v>20</v>
      </c>
      <c r="J5853" t="s">
        <v>64</v>
      </c>
      <c r="K5853" s="6">
        <v>0.03</v>
      </c>
      <c r="L5853" s="7">
        <f t="shared" si="183"/>
        <v>2E-3</v>
      </c>
      <c r="M5853" s="7">
        <v>3.0000000000000001E-3</v>
      </c>
      <c r="N5853">
        <v>11</v>
      </c>
      <c r="O5853" s="8">
        <v>20.328747193832452</v>
      </c>
      <c r="P5853" s="9">
        <v>20.328747193832452</v>
      </c>
      <c r="Q5853" s="9">
        <v>20.328747193832452</v>
      </c>
      <c r="R5853" s="9">
        <v>20.901467178587069</v>
      </c>
      <c r="S5853" s="9">
        <v>21.789694031871221</v>
      </c>
      <c r="T5853" s="9">
        <v>22.685842380093916</v>
      </c>
      <c r="U5853" s="9">
        <v>25.139615720574728</v>
      </c>
      <c r="V5853" s="9">
        <v>25.139615720574728</v>
      </c>
      <c r="W5853" s="9">
        <v>25.139615720574728</v>
      </c>
      <c r="X5853" s="9">
        <v>28.431126761040446</v>
      </c>
      <c r="Y5853" s="9">
        <v>28.431126761040446</v>
      </c>
      <c r="Z5853" s="9">
        <v>31.8133765751437</v>
      </c>
      <c r="AA5853" s="9">
        <v>31.8133765751437</v>
      </c>
      <c r="AB5853" s="9">
        <v>35.295439040248269</v>
      </c>
      <c r="AC5853" s="9">
        <v>35.295439040248269</v>
      </c>
      <c r="AD5853" s="9">
        <v>40.66038110622798</v>
      </c>
      <c r="AE5853" s="9">
        <v>44.145469767258199</v>
      </c>
      <c r="AF5853" s="9">
        <v>47.802065076832598</v>
      </c>
      <c r="AG5853" s="9">
        <v>47.802065076832598</v>
      </c>
      <c r="AH5853" s="9">
        <v>52.368463891218347</v>
      </c>
      <c r="AI5853" s="9">
        <v>56.090712435126555</v>
      </c>
      <c r="AJ5853" s="9">
        <v>3.0428788910505911</v>
      </c>
    </row>
    <row r="5854" spans="1:36" x14ac:dyDescent="0.25">
      <c r="A5854" t="s">
        <v>5411</v>
      </c>
      <c r="B5854" t="s">
        <v>16</v>
      </c>
      <c r="C5854" t="s">
        <v>17</v>
      </c>
      <c r="D5854">
        <v>99175000</v>
      </c>
      <c r="E5854">
        <v>99179999</v>
      </c>
      <c r="F5854" t="s">
        <v>5292</v>
      </c>
      <c r="G5854" t="str">
        <f t="shared" si="182"/>
        <v>RSI II</v>
      </c>
      <c r="H5854" t="s">
        <v>4915</v>
      </c>
      <c r="I5854" t="s">
        <v>20</v>
      </c>
      <c r="J5854" t="s">
        <v>64</v>
      </c>
      <c r="K5854" s="6">
        <v>0.03</v>
      </c>
      <c r="L5854" s="7">
        <f t="shared" si="183"/>
        <v>2E-3</v>
      </c>
      <c r="M5854" s="7">
        <v>3.0000000000000001E-3</v>
      </c>
      <c r="N5854">
        <v>11</v>
      </c>
      <c r="O5854" s="8">
        <v>20.328747193832452</v>
      </c>
      <c r="P5854" s="9">
        <v>20.328747193832452</v>
      </c>
      <c r="Q5854" s="9">
        <v>20.328747193832452</v>
      </c>
      <c r="R5854" s="9">
        <v>20.901467178587069</v>
      </c>
      <c r="S5854" s="9">
        <v>21.789694031871221</v>
      </c>
      <c r="T5854" s="9">
        <v>22.685842380093916</v>
      </c>
      <c r="U5854" s="9">
        <v>25.139615720574728</v>
      </c>
      <c r="V5854" s="9">
        <v>25.139615720574728</v>
      </c>
      <c r="W5854" s="9">
        <v>25.139615720574728</v>
      </c>
      <c r="X5854" s="9">
        <v>28.431126761040446</v>
      </c>
      <c r="Y5854" s="9">
        <v>28.431126761040446</v>
      </c>
      <c r="Z5854" s="9">
        <v>31.8133765751437</v>
      </c>
      <c r="AA5854" s="9">
        <v>31.8133765751437</v>
      </c>
      <c r="AB5854" s="9">
        <v>35.295439040248269</v>
      </c>
      <c r="AC5854" s="9">
        <v>35.295439040248269</v>
      </c>
      <c r="AD5854" s="9">
        <v>40.66038110622798</v>
      </c>
      <c r="AE5854" s="9">
        <v>44.145469767258199</v>
      </c>
      <c r="AF5854" s="9">
        <v>47.802065076832598</v>
      </c>
      <c r="AG5854" s="9">
        <v>47.802065076832598</v>
      </c>
      <c r="AH5854" s="9">
        <v>52.368463891218347</v>
      </c>
      <c r="AI5854" s="9">
        <v>56.090712435126555</v>
      </c>
      <c r="AJ5854" s="9">
        <v>3.0428788910505911</v>
      </c>
    </row>
    <row r="5855" spans="1:36" x14ac:dyDescent="0.25">
      <c r="A5855" t="s">
        <v>5411</v>
      </c>
      <c r="B5855" t="s">
        <v>16</v>
      </c>
      <c r="C5855" t="s">
        <v>17</v>
      </c>
      <c r="D5855">
        <v>99180000</v>
      </c>
      <c r="E5855">
        <v>99189999</v>
      </c>
      <c r="F5855" t="s">
        <v>5293</v>
      </c>
      <c r="G5855" t="str">
        <f t="shared" si="182"/>
        <v>RSI II</v>
      </c>
      <c r="H5855" t="s">
        <v>4915</v>
      </c>
      <c r="I5855" t="s">
        <v>20</v>
      </c>
      <c r="J5855" t="s">
        <v>64</v>
      </c>
      <c r="K5855" s="6">
        <v>0.03</v>
      </c>
      <c r="L5855" s="7">
        <f t="shared" si="183"/>
        <v>2E-3</v>
      </c>
      <c r="M5855" s="7">
        <v>3.0000000000000001E-3</v>
      </c>
      <c r="N5855">
        <v>11</v>
      </c>
      <c r="O5855" s="8">
        <v>20.328747193832452</v>
      </c>
      <c r="P5855" s="9">
        <v>20.328747193832452</v>
      </c>
      <c r="Q5855" s="9">
        <v>20.328747193832452</v>
      </c>
      <c r="R5855" s="9">
        <v>20.901467178587069</v>
      </c>
      <c r="S5855" s="9">
        <v>21.789694031871221</v>
      </c>
      <c r="T5855" s="9">
        <v>22.685842380093916</v>
      </c>
      <c r="U5855" s="9">
        <v>25.139615720574728</v>
      </c>
      <c r="V5855" s="9">
        <v>25.139615720574728</v>
      </c>
      <c r="W5855" s="9">
        <v>25.139615720574728</v>
      </c>
      <c r="X5855" s="9">
        <v>28.431126761040446</v>
      </c>
      <c r="Y5855" s="9">
        <v>28.431126761040446</v>
      </c>
      <c r="Z5855" s="9">
        <v>31.8133765751437</v>
      </c>
      <c r="AA5855" s="9">
        <v>31.8133765751437</v>
      </c>
      <c r="AB5855" s="9">
        <v>35.295439040248269</v>
      </c>
      <c r="AC5855" s="9">
        <v>35.295439040248269</v>
      </c>
      <c r="AD5855" s="9">
        <v>40.66038110622798</v>
      </c>
      <c r="AE5855" s="9">
        <v>44.145469767258199</v>
      </c>
      <c r="AF5855" s="9">
        <v>47.802065076832598</v>
      </c>
      <c r="AG5855" s="9">
        <v>47.802065076832598</v>
      </c>
      <c r="AH5855" s="9">
        <v>52.368463891218347</v>
      </c>
      <c r="AI5855" s="9">
        <v>56.090712435126555</v>
      </c>
      <c r="AJ5855" s="9">
        <v>3.0428788910505911</v>
      </c>
    </row>
    <row r="5856" spans="1:36" x14ac:dyDescent="0.25">
      <c r="A5856" t="s">
        <v>5411</v>
      </c>
      <c r="B5856" t="s">
        <v>16</v>
      </c>
      <c r="C5856" t="s">
        <v>17</v>
      </c>
      <c r="D5856">
        <v>99190000</v>
      </c>
      <c r="E5856">
        <v>99199999</v>
      </c>
      <c r="F5856" t="s">
        <v>5294</v>
      </c>
      <c r="G5856" t="str">
        <f t="shared" si="182"/>
        <v>RSI II</v>
      </c>
      <c r="H5856" t="s">
        <v>4915</v>
      </c>
      <c r="I5856" t="s">
        <v>20</v>
      </c>
      <c r="J5856" t="s">
        <v>64</v>
      </c>
      <c r="K5856" s="6">
        <v>0.03</v>
      </c>
      <c r="L5856" s="7">
        <f t="shared" si="183"/>
        <v>2E-3</v>
      </c>
      <c r="M5856" s="7">
        <v>3.0000000000000001E-3</v>
      </c>
      <c r="N5856">
        <v>11</v>
      </c>
      <c r="O5856" s="8">
        <v>20.328747193832452</v>
      </c>
      <c r="P5856" s="9">
        <v>20.328747193832452</v>
      </c>
      <c r="Q5856" s="9">
        <v>20.328747193832452</v>
      </c>
      <c r="R5856" s="9">
        <v>20.901467178587069</v>
      </c>
      <c r="S5856" s="9">
        <v>21.789694031871221</v>
      </c>
      <c r="T5856" s="9">
        <v>22.685842380093916</v>
      </c>
      <c r="U5856" s="9">
        <v>25.139615720574728</v>
      </c>
      <c r="V5856" s="9">
        <v>25.139615720574728</v>
      </c>
      <c r="W5856" s="9">
        <v>25.139615720574728</v>
      </c>
      <c r="X5856" s="9">
        <v>28.431126761040446</v>
      </c>
      <c r="Y5856" s="9">
        <v>28.431126761040446</v>
      </c>
      <c r="Z5856" s="9">
        <v>31.8133765751437</v>
      </c>
      <c r="AA5856" s="9">
        <v>31.8133765751437</v>
      </c>
      <c r="AB5856" s="9">
        <v>35.295439040248269</v>
      </c>
      <c r="AC5856" s="9">
        <v>35.295439040248269</v>
      </c>
      <c r="AD5856" s="9">
        <v>40.66038110622798</v>
      </c>
      <c r="AE5856" s="9">
        <v>44.145469767258199</v>
      </c>
      <c r="AF5856" s="9">
        <v>47.802065076832598</v>
      </c>
      <c r="AG5856" s="9">
        <v>47.802065076832598</v>
      </c>
      <c r="AH5856" s="9">
        <v>52.368463891218347</v>
      </c>
      <c r="AI5856" s="9">
        <v>56.090712435126555</v>
      </c>
      <c r="AJ5856" s="9">
        <v>3.0428788910505911</v>
      </c>
    </row>
    <row r="5857" spans="1:36" x14ac:dyDescent="0.25">
      <c r="A5857" t="s">
        <v>5411</v>
      </c>
      <c r="B5857" t="s">
        <v>16</v>
      </c>
      <c r="C5857" t="s">
        <v>17</v>
      </c>
      <c r="D5857">
        <v>99200000</v>
      </c>
      <c r="E5857">
        <v>99214999</v>
      </c>
      <c r="F5857" t="s">
        <v>5295</v>
      </c>
      <c r="G5857" t="str">
        <f t="shared" si="182"/>
        <v>RSI II</v>
      </c>
      <c r="H5857" t="s">
        <v>4915</v>
      </c>
      <c r="I5857" t="s">
        <v>20</v>
      </c>
      <c r="J5857" t="s">
        <v>64</v>
      </c>
      <c r="K5857" s="6">
        <v>0.03</v>
      </c>
      <c r="L5857" s="7">
        <f t="shared" si="183"/>
        <v>2E-3</v>
      </c>
      <c r="M5857" s="7">
        <v>3.0000000000000001E-3</v>
      </c>
      <c r="N5857">
        <v>11</v>
      </c>
      <c r="O5857" s="8">
        <v>20.328747193832452</v>
      </c>
      <c r="P5857" s="9">
        <v>20.328747193832452</v>
      </c>
      <c r="Q5857" s="9">
        <v>20.328747193832452</v>
      </c>
      <c r="R5857" s="9">
        <v>20.901467178587069</v>
      </c>
      <c r="S5857" s="9">
        <v>21.789694031871221</v>
      </c>
      <c r="T5857" s="9">
        <v>22.685842380093916</v>
      </c>
      <c r="U5857" s="9">
        <v>25.139615720574728</v>
      </c>
      <c r="V5857" s="9">
        <v>25.139615720574728</v>
      </c>
      <c r="W5857" s="9">
        <v>25.139615720574728</v>
      </c>
      <c r="X5857" s="9">
        <v>28.431126761040446</v>
      </c>
      <c r="Y5857" s="9">
        <v>28.431126761040446</v>
      </c>
      <c r="Z5857" s="9">
        <v>31.8133765751437</v>
      </c>
      <c r="AA5857" s="9">
        <v>31.8133765751437</v>
      </c>
      <c r="AB5857" s="9">
        <v>35.295439040248269</v>
      </c>
      <c r="AC5857" s="9">
        <v>35.295439040248269</v>
      </c>
      <c r="AD5857" s="9">
        <v>40.66038110622798</v>
      </c>
      <c r="AE5857" s="9">
        <v>44.145469767258199</v>
      </c>
      <c r="AF5857" s="9">
        <v>47.802065076832598</v>
      </c>
      <c r="AG5857" s="9">
        <v>47.802065076832598</v>
      </c>
      <c r="AH5857" s="9">
        <v>52.368463891218347</v>
      </c>
      <c r="AI5857" s="9">
        <v>56.090712435126555</v>
      </c>
      <c r="AJ5857" s="9">
        <v>3.0428788910505911</v>
      </c>
    </row>
    <row r="5858" spans="1:36" x14ac:dyDescent="0.25">
      <c r="A5858" t="s">
        <v>5411</v>
      </c>
      <c r="B5858" t="s">
        <v>16</v>
      </c>
      <c r="C5858" t="s">
        <v>17</v>
      </c>
      <c r="D5858">
        <v>99215000</v>
      </c>
      <c r="E5858">
        <v>99219999</v>
      </c>
      <c r="F5858" t="s">
        <v>5296</v>
      </c>
      <c r="G5858" t="str">
        <f t="shared" si="182"/>
        <v>RSI II</v>
      </c>
      <c r="H5858" t="s">
        <v>4915</v>
      </c>
      <c r="I5858" t="s">
        <v>20</v>
      </c>
      <c r="J5858" t="s">
        <v>64</v>
      </c>
      <c r="K5858" s="6">
        <v>0.03</v>
      </c>
      <c r="L5858" s="7">
        <f t="shared" si="183"/>
        <v>2E-3</v>
      </c>
      <c r="M5858" s="7">
        <v>3.0000000000000001E-3</v>
      </c>
      <c r="N5858">
        <v>11</v>
      </c>
      <c r="O5858" s="8">
        <v>20.328747193832452</v>
      </c>
      <c r="P5858" s="9">
        <v>20.328747193832452</v>
      </c>
      <c r="Q5858" s="9">
        <v>20.328747193832452</v>
      </c>
      <c r="R5858" s="9">
        <v>20.901467178587069</v>
      </c>
      <c r="S5858" s="9">
        <v>21.789694031871221</v>
      </c>
      <c r="T5858" s="9">
        <v>22.685842380093916</v>
      </c>
      <c r="U5858" s="9">
        <v>25.139615720574728</v>
      </c>
      <c r="V5858" s="9">
        <v>25.139615720574728</v>
      </c>
      <c r="W5858" s="9">
        <v>25.139615720574728</v>
      </c>
      <c r="X5858" s="9">
        <v>28.431126761040446</v>
      </c>
      <c r="Y5858" s="9">
        <v>28.431126761040446</v>
      </c>
      <c r="Z5858" s="9">
        <v>31.8133765751437</v>
      </c>
      <c r="AA5858" s="9">
        <v>31.8133765751437</v>
      </c>
      <c r="AB5858" s="9">
        <v>35.295439040248269</v>
      </c>
      <c r="AC5858" s="9">
        <v>35.295439040248269</v>
      </c>
      <c r="AD5858" s="9">
        <v>40.66038110622798</v>
      </c>
      <c r="AE5858" s="9">
        <v>44.145469767258199</v>
      </c>
      <c r="AF5858" s="9">
        <v>47.802065076832598</v>
      </c>
      <c r="AG5858" s="9">
        <v>47.802065076832598</v>
      </c>
      <c r="AH5858" s="9">
        <v>52.368463891218347</v>
      </c>
      <c r="AI5858" s="9">
        <v>56.090712435126555</v>
      </c>
      <c r="AJ5858" s="9">
        <v>3.0428788910505911</v>
      </c>
    </row>
    <row r="5859" spans="1:36" x14ac:dyDescent="0.25">
      <c r="A5859" t="s">
        <v>5411</v>
      </c>
      <c r="B5859" t="s">
        <v>16</v>
      </c>
      <c r="C5859" t="s">
        <v>17</v>
      </c>
      <c r="D5859">
        <v>99220000</v>
      </c>
      <c r="E5859">
        <v>99239999</v>
      </c>
      <c r="F5859" t="s">
        <v>5297</v>
      </c>
      <c r="G5859" t="str">
        <f t="shared" si="182"/>
        <v>RSI II</v>
      </c>
      <c r="H5859" t="s">
        <v>4915</v>
      </c>
      <c r="I5859" t="s">
        <v>20</v>
      </c>
      <c r="J5859" t="s">
        <v>64</v>
      </c>
      <c r="K5859" s="6">
        <v>0.03</v>
      </c>
      <c r="L5859" s="7">
        <f t="shared" si="183"/>
        <v>2E-3</v>
      </c>
      <c r="M5859" s="7">
        <v>3.0000000000000001E-3</v>
      </c>
      <c r="N5859">
        <v>11</v>
      </c>
      <c r="O5859" s="8">
        <v>20.328747193832452</v>
      </c>
      <c r="P5859" s="9">
        <v>20.328747193832452</v>
      </c>
      <c r="Q5859" s="9">
        <v>20.328747193832452</v>
      </c>
      <c r="R5859" s="9">
        <v>20.901467178587069</v>
      </c>
      <c r="S5859" s="9">
        <v>21.789694031871221</v>
      </c>
      <c r="T5859" s="9">
        <v>22.685842380093916</v>
      </c>
      <c r="U5859" s="9">
        <v>25.139615720574728</v>
      </c>
      <c r="V5859" s="9">
        <v>25.139615720574728</v>
      </c>
      <c r="W5859" s="9">
        <v>25.139615720574728</v>
      </c>
      <c r="X5859" s="9">
        <v>28.431126761040446</v>
      </c>
      <c r="Y5859" s="9">
        <v>28.431126761040446</v>
      </c>
      <c r="Z5859" s="9">
        <v>31.8133765751437</v>
      </c>
      <c r="AA5859" s="9">
        <v>31.8133765751437</v>
      </c>
      <c r="AB5859" s="9">
        <v>35.295439040248269</v>
      </c>
      <c r="AC5859" s="9">
        <v>35.295439040248269</v>
      </c>
      <c r="AD5859" s="9">
        <v>40.66038110622798</v>
      </c>
      <c r="AE5859" s="9">
        <v>44.145469767258199</v>
      </c>
      <c r="AF5859" s="9">
        <v>47.802065076832598</v>
      </c>
      <c r="AG5859" s="9">
        <v>47.802065076832598</v>
      </c>
      <c r="AH5859" s="9">
        <v>52.368463891218347</v>
      </c>
      <c r="AI5859" s="9">
        <v>56.090712435126555</v>
      </c>
      <c r="AJ5859" s="9">
        <v>3.0428788910505911</v>
      </c>
    </row>
    <row r="5860" spans="1:36" x14ac:dyDescent="0.25">
      <c r="A5860" t="s">
        <v>5411</v>
      </c>
      <c r="B5860" t="s">
        <v>16</v>
      </c>
      <c r="C5860" t="s">
        <v>17</v>
      </c>
      <c r="D5860">
        <v>99240000</v>
      </c>
      <c r="E5860">
        <v>99249999</v>
      </c>
      <c r="F5860" t="s">
        <v>5298</v>
      </c>
      <c r="G5860" t="str">
        <f t="shared" si="182"/>
        <v>RSI II</v>
      </c>
      <c r="H5860" t="s">
        <v>4915</v>
      </c>
      <c r="I5860" t="s">
        <v>20</v>
      </c>
      <c r="J5860" t="s">
        <v>64</v>
      </c>
      <c r="K5860" s="6">
        <v>0.03</v>
      </c>
      <c r="L5860" s="7">
        <f t="shared" si="183"/>
        <v>2E-3</v>
      </c>
      <c r="M5860" s="7">
        <v>3.0000000000000001E-3</v>
      </c>
      <c r="N5860">
        <v>11</v>
      </c>
      <c r="O5860" s="8">
        <v>20.328747193832452</v>
      </c>
      <c r="P5860" s="9">
        <v>20.328747193832452</v>
      </c>
      <c r="Q5860" s="9">
        <v>20.328747193832452</v>
      </c>
      <c r="R5860" s="9">
        <v>20.901467178587069</v>
      </c>
      <c r="S5860" s="9">
        <v>21.789694031871221</v>
      </c>
      <c r="T5860" s="9">
        <v>22.685842380093916</v>
      </c>
      <c r="U5860" s="9">
        <v>25.139615720574728</v>
      </c>
      <c r="V5860" s="9">
        <v>25.139615720574728</v>
      </c>
      <c r="W5860" s="9">
        <v>25.139615720574728</v>
      </c>
      <c r="X5860" s="9">
        <v>28.431126761040446</v>
      </c>
      <c r="Y5860" s="9">
        <v>28.431126761040446</v>
      </c>
      <c r="Z5860" s="9">
        <v>31.8133765751437</v>
      </c>
      <c r="AA5860" s="9">
        <v>31.8133765751437</v>
      </c>
      <c r="AB5860" s="9">
        <v>35.295439040248269</v>
      </c>
      <c r="AC5860" s="9">
        <v>35.295439040248269</v>
      </c>
      <c r="AD5860" s="9">
        <v>40.66038110622798</v>
      </c>
      <c r="AE5860" s="9">
        <v>44.145469767258199</v>
      </c>
      <c r="AF5860" s="9">
        <v>47.802065076832598</v>
      </c>
      <c r="AG5860" s="9">
        <v>47.802065076832598</v>
      </c>
      <c r="AH5860" s="9">
        <v>52.368463891218347</v>
      </c>
      <c r="AI5860" s="9">
        <v>56.090712435126555</v>
      </c>
      <c r="AJ5860" s="9">
        <v>3.0428788910505911</v>
      </c>
    </row>
    <row r="5861" spans="1:36" x14ac:dyDescent="0.25">
      <c r="A5861" t="s">
        <v>5411</v>
      </c>
      <c r="B5861" t="s">
        <v>16</v>
      </c>
      <c r="C5861" t="s">
        <v>17</v>
      </c>
      <c r="D5861">
        <v>99250000</v>
      </c>
      <c r="E5861">
        <v>99254999</v>
      </c>
      <c r="F5861" t="s">
        <v>5299</v>
      </c>
      <c r="G5861" t="str">
        <f t="shared" si="182"/>
        <v>RSI II</v>
      </c>
      <c r="H5861" t="s">
        <v>4915</v>
      </c>
      <c r="I5861" t="s">
        <v>20</v>
      </c>
      <c r="J5861" t="s">
        <v>64</v>
      </c>
      <c r="K5861" s="6">
        <v>0.03</v>
      </c>
      <c r="L5861" s="7">
        <f t="shared" si="183"/>
        <v>2E-3</v>
      </c>
      <c r="M5861" s="7">
        <v>3.0000000000000001E-3</v>
      </c>
      <c r="N5861">
        <v>11</v>
      </c>
      <c r="O5861" s="8">
        <v>20.328747193832452</v>
      </c>
      <c r="P5861" s="9">
        <v>20.328747193832452</v>
      </c>
      <c r="Q5861" s="9">
        <v>20.328747193832452</v>
      </c>
      <c r="R5861" s="9">
        <v>20.901467178587069</v>
      </c>
      <c r="S5861" s="9">
        <v>21.789694031871221</v>
      </c>
      <c r="T5861" s="9">
        <v>22.685842380093916</v>
      </c>
      <c r="U5861" s="9">
        <v>25.139615720574728</v>
      </c>
      <c r="V5861" s="9">
        <v>25.139615720574728</v>
      </c>
      <c r="W5861" s="9">
        <v>25.139615720574728</v>
      </c>
      <c r="X5861" s="9">
        <v>28.431126761040446</v>
      </c>
      <c r="Y5861" s="9">
        <v>28.431126761040446</v>
      </c>
      <c r="Z5861" s="9">
        <v>31.8133765751437</v>
      </c>
      <c r="AA5861" s="9">
        <v>31.8133765751437</v>
      </c>
      <c r="AB5861" s="9">
        <v>35.295439040248269</v>
      </c>
      <c r="AC5861" s="9">
        <v>35.295439040248269</v>
      </c>
      <c r="AD5861" s="9">
        <v>40.66038110622798</v>
      </c>
      <c r="AE5861" s="9">
        <v>44.145469767258199</v>
      </c>
      <c r="AF5861" s="9">
        <v>47.802065076832598</v>
      </c>
      <c r="AG5861" s="9">
        <v>47.802065076832598</v>
      </c>
      <c r="AH5861" s="9">
        <v>52.368463891218347</v>
      </c>
      <c r="AI5861" s="9">
        <v>56.090712435126555</v>
      </c>
      <c r="AJ5861" s="9">
        <v>3.0428788910505911</v>
      </c>
    </row>
    <row r="5862" spans="1:36" x14ac:dyDescent="0.25">
      <c r="A5862" t="s">
        <v>5411</v>
      </c>
      <c r="B5862" t="s">
        <v>16</v>
      </c>
      <c r="C5862" t="s">
        <v>17</v>
      </c>
      <c r="D5862">
        <v>99255000</v>
      </c>
      <c r="E5862">
        <v>99259999</v>
      </c>
      <c r="F5862" t="s">
        <v>5300</v>
      </c>
      <c r="G5862" t="str">
        <f t="shared" si="182"/>
        <v>RSI II</v>
      </c>
      <c r="H5862" t="s">
        <v>4915</v>
      </c>
      <c r="I5862" t="s">
        <v>20</v>
      </c>
      <c r="J5862" t="s">
        <v>64</v>
      </c>
      <c r="K5862" s="6">
        <v>0.03</v>
      </c>
      <c r="L5862" s="7">
        <f t="shared" si="183"/>
        <v>2E-3</v>
      </c>
      <c r="M5862" s="7">
        <v>3.0000000000000001E-3</v>
      </c>
      <c r="N5862">
        <v>11</v>
      </c>
      <c r="O5862" s="8">
        <v>20.328747193832452</v>
      </c>
      <c r="P5862" s="9">
        <v>20.328747193832452</v>
      </c>
      <c r="Q5862" s="9">
        <v>20.328747193832452</v>
      </c>
      <c r="R5862" s="9">
        <v>20.901467178587069</v>
      </c>
      <c r="S5862" s="9">
        <v>21.789694031871221</v>
      </c>
      <c r="T5862" s="9">
        <v>22.685842380093916</v>
      </c>
      <c r="U5862" s="9">
        <v>25.139615720574728</v>
      </c>
      <c r="V5862" s="9">
        <v>25.139615720574728</v>
      </c>
      <c r="W5862" s="9">
        <v>25.139615720574728</v>
      </c>
      <c r="X5862" s="9">
        <v>28.431126761040446</v>
      </c>
      <c r="Y5862" s="9">
        <v>28.431126761040446</v>
      </c>
      <c r="Z5862" s="9">
        <v>31.8133765751437</v>
      </c>
      <c r="AA5862" s="9">
        <v>31.8133765751437</v>
      </c>
      <c r="AB5862" s="9">
        <v>35.295439040248269</v>
      </c>
      <c r="AC5862" s="9">
        <v>35.295439040248269</v>
      </c>
      <c r="AD5862" s="9">
        <v>40.66038110622798</v>
      </c>
      <c r="AE5862" s="9">
        <v>44.145469767258199</v>
      </c>
      <c r="AF5862" s="9">
        <v>47.802065076832598</v>
      </c>
      <c r="AG5862" s="9">
        <v>47.802065076832598</v>
      </c>
      <c r="AH5862" s="9">
        <v>52.368463891218347</v>
      </c>
      <c r="AI5862" s="9">
        <v>56.090712435126555</v>
      </c>
      <c r="AJ5862" s="9">
        <v>3.0428788910505911</v>
      </c>
    </row>
    <row r="5863" spans="1:36" x14ac:dyDescent="0.25">
      <c r="A5863" t="s">
        <v>5411</v>
      </c>
      <c r="B5863" t="s">
        <v>16</v>
      </c>
      <c r="C5863" t="s">
        <v>17</v>
      </c>
      <c r="D5863">
        <v>99260000</v>
      </c>
      <c r="E5863">
        <v>99264999</v>
      </c>
      <c r="F5863" t="s">
        <v>5301</v>
      </c>
      <c r="G5863" t="str">
        <f t="shared" si="182"/>
        <v>RSI II</v>
      </c>
      <c r="H5863" t="s">
        <v>4915</v>
      </c>
      <c r="I5863" t="s">
        <v>20</v>
      </c>
      <c r="J5863" t="s">
        <v>64</v>
      </c>
      <c r="K5863" s="6">
        <v>0.03</v>
      </c>
      <c r="L5863" s="7">
        <f t="shared" si="183"/>
        <v>2E-3</v>
      </c>
      <c r="M5863" s="7">
        <v>3.0000000000000001E-3</v>
      </c>
      <c r="N5863">
        <v>11</v>
      </c>
      <c r="O5863" s="8">
        <v>20.328747193832452</v>
      </c>
      <c r="P5863" s="9">
        <v>20.328747193832452</v>
      </c>
      <c r="Q5863" s="9">
        <v>20.328747193832452</v>
      </c>
      <c r="R5863" s="9">
        <v>20.901467178587069</v>
      </c>
      <c r="S5863" s="9">
        <v>21.789694031871221</v>
      </c>
      <c r="T5863" s="9">
        <v>22.685842380093916</v>
      </c>
      <c r="U5863" s="9">
        <v>25.139615720574728</v>
      </c>
      <c r="V5863" s="9">
        <v>25.139615720574728</v>
      </c>
      <c r="W5863" s="9">
        <v>25.139615720574728</v>
      </c>
      <c r="X5863" s="9">
        <v>28.431126761040446</v>
      </c>
      <c r="Y5863" s="9">
        <v>28.431126761040446</v>
      </c>
      <c r="Z5863" s="9">
        <v>31.8133765751437</v>
      </c>
      <c r="AA5863" s="9">
        <v>31.8133765751437</v>
      </c>
      <c r="AB5863" s="9">
        <v>35.295439040248269</v>
      </c>
      <c r="AC5863" s="9">
        <v>35.295439040248269</v>
      </c>
      <c r="AD5863" s="9">
        <v>40.66038110622798</v>
      </c>
      <c r="AE5863" s="9">
        <v>44.145469767258199</v>
      </c>
      <c r="AF5863" s="9">
        <v>47.802065076832598</v>
      </c>
      <c r="AG5863" s="9">
        <v>47.802065076832598</v>
      </c>
      <c r="AH5863" s="9">
        <v>52.368463891218347</v>
      </c>
      <c r="AI5863" s="9">
        <v>56.090712435126555</v>
      </c>
      <c r="AJ5863" s="9">
        <v>3.0428788910505911</v>
      </c>
    </row>
    <row r="5864" spans="1:36" x14ac:dyDescent="0.25">
      <c r="A5864" t="s">
        <v>5411</v>
      </c>
      <c r="B5864" t="s">
        <v>16</v>
      </c>
      <c r="C5864" t="s">
        <v>17</v>
      </c>
      <c r="D5864">
        <v>99265000</v>
      </c>
      <c r="E5864">
        <v>99269999</v>
      </c>
      <c r="F5864" t="s">
        <v>5302</v>
      </c>
      <c r="G5864" t="str">
        <f t="shared" si="182"/>
        <v>RSI II</v>
      </c>
      <c r="H5864" t="s">
        <v>4915</v>
      </c>
      <c r="I5864" t="s">
        <v>20</v>
      </c>
      <c r="J5864" t="s">
        <v>64</v>
      </c>
      <c r="K5864" s="6">
        <v>0.03</v>
      </c>
      <c r="L5864" s="7">
        <f t="shared" si="183"/>
        <v>2E-3</v>
      </c>
      <c r="M5864" s="7">
        <v>3.0000000000000001E-3</v>
      </c>
      <c r="N5864">
        <v>11</v>
      </c>
      <c r="O5864" s="8">
        <v>20.328747193832452</v>
      </c>
      <c r="P5864" s="9">
        <v>20.328747193832452</v>
      </c>
      <c r="Q5864" s="9">
        <v>20.328747193832452</v>
      </c>
      <c r="R5864" s="9">
        <v>20.901467178587069</v>
      </c>
      <c r="S5864" s="9">
        <v>21.789694031871221</v>
      </c>
      <c r="T5864" s="9">
        <v>22.685842380093916</v>
      </c>
      <c r="U5864" s="9">
        <v>25.139615720574728</v>
      </c>
      <c r="V5864" s="9">
        <v>25.139615720574728</v>
      </c>
      <c r="W5864" s="9">
        <v>25.139615720574728</v>
      </c>
      <c r="X5864" s="9">
        <v>28.431126761040446</v>
      </c>
      <c r="Y5864" s="9">
        <v>28.431126761040446</v>
      </c>
      <c r="Z5864" s="9">
        <v>31.8133765751437</v>
      </c>
      <c r="AA5864" s="9">
        <v>31.8133765751437</v>
      </c>
      <c r="AB5864" s="9">
        <v>35.295439040248269</v>
      </c>
      <c r="AC5864" s="9">
        <v>35.295439040248269</v>
      </c>
      <c r="AD5864" s="9">
        <v>40.66038110622798</v>
      </c>
      <c r="AE5864" s="9">
        <v>44.145469767258199</v>
      </c>
      <c r="AF5864" s="9">
        <v>47.802065076832598</v>
      </c>
      <c r="AG5864" s="9">
        <v>47.802065076832598</v>
      </c>
      <c r="AH5864" s="9">
        <v>52.368463891218347</v>
      </c>
      <c r="AI5864" s="9">
        <v>56.090712435126555</v>
      </c>
      <c r="AJ5864" s="9">
        <v>3.0428788910505911</v>
      </c>
    </row>
    <row r="5865" spans="1:36" x14ac:dyDescent="0.25">
      <c r="A5865" t="s">
        <v>5411</v>
      </c>
      <c r="B5865" t="s">
        <v>16</v>
      </c>
      <c r="C5865" t="s">
        <v>17</v>
      </c>
      <c r="D5865">
        <v>99270000</v>
      </c>
      <c r="E5865">
        <v>99289999</v>
      </c>
      <c r="F5865" t="s">
        <v>5303</v>
      </c>
      <c r="G5865" t="str">
        <f t="shared" si="182"/>
        <v>RSI II</v>
      </c>
      <c r="H5865" t="s">
        <v>4915</v>
      </c>
      <c r="I5865" t="s">
        <v>20</v>
      </c>
      <c r="J5865" t="s">
        <v>64</v>
      </c>
      <c r="K5865" s="6">
        <v>0.03</v>
      </c>
      <c r="L5865" s="7">
        <f t="shared" si="183"/>
        <v>2E-3</v>
      </c>
      <c r="M5865" s="7">
        <v>3.0000000000000001E-3</v>
      </c>
      <c r="N5865">
        <v>11</v>
      </c>
      <c r="O5865" s="8">
        <v>20.328747193832452</v>
      </c>
      <c r="P5865" s="9">
        <v>20.328747193832452</v>
      </c>
      <c r="Q5865" s="9">
        <v>20.328747193832452</v>
      </c>
      <c r="R5865" s="9">
        <v>20.901467178587069</v>
      </c>
      <c r="S5865" s="9">
        <v>21.789694031871221</v>
      </c>
      <c r="T5865" s="9">
        <v>22.685842380093916</v>
      </c>
      <c r="U5865" s="9">
        <v>25.139615720574728</v>
      </c>
      <c r="V5865" s="9">
        <v>25.139615720574728</v>
      </c>
      <c r="W5865" s="9">
        <v>25.139615720574728</v>
      </c>
      <c r="X5865" s="9">
        <v>28.431126761040446</v>
      </c>
      <c r="Y5865" s="9">
        <v>28.431126761040446</v>
      </c>
      <c r="Z5865" s="9">
        <v>31.8133765751437</v>
      </c>
      <c r="AA5865" s="9">
        <v>31.8133765751437</v>
      </c>
      <c r="AB5865" s="9">
        <v>35.295439040248269</v>
      </c>
      <c r="AC5865" s="9">
        <v>35.295439040248269</v>
      </c>
      <c r="AD5865" s="9">
        <v>40.66038110622798</v>
      </c>
      <c r="AE5865" s="9">
        <v>44.145469767258199</v>
      </c>
      <c r="AF5865" s="9">
        <v>47.802065076832598</v>
      </c>
      <c r="AG5865" s="9">
        <v>47.802065076832598</v>
      </c>
      <c r="AH5865" s="9">
        <v>52.368463891218347</v>
      </c>
      <c r="AI5865" s="9">
        <v>56.090712435126555</v>
      </c>
      <c r="AJ5865" s="9">
        <v>3.0428788910505911</v>
      </c>
    </row>
    <row r="5866" spans="1:36" x14ac:dyDescent="0.25">
      <c r="A5866" t="s">
        <v>5411</v>
      </c>
      <c r="B5866" t="s">
        <v>16</v>
      </c>
      <c r="C5866" t="s">
        <v>17</v>
      </c>
      <c r="D5866">
        <v>99290000</v>
      </c>
      <c r="E5866">
        <v>99299999</v>
      </c>
      <c r="F5866" t="s">
        <v>5304</v>
      </c>
      <c r="G5866" t="str">
        <f t="shared" si="182"/>
        <v>RSI II</v>
      </c>
      <c r="H5866" t="s">
        <v>4915</v>
      </c>
      <c r="I5866" t="s">
        <v>20</v>
      </c>
      <c r="J5866" t="s">
        <v>64</v>
      </c>
      <c r="K5866" s="6">
        <v>0.03</v>
      </c>
      <c r="L5866" s="7">
        <f t="shared" si="183"/>
        <v>2E-3</v>
      </c>
      <c r="M5866" s="7">
        <v>3.0000000000000001E-3</v>
      </c>
      <c r="N5866">
        <v>11</v>
      </c>
      <c r="O5866" s="8">
        <v>20.328747193832452</v>
      </c>
      <c r="P5866" s="9">
        <v>20.328747193832452</v>
      </c>
      <c r="Q5866" s="9">
        <v>20.328747193832452</v>
      </c>
      <c r="R5866" s="9">
        <v>20.901467178587069</v>
      </c>
      <c r="S5866" s="9">
        <v>21.789694031871221</v>
      </c>
      <c r="T5866" s="9">
        <v>22.685842380093916</v>
      </c>
      <c r="U5866" s="9">
        <v>25.139615720574728</v>
      </c>
      <c r="V5866" s="9">
        <v>25.139615720574728</v>
      </c>
      <c r="W5866" s="9">
        <v>25.139615720574728</v>
      </c>
      <c r="X5866" s="9">
        <v>28.431126761040446</v>
      </c>
      <c r="Y5866" s="9">
        <v>28.431126761040446</v>
      </c>
      <c r="Z5866" s="9">
        <v>31.8133765751437</v>
      </c>
      <c r="AA5866" s="9">
        <v>31.8133765751437</v>
      </c>
      <c r="AB5866" s="9">
        <v>35.295439040248269</v>
      </c>
      <c r="AC5866" s="9">
        <v>35.295439040248269</v>
      </c>
      <c r="AD5866" s="9">
        <v>40.66038110622798</v>
      </c>
      <c r="AE5866" s="9">
        <v>44.145469767258199</v>
      </c>
      <c r="AF5866" s="9">
        <v>47.802065076832598</v>
      </c>
      <c r="AG5866" s="9">
        <v>47.802065076832598</v>
      </c>
      <c r="AH5866" s="9">
        <v>52.368463891218347</v>
      </c>
      <c r="AI5866" s="9">
        <v>56.090712435126555</v>
      </c>
      <c r="AJ5866" s="9">
        <v>3.0428788910505911</v>
      </c>
    </row>
    <row r="5867" spans="1:36" x14ac:dyDescent="0.25">
      <c r="A5867" t="s">
        <v>5411</v>
      </c>
      <c r="B5867" t="s">
        <v>16</v>
      </c>
      <c r="C5867" t="s">
        <v>17</v>
      </c>
      <c r="D5867">
        <v>99300000</v>
      </c>
      <c r="E5867">
        <v>99314999</v>
      </c>
      <c r="F5867" t="s">
        <v>2484</v>
      </c>
      <c r="G5867" t="str">
        <f t="shared" si="182"/>
        <v>RSI II</v>
      </c>
      <c r="H5867" t="s">
        <v>4915</v>
      </c>
      <c r="I5867" t="s">
        <v>20</v>
      </c>
      <c r="J5867" t="s">
        <v>64</v>
      </c>
      <c r="K5867" s="6">
        <v>0.03</v>
      </c>
      <c r="L5867" s="7">
        <f t="shared" si="183"/>
        <v>2E-3</v>
      </c>
      <c r="M5867" s="7">
        <v>3.0000000000000001E-3</v>
      </c>
      <c r="N5867">
        <v>11</v>
      </c>
      <c r="O5867" s="8">
        <v>20.328747193832452</v>
      </c>
      <c r="P5867" s="9">
        <v>20.328747193832452</v>
      </c>
      <c r="Q5867" s="9">
        <v>20.328747193832452</v>
      </c>
      <c r="R5867" s="9">
        <v>20.901467178587069</v>
      </c>
      <c r="S5867" s="9">
        <v>21.789694031871221</v>
      </c>
      <c r="T5867" s="9">
        <v>22.685842380093916</v>
      </c>
      <c r="U5867" s="9">
        <v>25.139615720574728</v>
      </c>
      <c r="V5867" s="9">
        <v>25.139615720574728</v>
      </c>
      <c r="W5867" s="9">
        <v>25.139615720574728</v>
      </c>
      <c r="X5867" s="9">
        <v>28.431126761040446</v>
      </c>
      <c r="Y5867" s="9">
        <v>28.431126761040446</v>
      </c>
      <c r="Z5867" s="9">
        <v>31.8133765751437</v>
      </c>
      <c r="AA5867" s="9">
        <v>31.8133765751437</v>
      </c>
      <c r="AB5867" s="9">
        <v>35.295439040248269</v>
      </c>
      <c r="AC5867" s="9">
        <v>35.295439040248269</v>
      </c>
      <c r="AD5867" s="9">
        <v>40.66038110622798</v>
      </c>
      <c r="AE5867" s="9">
        <v>44.145469767258199</v>
      </c>
      <c r="AF5867" s="9">
        <v>47.802065076832598</v>
      </c>
      <c r="AG5867" s="9">
        <v>47.802065076832598</v>
      </c>
      <c r="AH5867" s="9">
        <v>52.368463891218347</v>
      </c>
      <c r="AI5867" s="9">
        <v>56.090712435126555</v>
      </c>
      <c r="AJ5867" s="9">
        <v>3.0428788910505911</v>
      </c>
    </row>
    <row r="5868" spans="1:36" x14ac:dyDescent="0.25">
      <c r="A5868" t="s">
        <v>5411</v>
      </c>
      <c r="B5868" t="s">
        <v>16</v>
      </c>
      <c r="C5868" t="s">
        <v>17</v>
      </c>
      <c r="D5868">
        <v>99315000</v>
      </c>
      <c r="E5868">
        <v>99319999</v>
      </c>
      <c r="F5868" t="s">
        <v>5305</v>
      </c>
      <c r="G5868" t="str">
        <f t="shared" si="182"/>
        <v>RSI II</v>
      </c>
      <c r="H5868" t="s">
        <v>4915</v>
      </c>
      <c r="I5868" t="s">
        <v>20</v>
      </c>
      <c r="J5868" t="s">
        <v>64</v>
      </c>
      <c r="K5868" s="6">
        <v>0.03</v>
      </c>
      <c r="L5868" s="7">
        <f t="shared" si="183"/>
        <v>2E-3</v>
      </c>
      <c r="M5868" s="7">
        <v>3.0000000000000001E-3</v>
      </c>
      <c r="N5868">
        <v>11</v>
      </c>
      <c r="O5868" s="8">
        <v>20.328747193832452</v>
      </c>
      <c r="P5868" s="9">
        <v>20.328747193832452</v>
      </c>
      <c r="Q5868" s="9">
        <v>20.328747193832452</v>
      </c>
      <c r="R5868" s="9">
        <v>20.901467178587069</v>
      </c>
      <c r="S5868" s="9">
        <v>21.789694031871221</v>
      </c>
      <c r="T5868" s="9">
        <v>22.685842380093916</v>
      </c>
      <c r="U5868" s="9">
        <v>25.139615720574728</v>
      </c>
      <c r="V5868" s="9">
        <v>25.139615720574728</v>
      </c>
      <c r="W5868" s="9">
        <v>25.139615720574728</v>
      </c>
      <c r="X5868" s="9">
        <v>28.431126761040446</v>
      </c>
      <c r="Y5868" s="9">
        <v>28.431126761040446</v>
      </c>
      <c r="Z5868" s="9">
        <v>31.8133765751437</v>
      </c>
      <c r="AA5868" s="9">
        <v>31.8133765751437</v>
      </c>
      <c r="AB5868" s="9">
        <v>35.295439040248269</v>
      </c>
      <c r="AC5868" s="9">
        <v>35.295439040248269</v>
      </c>
      <c r="AD5868" s="9">
        <v>40.66038110622798</v>
      </c>
      <c r="AE5868" s="9">
        <v>44.145469767258199</v>
      </c>
      <c r="AF5868" s="9">
        <v>47.802065076832598</v>
      </c>
      <c r="AG5868" s="9">
        <v>47.802065076832598</v>
      </c>
      <c r="AH5868" s="9">
        <v>52.368463891218347</v>
      </c>
      <c r="AI5868" s="9">
        <v>56.090712435126555</v>
      </c>
      <c r="AJ5868" s="9">
        <v>3.0428788910505911</v>
      </c>
    </row>
    <row r="5869" spans="1:36" x14ac:dyDescent="0.25">
      <c r="A5869" t="s">
        <v>5411</v>
      </c>
      <c r="B5869" t="s">
        <v>16</v>
      </c>
      <c r="C5869" t="s">
        <v>17</v>
      </c>
      <c r="D5869">
        <v>99320000</v>
      </c>
      <c r="E5869">
        <v>99329999</v>
      </c>
      <c r="F5869" t="s">
        <v>5306</v>
      </c>
      <c r="G5869" t="str">
        <f t="shared" si="182"/>
        <v>RSI II</v>
      </c>
      <c r="H5869" t="s">
        <v>4915</v>
      </c>
      <c r="I5869" t="s">
        <v>20</v>
      </c>
      <c r="J5869" t="s">
        <v>64</v>
      </c>
      <c r="K5869" s="6">
        <v>0.03</v>
      </c>
      <c r="L5869" s="7">
        <f t="shared" si="183"/>
        <v>2E-3</v>
      </c>
      <c r="M5869" s="7">
        <v>3.0000000000000001E-3</v>
      </c>
      <c r="N5869">
        <v>11</v>
      </c>
      <c r="O5869" s="8">
        <v>20.328747193832452</v>
      </c>
      <c r="P5869" s="9">
        <v>20.328747193832452</v>
      </c>
      <c r="Q5869" s="9">
        <v>20.328747193832452</v>
      </c>
      <c r="R5869" s="9">
        <v>20.901467178587069</v>
      </c>
      <c r="S5869" s="9">
        <v>21.789694031871221</v>
      </c>
      <c r="T5869" s="9">
        <v>22.685842380093916</v>
      </c>
      <c r="U5869" s="9">
        <v>25.139615720574728</v>
      </c>
      <c r="V5869" s="9">
        <v>25.139615720574728</v>
      </c>
      <c r="W5869" s="9">
        <v>25.139615720574728</v>
      </c>
      <c r="X5869" s="9">
        <v>28.431126761040446</v>
      </c>
      <c r="Y5869" s="9">
        <v>28.431126761040446</v>
      </c>
      <c r="Z5869" s="9">
        <v>31.8133765751437</v>
      </c>
      <c r="AA5869" s="9">
        <v>31.8133765751437</v>
      </c>
      <c r="AB5869" s="9">
        <v>35.295439040248269</v>
      </c>
      <c r="AC5869" s="9">
        <v>35.295439040248269</v>
      </c>
      <c r="AD5869" s="9">
        <v>40.66038110622798</v>
      </c>
      <c r="AE5869" s="9">
        <v>44.145469767258199</v>
      </c>
      <c r="AF5869" s="9">
        <v>47.802065076832598</v>
      </c>
      <c r="AG5869" s="9">
        <v>47.802065076832598</v>
      </c>
      <c r="AH5869" s="9">
        <v>52.368463891218347</v>
      </c>
      <c r="AI5869" s="9">
        <v>56.090712435126555</v>
      </c>
      <c r="AJ5869" s="9">
        <v>3.0428788910505911</v>
      </c>
    </row>
    <row r="5870" spans="1:36" x14ac:dyDescent="0.25">
      <c r="A5870" t="s">
        <v>5411</v>
      </c>
      <c r="B5870" t="s">
        <v>16</v>
      </c>
      <c r="C5870" t="s">
        <v>17</v>
      </c>
      <c r="D5870">
        <v>99330000</v>
      </c>
      <c r="E5870">
        <v>99339999</v>
      </c>
      <c r="F5870" t="s">
        <v>5307</v>
      </c>
      <c r="G5870" t="str">
        <f t="shared" si="182"/>
        <v>RSI II</v>
      </c>
      <c r="H5870" t="s">
        <v>4915</v>
      </c>
      <c r="I5870" t="s">
        <v>20</v>
      </c>
      <c r="J5870" t="s">
        <v>64</v>
      </c>
      <c r="K5870" s="6">
        <v>0.03</v>
      </c>
      <c r="L5870" s="7">
        <f t="shared" si="183"/>
        <v>2E-3</v>
      </c>
      <c r="M5870" s="7">
        <v>3.0000000000000001E-3</v>
      </c>
      <c r="N5870">
        <v>11</v>
      </c>
      <c r="O5870" s="8">
        <v>20.328747193832452</v>
      </c>
      <c r="P5870" s="9">
        <v>20.328747193832452</v>
      </c>
      <c r="Q5870" s="9">
        <v>20.328747193832452</v>
      </c>
      <c r="R5870" s="9">
        <v>20.901467178587069</v>
      </c>
      <c r="S5870" s="9">
        <v>21.789694031871221</v>
      </c>
      <c r="T5870" s="9">
        <v>22.685842380093916</v>
      </c>
      <c r="U5870" s="9">
        <v>25.139615720574728</v>
      </c>
      <c r="V5870" s="9">
        <v>25.139615720574728</v>
      </c>
      <c r="W5870" s="9">
        <v>25.139615720574728</v>
      </c>
      <c r="X5870" s="9">
        <v>28.431126761040446</v>
      </c>
      <c r="Y5870" s="9">
        <v>28.431126761040446</v>
      </c>
      <c r="Z5870" s="9">
        <v>31.8133765751437</v>
      </c>
      <c r="AA5870" s="9">
        <v>31.8133765751437</v>
      </c>
      <c r="AB5870" s="9">
        <v>35.295439040248269</v>
      </c>
      <c r="AC5870" s="9">
        <v>35.295439040248269</v>
      </c>
      <c r="AD5870" s="9">
        <v>40.66038110622798</v>
      </c>
      <c r="AE5870" s="9">
        <v>44.145469767258199</v>
      </c>
      <c r="AF5870" s="9">
        <v>47.802065076832598</v>
      </c>
      <c r="AG5870" s="9">
        <v>47.802065076832598</v>
      </c>
      <c r="AH5870" s="9">
        <v>52.368463891218347</v>
      </c>
      <c r="AI5870" s="9">
        <v>56.090712435126555</v>
      </c>
      <c r="AJ5870" s="9">
        <v>3.0428788910505911</v>
      </c>
    </row>
    <row r="5871" spans="1:36" x14ac:dyDescent="0.25">
      <c r="A5871" t="s">
        <v>5411</v>
      </c>
      <c r="B5871" t="s">
        <v>16</v>
      </c>
      <c r="C5871" t="s">
        <v>17</v>
      </c>
      <c r="D5871">
        <v>99340000</v>
      </c>
      <c r="E5871">
        <v>99344999</v>
      </c>
      <c r="F5871" t="s">
        <v>5308</v>
      </c>
      <c r="G5871" t="str">
        <f t="shared" si="182"/>
        <v>RSI II</v>
      </c>
      <c r="H5871" t="s">
        <v>4915</v>
      </c>
      <c r="I5871" t="s">
        <v>20</v>
      </c>
      <c r="J5871" t="s">
        <v>64</v>
      </c>
      <c r="K5871" s="6">
        <v>0.03</v>
      </c>
      <c r="L5871" s="7">
        <f t="shared" si="183"/>
        <v>2E-3</v>
      </c>
      <c r="M5871" s="7">
        <v>3.0000000000000001E-3</v>
      </c>
      <c r="N5871">
        <v>11</v>
      </c>
      <c r="O5871" s="8">
        <v>20.328747193832452</v>
      </c>
      <c r="P5871" s="9">
        <v>20.328747193832452</v>
      </c>
      <c r="Q5871" s="9">
        <v>20.328747193832452</v>
      </c>
      <c r="R5871" s="9">
        <v>20.901467178587069</v>
      </c>
      <c r="S5871" s="9">
        <v>21.789694031871221</v>
      </c>
      <c r="T5871" s="9">
        <v>22.685842380093916</v>
      </c>
      <c r="U5871" s="9">
        <v>25.139615720574728</v>
      </c>
      <c r="V5871" s="9">
        <v>25.139615720574728</v>
      </c>
      <c r="W5871" s="9">
        <v>25.139615720574728</v>
      </c>
      <c r="X5871" s="9">
        <v>28.431126761040446</v>
      </c>
      <c r="Y5871" s="9">
        <v>28.431126761040446</v>
      </c>
      <c r="Z5871" s="9">
        <v>31.8133765751437</v>
      </c>
      <c r="AA5871" s="9">
        <v>31.8133765751437</v>
      </c>
      <c r="AB5871" s="9">
        <v>35.295439040248269</v>
      </c>
      <c r="AC5871" s="9">
        <v>35.295439040248269</v>
      </c>
      <c r="AD5871" s="9">
        <v>40.66038110622798</v>
      </c>
      <c r="AE5871" s="9">
        <v>44.145469767258199</v>
      </c>
      <c r="AF5871" s="9">
        <v>47.802065076832598</v>
      </c>
      <c r="AG5871" s="9">
        <v>47.802065076832598</v>
      </c>
      <c r="AH5871" s="9">
        <v>52.368463891218347</v>
      </c>
      <c r="AI5871" s="9">
        <v>56.090712435126555</v>
      </c>
      <c r="AJ5871" s="9">
        <v>3.0428788910505911</v>
      </c>
    </row>
    <row r="5872" spans="1:36" x14ac:dyDescent="0.25">
      <c r="A5872" t="s">
        <v>5411</v>
      </c>
      <c r="B5872" t="s">
        <v>16</v>
      </c>
      <c r="C5872" t="s">
        <v>17</v>
      </c>
      <c r="D5872">
        <v>99345000</v>
      </c>
      <c r="E5872">
        <v>99349999</v>
      </c>
      <c r="F5872" t="s">
        <v>5309</v>
      </c>
      <c r="G5872" t="str">
        <f t="shared" si="182"/>
        <v>RSI II</v>
      </c>
      <c r="H5872" t="s">
        <v>4915</v>
      </c>
      <c r="I5872" t="s">
        <v>20</v>
      </c>
      <c r="J5872" t="s">
        <v>64</v>
      </c>
      <c r="K5872" s="6">
        <v>0.03</v>
      </c>
      <c r="L5872" s="7">
        <f t="shared" si="183"/>
        <v>2E-3</v>
      </c>
      <c r="M5872" s="7">
        <v>3.0000000000000001E-3</v>
      </c>
      <c r="N5872">
        <v>11</v>
      </c>
      <c r="O5872" s="8">
        <v>20.328747193832452</v>
      </c>
      <c r="P5872" s="9">
        <v>20.328747193832452</v>
      </c>
      <c r="Q5872" s="9">
        <v>20.328747193832452</v>
      </c>
      <c r="R5872" s="9">
        <v>20.901467178587069</v>
      </c>
      <c r="S5872" s="9">
        <v>21.789694031871221</v>
      </c>
      <c r="T5872" s="9">
        <v>22.685842380093916</v>
      </c>
      <c r="U5872" s="9">
        <v>25.139615720574728</v>
      </c>
      <c r="V5872" s="9">
        <v>25.139615720574728</v>
      </c>
      <c r="W5872" s="9">
        <v>25.139615720574728</v>
      </c>
      <c r="X5872" s="9">
        <v>28.431126761040446</v>
      </c>
      <c r="Y5872" s="9">
        <v>28.431126761040446</v>
      </c>
      <c r="Z5872" s="9">
        <v>31.8133765751437</v>
      </c>
      <c r="AA5872" s="9">
        <v>31.8133765751437</v>
      </c>
      <c r="AB5872" s="9">
        <v>35.295439040248269</v>
      </c>
      <c r="AC5872" s="9">
        <v>35.295439040248269</v>
      </c>
      <c r="AD5872" s="9">
        <v>40.66038110622798</v>
      </c>
      <c r="AE5872" s="9">
        <v>44.145469767258199</v>
      </c>
      <c r="AF5872" s="9">
        <v>47.802065076832598</v>
      </c>
      <c r="AG5872" s="9">
        <v>47.802065076832598</v>
      </c>
      <c r="AH5872" s="9">
        <v>52.368463891218347</v>
      </c>
      <c r="AI5872" s="9">
        <v>56.090712435126555</v>
      </c>
      <c r="AJ5872" s="9">
        <v>3.0428788910505911</v>
      </c>
    </row>
    <row r="5873" spans="1:36" x14ac:dyDescent="0.25">
      <c r="A5873" t="s">
        <v>5411</v>
      </c>
      <c r="B5873" t="s">
        <v>16</v>
      </c>
      <c r="C5873" t="s">
        <v>17</v>
      </c>
      <c r="D5873">
        <v>99350000</v>
      </c>
      <c r="E5873">
        <v>99359999</v>
      </c>
      <c r="F5873" t="s">
        <v>5310</v>
      </c>
      <c r="G5873" t="str">
        <f t="shared" si="182"/>
        <v>RSI II</v>
      </c>
      <c r="H5873" t="s">
        <v>4915</v>
      </c>
      <c r="I5873" t="s">
        <v>20</v>
      </c>
      <c r="J5873" t="s">
        <v>64</v>
      </c>
      <c r="K5873" s="6">
        <v>0.03</v>
      </c>
      <c r="L5873" s="7">
        <f t="shared" si="183"/>
        <v>2E-3</v>
      </c>
      <c r="M5873" s="7">
        <v>3.0000000000000001E-3</v>
      </c>
      <c r="N5873">
        <v>11</v>
      </c>
      <c r="O5873" s="8">
        <v>20.328747193832452</v>
      </c>
      <c r="P5873" s="9">
        <v>20.328747193832452</v>
      </c>
      <c r="Q5873" s="9">
        <v>20.328747193832452</v>
      </c>
      <c r="R5873" s="9">
        <v>20.901467178587069</v>
      </c>
      <c r="S5873" s="9">
        <v>21.789694031871221</v>
      </c>
      <c r="T5873" s="9">
        <v>22.685842380093916</v>
      </c>
      <c r="U5873" s="9">
        <v>25.139615720574728</v>
      </c>
      <c r="V5873" s="9">
        <v>25.139615720574728</v>
      </c>
      <c r="W5873" s="9">
        <v>25.139615720574728</v>
      </c>
      <c r="X5873" s="9">
        <v>28.431126761040446</v>
      </c>
      <c r="Y5873" s="9">
        <v>28.431126761040446</v>
      </c>
      <c r="Z5873" s="9">
        <v>31.8133765751437</v>
      </c>
      <c r="AA5873" s="9">
        <v>31.8133765751437</v>
      </c>
      <c r="AB5873" s="9">
        <v>35.295439040248269</v>
      </c>
      <c r="AC5873" s="9">
        <v>35.295439040248269</v>
      </c>
      <c r="AD5873" s="9">
        <v>40.66038110622798</v>
      </c>
      <c r="AE5873" s="9">
        <v>44.145469767258199</v>
      </c>
      <c r="AF5873" s="9">
        <v>47.802065076832598</v>
      </c>
      <c r="AG5873" s="9">
        <v>47.802065076832598</v>
      </c>
      <c r="AH5873" s="9">
        <v>52.368463891218347</v>
      </c>
      <c r="AI5873" s="9">
        <v>56.090712435126555</v>
      </c>
      <c r="AJ5873" s="9">
        <v>3.0428788910505911</v>
      </c>
    </row>
    <row r="5874" spans="1:36" x14ac:dyDescent="0.25">
      <c r="A5874" t="s">
        <v>5411</v>
      </c>
      <c r="B5874" t="s">
        <v>16</v>
      </c>
      <c r="C5874" t="s">
        <v>17</v>
      </c>
      <c r="D5874">
        <v>99360000</v>
      </c>
      <c r="E5874">
        <v>99369999</v>
      </c>
      <c r="F5874" t="s">
        <v>5311</v>
      </c>
      <c r="G5874" t="str">
        <f t="shared" si="182"/>
        <v>RSI II</v>
      </c>
      <c r="H5874" t="s">
        <v>4915</v>
      </c>
      <c r="I5874" t="s">
        <v>20</v>
      </c>
      <c r="J5874" t="s">
        <v>64</v>
      </c>
      <c r="K5874" s="6">
        <v>0.03</v>
      </c>
      <c r="L5874" s="7">
        <f t="shared" si="183"/>
        <v>2E-3</v>
      </c>
      <c r="M5874" s="7">
        <v>3.0000000000000001E-3</v>
      </c>
      <c r="N5874">
        <v>11</v>
      </c>
      <c r="O5874" s="8">
        <v>20.328747193832452</v>
      </c>
      <c r="P5874" s="9">
        <v>20.328747193832452</v>
      </c>
      <c r="Q5874" s="9">
        <v>20.328747193832452</v>
      </c>
      <c r="R5874" s="9">
        <v>20.901467178587069</v>
      </c>
      <c r="S5874" s="9">
        <v>21.789694031871221</v>
      </c>
      <c r="T5874" s="9">
        <v>22.685842380093916</v>
      </c>
      <c r="U5874" s="9">
        <v>25.139615720574728</v>
      </c>
      <c r="V5874" s="9">
        <v>25.139615720574728</v>
      </c>
      <c r="W5874" s="9">
        <v>25.139615720574728</v>
      </c>
      <c r="X5874" s="9">
        <v>28.431126761040446</v>
      </c>
      <c r="Y5874" s="9">
        <v>28.431126761040446</v>
      </c>
      <c r="Z5874" s="9">
        <v>31.8133765751437</v>
      </c>
      <c r="AA5874" s="9">
        <v>31.8133765751437</v>
      </c>
      <c r="AB5874" s="9">
        <v>35.295439040248269</v>
      </c>
      <c r="AC5874" s="9">
        <v>35.295439040248269</v>
      </c>
      <c r="AD5874" s="9">
        <v>40.66038110622798</v>
      </c>
      <c r="AE5874" s="9">
        <v>44.145469767258199</v>
      </c>
      <c r="AF5874" s="9">
        <v>47.802065076832598</v>
      </c>
      <c r="AG5874" s="9">
        <v>47.802065076832598</v>
      </c>
      <c r="AH5874" s="9">
        <v>52.368463891218347</v>
      </c>
      <c r="AI5874" s="9">
        <v>56.090712435126555</v>
      </c>
      <c r="AJ5874" s="9">
        <v>3.0428788910505911</v>
      </c>
    </row>
    <row r="5875" spans="1:36" x14ac:dyDescent="0.25">
      <c r="A5875" t="s">
        <v>5411</v>
      </c>
      <c r="B5875" t="s">
        <v>16</v>
      </c>
      <c r="C5875" t="s">
        <v>17</v>
      </c>
      <c r="D5875">
        <v>99370000</v>
      </c>
      <c r="E5875">
        <v>99379999</v>
      </c>
      <c r="F5875" t="s">
        <v>5312</v>
      </c>
      <c r="G5875" t="str">
        <f t="shared" si="182"/>
        <v>RSI II</v>
      </c>
      <c r="H5875" t="s">
        <v>4915</v>
      </c>
      <c r="I5875" t="s">
        <v>20</v>
      </c>
      <c r="J5875" t="s">
        <v>64</v>
      </c>
      <c r="K5875" s="6">
        <v>0.03</v>
      </c>
      <c r="L5875" s="7">
        <f t="shared" si="183"/>
        <v>2E-3</v>
      </c>
      <c r="M5875" s="7">
        <v>3.0000000000000001E-3</v>
      </c>
      <c r="N5875">
        <v>11</v>
      </c>
      <c r="O5875" s="8">
        <v>20.328747193832452</v>
      </c>
      <c r="P5875" s="9">
        <v>20.328747193832452</v>
      </c>
      <c r="Q5875" s="9">
        <v>20.328747193832452</v>
      </c>
      <c r="R5875" s="9">
        <v>20.901467178587069</v>
      </c>
      <c r="S5875" s="9">
        <v>21.789694031871221</v>
      </c>
      <c r="T5875" s="9">
        <v>22.685842380093916</v>
      </c>
      <c r="U5875" s="9">
        <v>25.139615720574728</v>
      </c>
      <c r="V5875" s="9">
        <v>25.139615720574728</v>
      </c>
      <c r="W5875" s="9">
        <v>25.139615720574728</v>
      </c>
      <c r="X5875" s="9">
        <v>28.431126761040446</v>
      </c>
      <c r="Y5875" s="9">
        <v>28.431126761040446</v>
      </c>
      <c r="Z5875" s="9">
        <v>31.8133765751437</v>
      </c>
      <c r="AA5875" s="9">
        <v>31.8133765751437</v>
      </c>
      <c r="AB5875" s="9">
        <v>35.295439040248269</v>
      </c>
      <c r="AC5875" s="9">
        <v>35.295439040248269</v>
      </c>
      <c r="AD5875" s="9">
        <v>40.66038110622798</v>
      </c>
      <c r="AE5875" s="9">
        <v>44.145469767258199</v>
      </c>
      <c r="AF5875" s="9">
        <v>47.802065076832598</v>
      </c>
      <c r="AG5875" s="9">
        <v>47.802065076832598</v>
      </c>
      <c r="AH5875" s="9">
        <v>52.368463891218347</v>
      </c>
      <c r="AI5875" s="9">
        <v>56.090712435126555</v>
      </c>
      <c r="AJ5875" s="9">
        <v>3.0428788910505911</v>
      </c>
    </row>
    <row r="5876" spans="1:36" x14ac:dyDescent="0.25">
      <c r="A5876" t="s">
        <v>5411</v>
      </c>
      <c r="B5876" t="s">
        <v>16</v>
      </c>
      <c r="C5876" t="s">
        <v>17</v>
      </c>
      <c r="D5876">
        <v>99380000</v>
      </c>
      <c r="E5876">
        <v>99399999</v>
      </c>
      <c r="F5876" t="s">
        <v>5313</v>
      </c>
      <c r="G5876" t="str">
        <f t="shared" si="182"/>
        <v>RSI II</v>
      </c>
      <c r="H5876" t="s">
        <v>4915</v>
      </c>
      <c r="I5876" t="s">
        <v>20</v>
      </c>
      <c r="J5876" t="s">
        <v>64</v>
      </c>
      <c r="K5876" s="6">
        <v>0.03</v>
      </c>
      <c r="L5876" s="7">
        <f t="shared" si="183"/>
        <v>2E-3</v>
      </c>
      <c r="M5876" s="7">
        <v>3.0000000000000001E-3</v>
      </c>
      <c r="N5876">
        <v>11</v>
      </c>
      <c r="O5876" s="8">
        <v>20.328747193832452</v>
      </c>
      <c r="P5876" s="9">
        <v>20.328747193832452</v>
      </c>
      <c r="Q5876" s="9">
        <v>20.328747193832452</v>
      </c>
      <c r="R5876" s="9">
        <v>20.901467178587069</v>
      </c>
      <c r="S5876" s="9">
        <v>21.789694031871221</v>
      </c>
      <c r="T5876" s="9">
        <v>22.685842380093916</v>
      </c>
      <c r="U5876" s="9">
        <v>25.139615720574728</v>
      </c>
      <c r="V5876" s="9">
        <v>25.139615720574728</v>
      </c>
      <c r="W5876" s="9">
        <v>25.139615720574728</v>
      </c>
      <c r="X5876" s="9">
        <v>28.431126761040446</v>
      </c>
      <c r="Y5876" s="9">
        <v>28.431126761040446</v>
      </c>
      <c r="Z5876" s="9">
        <v>31.8133765751437</v>
      </c>
      <c r="AA5876" s="9">
        <v>31.8133765751437</v>
      </c>
      <c r="AB5876" s="9">
        <v>35.295439040248269</v>
      </c>
      <c r="AC5876" s="9">
        <v>35.295439040248269</v>
      </c>
      <c r="AD5876" s="9">
        <v>40.66038110622798</v>
      </c>
      <c r="AE5876" s="9">
        <v>44.145469767258199</v>
      </c>
      <c r="AF5876" s="9">
        <v>47.802065076832598</v>
      </c>
      <c r="AG5876" s="9">
        <v>47.802065076832598</v>
      </c>
      <c r="AH5876" s="9">
        <v>52.368463891218347</v>
      </c>
      <c r="AI5876" s="9">
        <v>56.090712435126555</v>
      </c>
      <c r="AJ5876" s="9">
        <v>3.0428788910505911</v>
      </c>
    </row>
    <row r="5877" spans="1:36" x14ac:dyDescent="0.25">
      <c r="A5877" t="s">
        <v>5411</v>
      </c>
      <c r="B5877" t="s">
        <v>16</v>
      </c>
      <c r="C5877" t="s">
        <v>17</v>
      </c>
      <c r="D5877">
        <v>99400000</v>
      </c>
      <c r="E5877">
        <v>99429999</v>
      </c>
      <c r="F5877" t="s">
        <v>5314</v>
      </c>
      <c r="G5877" t="str">
        <f t="shared" si="182"/>
        <v>RSI II</v>
      </c>
      <c r="H5877" t="s">
        <v>4915</v>
      </c>
      <c r="I5877" t="s">
        <v>20</v>
      </c>
      <c r="J5877" t="s">
        <v>64</v>
      </c>
      <c r="K5877" s="6">
        <v>0.03</v>
      </c>
      <c r="L5877" s="7">
        <f t="shared" si="183"/>
        <v>2E-3</v>
      </c>
      <c r="M5877" s="7">
        <v>3.0000000000000001E-3</v>
      </c>
      <c r="N5877">
        <v>11</v>
      </c>
      <c r="O5877" s="8">
        <v>20.328747193832452</v>
      </c>
      <c r="P5877" s="9">
        <v>20.328747193832452</v>
      </c>
      <c r="Q5877" s="9">
        <v>20.328747193832452</v>
      </c>
      <c r="R5877" s="9">
        <v>20.901467178587069</v>
      </c>
      <c r="S5877" s="9">
        <v>21.789694031871221</v>
      </c>
      <c r="T5877" s="9">
        <v>22.685842380093916</v>
      </c>
      <c r="U5877" s="9">
        <v>25.139615720574728</v>
      </c>
      <c r="V5877" s="9">
        <v>25.139615720574728</v>
      </c>
      <c r="W5877" s="9">
        <v>25.139615720574728</v>
      </c>
      <c r="X5877" s="9">
        <v>28.431126761040446</v>
      </c>
      <c r="Y5877" s="9">
        <v>28.431126761040446</v>
      </c>
      <c r="Z5877" s="9">
        <v>31.8133765751437</v>
      </c>
      <c r="AA5877" s="9">
        <v>31.8133765751437</v>
      </c>
      <c r="AB5877" s="9">
        <v>35.295439040248269</v>
      </c>
      <c r="AC5877" s="9">
        <v>35.295439040248269</v>
      </c>
      <c r="AD5877" s="9">
        <v>40.66038110622798</v>
      </c>
      <c r="AE5877" s="9">
        <v>44.145469767258199</v>
      </c>
      <c r="AF5877" s="9">
        <v>47.802065076832598</v>
      </c>
      <c r="AG5877" s="9">
        <v>47.802065076832598</v>
      </c>
      <c r="AH5877" s="9">
        <v>52.368463891218347</v>
      </c>
      <c r="AI5877" s="9">
        <v>56.090712435126555</v>
      </c>
      <c r="AJ5877" s="9">
        <v>3.0428788910505911</v>
      </c>
    </row>
    <row r="5878" spans="1:36" x14ac:dyDescent="0.25">
      <c r="A5878" t="s">
        <v>5411</v>
      </c>
      <c r="B5878" t="s">
        <v>16</v>
      </c>
      <c r="C5878" t="s">
        <v>17</v>
      </c>
      <c r="D5878">
        <v>99430000</v>
      </c>
      <c r="E5878">
        <v>99434999</v>
      </c>
      <c r="F5878" t="s">
        <v>428</v>
      </c>
      <c r="G5878" t="str">
        <f t="shared" si="182"/>
        <v>RSI II</v>
      </c>
      <c r="H5878" t="s">
        <v>4915</v>
      </c>
      <c r="I5878" t="s">
        <v>20</v>
      </c>
      <c r="J5878" t="s">
        <v>64</v>
      </c>
      <c r="K5878" s="6">
        <v>0.03</v>
      </c>
      <c r="L5878" s="7">
        <f t="shared" si="183"/>
        <v>2E-3</v>
      </c>
      <c r="M5878" s="7">
        <v>3.0000000000000001E-3</v>
      </c>
      <c r="N5878">
        <v>11</v>
      </c>
      <c r="O5878" s="8">
        <v>20.328747193832452</v>
      </c>
      <c r="P5878" s="9">
        <v>20.328747193832452</v>
      </c>
      <c r="Q5878" s="9">
        <v>20.328747193832452</v>
      </c>
      <c r="R5878" s="9">
        <v>20.901467178587069</v>
      </c>
      <c r="S5878" s="9">
        <v>21.789694031871221</v>
      </c>
      <c r="T5878" s="9">
        <v>22.685842380093916</v>
      </c>
      <c r="U5878" s="9">
        <v>25.139615720574728</v>
      </c>
      <c r="V5878" s="9">
        <v>25.139615720574728</v>
      </c>
      <c r="W5878" s="9">
        <v>25.139615720574728</v>
      </c>
      <c r="X5878" s="9">
        <v>28.431126761040446</v>
      </c>
      <c r="Y5878" s="9">
        <v>28.431126761040446</v>
      </c>
      <c r="Z5878" s="9">
        <v>31.8133765751437</v>
      </c>
      <c r="AA5878" s="9">
        <v>31.8133765751437</v>
      </c>
      <c r="AB5878" s="9">
        <v>35.295439040248269</v>
      </c>
      <c r="AC5878" s="9">
        <v>35.295439040248269</v>
      </c>
      <c r="AD5878" s="9">
        <v>40.66038110622798</v>
      </c>
      <c r="AE5878" s="9">
        <v>44.145469767258199</v>
      </c>
      <c r="AF5878" s="9">
        <v>47.802065076832598</v>
      </c>
      <c r="AG5878" s="9">
        <v>47.802065076832598</v>
      </c>
      <c r="AH5878" s="9">
        <v>52.368463891218347</v>
      </c>
      <c r="AI5878" s="9">
        <v>56.090712435126555</v>
      </c>
      <c r="AJ5878" s="9">
        <v>3.0428788910505911</v>
      </c>
    </row>
    <row r="5879" spans="1:36" x14ac:dyDescent="0.25">
      <c r="A5879" t="s">
        <v>5411</v>
      </c>
      <c r="B5879" t="s">
        <v>16</v>
      </c>
      <c r="C5879" t="s">
        <v>17</v>
      </c>
      <c r="D5879">
        <v>99435000</v>
      </c>
      <c r="E5879">
        <v>99439999</v>
      </c>
      <c r="F5879" t="s">
        <v>5315</v>
      </c>
      <c r="G5879" t="str">
        <f t="shared" si="182"/>
        <v>RSI II</v>
      </c>
      <c r="H5879" t="s">
        <v>4915</v>
      </c>
      <c r="I5879" t="s">
        <v>20</v>
      </c>
      <c r="J5879" t="s">
        <v>64</v>
      </c>
      <c r="K5879" s="6">
        <v>0.03</v>
      </c>
      <c r="L5879" s="7">
        <f t="shared" si="183"/>
        <v>2E-3</v>
      </c>
      <c r="M5879" s="7">
        <v>3.0000000000000001E-3</v>
      </c>
      <c r="N5879">
        <v>11</v>
      </c>
      <c r="O5879" s="8">
        <v>20.328747193832452</v>
      </c>
      <c r="P5879" s="9">
        <v>20.328747193832452</v>
      </c>
      <c r="Q5879" s="9">
        <v>20.328747193832452</v>
      </c>
      <c r="R5879" s="9">
        <v>20.901467178587069</v>
      </c>
      <c r="S5879" s="9">
        <v>21.789694031871221</v>
      </c>
      <c r="T5879" s="9">
        <v>22.685842380093916</v>
      </c>
      <c r="U5879" s="9">
        <v>25.139615720574728</v>
      </c>
      <c r="V5879" s="9">
        <v>25.139615720574728</v>
      </c>
      <c r="W5879" s="9">
        <v>25.139615720574728</v>
      </c>
      <c r="X5879" s="9">
        <v>28.431126761040446</v>
      </c>
      <c r="Y5879" s="9">
        <v>28.431126761040446</v>
      </c>
      <c r="Z5879" s="9">
        <v>31.8133765751437</v>
      </c>
      <c r="AA5879" s="9">
        <v>31.8133765751437</v>
      </c>
      <c r="AB5879" s="9">
        <v>35.295439040248269</v>
      </c>
      <c r="AC5879" s="9">
        <v>35.295439040248269</v>
      </c>
      <c r="AD5879" s="9">
        <v>40.66038110622798</v>
      </c>
      <c r="AE5879" s="9">
        <v>44.145469767258199</v>
      </c>
      <c r="AF5879" s="9">
        <v>47.802065076832598</v>
      </c>
      <c r="AG5879" s="9">
        <v>47.802065076832598</v>
      </c>
      <c r="AH5879" s="9">
        <v>52.368463891218347</v>
      </c>
      <c r="AI5879" s="9">
        <v>56.090712435126555</v>
      </c>
      <c r="AJ5879" s="9">
        <v>3.0428788910505911</v>
      </c>
    </row>
    <row r="5880" spans="1:36" x14ac:dyDescent="0.25">
      <c r="A5880" t="s">
        <v>5411</v>
      </c>
      <c r="B5880" t="s">
        <v>16</v>
      </c>
      <c r="C5880" t="s">
        <v>17</v>
      </c>
      <c r="D5880">
        <v>99440000</v>
      </c>
      <c r="E5880">
        <v>99449999</v>
      </c>
      <c r="F5880" t="s">
        <v>5316</v>
      </c>
      <c r="G5880" t="str">
        <f t="shared" si="182"/>
        <v>RSI II</v>
      </c>
      <c r="H5880" t="s">
        <v>4915</v>
      </c>
      <c r="I5880" t="s">
        <v>20</v>
      </c>
      <c r="J5880" t="s">
        <v>64</v>
      </c>
      <c r="K5880" s="6">
        <v>0.03</v>
      </c>
      <c r="L5880" s="7">
        <f t="shared" si="183"/>
        <v>2E-3</v>
      </c>
      <c r="M5880" s="7">
        <v>3.0000000000000001E-3</v>
      </c>
      <c r="N5880">
        <v>11</v>
      </c>
      <c r="O5880" s="8">
        <v>20.328747193832452</v>
      </c>
      <c r="P5880" s="9">
        <v>20.328747193832452</v>
      </c>
      <c r="Q5880" s="9">
        <v>20.328747193832452</v>
      </c>
      <c r="R5880" s="9">
        <v>20.901467178587069</v>
      </c>
      <c r="S5880" s="9">
        <v>21.789694031871221</v>
      </c>
      <c r="T5880" s="9">
        <v>22.685842380093916</v>
      </c>
      <c r="U5880" s="9">
        <v>25.139615720574728</v>
      </c>
      <c r="V5880" s="9">
        <v>25.139615720574728</v>
      </c>
      <c r="W5880" s="9">
        <v>25.139615720574728</v>
      </c>
      <c r="X5880" s="9">
        <v>28.431126761040446</v>
      </c>
      <c r="Y5880" s="9">
        <v>28.431126761040446</v>
      </c>
      <c r="Z5880" s="9">
        <v>31.8133765751437</v>
      </c>
      <c r="AA5880" s="9">
        <v>31.8133765751437</v>
      </c>
      <c r="AB5880" s="9">
        <v>35.295439040248269</v>
      </c>
      <c r="AC5880" s="9">
        <v>35.295439040248269</v>
      </c>
      <c r="AD5880" s="9">
        <v>40.66038110622798</v>
      </c>
      <c r="AE5880" s="9">
        <v>44.145469767258199</v>
      </c>
      <c r="AF5880" s="9">
        <v>47.802065076832598</v>
      </c>
      <c r="AG5880" s="9">
        <v>47.802065076832598</v>
      </c>
      <c r="AH5880" s="9">
        <v>52.368463891218347</v>
      </c>
      <c r="AI5880" s="9">
        <v>56.090712435126555</v>
      </c>
      <c r="AJ5880" s="9">
        <v>3.0428788910505911</v>
      </c>
    </row>
    <row r="5881" spans="1:36" x14ac:dyDescent="0.25">
      <c r="A5881" t="s">
        <v>5411</v>
      </c>
      <c r="B5881" t="s">
        <v>16</v>
      </c>
      <c r="C5881" t="s">
        <v>17</v>
      </c>
      <c r="D5881">
        <v>99450000</v>
      </c>
      <c r="E5881">
        <v>99456999</v>
      </c>
      <c r="F5881" t="s">
        <v>5317</v>
      </c>
      <c r="G5881" t="str">
        <f t="shared" si="182"/>
        <v>RSI II</v>
      </c>
      <c r="H5881" t="s">
        <v>4915</v>
      </c>
      <c r="I5881" t="s">
        <v>20</v>
      </c>
      <c r="J5881" t="s">
        <v>64</v>
      </c>
      <c r="K5881" s="6">
        <v>0.03</v>
      </c>
      <c r="L5881" s="7">
        <f t="shared" si="183"/>
        <v>2E-3</v>
      </c>
      <c r="M5881" s="7">
        <v>3.0000000000000001E-3</v>
      </c>
      <c r="N5881">
        <v>11</v>
      </c>
      <c r="O5881" s="8">
        <v>20.328747193832452</v>
      </c>
      <c r="P5881" s="9">
        <v>20.328747193832452</v>
      </c>
      <c r="Q5881" s="9">
        <v>20.328747193832452</v>
      </c>
      <c r="R5881" s="9">
        <v>20.901467178587069</v>
      </c>
      <c r="S5881" s="9">
        <v>21.789694031871221</v>
      </c>
      <c r="T5881" s="9">
        <v>22.685842380093916</v>
      </c>
      <c r="U5881" s="9">
        <v>25.139615720574728</v>
      </c>
      <c r="V5881" s="9">
        <v>25.139615720574728</v>
      </c>
      <c r="W5881" s="9">
        <v>25.139615720574728</v>
      </c>
      <c r="X5881" s="9">
        <v>28.431126761040446</v>
      </c>
      <c r="Y5881" s="9">
        <v>28.431126761040446</v>
      </c>
      <c r="Z5881" s="9">
        <v>31.8133765751437</v>
      </c>
      <c r="AA5881" s="9">
        <v>31.8133765751437</v>
      </c>
      <c r="AB5881" s="9">
        <v>35.295439040248269</v>
      </c>
      <c r="AC5881" s="9">
        <v>35.295439040248269</v>
      </c>
      <c r="AD5881" s="9">
        <v>40.66038110622798</v>
      </c>
      <c r="AE5881" s="9">
        <v>44.145469767258199</v>
      </c>
      <c r="AF5881" s="9">
        <v>47.802065076832598</v>
      </c>
      <c r="AG5881" s="9">
        <v>47.802065076832598</v>
      </c>
      <c r="AH5881" s="9">
        <v>52.368463891218347</v>
      </c>
      <c r="AI5881" s="9">
        <v>56.090712435126555</v>
      </c>
      <c r="AJ5881" s="9">
        <v>3.0428788910505911</v>
      </c>
    </row>
    <row r="5882" spans="1:36" x14ac:dyDescent="0.25">
      <c r="A5882" t="s">
        <v>5411</v>
      </c>
      <c r="B5882" t="s">
        <v>16</v>
      </c>
      <c r="C5882" t="s">
        <v>17</v>
      </c>
      <c r="D5882">
        <v>99457000</v>
      </c>
      <c r="E5882">
        <v>99459999</v>
      </c>
      <c r="F5882" t="s">
        <v>5318</v>
      </c>
      <c r="G5882" t="str">
        <f t="shared" si="182"/>
        <v>RSI II</v>
      </c>
      <c r="H5882" t="s">
        <v>4915</v>
      </c>
      <c r="I5882" t="s">
        <v>20</v>
      </c>
      <c r="J5882" t="s">
        <v>64</v>
      </c>
      <c r="K5882" s="6">
        <v>0.03</v>
      </c>
      <c r="L5882" s="7">
        <f t="shared" si="183"/>
        <v>2E-3</v>
      </c>
      <c r="M5882" s="7">
        <v>3.0000000000000001E-3</v>
      </c>
      <c r="N5882">
        <v>11</v>
      </c>
      <c r="O5882" s="8">
        <v>20.328747193832452</v>
      </c>
      <c r="P5882" s="9">
        <v>20.328747193832452</v>
      </c>
      <c r="Q5882" s="9">
        <v>20.328747193832452</v>
      </c>
      <c r="R5882" s="9">
        <v>20.901467178587069</v>
      </c>
      <c r="S5882" s="9">
        <v>21.789694031871221</v>
      </c>
      <c r="T5882" s="9">
        <v>22.685842380093916</v>
      </c>
      <c r="U5882" s="9">
        <v>25.139615720574728</v>
      </c>
      <c r="V5882" s="9">
        <v>25.139615720574728</v>
      </c>
      <c r="W5882" s="9">
        <v>25.139615720574728</v>
      </c>
      <c r="X5882" s="9">
        <v>28.431126761040446</v>
      </c>
      <c r="Y5882" s="9">
        <v>28.431126761040446</v>
      </c>
      <c r="Z5882" s="9">
        <v>31.8133765751437</v>
      </c>
      <c r="AA5882" s="9">
        <v>31.8133765751437</v>
      </c>
      <c r="AB5882" s="9">
        <v>35.295439040248269</v>
      </c>
      <c r="AC5882" s="9">
        <v>35.295439040248269</v>
      </c>
      <c r="AD5882" s="9">
        <v>40.66038110622798</v>
      </c>
      <c r="AE5882" s="9">
        <v>44.145469767258199</v>
      </c>
      <c r="AF5882" s="9">
        <v>47.802065076832598</v>
      </c>
      <c r="AG5882" s="9">
        <v>47.802065076832598</v>
      </c>
      <c r="AH5882" s="9">
        <v>52.368463891218347</v>
      </c>
      <c r="AI5882" s="9">
        <v>56.090712435126555</v>
      </c>
      <c r="AJ5882" s="9">
        <v>3.0428788910505911</v>
      </c>
    </row>
    <row r="5883" spans="1:36" x14ac:dyDescent="0.25">
      <c r="A5883" t="s">
        <v>5411</v>
      </c>
      <c r="B5883" t="s">
        <v>16</v>
      </c>
      <c r="C5883" t="s">
        <v>17</v>
      </c>
      <c r="D5883">
        <v>99460000</v>
      </c>
      <c r="E5883">
        <v>99469999</v>
      </c>
      <c r="F5883" t="s">
        <v>4535</v>
      </c>
      <c r="G5883" t="str">
        <f t="shared" si="182"/>
        <v>RSI II</v>
      </c>
      <c r="H5883" t="s">
        <v>4915</v>
      </c>
      <c r="I5883" t="s">
        <v>20</v>
      </c>
      <c r="J5883" t="s">
        <v>64</v>
      </c>
      <c r="K5883" s="6">
        <v>0.03</v>
      </c>
      <c r="L5883" s="7">
        <f t="shared" si="183"/>
        <v>2E-3</v>
      </c>
      <c r="M5883" s="7">
        <v>3.0000000000000001E-3</v>
      </c>
      <c r="N5883">
        <v>11</v>
      </c>
      <c r="O5883" s="8">
        <v>20.328747193832452</v>
      </c>
      <c r="P5883" s="9">
        <v>20.328747193832452</v>
      </c>
      <c r="Q5883" s="9">
        <v>20.328747193832452</v>
      </c>
      <c r="R5883" s="9">
        <v>20.901467178587069</v>
      </c>
      <c r="S5883" s="9">
        <v>21.789694031871221</v>
      </c>
      <c r="T5883" s="9">
        <v>22.685842380093916</v>
      </c>
      <c r="U5883" s="9">
        <v>25.139615720574728</v>
      </c>
      <c r="V5883" s="9">
        <v>25.139615720574728</v>
      </c>
      <c r="W5883" s="9">
        <v>25.139615720574728</v>
      </c>
      <c r="X5883" s="9">
        <v>28.431126761040446</v>
      </c>
      <c r="Y5883" s="9">
        <v>28.431126761040446</v>
      </c>
      <c r="Z5883" s="9">
        <v>31.8133765751437</v>
      </c>
      <c r="AA5883" s="9">
        <v>31.8133765751437</v>
      </c>
      <c r="AB5883" s="9">
        <v>35.295439040248269</v>
      </c>
      <c r="AC5883" s="9">
        <v>35.295439040248269</v>
      </c>
      <c r="AD5883" s="9">
        <v>40.66038110622798</v>
      </c>
      <c r="AE5883" s="9">
        <v>44.145469767258199</v>
      </c>
      <c r="AF5883" s="9">
        <v>47.802065076832598</v>
      </c>
      <c r="AG5883" s="9">
        <v>47.802065076832598</v>
      </c>
      <c r="AH5883" s="9">
        <v>52.368463891218347</v>
      </c>
      <c r="AI5883" s="9">
        <v>56.090712435126555</v>
      </c>
      <c r="AJ5883" s="9">
        <v>3.0428788910505911</v>
      </c>
    </row>
    <row r="5884" spans="1:36" x14ac:dyDescent="0.25">
      <c r="A5884" t="s">
        <v>5411</v>
      </c>
      <c r="B5884" t="s">
        <v>16</v>
      </c>
      <c r="C5884" t="s">
        <v>17</v>
      </c>
      <c r="D5884">
        <v>99470000</v>
      </c>
      <c r="E5884">
        <v>99489999</v>
      </c>
      <c r="F5884" t="s">
        <v>5319</v>
      </c>
      <c r="G5884" t="str">
        <f t="shared" si="182"/>
        <v>RSI II</v>
      </c>
      <c r="H5884" t="s">
        <v>4915</v>
      </c>
      <c r="I5884" t="s">
        <v>20</v>
      </c>
      <c r="J5884" t="s">
        <v>64</v>
      </c>
      <c r="K5884" s="6">
        <v>0.03</v>
      </c>
      <c r="L5884" s="7">
        <f t="shared" si="183"/>
        <v>2E-3</v>
      </c>
      <c r="M5884" s="7">
        <v>3.0000000000000001E-3</v>
      </c>
      <c r="N5884">
        <v>11</v>
      </c>
      <c r="O5884" s="8">
        <v>20.328747193832452</v>
      </c>
      <c r="P5884" s="9">
        <v>20.328747193832452</v>
      </c>
      <c r="Q5884" s="9">
        <v>20.328747193832452</v>
      </c>
      <c r="R5884" s="9">
        <v>20.901467178587069</v>
      </c>
      <c r="S5884" s="9">
        <v>21.789694031871221</v>
      </c>
      <c r="T5884" s="9">
        <v>22.685842380093916</v>
      </c>
      <c r="U5884" s="9">
        <v>25.139615720574728</v>
      </c>
      <c r="V5884" s="9">
        <v>25.139615720574728</v>
      </c>
      <c r="W5884" s="9">
        <v>25.139615720574728</v>
      </c>
      <c r="X5884" s="9">
        <v>28.431126761040446</v>
      </c>
      <c r="Y5884" s="9">
        <v>28.431126761040446</v>
      </c>
      <c r="Z5884" s="9">
        <v>31.8133765751437</v>
      </c>
      <c r="AA5884" s="9">
        <v>31.8133765751437</v>
      </c>
      <c r="AB5884" s="9">
        <v>35.295439040248269</v>
      </c>
      <c r="AC5884" s="9">
        <v>35.295439040248269</v>
      </c>
      <c r="AD5884" s="9">
        <v>40.66038110622798</v>
      </c>
      <c r="AE5884" s="9">
        <v>44.145469767258199</v>
      </c>
      <c r="AF5884" s="9">
        <v>47.802065076832598</v>
      </c>
      <c r="AG5884" s="9">
        <v>47.802065076832598</v>
      </c>
      <c r="AH5884" s="9">
        <v>52.368463891218347</v>
      </c>
      <c r="AI5884" s="9">
        <v>56.090712435126555</v>
      </c>
      <c r="AJ5884" s="9">
        <v>3.0428788910505911</v>
      </c>
    </row>
    <row r="5885" spans="1:36" x14ac:dyDescent="0.25">
      <c r="A5885" t="s">
        <v>5411</v>
      </c>
      <c r="B5885" t="s">
        <v>16</v>
      </c>
      <c r="C5885" t="s">
        <v>17</v>
      </c>
      <c r="D5885">
        <v>99490000</v>
      </c>
      <c r="E5885">
        <v>99494999</v>
      </c>
      <c r="F5885" t="s">
        <v>5320</v>
      </c>
      <c r="G5885" t="str">
        <f t="shared" si="182"/>
        <v>RSI II</v>
      </c>
      <c r="H5885" t="s">
        <v>4915</v>
      </c>
      <c r="I5885" t="s">
        <v>20</v>
      </c>
      <c r="J5885" t="s">
        <v>64</v>
      </c>
      <c r="K5885" s="6">
        <v>0.03</v>
      </c>
      <c r="L5885" s="7">
        <f t="shared" si="183"/>
        <v>2E-3</v>
      </c>
      <c r="M5885" s="7">
        <v>3.0000000000000001E-3</v>
      </c>
      <c r="N5885">
        <v>11</v>
      </c>
      <c r="O5885" s="8">
        <v>20.328747193832452</v>
      </c>
      <c r="P5885" s="9">
        <v>20.328747193832452</v>
      </c>
      <c r="Q5885" s="9">
        <v>20.328747193832452</v>
      </c>
      <c r="R5885" s="9">
        <v>20.901467178587069</v>
      </c>
      <c r="S5885" s="9">
        <v>21.789694031871221</v>
      </c>
      <c r="T5885" s="9">
        <v>22.685842380093916</v>
      </c>
      <c r="U5885" s="9">
        <v>25.139615720574728</v>
      </c>
      <c r="V5885" s="9">
        <v>25.139615720574728</v>
      </c>
      <c r="W5885" s="9">
        <v>25.139615720574728</v>
      </c>
      <c r="X5885" s="9">
        <v>28.431126761040446</v>
      </c>
      <c r="Y5885" s="9">
        <v>28.431126761040446</v>
      </c>
      <c r="Z5885" s="9">
        <v>31.8133765751437</v>
      </c>
      <c r="AA5885" s="9">
        <v>31.8133765751437</v>
      </c>
      <c r="AB5885" s="9">
        <v>35.295439040248269</v>
      </c>
      <c r="AC5885" s="9">
        <v>35.295439040248269</v>
      </c>
      <c r="AD5885" s="9">
        <v>40.66038110622798</v>
      </c>
      <c r="AE5885" s="9">
        <v>44.145469767258199</v>
      </c>
      <c r="AF5885" s="9">
        <v>47.802065076832598</v>
      </c>
      <c r="AG5885" s="9">
        <v>47.802065076832598</v>
      </c>
      <c r="AH5885" s="9">
        <v>52.368463891218347</v>
      </c>
      <c r="AI5885" s="9">
        <v>56.090712435126555</v>
      </c>
      <c r="AJ5885" s="9">
        <v>3.0428788910505911</v>
      </c>
    </row>
    <row r="5886" spans="1:36" x14ac:dyDescent="0.25">
      <c r="A5886" t="s">
        <v>5411</v>
      </c>
      <c r="B5886" t="s">
        <v>16</v>
      </c>
      <c r="C5886" t="s">
        <v>17</v>
      </c>
      <c r="D5886">
        <v>99495000</v>
      </c>
      <c r="E5886">
        <v>99499999</v>
      </c>
      <c r="F5886" t="s">
        <v>5321</v>
      </c>
      <c r="G5886" t="str">
        <f t="shared" si="182"/>
        <v>RSI II</v>
      </c>
      <c r="H5886" t="s">
        <v>4915</v>
      </c>
      <c r="I5886" t="s">
        <v>20</v>
      </c>
      <c r="J5886" t="s">
        <v>64</v>
      </c>
      <c r="K5886" s="6">
        <v>0.03</v>
      </c>
      <c r="L5886" s="7">
        <f t="shared" si="183"/>
        <v>2E-3</v>
      </c>
      <c r="M5886" s="7">
        <v>3.0000000000000001E-3</v>
      </c>
      <c r="N5886">
        <v>11</v>
      </c>
      <c r="O5886" s="8">
        <v>20.328747193832452</v>
      </c>
      <c r="P5886" s="9">
        <v>20.328747193832452</v>
      </c>
      <c r="Q5886" s="9">
        <v>20.328747193832452</v>
      </c>
      <c r="R5886" s="9">
        <v>20.901467178587069</v>
      </c>
      <c r="S5886" s="9">
        <v>21.789694031871221</v>
      </c>
      <c r="T5886" s="9">
        <v>22.685842380093916</v>
      </c>
      <c r="U5886" s="9">
        <v>25.139615720574728</v>
      </c>
      <c r="V5886" s="9">
        <v>25.139615720574728</v>
      </c>
      <c r="W5886" s="9">
        <v>25.139615720574728</v>
      </c>
      <c r="X5886" s="9">
        <v>28.431126761040446</v>
      </c>
      <c r="Y5886" s="9">
        <v>28.431126761040446</v>
      </c>
      <c r="Z5886" s="9">
        <v>31.8133765751437</v>
      </c>
      <c r="AA5886" s="9">
        <v>31.8133765751437</v>
      </c>
      <c r="AB5886" s="9">
        <v>35.295439040248269</v>
      </c>
      <c r="AC5886" s="9">
        <v>35.295439040248269</v>
      </c>
      <c r="AD5886" s="9">
        <v>40.66038110622798</v>
      </c>
      <c r="AE5886" s="9">
        <v>44.145469767258199</v>
      </c>
      <c r="AF5886" s="9">
        <v>47.802065076832598</v>
      </c>
      <c r="AG5886" s="9">
        <v>47.802065076832598</v>
      </c>
      <c r="AH5886" s="9">
        <v>52.368463891218347</v>
      </c>
      <c r="AI5886" s="9">
        <v>56.090712435126555</v>
      </c>
      <c r="AJ5886" s="9">
        <v>3.0428788910505911</v>
      </c>
    </row>
    <row r="5887" spans="1:36" x14ac:dyDescent="0.25">
      <c r="A5887" t="s">
        <v>5411</v>
      </c>
      <c r="B5887" t="s">
        <v>16</v>
      </c>
      <c r="C5887" t="s">
        <v>17</v>
      </c>
      <c r="D5887">
        <v>99500000</v>
      </c>
      <c r="E5887">
        <v>99522999</v>
      </c>
      <c r="F5887" t="s">
        <v>5322</v>
      </c>
      <c r="G5887" t="str">
        <f t="shared" si="182"/>
        <v>RSI</v>
      </c>
      <c r="H5887" t="s">
        <v>4915</v>
      </c>
      <c r="I5887" t="s">
        <v>20</v>
      </c>
      <c r="J5887" t="s">
        <v>62</v>
      </c>
      <c r="K5887" s="6">
        <v>0.03</v>
      </c>
      <c r="L5887" s="7">
        <f t="shared" si="183"/>
        <v>2E-3</v>
      </c>
      <c r="M5887" s="7">
        <v>3.0000000000000001E-3</v>
      </c>
      <c r="N5887">
        <v>9</v>
      </c>
      <c r="O5887" s="8">
        <v>17.509302802156309</v>
      </c>
      <c r="P5887" s="9">
        <v>17.509302802156309</v>
      </c>
      <c r="Q5887" s="9">
        <v>17.509302802156309</v>
      </c>
      <c r="R5887" s="9">
        <v>17.960073121579438</v>
      </c>
      <c r="S5887" s="9">
        <v>18.978426201825126</v>
      </c>
      <c r="T5887" s="9">
        <v>19.861619996324769</v>
      </c>
      <c r="U5887" s="9">
        <v>21.605211693624167</v>
      </c>
      <c r="V5887" s="9">
        <v>21.605211693624167</v>
      </c>
      <c r="W5887" s="9">
        <v>21.605211693624167</v>
      </c>
      <c r="X5887" s="9">
        <v>24.342346895578043</v>
      </c>
      <c r="Y5887" s="9">
        <v>24.342346895578043</v>
      </c>
      <c r="Z5887" s="9">
        <v>27.269806221922281</v>
      </c>
      <c r="AA5887" s="9">
        <v>27.269806221922281</v>
      </c>
      <c r="AB5887" s="9">
        <v>30.447232473217717</v>
      </c>
      <c r="AC5887" s="9">
        <v>30.447232473217717</v>
      </c>
      <c r="AD5887" s="9">
        <v>33.773696777878271</v>
      </c>
      <c r="AE5887" s="9">
        <v>37.668102449503657</v>
      </c>
      <c r="AF5887" s="9">
        <v>41.795656089883373</v>
      </c>
      <c r="AG5887" s="9">
        <v>41.795656089883373</v>
      </c>
      <c r="AH5887" s="9">
        <v>45.638668972740511</v>
      </c>
      <c r="AI5887" s="9">
        <v>49.380739592962819</v>
      </c>
      <c r="AJ5887" s="9">
        <v>3.0428788910505911</v>
      </c>
    </row>
    <row r="5888" spans="1:36" x14ac:dyDescent="0.25">
      <c r="A5888" t="s">
        <v>5411</v>
      </c>
      <c r="B5888" t="s">
        <v>16</v>
      </c>
      <c r="C5888" t="s">
        <v>17</v>
      </c>
      <c r="D5888">
        <v>99523000</v>
      </c>
      <c r="E5888">
        <v>99524999</v>
      </c>
      <c r="F5888" t="s">
        <v>5323</v>
      </c>
      <c r="G5888" t="str">
        <f t="shared" si="182"/>
        <v>RSI II</v>
      </c>
      <c r="H5888" t="s">
        <v>4915</v>
      </c>
      <c r="I5888" t="s">
        <v>20</v>
      </c>
      <c r="J5888" t="s">
        <v>64</v>
      </c>
      <c r="K5888" s="6">
        <v>0.03</v>
      </c>
      <c r="L5888" s="7">
        <f t="shared" si="183"/>
        <v>2E-3</v>
      </c>
      <c r="M5888" s="7">
        <v>3.0000000000000001E-3</v>
      </c>
      <c r="N5888">
        <v>11</v>
      </c>
      <c r="O5888" s="8">
        <v>20.328747193832452</v>
      </c>
      <c r="P5888" s="9">
        <v>20.328747193832452</v>
      </c>
      <c r="Q5888" s="9">
        <v>20.328747193832452</v>
      </c>
      <c r="R5888" s="9">
        <v>20.901467178587069</v>
      </c>
      <c r="S5888" s="9">
        <v>21.789694031871221</v>
      </c>
      <c r="T5888" s="9">
        <v>22.685842380093916</v>
      </c>
      <c r="U5888" s="9">
        <v>25.139615720574728</v>
      </c>
      <c r="V5888" s="9">
        <v>25.139615720574728</v>
      </c>
      <c r="W5888" s="9">
        <v>25.139615720574728</v>
      </c>
      <c r="X5888" s="9">
        <v>28.431126761040446</v>
      </c>
      <c r="Y5888" s="9">
        <v>28.431126761040446</v>
      </c>
      <c r="Z5888" s="9">
        <v>31.8133765751437</v>
      </c>
      <c r="AA5888" s="9">
        <v>31.8133765751437</v>
      </c>
      <c r="AB5888" s="9">
        <v>35.295439040248269</v>
      </c>
      <c r="AC5888" s="9">
        <v>35.295439040248269</v>
      </c>
      <c r="AD5888" s="9">
        <v>40.66038110622798</v>
      </c>
      <c r="AE5888" s="9">
        <v>44.145469767258199</v>
      </c>
      <c r="AF5888" s="9">
        <v>47.802065076832598</v>
      </c>
      <c r="AG5888" s="9">
        <v>47.802065076832598</v>
      </c>
      <c r="AH5888" s="9">
        <v>52.368463891218347</v>
      </c>
      <c r="AI5888" s="9">
        <v>56.090712435126555</v>
      </c>
      <c r="AJ5888" s="9">
        <v>3.0428788910505911</v>
      </c>
    </row>
    <row r="5889" spans="1:36" x14ac:dyDescent="0.25">
      <c r="A5889" t="s">
        <v>5411</v>
      </c>
      <c r="B5889" t="s">
        <v>16</v>
      </c>
      <c r="C5889" t="s">
        <v>17</v>
      </c>
      <c r="D5889">
        <v>99525000</v>
      </c>
      <c r="E5889">
        <v>99527999</v>
      </c>
      <c r="F5889" t="s">
        <v>5324</v>
      </c>
      <c r="G5889" t="str">
        <f t="shared" si="182"/>
        <v>RSI II</v>
      </c>
      <c r="H5889" t="s">
        <v>4915</v>
      </c>
      <c r="I5889" t="s">
        <v>20</v>
      </c>
      <c r="J5889" t="s">
        <v>64</v>
      </c>
      <c r="K5889" s="6">
        <v>0.03</v>
      </c>
      <c r="L5889" s="7">
        <f t="shared" si="183"/>
        <v>2E-3</v>
      </c>
      <c r="M5889" s="7">
        <v>3.0000000000000001E-3</v>
      </c>
      <c r="N5889">
        <v>11</v>
      </c>
      <c r="O5889" s="8">
        <v>20.328747193832452</v>
      </c>
      <c r="P5889" s="9">
        <v>20.328747193832452</v>
      </c>
      <c r="Q5889" s="9">
        <v>20.328747193832452</v>
      </c>
      <c r="R5889" s="9">
        <v>20.901467178587069</v>
      </c>
      <c r="S5889" s="9">
        <v>21.789694031871221</v>
      </c>
      <c r="T5889" s="9">
        <v>22.685842380093916</v>
      </c>
      <c r="U5889" s="9">
        <v>25.139615720574728</v>
      </c>
      <c r="V5889" s="9">
        <v>25.139615720574728</v>
      </c>
      <c r="W5889" s="9">
        <v>25.139615720574728</v>
      </c>
      <c r="X5889" s="9">
        <v>28.431126761040446</v>
      </c>
      <c r="Y5889" s="9">
        <v>28.431126761040446</v>
      </c>
      <c r="Z5889" s="9">
        <v>31.8133765751437</v>
      </c>
      <c r="AA5889" s="9">
        <v>31.8133765751437</v>
      </c>
      <c r="AB5889" s="9">
        <v>35.295439040248269</v>
      </c>
      <c r="AC5889" s="9">
        <v>35.295439040248269</v>
      </c>
      <c r="AD5889" s="9">
        <v>40.66038110622798</v>
      </c>
      <c r="AE5889" s="9">
        <v>44.145469767258199</v>
      </c>
      <c r="AF5889" s="9">
        <v>47.802065076832598</v>
      </c>
      <c r="AG5889" s="9">
        <v>47.802065076832598</v>
      </c>
      <c r="AH5889" s="9">
        <v>52.368463891218347</v>
      </c>
      <c r="AI5889" s="9">
        <v>56.090712435126555</v>
      </c>
      <c r="AJ5889" s="9">
        <v>3.0428788910505911</v>
      </c>
    </row>
    <row r="5890" spans="1:36" x14ac:dyDescent="0.25">
      <c r="A5890" t="s">
        <v>5411</v>
      </c>
      <c r="B5890" t="s">
        <v>16</v>
      </c>
      <c r="C5890" t="s">
        <v>17</v>
      </c>
      <c r="D5890">
        <v>99528000</v>
      </c>
      <c r="E5890">
        <v>99529999</v>
      </c>
      <c r="F5890" t="s">
        <v>5325</v>
      </c>
      <c r="G5890" t="str">
        <f t="shared" si="182"/>
        <v>RSI II</v>
      </c>
      <c r="H5890" t="s">
        <v>4915</v>
      </c>
      <c r="I5890" t="s">
        <v>20</v>
      </c>
      <c r="J5890" t="s">
        <v>64</v>
      </c>
      <c r="K5890" s="6">
        <v>0.03</v>
      </c>
      <c r="L5890" s="7">
        <f t="shared" si="183"/>
        <v>2E-3</v>
      </c>
      <c r="M5890" s="7">
        <v>3.0000000000000001E-3</v>
      </c>
      <c r="N5890">
        <v>11</v>
      </c>
      <c r="O5890" s="8">
        <v>20.328747193832452</v>
      </c>
      <c r="P5890" s="9">
        <v>20.328747193832452</v>
      </c>
      <c r="Q5890" s="9">
        <v>20.328747193832452</v>
      </c>
      <c r="R5890" s="9">
        <v>20.901467178587069</v>
      </c>
      <c r="S5890" s="9">
        <v>21.789694031871221</v>
      </c>
      <c r="T5890" s="9">
        <v>22.685842380093916</v>
      </c>
      <c r="U5890" s="9">
        <v>25.139615720574728</v>
      </c>
      <c r="V5890" s="9">
        <v>25.139615720574728</v>
      </c>
      <c r="W5890" s="9">
        <v>25.139615720574728</v>
      </c>
      <c r="X5890" s="9">
        <v>28.431126761040446</v>
      </c>
      <c r="Y5890" s="9">
        <v>28.431126761040446</v>
      </c>
      <c r="Z5890" s="9">
        <v>31.8133765751437</v>
      </c>
      <c r="AA5890" s="9">
        <v>31.8133765751437</v>
      </c>
      <c r="AB5890" s="9">
        <v>35.295439040248269</v>
      </c>
      <c r="AC5890" s="9">
        <v>35.295439040248269</v>
      </c>
      <c r="AD5890" s="9">
        <v>40.66038110622798</v>
      </c>
      <c r="AE5890" s="9">
        <v>44.145469767258199</v>
      </c>
      <c r="AF5890" s="9">
        <v>47.802065076832598</v>
      </c>
      <c r="AG5890" s="9">
        <v>47.802065076832598</v>
      </c>
      <c r="AH5890" s="9">
        <v>52.368463891218347</v>
      </c>
      <c r="AI5890" s="9">
        <v>56.090712435126555</v>
      </c>
      <c r="AJ5890" s="9">
        <v>3.0428788910505911</v>
      </c>
    </row>
    <row r="5891" spans="1:36" x14ac:dyDescent="0.25">
      <c r="A5891" t="s">
        <v>5411</v>
      </c>
      <c r="B5891" t="s">
        <v>16</v>
      </c>
      <c r="C5891" t="s">
        <v>17</v>
      </c>
      <c r="D5891">
        <v>99530000</v>
      </c>
      <c r="E5891">
        <v>99559999</v>
      </c>
      <c r="F5891" t="s">
        <v>5326</v>
      </c>
      <c r="G5891" t="str">
        <f t="shared" si="182"/>
        <v>RSI II</v>
      </c>
      <c r="H5891" t="s">
        <v>4915</v>
      </c>
      <c r="I5891" t="s">
        <v>20</v>
      </c>
      <c r="J5891" t="s">
        <v>64</v>
      </c>
      <c r="K5891" s="6">
        <v>0.03</v>
      </c>
      <c r="L5891" s="7">
        <f t="shared" si="183"/>
        <v>2E-3</v>
      </c>
      <c r="M5891" s="7">
        <v>3.0000000000000001E-3</v>
      </c>
      <c r="N5891">
        <v>11</v>
      </c>
      <c r="O5891" s="8">
        <v>20.328747193832452</v>
      </c>
      <c r="P5891" s="9">
        <v>20.328747193832452</v>
      </c>
      <c r="Q5891" s="9">
        <v>20.328747193832452</v>
      </c>
      <c r="R5891" s="9">
        <v>20.901467178587069</v>
      </c>
      <c r="S5891" s="9">
        <v>21.789694031871221</v>
      </c>
      <c r="T5891" s="9">
        <v>22.685842380093916</v>
      </c>
      <c r="U5891" s="9">
        <v>25.139615720574728</v>
      </c>
      <c r="V5891" s="9">
        <v>25.139615720574728</v>
      </c>
      <c r="W5891" s="9">
        <v>25.139615720574728</v>
      </c>
      <c r="X5891" s="9">
        <v>28.431126761040446</v>
      </c>
      <c r="Y5891" s="9">
        <v>28.431126761040446</v>
      </c>
      <c r="Z5891" s="9">
        <v>31.8133765751437</v>
      </c>
      <c r="AA5891" s="9">
        <v>31.8133765751437</v>
      </c>
      <c r="AB5891" s="9">
        <v>35.295439040248269</v>
      </c>
      <c r="AC5891" s="9">
        <v>35.295439040248269</v>
      </c>
      <c r="AD5891" s="9">
        <v>40.66038110622798</v>
      </c>
      <c r="AE5891" s="9">
        <v>44.145469767258199</v>
      </c>
      <c r="AF5891" s="9">
        <v>47.802065076832598</v>
      </c>
      <c r="AG5891" s="9">
        <v>47.802065076832598</v>
      </c>
      <c r="AH5891" s="9">
        <v>52.368463891218347</v>
      </c>
      <c r="AI5891" s="9">
        <v>56.090712435126555</v>
      </c>
      <c r="AJ5891" s="9">
        <v>3.0428788910505911</v>
      </c>
    </row>
    <row r="5892" spans="1:36" x14ac:dyDescent="0.25">
      <c r="A5892" t="s">
        <v>5411</v>
      </c>
      <c r="B5892" t="s">
        <v>16</v>
      </c>
      <c r="C5892" t="s">
        <v>17</v>
      </c>
      <c r="D5892">
        <v>99560000</v>
      </c>
      <c r="E5892">
        <v>99579999</v>
      </c>
      <c r="F5892" t="s">
        <v>5327</v>
      </c>
      <c r="G5892" t="str">
        <f t="shared" ref="G5892:G5953" si="184">H5892&amp;IF(J5892="CAPITAL","C",IF(J5892="INTERIOR","I",IF(J5892="INTERIOR II","I II","R")))</f>
        <v>RSI II</v>
      </c>
      <c r="H5892" t="s">
        <v>4915</v>
      </c>
      <c r="I5892" t="s">
        <v>20</v>
      </c>
      <c r="J5892" t="s">
        <v>64</v>
      </c>
      <c r="K5892" s="6">
        <v>0.03</v>
      </c>
      <c r="L5892" s="7">
        <f t="shared" ref="L5892:L5953" si="185">IF(I5892="(0) Não",0.2%,3%)</f>
        <v>2E-3</v>
      </c>
      <c r="M5892" s="7">
        <v>3.0000000000000001E-3</v>
      </c>
      <c r="N5892">
        <v>11</v>
      </c>
      <c r="O5892" s="8">
        <v>20.328747193832452</v>
      </c>
      <c r="P5892" s="9">
        <v>20.328747193832452</v>
      </c>
      <c r="Q5892" s="9">
        <v>20.328747193832452</v>
      </c>
      <c r="R5892" s="9">
        <v>20.901467178587069</v>
      </c>
      <c r="S5892" s="9">
        <v>21.789694031871221</v>
      </c>
      <c r="T5892" s="9">
        <v>22.685842380093916</v>
      </c>
      <c r="U5892" s="9">
        <v>25.139615720574728</v>
      </c>
      <c r="V5892" s="9">
        <v>25.139615720574728</v>
      </c>
      <c r="W5892" s="9">
        <v>25.139615720574728</v>
      </c>
      <c r="X5892" s="9">
        <v>28.431126761040446</v>
      </c>
      <c r="Y5892" s="9">
        <v>28.431126761040446</v>
      </c>
      <c r="Z5892" s="9">
        <v>31.8133765751437</v>
      </c>
      <c r="AA5892" s="9">
        <v>31.8133765751437</v>
      </c>
      <c r="AB5892" s="9">
        <v>35.295439040248269</v>
      </c>
      <c r="AC5892" s="9">
        <v>35.295439040248269</v>
      </c>
      <c r="AD5892" s="9">
        <v>40.66038110622798</v>
      </c>
      <c r="AE5892" s="9">
        <v>44.145469767258199</v>
      </c>
      <c r="AF5892" s="9">
        <v>47.802065076832598</v>
      </c>
      <c r="AG5892" s="9">
        <v>47.802065076832598</v>
      </c>
      <c r="AH5892" s="9">
        <v>52.368463891218347</v>
      </c>
      <c r="AI5892" s="9">
        <v>56.090712435126555</v>
      </c>
      <c r="AJ5892" s="9">
        <v>3.0428788910505911</v>
      </c>
    </row>
    <row r="5893" spans="1:36" x14ac:dyDescent="0.25">
      <c r="A5893" t="s">
        <v>5411</v>
      </c>
      <c r="B5893" t="s">
        <v>16</v>
      </c>
      <c r="C5893" t="s">
        <v>17</v>
      </c>
      <c r="D5893">
        <v>99580000</v>
      </c>
      <c r="E5893">
        <v>99584999</v>
      </c>
      <c r="F5893" t="s">
        <v>5328</v>
      </c>
      <c r="G5893" t="str">
        <f t="shared" si="184"/>
        <v>RSI II</v>
      </c>
      <c r="H5893" t="s">
        <v>4915</v>
      </c>
      <c r="I5893" t="s">
        <v>20</v>
      </c>
      <c r="J5893" t="s">
        <v>64</v>
      </c>
      <c r="K5893" s="6">
        <v>0.03</v>
      </c>
      <c r="L5893" s="7">
        <f t="shared" si="185"/>
        <v>2E-3</v>
      </c>
      <c r="M5893" s="7">
        <v>3.0000000000000001E-3</v>
      </c>
      <c r="N5893">
        <v>11</v>
      </c>
      <c r="O5893" s="8">
        <v>20.328747193832452</v>
      </c>
      <c r="P5893" s="9">
        <v>20.328747193832452</v>
      </c>
      <c r="Q5893" s="9">
        <v>20.328747193832452</v>
      </c>
      <c r="R5893" s="9">
        <v>20.901467178587069</v>
      </c>
      <c r="S5893" s="9">
        <v>21.789694031871221</v>
      </c>
      <c r="T5893" s="9">
        <v>22.685842380093916</v>
      </c>
      <c r="U5893" s="9">
        <v>25.139615720574728</v>
      </c>
      <c r="V5893" s="9">
        <v>25.139615720574728</v>
      </c>
      <c r="W5893" s="9">
        <v>25.139615720574728</v>
      </c>
      <c r="X5893" s="9">
        <v>28.431126761040446</v>
      </c>
      <c r="Y5893" s="9">
        <v>28.431126761040446</v>
      </c>
      <c r="Z5893" s="9">
        <v>31.8133765751437</v>
      </c>
      <c r="AA5893" s="9">
        <v>31.8133765751437</v>
      </c>
      <c r="AB5893" s="9">
        <v>35.295439040248269</v>
      </c>
      <c r="AC5893" s="9">
        <v>35.295439040248269</v>
      </c>
      <c r="AD5893" s="9">
        <v>40.66038110622798</v>
      </c>
      <c r="AE5893" s="9">
        <v>44.145469767258199</v>
      </c>
      <c r="AF5893" s="9">
        <v>47.802065076832598</v>
      </c>
      <c r="AG5893" s="9">
        <v>47.802065076832598</v>
      </c>
      <c r="AH5893" s="9">
        <v>52.368463891218347</v>
      </c>
      <c r="AI5893" s="9">
        <v>56.090712435126555</v>
      </c>
      <c r="AJ5893" s="9">
        <v>3.0428788910505911</v>
      </c>
    </row>
    <row r="5894" spans="1:36" x14ac:dyDescent="0.25">
      <c r="A5894" t="s">
        <v>5411</v>
      </c>
      <c r="B5894" t="s">
        <v>16</v>
      </c>
      <c r="C5894" t="s">
        <v>17</v>
      </c>
      <c r="D5894">
        <v>99585000</v>
      </c>
      <c r="E5894">
        <v>99589999</v>
      </c>
      <c r="F5894" t="s">
        <v>5329</v>
      </c>
      <c r="G5894" t="str">
        <f t="shared" si="184"/>
        <v>RSI II</v>
      </c>
      <c r="H5894" t="s">
        <v>4915</v>
      </c>
      <c r="I5894" t="s">
        <v>20</v>
      </c>
      <c r="J5894" t="s">
        <v>64</v>
      </c>
      <c r="K5894" s="6">
        <v>0.03</v>
      </c>
      <c r="L5894" s="7">
        <f t="shared" si="185"/>
        <v>2E-3</v>
      </c>
      <c r="M5894" s="7">
        <v>3.0000000000000001E-3</v>
      </c>
      <c r="N5894">
        <v>11</v>
      </c>
      <c r="O5894" s="8">
        <v>20.328747193832452</v>
      </c>
      <c r="P5894" s="9">
        <v>20.328747193832452</v>
      </c>
      <c r="Q5894" s="9">
        <v>20.328747193832452</v>
      </c>
      <c r="R5894" s="9">
        <v>20.901467178587069</v>
      </c>
      <c r="S5894" s="9">
        <v>21.789694031871221</v>
      </c>
      <c r="T5894" s="9">
        <v>22.685842380093916</v>
      </c>
      <c r="U5894" s="9">
        <v>25.139615720574728</v>
      </c>
      <c r="V5894" s="9">
        <v>25.139615720574728</v>
      </c>
      <c r="W5894" s="9">
        <v>25.139615720574728</v>
      </c>
      <c r="X5894" s="9">
        <v>28.431126761040446</v>
      </c>
      <c r="Y5894" s="9">
        <v>28.431126761040446</v>
      </c>
      <c r="Z5894" s="9">
        <v>31.8133765751437</v>
      </c>
      <c r="AA5894" s="9">
        <v>31.8133765751437</v>
      </c>
      <c r="AB5894" s="9">
        <v>35.295439040248269</v>
      </c>
      <c r="AC5894" s="9">
        <v>35.295439040248269</v>
      </c>
      <c r="AD5894" s="9">
        <v>40.66038110622798</v>
      </c>
      <c r="AE5894" s="9">
        <v>44.145469767258199</v>
      </c>
      <c r="AF5894" s="9">
        <v>47.802065076832598</v>
      </c>
      <c r="AG5894" s="9">
        <v>47.802065076832598</v>
      </c>
      <c r="AH5894" s="9">
        <v>52.368463891218347</v>
      </c>
      <c r="AI5894" s="9">
        <v>56.090712435126555</v>
      </c>
      <c r="AJ5894" s="9">
        <v>3.0428788910505911</v>
      </c>
    </row>
    <row r="5895" spans="1:36" x14ac:dyDescent="0.25">
      <c r="A5895" t="s">
        <v>5411</v>
      </c>
      <c r="B5895" t="s">
        <v>16</v>
      </c>
      <c r="C5895" t="s">
        <v>17</v>
      </c>
      <c r="D5895">
        <v>99590000</v>
      </c>
      <c r="E5895">
        <v>99599999</v>
      </c>
      <c r="F5895" t="s">
        <v>5330</v>
      </c>
      <c r="G5895" t="str">
        <f t="shared" si="184"/>
        <v>RSI II</v>
      </c>
      <c r="H5895" t="s">
        <v>4915</v>
      </c>
      <c r="I5895" t="s">
        <v>20</v>
      </c>
      <c r="J5895" t="s">
        <v>64</v>
      </c>
      <c r="K5895" s="6">
        <v>0.03</v>
      </c>
      <c r="L5895" s="7">
        <f t="shared" si="185"/>
        <v>2E-3</v>
      </c>
      <c r="M5895" s="7">
        <v>3.0000000000000001E-3</v>
      </c>
      <c r="N5895">
        <v>11</v>
      </c>
      <c r="O5895" s="8">
        <v>20.328747193832452</v>
      </c>
      <c r="P5895" s="9">
        <v>20.328747193832452</v>
      </c>
      <c r="Q5895" s="9">
        <v>20.328747193832452</v>
      </c>
      <c r="R5895" s="9">
        <v>20.901467178587069</v>
      </c>
      <c r="S5895" s="9">
        <v>21.789694031871221</v>
      </c>
      <c r="T5895" s="9">
        <v>22.685842380093916</v>
      </c>
      <c r="U5895" s="9">
        <v>25.139615720574728</v>
      </c>
      <c r="V5895" s="9">
        <v>25.139615720574728</v>
      </c>
      <c r="W5895" s="9">
        <v>25.139615720574728</v>
      </c>
      <c r="X5895" s="9">
        <v>28.431126761040446</v>
      </c>
      <c r="Y5895" s="9">
        <v>28.431126761040446</v>
      </c>
      <c r="Z5895" s="9">
        <v>31.8133765751437</v>
      </c>
      <c r="AA5895" s="9">
        <v>31.8133765751437</v>
      </c>
      <c r="AB5895" s="9">
        <v>35.295439040248269</v>
      </c>
      <c r="AC5895" s="9">
        <v>35.295439040248269</v>
      </c>
      <c r="AD5895" s="9">
        <v>40.66038110622798</v>
      </c>
      <c r="AE5895" s="9">
        <v>44.145469767258199</v>
      </c>
      <c r="AF5895" s="9">
        <v>47.802065076832598</v>
      </c>
      <c r="AG5895" s="9">
        <v>47.802065076832598</v>
      </c>
      <c r="AH5895" s="9">
        <v>52.368463891218347</v>
      </c>
      <c r="AI5895" s="9">
        <v>56.090712435126555</v>
      </c>
      <c r="AJ5895" s="9">
        <v>3.0428788910505911</v>
      </c>
    </row>
    <row r="5896" spans="1:36" x14ac:dyDescent="0.25">
      <c r="A5896" t="s">
        <v>5411</v>
      </c>
      <c r="B5896" t="s">
        <v>16</v>
      </c>
      <c r="C5896" t="s">
        <v>17</v>
      </c>
      <c r="D5896">
        <v>99600000</v>
      </c>
      <c r="E5896">
        <v>99604999</v>
      </c>
      <c r="F5896" t="s">
        <v>5331</v>
      </c>
      <c r="G5896" t="str">
        <f t="shared" si="184"/>
        <v>RSI II</v>
      </c>
      <c r="H5896" t="s">
        <v>4915</v>
      </c>
      <c r="I5896" t="s">
        <v>20</v>
      </c>
      <c r="J5896" t="s">
        <v>64</v>
      </c>
      <c r="K5896" s="6">
        <v>0.03</v>
      </c>
      <c r="L5896" s="7">
        <f t="shared" si="185"/>
        <v>2E-3</v>
      </c>
      <c r="M5896" s="7">
        <v>3.0000000000000001E-3</v>
      </c>
      <c r="N5896">
        <v>11</v>
      </c>
      <c r="O5896" s="8">
        <v>20.328747193832452</v>
      </c>
      <c r="P5896" s="9">
        <v>20.328747193832452</v>
      </c>
      <c r="Q5896" s="9">
        <v>20.328747193832452</v>
      </c>
      <c r="R5896" s="9">
        <v>20.901467178587069</v>
      </c>
      <c r="S5896" s="9">
        <v>21.789694031871221</v>
      </c>
      <c r="T5896" s="9">
        <v>22.685842380093916</v>
      </c>
      <c r="U5896" s="9">
        <v>25.139615720574728</v>
      </c>
      <c r="V5896" s="9">
        <v>25.139615720574728</v>
      </c>
      <c r="W5896" s="9">
        <v>25.139615720574728</v>
      </c>
      <c r="X5896" s="9">
        <v>28.431126761040446</v>
      </c>
      <c r="Y5896" s="9">
        <v>28.431126761040446</v>
      </c>
      <c r="Z5896" s="9">
        <v>31.8133765751437</v>
      </c>
      <c r="AA5896" s="9">
        <v>31.8133765751437</v>
      </c>
      <c r="AB5896" s="9">
        <v>35.295439040248269</v>
      </c>
      <c r="AC5896" s="9">
        <v>35.295439040248269</v>
      </c>
      <c r="AD5896" s="9">
        <v>40.66038110622798</v>
      </c>
      <c r="AE5896" s="9">
        <v>44.145469767258199</v>
      </c>
      <c r="AF5896" s="9">
        <v>47.802065076832598</v>
      </c>
      <c r="AG5896" s="9">
        <v>47.802065076832598</v>
      </c>
      <c r="AH5896" s="9">
        <v>52.368463891218347</v>
      </c>
      <c r="AI5896" s="9">
        <v>56.090712435126555</v>
      </c>
      <c r="AJ5896" s="9">
        <v>3.0428788910505911</v>
      </c>
    </row>
    <row r="5897" spans="1:36" x14ac:dyDescent="0.25">
      <c r="A5897" t="s">
        <v>5411</v>
      </c>
      <c r="B5897" t="s">
        <v>16</v>
      </c>
      <c r="C5897" t="s">
        <v>17</v>
      </c>
      <c r="D5897">
        <v>99605000</v>
      </c>
      <c r="E5897">
        <v>99609999</v>
      </c>
      <c r="F5897" t="s">
        <v>5332</v>
      </c>
      <c r="G5897" t="str">
        <f t="shared" si="184"/>
        <v>RSI</v>
      </c>
      <c r="H5897" t="s">
        <v>4915</v>
      </c>
      <c r="I5897" t="s">
        <v>20</v>
      </c>
      <c r="J5897" t="s">
        <v>62</v>
      </c>
      <c r="K5897" s="6">
        <v>0.03</v>
      </c>
      <c r="L5897" s="7">
        <f t="shared" si="185"/>
        <v>2E-3</v>
      </c>
      <c r="M5897" s="7">
        <v>3.0000000000000001E-3</v>
      </c>
      <c r="N5897">
        <v>12</v>
      </c>
      <c r="O5897" s="8">
        <v>17.509302802156309</v>
      </c>
      <c r="P5897" s="9">
        <v>17.509302802156309</v>
      </c>
      <c r="Q5897" s="9">
        <v>17.509302802156309</v>
      </c>
      <c r="R5897" s="9">
        <v>17.960073121579438</v>
      </c>
      <c r="S5897" s="9">
        <v>18.978426201825126</v>
      </c>
      <c r="T5897" s="9">
        <v>19.861619996324769</v>
      </c>
      <c r="U5897" s="9">
        <v>21.605211693624167</v>
      </c>
      <c r="V5897" s="9">
        <v>21.605211693624167</v>
      </c>
      <c r="W5897" s="9">
        <v>21.605211693624167</v>
      </c>
      <c r="X5897" s="9">
        <v>24.342346895578043</v>
      </c>
      <c r="Y5897" s="9">
        <v>24.342346895578043</v>
      </c>
      <c r="Z5897" s="9">
        <v>27.269806221922281</v>
      </c>
      <c r="AA5897" s="9">
        <v>27.269806221922281</v>
      </c>
      <c r="AB5897" s="9">
        <v>30.447232473217717</v>
      </c>
      <c r="AC5897" s="9">
        <v>30.447232473217717</v>
      </c>
      <c r="AD5897" s="9">
        <v>33.773696777878271</v>
      </c>
      <c r="AE5897" s="9">
        <v>37.668102449503657</v>
      </c>
      <c r="AF5897" s="9">
        <v>41.795656089883373</v>
      </c>
      <c r="AG5897" s="9">
        <v>41.795656089883373</v>
      </c>
      <c r="AH5897" s="9">
        <v>45.638668972740511</v>
      </c>
      <c r="AI5897" s="9">
        <v>49.380739592962819</v>
      </c>
      <c r="AJ5897" s="9">
        <v>3.0428788910505911</v>
      </c>
    </row>
    <row r="5898" spans="1:36" x14ac:dyDescent="0.25">
      <c r="A5898" t="s">
        <v>5411</v>
      </c>
      <c r="B5898" t="s">
        <v>16</v>
      </c>
      <c r="C5898" t="s">
        <v>17</v>
      </c>
      <c r="D5898">
        <v>99610000</v>
      </c>
      <c r="E5898">
        <v>99614999</v>
      </c>
      <c r="F5898" t="s">
        <v>5333</v>
      </c>
      <c r="G5898" t="str">
        <f t="shared" si="184"/>
        <v>RSI</v>
      </c>
      <c r="H5898" t="s">
        <v>4915</v>
      </c>
      <c r="I5898" t="s">
        <v>20</v>
      </c>
      <c r="J5898" t="s">
        <v>62</v>
      </c>
      <c r="K5898" s="6">
        <v>0.03</v>
      </c>
      <c r="L5898" s="7">
        <f t="shared" si="185"/>
        <v>2E-3</v>
      </c>
      <c r="M5898" s="7">
        <v>3.0000000000000001E-3</v>
      </c>
      <c r="N5898">
        <v>12</v>
      </c>
      <c r="O5898" s="8">
        <v>17.509302802156309</v>
      </c>
      <c r="P5898" s="9">
        <v>17.509302802156309</v>
      </c>
      <c r="Q5898" s="9">
        <v>17.509302802156309</v>
      </c>
      <c r="R5898" s="9">
        <v>17.960073121579438</v>
      </c>
      <c r="S5898" s="9">
        <v>18.978426201825126</v>
      </c>
      <c r="T5898" s="9">
        <v>19.861619996324769</v>
      </c>
      <c r="U5898" s="9">
        <v>21.605211693624167</v>
      </c>
      <c r="V5898" s="9">
        <v>21.605211693624167</v>
      </c>
      <c r="W5898" s="9">
        <v>21.605211693624167</v>
      </c>
      <c r="X5898" s="9">
        <v>24.342346895578043</v>
      </c>
      <c r="Y5898" s="9">
        <v>24.342346895578043</v>
      </c>
      <c r="Z5898" s="9">
        <v>27.269806221922281</v>
      </c>
      <c r="AA5898" s="9">
        <v>27.269806221922281</v>
      </c>
      <c r="AB5898" s="9">
        <v>30.447232473217717</v>
      </c>
      <c r="AC5898" s="9">
        <v>30.447232473217717</v>
      </c>
      <c r="AD5898" s="9">
        <v>33.773696777878271</v>
      </c>
      <c r="AE5898" s="9">
        <v>37.668102449503657</v>
      </c>
      <c r="AF5898" s="9">
        <v>41.795656089883373</v>
      </c>
      <c r="AG5898" s="9">
        <v>41.795656089883373</v>
      </c>
      <c r="AH5898" s="9">
        <v>45.638668972740511</v>
      </c>
      <c r="AI5898" s="9">
        <v>49.380739592962819</v>
      </c>
      <c r="AJ5898" s="9">
        <v>3.0428788910505911</v>
      </c>
    </row>
    <row r="5899" spans="1:36" x14ac:dyDescent="0.25">
      <c r="A5899" t="s">
        <v>5411</v>
      </c>
      <c r="B5899" t="s">
        <v>16</v>
      </c>
      <c r="C5899" t="s">
        <v>17</v>
      </c>
      <c r="D5899">
        <v>99615000</v>
      </c>
      <c r="E5899">
        <v>99639999</v>
      </c>
      <c r="F5899" t="s">
        <v>5334</v>
      </c>
      <c r="G5899" t="str">
        <f t="shared" si="184"/>
        <v>RSI II</v>
      </c>
      <c r="H5899" t="s">
        <v>4915</v>
      </c>
      <c r="I5899" t="s">
        <v>20</v>
      </c>
      <c r="J5899" t="s">
        <v>64</v>
      </c>
      <c r="K5899" s="6">
        <v>0.03</v>
      </c>
      <c r="L5899" s="7">
        <f t="shared" si="185"/>
        <v>2E-3</v>
      </c>
      <c r="M5899" s="7">
        <v>3.0000000000000001E-3</v>
      </c>
      <c r="N5899">
        <v>11</v>
      </c>
      <c r="O5899" s="8">
        <v>20.328747193832452</v>
      </c>
      <c r="P5899" s="9">
        <v>20.328747193832452</v>
      </c>
      <c r="Q5899" s="9">
        <v>20.328747193832452</v>
      </c>
      <c r="R5899" s="9">
        <v>20.901467178587069</v>
      </c>
      <c r="S5899" s="9">
        <v>21.789694031871221</v>
      </c>
      <c r="T5899" s="9">
        <v>22.685842380093916</v>
      </c>
      <c r="U5899" s="9">
        <v>25.139615720574728</v>
      </c>
      <c r="V5899" s="9">
        <v>25.139615720574728</v>
      </c>
      <c r="W5899" s="9">
        <v>25.139615720574728</v>
      </c>
      <c r="X5899" s="9">
        <v>28.431126761040446</v>
      </c>
      <c r="Y5899" s="9">
        <v>28.431126761040446</v>
      </c>
      <c r="Z5899" s="9">
        <v>31.8133765751437</v>
      </c>
      <c r="AA5899" s="9">
        <v>31.8133765751437</v>
      </c>
      <c r="AB5899" s="9">
        <v>35.295439040248269</v>
      </c>
      <c r="AC5899" s="9">
        <v>35.295439040248269</v>
      </c>
      <c r="AD5899" s="9">
        <v>40.66038110622798</v>
      </c>
      <c r="AE5899" s="9">
        <v>44.145469767258199</v>
      </c>
      <c r="AF5899" s="9">
        <v>47.802065076832598</v>
      </c>
      <c r="AG5899" s="9">
        <v>47.802065076832598</v>
      </c>
      <c r="AH5899" s="9">
        <v>52.368463891218347</v>
      </c>
      <c r="AI5899" s="9">
        <v>56.090712435126555</v>
      </c>
      <c r="AJ5899" s="9">
        <v>3.0428788910505911</v>
      </c>
    </row>
    <row r="5900" spans="1:36" x14ac:dyDescent="0.25">
      <c r="A5900" t="s">
        <v>5411</v>
      </c>
      <c r="B5900" t="s">
        <v>16</v>
      </c>
      <c r="C5900" t="s">
        <v>17</v>
      </c>
      <c r="D5900">
        <v>99640000</v>
      </c>
      <c r="E5900">
        <v>99644999</v>
      </c>
      <c r="F5900" t="s">
        <v>5335</v>
      </c>
      <c r="G5900" t="str">
        <f t="shared" si="184"/>
        <v>RSI II</v>
      </c>
      <c r="H5900" t="s">
        <v>4915</v>
      </c>
      <c r="I5900" t="s">
        <v>20</v>
      </c>
      <c r="J5900" t="s">
        <v>64</v>
      </c>
      <c r="K5900" s="6">
        <v>0.03</v>
      </c>
      <c r="L5900" s="7">
        <f t="shared" si="185"/>
        <v>2E-3</v>
      </c>
      <c r="M5900" s="7">
        <v>3.0000000000000001E-3</v>
      </c>
      <c r="N5900">
        <v>11</v>
      </c>
      <c r="O5900" s="8">
        <v>20.328747193832452</v>
      </c>
      <c r="P5900" s="9">
        <v>20.328747193832452</v>
      </c>
      <c r="Q5900" s="9">
        <v>20.328747193832452</v>
      </c>
      <c r="R5900" s="9">
        <v>20.901467178587069</v>
      </c>
      <c r="S5900" s="9">
        <v>21.789694031871221</v>
      </c>
      <c r="T5900" s="9">
        <v>22.685842380093916</v>
      </c>
      <c r="U5900" s="9">
        <v>25.139615720574728</v>
      </c>
      <c r="V5900" s="9">
        <v>25.139615720574728</v>
      </c>
      <c r="W5900" s="9">
        <v>25.139615720574728</v>
      </c>
      <c r="X5900" s="9">
        <v>28.431126761040446</v>
      </c>
      <c r="Y5900" s="9">
        <v>28.431126761040446</v>
      </c>
      <c r="Z5900" s="9">
        <v>31.8133765751437</v>
      </c>
      <c r="AA5900" s="9">
        <v>31.8133765751437</v>
      </c>
      <c r="AB5900" s="9">
        <v>35.295439040248269</v>
      </c>
      <c r="AC5900" s="9">
        <v>35.295439040248269</v>
      </c>
      <c r="AD5900" s="9">
        <v>40.66038110622798</v>
      </c>
      <c r="AE5900" s="9">
        <v>44.145469767258199</v>
      </c>
      <c r="AF5900" s="9">
        <v>47.802065076832598</v>
      </c>
      <c r="AG5900" s="9">
        <v>47.802065076832598</v>
      </c>
      <c r="AH5900" s="9">
        <v>52.368463891218347</v>
      </c>
      <c r="AI5900" s="9">
        <v>56.090712435126555</v>
      </c>
      <c r="AJ5900" s="9">
        <v>3.0428788910505911</v>
      </c>
    </row>
    <row r="5901" spans="1:36" x14ac:dyDescent="0.25">
      <c r="A5901" t="s">
        <v>5411</v>
      </c>
      <c r="B5901" t="s">
        <v>16</v>
      </c>
      <c r="C5901" t="s">
        <v>17</v>
      </c>
      <c r="D5901">
        <v>99645000</v>
      </c>
      <c r="E5901">
        <v>99649999</v>
      </c>
      <c r="F5901" t="s">
        <v>5336</v>
      </c>
      <c r="G5901" t="str">
        <f t="shared" si="184"/>
        <v>RSI II</v>
      </c>
      <c r="H5901" t="s">
        <v>4915</v>
      </c>
      <c r="I5901" t="s">
        <v>20</v>
      </c>
      <c r="J5901" t="s">
        <v>64</v>
      </c>
      <c r="K5901" s="6">
        <v>0.03</v>
      </c>
      <c r="L5901" s="7">
        <f t="shared" si="185"/>
        <v>2E-3</v>
      </c>
      <c r="M5901" s="7">
        <v>3.0000000000000001E-3</v>
      </c>
      <c r="N5901">
        <v>11</v>
      </c>
      <c r="O5901" s="8">
        <v>20.328747193832452</v>
      </c>
      <c r="P5901" s="9">
        <v>20.328747193832452</v>
      </c>
      <c r="Q5901" s="9">
        <v>20.328747193832452</v>
      </c>
      <c r="R5901" s="9">
        <v>20.901467178587069</v>
      </c>
      <c r="S5901" s="9">
        <v>21.789694031871221</v>
      </c>
      <c r="T5901" s="9">
        <v>22.685842380093916</v>
      </c>
      <c r="U5901" s="9">
        <v>25.139615720574728</v>
      </c>
      <c r="V5901" s="9">
        <v>25.139615720574728</v>
      </c>
      <c r="W5901" s="9">
        <v>25.139615720574728</v>
      </c>
      <c r="X5901" s="9">
        <v>28.431126761040446</v>
      </c>
      <c r="Y5901" s="9">
        <v>28.431126761040446</v>
      </c>
      <c r="Z5901" s="9">
        <v>31.8133765751437</v>
      </c>
      <c r="AA5901" s="9">
        <v>31.8133765751437</v>
      </c>
      <c r="AB5901" s="9">
        <v>35.295439040248269</v>
      </c>
      <c r="AC5901" s="9">
        <v>35.295439040248269</v>
      </c>
      <c r="AD5901" s="9">
        <v>40.66038110622798</v>
      </c>
      <c r="AE5901" s="9">
        <v>44.145469767258199</v>
      </c>
      <c r="AF5901" s="9">
        <v>47.802065076832598</v>
      </c>
      <c r="AG5901" s="9">
        <v>47.802065076832598</v>
      </c>
      <c r="AH5901" s="9">
        <v>52.368463891218347</v>
      </c>
      <c r="AI5901" s="9">
        <v>56.090712435126555</v>
      </c>
      <c r="AJ5901" s="9">
        <v>3.0428788910505911</v>
      </c>
    </row>
    <row r="5902" spans="1:36" x14ac:dyDescent="0.25">
      <c r="A5902" t="s">
        <v>5411</v>
      </c>
      <c r="B5902" t="s">
        <v>16</v>
      </c>
      <c r="C5902" t="s">
        <v>17</v>
      </c>
      <c r="D5902">
        <v>99650000</v>
      </c>
      <c r="E5902">
        <v>99654999</v>
      </c>
      <c r="F5902" t="s">
        <v>5337</v>
      </c>
      <c r="G5902" t="str">
        <f t="shared" si="184"/>
        <v>RSI II</v>
      </c>
      <c r="H5902" t="s">
        <v>4915</v>
      </c>
      <c r="I5902" t="s">
        <v>20</v>
      </c>
      <c r="J5902" t="s">
        <v>64</v>
      </c>
      <c r="K5902" s="6">
        <v>0.03</v>
      </c>
      <c r="L5902" s="7">
        <f t="shared" si="185"/>
        <v>2E-3</v>
      </c>
      <c r="M5902" s="7">
        <v>3.0000000000000001E-3</v>
      </c>
      <c r="N5902">
        <v>11</v>
      </c>
      <c r="O5902" s="8">
        <v>20.328747193832452</v>
      </c>
      <c r="P5902" s="9">
        <v>20.328747193832452</v>
      </c>
      <c r="Q5902" s="9">
        <v>20.328747193832452</v>
      </c>
      <c r="R5902" s="9">
        <v>20.901467178587069</v>
      </c>
      <c r="S5902" s="9">
        <v>21.789694031871221</v>
      </c>
      <c r="T5902" s="9">
        <v>22.685842380093916</v>
      </c>
      <c r="U5902" s="9">
        <v>25.139615720574728</v>
      </c>
      <c r="V5902" s="9">
        <v>25.139615720574728</v>
      </c>
      <c r="W5902" s="9">
        <v>25.139615720574728</v>
      </c>
      <c r="X5902" s="9">
        <v>28.431126761040446</v>
      </c>
      <c r="Y5902" s="9">
        <v>28.431126761040446</v>
      </c>
      <c r="Z5902" s="9">
        <v>31.8133765751437</v>
      </c>
      <c r="AA5902" s="9">
        <v>31.8133765751437</v>
      </c>
      <c r="AB5902" s="9">
        <v>35.295439040248269</v>
      </c>
      <c r="AC5902" s="9">
        <v>35.295439040248269</v>
      </c>
      <c r="AD5902" s="9">
        <v>40.66038110622798</v>
      </c>
      <c r="AE5902" s="9">
        <v>44.145469767258199</v>
      </c>
      <c r="AF5902" s="9">
        <v>47.802065076832598</v>
      </c>
      <c r="AG5902" s="9">
        <v>47.802065076832598</v>
      </c>
      <c r="AH5902" s="9">
        <v>52.368463891218347</v>
      </c>
      <c r="AI5902" s="9">
        <v>56.090712435126555</v>
      </c>
      <c r="AJ5902" s="9">
        <v>3.0428788910505911</v>
      </c>
    </row>
    <row r="5903" spans="1:36" x14ac:dyDescent="0.25">
      <c r="A5903" t="s">
        <v>5411</v>
      </c>
      <c r="B5903" t="s">
        <v>16</v>
      </c>
      <c r="C5903" t="s">
        <v>17</v>
      </c>
      <c r="D5903">
        <v>99655000</v>
      </c>
      <c r="E5903">
        <v>99659999</v>
      </c>
      <c r="F5903" t="s">
        <v>5338</v>
      </c>
      <c r="G5903" t="str">
        <f t="shared" si="184"/>
        <v>RSI II</v>
      </c>
      <c r="H5903" t="s">
        <v>4915</v>
      </c>
      <c r="I5903" t="s">
        <v>20</v>
      </c>
      <c r="J5903" t="s">
        <v>64</v>
      </c>
      <c r="K5903" s="6">
        <v>0.03</v>
      </c>
      <c r="L5903" s="7">
        <f t="shared" si="185"/>
        <v>2E-3</v>
      </c>
      <c r="M5903" s="7">
        <v>3.0000000000000001E-3</v>
      </c>
      <c r="N5903">
        <v>11</v>
      </c>
      <c r="O5903" s="8">
        <v>20.328747193832452</v>
      </c>
      <c r="P5903" s="9">
        <v>20.328747193832452</v>
      </c>
      <c r="Q5903" s="9">
        <v>20.328747193832452</v>
      </c>
      <c r="R5903" s="9">
        <v>20.901467178587069</v>
      </c>
      <c r="S5903" s="9">
        <v>21.789694031871221</v>
      </c>
      <c r="T5903" s="9">
        <v>22.685842380093916</v>
      </c>
      <c r="U5903" s="9">
        <v>25.139615720574728</v>
      </c>
      <c r="V5903" s="9">
        <v>25.139615720574728</v>
      </c>
      <c r="W5903" s="9">
        <v>25.139615720574728</v>
      </c>
      <c r="X5903" s="9">
        <v>28.431126761040446</v>
      </c>
      <c r="Y5903" s="9">
        <v>28.431126761040446</v>
      </c>
      <c r="Z5903" s="9">
        <v>31.8133765751437</v>
      </c>
      <c r="AA5903" s="9">
        <v>31.8133765751437</v>
      </c>
      <c r="AB5903" s="9">
        <v>35.295439040248269</v>
      </c>
      <c r="AC5903" s="9">
        <v>35.295439040248269</v>
      </c>
      <c r="AD5903" s="9">
        <v>40.66038110622798</v>
      </c>
      <c r="AE5903" s="9">
        <v>44.145469767258199</v>
      </c>
      <c r="AF5903" s="9">
        <v>47.802065076832598</v>
      </c>
      <c r="AG5903" s="9">
        <v>47.802065076832598</v>
      </c>
      <c r="AH5903" s="9">
        <v>52.368463891218347</v>
      </c>
      <c r="AI5903" s="9">
        <v>56.090712435126555</v>
      </c>
      <c r="AJ5903" s="9">
        <v>3.0428788910505911</v>
      </c>
    </row>
    <row r="5904" spans="1:36" x14ac:dyDescent="0.25">
      <c r="A5904" t="s">
        <v>5411</v>
      </c>
      <c r="B5904" t="s">
        <v>16</v>
      </c>
      <c r="C5904" t="s">
        <v>17</v>
      </c>
      <c r="D5904">
        <v>99660000</v>
      </c>
      <c r="E5904">
        <v>99664999</v>
      </c>
      <c r="F5904" t="s">
        <v>5339</v>
      </c>
      <c r="G5904" t="str">
        <f t="shared" si="184"/>
        <v>RSI II</v>
      </c>
      <c r="H5904" t="s">
        <v>4915</v>
      </c>
      <c r="I5904" t="s">
        <v>20</v>
      </c>
      <c r="J5904" t="s">
        <v>64</v>
      </c>
      <c r="K5904" s="6">
        <v>0.03</v>
      </c>
      <c r="L5904" s="7">
        <f t="shared" si="185"/>
        <v>2E-3</v>
      </c>
      <c r="M5904" s="7">
        <v>3.0000000000000001E-3</v>
      </c>
      <c r="N5904">
        <v>11</v>
      </c>
      <c r="O5904" s="8">
        <v>20.328747193832452</v>
      </c>
      <c r="P5904" s="9">
        <v>20.328747193832452</v>
      </c>
      <c r="Q5904" s="9">
        <v>20.328747193832452</v>
      </c>
      <c r="R5904" s="9">
        <v>20.901467178587069</v>
      </c>
      <c r="S5904" s="9">
        <v>21.789694031871221</v>
      </c>
      <c r="T5904" s="9">
        <v>22.685842380093916</v>
      </c>
      <c r="U5904" s="9">
        <v>25.139615720574728</v>
      </c>
      <c r="V5904" s="9">
        <v>25.139615720574728</v>
      </c>
      <c r="W5904" s="9">
        <v>25.139615720574728</v>
      </c>
      <c r="X5904" s="9">
        <v>28.431126761040446</v>
      </c>
      <c r="Y5904" s="9">
        <v>28.431126761040446</v>
      </c>
      <c r="Z5904" s="9">
        <v>31.8133765751437</v>
      </c>
      <c r="AA5904" s="9">
        <v>31.8133765751437</v>
      </c>
      <c r="AB5904" s="9">
        <v>35.295439040248269</v>
      </c>
      <c r="AC5904" s="9">
        <v>35.295439040248269</v>
      </c>
      <c r="AD5904" s="9">
        <v>40.66038110622798</v>
      </c>
      <c r="AE5904" s="9">
        <v>44.145469767258199</v>
      </c>
      <c r="AF5904" s="9">
        <v>47.802065076832598</v>
      </c>
      <c r="AG5904" s="9">
        <v>47.802065076832598</v>
      </c>
      <c r="AH5904" s="9">
        <v>52.368463891218347</v>
      </c>
      <c r="AI5904" s="9">
        <v>56.090712435126555</v>
      </c>
      <c r="AJ5904" s="9">
        <v>3.0428788910505911</v>
      </c>
    </row>
    <row r="5905" spans="1:36" x14ac:dyDescent="0.25">
      <c r="A5905" t="s">
        <v>5411</v>
      </c>
      <c r="B5905" t="s">
        <v>16</v>
      </c>
      <c r="C5905" t="s">
        <v>17</v>
      </c>
      <c r="D5905">
        <v>99665000</v>
      </c>
      <c r="E5905">
        <v>99669999</v>
      </c>
      <c r="F5905" t="s">
        <v>5340</v>
      </c>
      <c r="G5905" t="str">
        <f t="shared" si="184"/>
        <v>RSI II</v>
      </c>
      <c r="H5905" t="s">
        <v>4915</v>
      </c>
      <c r="I5905" t="s">
        <v>20</v>
      </c>
      <c r="J5905" t="s">
        <v>64</v>
      </c>
      <c r="K5905" s="6">
        <v>0.03</v>
      </c>
      <c r="L5905" s="7">
        <f t="shared" si="185"/>
        <v>2E-3</v>
      </c>
      <c r="M5905" s="7">
        <v>3.0000000000000001E-3</v>
      </c>
      <c r="N5905">
        <v>11</v>
      </c>
      <c r="O5905" s="8">
        <v>20.328747193832452</v>
      </c>
      <c r="P5905" s="9">
        <v>20.328747193832452</v>
      </c>
      <c r="Q5905" s="9">
        <v>20.328747193832452</v>
      </c>
      <c r="R5905" s="9">
        <v>20.901467178587069</v>
      </c>
      <c r="S5905" s="9">
        <v>21.789694031871221</v>
      </c>
      <c r="T5905" s="9">
        <v>22.685842380093916</v>
      </c>
      <c r="U5905" s="9">
        <v>25.139615720574728</v>
      </c>
      <c r="V5905" s="9">
        <v>25.139615720574728</v>
      </c>
      <c r="W5905" s="9">
        <v>25.139615720574728</v>
      </c>
      <c r="X5905" s="9">
        <v>28.431126761040446</v>
      </c>
      <c r="Y5905" s="9">
        <v>28.431126761040446</v>
      </c>
      <c r="Z5905" s="9">
        <v>31.8133765751437</v>
      </c>
      <c r="AA5905" s="9">
        <v>31.8133765751437</v>
      </c>
      <c r="AB5905" s="9">
        <v>35.295439040248269</v>
      </c>
      <c r="AC5905" s="9">
        <v>35.295439040248269</v>
      </c>
      <c r="AD5905" s="9">
        <v>40.66038110622798</v>
      </c>
      <c r="AE5905" s="9">
        <v>44.145469767258199</v>
      </c>
      <c r="AF5905" s="9">
        <v>47.802065076832598</v>
      </c>
      <c r="AG5905" s="9">
        <v>47.802065076832598</v>
      </c>
      <c r="AH5905" s="9">
        <v>52.368463891218347</v>
      </c>
      <c r="AI5905" s="9">
        <v>56.090712435126555</v>
      </c>
      <c r="AJ5905" s="9">
        <v>3.0428788910505911</v>
      </c>
    </row>
    <row r="5906" spans="1:36" x14ac:dyDescent="0.25">
      <c r="A5906" t="s">
        <v>5411</v>
      </c>
      <c r="B5906" t="s">
        <v>16</v>
      </c>
      <c r="C5906" t="s">
        <v>17</v>
      </c>
      <c r="D5906">
        <v>99670000</v>
      </c>
      <c r="E5906">
        <v>99674999</v>
      </c>
      <c r="F5906" t="s">
        <v>5341</v>
      </c>
      <c r="G5906" t="str">
        <f t="shared" si="184"/>
        <v>RSI II</v>
      </c>
      <c r="H5906" t="s">
        <v>4915</v>
      </c>
      <c r="I5906" t="s">
        <v>20</v>
      </c>
      <c r="J5906" t="s">
        <v>64</v>
      </c>
      <c r="K5906" s="6">
        <v>0.03</v>
      </c>
      <c r="L5906" s="7">
        <f t="shared" si="185"/>
        <v>2E-3</v>
      </c>
      <c r="M5906" s="7">
        <v>3.0000000000000001E-3</v>
      </c>
      <c r="N5906">
        <v>11</v>
      </c>
      <c r="O5906" s="8">
        <v>20.328747193832452</v>
      </c>
      <c r="P5906" s="9">
        <v>20.328747193832452</v>
      </c>
      <c r="Q5906" s="9">
        <v>20.328747193832452</v>
      </c>
      <c r="R5906" s="9">
        <v>20.901467178587069</v>
      </c>
      <c r="S5906" s="9">
        <v>21.789694031871221</v>
      </c>
      <c r="T5906" s="9">
        <v>22.685842380093916</v>
      </c>
      <c r="U5906" s="9">
        <v>25.139615720574728</v>
      </c>
      <c r="V5906" s="9">
        <v>25.139615720574728</v>
      </c>
      <c r="W5906" s="9">
        <v>25.139615720574728</v>
      </c>
      <c r="X5906" s="9">
        <v>28.431126761040446</v>
      </c>
      <c r="Y5906" s="9">
        <v>28.431126761040446</v>
      </c>
      <c r="Z5906" s="9">
        <v>31.8133765751437</v>
      </c>
      <c r="AA5906" s="9">
        <v>31.8133765751437</v>
      </c>
      <c r="AB5906" s="9">
        <v>35.295439040248269</v>
      </c>
      <c r="AC5906" s="9">
        <v>35.295439040248269</v>
      </c>
      <c r="AD5906" s="9">
        <v>40.66038110622798</v>
      </c>
      <c r="AE5906" s="9">
        <v>44.145469767258199</v>
      </c>
      <c r="AF5906" s="9">
        <v>47.802065076832598</v>
      </c>
      <c r="AG5906" s="9">
        <v>47.802065076832598</v>
      </c>
      <c r="AH5906" s="9">
        <v>52.368463891218347</v>
      </c>
      <c r="AI5906" s="9">
        <v>56.090712435126555</v>
      </c>
      <c r="AJ5906" s="9">
        <v>3.0428788910505911</v>
      </c>
    </row>
    <row r="5907" spans="1:36" x14ac:dyDescent="0.25">
      <c r="A5907" t="s">
        <v>5411</v>
      </c>
      <c r="B5907" t="s">
        <v>16</v>
      </c>
      <c r="C5907" t="s">
        <v>17</v>
      </c>
      <c r="D5907">
        <v>99675000</v>
      </c>
      <c r="E5907">
        <v>99679999</v>
      </c>
      <c r="F5907" t="s">
        <v>5342</v>
      </c>
      <c r="G5907" t="str">
        <f t="shared" si="184"/>
        <v>RSI II</v>
      </c>
      <c r="H5907" t="s">
        <v>4915</v>
      </c>
      <c r="I5907" t="s">
        <v>20</v>
      </c>
      <c r="J5907" t="s">
        <v>64</v>
      </c>
      <c r="K5907" s="6">
        <v>0.03</v>
      </c>
      <c r="L5907" s="7">
        <f t="shared" si="185"/>
        <v>2E-3</v>
      </c>
      <c r="M5907" s="7">
        <v>3.0000000000000001E-3</v>
      </c>
      <c r="N5907">
        <v>11</v>
      </c>
      <c r="O5907" s="8">
        <v>20.328747193832452</v>
      </c>
      <c r="P5907" s="9">
        <v>20.328747193832452</v>
      </c>
      <c r="Q5907" s="9">
        <v>20.328747193832452</v>
      </c>
      <c r="R5907" s="9">
        <v>20.901467178587069</v>
      </c>
      <c r="S5907" s="9">
        <v>21.789694031871221</v>
      </c>
      <c r="T5907" s="9">
        <v>22.685842380093916</v>
      </c>
      <c r="U5907" s="9">
        <v>25.139615720574728</v>
      </c>
      <c r="V5907" s="9">
        <v>25.139615720574728</v>
      </c>
      <c r="W5907" s="9">
        <v>25.139615720574728</v>
      </c>
      <c r="X5907" s="9">
        <v>28.431126761040446</v>
      </c>
      <c r="Y5907" s="9">
        <v>28.431126761040446</v>
      </c>
      <c r="Z5907" s="9">
        <v>31.8133765751437</v>
      </c>
      <c r="AA5907" s="9">
        <v>31.8133765751437</v>
      </c>
      <c r="AB5907" s="9">
        <v>35.295439040248269</v>
      </c>
      <c r="AC5907" s="9">
        <v>35.295439040248269</v>
      </c>
      <c r="AD5907" s="9">
        <v>40.66038110622798</v>
      </c>
      <c r="AE5907" s="9">
        <v>44.145469767258199</v>
      </c>
      <c r="AF5907" s="9">
        <v>47.802065076832598</v>
      </c>
      <c r="AG5907" s="9">
        <v>47.802065076832598</v>
      </c>
      <c r="AH5907" s="9">
        <v>52.368463891218347</v>
      </c>
      <c r="AI5907" s="9">
        <v>56.090712435126555</v>
      </c>
      <c r="AJ5907" s="9">
        <v>3.0428788910505911</v>
      </c>
    </row>
    <row r="5908" spans="1:36" x14ac:dyDescent="0.25">
      <c r="A5908" t="s">
        <v>5411</v>
      </c>
      <c r="B5908" t="s">
        <v>16</v>
      </c>
      <c r="C5908" t="s">
        <v>17</v>
      </c>
      <c r="D5908">
        <v>99680000</v>
      </c>
      <c r="E5908">
        <v>99686999</v>
      </c>
      <c r="F5908" t="s">
        <v>5343</v>
      </c>
      <c r="G5908" t="str">
        <f t="shared" si="184"/>
        <v>RSI II</v>
      </c>
      <c r="H5908" t="s">
        <v>4915</v>
      </c>
      <c r="I5908" t="s">
        <v>20</v>
      </c>
      <c r="J5908" t="s">
        <v>64</v>
      </c>
      <c r="K5908" s="6">
        <v>0.03</v>
      </c>
      <c r="L5908" s="7">
        <f t="shared" si="185"/>
        <v>2E-3</v>
      </c>
      <c r="M5908" s="7">
        <v>3.0000000000000001E-3</v>
      </c>
      <c r="N5908">
        <v>11</v>
      </c>
      <c r="O5908" s="8">
        <v>20.328747193832452</v>
      </c>
      <c r="P5908" s="9">
        <v>20.328747193832452</v>
      </c>
      <c r="Q5908" s="9">
        <v>20.328747193832452</v>
      </c>
      <c r="R5908" s="9">
        <v>20.901467178587069</v>
      </c>
      <c r="S5908" s="9">
        <v>21.789694031871221</v>
      </c>
      <c r="T5908" s="9">
        <v>22.685842380093916</v>
      </c>
      <c r="U5908" s="9">
        <v>25.139615720574728</v>
      </c>
      <c r="V5908" s="9">
        <v>25.139615720574728</v>
      </c>
      <c r="W5908" s="9">
        <v>25.139615720574728</v>
      </c>
      <c r="X5908" s="9">
        <v>28.431126761040446</v>
      </c>
      <c r="Y5908" s="9">
        <v>28.431126761040446</v>
      </c>
      <c r="Z5908" s="9">
        <v>31.8133765751437</v>
      </c>
      <c r="AA5908" s="9">
        <v>31.8133765751437</v>
      </c>
      <c r="AB5908" s="9">
        <v>35.295439040248269</v>
      </c>
      <c r="AC5908" s="9">
        <v>35.295439040248269</v>
      </c>
      <c r="AD5908" s="9">
        <v>40.66038110622798</v>
      </c>
      <c r="AE5908" s="9">
        <v>44.145469767258199</v>
      </c>
      <c r="AF5908" s="9">
        <v>47.802065076832598</v>
      </c>
      <c r="AG5908" s="9">
        <v>47.802065076832598</v>
      </c>
      <c r="AH5908" s="9">
        <v>52.368463891218347</v>
      </c>
      <c r="AI5908" s="9">
        <v>56.090712435126555</v>
      </c>
      <c r="AJ5908" s="9">
        <v>3.0428788910505911</v>
      </c>
    </row>
    <row r="5909" spans="1:36" x14ac:dyDescent="0.25">
      <c r="A5909" t="s">
        <v>5411</v>
      </c>
      <c r="B5909" t="s">
        <v>16</v>
      </c>
      <c r="C5909" t="s">
        <v>17</v>
      </c>
      <c r="D5909">
        <v>99687000</v>
      </c>
      <c r="E5909">
        <v>99689999</v>
      </c>
      <c r="F5909" t="s">
        <v>5344</v>
      </c>
      <c r="G5909" t="str">
        <f t="shared" si="184"/>
        <v>RSI II</v>
      </c>
      <c r="H5909" t="s">
        <v>4915</v>
      </c>
      <c r="I5909" t="s">
        <v>20</v>
      </c>
      <c r="J5909" t="s">
        <v>64</v>
      </c>
      <c r="K5909" s="6">
        <v>0.03</v>
      </c>
      <c r="L5909" s="7">
        <f t="shared" si="185"/>
        <v>2E-3</v>
      </c>
      <c r="M5909" s="7">
        <v>3.0000000000000001E-3</v>
      </c>
      <c r="N5909">
        <v>11</v>
      </c>
      <c r="O5909" s="8">
        <v>20.328747193832452</v>
      </c>
      <c r="P5909" s="9">
        <v>20.328747193832452</v>
      </c>
      <c r="Q5909" s="9">
        <v>20.328747193832452</v>
      </c>
      <c r="R5909" s="9">
        <v>20.901467178587069</v>
      </c>
      <c r="S5909" s="9">
        <v>21.789694031871221</v>
      </c>
      <c r="T5909" s="9">
        <v>22.685842380093916</v>
      </c>
      <c r="U5909" s="9">
        <v>25.139615720574728</v>
      </c>
      <c r="V5909" s="9">
        <v>25.139615720574728</v>
      </c>
      <c r="W5909" s="9">
        <v>25.139615720574728</v>
      </c>
      <c r="X5909" s="9">
        <v>28.431126761040446</v>
      </c>
      <c r="Y5909" s="9">
        <v>28.431126761040446</v>
      </c>
      <c r="Z5909" s="9">
        <v>31.8133765751437</v>
      </c>
      <c r="AA5909" s="9">
        <v>31.8133765751437</v>
      </c>
      <c r="AB5909" s="9">
        <v>35.295439040248269</v>
      </c>
      <c r="AC5909" s="9">
        <v>35.295439040248269</v>
      </c>
      <c r="AD5909" s="9">
        <v>40.66038110622798</v>
      </c>
      <c r="AE5909" s="9">
        <v>44.145469767258199</v>
      </c>
      <c r="AF5909" s="9">
        <v>47.802065076832598</v>
      </c>
      <c r="AG5909" s="9">
        <v>47.802065076832598</v>
      </c>
      <c r="AH5909" s="9">
        <v>52.368463891218347</v>
      </c>
      <c r="AI5909" s="9">
        <v>56.090712435126555</v>
      </c>
      <c r="AJ5909" s="9">
        <v>3.0428788910505911</v>
      </c>
    </row>
    <row r="5910" spans="1:36" x14ac:dyDescent="0.25">
      <c r="A5910" t="s">
        <v>5411</v>
      </c>
      <c r="B5910" t="s">
        <v>16</v>
      </c>
      <c r="C5910" t="s">
        <v>17</v>
      </c>
      <c r="D5910">
        <v>99690000</v>
      </c>
      <c r="E5910">
        <v>99697999</v>
      </c>
      <c r="F5910" t="s">
        <v>5345</v>
      </c>
      <c r="G5910" t="str">
        <f t="shared" si="184"/>
        <v>RSI II</v>
      </c>
      <c r="H5910" t="s">
        <v>4915</v>
      </c>
      <c r="I5910" t="s">
        <v>20</v>
      </c>
      <c r="J5910" t="s">
        <v>64</v>
      </c>
      <c r="K5910" s="6">
        <v>0.03</v>
      </c>
      <c r="L5910" s="7">
        <f t="shared" si="185"/>
        <v>2E-3</v>
      </c>
      <c r="M5910" s="7">
        <v>3.0000000000000001E-3</v>
      </c>
      <c r="N5910">
        <v>11</v>
      </c>
      <c r="O5910" s="8">
        <v>20.328747193832452</v>
      </c>
      <c r="P5910" s="9">
        <v>20.328747193832452</v>
      </c>
      <c r="Q5910" s="9">
        <v>20.328747193832452</v>
      </c>
      <c r="R5910" s="9">
        <v>20.901467178587069</v>
      </c>
      <c r="S5910" s="9">
        <v>21.789694031871221</v>
      </c>
      <c r="T5910" s="9">
        <v>22.685842380093916</v>
      </c>
      <c r="U5910" s="9">
        <v>25.139615720574728</v>
      </c>
      <c r="V5910" s="9">
        <v>25.139615720574728</v>
      </c>
      <c r="W5910" s="9">
        <v>25.139615720574728</v>
      </c>
      <c r="X5910" s="9">
        <v>28.431126761040446</v>
      </c>
      <c r="Y5910" s="9">
        <v>28.431126761040446</v>
      </c>
      <c r="Z5910" s="9">
        <v>31.8133765751437</v>
      </c>
      <c r="AA5910" s="9">
        <v>31.8133765751437</v>
      </c>
      <c r="AB5910" s="9">
        <v>35.295439040248269</v>
      </c>
      <c r="AC5910" s="9">
        <v>35.295439040248269</v>
      </c>
      <c r="AD5910" s="9">
        <v>40.66038110622798</v>
      </c>
      <c r="AE5910" s="9">
        <v>44.145469767258199</v>
      </c>
      <c r="AF5910" s="9">
        <v>47.802065076832598</v>
      </c>
      <c r="AG5910" s="9">
        <v>47.802065076832598</v>
      </c>
      <c r="AH5910" s="9">
        <v>52.368463891218347</v>
      </c>
      <c r="AI5910" s="9">
        <v>56.090712435126555</v>
      </c>
      <c r="AJ5910" s="9">
        <v>3.0428788910505911</v>
      </c>
    </row>
    <row r="5911" spans="1:36" x14ac:dyDescent="0.25">
      <c r="A5911" t="s">
        <v>5411</v>
      </c>
      <c r="B5911" t="s">
        <v>16</v>
      </c>
      <c r="C5911" t="s">
        <v>17</v>
      </c>
      <c r="D5911">
        <v>99698000</v>
      </c>
      <c r="E5911">
        <v>99699999</v>
      </c>
      <c r="F5911" t="s">
        <v>5346</v>
      </c>
      <c r="G5911" t="str">
        <f t="shared" si="184"/>
        <v>RSI II</v>
      </c>
      <c r="H5911" t="s">
        <v>4915</v>
      </c>
      <c r="I5911" t="s">
        <v>20</v>
      </c>
      <c r="J5911" t="s">
        <v>64</v>
      </c>
      <c r="K5911" s="6">
        <v>0.03</v>
      </c>
      <c r="L5911" s="7">
        <f t="shared" si="185"/>
        <v>2E-3</v>
      </c>
      <c r="M5911" s="7">
        <v>3.0000000000000001E-3</v>
      </c>
      <c r="N5911">
        <v>11</v>
      </c>
      <c r="O5911" s="8">
        <v>20.328747193832452</v>
      </c>
      <c r="P5911" s="9">
        <v>20.328747193832452</v>
      </c>
      <c r="Q5911" s="9">
        <v>20.328747193832452</v>
      </c>
      <c r="R5911" s="9">
        <v>20.901467178587069</v>
      </c>
      <c r="S5911" s="9">
        <v>21.789694031871221</v>
      </c>
      <c r="T5911" s="9">
        <v>22.685842380093916</v>
      </c>
      <c r="U5911" s="9">
        <v>25.139615720574728</v>
      </c>
      <c r="V5911" s="9">
        <v>25.139615720574728</v>
      </c>
      <c r="W5911" s="9">
        <v>25.139615720574728</v>
      </c>
      <c r="X5911" s="9">
        <v>28.431126761040446</v>
      </c>
      <c r="Y5911" s="9">
        <v>28.431126761040446</v>
      </c>
      <c r="Z5911" s="9">
        <v>31.8133765751437</v>
      </c>
      <c r="AA5911" s="9">
        <v>31.8133765751437</v>
      </c>
      <c r="AB5911" s="9">
        <v>35.295439040248269</v>
      </c>
      <c r="AC5911" s="9">
        <v>35.295439040248269</v>
      </c>
      <c r="AD5911" s="9">
        <v>40.66038110622798</v>
      </c>
      <c r="AE5911" s="9">
        <v>44.145469767258199</v>
      </c>
      <c r="AF5911" s="9">
        <v>47.802065076832598</v>
      </c>
      <c r="AG5911" s="9">
        <v>47.802065076832598</v>
      </c>
      <c r="AH5911" s="9">
        <v>52.368463891218347</v>
      </c>
      <c r="AI5911" s="9">
        <v>56.090712435126555</v>
      </c>
      <c r="AJ5911" s="9">
        <v>3.0428788910505911</v>
      </c>
    </row>
    <row r="5912" spans="1:36" x14ac:dyDescent="0.25">
      <c r="A5912" t="s">
        <v>5411</v>
      </c>
      <c r="B5912" t="s">
        <v>16</v>
      </c>
      <c r="C5912" t="s">
        <v>17</v>
      </c>
      <c r="D5912">
        <v>99700000</v>
      </c>
      <c r="E5912">
        <v>99717999</v>
      </c>
      <c r="F5912" t="s">
        <v>5347</v>
      </c>
      <c r="G5912" t="str">
        <f t="shared" si="184"/>
        <v>RSI</v>
      </c>
      <c r="H5912" t="s">
        <v>4915</v>
      </c>
      <c r="I5912" t="s">
        <v>20</v>
      </c>
      <c r="J5912" t="s">
        <v>62</v>
      </c>
      <c r="K5912" s="6">
        <v>0.03</v>
      </c>
      <c r="L5912" s="7">
        <f t="shared" si="185"/>
        <v>2E-3</v>
      </c>
      <c r="M5912" s="7">
        <v>3.0000000000000001E-3</v>
      </c>
      <c r="N5912">
        <v>8</v>
      </c>
      <c r="O5912" s="8">
        <v>17.509302802156309</v>
      </c>
      <c r="P5912" s="9">
        <v>17.509302802156309</v>
      </c>
      <c r="Q5912" s="9">
        <v>17.509302802156309</v>
      </c>
      <c r="R5912" s="9">
        <v>17.960073121579438</v>
      </c>
      <c r="S5912" s="9">
        <v>18.978426201825126</v>
      </c>
      <c r="T5912" s="9">
        <v>19.861619996324769</v>
      </c>
      <c r="U5912" s="9">
        <v>21.605211693624167</v>
      </c>
      <c r="V5912" s="9">
        <v>21.605211693624167</v>
      </c>
      <c r="W5912" s="9">
        <v>21.605211693624167</v>
      </c>
      <c r="X5912" s="9">
        <v>24.342346895578043</v>
      </c>
      <c r="Y5912" s="9">
        <v>24.342346895578043</v>
      </c>
      <c r="Z5912" s="9">
        <v>27.269806221922281</v>
      </c>
      <c r="AA5912" s="9">
        <v>27.269806221922281</v>
      </c>
      <c r="AB5912" s="9">
        <v>30.447232473217717</v>
      </c>
      <c r="AC5912" s="9">
        <v>30.447232473217717</v>
      </c>
      <c r="AD5912" s="9">
        <v>33.773696777878271</v>
      </c>
      <c r="AE5912" s="9">
        <v>37.668102449503657</v>
      </c>
      <c r="AF5912" s="9">
        <v>41.795656089883373</v>
      </c>
      <c r="AG5912" s="9">
        <v>41.795656089883373</v>
      </c>
      <c r="AH5912" s="9">
        <v>45.638668972740511</v>
      </c>
      <c r="AI5912" s="9">
        <v>49.380739592962819</v>
      </c>
      <c r="AJ5912" s="9">
        <v>3.0428788910505911</v>
      </c>
    </row>
    <row r="5913" spans="1:36" x14ac:dyDescent="0.25">
      <c r="A5913" t="s">
        <v>5411</v>
      </c>
      <c r="B5913" t="s">
        <v>16</v>
      </c>
      <c r="C5913" t="s">
        <v>17</v>
      </c>
      <c r="D5913">
        <v>99718000</v>
      </c>
      <c r="E5913">
        <v>99719999</v>
      </c>
      <c r="F5913" t="s">
        <v>5348</v>
      </c>
      <c r="G5913" t="str">
        <f t="shared" si="184"/>
        <v>RSI II</v>
      </c>
      <c r="H5913" t="s">
        <v>4915</v>
      </c>
      <c r="I5913" t="s">
        <v>20</v>
      </c>
      <c r="J5913" t="s">
        <v>64</v>
      </c>
      <c r="K5913" s="6">
        <v>0.03</v>
      </c>
      <c r="L5913" s="7">
        <f t="shared" si="185"/>
        <v>2E-3</v>
      </c>
      <c r="M5913" s="7">
        <v>3.0000000000000001E-3</v>
      </c>
      <c r="N5913">
        <v>11</v>
      </c>
      <c r="O5913" s="8">
        <v>20.328747193832452</v>
      </c>
      <c r="P5913" s="9">
        <v>20.328747193832452</v>
      </c>
      <c r="Q5913" s="9">
        <v>20.328747193832452</v>
      </c>
      <c r="R5913" s="9">
        <v>20.901467178587069</v>
      </c>
      <c r="S5913" s="9">
        <v>21.789694031871221</v>
      </c>
      <c r="T5913" s="9">
        <v>22.685842380093916</v>
      </c>
      <c r="U5913" s="9">
        <v>25.139615720574728</v>
      </c>
      <c r="V5913" s="9">
        <v>25.139615720574728</v>
      </c>
      <c r="W5913" s="9">
        <v>25.139615720574728</v>
      </c>
      <c r="X5913" s="9">
        <v>28.431126761040446</v>
      </c>
      <c r="Y5913" s="9">
        <v>28.431126761040446</v>
      </c>
      <c r="Z5913" s="9">
        <v>31.8133765751437</v>
      </c>
      <c r="AA5913" s="9">
        <v>31.8133765751437</v>
      </c>
      <c r="AB5913" s="9">
        <v>35.295439040248269</v>
      </c>
      <c r="AC5913" s="9">
        <v>35.295439040248269</v>
      </c>
      <c r="AD5913" s="9">
        <v>40.66038110622798</v>
      </c>
      <c r="AE5913" s="9">
        <v>44.145469767258199</v>
      </c>
      <c r="AF5913" s="9">
        <v>47.802065076832598</v>
      </c>
      <c r="AG5913" s="9">
        <v>47.802065076832598</v>
      </c>
      <c r="AH5913" s="9">
        <v>52.368463891218347</v>
      </c>
      <c r="AI5913" s="9">
        <v>56.090712435126555</v>
      </c>
      <c r="AJ5913" s="9">
        <v>3.0428788910505911</v>
      </c>
    </row>
    <row r="5914" spans="1:36" x14ac:dyDescent="0.25">
      <c r="A5914" t="s">
        <v>5411</v>
      </c>
      <c r="B5914" t="s">
        <v>16</v>
      </c>
      <c r="C5914" t="s">
        <v>17</v>
      </c>
      <c r="D5914">
        <v>99720000</v>
      </c>
      <c r="E5914">
        <v>99724999</v>
      </c>
      <c r="F5914" t="s">
        <v>5349</v>
      </c>
      <c r="G5914" t="str">
        <f t="shared" si="184"/>
        <v>RSI II</v>
      </c>
      <c r="H5914" t="s">
        <v>4915</v>
      </c>
      <c r="I5914" t="s">
        <v>20</v>
      </c>
      <c r="J5914" t="s">
        <v>64</v>
      </c>
      <c r="K5914" s="6">
        <v>0.03</v>
      </c>
      <c r="L5914" s="7">
        <f t="shared" si="185"/>
        <v>2E-3</v>
      </c>
      <c r="M5914" s="7">
        <v>3.0000000000000001E-3</v>
      </c>
      <c r="N5914">
        <v>11</v>
      </c>
      <c r="O5914" s="8">
        <v>20.328747193832452</v>
      </c>
      <c r="P5914" s="9">
        <v>20.328747193832452</v>
      </c>
      <c r="Q5914" s="9">
        <v>20.328747193832452</v>
      </c>
      <c r="R5914" s="9">
        <v>20.901467178587069</v>
      </c>
      <c r="S5914" s="9">
        <v>21.789694031871221</v>
      </c>
      <c r="T5914" s="9">
        <v>22.685842380093916</v>
      </c>
      <c r="U5914" s="9">
        <v>25.139615720574728</v>
      </c>
      <c r="V5914" s="9">
        <v>25.139615720574728</v>
      </c>
      <c r="W5914" s="9">
        <v>25.139615720574728</v>
      </c>
      <c r="X5914" s="9">
        <v>28.431126761040446</v>
      </c>
      <c r="Y5914" s="9">
        <v>28.431126761040446</v>
      </c>
      <c r="Z5914" s="9">
        <v>31.8133765751437</v>
      </c>
      <c r="AA5914" s="9">
        <v>31.8133765751437</v>
      </c>
      <c r="AB5914" s="9">
        <v>35.295439040248269</v>
      </c>
      <c r="AC5914" s="9">
        <v>35.295439040248269</v>
      </c>
      <c r="AD5914" s="9">
        <v>40.66038110622798</v>
      </c>
      <c r="AE5914" s="9">
        <v>44.145469767258199</v>
      </c>
      <c r="AF5914" s="9">
        <v>47.802065076832598</v>
      </c>
      <c r="AG5914" s="9">
        <v>47.802065076832598</v>
      </c>
      <c r="AH5914" s="9">
        <v>52.368463891218347</v>
      </c>
      <c r="AI5914" s="9">
        <v>56.090712435126555</v>
      </c>
      <c r="AJ5914" s="9">
        <v>3.0428788910505911</v>
      </c>
    </row>
    <row r="5915" spans="1:36" x14ac:dyDescent="0.25">
      <c r="A5915" t="s">
        <v>5411</v>
      </c>
      <c r="B5915" t="s">
        <v>16</v>
      </c>
      <c r="C5915" t="s">
        <v>17</v>
      </c>
      <c r="D5915">
        <v>99725000</v>
      </c>
      <c r="E5915">
        <v>99729999</v>
      </c>
      <c r="F5915" t="s">
        <v>5350</v>
      </c>
      <c r="G5915" t="str">
        <f t="shared" si="184"/>
        <v>RSI II</v>
      </c>
      <c r="H5915" t="s">
        <v>4915</v>
      </c>
      <c r="I5915" t="s">
        <v>20</v>
      </c>
      <c r="J5915" t="s">
        <v>64</v>
      </c>
      <c r="K5915" s="6">
        <v>0.03</v>
      </c>
      <c r="L5915" s="7">
        <f t="shared" si="185"/>
        <v>2E-3</v>
      </c>
      <c r="M5915" s="7">
        <v>3.0000000000000001E-3</v>
      </c>
      <c r="N5915">
        <v>11</v>
      </c>
      <c r="O5915" s="8">
        <v>20.328747193832452</v>
      </c>
      <c r="P5915" s="9">
        <v>20.328747193832452</v>
      </c>
      <c r="Q5915" s="9">
        <v>20.328747193832452</v>
      </c>
      <c r="R5915" s="9">
        <v>20.901467178587069</v>
      </c>
      <c r="S5915" s="9">
        <v>21.789694031871221</v>
      </c>
      <c r="T5915" s="9">
        <v>22.685842380093916</v>
      </c>
      <c r="U5915" s="9">
        <v>25.139615720574728</v>
      </c>
      <c r="V5915" s="9">
        <v>25.139615720574728</v>
      </c>
      <c r="W5915" s="9">
        <v>25.139615720574728</v>
      </c>
      <c r="X5915" s="9">
        <v>28.431126761040446</v>
      </c>
      <c r="Y5915" s="9">
        <v>28.431126761040446</v>
      </c>
      <c r="Z5915" s="9">
        <v>31.8133765751437</v>
      </c>
      <c r="AA5915" s="9">
        <v>31.8133765751437</v>
      </c>
      <c r="AB5915" s="9">
        <v>35.295439040248269</v>
      </c>
      <c r="AC5915" s="9">
        <v>35.295439040248269</v>
      </c>
      <c r="AD5915" s="9">
        <v>40.66038110622798</v>
      </c>
      <c r="AE5915" s="9">
        <v>44.145469767258199</v>
      </c>
      <c r="AF5915" s="9">
        <v>47.802065076832598</v>
      </c>
      <c r="AG5915" s="9">
        <v>47.802065076832598</v>
      </c>
      <c r="AH5915" s="9">
        <v>52.368463891218347</v>
      </c>
      <c r="AI5915" s="9">
        <v>56.090712435126555</v>
      </c>
      <c r="AJ5915" s="9">
        <v>3.0428788910505911</v>
      </c>
    </row>
    <row r="5916" spans="1:36" x14ac:dyDescent="0.25">
      <c r="A5916" t="s">
        <v>5411</v>
      </c>
      <c r="B5916" t="s">
        <v>16</v>
      </c>
      <c r="C5916" t="s">
        <v>17</v>
      </c>
      <c r="D5916">
        <v>99730000</v>
      </c>
      <c r="E5916">
        <v>99734999</v>
      </c>
      <c r="F5916" t="s">
        <v>1345</v>
      </c>
      <c r="G5916" t="str">
        <f t="shared" si="184"/>
        <v>RSI II</v>
      </c>
      <c r="H5916" t="s">
        <v>4915</v>
      </c>
      <c r="I5916" t="s">
        <v>20</v>
      </c>
      <c r="J5916" t="s">
        <v>64</v>
      </c>
      <c r="K5916" s="6">
        <v>0.03</v>
      </c>
      <c r="L5916" s="7">
        <f t="shared" si="185"/>
        <v>2E-3</v>
      </c>
      <c r="M5916" s="7">
        <v>3.0000000000000001E-3</v>
      </c>
      <c r="N5916">
        <v>11</v>
      </c>
      <c r="O5916" s="8">
        <v>20.328747193832452</v>
      </c>
      <c r="P5916" s="9">
        <v>20.328747193832452</v>
      </c>
      <c r="Q5916" s="9">
        <v>20.328747193832452</v>
      </c>
      <c r="R5916" s="9">
        <v>20.901467178587069</v>
      </c>
      <c r="S5916" s="9">
        <v>21.789694031871221</v>
      </c>
      <c r="T5916" s="9">
        <v>22.685842380093916</v>
      </c>
      <c r="U5916" s="9">
        <v>25.139615720574728</v>
      </c>
      <c r="V5916" s="9">
        <v>25.139615720574728</v>
      </c>
      <c r="W5916" s="9">
        <v>25.139615720574728</v>
      </c>
      <c r="X5916" s="9">
        <v>28.431126761040446</v>
      </c>
      <c r="Y5916" s="9">
        <v>28.431126761040446</v>
      </c>
      <c r="Z5916" s="9">
        <v>31.8133765751437</v>
      </c>
      <c r="AA5916" s="9">
        <v>31.8133765751437</v>
      </c>
      <c r="AB5916" s="9">
        <v>35.295439040248269</v>
      </c>
      <c r="AC5916" s="9">
        <v>35.295439040248269</v>
      </c>
      <c r="AD5916" s="9">
        <v>40.66038110622798</v>
      </c>
      <c r="AE5916" s="9">
        <v>44.145469767258199</v>
      </c>
      <c r="AF5916" s="9">
        <v>47.802065076832598</v>
      </c>
      <c r="AG5916" s="9">
        <v>47.802065076832598</v>
      </c>
      <c r="AH5916" s="9">
        <v>52.368463891218347</v>
      </c>
      <c r="AI5916" s="9">
        <v>56.090712435126555</v>
      </c>
      <c r="AJ5916" s="9">
        <v>3.0428788910505911</v>
      </c>
    </row>
    <row r="5917" spans="1:36" x14ac:dyDescent="0.25">
      <c r="A5917" t="s">
        <v>5411</v>
      </c>
      <c r="B5917" t="s">
        <v>16</v>
      </c>
      <c r="C5917" t="s">
        <v>17</v>
      </c>
      <c r="D5917">
        <v>99735000</v>
      </c>
      <c r="E5917">
        <v>99739999</v>
      </c>
      <c r="F5917" t="s">
        <v>5351</v>
      </c>
      <c r="G5917" t="str">
        <f t="shared" si="184"/>
        <v>RSI II</v>
      </c>
      <c r="H5917" t="s">
        <v>4915</v>
      </c>
      <c r="I5917" t="s">
        <v>20</v>
      </c>
      <c r="J5917" t="s">
        <v>64</v>
      </c>
      <c r="K5917" s="6">
        <v>0.03</v>
      </c>
      <c r="L5917" s="7">
        <f t="shared" si="185"/>
        <v>2E-3</v>
      </c>
      <c r="M5917" s="7">
        <v>3.0000000000000001E-3</v>
      </c>
      <c r="N5917">
        <v>11</v>
      </c>
      <c r="O5917" s="8">
        <v>20.328747193832452</v>
      </c>
      <c r="P5917" s="9">
        <v>20.328747193832452</v>
      </c>
      <c r="Q5917" s="9">
        <v>20.328747193832452</v>
      </c>
      <c r="R5917" s="9">
        <v>20.901467178587069</v>
      </c>
      <c r="S5917" s="9">
        <v>21.789694031871221</v>
      </c>
      <c r="T5917" s="9">
        <v>22.685842380093916</v>
      </c>
      <c r="U5917" s="9">
        <v>25.139615720574728</v>
      </c>
      <c r="V5917" s="9">
        <v>25.139615720574728</v>
      </c>
      <c r="W5917" s="9">
        <v>25.139615720574728</v>
      </c>
      <c r="X5917" s="9">
        <v>28.431126761040446</v>
      </c>
      <c r="Y5917" s="9">
        <v>28.431126761040446</v>
      </c>
      <c r="Z5917" s="9">
        <v>31.8133765751437</v>
      </c>
      <c r="AA5917" s="9">
        <v>31.8133765751437</v>
      </c>
      <c r="AB5917" s="9">
        <v>35.295439040248269</v>
      </c>
      <c r="AC5917" s="9">
        <v>35.295439040248269</v>
      </c>
      <c r="AD5917" s="9">
        <v>40.66038110622798</v>
      </c>
      <c r="AE5917" s="9">
        <v>44.145469767258199</v>
      </c>
      <c r="AF5917" s="9">
        <v>47.802065076832598</v>
      </c>
      <c r="AG5917" s="9">
        <v>47.802065076832598</v>
      </c>
      <c r="AH5917" s="9">
        <v>52.368463891218347</v>
      </c>
      <c r="AI5917" s="9">
        <v>56.090712435126555</v>
      </c>
      <c r="AJ5917" s="9">
        <v>3.0428788910505911</v>
      </c>
    </row>
    <row r="5918" spans="1:36" x14ac:dyDescent="0.25">
      <c r="A5918" t="s">
        <v>5411</v>
      </c>
      <c r="B5918" t="s">
        <v>16</v>
      </c>
      <c r="C5918" t="s">
        <v>17</v>
      </c>
      <c r="D5918">
        <v>99740000</v>
      </c>
      <c r="E5918">
        <v>99749999</v>
      </c>
      <c r="F5918" t="s">
        <v>5352</v>
      </c>
      <c r="G5918" t="str">
        <f t="shared" si="184"/>
        <v>RSI II</v>
      </c>
      <c r="H5918" t="s">
        <v>4915</v>
      </c>
      <c r="I5918" t="s">
        <v>20</v>
      </c>
      <c r="J5918" t="s">
        <v>64</v>
      </c>
      <c r="K5918" s="6">
        <v>0.03</v>
      </c>
      <c r="L5918" s="7">
        <f t="shared" si="185"/>
        <v>2E-3</v>
      </c>
      <c r="M5918" s="7">
        <v>3.0000000000000001E-3</v>
      </c>
      <c r="N5918">
        <v>11</v>
      </c>
      <c r="O5918" s="8">
        <v>20.328747193832452</v>
      </c>
      <c r="P5918" s="9">
        <v>20.328747193832452</v>
      </c>
      <c r="Q5918" s="9">
        <v>20.328747193832452</v>
      </c>
      <c r="R5918" s="9">
        <v>20.901467178587069</v>
      </c>
      <c r="S5918" s="9">
        <v>21.789694031871221</v>
      </c>
      <c r="T5918" s="9">
        <v>22.685842380093916</v>
      </c>
      <c r="U5918" s="9">
        <v>25.139615720574728</v>
      </c>
      <c r="V5918" s="9">
        <v>25.139615720574728</v>
      </c>
      <c r="W5918" s="9">
        <v>25.139615720574728</v>
      </c>
      <c r="X5918" s="9">
        <v>28.431126761040446</v>
      </c>
      <c r="Y5918" s="9">
        <v>28.431126761040446</v>
      </c>
      <c r="Z5918" s="9">
        <v>31.8133765751437</v>
      </c>
      <c r="AA5918" s="9">
        <v>31.8133765751437</v>
      </c>
      <c r="AB5918" s="9">
        <v>35.295439040248269</v>
      </c>
      <c r="AC5918" s="9">
        <v>35.295439040248269</v>
      </c>
      <c r="AD5918" s="9">
        <v>40.66038110622798</v>
      </c>
      <c r="AE5918" s="9">
        <v>44.145469767258199</v>
      </c>
      <c r="AF5918" s="9">
        <v>47.802065076832598</v>
      </c>
      <c r="AG5918" s="9">
        <v>47.802065076832598</v>
      </c>
      <c r="AH5918" s="9">
        <v>52.368463891218347</v>
      </c>
      <c r="AI5918" s="9">
        <v>56.090712435126555</v>
      </c>
      <c r="AJ5918" s="9">
        <v>3.0428788910505911</v>
      </c>
    </row>
    <row r="5919" spans="1:36" x14ac:dyDescent="0.25">
      <c r="A5919" t="s">
        <v>5411</v>
      </c>
      <c r="B5919" t="s">
        <v>16</v>
      </c>
      <c r="C5919" t="s">
        <v>17</v>
      </c>
      <c r="D5919">
        <v>99750000</v>
      </c>
      <c r="E5919">
        <v>99759999</v>
      </c>
      <c r="F5919" t="s">
        <v>5353</v>
      </c>
      <c r="G5919" t="str">
        <f t="shared" si="184"/>
        <v>RSI II</v>
      </c>
      <c r="H5919" t="s">
        <v>4915</v>
      </c>
      <c r="I5919" t="s">
        <v>20</v>
      </c>
      <c r="J5919" t="s">
        <v>64</v>
      </c>
      <c r="K5919" s="6">
        <v>0.03</v>
      </c>
      <c r="L5919" s="7">
        <f t="shared" si="185"/>
        <v>2E-3</v>
      </c>
      <c r="M5919" s="7">
        <v>3.0000000000000001E-3</v>
      </c>
      <c r="N5919">
        <v>11</v>
      </c>
      <c r="O5919" s="8">
        <v>20.328747193832452</v>
      </c>
      <c r="P5919" s="9">
        <v>20.328747193832452</v>
      </c>
      <c r="Q5919" s="9">
        <v>20.328747193832452</v>
      </c>
      <c r="R5919" s="9">
        <v>20.901467178587069</v>
      </c>
      <c r="S5919" s="9">
        <v>21.789694031871221</v>
      </c>
      <c r="T5919" s="9">
        <v>22.685842380093916</v>
      </c>
      <c r="U5919" s="9">
        <v>25.139615720574728</v>
      </c>
      <c r="V5919" s="9">
        <v>25.139615720574728</v>
      </c>
      <c r="W5919" s="9">
        <v>25.139615720574728</v>
      </c>
      <c r="X5919" s="9">
        <v>28.431126761040446</v>
      </c>
      <c r="Y5919" s="9">
        <v>28.431126761040446</v>
      </c>
      <c r="Z5919" s="9">
        <v>31.8133765751437</v>
      </c>
      <c r="AA5919" s="9">
        <v>31.8133765751437</v>
      </c>
      <c r="AB5919" s="9">
        <v>35.295439040248269</v>
      </c>
      <c r="AC5919" s="9">
        <v>35.295439040248269</v>
      </c>
      <c r="AD5919" s="9">
        <v>40.66038110622798</v>
      </c>
      <c r="AE5919" s="9">
        <v>44.145469767258199</v>
      </c>
      <c r="AF5919" s="9">
        <v>47.802065076832598</v>
      </c>
      <c r="AG5919" s="9">
        <v>47.802065076832598</v>
      </c>
      <c r="AH5919" s="9">
        <v>52.368463891218347</v>
      </c>
      <c r="AI5919" s="9">
        <v>56.090712435126555</v>
      </c>
      <c r="AJ5919" s="9">
        <v>3.0428788910505911</v>
      </c>
    </row>
    <row r="5920" spans="1:36" x14ac:dyDescent="0.25">
      <c r="A5920" t="s">
        <v>5411</v>
      </c>
      <c r="B5920" t="s">
        <v>16</v>
      </c>
      <c r="C5920" t="s">
        <v>17</v>
      </c>
      <c r="D5920">
        <v>99760000</v>
      </c>
      <c r="E5920">
        <v>99769999</v>
      </c>
      <c r="F5920" t="s">
        <v>5354</v>
      </c>
      <c r="G5920" t="str">
        <f t="shared" si="184"/>
        <v>RSI II</v>
      </c>
      <c r="H5920" t="s">
        <v>4915</v>
      </c>
      <c r="I5920" t="s">
        <v>20</v>
      </c>
      <c r="J5920" t="s">
        <v>64</v>
      </c>
      <c r="K5920" s="6">
        <v>0.03</v>
      </c>
      <c r="L5920" s="7">
        <f t="shared" si="185"/>
        <v>2E-3</v>
      </c>
      <c r="M5920" s="7">
        <v>3.0000000000000001E-3</v>
      </c>
      <c r="N5920">
        <v>11</v>
      </c>
      <c r="O5920" s="8">
        <v>20.328747193832452</v>
      </c>
      <c r="P5920" s="9">
        <v>20.328747193832452</v>
      </c>
      <c r="Q5920" s="9">
        <v>20.328747193832452</v>
      </c>
      <c r="R5920" s="9">
        <v>20.901467178587069</v>
      </c>
      <c r="S5920" s="9">
        <v>21.789694031871221</v>
      </c>
      <c r="T5920" s="9">
        <v>22.685842380093916</v>
      </c>
      <c r="U5920" s="9">
        <v>25.139615720574728</v>
      </c>
      <c r="V5920" s="9">
        <v>25.139615720574728</v>
      </c>
      <c r="W5920" s="9">
        <v>25.139615720574728</v>
      </c>
      <c r="X5920" s="9">
        <v>28.431126761040446</v>
      </c>
      <c r="Y5920" s="9">
        <v>28.431126761040446</v>
      </c>
      <c r="Z5920" s="9">
        <v>31.8133765751437</v>
      </c>
      <c r="AA5920" s="9">
        <v>31.8133765751437</v>
      </c>
      <c r="AB5920" s="9">
        <v>35.295439040248269</v>
      </c>
      <c r="AC5920" s="9">
        <v>35.295439040248269</v>
      </c>
      <c r="AD5920" s="9">
        <v>40.66038110622798</v>
      </c>
      <c r="AE5920" s="9">
        <v>44.145469767258199</v>
      </c>
      <c r="AF5920" s="9">
        <v>47.802065076832598</v>
      </c>
      <c r="AG5920" s="9">
        <v>47.802065076832598</v>
      </c>
      <c r="AH5920" s="9">
        <v>52.368463891218347</v>
      </c>
      <c r="AI5920" s="9">
        <v>56.090712435126555</v>
      </c>
      <c r="AJ5920" s="9">
        <v>3.0428788910505911</v>
      </c>
    </row>
    <row r="5921" spans="1:36" x14ac:dyDescent="0.25">
      <c r="A5921" t="s">
        <v>5411</v>
      </c>
      <c r="B5921" t="s">
        <v>16</v>
      </c>
      <c r="C5921" t="s">
        <v>17</v>
      </c>
      <c r="D5921">
        <v>99770000</v>
      </c>
      <c r="E5921">
        <v>99789999</v>
      </c>
      <c r="F5921" t="s">
        <v>5355</v>
      </c>
      <c r="G5921" t="str">
        <f t="shared" si="184"/>
        <v>RSI II</v>
      </c>
      <c r="H5921" t="s">
        <v>4915</v>
      </c>
      <c r="I5921" t="s">
        <v>20</v>
      </c>
      <c r="J5921" t="s">
        <v>64</v>
      </c>
      <c r="K5921" s="6">
        <v>0.03</v>
      </c>
      <c r="L5921" s="7">
        <f t="shared" si="185"/>
        <v>2E-3</v>
      </c>
      <c r="M5921" s="7">
        <v>3.0000000000000001E-3</v>
      </c>
      <c r="N5921">
        <v>11</v>
      </c>
      <c r="O5921" s="8">
        <v>20.328747193832452</v>
      </c>
      <c r="P5921" s="9">
        <v>20.328747193832452</v>
      </c>
      <c r="Q5921" s="9">
        <v>20.328747193832452</v>
      </c>
      <c r="R5921" s="9">
        <v>20.901467178587069</v>
      </c>
      <c r="S5921" s="9">
        <v>21.789694031871221</v>
      </c>
      <c r="T5921" s="9">
        <v>22.685842380093916</v>
      </c>
      <c r="U5921" s="9">
        <v>25.139615720574728</v>
      </c>
      <c r="V5921" s="9">
        <v>25.139615720574728</v>
      </c>
      <c r="W5921" s="9">
        <v>25.139615720574728</v>
      </c>
      <c r="X5921" s="9">
        <v>28.431126761040446</v>
      </c>
      <c r="Y5921" s="9">
        <v>28.431126761040446</v>
      </c>
      <c r="Z5921" s="9">
        <v>31.8133765751437</v>
      </c>
      <c r="AA5921" s="9">
        <v>31.8133765751437</v>
      </c>
      <c r="AB5921" s="9">
        <v>35.295439040248269</v>
      </c>
      <c r="AC5921" s="9">
        <v>35.295439040248269</v>
      </c>
      <c r="AD5921" s="9">
        <v>40.66038110622798</v>
      </c>
      <c r="AE5921" s="9">
        <v>44.145469767258199</v>
      </c>
      <c r="AF5921" s="9">
        <v>47.802065076832598</v>
      </c>
      <c r="AG5921" s="9">
        <v>47.802065076832598</v>
      </c>
      <c r="AH5921" s="9">
        <v>52.368463891218347</v>
      </c>
      <c r="AI5921" s="9">
        <v>56.090712435126555</v>
      </c>
      <c r="AJ5921" s="9">
        <v>3.0428788910505911</v>
      </c>
    </row>
    <row r="5922" spans="1:36" x14ac:dyDescent="0.25">
      <c r="A5922" t="s">
        <v>5411</v>
      </c>
      <c r="B5922" t="s">
        <v>16</v>
      </c>
      <c r="C5922" t="s">
        <v>17</v>
      </c>
      <c r="D5922">
        <v>99790000</v>
      </c>
      <c r="E5922">
        <v>99794999</v>
      </c>
      <c r="F5922" t="s">
        <v>5356</v>
      </c>
      <c r="G5922" t="str">
        <f t="shared" si="184"/>
        <v>RSI II</v>
      </c>
      <c r="H5922" t="s">
        <v>4915</v>
      </c>
      <c r="I5922" t="s">
        <v>20</v>
      </c>
      <c r="J5922" t="s">
        <v>64</v>
      </c>
      <c r="K5922" s="6">
        <v>0.03</v>
      </c>
      <c r="L5922" s="7">
        <f t="shared" si="185"/>
        <v>2E-3</v>
      </c>
      <c r="M5922" s="7">
        <v>3.0000000000000001E-3</v>
      </c>
      <c r="N5922">
        <v>11</v>
      </c>
      <c r="O5922" s="8">
        <v>20.328747193832452</v>
      </c>
      <c r="P5922" s="9">
        <v>20.328747193832452</v>
      </c>
      <c r="Q5922" s="9">
        <v>20.328747193832452</v>
      </c>
      <c r="R5922" s="9">
        <v>20.901467178587069</v>
      </c>
      <c r="S5922" s="9">
        <v>21.789694031871221</v>
      </c>
      <c r="T5922" s="9">
        <v>22.685842380093916</v>
      </c>
      <c r="U5922" s="9">
        <v>25.139615720574728</v>
      </c>
      <c r="V5922" s="9">
        <v>25.139615720574728</v>
      </c>
      <c r="W5922" s="9">
        <v>25.139615720574728</v>
      </c>
      <c r="X5922" s="9">
        <v>28.431126761040446</v>
      </c>
      <c r="Y5922" s="9">
        <v>28.431126761040446</v>
      </c>
      <c r="Z5922" s="9">
        <v>31.8133765751437</v>
      </c>
      <c r="AA5922" s="9">
        <v>31.8133765751437</v>
      </c>
      <c r="AB5922" s="9">
        <v>35.295439040248269</v>
      </c>
      <c r="AC5922" s="9">
        <v>35.295439040248269</v>
      </c>
      <c r="AD5922" s="9">
        <v>40.66038110622798</v>
      </c>
      <c r="AE5922" s="9">
        <v>44.145469767258199</v>
      </c>
      <c r="AF5922" s="9">
        <v>47.802065076832598</v>
      </c>
      <c r="AG5922" s="9">
        <v>47.802065076832598</v>
      </c>
      <c r="AH5922" s="9">
        <v>52.368463891218347</v>
      </c>
      <c r="AI5922" s="9">
        <v>56.090712435126555</v>
      </c>
      <c r="AJ5922" s="9">
        <v>3.0428788910505911</v>
      </c>
    </row>
    <row r="5923" spans="1:36" x14ac:dyDescent="0.25">
      <c r="A5923" t="s">
        <v>5411</v>
      </c>
      <c r="B5923" t="s">
        <v>16</v>
      </c>
      <c r="C5923" t="s">
        <v>17</v>
      </c>
      <c r="D5923">
        <v>99795000</v>
      </c>
      <c r="E5923">
        <v>99799999</v>
      </c>
      <c r="F5923" t="s">
        <v>5357</v>
      </c>
      <c r="G5923" t="str">
        <f t="shared" si="184"/>
        <v>RSI II</v>
      </c>
      <c r="H5923" t="s">
        <v>4915</v>
      </c>
      <c r="I5923" t="s">
        <v>20</v>
      </c>
      <c r="J5923" t="s">
        <v>64</v>
      </c>
      <c r="K5923" s="6">
        <v>0.03</v>
      </c>
      <c r="L5923" s="7">
        <f t="shared" si="185"/>
        <v>2E-3</v>
      </c>
      <c r="M5923" s="7">
        <v>3.0000000000000001E-3</v>
      </c>
      <c r="N5923">
        <v>11</v>
      </c>
      <c r="O5923" s="8">
        <v>20.328747193832452</v>
      </c>
      <c r="P5923" s="9">
        <v>20.328747193832452</v>
      </c>
      <c r="Q5923" s="9">
        <v>20.328747193832452</v>
      </c>
      <c r="R5923" s="9">
        <v>20.901467178587069</v>
      </c>
      <c r="S5923" s="9">
        <v>21.789694031871221</v>
      </c>
      <c r="T5923" s="9">
        <v>22.685842380093916</v>
      </c>
      <c r="U5923" s="9">
        <v>25.139615720574728</v>
      </c>
      <c r="V5923" s="9">
        <v>25.139615720574728</v>
      </c>
      <c r="W5923" s="9">
        <v>25.139615720574728</v>
      </c>
      <c r="X5923" s="9">
        <v>28.431126761040446</v>
      </c>
      <c r="Y5923" s="9">
        <v>28.431126761040446</v>
      </c>
      <c r="Z5923" s="9">
        <v>31.8133765751437</v>
      </c>
      <c r="AA5923" s="9">
        <v>31.8133765751437</v>
      </c>
      <c r="AB5923" s="9">
        <v>35.295439040248269</v>
      </c>
      <c r="AC5923" s="9">
        <v>35.295439040248269</v>
      </c>
      <c r="AD5923" s="9">
        <v>40.66038110622798</v>
      </c>
      <c r="AE5923" s="9">
        <v>44.145469767258199</v>
      </c>
      <c r="AF5923" s="9">
        <v>47.802065076832598</v>
      </c>
      <c r="AG5923" s="9">
        <v>47.802065076832598</v>
      </c>
      <c r="AH5923" s="9">
        <v>52.368463891218347</v>
      </c>
      <c r="AI5923" s="9">
        <v>56.090712435126555</v>
      </c>
      <c r="AJ5923" s="9">
        <v>3.0428788910505911</v>
      </c>
    </row>
    <row r="5924" spans="1:36" x14ac:dyDescent="0.25">
      <c r="A5924" t="s">
        <v>5411</v>
      </c>
      <c r="B5924" t="s">
        <v>16</v>
      </c>
      <c r="C5924" t="s">
        <v>17</v>
      </c>
      <c r="D5924">
        <v>99800000</v>
      </c>
      <c r="E5924">
        <v>99809999</v>
      </c>
      <c r="F5924" t="s">
        <v>5358</v>
      </c>
      <c r="G5924" t="str">
        <f t="shared" si="184"/>
        <v>RSI II</v>
      </c>
      <c r="H5924" t="s">
        <v>4915</v>
      </c>
      <c r="I5924" t="s">
        <v>20</v>
      </c>
      <c r="J5924" t="s">
        <v>64</v>
      </c>
      <c r="K5924" s="6">
        <v>0.03</v>
      </c>
      <c r="L5924" s="7">
        <f t="shared" si="185"/>
        <v>2E-3</v>
      </c>
      <c r="M5924" s="7">
        <v>3.0000000000000001E-3</v>
      </c>
      <c r="N5924">
        <v>11</v>
      </c>
      <c r="O5924" s="8">
        <v>20.328747193832452</v>
      </c>
      <c r="P5924" s="9">
        <v>20.328747193832452</v>
      </c>
      <c r="Q5924" s="9">
        <v>20.328747193832452</v>
      </c>
      <c r="R5924" s="9">
        <v>20.901467178587069</v>
      </c>
      <c r="S5924" s="9">
        <v>21.789694031871221</v>
      </c>
      <c r="T5924" s="9">
        <v>22.685842380093916</v>
      </c>
      <c r="U5924" s="9">
        <v>25.139615720574728</v>
      </c>
      <c r="V5924" s="9">
        <v>25.139615720574728</v>
      </c>
      <c r="W5924" s="9">
        <v>25.139615720574728</v>
      </c>
      <c r="X5924" s="9">
        <v>28.431126761040446</v>
      </c>
      <c r="Y5924" s="9">
        <v>28.431126761040446</v>
      </c>
      <c r="Z5924" s="9">
        <v>31.8133765751437</v>
      </c>
      <c r="AA5924" s="9">
        <v>31.8133765751437</v>
      </c>
      <c r="AB5924" s="9">
        <v>35.295439040248269</v>
      </c>
      <c r="AC5924" s="9">
        <v>35.295439040248269</v>
      </c>
      <c r="AD5924" s="9">
        <v>40.66038110622798</v>
      </c>
      <c r="AE5924" s="9">
        <v>44.145469767258199</v>
      </c>
      <c r="AF5924" s="9">
        <v>47.802065076832598</v>
      </c>
      <c r="AG5924" s="9">
        <v>47.802065076832598</v>
      </c>
      <c r="AH5924" s="9">
        <v>52.368463891218347</v>
      </c>
      <c r="AI5924" s="9">
        <v>56.090712435126555</v>
      </c>
      <c r="AJ5924" s="9">
        <v>3.0428788910505911</v>
      </c>
    </row>
    <row r="5925" spans="1:36" x14ac:dyDescent="0.25">
      <c r="A5925" t="s">
        <v>5411</v>
      </c>
      <c r="B5925" t="s">
        <v>16</v>
      </c>
      <c r="C5925" t="s">
        <v>17</v>
      </c>
      <c r="D5925">
        <v>99810000</v>
      </c>
      <c r="E5925">
        <v>99819999</v>
      </c>
      <c r="F5925" t="s">
        <v>5359</v>
      </c>
      <c r="G5925" t="str">
        <f t="shared" si="184"/>
        <v>RSI II</v>
      </c>
      <c r="H5925" t="s">
        <v>4915</v>
      </c>
      <c r="I5925" t="s">
        <v>20</v>
      </c>
      <c r="J5925" t="s">
        <v>64</v>
      </c>
      <c r="K5925" s="6">
        <v>0.03</v>
      </c>
      <c r="L5925" s="7">
        <f t="shared" si="185"/>
        <v>2E-3</v>
      </c>
      <c r="M5925" s="7">
        <v>3.0000000000000001E-3</v>
      </c>
      <c r="N5925">
        <v>11</v>
      </c>
      <c r="O5925" s="8">
        <v>20.328747193832452</v>
      </c>
      <c r="P5925" s="9">
        <v>20.328747193832452</v>
      </c>
      <c r="Q5925" s="9">
        <v>20.328747193832452</v>
      </c>
      <c r="R5925" s="9">
        <v>20.901467178587069</v>
      </c>
      <c r="S5925" s="9">
        <v>21.789694031871221</v>
      </c>
      <c r="T5925" s="9">
        <v>22.685842380093916</v>
      </c>
      <c r="U5925" s="9">
        <v>25.139615720574728</v>
      </c>
      <c r="V5925" s="9">
        <v>25.139615720574728</v>
      </c>
      <c r="W5925" s="9">
        <v>25.139615720574728</v>
      </c>
      <c r="X5925" s="9">
        <v>28.431126761040446</v>
      </c>
      <c r="Y5925" s="9">
        <v>28.431126761040446</v>
      </c>
      <c r="Z5925" s="9">
        <v>31.8133765751437</v>
      </c>
      <c r="AA5925" s="9">
        <v>31.8133765751437</v>
      </c>
      <c r="AB5925" s="9">
        <v>35.295439040248269</v>
      </c>
      <c r="AC5925" s="9">
        <v>35.295439040248269</v>
      </c>
      <c r="AD5925" s="9">
        <v>40.66038110622798</v>
      </c>
      <c r="AE5925" s="9">
        <v>44.145469767258199</v>
      </c>
      <c r="AF5925" s="9">
        <v>47.802065076832598</v>
      </c>
      <c r="AG5925" s="9">
        <v>47.802065076832598</v>
      </c>
      <c r="AH5925" s="9">
        <v>52.368463891218347</v>
      </c>
      <c r="AI5925" s="9">
        <v>56.090712435126555</v>
      </c>
      <c r="AJ5925" s="9">
        <v>3.0428788910505911</v>
      </c>
    </row>
    <row r="5926" spans="1:36" x14ac:dyDescent="0.25">
      <c r="A5926" t="s">
        <v>5411</v>
      </c>
      <c r="B5926" t="s">
        <v>16</v>
      </c>
      <c r="C5926" t="s">
        <v>17</v>
      </c>
      <c r="D5926">
        <v>99820000</v>
      </c>
      <c r="E5926">
        <v>99824999</v>
      </c>
      <c r="F5926" t="s">
        <v>5360</v>
      </c>
      <c r="G5926" t="str">
        <f t="shared" si="184"/>
        <v>RSI II</v>
      </c>
      <c r="H5926" t="s">
        <v>4915</v>
      </c>
      <c r="I5926" t="s">
        <v>20</v>
      </c>
      <c r="J5926" t="s">
        <v>64</v>
      </c>
      <c r="K5926" s="6">
        <v>0.03</v>
      </c>
      <c r="L5926" s="7">
        <f t="shared" si="185"/>
        <v>2E-3</v>
      </c>
      <c r="M5926" s="7">
        <v>3.0000000000000001E-3</v>
      </c>
      <c r="N5926">
        <v>11</v>
      </c>
      <c r="O5926" s="8">
        <v>20.328747193832452</v>
      </c>
      <c r="P5926" s="9">
        <v>20.328747193832452</v>
      </c>
      <c r="Q5926" s="9">
        <v>20.328747193832452</v>
      </c>
      <c r="R5926" s="9">
        <v>20.901467178587069</v>
      </c>
      <c r="S5926" s="9">
        <v>21.789694031871221</v>
      </c>
      <c r="T5926" s="9">
        <v>22.685842380093916</v>
      </c>
      <c r="U5926" s="9">
        <v>25.139615720574728</v>
      </c>
      <c r="V5926" s="9">
        <v>25.139615720574728</v>
      </c>
      <c r="W5926" s="9">
        <v>25.139615720574728</v>
      </c>
      <c r="X5926" s="9">
        <v>28.431126761040446</v>
      </c>
      <c r="Y5926" s="9">
        <v>28.431126761040446</v>
      </c>
      <c r="Z5926" s="9">
        <v>31.8133765751437</v>
      </c>
      <c r="AA5926" s="9">
        <v>31.8133765751437</v>
      </c>
      <c r="AB5926" s="9">
        <v>35.295439040248269</v>
      </c>
      <c r="AC5926" s="9">
        <v>35.295439040248269</v>
      </c>
      <c r="AD5926" s="9">
        <v>40.66038110622798</v>
      </c>
      <c r="AE5926" s="9">
        <v>44.145469767258199</v>
      </c>
      <c r="AF5926" s="9">
        <v>47.802065076832598</v>
      </c>
      <c r="AG5926" s="9">
        <v>47.802065076832598</v>
      </c>
      <c r="AH5926" s="9">
        <v>52.368463891218347</v>
      </c>
      <c r="AI5926" s="9">
        <v>56.090712435126555</v>
      </c>
      <c r="AJ5926" s="9">
        <v>3.0428788910505911</v>
      </c>
    </row>
    <row r="5927" spans="1:36" x14ac:dyDescent="0.25">
      <c r="A5927" t="s">
        <v>5411</v>
      </c>
      <c r="B5927" t="s">
        <v>16</v>
      </c>
      <c r="C5927" t="s">
        <v>17</v>
      </c>
      <c r="D5927">
        <v>99825000</v>
      </c>
      <c r="E5927">
        <v>99829999</v>
      </c>
      <c r="F5927" t="s">
        <v>5361</v>
      </c>
      <c r="G5927" t="str">
        <f t="shared" si="184"/>
        <v>RSI II</v>
      </c>
      <c r="H5927" t="s">
        <v>4915</v>
      </c>
      <c r="I5927" t="s">
        <v>20</v>
      </c>
      <c r="J5927" t="s">
        <v>64</v>
      </c>
      <c r="K5927" s="6">
        <v>0.03</v>
      </c>
      <c r="L5927" s="7">
        <f t="shared" si="185"/>
        <v>2E-3</v>
      </c>
      <c r="M5927" s="7">
        <v>3.0000000000000001E-3</v>
      </c>
      <c r="N5927">
        <v>11</v>
      </c>
      <c r="O5927" s="8">
        <v>20.328747193832452</v>
      </c>
      <c r="P5927" s="9">
        <v>20.328747193832452</v>
      </c>
      <c r="Q5927" s="9">
        <v>20.328747193832452</v>
      </c>
      <c r="R5927" s="9">
        <v>20.901467178587069</v>
      </c>
      <c r="S5927" s="9">
        <v>21.789694031871221</v>
      </c>
      <c r="T5927" s="9">
        <v>22.685842380093916</v>
      </c>
      <c r="U5927" s="9">
        <v>25.139615720574728</v>
      </c>
      <c r="V5927" s="9">
        <v>25.139615720574728</v>
      </c>
      <c r="W5927" s="9">
        <v>25.139615720574728</v>
      </c>
      <c r="X5927" s="9">
        <v>28.431126761040446</v>
      </c>
      <c r="Y5927" s="9">
        <v>28.431126761040446</v>
      </c>
      <c r="Z5927" s="9">
        <v>31.8133765751437</v>
      </c>
      <c r="AA5927" s="9">
        <v>31.8133765751437</v>
      </c>
      <c r="AB5927" s="9">
        <v>35.295439040248269</v>
      </c>
      <c r="AC5927" s="9">
        <v>35.295439040248269</v>
      </c>
      <c r="AD5927" s="9">
        <v>40.66038110622798</v>
      </c>
      <c r="AE5927" s="9">
        <v>44.145469767258199</v>
      </c>
      <c r="AF5927" s="9">
        <v>47.802065076832598</v>
      </c>
      <c r="AG5927" s="9">
        <v>47.802065076832598</v>
      </c>
      <c r="AH5927" s="9">
        <v>52.368463891218347</v>
      </c>
      <c r="AI5927" s="9">
        <v>56.090712435126555</v>
      </c>
      <c r="AJ5927" s="9">
        <v>3.0428788910505911</v>
      </c>
    </row>
    <row r="5928" spans="1:36" x14ac:dyDescent="0.25">
      <c r="A5928" t="s">
        <v>5411</v>
      </c>
      <c r="B5928" t="s">
        <v>16</v>
      </c>
      <c r="C5928" t="s">
        <v>17</v>
      </c>
      <c r="D5928">
        <v>99830000</v>
      </c>
      <c r="E5928">
        <v>99834999</v>
      </c>
      <c r="F5928" t="s">
        <v>5362</v>
      </c>
      <c r="G5928" t="str">
        <f t="shared" si="184"/>
        <v>RSI II</v>
      </c>
      <c r="H5928" t="s">
        <v>4915</v>
      </c>
      <c r="I5928" t="s">
        <v>20</v>
      </c>
      <c r="J5928" t="s">
        <v>64</v>
      </c>
      <c r="K5928" s="6">
        <v>0.03</v>
      </c>
      <c r="L5928" s="7">
        <f t="shared" si="185"/>
        <v>2E-3</v>
      </c>
      <c r="M5928" s="7">
        <v>3.0000000000000001E-3</v>
      </c>
      <c r="N5928">
        <v>11</v>
      </c>
      <c r="O5928" s="8">
        <v>20.328747193832452</v>
      </c>
      <c r="P5928" s="9">
        <v>20.328747193832452</v>
      </c>
      <c r="Q5928" s="9">
        <v>20.328747193832452</v>
      </c>
      <c r="R5928" s="9">
        <v>20.901467178587069</v>
      </c>
      <c r="S5928" s="9">
        <v>21.789694031871221</v>
      </c>
      <c r="T5928" s="9">
        <v>22.685842380093916</v>
      </c>
      <c r="U5928" s="9">
        <v>25.139615720574728</v>
      </c>
      <c r="V5928" s="9">
        <v>25.139615720574728</v>
      </c>
      <c r="W5928" s="9">
        <v>25.139615720574728</v>
      </c>
      <c r="X5928" s="9">
        <v>28.431126761040446</v>
      </c>
      <c r="Y5928" s="9">
        <v>28.431126761040446</v>
      </c>
      <c r="Z5928" s="9">
        <v>31.8133765751437</v>
      </c>
      <c r="AA5928" s="9">
        <v>31.8133765751437</v>
      </c>
      <c r="AB5928" s="9">
        <v>35.295439040248269</v>
      </c>
      <c r="AC5928" s="9">
        <v>35.295439040248269</v>
      </c>
      <c r="AD5928" s="9">
        <v>40.66038110622798</v>
      </c>
      <c r="AE5928" s="9">
        <v>44.145469767258199</v>
      </c>
      <c r="AF5928" s="9">
        <v>47.802065076832598</v>
      </c>
      <c r="AG5928" s="9">
        <v>47.802065076832598</v>
      </c>
      <c r="AH5928" s="9">
        <v>52.368463891218347</v>
      </c>
      <c r="AI5928" s="9">
        <v>56.090712435126555</v>
      </c>
      <c r="AJ5928" s="9">
        <v>3.0428788910505911</v>
      </c>
    </row>
    <row r="5929" spans="1:36" x14ac:dyDescent="0.25">
      <c r="A5929" t="s">
        <v>5411</v>
      </c>
      <c r="B5929" t="s">
        <v>16</v>
      </c>
      <c r="C5929" t="s">
        <v>17</v>
      </c>
      <c r="D5929">
        <v>99835000</v>
      </c>
      <c r="E5929">
        <v>99837999</v>
      </c>
      <c r="F5929" t="s">
        <v>5363</v>
      </c>
      <c r="G5929" t="str">
        <f t="shared" si="184"/>
        <v>RSI II</v>
      </c>
      <c r="H5929" t="s">
        <v>4915</v>
      </c>
      <c r="I5929" t="s">
        <v>20</v>
      </c>
      <c r="J5929" t="s">
        <v>64</v>
      </c>
      <c r="K5929" s="6">
        <v>0.03</v>
      </c>
      <c r="L5929" s="7">
        <f t="shared" si="185"/>
        <v>2E-3</v>
      </c>
      <c r="M5929" s="7">
        <v>3.0000000000000001E-3</v>
      </c>
      <c r="N5929">
        <v>11</v>
      </c>
      <c r="O5929" s="8">
        <v>20.328747193832452</v>
      </c>
      <c r="P5929" s="9">
        <v>20.328747193832452</v>
      </c>
      <c r="Q5929" s="9">
        <v>20.328747193832452</v>
      </c>
      <c r="R5929" s="9">
        <v>20.901467178587069</v>
      </c>
      <c r="S5929" s="9">
        <v>21.789694031871221</v>
      </c>
      <c r="T5929" s="9">
        <v>22.685842380093916</v>
      </c>
      <c r="U5929" s="9">
        <v>25.139615720574728</v>
      </c>
      <c r="V5929" s="9">
        <v>25.139615720574728</v>
      </c>
      <c r="W5929" s="9">
        <v>25.139615720574728</v>
      </c>
      <c r="X5929" s="9">
        <v>28.431126761040446</v>
      </c>
      <c r="Y5929" s="9">
        <v>28.431126761040446</v>
      </c>
      <c r="Z5929" s="9">
        <v>31.8133765751437</v>
      </c>
      <c r="AA5929" s="9">
        <v>31.8133765751437</v>
      </c>
      <c r="AB5929" s="9">
        <v>35.295439040248269</v>
      </c>
      <c r="AC5929" s="9">
        <v>35.295439040248269</v>
      </c>
      <c r="AD5929" s="9">
        <v>40.66038110622798</v>
      </c>
      <c r="AE5929" s="9">
        <v>44.145469767258199</v>
      </c>
      <c r="AF5929" s="9">
        <v>47.802065076832598</v>
      </c>
      <c r="AG5929" s="9">
        <v>47.802065076832598</v>
      </c>
      <c r="AH5929" s="9">
        <v>52.368463891218347</v>
      </c>
      <c r="AI5929" s="9">
        <v>56.090712435126555</v>
      </c>
      <c r="AJ5929" s="9">
        <v>3.0428788910505911</v>
      </c>
    </row>
    <row r="5930" spans="1:36" x14ac:dyDescent="0.25">
      <c r="A5930" t="s">
        <v>5411</v>
      </c>
      <c r="B5930" t="s">
        <v>16</v>
      </c>
      <c r="C5930" t="s">
        <v>17</v>
      </c>
      <c r="D5930">
        <v>99838000</v>
      </c>
      <c r="E5930">
        <v>99839999</v>
      </c>
      <c r="F5930" t="s">
        <v>4031</v>
      </c>
      <c r="G5930" t="str">
        <f t="shared" si="184"/>
        <v>RSI II</v>
      </c>
      <c r="H5930" t="s">
        <v>4915</v>
      </c>
      <c r="I5930" t="s">
        <v>20</v>
      </c>
      <c r="J5930" t="s">
        <v>64</v>
      </c>
      <c r="K5930" s="6">
        <v>0.03</v>
      </c>
      <c r="L5930" s="7">
        <f t="shared" si="185"/>
        <v>2E-3</v>
      </c>
      <c r="M5930" s="7">
        <v>3.0000000000000001E-3</v>
      </c>
      <c r="N5930">
        <v>11</v>
      </c>
      <c r="O5930" s="8">
        <v>20.328747193832452</v>
      </c>
      <c r="P5930" s="9">
        <v>20.328747193832452</v>
      </c>
      <c r="Q5930" s="9">
        <v>20.328747193832452</v>
      </c>
      <c r="R5930" s="9">
        <v>20.901467178587069</v>
      </c>
      <c r="S5930" s="9">
        <v>21.789694031871221</v>
      </c>
      <c r="T5930" s="9">
        <v>22.685842380093916</v>
      </c>
      <c r="U5930" s="9">
        <v>25.139615720574728</v>
      </c>
      <c r="V5930" s="9">
        <v>25.139615720574728</v>
      </c>
      <c r="W5930" s="9">
        <v>25.139615720574728</v>
      </c>
      <c r="X5930" s="9">
        <v>28.431126761040446</v>
      </c>
      <c r="Y5930" s="9">
        <v>28.431126761040446</v>
      </c>
      <c r="Z5930" s="9">
        <v>31.8133765751437</v>
      </c>
      <c r="AA5930" s="9">
        <v>31.8133765751437</v>
      </c>
      <c r="AB5930" s="9">
        <v>35.295439040248269</v>
      </c>
      <c r="AC5930" s="9">
        <v>35.295439040248269</v>
      </c>
      <c r="AD5930" s="9">
        <v>40.66038110622798</v>
      </c>
      <c r="AE5930" s="9">
        <v>44.145469767258199</v>
      </c>
      <c r="AF5930" s="9">
        <v>47.802065076832598</v>
      </c>
      <c r="AG5930" s="9">
        <v>47.802065076832598</v>
      </c>
      <c r="AH5930" s="9">
        <v>52.368463891218347</v>
      </c>
      <c r="AI5930" s="9">
        <v>56.090712435126555</v>
      </c>
      <c r="AJ5930" s="9">
        <v>3.0428788910505911</v>
      </c>
    </row>
    <row r="5931" spans="1:36" x14ac:dyDescent="0.25">
      <c r="A5931" t="s">
        <v>5411</v>
      </c>
      <c r="B5931" t="s">
        <v>16</v>
      </c>
      <c r="C5931" t="s">
        <v>17</v>
      </c>
      <c r="D5931">
        <v>99840000</v>
      </c>
      <c r="E5931">
        <v>99849999</v>
      </c>
      <c r="F5931" t="s">
        <v>5364</v>
      </c>
      <c r="G5931" t="str">
        <f t="shared" si="184"/>
        <v>RSI II</v>
      </c>
      <c r="H5931" t="s">
        <v>4915</v>
      </c>
      <c r="I5931" t="s">
        <v>20</v>
      </c>
      <c r="J5931" t="s">
        <v>64</v>
      </c>
      <c r="K5931" s="6">
        <v>0.03</v>
      </c>
      <c r="L5931" s="7">
        <f t="shared" si="185"/>
        <v>2E-3</v>
      </c>
      <c r="M5931" s="7">
        <v>3.0000000000000001E-3</v>
      </c>
      <c r="N5931">
        <v>11</v>
      </c>
      <c r="O5931" s="8">
        <v>20.328747193832452</v>
      </c>
      <c r="P5931" s="9">
        <v>20.328747193832452</v>
      </c>
      <c r="Q5931" s="9">
        <v>20.328747193832452</v>
      </c>
      <c r="R5931" s="9">
        <v>20.901467178587069</v>
      </c>
      <c r="S5931" s="9">
        <v>21.789694031871221</v>
      </c>
      <c r="T5931" s="9">
        <v>22.685842380093916</v>
      </c>
      <c r="U5931" s="9">
        <v>25.139615720574728</v>
      </c>
      <c r="V5931" s="9">
        <v>25.139615720574728</v>
      </c>
      <c r="W5931" s="9">
        <v>25.139615720574728</v>
      </c>
      <c r="X5931" s="9">
        <v>28.431126761040446</v>
      </c>
      <c r="Y5931" s="9">
        <v>28.431126761040446</v>
      </c>
      <c r="Z5931" s="9">
        <v>31.8133765751437</v>
      </c>
      <c r="AA5931" s="9">
        <v>31.8133765751437</v>
      </c>
      <c r="AB5931" s="9">
        <v>35.295439040248269</v>
      </c>
      <c r="AC5931" s="9">
        <v>35.295439040248269</v>
      </c>
      <c r="AD5931" s="9">
        <v>40.66038110622798</v>
      </c>
      <c r="AE5931" s="9">
        <v>44.145469767258199</v>
      </c>
      <c r="AF5931" s="9">
        <v>47.802065076832598</v>
      </c>
      <c r="AG5931" s="9">
        <v>47.802065076832598</v>
      </c>
      <c r="AH5931" s="9">
        <v>52.368463891218347</v>
      </c>
      <c r="AI5931" s="9">
        <v>56.090712435126555</v>
      </c>
      <c r="AJ5931" s="9">
        <v>3.0428788910505911</v>
      </c>
    </row>
    <row r="5932" spans="1:36" x14ac:dyDescent="0.25">
      <c r="A5932" t="s">
        <v>5411</v>
      </c>
      <c r="B5932" t="s">
        <v>16</v>
      </c>
      <c r="C5932" t="s">
        <v>17</v>
      </c>
      <c r="D5932">
        <v>99850000</v>
      </c>
      <c r="E5932">
        <v>99854999</v>
      </c>
      <c r="F5932" t="s">
        <v>5365</v>
      </c>
      <c r="G5932" t="str">
        <f t="shared" si="184"/>
        <v>RSI II</v>
      </c>
      <c r="H5932" t="s">
        <v>4915</v>
      </c>
      <c r="I5932" t="s">
        <v>20</v>
      </c>
      <c r="J5932" t="s">
        <v>64</v>
      </c>
      <c r="K5932" s="6">
        <v>0.03</v>
      </c>
      <c r="L5932" s="7">
        <f t="shared" si="185"/>
        <v>2E-3</v>
      </c>
      <c r="M5932" s="7">
        <v>3.0000000000000001E-3</v>
      </c>
      <c r="N5932">
        <v>11</v>
      </c>
      <c r="O5932" s="8">
        <v>20.328747193832452</v>
      </c>
      <c r="P5932" s="9">
        <v>20.328747193832452</v>
      </c>
      <c r="Q5932" s="9">
        <v>20.328747193832452</v>
      </c>
      <c r="R5932" s="9">
        <v>20.901467178587069</v>
      </c>
      <c r="S5932" s="9">
        <v>21.789694031871221</v>
      </c>
      <c r="T5932" s="9">
        <v>22.685842380093916</v>
      </c>
      <c r="U5932" s="9">
        <v>25.139615720574728</v>
      </c>
      <c r="V5932" s="9">
        <v>25.139615720574728</v>
      </c>
      <c r="W5932" s="9">
        <v>25.139615720574728</v>
      </c>
      <c r="X5932" s="9">
        <v>28.431126761040446</v>
      </c>
      <c r="Y5932" s="9">
        <v>28.431126761040446</v>
      </c>
      <c r="Z5932" s="9">
        <v>31.8133765751437</v>
      </c>
      <c r="AA5932" s="9">
        <v>31.8133765751437</v>
      </c>
      <c r="AB5932" s="9">
        <v>35.295439040248269</v>
      </c>
      <c r="AC5932" s="9">
        <v>35.295439040248269</v>
      </c>
      <c r="AD5932" s="9">
        <v>40.66038110622798</v>
      </c>
      <c r="AE5932" s="9">
        <v>44.145469767258199</v>
      </c>
      <c r="AF5932" s="9">
        <v>47.802065076832598</v>
      </c>
      <c r="AG5932" s="9">
        <v>47.802065076832598</v>
      </c>
      <c r="AH5932" s="9">
        <v>52.368463891218347</v>
      </c>
      <c r="AI5932" s="9">
        <v>56.090712435126555</v>
      </c>
      <c r="AJ5932" s="9">
        <v>3.0428788910505911</v>
      </c>
    </row>
    <row r="5933" spans="1:36" x14ac:dyDescent="0.25">
      <c r="A5933" t="s">
        <v>5411</v>
      </c>
      <c r="B5933" t="s">
        <v>16</v>
      </c>
      <c r="C5933" t="s">
        <v>17</v>
      </c>
      <c r="D5933">
        <v>99855000</v>
      </c>
      <c r="E5933">
        <v>99859999</v>
      </c>
      <c r="F5933" t="s">
        <v>5366</v>
      </c>
      <c r="G5933" t="str">
        <f t="shared" si="184"/>
        <v>RSI II</v>
      </c>
      <c r="H5933" t="s">
        <v>4915</v>
      </c>
      <c r="I5933" t="s">
        <v>20</v>
      </c>
      <c r="J5933" t="s">
        <v>64</v>
      </c>
      <c r="K5933" s="6">
        <v>0.03</v>
      </c>
      <c r="L5933" s="7">
        <f t="shared" si="185"/>
        <v>2E-3</v>
      </c>
      <c r="M5933" s="7">
        <v>3.0000000000000001E-3</v>
      </c>
      <c r="N5933">
        <v>11</v>
      </c>
      <c r="O5933" s="8">
        <v>20.328747193832452</v>
      </c>
      <c r="P5933" s="9">
        <v>20.328747193832452</v>
      </c>
      <c r="Q5933" s="9">
        <v>20.328747193832452</v>
      </c>
      <c r="R5933" s="9">
        <v>20.901467178587069</v>
      </c>
      <c r="S5933" s="9">
        <v>21.789694031871221</v>
      </c>
      <c r="T5933" s="9">
        <v>22.685842380093916</v>
      </c>
      <c r="U5933" s="9">
        <v>25.139615720574728</v>
      </c>
      <c r="V5933" s="9">
        <v>25.139615720574728</v>
      </c>
      <c r="W5933" s="9">
        <v>25.139615720574728</v>
      </c>
      <c r="X5933" s="9">
        <v>28.431126761040446</v>
      </c>
      <c r="Y5933" s="9">
        <v>28.431126761040446</v>
      </c>
      <c r="Z5933" s="9">
        <v>31.8133765751437</v>
      </c>
      <c r="AA5933" s="9">
        <v>31.8133765751437</v>
      </c>
      <c r="AB5933" s="9">
        <v>35.295439040248269</v>
      </c>
      <c r="AC5933" s="9">
        <v>35.295439040248269</v>
      </c>
      <c r="AD5933" s="9">
        <v>40.66038110622798</v>
      </c>
      <c r="AE5933" s="9">
        <v>44.145469767258199</v>
      </c>
      <c r="AF5933" s="9">
        <v>47.802065076832598</v>
      </c>
      <c r="AG5933" s="9">
        <v>47.802065076832598</v>
      </c>
      <c r="AH5933" s="9">
        <v>52.368463891218347</v>
      </c>
      <c r="AI5933" s="9">
        <v>56.090712435126555</v>
      </c>
      <c r="AJ5933" s="9">
        <v>3.0428788910505911</v>
      </c>
    </row>
    <row r="5934" spans="1:36" x14ac:dyDescent="0.25">
      <c r="A5934" t="s">
        <v>5411</v>
      </c>
      <c r="B5934" t="s">
        <v>16</v>
      </c>
      <c r="C5934" t="s">
        <v>17</v>
      </c>
      <c r="D5934">
        <v>99860000</v>
      </c>
      <c r="E5934">
        <v>99869999</v>
      </c>
      <c r="F5934" t="s">
        <v>5367</v>
      </c>
      <c r="G5934" t="str">
        <f t="shared" si="184"/>
        <v>RSI II</v>
      </c>
      <c r="H5934" t="s">
        <v>4915</v>
      </c>
      <c r="I5934" t="s">
        <v>20</v>
      </c>
      <c r="J5934" t="s">
        <v>64</v>
      </c>
      <c r="K5934" s="6">
        <v>0.03</v>
      </c>
      <c r="L5934" s="7">
        <f t="shared" si="185"/>
        <v>2E-3</v>
      </c>
      <c r="M5934" s="7">
        <v>3.0000000000000001E-3</v>
      </c>
      <c r="N5934">
        <v>11</v>
      </c>
      <c r="O5934" s="8">
        <v>20.328747193832452</v>
      </c>
      <c r="P5934" s="9">
        <v>20.328747193832452</v>
      </c>
      <c r="Q5934" s="9">
        <v>20.328747193832452</v>
      </c>
      <c r="R5934" s="9">
        <v>20.901467178587069</v>
      </c>
      <c r="S5934" s="9">
        <v>21.789694031871221</v>
      </c>
      <c r="T5934" s="9">
        <v>22.685842380093916</v>
      </c>
      <c r="U5934" s="9">
        <v>25.139615720574728</v>
      </c>
      <c r="V5934" s="9">
        <v>25.139615720574728</v>
      </c>
      <c r="W5934" s="9">
        <v>25.139615720574728</v>
      </c>
      <c r="X5934" s="9">
        <v>28.431126761040446</v>
      </c>
      <c r="Y5934" s="9">
        <v>28.431126761040446</v>
      </c>
      <c r="Z5934" s="9">
        <v>31.8133765751437</v>
      </c>
      <c r="AA5934" s="9">
        <v>31.8133765751437</v>
      </c>
      <c r="AB5934" s="9">
        <v>35.295439040248269</v>
      </c>
      <c r="AC5934" s="9">
        <v>35.295439040248269</v>
      </c>
      <c r="AD5934" s="9">
        <v>40.66038110622798</v>
      </c>
      <c r="AE5934" s="9">
        <v>44.145469767258199</v>
      </c>
      <c r="AF5934" s="9">
        <v>47.802065076832598</v>
      </c>
      <c r="AG5934" s="9">
        <v>47.802065076832598</v>
      </c>
      <c r="AH5934" s="9">
        <v>52.368463891218347</v>
      </c>
      <c r="AI5934" s="9">
        <v>56.090712435126555</v>
      </c>
      <c r="AJ5934" s="9">
        <v>3.0428788910505911</v>
      </c>
    </row>
    <row r="5935" spans="1:36" x14ac:dyDescent="0.25">
      <c r="A5935" t="s">
        <v>5411</v>
      </c>
      <c r="B5935" t="s">
        <v>16</v>
      </c>
      <c r="C5935" t="s">
        <v>17</v>
      </c>
      <c r="D5935">
        <v>99870000</v>
      </c>
      <c r="E5935">
        <v>99877999</v>
      </c>
      <c r="F5935" t="s">
        <v>5368</v>
      </c>
      <c r="G5935" t="str">
        <f t="shared" si="184"/>
        <v>RSI II</v>
      </c>
      <c r="H5935" t="s">
        <v>4915</v>
      </c>
      <c r="I5935" t="s">
        <v>20</v>
      </c>
      <c r="J5935" t="s">
        <v>64</v>
      </c>
      <c r="K5935" s="6">
        <v>0.03</v>
      </c>
      <c r="L5935" s="7">
        <f t="shared" si="185"/>
        <v>2E-3</v>
      </c>
      <c r="M5935" s="7">
        <v>3.0000000000000001E-3</v>
      </c>
      <c r="N5935">
        <v>11</v>
      </c>
      <c r="O5935" s="8">
        <v>20.328747193832452</v>
      </c>
      <c r="P5935" s="9">
        <v>20.328747193832452</v>
      </c>
      <c r="Q5935" s="9">
        <v>20.328747193832452</v>
      </c>
      <c r="R5935" s="9">
        <v>20.901467178587069</v>
      </c>
      <c r="S5935" s="9">
        <v>21.789694031871221</v>
      </c>
      <c r="T5935" s="9">
        <v>22.685842380093916</v>
      </c>
      <c r="U5935" s="9">
        <v>25.139615720574728</v>
      </c>
      <c r="V5935" s="9">
        <v>25.139615720574728</v>
      </c>
      <c r="W5935" s="9">
        <v>25.139615720574728</v>
      </c>
      <c r="X5935" s="9">
        <v>28.431126761040446</v>
      </c>
      <c r="Y5935" s="9">
        <v>28.431126761040446</v>
      </c>
      <c r="Z5935" s="9">
        <v>31.8133765751437</v>
      </c>
      <c r="AA5935" s="9">
        <v>31.8133765751437</v>
      </c>
      <c r="AB5935" s="9">
        <v>35.295439040248269</v>
      </c>
      <c r="AC5935" s="9">
        <v>35.295439040248269</v>
      </c>
      <c r="AD5935" s="9">
        <v>40.66038110622798</v>
      </c>
      <c r="AE5935" s="9">
        <v>44.145469767258199</v>
      </c>
      <c r="AF5935" s="9">
        <v>47.802065076832598</v>
      </c>
      <c r="AG5935" s="9">
        <v>47.802065076832598</v>
      </c>
      <c r="AH5935" s="9">
        <v>52.368463891218347</v>
      </c>
      <c r="AI5935" s="9">
        <v>56.090712435126555</v>
      </c>
      <c r="AJ5935" s="9">
        <v>3.0428788910505911</v>
      </c>
    </row>
    <row r="5936" spans="1:36" x14ac:dyDescent="0.25">
      <c r="A5936" t="s">
        <v>5411</v>
      </c>
      <c r="B5936" t="s">
        <v>16</v>
      </c>
      <c r="C5936" t="s">
        <v>17</v>
      </c>
      <c r="D5936">
        <v>99878000</v>
      </c>
      <c r="E5936">
        <v>99879999</v>
      </c>
      <c r="F5936" t="s">
        <v>5369</v>
      </c>
      <c r="G5936" t="str">
        <f t="shared" si="184"/>
        <v>RSI II</v>
      </c>
      <c r="H5936" t="s">
        <v>4915</v>
      </c>
      <c r="I5936" t="s">
        <v>20</v>
      </c>
      <c r="J5936" t="s">
        <v>64</v>
      </c>
      <c r="K5936" s="6">
        <v>0.03</v>
      </c>
      <c r="L5936" s="7">
        <f t="shared" si="185"/>
        <v>2E-3</v>
      </c>
      <c r="M5936" s="7">
        <v>3.0000000000000001E-3</v>
      </c>
      <c r="N5936">
        <v>11</v>
      </c>
      <c r="O5936" s="8">
        <v>20.328747193832452</v>
      </c>
      <c r="P5936" s="9">
        <v>20.328747193832452</v>
      </c>
      <c r="Q5936" s="9">
        <v>20.328747193832452</v>
      </c>
      <c r="R5936" s="9">
        <v>20.901467178587069</v>
      </c>
      <c r="S5936" s="9">
        <v>21.789694031871221</v>
      </c>
      <c r="T5936" s="9">
        <v>22.685842380093916</v>
      </c>
      <c r="U5936" s="9">
        <v>25.139615720574728</v>
      </c>
      <c r="V5936" s="9">
        <v>25.139615720574728</v>
      </c>
      <c r="W5936" s="9">
        <v>25.139615720574728</v>
      </c>
      <c r="X5936" s="9">
        <v>28.431126761040446</v>
      </c>
      <c r="Y5936" s="9">
        <v>28.431126761040446</v>
      </c>
      <c r="Z5936" s="9">
        <v>31.8133765751437</v>
      </c>
      <c r="AA5936" s="9">
        <v>31.8133765751437</v>
      </c>
      <c r="AB5936" s="9">
        <v>35.295439040248269</v>
      </c>
      <c r="AC5936" s="9">
        <v>35.295439040248269</v>
      </c>
      <c r="AD5936" s="9">
        <v>40.66038110622798</v>
      </c>
      <c r="AE5936" s="9">
        <v>44.145469767258199</v>
      </c>
      <c r="AF5936" s="9">
        <v>47.802065076832598</v>
      </c>
      <c r="AG5936" s="9">
        <v>47.802065076832598</v>
      </c>
      <c r="AH5936" s="9">
        <v>52.368463891218347</v>
      </c>
      <c r="AI5936" s="9">
        <v>56.090712435126555</v>
      </c>
      <c r="AJ5936" s="9">
        <v>3.0428788910505911</v>
      </c>
    </row>
    <row r="5937" spans="1:36" x14ac:dyDescent="0.25">
      <c r="A5937" t="s">
        <v>5411</v>
      </c>
      <c r="B5937" t="s">
        <v>16</v>
      </c>
      <c r="C5937" t="s">
        <v>17</v>
      </c>
      <c r="D5937">
        <v>99880000</v>
      </c>
      <c r="E5937">
        <v>99889999</v>
      </c>
      <c r="F5937" t="s">
        <v>5370</v>
      </c>
      <c r="G5937" t="str">
        <f t="shared" si="184"/>
        <v>RSI II</v>
      </c>
      <c r="H5937" t="s">
        <v>4915</v>
      </c>
      <c r="I5937" t="s">
        <v>20</v>
      </c>
      <c r="J5937" t="s">
        <v>64</v>
      </c>
      <c r="K5937" s="6">
        <v>0.03</v>
      </c>
      <c r="L5937" s="7">
        <f t="shared" si="185"/>
        <v>2E-3</v>
      </c>
      <c r="M5937" s="7">
        <v>3.0000000000000001E-3</v>
      </c>
      <c r="N5937">
        <v>11</v>
      </c>
      <c r="O5937" s="8">
        <v>20.328747193832452</v>
      </c>
      <c r="P5937" s="9">
        <v>20.328747193832452</v>
      </c>
      <c r="Q5937" s="9">
        <v>20.328747193832452</v>
      </c>
      <c r="R5937" s="9">
        <v>20.901467178587069</v>
      </c>
      <c r="S5937" s="9">
        <v>21.789694031871221</v>
      </c>
      <c r="T5937" s="9">
        <v>22.685842380093916</v>
      </c>
      <c r="U5937" s="9">
        <v>25.139615720574728</v>
      </c>
      <c r="V5937" s="9">
        <v>25.139615720574728</v>
      </c>
      <c r="W5937" s="9">
        <v>25.139615720574728</v>
      </c>
      <c r="X5937" s="9">
        <v>28.431126761040446</v>
      </c>
      <c r="Y5937" s="9">
        <v>28.431126761040446</v>
      </c>
      <c r="Z5937" s="9">
        <v>31.8133765751437</v>
      </c>
      <c r="AA5937" s="9">
        <v>31.8133765751437</v>
      </c>
      <c r="AB5937" s="9">
        <v>35.295439040248269</v>
      </c>
      <c r="AC5937" s="9">
        <v>35.295439040248269</v>
      </c>
      <c r="AD5937" s="9">
        <v>40.66038110622798</v>
      </c>
      <c r="AE5937" s="9">
        <v>44.145469767258199</v>
      </c>
      <c r="AF5937" s="9">
        <v>47.802065076832598</v>
      </c>
      <c r="AG5937" s="9">
        <v>47.802065076832598</v>
      </c>
      <c r="AH5937" s="9">
        <v>52.368463891218347</v>
      </c>
      <c r="AI5937" s="9">
        <v>56.090712435126555</v>
      </c>
      <c r="AJ5937" s="9">
        <v>3.0428788910505911</v>
      </c>
    </row>
    <row r="5938" spans="1:36" x14ac:dyDescent="0.25">
      <c r="A5938" t="s">
        <v>5411</v>
      </c>
      <c r="B5938" t="s">
        <v>16</v>
      </c>
      <c r="C5938" t="s">
        <v>17</v>
      </c>
      <c r="D5938">
        <v>99890000</v>
      </c>
      <c r="E5938">
        <v>99894999</v>
      </c>
      <c r="F5938" t="s">
        <v>5371</v>
      </c>
      <c r="G5938" t="str">
        <f t="shared" si="184"/>
        <v>RSI II</v>
      </c>
      <c r="H5938" t="s">
        <v>4915</v>
      </c>
      <c r="I5938" t="s">
        <v>20</v>
      </c>
      <c r="J5938" t="s">
        <v>64</v>
      </c>
      <c r="K5938" s="6">
        <v>0.03</v>
      </c>
      <c r="L5938" s="7">
        <f t="shared" si="185"/>
        <v>2E-3</v>
      </c>
      <c r="M5938" s="7">
        <v>3.0000000000000001E-3</v>
      </c>
      <c r="N5938">
        <v>11</v>
      </c>
      <c r="O5938" s="8">
        <v>20.328747193832452</v>
      </c>
      <c r="P5938" s="9">
        <v>20.328747193832452</v>
      </c>
      <c r="Q5938" s="9">
        <v>20.328747193832452</v>
      </c>
      <c r="R5938" s="9">
        <v>20.901467178587069</v>
      </c>
      <c r="S5938" s="9">
        <v>21.789694031871221</v>
      </c>
      <c r="T5938" s="9">
        <v>22.685842380093916</v>
      </c>
      <c r="U5938" s="9">
        <v>25.139615720574728</v>
      </c>
      <c r="V5938" s="9">
        <v>25.139615720574728</v>
      </c>
      <c r="W5938" s="9">
        <v>25.139615720574728</v>
      </c>
      <c r="X5938" s="9">
        <v>28.431126761040446</v>
      </c>
      <c r="Y5938" s="9">
        <v>28.431126761040446</v>
      </c>
      <c r="Z5938" s="9">
        <v>31.8133765751437</v>
      </c>
      <c r="AA5938" s="9">
        <v>31.8133765751437</v>
      </c>
      <c r="AB5938" s="9">
        <v>35.295439040248269</v>
      </c>
      <c r="AC5938" s="9">
        <v>35.295439040248269</v>
      </c>
      <c r="AD5938" s="9">
        <v>40.66038110622798</v>
      </c>
      <c r="AE5938" s="9">
        <v>44.145469767258199</v>
      </c>
      <c r="AF5938" s="9">
        <v>47.802065076832598</v>
      </c>
      <c r="AG5938" s="9">
        <v>47.802065076832598</v>
      </c>
      <c r="AH5938" s="9">
        <v>52.368463891218347</v>
      </c>
      <c r="AI5938" s="9">
        <v>56.090712435126555</v>
      </c>
      <c r="AJ5938" s="9">
        <v>3.0428788910505911</v>
      </c>
    </row>
    <row r="5939" spans="1:36" x14ac:dyDescent="0.25">
      <c r="A5939" t="s">
        <v>5411</v>
      </c>
      <c r="B5939" t="s">
        <v>16</v>
      </c>
      <c r="C5939" t="s">
        <v>17</v>
      </c>
      <c r="D5939">
        <v>99895000</v>
      </c>
      <c r="E5939">
        <v>99899999</v>
      </c>
      <c r="F5939" t="s">
        <v>5372</v>
      </c>
      <c r="G5939" t="str">
        <f t="shared" si="184"/>
        <v>RSI II</v>
      </c>
      <c r="H5939" t="s">
        <v>4915</v>
      </c>
      <c r="I5939" t="s">
        <v>20</v>
      </c>
      <c r="J5939" t="s">
        <v>64</v>
      </c>
      <c r="K5939" s="6">
        <v>0.03</v>
      </c>
      <c r="L5939" s="7">
        <f t="shared" si="185"/>
        <v>2E-3</v>
      </c>
      <c r="M5939" s="7">
        <v>3.0000000000000001E-3</v>
      </c>
      <c r="N5939">
        <v>11</v>
      </c>
      <c r="O5939" s="8">
        <v>20.328747193832452</v>
      </c>
      <c r="P5939" s="9">
        <v>20.328747193832452</v>
      </c>
      <c r="Q5939" s="9">
        <v>20.328747193832452</v>
      </c>
      <c r="R5939" s="9">
        <v>20.901467178587069</v>
      </c>
      <c r="S5939" s="9">
        <v>21.789694031871221</v>
      </c>
      <c r="T5939" s="9">
        <v>22.685842380093916</v>
      </c>
      <c r="U5939" s="9">
        <v>25.139615720574728</v>
      </c>
      <c r="V5939" s="9">
        <v>25.139615720574728</v>
      </c>
      <c r="W5939" s="9">
        <v>25.139615720574728</v>
      </c>
      <c r="X5939" s="9">
        <v>28.431126761040446</v>
      </c>
      <c r="Y5939" s="9">
        <v>28.431126761040446</v>
      </c>
      <c r="Z5939" s="9">
        <v>31.8133765751437</v>
      </c>
      <c r="AA5939" s="9">
        <v>31.8133765751437</v>
      </c>
      <c r="AB5939" s="9">
        <v>35.295439040248269</v>
      </c>
      <c r="AC5939" s="9">
        <v>35.295439040248269</v>
      </c>
      <c r="AD5939" s="9">
        <v>40.66038110622798</v>
      </c>
      <c r="AE5939" s="9">
        <v>44.145469767258199</v>
      </c>
      <c r="AF5939" s="9">
        <v>47.802065076832598</v>
      </c>
      <c r="AG5939" s="9">
        <v>47.802065076832598</v>
      </c>
      <c r="AH5939" s="9">
        <v>52.368463891218347</v>
      </c>
      <c r="AI5939" s="9">
        <v>56.090712435126555</v>
      </c>
      <c r="AJ5939" s="9">
        <v>3.0428788910505911</v>
      </c>
    </row>
    <row r="5940" spans="1:36" x14ac:dyDescent="0.25">
      <c r="A5940" t="s">
        <v>5411</v>
      </c>
      <c r="B5940" t="s">
        <v>16</v>
      </c>
      <c r="C5940" t="s">
        <v>17</v>
      </c>
      <c r="D5940">
        <v>99900000</v>
      </c>
      <c r="E5940">
        <v>99909999</v>
      </c>
      <c r="F5940" t="s">
        <v>5373</v>
      </c>
      <c r="G5940" t="str">
        <f t="shared" si="184"/>
        <v>RSI II</v>
      </c>
      <c r="H5940" t="s">
        <v>4915</v>
      </c>
      <c r="I5940" t="s">
        <v>20</v>
      </c>
      <c r="J5940" t="s">
        <v>64</v>
      </c>
      <c r="K5940" s="6">
        <v>0.03</v>
      </c>
      <c r="L5940" s="7">
        <f t="shared" si="185"/>
        <v>2E-3</v>
      </c>
      <c r="M5940" s="7">
        <v>3.0000000000000001E-3</v>
      </c>
      <c r="N5940">
        <v>11</v>
      </c>
      <c r="O5940" s="8">
        <v>20.328747193832452</v>
      </c>
      <c r="P5940" s="9">
        <v>20.328747193832452</v>
      </c>
      <c r="Q5940" s="9">
        <v>20.328747193832452</v>
      </c>
      <c r="R5940" s="9">
        <v>20.901467178587069</v>
      </c>
      <c r="S5940" s="9">
        <v>21.789694031871221</v>
      </c>
      <c r="T5940" s="9">
        <v>22.685842380093916</v>
      </c>
      <c r="U5940" s="9">
        <v>25.139615720574728</v>
      </c>
      <c r="V5940" s="9">
        <v>25.139615720574728</v>
      </c>
      <c r="W5940" s="9">
        <v>25.139615720574728</v>
      </c>
      <c r="X5940" s="9">
        <v>28.431126761040446</v>
      </c>
      <c r="Y5940" s="9">
        <v>28.431126761040446</v>
      </c>
      <c r="Z5940" s="9">
        <v>31.8133765751437</v>
      </c>
      <c r="AA5940" s="9">
        <v>31.8133765751437</v>
      </c>
      <c r="AB5940" s="9">
        <v>35.295439040248269</v>
      </c>
      <c r="AC5940" s="9">
        <v>35.295439040248269</v>
      </c>
      <c r="AD5940" s="9">
        <v>40.66038110622798</v>
      </c>
      <c r="AE5940" s="9">
        <v>44.145469767258199</v>
      </c>
      <c r="AF5940" s="9">
        <v>47.802065076832598</v>
      </c>
      <c r="AG5940" s="9">
        <v>47.802065076832598</v>
      </c>
      <c r="AH5940" s="9">
        <v>52.368463891218347</v>
      </c>
      <c r="AI5940" s="9">
        <v>56.090712435126555</v>
      </c>
      <c r="AJ5940" s="9">
        <v>3.0428788910505911</v>
      </c>
    </row>
    <row r="5941" spans="1:36" x14ac:dyDescent="0.25">
      <c r="A5941" t="s">
        <v>5411</v>
      </c>
      <c r="B5941" t="s">
        <v>16</v>
      </c>
      <c r="C5941" t="s">
        <v>17</v>
      </c>
      <c r="D5941">
        <v>99910000</v>
      </c>
      <c r="E5941">
        <v>99919999</v>
      </c>
      <c r="F5941" t="s">
        <v>5374</v>
      </c>
      <c r="G5941" t="str">
        <f t="shared" si="184"/>
        <v>RSI II</v>
      </c>
      <c r="H5941" t="s">
        <v>4915</v>
      </c>
      <c r="I5941" t="s">
        <v>20</v>
      </c>
      <c r="J5941" t="s">
        <v>64</v>
      </c>
      <c r="K5941" s="6">
        <v>0.03</v>
      </c>
      <c r="L5941" s="7">
        <f t="shared" si="185"/>
        <v>2E-3</v>
      </c>
      <c r="M5941" s="7">
        <v>3.0000000000000001E-3</v>
      </c>
      <c r="N5941">
        <v>11</v>
      </c>
      <c r="O5941" s="8">
        <v>20.328747193832452</v>
      </c>
      <c r="P5941" s="9">
        <v>20.328747193832452</v>
      </c>
      <c r="Q5941" s="9">
        <v>20.328747193832452</v>
      </c>
      <c r="R5941" s="9">
        <v>20.901467178587069</v>
      </c>
      <c r="S5941" s="9">
        <v>21.789694031871221</v>
      </c>
      <c r="T5941" s="9">
        <v>22.685842380093916</v>
      </c>
      <c r="U5941" s="9">
        <v>25.139615720574728</v>
      </c>
      <c r="V5941" s="9">
        <v>25.139615720574728</v>
      </c>
      <c r="W5941" s="9">
        <v>25.139615720574728</v>
      </c>
      <c r="X5941" s="9">
        <v>28.431126761040446</v>
      </c>
      <c r="Y5941" s="9">
        <v>28.431126761040446</v>
      </c>
      <c r="Z5941" s="9">
        <v>31.8133765751437</v>
      </c>
      <c r="AA5941" s="9">
        <v>31.8133765751437</v>
      </c>
      <c r="AB5941" s="9">
        <v>35.295439040248269</v>
      </c>
      <c r="AC5941" s="9">
        <v>35.295439040248269</v>
      </c>
      <c r="AD5941" s="9">
        <v>40.66038110622798</v>
      </c>
      <c r="AE5941" s="9">
        <v>44.145469767258199</v>
      </c>
      <c r="AF5941" s="9">
        <v>47.802065076832598</v>
      </c>
      <c r="AG5941" s="9">
        <v>47.802065076832598</v>
      </c>
      <c r="AH5941" s="9">
        <v>52.368463891218347</v>
      </c>
      <c r="AI5941" s="9">
        <v>56.090712435126555</v>
      </c>
      <c r="AJ5941" s="9">
        <v>3.0428788910505911</v>
      </c>
    </row>
    <row r="5942" spans="1:36" x14ac:dyDescent="0.25">
      <c r="A5942" t="s">
        <v>5411</v>
      </c>
      <c r="B5942" t="s">
        <v>16</v>
      </c>
      <c r="C5942" t="s">
        <v>17</v>
      </c>
      <c r="D5942">
        <v>99920000</v>
      </c>
      <c r="E5942">
        <v>99924999</v>
      </c>
      <c r="F5942" t="s">
        <v>5375</v>
      </c>
      <c r="G5942" t="str">
        <f t="shared" si="184"/>
        <v>RSI II</v>
      </c>
      <c r="H5942" t="s">
        <v>4915</v>
      </c>
      <c r="I5942" t="s">
        <v>20</v>
      </c>
      <c r="J5942" t="s">
        <v>64</v>
      </c>
      <c r="K5942" s="6">
        <v>0.03</v>
      </c>
      <c r="L5942" s="7">
        <f t="shared" si="185"/>
        <v>2E-3</v>
      </c>
      <c r="M5942" s="7">
        <v>3.0000000000000001E-3</v>
      </c>
      <c r="N5942">
        <v>11</v>
      </c>
      <c r="O5942" s="8">
        <v>20.328747193832452</v>
      </c>
      <c r="P5942" s="9">
        <v>20.328747193832452</v>
      </c>
      <c r="Q5942" s="9">
        <v>20.328747193832452</v>
      </c>
      <c r="R5942" s="9">
        <v>20.901467178587069</v>
      </c>
      <c r="S5942" s="9">
        <v>21.789694031871221</v>
      </c>
      <c r="T5942" s="9">
        <v>22.685842380093916</v>
      </c>
      <c r="U5942" s="9">
        <v>25.139615720574728</v>
      </c>
      <c r="V5942" s="9">
        <v>25.139615720574728</v>
      </c>
      <c r="W5942" s="9">
        <v>25.139615720574728</v>
      </c>
      <c r="X5942" s="9">
        <v>28.431126761040446</v>
      </c>
      <c r="Y5942" s="9">
        <v>28.431126761040446</v>
      </c>
      <c r="Z5942" s="9">
        <v>31.8133765751437</v>
      </c>
      <c r="AA5942" s="9">
        <v>31.8133765751437</v>
      </c>
      <c r="AB5942" s="9">
        <v>35.295439040248269</v>
      </c>
      <c r="AC5942" s="9">
        <v>35.295439040248269</v>
      </c>
      <c r="AD5942" s="9">
        <v>40.66038110622798</v>
      </c>
      <c r="AE5942" s="9">
        <v>44.145469767258199</v>
      </c>
      <c r="AF5942" s="9">
        <v>47.802065076832598</v>
      </c>
      <c r="AG5942" s="9">
        <v>47.802065076832598</v>
      </c>
      <c r="AH5942" s="9">
        <v>52.368463891218347</v>
      </c>
      <c r="AI5942" s="9">
        <v>56.090712435126555</v>
      </c>
      <c r="AJ5942" s="9">
        <v>3.0428788910505911</v>
      </c>
    </row>
    <row r="5943" spans="1:36" x14ac:dyDescent="0.25">
      <c r="A5943" t="s">
        <v>5411</v>
      </c>
      <c r="B5943" t="s">
        <v>16</v>
      </c>
      <c r="C5943" t="s">
        <v>17</v>
      </c>
      <c r="D5943">
        <v>99925000</v>
      </c>
      <c r="E5943">
        <v>99929999</v>
      </c>
      <c r="F5943" t="s">
        <v>5376</v>
      </c>
      <c r="G5943" t="str">
        <f t="shared" si="184"/>
        <v>RSI II</v>
      </c>
      <c r="H5943" t="s">
        <v>4915</v>
      </c>
      <c r="I5943" t="s">
        <v>20</v>
      </c>
      <c r="J5943" t="s">
        <v>64</v>
      </c>
      <c r="K5943" s="6">
        <v>0.03</v>
      </c>
      <c r="L5943" s="7">
        <f t="shared" si="185"/>
        <v>2E-3</v>
      </c>
      <c r="M5943" s="7">
        <v>3.0000000000000001E-3</v>
      </c>
      <c r="N5943">
        <v>11</v>
      </c>
      <c r="O5943" s="8">
        <v>20.328747193832452</v>
      </c>
      <c r="P5943" s="9">
        <v>20.328747193832452</v>
      </c>
      <c r="Q5943" s="9">
        <v>20.328747193832452</v>
      </c>
      <c r="R5943" s="9">
        <v>20.901467178587069</v>
      </c>
      <c r="S5943" s="9">
        <v>21.789694031871221</v>
      </c>
      <c r="T5943" s="9">
        <v>22.685842380093916</v>
      </c>
      <c r="U5943" s="9">
        <v>25.139615720574728</v>
      </c>
      <c r="V5943" s="9">
        <v>25.139615720574728</v>
      </c>
      <c r="W5943" s="9">
        <v>25.139615720574728</v>
      </c>
      <c r="X5943" s="9">
        <v>28.431126761040446</v>
      </c>
      <c r="Y5943" s="9">
        <v>28.431126761040446</v>
      </c>
      <c r="Z5943" s="9">
        <v>31.8133765751437</v>
      </c>
      <c r="AA5943" s="9">
        <v>31.8133765751437</v>
      </c>
      <c r="AB5943" s="9">
        <v>35.295439040248269</v>
      </c>
      <c r="AC5943" s="9">
        <v>35.295439040248269</v>
      </c>
      <c r="AD5943" s="9">
        <v>40.66038110622798</v>
      </c>
      <c r="AE5943" s="9">
        <v>44.145469767258199</v>
      </c>
      <c r="AF5943" s="9">
        <v>47.802065076832598</v>
      </c>
      <c r="AG5943" s="9">
        <v>47.802065076832598</v>
      </c>
      <c r="AH5943" s="9">
        <v>52.368463891218347</v>
      </c>
      <c r="AI5943" s="9">
        <v>56.090712435126555</v>
      </c>
      <c r="AJ5943" s="9">
        <v>3.0428788910505911</v>
      </c>
    </row>
    <row r="5944" spans="1:36" x14ac:dyDescent="0.25">
      <c r="A5944" t="s">
        <v>5411</v>
      </c>
      <c r="B5944" t="s">
        <v>16</v>
      </c>
      <c r="C5944" t="s">
        <v>17</v>
      </c>
      <c r="D5944">
        <v>99930000</v>
      </c>
      <c r="E5944">
        <v>99939999</v>
      </c>
      <c r="F5944" t="s">
        <v>5377</v>
      </c>
      <c r="G5944" t="str">
        <f t="shared" si="184"/>
        <v>RSI II</v>
      </c>
      <c r="H5944" t="s">
        <v>4915</v>
      </c>
      <c r="I5944" t="s">
        <v>20</v>
      </c>
      <c r="J5944" t="s">
        <v>64</v>
      </c>
      <c r="K5944" s="6">
        <v>0.03</v>
      </c>
      <c r="L5944" s="7">
        <f t="shared" si="185"/>
        <v>2E-3</v>
      </c>
      <c r="M5944" s="7">
        <v>3.0000000000000001E-3</v>
      </c>
      <c r="N5944">
        <v>11</v>
      </c>
      <c r="O5944" s="8">
        <v>20.328747193832452</v>
      </c>
      <c r="P5944" s="9">
        <v>20.328747193832452</v>
      </c>
      <c r="Q5944" s="9">
        <v>20.328747193832452</v>
      </c>
      <c r="R5944" s="9">
        <v>20.901467178587069</v>
      </c>
      <c r="S5944" s="9">
        <v>21.789694031871221</v>
      </c>
      <c r="T5944" s="9">
        <v>22.685842380093916</v>
      </c>
      <c r="U5944" s="9">
        <v>25.139615720574728</v>
      </c>
      <c r="V5944" s="9">
        <v>25.139615720574728</v>
      </c>
      <c r="W5944" s="9">
        <v>25.139615720574728</v>
      </c>
      <c r="X5944" s="9">
        <v>28.431126761040446</v>
      </c>
      <c r="Y5944" s="9">
        <v>28.431126761040446</v>
      </c>
      <c r="Z5944" s="9">
        <v>31.8133765751437</v>
      </c>
      <c r="AA5944" s="9">
        <v>31.8133765751437</v>
      </c>
      <c r="AB5944" s="9">
        <v>35.295439040248269</v>
      </c>
      <c r="AC5944" s="9">
        <v>35.295439040248269</v>
      </c>
      <c r="AD5944" s="9">
        <v>40.66038110622798</v>
      </c>
      <c r="AE5944" s="9">
        <v>44.145469767258199</v>
      </c>
      <c r="AF5944" s="9">
        <v>47.802065076832598</v>
      </c>
      <c r="AG5944" s="9">
        <v>47.802065076832598</v>
      </c>
      <c r="AH5944" s="9">
        <v>52.368463891218347</v>
      </c>
      <c r="AI5944" s="9">
        <v>56.090712435126555</v>
      </c>
      <c r="AJ5944" s="9">
        <v>3.0428788910505911</v>
      </c>
    </row>
    <row r="5945" spans="1:36" x14ac:dyDescent="0.25">
      <c r="A5945" t="s">
        <v>5411</v>
      </c>
      <c r="B5945" t="s">
        <v>16</v>
      </c>
      <c r="C5945" t="s">
        <v>17</v>
      </c>
      <c r="D5945">
        <v>99940000</v>
      </c>
      <c r="E5945">
        <v>99949999</v>
      </c>
      <c r="F5945" t="s">
        <v>5378</v>
      </c>
      <c r="G5945" t="str">
        <f t="shared" si="184"/>
        <v>RSI II</v>
      </c>
      <c r="H5945" t="s">
        <v>4915</v>
      </c>
      <c r="I5945" t="s">
        <v>20</v>
      </c>
      <c r="J5945" t="s">
        <v>64</v>
      </c>
      <c r="K5945" s="6">
        <v>0.03</v>
      </c>
      <c r="L5945" s="7">
        <f t="shared" si="185"/>
        <v>2E-3</v>
      </c>
      <c r="M5945" s="7">
        <v>3.0000000000000001E-3</v>
      </c>
      <c r="N5945">
        <v>11</v>
      </c>
      <c r="O5945" s="8">
        <v>20.328747193832452</v>
      </c>
      <c r="P5945" s="9">
        <v>20.328747193832452</v>
      </c>
      <c r="Q5945" s="9">
        <v>20.328747193832452</v>
      </c>
      <c r="R5945" s="9">
        <v>20.901467178587069</v>
      </c>
      <c r="S5945" s="9">
        <v>21.789694031871221</v>
      </c>
      <c r="T5945" s="9">
        <v>22.685842380093916</v>
      </c>
      <c r="U5945" s="9">
        <v>25.139615720574728</v>
      </c>
      <c r="V5945" s="9">
        <v>25.139615720574728</v>
      </c>
      <c r="W5945" s="9">
        <v>25.139615720574728</v>
      </c>
      <c r="X5945" s="9">
        <v>28.431126761040446</v>
      </c>
      <c r="Y5945" s="9">
        <v>28.431126761040446</v>
      </c>
      <c r="Z5945" s="9">
        <v>31.8133765751437</v>
      </c>
      <c r="AA5945" s="9">
        <v>31.8133765751437</v>
      </c>
      <c r="AB5945" s="9">
        <v>35.295439040248269</v>
      </c>
      <c r="AC5945" s="9">
        <v>35.295439040248269</v>
      </c>
      <c r="AD5945" s="9">
        <v>40.66038110622798</v>
      </c>
      <c r="AE5945" s="9">
        <v>44.145469767258199</v>
      </c>
      <c r="AF5945" s="9">
        <v>47.802065076832598</v>
      </c>
      <c r="AG5945" s="9">
        <v>47.802065076832598</v>
      </c>
      <c r="AH5945" s="9">
        <v>52.368463891218347</v>
      </c>
      <c r="AI5945" s="9">
        <v>56.090712435126555</v>
      </c>
      <c r="AJ5945" s="9">
        <v>3.0428788910505911</v>
      </c>
    </row>
    <row r="5946" spans="1:36" x14ac:dyDescent="0.25">
      <c r="A5946" t="s">
        <v>5411</v>
      </c>
      <c r="B5946" t="s">
        <v>16</v>
      </c>
      <c r="C5946" t="s">
        <v>17</v>
      </c>
      <c r="D5946">
        <v>99950000</v>
      </c>
      <c r="E5946">
        <v>99951999</v>
      </c>
      <c r="F5946" t="s">
        <v>4605</v>
      </c>
      <c r="G5946" t="str">
        <f t="shared" si="184"/>
        <v>RSI II</v>
      </c>
      <c r="H5946" t="s">
        <v>4915</v>
      </c>
      <c r="I5946" t="s">
        <v>20</v>
      </c>
      <c r="J5946" t="s">
        <v>64</v>
      </c>
      <c r="K5946" s="6">
        <v>0.03</v>
      </c>
      <c r="L5946" s="7">
        <f t="shared" si="185"/>
        <v>2E-3</v>
      </c>
      <c r="M5946" s="7">
        <v>3.0000000000000001E-3</v>
      </c>
      <c r="N5946">
        <v>11</v>
      </c>
      <c r="O5946" s="8">
        <v>20.328747193832452</v>
      </c>
      <c r="P5946" s="9">
        <v>20.328747193832452</v>
      </c>
      <c r="Q5946" s="9">
        <v>20.328747193832452</v>
      </c>
      <c r="R5946" s="9">
        <v>20.901467178587069</v>
      </c>
      <c r="S5946" s="9">
        <v>21.789694031871221</v>
      </c>
      <c r="T5946" s="9">
        <v>22.685842380093916</v>
      </c>
      <c r="U5946" s="9">
        <v>25.139615720574728</v>
      </c>
      <c r="V5946" s="9">
        <v>25.139615720574728</v>
      </c>
      <c r="W5946" s="9">
        <v>25.139615720574728</v>
      </c>
      <c r="X5946" s="9">
        <v>28.431126761040446</v>
      </c>
      <c r="Y5946" s="9">
        <v>28.431126761040446</v>
      </c>
      <c r="Z5946" s="9">
        <v>31.8133765751437</v>
      </c>
      <c r="AA5946" s="9">
        <v>31.8133765751437</v>
      </c>
      <c r="AB5946" s="9">
        <v>35.295439040248269</v>
      </c>
      <c r="AC5946" s="9">
        <v>35.295439040248269</v>
      </c>
      <c r="AD5946" s="9">
        <v>40.66038110622798</v>
      </c>
      <c r="AE5946" s="9">
        <v>44.145469767258199</v>
      </c>
      <c r="AF5946" s="9">
        <v>47.802065076832598</v>
      </c>
      <c r="AG5946" s="9">
        <v>47.802065076832598</v>
      </c>
      <c r="AH5946" s="9">
        <v>52.368463891218347</v>
      </c>
      <c r="AI5946" s="9">
        <v>56.090712435126555</v>
      </c>
      <c r="AJ5946" s="9">
        <v>3.0428788910505911</v>
      </c>
    </row>
    <row r="5947" spans="1:36" x14ac:dyDescent="0.25">
      <c r="A5947" t="s">
        <v>5411</v>
      </c>
      <c r="B5947" t="s">
        <v>16</v>
      </c>
      <c r="C5947" t="s">
        <v>17</v>
      </c>
      <c r="D5947">
        <v>99952000</v>
      </c>
      <c r="E5947">
        <v>99954999</v>
      </c>
      <c r="F5947" t="s">
        <v>5379</v>
      </c>
      <c r="G5947" t="str">
        <f t="shared" si="184"/>
        <v>RSI II</v>
      </c>
      <c r="H5947" t="s">
        <v>4915</v>
      </c>
      <c r="I5947" t="s">
        <v>20</v>
      </c>
      <c r="J5947" t="s">
        <v>64</v>
      </c>
      <c r="K5947" s="6">
        <v>0.03</v>
      </c>
      <c r="L5947" s="7">
        <f t="shared" si="185"/>
        <v>2E-3</v>
      </c>
      <c r="M5947" s="7">
        <v>3.0000000000000001E-3</v>
      </c>
      <c r="N5947">
        <v>11</v>
      </c>
      <c r="O5947" s="8">
        <v>20.328747193832452</v>
      </c>
      <c r="P5947" s="9">
        <v>20.328747193832452</v>
      </c>
      <c r="Q5947" s="9">
        <v>20.328747193832452</v>
      </c>
      <c r="R5947" s="9">
        <v>20.901467178587069</v>
      </c>
      <c r="S5947" s="9">
        <v>21.789694031871221</v>
      </c>
      <c r="T5947" s="9">
        <v>22.685842380093916</v>
      </c>
      <c r="U5947" s="9">
        <v>25.139615720574728</v>
      </c>
      <c r="V5947" s="9">
        <v>25.139615720574728</v>
      </c>
      <c r="W5947" s="9">
        <v>25.139615720574728</v>
      </c>
      <c r="X5947" s="9">
        <v>28.431126761040446</v>
      </c>
      <c r="Y5947" s="9">
        <v>28.431126761040446</v>
      </c>
      <c r="Z5947" s="9">
        <v>31.8133765751437</v>
      </c>
      <c r="AA5947" s="9">
        <v>31.8133765751437</v>
      </c>
      <c r="AB5947" s="9">
        <v>35.295439040248269</v>
      </c>
      <c r="AC5947" s="9">
        <v>35.295439040248269</v>
      </c>
      <c r="AD5947" s="9">
        <v>40.66038110622798</v>
      </c>
      <c r="AE5947" s="9">
        <v>44.145469767258199</v>
      </c>
      <c r="AF5947" s="9">
        <v>47.802065076832598</v>
      </c>
      <c r="AG5947" s="9">
        <v>47.802065076832598</v>
      </c>
      <c r="AH5947" s="9">
        <v>52.368463891218347</v>
      </c>
      <c r="AI5947" s="9">
        <v>56.090712435126555</v>
      </c>
      <c r="AJ5947" s="9">
        <v>3.0428788910505911</v>
      </c>
    </row>
    <row r="5948" spans="1:36" x14ac:dyDescent="0.25">
      <c r="A5948" t="s">
        <v>5411</v>
      </c>
      <c r="B5948" t="s">
        <v>16</v>
      </c>
      <c r="C5948" t="s">
        <v>17</v>
      </c>
      <c r="D5948">
        <v>99955000</v>
      </c>
      <c r="E5948">
        <v>99959999</v>
      </c>
      <c r="F5948" t="s">
        <v>5380</v>
      </c>
      <c r="G5948" t="str">
        <f t="shared" si="184"/>
        <v>RSI II</v>
      </c>
      <c r="H5948" t="s">
        <v>4915</v>
      </c>
      <c r="I5948" t="s">
        <v>20</v>
      </c>
      <c r="J5948" t="s">
        <v>64</v>
      </c>
      <c r="K5948" s="6">
        <v>0.03</v>
      </c>
      <c r="L5948" s="7">
        <f t="shared" si="185"/>
        <v>2E-3</v>
      </c>
      <c r="M5948" s="7">
        <v>3.0000000000000001E-3</v>
      </c>
      <c r="N5948">
        <v>11</v>
      </c>
      <c r="O5948" s="8">
        <v>20.328747193832452</v>
      </c>
      <c r="P5948" s="9">
        <v>20.328747193832452</v>
      </c>
      <c r="Q5948" s="9">
        <v>20.328747193832452</v>
      </c>
      <c r="R5948" s="9">
        <v>20.901467178587069</v>
      </c>
      <c r="S5948" s="9">
        <v>21.789694031871221</v>
      </c>
      <c r="T5948" s="9">
        <v>22.685842380093916</v>
      </c>
      <c r="U5948" s="9">
        <v>25.139615720574728</v>
      </c>
      <c r="V5948" s="9">
        <v>25.139615720574728</v>
      </c>
      <c r="W5948" s="9">
        <v>25.139615720574728</v>
      </c>
      <c r="X5948" s="9">
        <v>28.431126761040446</v>
      </c>
      <c r="Y5948" s="9">
        <v>28.431126761040446</v>
      </c>
      <c r="Z5948" s="9">
        <v>31.8133765751437</v>
      </c>
      <c r="AA5948" s="9">
        <v>31.8133765751437</v>
      </c>
      <c r="AB5948" s="9">
        <v>35.295439040248269</v>
      </c>
      <c r="AC5948" s="9">
        <v>35.295439040248269</v>
      </c>
      <c r="AD5948" s="9">
        <v>40.66038110622798</v>
      </c>
      <c r="AE5948" s="9">
        <v>44.145469767258199</v>
      </c>
      <c r="AF5948" s="9">
        <v>47.802065076832598</v>
      </c>
      <c r="AG5948" s="9">
        <v>47.802065076832598</v>
      </c>
      <c r="AH5948" s="9">
        <v>52.368463891218347</v>
      </c>
      <c r="AI5948" s="9">
        <v>56.090712435126555</v>
      </c>
      <c r="AJ5948" s="9">
        <v>3.0428788910505911</v>
      </c>
    </row>
    <row r="5949" spans="1:36" x14ac:dyDescent="0.25">
      <c r="A5949" t="s">
        <v>5411</v>
      </c>
      <c r="B5949" t="s">
        <v>16</v>
      </c>
      <c r="C5949" t="s">
        <v>17</v>
      </c>
      <c r="D5949">
        <v>99960000</v>
      </c>
      <c r="E5949">
        <v>99964999</v>
      </c>
      <c r="F5949" t="s">
        <v>5381</v>
      </c>
      <c r="G5949" t="str">
        <f t="shared" si="184"/>
        <v>RSI II</v>
      </c>
      <c r="H5949" t="s">
        <v>4915</v>
      </c>
      <c r="I5949" t="s">
        <v>20</v>
      </c>
      <c r="J5949" t="s">
        <v>64</v>
      </c>
      <c r="K5949" s="6">
        <v>0.03</v>
      </c>
      <c r="L5949" s="7">
        <f t="shared" si="185"/>
        <v>2E-3</v>
      </c>
      <c r="M5949" s="7">
        <v>3.0000000000000001E-3</v>
      </c>
      <c r="N5949">
        <v>11</v>
      </c>
      <c r="O5949" s="8">
        <v>20.328747193832452</v>
      </c>
      <c r="P5949" s="9">
        <v>20.328747193832452</v>
      </c>
      <c r="Q5949" s="9">
        <v>20.328747193832452</v>
      </c>
      <c r="R5949" s="9">
        <v>20.901467178587069</v>
      </c>
      <c r="S5949" s="9">
        <v>21.789694031871221</v>
      </c>
      <c r="T5949" s="9">
        <v>22.685842380093916</v>
      </c>
      <c r="U5949" s="9">
        <v>25.139615720574728</v>
      </c>
      <c r="V5949" s="9">
        <v>25.139615720574728</v>
      </c>
      <c r="W5949" s="9">
        <v>25.139615720574728</v>
      </c>
      <c r="X5949" s="9">
        <v>28.431126761040446</v>
      </c>
      <c r="Y5949" s="9">
        <v>28.431126761040446</v>
      </c>
      <c r="Z5949" s="9">
        <v>31.8133765751437</v>
      </c>
      <c r="AA5949" s="9">
        <v>31.8133765751437</v>
      </c>
      <c r="AB5949" s="9">
        <v>35.295439040248269</v>
      </c>
      <c r="AC5949" s="9">
        <v>35.295439040248269</v>
      </c>
      <c r="AD5949" s="9">
        <v>40.66038110622798</v>
      </c>
      <c r="AE5949" s="9">
        <v>44.145469767258199</v>
      </c>
      <c r="AF5949" s="9">
        <v>47.802065076832598</v>
      </c>
      <c r="AG5949" s="9">
        <v>47.802065076832598</v>
      </c>
      <c r="AH5949" s="9">
        <v>52.368463891218347</v>
      </c>
      <c r="AI5949" s="9">
        <v>56.090712435126555</v>
      </c>
      <c r="AJ5949" s="9">
        <v>3.0428788910505911</v>
      </c>
    </row>
    <row r="5950" spans="1:36" x14ac:dyDescent="0.25">
      <c r="A5950" t="s">
        <v>5411</v>
      </c>
      <c r="B5950" t="s">
        <v>16</v>
      </c>
      <c r="C5950" t="s">
        <v>17</v>
      </c>
      <c r="D5950">
        <v>99965000</v>
      </c>
      <c r="E5950">
        <v>99969999</v>
      </c>
      <c r="F5950" t="s">
        <v>5382</v>
      </c>
      <c r="G5950" t="str">
        <f t="shared" si="184"/>
        <v>RSI II</v>
      </c>
      <c r="H5950" t="s">
        <v>4915</v>
      </c>
      <c r="I5950" t="s">
        <v>20</v>
      </c>
      <c r="J5950" t="s">
        <v>64</v>
      </c>
      <c r="K5950" s="6">
        <v>0.03</v>
      </c>
      <c r="L5950" s="7">
        <f t="shared" si="185"/>
        <v>2E-3</v>
      </c>
      <c r="M5950" s="7">
        <v>3.0000000000000001E-3</v>
      </c>
      <c r="N5950">
        <v>11</v>
      </c>
      <c r="O5950" s="8">
        <v>20.328747193832452</v>
      </c>
      <c r="P5950" s="9">
        <v>20.328747193832452</v>
      </c>
      <c r="Q5950" s="9">
        <v>20.328747193832452</v>
      </c>
      <c r="R5950" s="9">
        <v>20.901467178587069</v>
      </c>
      <c r="S5950" s="9">
        <v>21.789694031871221</v>
      </c>
      <c r="T5950" s="9">
        <v>22.685842380093916</v>
      </c>
      <c r="U5950" s="9">
        <v>25.139615720574728</v>
      </c>
      <c r="V5950" s="9">
        <v>25.139615720574728</v>
      </c>
      <c r="W5950" s="9">
        <v>25.139615720574728</v>
      </c>
      <c r="X5950" s="9">
        <v>28.431126761040446</v>
      </c>
      <c r="Y5950" s="9">
        <v>28.431126761040446</v>
      </c>
      <c r="Z5950" s="9">
        <v>31.8133765751437</v>
      </c>
      <c r="AA5950" s="9">
        <v>31.8133765751437</v>
      </c>
      <c r="AB5950" s="9">
        <v>35.295439040248269</v>
      </c>
      <c r="AC5950" s="9">
        <v>35.295439040248269</v>
      </c>
      <c r="AD5950" s="9">
        <v>40.66038110622798</v>
      </c>
      <c r="AE5950" s="9">
        <v>44.145469767258199</v>
      </c>
      <c r="AF5950" s="9">
        <v>47.802065076832598</v>
      </c>
      <c r="AG5950" s="9">
        <v>47.802065076832598</v>
      </c>
      <c r="AH5950" s="9">
        <v>52.368463891218347</v>
      </c>
      <c r="AI5950" s="9">
        <v>56.090712435126555</v>
      </c>
      <c r="AJ5950" s="9">
        <v>3.0428788910505911</v>
      </c>
    </row>
    <row r="5951" spans="1:36" x14ac:dyDescent="0.25">
      <c r="A5951" t="s">
        <v>5411</v>
      </c>
      <c r="B5951" t="s">
        <v>16</v>
      </c>
      <c r="C5951" t="s">
        <v>17</v>
      </c>
      <c r="D5951">
        <v>99970000</v>
      </c>
      <c r="E5951">
        <v>99979999</v>
      </c>
      <c r="F5951" t="s">
        <v>5383</v>
      </c>
      <c r="G5951" t="str">
        <f t="shared" si="184"/>
        <v>RSI II</v>
      </c>
      <c r="H5951" t="s">
        <v>4915</v>
      </c>
      <c r="I5951" t="s">
        <v>20</v>
      </c>
      <c r="J5951" t="s">
        <v>64</v>
      </c>
      <c r="K5951" s="6">
        <v>0.03</v>
      </c>
      <c r="L5951" s="7">
        <f t="shared" si="185"/>
        <v>2E-3</v>
      </c>
      <c r="M5951" s="7">
        <v>3.0000000000000001E-3</v>
      </c>
      <c r="N5951">
        <v>11</v>
      </c>
      <c r="O5951" s="8">
        <v>20.328747193832452</v>
      </c>
      <c r="P5951" s="9">
        <v>20.328747193832452</v>
      </c>
      <c r="Q5951" s="9">
        <v>20.328747193832452</v>
      </c>
      <c r="R5951" s="9">
        <v>20.901467178587069</v>
      </c>
      <c r="S5951" s="9">
        <v>21.789694031871221</v>
      </c>
      <c r="T5951" s="9">
        <v>22.685842380093916</v>
      </c>
      <c r="U5951" s="9">
        <v>25.139615720574728</v>
      </c>
      <c r="V5951" s="9">
        <v>25.139615720574728</v>
      </c>
      <c r="W5951" s="9">
        <v>25.139615720574728</v>
      </c>
      <c r="X5951" s="9">
        <v>28.431126761040446</v>
      </c>
      <c r="Y5951" s="9">
        <v>28.431126761040446</v>
      </c>
      <c r="Z5951" s="9">
        <v>31.8133765751437</v>
      </c>
      <c r="AA5951" s="9">
        <v>31.8133765751437</v>
      </c>
      <c r="AB5951" s="9">
        <v>35.295439040248269</v>
      </c>
      <c r="AC5951" s="9">
        <v>35.295439040248269</v>
      </c>
      <c r="AD5951" s="9">
        <v>40.66038110622798</v>
      </c>
      <c r="AE5951" s="9">
        <v>44.145469767258199</v>
      </c>
      <c r="AF5951" s="9">
        <v>47.802065076832598</v>
      </c>
      <c r="AG5951" s="9">
        <v>47.802065076832598</v>
      </c>
      <c r="AH5951" s="9">
        <v>52.368463891218347</v>
      </c>
      <c r="AI5951" s="9">
        <v>56.090712435126555</v>
      </c>
      <c r="AJ5951" s="9">
        <v>3.0428788910505911</v>
      </c>
    </row>
    <row r="5952" spans="1:36" x14ac:dyDescent="0.25">
      <c r="A5952" t="s">
        <v>5411</v>
      </c>
      <c r="B5952" t="s">
        <v>16</v>
      </c>
      <c r="C5952" t="s">
        <v>17</v>
      </c>
      <c r="D5952">
        <v>99980000</v>
      </c>
      <c r="E5952">
        <v>99989999</v>
      </c>
      <c r="F5952" t="s">
        <v>5384</v>
      </c>
      <c r="G5952" t="str">
        <f t="shared" si="184"/>
        <v>RSI II</v>
      </c>
      <c r="H5952" t="s">
        <v>4915</v>
      </c>
      <c r="I5952" t="s">
        <v>20</v>
      </c>
      <c r="J5952" t="s">
        <v>64</v>
      </c>
      <c r="K5952" s="6">
        <v>0.03</v>
      </c>
      <c r="L5952" s="7">
        <f t="shared" si="185"/>
        <v>2E-3</v>
      </c>
      <c r="M5952" s="7">
        <v>3.0000000000000001E-3</v>
      </c>
      <c r="N5952">
        <v>11</v>
      </c>
      <c r="O5952" s="8">
        <v>20.328747193832452</v>
      </c>
      <c r="P5952" s="9">
        <v>20.328747193832452</v>
      </c>
      <c r="Q5952" s="9">
        <v>20.328747193832452</v>
      </c>
      <c r="R5952" s="9">
        <v>20.901467178587069</v>
      </c>
      <c r="S5952" s="9">
        <v>21.789694031871221</v>
      </c>
      <c r="T5952" s="9">
        <v>22.685842380093916</v>
      </c>
      <c r="U5952" s="9">
        <v>25.139615720574728</v>
      </c>
      <c r="V5952" s="9">
        <v>25.139615720574728</v>
      </c>
      <c r="W5952" s="9">
        <v>25.139615720574728</v>
      </c>
      <c r="X5952" s="9">
        <v>28.431126761040446</v>
      </c>
      <c r="Y5952" s="9">
        <v>28.431126761040446</v>
      </c>
      <c r="Z5952" s="9">
        <v>31.8133765751437</v>
      </c>
      <c r="AA5952" s="9">
        <v>31.8133765751437</v>
      </c>
      <c r="AB5952" s="9">
        <v>35.295439040248269</v>
      </c>
      <c r="AC5952" s="9">
        <v>35.295439040248269</v>
      </c>
      <c r="AD5952" s="9">
        <v>40.66038110622798</v>
      </c>
      <c r="AE5952" s="9">
        <v>44.145469767258199</v>
      </c>
      <c r="AF5952" s="9">
        <v>47.802065076832598</v>
      </c>
      <c r="AG5952" s="9">
        <v>47.802065076832598</v>
      </c>
      <c r="AH5952" s="9">
        <v>52.368463891218347</v>
      </c>
      <c r="AI5952" s="9">
        <v>56.090712435126555</v>
      </c>
      <c r="AJ5952" s="9">
        <v>3.0428788910505911</v>
      </c>
    </row>
    <row r="5953" spans="1:36" x14ac:dyDescent="0.25">
      <c r="A5953" t="s">
        <v>5411</v>
      </c>
      <c r="B5953" t="s">
        <v>16</v>
      </c>
      <c r="C5953" t="s">
        <v>17</v>
      </c>
      <c r="D5953">
        <v>99990000</v>
      </c>
      <c r="E5953">
        <v>99999999</v>
      </c>
      <c r="F5953" t="s">
        <v>5385</v>
      </c>
      <c r="G5953" t="str">
        <f t="shared" si="184"/>
        <v>RSI II</v>
      </c>
      <c r="H5953" t="s">
        <v>4915</v>
      </c>
      <c r="I5953" t="s">
        <v>20</v>
      </c>
      <c r="J5953" t="s">
        <v>64</v>
      </c>
      <c r="K5953" s="6">
        <v>0.03</v>
      </c>
      <c r="L5953" s="7">
        <f t="shared" si="185"/>
        <v>2E-3</v>
      </c>
      <c r="M5953" s="7">
        <v>3.0000000000000001E-3</v>
      </c>
      <c r="N5953">
        <v>11</v>
      </c>
      <c r="O5953" s="8">
        <v>20.328747193832452</v>
      </c>
      <c r="P5953" s="9">
        <v>20.328747193832452</v>
      </c>
      <c r="Q5953" s="9">
        <v>20.328747193832452</v>
      </c>
      <c r="R5953" s="9">
        <v>20.901467178587069</v>
      </c>
      <c r="S5953" s="9">
        <v>21.789694031871221</v>
      </c>
      <c r="T5953" s="9">
        <v>22.685842380093916</v>
      </c>
      <c r="U5953" s="9">
        <v>25.139615720574728</v>
      </c>
      <c r="V5953" s="9">
        <v>25.139615720574728</v>
      </c>
      <c r="W5953" s="9">
        <v>25.139615720574728</v>
      </c>
      <c r="X5953" s="9">
        <v>28.431126761040446</v>
      </c>
      <c r="Y5953" s="9">
        <v>28.431126761040446</v>
      </c>
      <c r="Z5953" s="9">
        <v>31.8133765751437</v>
      </c>
      <c r="AA5953" s="9">
        <v>31.8133765751437</v>
      </c>
      <c r="AB5953" s="9">
        <v>35.295439040248269</v>
      </c>
      <c r="AC5953" s="9">
        <v>35.295439040248269</v>
      </c>
      <c r="AD5953" s="9">
        <v>40.66038110622798</v>
      </c>
      <c r="AE5953" s="9">
        <v>44.145469767258199</v>
      </c>
      <c r="AF5953" s="9">
        <v>47.802065076832598</v>
      </c>
      <c r="AG5953" s="9">
        <v>47.802065076832598</v>
      </c>
      <c r="AH5953" s="9">
        <v>52.368463891218347</v>
      </c>
      <c r="AI5953" s="9">
        <v>56.090712435126555</v>
      </c>
      <c r="AJ5953" s="9">
        <v>3.0428788910505911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851E1-4858-4887-BFF3-CF8C6F9BE24E}">
  <dimension ref="A1:AD182"/>
  <sheetViews>
    <sheetView zoomScale="70" zoomScaleNormal="70" workbookViewId="0">
      <selection activeCell="H24" sqref="H24"/>
    </sheetView>
  </sheetViews>
  <sheetFormatPr defaultRowHeight="15" x14ac:dyDescent="0.25"/>
  <cols>
    <col min="1" max="1" width="2.28515625" customWidth="1"/>
    <col min="2" max="3" width="11.140625" customWidth="1"/>
    <col min="4" max="30" width="8.85546875" customWidth="1"/>
  </cols>
  <sheetData>
    <row r="1" spans="2:30" ht="8.25" customHeight="1" x14ac:dyDescent="0.25"/>
    <row r="2" spans="2:30" s="10" customFormat="1" ht="21" customHeight="1" x14ac:dyDescent="0.25">
      <c r="B2" s="10" t="s">
        <v>5386</v>
      </c>
      <c r="C2" s="11" t="s">
        <v>5387</v>
      </c>
    </row>
    <row r="3" spans="2:30" s="10" customFormat="1" ht="11.25" customHeight="1" x14ac:dyDescent="0.25">
      <c r="C3" s="11"/>
    </row>
    <row r="4" spans="2:30" s="10" customFormat="1" ht="21" customHeight="1" x14ac:dyDescent="0.25">
      <c r="B4" s="10" t="s">
        <v>5388</v>
      </c>
      <c r="C4" s="11" t="s">
        <v>5389</v>
      </c>
      <c r="D4" s="12"/>
      <c r="E4" s="12"/>
      <c r="F4" s="12"/>
      <c r="G4" s="12"/>
      <c r="H4" s="12"/>
      <c r="I4" s="12"/>
      <c r="J4" s="12"/>
      <c r="K4" s="12"/>
      <c r="L4" s="13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2:30" s="10" customFormat="1" ht="12.75" customHeight="1" x14ac:dyDescent="0.25"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2:30" s="10" customFormat="1" ht="21" customHeight="1" x14ac:dyDescent="0.25">
      <c r="B6" s="14" t="s">
        <v>5390</v>
      </c>
      <c r="C6" s="76" t="s">
        <v>5391</v>
      </c>
      <c r="D6" s="76"/>
      <c r="E6" s="76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2:30" ht="16.5" customHeight="1" x14ac:dyDescent="0.25">
      <c r="F7" s="12"/>
      <c r="G7" s="12"/>
      <c r="H7" s="12"/>
      <c r="I7" s="12"/>
      <c r="J7" s="12"/>
    </row>
    <row r="8" spans="2:30" ht="16.5" customHeight="1" x14ac:dyDescent="0.25">
      <c r="B8" s="15"/>
      <c r="F8" s="12"/>
      <c r="G8" s="12"/>
      <c r="H8" s="12"/>
      <c r="I8" s="12"/>
      <c r="J8" s="12"/>
      <c r="M8" s="77">
        <v>44509</v>
      </c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8"/>
    </row>
    <row r="9" spans="2:30" ht="28.5" customHeight="1" x14ac:dyDescent="0.25">
      <c r="B9" s="70" t="s">
        <v>5392</v>
      </c>
      <c r="C9" s="71"/>
      <c r="D9" s="71"/>
      <c r="E9" s="71"/>
      <c r="F9" s="71"/>
      <c r="G9" s="71"/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5"/>
    </row>
    <row r="10" spans="2:30" ht="14.25" customHeight="1" x14ac:dyDescent="0.25">
      <c r="D10" s="16">
        <f>(1+5%)</f>
        <v>1.05</v>
      </c>
    </row>
    <row r="11" spans="2:30" x14ac:dyDescent="0.25">
      <c r="B11" s="17" t="s">
        <v>5393</v>
      </c>
      <c r="C11" s="18"/>
      <c r="D11" s="72" t="s">
        <v>5394</v>
      </c>
      <c r="E11" s="73"/>
      <c r="F11" s="73"/>
      <c r="G11" s="73"/>
      <c r="H11" s="73" t="s">
        <v>5395</v>
      </c>
      <c r="I11" s="73"/>
      <c r="J11" s="73"/>
      <c r="K11" s="73" t="s">
        <v>5396</v>
      </c>
      <c r="L11" s="73"/>
      <c r="M11" s="73"/>
      <c r="N11" s="73"/>
      <c r="O11" s="73" t="s">
        <v>5397</v>
      </c>
      <c r="P11" s="73"/>
      <c r="Q11" s="73"/>
      <c r="R11" s="73"/>
      <c r="S11" s="73"/>
      <c r="T11" s="73"/>
      <c r="U11" s="19"/>
      <c r="V11" s="73" t="s">
        <v>5398</v>
      </c>
      <c r="W11" s="73"/>
      <c r="X11" s="73"/>
      <c r="Y11" s="73"/>
      <c r="Z11" s="73"/>
      <c r="AA11" s="73"/>
      <c r="AB11" s="73"/>
      <c r="AC11" s="73"/>
      <c r="AD11" s="74"/>
    </row>
    <row r="12" spans="2:30" ht="21" customHeight="1" x14ac:dyDescent="0.25">
      <c r="B12" s="20"/>
      <c r="C12" s="21"/>
      <c r="D12" s="22" t="s">
        <v>19</v>
      </c>
      <c r="E12" s="23" t="s">
        <v>663</v>
      </c>
      <c r="F12" s="23" t="s">
        <v>851</v>
      </c>
      <c r="G12" s="23" t="s">
        <v>772</v>
      </c>
      <c r="H12" s="23" t="s">
        <v>4294</v>
      </c>
      <c r="I12" s="23" t="s">
        <v>4654</v>
      </c>
      <c r="J12" s="23" t="s">
        <v>4915</v>
      </c>
      <c r="K12" s="23" t="s">
        <v>3670</v>
      </c>
      <c r="L12" s="23" t="s">
        <v>3672</v>
      </c>
      <c r="M12" s="23" t="s">
        <v>4217</v>
      </c>
      <c r="N12" s="23" t="s">
        <v>4079</v>
      </c>
      <c r="O12" s="23" t="s">
        <v>3647</v>
      </c>
      <c r="P12" s="23" t="s">
        <v>3573</v>
      </c>
      <c r="Q12" s="23" t="s">
        <v>3557</v>
      </c>
      <c r="R12" s="23" t="s">
        <v>3417</v>
      </c>
      <c r="S12" s="23" t="s">
        <v>3902</v>
      </c>
      <c r="T12" s="23" t="s">
        <v>3594</v>
      </c>
      <c r="U12" s="23" t="s">
        <v>3952</v>
      </c>
      <c r="V12" s="23" t="s">
        <v>1700</v>
      </c>
      <c r="W12" s="23" t="s">
        <v>2194</v>
      </c>
      <c r="X12" s="23" t="s">
        <v>2815</v>
      </c>
      <c r="Y12" s="23" t="s">
        <v>2373</v>
      </c>
      <c r="Z12" s="23" t="s">
        <v>2471</v>
      </c>
      <c r="AA12" s="23" t="s">
        <v>2120</v>
      </c>
      <c r="AB12" s="23" t="s">
        <v>3213</v>
      </c>
      <c r="AC12" s="23" t="s">
        <v>2668</v>
      </c>
      <c r="AD12" s="24" t="s">
        <v>2995</v>
      </c>
    </row>
    <row r="13" spans="2:30" ht="9.75" customHeight="1" x14ac:dyDescent="0.25">
      <c r="B13" s="25"/>
      <c r="C13" s="26"/>
      <c r="D13" s="27"/>
      <c r="E13" s="28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30"/>
    </row>
    <row r="14" spans="2:30" ht="15.75" x14ac:dyDescent="0.25">
      <c r="B14" s="31">
        <v>0.01</v>
      </c>
      <c r="C14" s="31">
        <v>0.25</v>
      </c>
      <c r="D14" s="32">
        <f>10.2217369120547*((1+5%))</f>
        <v>10.732823757657435</v>
      </c>
      <c r="E14" s="33">
        <f>10.333026427014*((1+5%))</f>
        <v>10.8496777483647</v>
      </c>
      <c r="F14" s="33">
        <f>8.60020930326619*((1+5%))</f>
        <v>9.0302197684295002</v>
      </c>
      <c r="G14" s="33">
        <f>10.2455784041044*((1+5%))</f>
        <v>10.75785732430962</v>
      </c>
      <c r="H14" s="33">
        <f>11.1520894146689*((1+5%))</f>
        <v>11.709693885402345</v>
      </c>
      <c r="I14" s="33">
        <f>11.3465287785954*((1+5%))</f>
        <v>11.913855217525171</v>
      </c>
      <c r="J14" s="33">
        <f>11.9444096675627*((1+5%))</f>
        <v>12.541630150940836</v>
      </c>
      <c r="K14" s="33">
        <f>10.483399516726*((1+5%))</f>
        <v>11.0075694925623</v>
      </c>
      <c r="L14" s="33">
        <f>10.9320399461396*((1+5%))</f>
        <v>11.478641943446581</v>
      </c>
      <c r="M14" s="33">
        <f>12.233714124057*((1+5%))</f>
        <v>12.845399830259851</v>
      </c>
      <c r="N14" s="33">
        <f>13.0279615562632*((1+5%))</f>
        <v>13.679359634076361</v>
      </c>
      <c r="O14" s="33">
        <f>30.2519397781643*((1+5%))</f>
        <v>31.764536767072517</v>
      </c>
      <c r="P14" s="33">
        <f>21.0861608925537*((1+5%))</f>
        <v>22.140468937181385</v>
      </c>
      <c r="Q14" s="33">
        <f>29.3138454260874*((1+5%))</f>
        <v>30.77953769739177</v>
      </c>
      <c r="R14" s="33">
        <f>21.1632545422574*((1+5%))</f>
        <v>22.221417269370271</v>
      </c>
      <c r="S14" s="33">
        <f>27.1409897075193*((1+5%))</f>
        <v>28.498039192895266</v>
      </c>
      <c r="T14" s="33">
        <f>34.6802370575644*((1+5%))</f>
        <v>36.414248910442616</v>
      </c>
      <c r="U14" s="33">
        <f>20.9806390653051*((1+5%))</f>
        <v>22.029671018570355</v>
      </c>
      <c r="V14" s="33">
        <f>12.9592944246553*((1+5%))</f>
        <v>13.607259145888065</v>
      </c>
      <c r="W14" s="33">
        <f>11.9491515275866*((1+5%))</f>
        <v>12.546609103965931</v>
      </c>
      <c r="X14" s="33">
        <f>14.2738538657864*((1+5%))</f>
        <v>14.987546559075721</v>
      </c>
      <c r="Y14" s="33">
        <f>13.9600119889596*((1+5%))</f>
        <v>14.658012588407582</v>
      </c>
      <c r="Z14" s="33">
        <f>14.5482475494791*((1+5%))</f>
        <v>15.275659926953056</v>
      </c>
      <c r="AA14" s="33">
        <f>12.7023060145827*((1+5%))</f>
        <v>13.337421315311834</v>
      </c>
      <c r="AB14" s="33">
        <f>13.54092714909*((1+5%))</f>
        <v>14.217973506544501</v>
      </c>
      <c r="AC14" s="33">
        <f>12.6940726286872*((1+5%))</f>
        <v>13.328776260121561</v>
      </c>
      <c r="AD14" s="34">
        <f>12.913706958981*((1+5%))</f>
        <v>13.559392306930052</v>
      </c>
    </row>
    <row r="15" spans="2:30" ht="15.75" x14ac:dyDescent="0.25">
      <c r="B15" s="31">
        <v>0.251</v>
      </c>
      <c r="C15" s="31">
        <v>0.5</v>
      </c>
      <c r="D15" s="35">
        <f>10.5224400097214*((1+5%))</f>
        <v>11.048562010207471</v>
      </c>
      <c r="E15" s="36">
        <f>10.6387837216958*((1+5%))</f>
        <v>11.17072290778059</v>
      </c>
      <c r="F15" s="36">
        <f>8.6616436606668*((1+5%))</f>
        <v>9.0947258437001395</v>
      </c>
      <c r="G15" s="36">
        <f>10.6887096472593*((1+5%))</f>
        <v>11.223145129622266</v>
      </c>
      <c r="H15" s="36">
        <f>11.4348489504283*((1+5%))</f>
        <v>12.006591397949716</v>
      </c>
      <c r="I15" s="36">
        <f>11.6362005632826*((1+5%))</f>
        <v>12.218010591446729</v>
      </c>
      <c r="J15" s="36">
        <f>12.2507643244279*((1+5%))</f>
        <v>12.863302540649295</v>
      </c>
      <c r="K15" s="36">
        <f>10.9098907025195*((1+5%))</f>
        <v>11.455385237645475</v>
      </c>
      <c r="L15" s="36">
        <f>13.6440985040642*((1+5%))</f>
        <v>14.32630342926741</v>
      </c>
      <c r="M15" s="36">
        <f>13.9400819755681*((1+5%))</f>
        <v>14.637086074346506</v>
      </c>
      <c r="N15" s="36">
        <f>14.4481622822225*((1+5%))</f>
        <v>15.170570396333625</v>
      </c>
      <c r="O15" s="36">
        <f>30.7384866113243*((1+5%))</f>
        <v>32.27541094189052</v>
      </c>
      <c r="P15" s="36">
        <f>21.4240213638341*((1+5%))</f>
        <v>22.495222432025805</v>
      </c>
      <c r="Q15" s="36">
        <f>29.7334009897215*((1+5%))</f>
        <v>31.220071039207575</v>
      </c>
      <c r="R15" s="36">
        <f>21.5026302088972*((1+5%))</f>
        <v>22.577761719342064</v>
      </c>
      <c r="S15" s="36">
        <f>27.5890673562375*((1+5%))</f>
        <v>28.968520724049377</v>
      </c>
      <c r="T15" s="36">
        <f>35.0917163503669*((1+5%))</f>
        <v>36.846302167885248</v>
      </c>
      <c r="U15" s="36">
        <f>21.2845978435881*((1+5%))</f>
        <v>22.348827735767504</v>
      </c>
      <c r="V15" s="36">
        <f>14.0317097836347*((1+5%))</f>
        <v>14.733295272816434</v>
      </c>
      <c r="W15" s="36">
        <f>13.0207785569101*((1+5%))</f>
        <v>13.671817484755605</v>
      </c>
      <c r="X15" s="36">
        <f>15.4003725528875*((1+5%))</f>
        <v>16.170391180531876</v>
      </c>
      <c r="Y15" s="36">
        <f>15.1571517790959*((1+5%))</f>
        <v>15.915009368050695</v>
      </c>
      <c r="Z15" s="36">
        <f>15.7119243186874*((1+5%))</f>
        <v>16.497520534621771</v>
      </c>
      <c r="AA15" s="36">
        <f>13.7611384910691*((1+5%))</f>
        <v>14.449195415622556</v>
      </c>
      <c r="AB15" s="36">
        <f>14.624141805185*((1+5%))</f>
        <v>15.35534889544425</v>
      </c>
      <c r="AC15" s="36">
        <f>13.7574745714352*((1+5%))</f>
        <v>14.445348300006961</v>
      </c>
      <c r="AD15" s="37">
        <f>13.9821329672785*((1+5%))</f>
        <v>14.681239615642426</v>
      </c>
    </row>
    <row r="16" spans="2:30" ht="15.75" x14ac:dyDescent="0.25">
      <c r="B16" s="31">
        <v>0.501</v>
      </c>
      <c r="C16" s="31">
        <v>0.75</v>
      </c>
      <c r="D16" s="38">
        <f>10.82357240673*((1+5%))</f>
        <v>11.3647510270665</v>
      </c>
      <c r="E16" s="39">
        <f>10.9449694571207*((1+5%))</f>
        <v>11.492217929976736</v>
      </c>
      <c r="F16" s="39">
        <f>8.72345504592135*((1+5%))</f>
        <v>9.1596277982174179</v>
      </c>
      <c r="G16" s="39">
        <f>11.1322377618393*((1+5%))</f>
        <v>11.688849649931264</v>
      </c>
      <c r="H16" s="39">
        <f>12.250941949498*((1+5%))</f>
        <v>12.8634890469729</v>
      </c>
      <c r="I16" s="39">
        <f>12.4747061315657*((1+5%))</f>
        <v>13.098441438143986</v>
      </c>
      <c r="J16" s="39">
        <f>13.1393124733524*((1+5%))</f>
        <v>13.79627809702002</v>
      </c>
      <c r="K16" s="39">
        <f>11.336886044087*((1+5%))</f>
        <v>11.903730346291351</v>
      </c>
      <c r="L16" s="39">
        <f>14.0515947192682*((1+5%))</f>
        <v>14.754174455231611</v>
      </c>
      <c r="M16" s="39">
        <f>14.3807487998704*((1+5%))</f>
        <v>15.099786239863921</v>
      </c>
      <c r="N16" s="39">
        <f>14.9569410849539*((1+5%))</f>
        <v>15.704788139201597</v>
      </c>
      <c r="O16" s="39">
        <f>31.05837118825*((1+5%))</f>
        <v>32.611289747662504</v>
      </c>
      <c r="P16" s="39">
        <f>21.6469079624888*((1+5%))</f>
        <v>22.729253360613242</v>
      </c>
      <c r="Q16" s="39">
        <f>30.016105515086*((1+5%))</f>
        <v>31.516910790840303</v>
      </c>
      <c r="R16" s="39">
        <f>21.7263490688641*((1+5%))</f>
        <v>22.812666522307307</v>
      </c>
      <c r="S16" s="39">
        <f>27.8767738660249*((1+5%))</f>
        <v>29.270612559326146</v>
      </c>
      <c r="T16" s="39">
        <f>35.3744018703195*((1+5%))</f>
        <v>37.143121963835476</v>
      </c>
      <c r="U16" s="39">
        <f>21.504648546235*((1+5%))</f>
        <v>22.57988097354675</v>
      </c>
      <c r="V16" s="39">
        <f>15.0368411366435*((1+5%))</f>
        <v>15.788683193475677</v>
      </c>
      <c r="W16" s="39">
        <f>14.0243324524939*((1+5%))</f>
        <v>14.725549075118595</v>
      </c>
      <c r="X16" s="39">
        <f>16.4575037013482*((1+5%))</f>
        <v>17.280378886415612</v>
      </c>
      <c r="Y16" s="39">
        <f>16.2787578095094*((1+5%))</f>
        <v>17.092695699984873</v>
      </c>
      <c r="Z16" s="39">
        <f>16.8037616782742*((1+5%))</f>
        <v>17.643949762187908</v>
      </c>
      <c r="AA16" s="39">
        <f>14.7541596407689*((1+5%))</f>
        <v>15.491867622807346</v>
      </c>
      <c r="AB16" s="39">
        <f>15.6404832171764*((1+5%))</f>
        <v>16.42250737803522</v>
      </c>
      <c r="AC16" s="39">
        <f>14.7547288105997*((1+5%))</f>
        <v>15.492465251129685</v>
      </c>
      <c r="AD16" s="40">
        <f>14.9842313527174*((1+5%))</f>
        <v>15.733442920353271</v>
      </c>
    </row>
    <row r="17" spans="2:30" ht="15.75" x14ac:dyDescent="0.25">
      <c r="B17" s="31">
        <v>0.751</v>
      </c>
      <c r="C17" s="31">
        <v>1</v>
      </c>
      <c r="D17" s="35">
        <f>11.1896890551448*((1+5%))</f>
        <v>11.749173507902041</v>
      </c>
      <c r="E17" s="36">
        <f>11.3174233762517*((1+5%))</f>
        <v>11.883294545064285</v>
      </c>
      <c r="F17" s="36">
        <f>8.79167441735738*((1+5%))</f>
        <v>9.2312581382252485</v>
      </c>
      <c r="G17" s="36">
        <f>11.6771269996621*((1+5%))</f>
        <v>12.260983349645205</v>
      </c>
      <c r="H17" s="36">
        <f>12.5932589510884*((1+5%))</f>
        <v>13.22292189864282</v>
      </c>
      <c r="I17" s="36">
        <f>12.8256411348608*((1+5%))</f>
        <v>13.466923191603842</v>
      </c>
      <c r="J17" s="36">
        <f>13.5106362865548*((1+5%))</f>
        <v>14.18616810088254</v>
      </c>
      <c r="K17" s="36">
        <f>12.2156795236762*((1+5%))</f>
        <v>12.826463499860012</v>
      </c>
      <c r="L17" s="36">
        <f>14.5478400332105*((1+5%))</f>
        <v>15.275232034871026</v>
      </c>
      <c r="M17" s="36">
        <f>14.9199714700017*((1+5%))</f>
        <v>15.665970043501785</v>
      </c>
      <c r="N17" s="36">
        <f>16.4942145347001*((1+5%))</f>
        <v>17.318925261435105</v>
      </c>
      <c r="O17" s="36">
        <f>31.4796275389012*((1+5%))</f>
        <v>33.053608915846262</v>
      </c>
      <c r="P17" s="36">
        <f>21.9397621447761*((1+5%))</f>
        <v>23.036750252014908</v>
      </c>
      <c r="Q17" s="36">
        <f>30.968925885263*((1+5%))</f>
        <v>32.517372179526156</v>
      </c>
      <c r="R17" s="36">
        <f>22.0204433063718*((1+5%))</f>
        <v>23.121465471690389</v>
      </c>
      <c r="S17" s="36">
        <f>28.2617063857598*((1+5%))</f>
        <v>29.674791705047792</v>
      </c>
      <c r="T17" s="36">
        <f>35.7359892246326*((1+5%))</f>
        <v>37.522788685864228</v>
      </c>
      <c r="U17" s="36">
        <f>22.1382738030186*((1+5%))</f>
        <v>23.245187493169531</v>
      </c>
      <c r="V17" s="36">
        <f>16.2968644757297*((1+5%))</f>
        <v>17.111707699516185</v>
      </c>
      <c r="W17" s="36">
        <f>15.2852097916829*((1+5%))</f>
        <v>16.049470281267045</v>
      </c>
      <c r="X17" s="36">
        <f>17.7819406678563*((1+5%))</f>
        <v>18.671037701249116</v>
      </c>
      <c r="Y17" s="36">
        <f>17.6862259278863*((1+5%))</f>
        <v>18.570537224280617</v>
      </c>
      <c r="Z17" s="36">
        <f>18.172238592322*((1+5%))</f>
        <v>19.0808505219381</v>
      </c>
      <c r="AA17" s="36">
        <f>16.0003035811671*((1+5%))</f>
        <v>16.800318760225455</v>
      </c>
      <c r="AB17" s="36">
        <f>16.9143396622166*((1+5%))</f>
        <v>17.760056645327431</v>
      </c>
      <c r="AC17" s="36">
        <f>16.0063640603123*((1+5%))</f>
        <v>16.806682263327914</v>
      </c>
      <c r="AD17" s="37">
        <f>16.241492602681*((1+5%))</f>
        <v>17.053567232815052</v>
      </c>
    </row>
    <row r="18" spans="2:30" ht="15.75" x14ac:dyDescent="0.25">
      <c r="B18" s="41">
        <v>1.01</v>
      </c>
      <c r="C18" s="41">
        <v>2</v>
      </c>
      <c r="D18" s="38">
        <f>12.2386326911306*((1+5%))</f>
        <v>12.850564325687131</v>
      </c>
      <c r="E18" s="39">
        <f>12.3812359345967*((1+5%))</f>
        <v>13.000297731326537</v>
      </c>
      <c r="F18" s="39">
        <f>9.10493328294282*((1+5%))</f>
        <v>9.5601799470899618</v>
      </c>
      <c r="G18" s="39">
        <f>13.1422636695304*((1+5%))</f>
        <v>13.799376853006921</v>
      </c>
      <c r="H18" s="39">
        <f>14.5414579398949*((1+5%))</f>
        <v>15.268530836889646</v>
      </c>
      <c r="I18" s="39">
        <f>14.8220362722747*((1+5%))</f>
        <v>15.563138085888435</v>
      </c>
      <c r="J18" s="39">
        <f>15.6224145578995*((1+5%))</f>
        <v>16.403535285794476</v>
      </c>
      <c r="K18" s="39">
        <f>15.2390241337839*((1+5%))</f>
        <v>16.000975340473097</v>
      </c>
      <c r="L18" s="39">
        <f>15.9558145291066*((1+5%))</f>
        <v>16.753605255561933</v>
      </c>
      <c r="M18" s="39">
        <f>16.9856101203099*((1+5%))</f>
        <v>17.834890626325397</v>
      </c>
      <c r="N18" s="39">
        <f>19.5063786778769*((1+5%))</f>
        <v>20.481697611770745</v>
      </c>
      <c r="O18" s="39">
        <f>44.560948090564*((1+5%))</f>
        <v>46.788995495092202</v>
      </c>
      <c r="P18" s="39">
        <f>30.9796239244259*((1+5%))</f>
        <v>32.5286051206472</v>
      </c>
      <c r="Q18" s="39">
        <f>42.015672338238*((1+5%))</f>
        <v>44.116455955149902</v>
      </c>
      <c r="R18" s="39">
        <f>31.1105396536201*((1+5%))</f>
        <v>32.66606663630111</v>
      </c>
      <c r="S18" s="39">
        <f>40.7077088742849*((1+5%))</f>
        <v>42.743094317999144</v>
      </c>
      <c r="T18" s="39">
        <f>46.1832599114709*((1+5%))</f>
        <v>48.492422907044443</v>
      </c>
      <c r="U18" s="39">
        <f>27.664260392548*((1+5%))</f>
        <v>29.047473412175403</v>
      </c>
      <c r="V18" s="39">
        <f>19.5552111335244*((1+5%))</f>
        <v>20.532971690200618</v>
      </c>
      <c r="W18" s="39">
        <f>18.5018282860036*((1+5%))</f>
        <v>19.426919700303781</v>
      </c>
      <c r="X18" s="39">
        <f>21.2138876261575*((1+5%))</f>
        <v>22.274582007465376</v>
      </c>
      <c r="Y18" s="39">
        <f>21.3036169338064*((1+5%))</f>
        <v>22.36879778049672</v>
      </c>
      <c r="Z18" s="39">
        <f>21.7096327380364*((1+5%))</f>
        <v>22.795114374938223</v>
      </c>
      <c r="AA18" s="39">
        <f>19.1978580588927*((1+5%))</f>
        <v>20.157750961837333</v>
      </c>
      <c r="AB18" s="39">
        <f>20.5917875670509*((1+5%))</f>
        <v>21.621376945403448</v>
      </c>
      <c r="AC18" s="39">
        <f>19.2152284881976*((1+5%))</f>
        <v>20.175989912607481</v>
      </c>
      <c r="AD18" s="40">
        <f>19.4718209574876*((1+5%))</f>
        <v>20.445412005361984</v>
      </c>
    </row>
    <row r="19" spans="2:30" ht="15.75" x14ac:dyDescent="0.25">
      <c r="B19" s="41">
        <v>2.0099999999999998</v>
      </c>
      <c r="C19" s="41">
        <v>3</v>
      </c>
      <c r="D19" s="35">
        <f>14.0787022600489*((1+5%))</f>
        <v>14.782637373051346</v>
      </c>
      <c r="E19" s="36">
        <f>14.2459033804292*((1+5%))</f>
        <v>14.95819854945066</v>
      </c>
      <c r="F19" s="36">
        <f>9.7076803256784*((1+5%))</f>
        <v>10.193064341962319</v>
      </c>
      <c r="G19" s="36">
        <f>15.6690517334441*((1+5%))</f>
        <v>16.452504320116304</v>
      </c>
      <c r="H19" s="36">
        <f>16.3390473518552*((1+5%))</f>
        <v>17.155999719447962</v>
      </c>
      <c r="I19" s="36">
        <f>16.6549560505841*((1+5%))</f>
        <v>17.487703853113306</v>
      </c>
      <c r="J19" s="36">
        <f>18.1180959597358*((1+5%))</f>
        <v>19.02400075772259</v>
      </c>
      <c r="K19" s="36">
        <f>17.9095762704659*((1+5%))</f>
        <v>18.805055083989199</v>
      </c>
      <c r="L19" s="36">
        <f>18.4850144688451*((1+5%))</f>
        <v>19.409265192287357</v>
      </c>
      <c r="M19" s="36">
        <f>20.6840054514949*((1+5%))</f>
        <v>21.718205724069648</v>
      </c>
      <c r="N19" s="36">
        <f>24.6106361636007*((1+5%))</f>
        <v>25.841167971780735</v>
      </c>
      <c r="O19" s="36">
        <f>58.6910745029702*((1+5%))</f>
        <v>61.625628228118714</v>
      </c>
      <c r="P19" s="36">
        <f>40.7570325003987*((1+5%))</f>
        <v>42.794884125418641</v>
      </c>
      <c r="Q19" s="36">
        <f>54.0506762134329*((1+5%))</f>
        <v>56.753210024104547</v>
      </c>
      <c r="R19" s="36">
        <f>40.9394463489763*((1+5%))</f>
        <v>42.986418666425116</v>
      </c>
      <c r="S19" s="36">
        <f>54.0354627167918*((1+5%))</f>
        <v>56.737235852631393</v>
      </c>
      <c r="T19" s="36">
        <f>57.6660178802418*((1+5%))</f>
        <v>60.549318774253898</v>
      </c>
      <c r="U19" s="36">
        <f>34.0923779859226*((1+5%))</f>
        <v>35.796996885218732</v>
      </c>
      <c r="V19" s="36">
        <f>25.082220090331*((1+5%))</f>
        <v>26.336331094847552</v>
      </c>
      <c r="W19" s="36">
        <f>23.9353798493493*((1+5%))</f>
        <v>25.132148841816765</v>
      </c>
      <c r="X19" s="36">
        <f>27.4153752716283*((1+5%))</f>
        <v>28.786144035209716</v>
      </c>
      <c r="Y19" s="36">
        <f>27.4281815142833*((1+5%))</f>
        <v>28.799590589997464</v>
      </c>
      <c r="Z19" s="36">
        <f>27.7098085931309*((1+5%))</f>
        <v>29.095299022787447</v>
      </c>
      <c r="AA19" s="36">
        <f>24.609404727645*((1+5%))</f>
        <v>25.839874964027253</v>
      </c>
      <c r="AB19" s="36">
        <f>28.0253366381137*((1+5%))</f>
        <v>29.426603470019387</v>
      </c>
      <c r="AC19" s="36">
        <f>24.6444706851359*((1+5%))</f>
        <v>25.876694219392697</v>
      </c>
      <c r="AD19" s="37">
        <f>24.94104215029*((1+5%))</f>
        <v>26.188094257804501</v>
      </c>
    </row>
    <row r="20" spans="2:30" ht="15.75" x14ac:dyDescent="0.25">
      <c r="B20" s="41">
        <v>3.01</v>
      </c>
      <c r="C20" s="41">
        <v>4</v>
      </c>
      <c r="D20" s="38">
        <f>16.0478532100262*((1+5%))</f>
        <v>16.850245870527512</v>
      </c>
      <c r="E20" s="39">
        <f>16.2393940445585*((1+5%))</f>
        <v>17.051363746786429</v>
      </c>
      <c r="F20" s="39">
        <f>10.4237918005153*((1+5%))</f>
        <v>10.944981390541065</v>
      </c>
      <c r="G20" s="39">
        <f>18.3151707785171*((1+5%))</f>
        <v>19.230929317442957</v>
      </c>
      <c r="H20" s="39">
        <f>18.2838355939998*((1+5%))</f>
        <v>19.198027373699791</v>
      </c>
      <c r="I20" s="39">
        <f>18.6353696467133*((1+5%))</f>
        <v>19.567138129048967</v>
      </c>
      <c r="J20" s="39">
        <f>21.4461695267678*((1+5%))</f>
        <v>22.518478003106193</v>
      </c>
      <c r="K20" s="39">
        <f>20.8745751395312*((1+5%))</f>
        <v>21.918303896507759</v>
      </c>
      <c r="L20" s="39">
        <f>21.5286982024936*((1+5%))</f>
        <v>22.605133112618283</v>
      </c>
      <c r="M20" s="39">
        <f>24.9052134566478*((1+5%))</f>
        <v>26.150474129480191</v>
      </c>
      <c r="N20" s="39">
        <f>30.2517482658763*((1+5%))</f>
        <v>31.764335679170117</v>
      </c>
      <c r="O20" s="39">
        <f>73.0778677293538*((1+5%))</f>
        <v>76.731761115821485</v>
      </c>
      <c r="P20" s="39">
        <f>50.718060515091*((1+5%))</f>
        <v>53.253963540845547</v>
      </c>
      <c r="Q20" s="39">
        <f>66.9424141462601*((1+5%))</f>
        <v>70.289534853573116</v>
      </c>
      <c r="R20" s="39">
        <f>50.9516052441744*((1+5%))</f>
        <v>53.499185506383128</v>
      </c>
      <c r="S20" s="39">
        <f>67.5505833335024*((1+5%))</f>
        <v>70.928112500177519</v>
      </c>
      <c r="T20" s="39">
        <f>69.4523439317773*((1+5%))</f>
        <v>72.924961128366178</v>
      </c>
      <c r="U20" s="39">
        <f>41.186272895381*((1+5%))</f>
        <v>43.245586540150057</v>
      </c>
      <c r="V20" s="39">
        <f>30.7765646176919*((1+5%))</f>
        <v>32.315392848576494</v>
      </c>
      <c r="W20" s="39">
        <f>29.5029750439074*((1+5%))</f>
        <v>30.978123796102771</v>
      </c>
      <c r="X20" s="39">
        <f>34.0732931629613*((1+5%))</f>
        <v>35.776957821109363</v>
      </c>
      <c r="Y20" s="39">
        <f>33.7227541739629*((1+5%))</f>
        <v>35.408891882661045</v>
      </c>
      <c r="Z20" s="39">
        <f>33.8908441069516*((1+5%))</f>
        <v>35.585386312299178</v>
      </c>
      <c r="AA20" s="39">
        <f>30.16768610831*((1+5%))</f>
        <v>31.676070413725501</v>
      </c>
      <c r="AB20" s="39">
        <f>35.7960745942334*((1+5%))</f>
        <v>37.585878323945074</v>
      </c>
      <c r="AC20" s="39">
        <f>30.2189802468677*((1+5%))</f>
        <v>31.729929259211087</v>
      </c>
      <c r="AD20" s="40">
        <f>30.6584683142396*((1+5%))</f>
        <v>32.191391729951583</v>
      </c>
    </row>
    <row r="21" spans="2:30" ht="15.75" x14ac:dyDescent="0.25">
      <c r="B21" s="41">
        <v>4.01</v>
      </c>
      <c r="C21" s="41">
        <v>5</v>
      </c>
      <c r="D21" s="35">
        <f>18.2101922593728*((1+5%))</f>
        <v>19.120701872341442</v>
      </c>
      <c r="E21" s="36">
        <f>18.4256864318584*((1+5%))</f>
        <v>19.34697075345132</v>
      </c>
      <c r="F21" s="36">
        <f>11.3095687917422*((1+5%))</f>
        <v>11.87504723132931</v>
      </c>
      <c r="G21" s="36">
        <f>21.1398851040006*((1+5%))</f>
        <v>22.196879359200633</v>
      </c>
      <c r="H21" s="36">
        <f>21.7810369704713*((1+5%))</f>
        <v>22.870088818994866</v>
      </c>
      <c r="I21" s="36">
        <f>22.2073862149095*((1+5%))</f>
        <v>23.317755525654977</v>
      </c>
      <c r="J21" s="36">
        <f>25.0041856477688*((1+5%))</f>
        <v>26.25439493015724</v>
      </c>
      <c r="K21" s="36">
        <f>24.066448094484*((1+5%))</f>
        <v>25.2697704992082</v>
      </c>
      <c r="L21" s="36">
        <f>24.8185827889771*((1+5%))</f>
        <v>26.059511928425955</v>
      </c>
      <c r="M21" s="36">
        <f>28.9669334970643*((1+5%))</f>
        <v>30.415280171917516</v>
      </c>
      <c r="N21" s="36">
        <f>35.7543881082136*((1+5%))</f>
        <v>37.542107513624281</v>
      </c>
      <c r="O21" s="36">
        <f>87.8487982616498*((1+5%))</f>
        <v>92.241238174732302</v>
      </c>
      <c r="P21" s="36">
        <f>60.953900358433*((1+5%))</f>
        <v>64.001595376354658</v>
      </c>
      <c r="Q21" s="36">
        <f>79.6519486739705*((1+5%))</f>
        <v>83.634546107669024</v>
      </c>
      <c r="R21" s="36">
        <f>61.238026344365*((1+5%))</f>
        <v>64.299927661583254</v>
      </c>
      <c r="S21" s="36">
        <f>81.3461241835289*((1+5%))</f>
        <v>85.413430392705351</v>
      </c>
      <c r="T21" s="36">
        <f>81.6930015101162*((1+5%))</f>
        <v>85.777651585622024</v>
      </c>
      <c r="U21" s="36">
        <f>48.3738089352165*((1+5%))</f>
        <v>50.792499381977329</v>
      </c>
      <c r="V21" s="36">
        <f>36.7213499178971*((1+5%))</f>
        <v>38.55741741379196</v>
      </c>
      <c r="W21" s="36">
        <f>35.2711850299563*((1+5%))</f>
        <v>37.034744281454117</v>
      </c>
      <c r="X21" s="36">
        <f>41.0027306372368*((1+5%))</f>
        <v>43.052867169098647</v>
      </c>
      <c r="Y21" s="36">
        <f>40.2717673844728*((1+5%))</f>
        <v>42.285355753696443</v>
      </c>
      <c r="Z21" s="36">
        <f>41.0395958201471*((1+5%))</f>
        <v>43.091575611154454</v>
      </c>
      <c r="AA21" s="36">
        <f>36.5835160516995*((1+5%))</f>
        <v>38.412691854284475</v>
      </c>
      <c r="AB21" s="36">
        <f>43.6498278090287*((1+5%))</f>
        <v>45.832319199480139</v>
      </c>
      <c r="AC21" s="36">
        <f>36.6520319829617*((1+5%))</f>
        <v>38.484633582109787</v>
      </c>
      <c r="AD21" s="37">
        <f>37.3350331539976*((1+5%))</f>
        <v>39.201784811697479</v>
      </c>
    </row>
    <row r="22" spans="2:30" ht="15.75" x14ac:dyDescent="0.25">
      <c r="B22" s="41">
        <v>5.01</v>
      </c>
      <c r="C22" s="41">
        <v>6</v>
      </c>
      <c r="D22" s="38">
        <f>20.1721261596242*((1+5%))</f>
        <v>21.180732467605409</v>
      </c>
      <c r="E22" s="39">
        <f>20.4119744803613*((1+5%))</f>
        <v>21.432573204379366</v>
      </c>
      <c r="F22" s="39">
        <f>12.0193419648278*((1+5%))</f>
        <v>12.620309063069191</v>
      </c>
      <c r="G22" s="39">
        <f>23.7793322524933*((1+5%))</f>
        <v>24.968298865117966</v>
      </c>
      <c r="H22" s="39">
        <f>23.7175952009108*((1+5%))</f>
        <v>24.903474960956341</v>
      </c>
      <c r="I22" s="39">
        <f>24.1795533063242*((1+5%))</f>
        <v>25.38853097164041</v>
      </c>
      <c r="J22" s="39">
        <f>28.3236691057232*((1+5%))</f>
        <v>29.739852561009364</v>
      </c>
      <c r="K22" s="39">
        <f>29.0229775980027*((1+5%))</f>
        <v>30.474126477902836</v>
      </c>
      <c r="L22" s="39">
        <f>29.8630751854155*((1+5%))</f>
        <v>31.356228944686276</v>
      </c>
      <c r="M22" s="39">
        <f>32.8027179557846*((1+5%))</f>
        <v>34.44285385357383</v>
      </c>
      <c r="N22" s="39">
        <f>41.0092915671121*((1+5%))</f>
        <v>43.059756145467709</v>
      </c>
      <c r="O22" s="39">
        <f>102.221241028314*((1+5%))</f>
        <v>107.3323030797297</v>
      </c>
      <c r="P22" s="39">
        <f>70.9046620542417*((1+5%))</f>
        <v>74.449895156953787</v>
      </c>
      <c r="Q22" s="39">
        <f>91.9420223957524*((1+5%))</f>
        <v>96.539123515540027</v>
      </c>
      <c r="R22" s="39">
        <f>71.2399394533174*((1+5%))</f>
        <v>74.801936425983271</v>
      </c>
      <c r="S22" s="39">
        <f>94.850768964644*((1+5%))</f>
        <v>99.593307412876214</v>
      </c>
      <c r="T22" s="39">
        <f>93.462354812131*((1+5%))</f>
        <v>98.135472552737554</v>
      </c>
      <c r="U22" s="39">
        <f>55.0890962011801*((1+5%))</f>
        <v>57.843551011239107</v>
      </c>
      <c r="V22" s="39">
        <f>45.8365352194863*((1+5%))</f>
        <v>48.128361980460618</v>
      </c>
      <c r="W22" s="39">
        <f>44.2957843458494*((1+5%))</f>
        <v>46.510573563141868</v>
      </c>
      <c r="X22" s="39">
        <f>49.9756419716271*((1+5%))</f>
        <v>52.474424070208457</v>
      </c>
      <c r="Y22" s="39">
        <f>50.4046101733285*((1+5%))</f>
        <v>52.92484068199493</v>
      </c>
      <c r="Z22" s="39">
        <f>51.288805392395*((1+5%))</f>
        <v>53.85324566201475</v>
      </c>
      <c r="AA22" s="39">
        <f>45.8661203773124*((1+5%))</f>
        <v>48.15942639617802</v>
      </c>
      <c r="AB22" s="39">
        <f>52.6496153573115*((1+5%))</f>
        <v>55.282096125177077</v>
      </c>
      <c r="AC22" s="39">
        <f>45.9696091653029*((1+5%))</f>
        <v>48.268089623568045</v>
      </c>
      <c r="AD22" s="40">
        <f>46.4259635137623*((1+5%))</f>
        <v>48.747261689450411</v>
      </c>
    </row>
    <row r="23" spans="2:30" ht="15.75" x14ac:dyDescent="0.25">
      <c r="B23" s="41">
        <v>6.01</v>
      </c>
      <c r="C23" s="41">
        <v>7</v>
      </c>
      <c r="D23" s="35">
        <f>22.2011522184858*((1+5%))</f>
        <v>23.311209829410089</v>
      </c>
      <c r="E23" s="36">
        <f>22.4652205031571*((1+5%))</f>
        <v>23.588481528314954</v>
      </c>
      <c r="F23" s="36">
        <f>12.7880381552912*((1+5%))</f>
        <v>13.42744006305576</v>
      </c>
      <c r="G23" s="36">
        <f>26.4808036298046*((1+5%))</f>
        <v>27.804843811294834</v>
      </c>
      <c r="H23" s="36">
        <f>25.7306624304089*((1+5%))</f>
        <v>27.017195551929344</v>
      </c>
      <c r="I23" s="36">
        <f>26.228382721445*((1+5%))</f>
        <v>27.539801857517254</v>
      </c>
      <c r="J23" s="36">
        <f>31.7230091508715*((1+5%))</f>
        <v>33.309159608415079</v>
      </c>
      <c r="K23" s="36">
        <f>31.7725767707932*((1+5%))</f>
        <v>33.361205609332863</v>
      </c>
      <c r="L23" s="36">
        <f>32.6959206240122*((1+5%))</f>
        <v>34.330716655212818</v>
      </c>
      <c r="M23" s="36">
        <f>37.0914288051307*((1+5%))</f>
        <v>38.946000245387232</v>
      </c>
      <c r="N23" s="36">
        <f>46.7244199459154*((1+5%))</f>
        <v>49.060640943211169</v>
      </c>
      <c r="O23" s="36">
        <f>116.727090568689*((1+5%))</f>
        <v>122.56344509712345</v>
      </c>
      <c r="P23" s="36">
        <f>80.9508629559637*((1+5%))</f>
        <v>84.998406103761894</v>
      </c>
      <c r="Q23" s="36">
        <f>104.959082764361*((1+5%))</f>
        <v>110.20703690257905</v>
      </c>
      <c r="R23" s="36">
        <f>81.3371008897713*((1+5%))</f>
        <v>85.403955934259869</v>
      </c>
      <c r="S23" s="36">
        <f>108.452800690569*((1+5%))</f>
        <v>113.87544072509746</v>
      </c>
      <c r="T23" s="36">
        <f>105.389492589263*((1+5%))</f>
        <v>110.65896721872616</v>
      </c>
      <c r="U23" s="36">
        <f>62.3240850240619*((1+5%))</f>
        <v>65.440289275265002</v>
      </c>
      <c r="V23" s="36">
        <f>51.6036840373635*((1+5%))</f>
        <v>54.183868239231678</v>
      </c>
      <c r="W23" s="36">
        <f>49.9206930293222*((1+5%))</f>
        <v>52.416727680788313</v>
      </c>
      <c r="X23" s="36">
        <f>56.2654879977052*((1+5%))</f>
        <v>59.078762397590467</v>
      </c>
      <c r="Y23" s="36">
        <f>56.7726405934573*((1+5%))</f>
        <v>59.611272623130162</v>
      </c>
      <c r="Z23" s="36">
        <f>57.7538621640408*((1+5%))</f>
        <v>60.64155527224284</v>
      </c>
      <c r="AA23" s="36">
        <f>51.6756269794708*((1+5%))</f>
        <v>54.259408328444344</v>
      </c>
      <c r="AB23" s="36">
        <f>60.3295430179752*((1+5%))</f>
        <v>63.346020168873963</v>
      </c>
      <c r="AC23" s="36">
        <f>51.7955791190825*((1+5%))</f>
        <v>54.385358075036621</v>
      </c>
      <c r="AD23" s="37">
        <f>52.3012559294996*((1+5%))</f>
        <v>54.916318725974577</v>
      </c>
    </row>
    <row r="24" spans="2:30" ht="15.75" x14ac:dyDescent="0.25">
      <c r="B24" s="41">
        <v>7.01</v>
      </c>
      <c r="C24" s="41">
        <v>8</v>
      </c>
      <c r="D24" s="38">
        <f>24.3039796518185*((1+5%))</f>
        <v>25.519178634409428</v>
      </c>
      <c r="E24" s="39">
        <f>24.5921202976751*((1+5%))</f>
        <v>25.821726312558855</v>
      </c>
      <c r="F24" s="39">
        <f>13.62154966487*((1+5%))</f>
        <v>14.302627148113501</v>
      </c>
      <c r="G24" s="39">
        <f>29.2505016588166*((1+5%))</f>
        <v>30.713026741757432</v>
      </c>
      <c r="H24" s="39">
        <f>27.8278895588716*((1+5%))</f>
        <v>29.219284036815182</v>
      </c>
      <c r="I24" s="39">
        <f>28.3615406926425*((1+5%))</f>
        <v>29.779617727274626</v>
      </c>
      <c r="J24" s="39">
        <f>35.210191441933*((1+5%))</f>
        <v>36.97070101402965</v>
      </c>
      <c r="K24" s="39">
        <f>35.4659914557007*((1+5%))</f>
        <v>37.239291028485738</v>
      </c>
      <c r="L24" s="39">
        <f>36.4842504792807*((1+5%))</f>
        <v>38.308463003244739</v>
      </c>
      <c r="M24" s="39">
        <f>41.0860558010696*((1+5%))</f>
        <v>43.140358591123082</v>
      </c>
      <c r="N24" s="39">
        <f>52.1534928535184*((1+5%))</f>
        <v>54.761167496194325</v>
      </c>
      <c r="O24" s="39">
        <f>131.379687560147*((1+5%))</f>
        <v>137.94867193815435</v>
      </c>
      <c r="P24" s="39">
        <f>91.1020469841904*((1+5%))</f>
        <v>95.657149333399914</v>
      </c>
      <c r="Q24" s="39">
        <f>117.544055670137*((1+5%))</f>
        <v>123.42125845364386</v>
      </c>
      <c r="R24" s="39">
        <f>91.5390354864768*((1+5%))</f>
        <v>96.115987260800651</v>
      </c>
      <c r="S24" s="39">
        <f>122.161958055784*((1+5%))</f>
        <v>128.27005595857321</v>
      </c>
      <c r="T24" s="39">
        <f>117.490193289024*((1+5%))</f>
        <v>123.36470295347522</v>
      </c>
      <c r="U24" s="39">
        <f>69.3713837106128*((1+5%))</f>
        <v>72.839952896143444</v>
      </c>
      <c r="V24" s="39">
        <f>57.4665057943081*((1+5%))</f>
        <v>60.339831084023508</v>
      </c>
      <c r="W24" s="39">
        <f>55.6222402189948*((1+5%))</f>
        <v>58.403352229944538</v>
      </c>
      <c r="X24" s="39">
        <f>62.6590594524324*((1+5%))</f>
        <v>65.792012425054025</v>
      </c>
      <c r="Y24" s="39">
        <f>63.2378719407331*((1+5%))</f>
        <v>66.399765537769753</v>
      </c>
      <c r="Z24" s="39">
        <f>64.3223241773324*((1+5%))</f>
        <v>67.538440386199028</v>
      </c>
      <c r="AA24" s="39">
        <f>57.5690281242265*((1+5%))</f>
        <v>60.447479530437825</v>
      </c>
      <c r="AB24" s="39">
        <f>68.1056995965144*((1+5%))</f>
        <v>71.510984576340121</v>
      </c>
      <c r="AC24" s="39">
        <f>57.7046046700335*((1+5%))</f>
        <v>60.589834903535177</v>
      </c>
      <c r="AD24" s="40">
        <f>58.2630375644093*((1+5%))</f>
        <v>61.17618944262977</v>
      </c>
    </row>
    <row r="25" spans="2:30" ht="15.75" x14ac:dyDescent="0.25">
      <c r="B25" s="41">
        <v>8.01</v>
      </c>
      <c r="C25" s="41">
        <v>9</v>
      </c>
      <c r="D25" s="35">
        <f>26.4879885970694*((1+5%))</f>
        <v>27.812388026922871</v>
      </c>
      <c r="E25" s="36">
        <f>26.8000392410875*((1+5%))</f>
        <v>28.140041203141877</v>
      </c>
      <c r="F25" s="36">
        <f>14.526358025476*((1+5%))</f>
        <v>15.2526759267498</v>
      </c>
      <c r="G25" s="36">
        <f>32.095249004699*((1+5%))</f>
        <v>33.70001145493395</v>
      </c>
      <c r="H25" s="36">
        <f>30.0176925761954*((1+5%))</f>
        <v>31.518577205005172</v>
      </c>
      <c r="I25" s="36">
        <f>30.5874600755244*((1+5%))</f>
        <v>32.116833079300619</v>
      </c>
      <c r="J25" s="36">
        <f>38.7940002034991*((1+5%))</f>
        <v>40.733700213674062</v>
      </c>
      <c r="K25" s="36">
        <f>38.3975977023874*((1+5%))</f>
        <v>40.317477587506772</v>
      </c>
      <c r="L25" s="36">
        <f>39.5146076638311*((1+5%))</f>
        <v>41.490338047022654</v>
      </c>
      <c r="M25" s="36">
        <f>45.1722063541678*((1+5%))</f>
        <v>47.430816671876187</v>
      </c>
      <c r="N25" s="36">
        <f>57.6829205387084*((1+5%))</f>
        <v>60.567066565643827</v>
      </c>
      <c r="O25" s="36">
        <f>146.193706747797*((1+5%))</f>
        <v>153.50339208518685</v>
      </c>
      <c r="P25" s="36">
        <f>101.368712451572*((1+5%))</f>
        <v>106.4371480741506</v>
      </c>
      <c r="Q25" s="36">
        <f>130.298946677166*((1+5%))</f>
        <v>136.8138940110243</v>
      </c>
      <c r="R25" s="36">
        <f>101.856220559459*((1+5%))</f>
        <v>106.94903158743196</v>
      </c>
      <c r="S25" s="36">
        <f>135.988953624218*((1+5%))</f>
        <v>142.78840130542889</v>
      </c>
      <c r="T25" s="36">
        <f>129.781813203677*((1+5%))</f>
        <v>136.27090386386084</v>
      </c>
      <c r="U25" s="36">
        <f>76.6099842156926*((1+5%))</f>
        <v>80.440483426477243</v>
      </c>
      <c r="V25" s="36">
        <f>63.434567784227*((1+5%))</f>
        <v>66.606296173438352</v>
      </c>
      <c r="W25" s="36">
        <f>61.4080897654873*((1+5%))</f>
        <v>64.478494253761667</v>
      </c>
      <c r="X25" s="36">
        <f>69.1667288786735*((1+5%))</f>
        <v>72.625065322607171</v>
      </c>
      <c r="Y25" s="36">
        <f>69.8100243078705*((1+5%))</f>
        <v>73.300525523264028</v>
      </c>
      <c r="Z25" s="36">
        <f>71.0045319564342*((1+5%))</f>
        <v>74.554758554255926</v>
      </c>
      <c r="AA25" s="36">
        <f>63.5547132658393*((1+5%))</f>
        <v>66.732448929131266</v>
      </c>
      <c r="AB25" s="36">
        <f>75.9877079847166*((1+5%))</f>
        <v>79.787093383952424</v>
      </c>
      <c r="AC25" s="36">
        <f>63.7049913778729*((1+5%))</f>
        <v>66.890240946766554</v>
      </c>
      <c r="AD25" s="37">
        <f>64.3199573404088*((1+5%))</f>
        <v>67.535955207429254</v>
      </c>
    </row>
    <row r="26" spans="2:30" ht="15.75" x14ac:dyDescent="0.25">
      <c r="B26" s="41">
        <v>9.01</v>
      </c>
      <c r="C26" s="41">
        <v>10</v>
      </c>
      <c r="D26" s="38">
        <f>28.298214666731*((1+5%))</f>
        <v>29.71312540006755</v>
      </c>
      <c r="E26" s="39">
        <f>28.6349228746619*((1+5%))</f>
        <v>30.066669018394997</v>
      </c>
      <c r="F26" s="39">
        <f>15.1028953134244*((1+5%))</f>
        <v>15.85804007909562</v>
      </c>
      <c r="G26" s="39">
        <f>34.5944478530474*((1+5%))</f>
        <v>36.324170245699769</v>
      </c>
      <c r="H26" s="39">
        <f>31.781249750949*((1+5%))</f>
        <v>33.370312238496453</v>
      </c>
      <c r="I26" s="39">
        <f>32.3862794157509*((1+5%))</f>
        <v>34.005593386538443</v>
      </c>
      <c r="J26" s="39">
        <f>41.9329130872991*((1+5%))</f>
        <v>44.029558741664054</v>
      </c>
      <c r="K26" s="39">
        <f>40.8902449837107*((1+5%))</f>
        <v>42.934757232896239</v>
      </c>
      <c r="L26" s="39">
        <f>42.0686122001301*((1+5%))</f>
        <v>44.172042810136602</v>
      </c>
      <c r="M26" s="39">
        <f>49.2142433877052*((1+5%))</f>
        <v>51.674955557090463</v>
      </c>
      <c r="N26" s="39">
        <f>63.1275732422829*((1+5%))</f>
        <v>66.283951904397043</v>
      </c>
      <c r="O26" s="39">
        <f>160.264492023555*((1+5%))</f>
        <v>168.27771662473276</v>
      </c>
      <c r="P26" s="39">
        <f>111.103668378387*((1+5%))</f>
        <v>116.65885179730635</v>
      </c>
      <c r="Q26" s="39">
        <f>142.858044661967*((1+5%))</f>
        <v>150.00094689506537</v>
      </c>
      <c r="R26" s="39">
        <f>111.642759510956*((1+5%))</f>
        <v>117.22489748650381</v>
      </c>
      <c r="S26" s="39">
        <f>149.273388436972*((1+5%))</f>
        <v>156.73705785882061</v>
      </c>
      <c r="T26" s="39">
        <f>141.194386504621*((1+5%))</f>
        <v>148.25410582985205</v>
      </c>
      <c r="U26" s="39">
        <f>83.329377371051*((1+5%))</f>
        <v>87.495846239603551</v>
      </c>
      <c r="V26" s="39">
        <f>68.9180736728944*((1+5%))</f>
        <v>72.363977356539124</v>
      </c>
      <c r="W26" s="39">
        <f>66.8057871747934*((1+5%))</f>
        <v>70.146076533533062</v>
      </c>
      <c r="X26" s="39">
        <f>75.1490586446438*((1+5%))</f>
        <v>78.906511576875999</v>
      </c>
      <c r="Y26" s="39">
        <f>75.8898817507019*((1+5%))</f>
        <v>79.684375838237003</v>
      </c>
      <c r="Z26" s="39">
        <f>77.1630217309551*((1+5%))</f>
        <v>81.021172817502858</v>
      </c>
      <c r="AA26" s="39">
        <f>69.1154965190659*((1+5%))</f>
        <v>72.571271345019198</v>
      </c>
      <c r="AB26" s="39">
        <f>83.3823443978559*((1+5%))</f>
        <v>87.5514616177487</v>
      </c>
      <c r="AC26" s="39">
        <f>69.28472521621*((1+5%))</f>
        <v>72.748961477020515</v>
      </c>
      <c r="AD26" s="40">
        <f>70.1873684291275*((1+5%))</f>
        <v>73.696736850583875</v>
      </c>
    </row>
    <row r="27" spans="2:30" x14ac:dyDescent="0.25">
      <c r="B27" s="41">
        <v>10.01</v>
      </c>
      <c r="C27" s="41">
        <v>11</v>
      </c>
      <c r="D27" s="42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4"/>
    </row>
    <row r="28" spans="2:30" x14ac:dyDescent="0.25">
      <c r="B28" s="41">
        <v>11.01</v>
      </c>
      <c r="C28" s="41">
        <v>12</v>
      </c>
      <c r="D28" s="45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7"/>
    </row>
    <row r="29" spans="2:30" x14ac:dyDescent="0.25">
      <c r="B29" s="41">
        <v>12.01</v>
      </c>
      <c r="C29" s="41">
        <v>13</v>
      </c>
      <c r="D29" s="42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4"/>
    </row>
    <row r="30" spans="2:30" x14ac:dyDescent="0.25">
      <c r="B30" s="41">
        <v>13.01</v>
      </c>
      <c r="C30" s="41">
        <v>14</v>
      </c>
      <c r="D30" s="45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7"/>
    </row>
    <row r="31" spans="2:30" x14ac:dyDescent="0.25">
      <c r="B31" s="41">
        <v>14.01</v>
      </c>
      <c r="C31" s="41">
        <v>15</v>
      </c>
      <c r="D31" s="42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4"/>
    </row>
    <row r="32" spans="2:30" x14ac:dyDescent="0.25">
      <c r="B32" s="41">
        <v>15.01</v>
      </c>
      <c r="C32" s="41">
        <v>16</v>
      </c>
      <c r="D32" s="45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7"/>
    </row>
    <row r="33" spans="2:30" x14ac:dyDescent="0.25">
      <c r="B33" s="41">
        <v>16.010000000000002</v>
      </c>
      <c r="C33" s="41">
        <v>17</v>
      </c>
      <c r="D33" s="42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4"/>
    </row>
    <row r="34" spans="2:30" x14ac:dyDescent="0.25">
      <c r="B34" s="41">
        <v>17.010000000000002</v>
      </c>
      <c r="C34" s="41">
        <v>18</v>
      </c>
      <c r="D34" s="45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7"/>
    </row>
    <row r="35" spans="2:30" x14ac:dyDescent="0.25">
      <c r="B35" s="41">
        <v>18.010000000000002</v>
      </c>
      <c r="C35" s="41">
        <v>19</v>
      </c>
      <c r="D35" s="42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4"/>
    </row>
    <row r="36" spans="2:30" x14ac:dyDescent="0.25">
      <c r="B36" s="41">
        <v>19.010000000000002</v>
      </c>
      <c r="C36" s="41">
        <v>20</v>
      </c>
      <c r="D36" s="45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7"/>
    </row>
    <row r="37" spans="2:30" x14ac:dyDescent="0.25">
      <c r="B37" s="41">
        <v>20.010000000000002</v>
      </c>
      <c r="C37" s="41">
        <v>21</v>
      </c>
      <c r="D37" s="42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4"/>
    </row>
    <row r="38" spans="2:30" x14ac:dyDescent="0.25">
      <c r="B38" s="41">
        <v>21.01</v>
      </c>
      <c r="C38" s="41">
        <v>22</v>
      </c>
      <c r="D38" s="45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7"/>
    </row>
    <row r="39" spans="2:30" x14ac:dyDescent="0.25">
      <c r="B39" s="41">
        <v>22.01</v>
      </c>
      <c r="C39" s="41">
        <v>23</v>
      </c>
      <c r="D39" s="42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4"/>
    </row>
    <row r="40" spans="2:30" x14ac:dyDescent="0.25">
      <c r="B40" s="41">
        <v>23.01</v>
      </c>
      <c r="C40" s="41">
        <v>24</v>
      </c>
      <c r="D40" s="45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7"/>
    </row>
    <row r="41" spans="2:30" x14ac:dyDescent="0.25">
      <c r="B41" s="41">
        <v>24.01</v>
      </c>
      <c r="C41" s="41">
        <v>25</v>
      </c>
      <c r="D41" s="42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4"/>
    </row>
    <row r="42" spans="2:30" x14ac:dyDescent="0.25">
      <c r="B42" s="41">
        <v>25.01</v>
      </c>
      <c r="C42" s="41">
        <v>26</v>
      </c>
      <c r="D42" s="45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7"/>
    </row>
    <row r="43" spans="2:30" x14ac:dyDescent="0.25">
      <c r="B43" s="41">
        <v>26.01</v>
      </c>
      <c r="C43" s="41">
        <v>27</v>
      </c>
      <c r="D43" s="42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4"/>
    </row>
    <row r="44" spans="2:30" x14ac:dyDescent="0.25">
      <c r="B44" s="41">
        <v>27.01</v>
      </c>
      <c r="C44" s="41">
        <v>28</v>
      </c>
      <c r="D44" s="45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7"/>
    </row>
    <row r="45" spans="2:30" x14ac:dyDescent="0.25">
      <c r="B45" s="41">
        <v>28.01</v>
      </c>
      <c r="C45" s="41">
        <v>29</v>
      </c>
      <c r="D45" s="42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4"/>
    </row>
    <row r="46" spans="2:30" x14ac:dyDescent="0.25">
      <c r="B46" s="41">
        <v>29.01</v>
      </c>
      <c r="C46" s="41">
        <v>30</v>
      </c>
      <c r="D46" s="45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7"/>
    </row>
    <row r="47" spans="2:30" ht="15" customHeight="1" x14ac:dyDescent="0.25">
      <c r="B47" s="48" t="s">
        <v>5399</v>
      </c>
      <c r="C47" s="48" t="s">
        <v>15</v>
      </c>
      <c r="D47" s="49">
        <v>3.0428788910505911</v>
      </c>
      <c r="E47" s="50">
        <v>3.0428788910505911</v>
      </c>
      <c r="F47" s="50">
        <v>3.0428788910505911</v>
      </c>
      <c r="G47" s="50">
        <v>3.0428788910505911</v>
      </c>
      <c r="H47" s="50">
        <v>3.0428788910505911</v>
      </c>
      <c r="I47" s="50">
        <v>3.0428788910505911</v>
      </c>
      <c r="J47" s="50">
        <v>3.0428788910505911</v>
      </c>
      <c r="K47" s="50">
        <v>3.0428788910505911</v>
      </c>
      <c r="L47" s="50">
        <v>3.0428788910505911</v>
      </c>
      <c r="M47" s="50">
        <v>3.0428788910505911</v>
      </c>
      <c r="N47" s="50">
        <v>3.0428788910505911</v>
      </c>
      <c r="O47" s="50">
        <v>3.0428788910505911</v>
      </c>
      <c r="P47" s="50">
        <v>3.0428788910505911</v>
      </c>
      <c r="Q47" s="50">
        <v>3.0428788910505911</v>
      </c>
      <c r="R47" s="50">
        <v>3.0428788910505911</v>
      </c>
      <c r="S47" s="50">
        <v>3.0428788910505911</v>
      </c>
      <c r="T47" s="50">
        <v>3.0428788910505911</v>
      </c>
      <c r="U47" s="50">
        <v>3.0428788910505911</v>
      </c>
      <c r="V47" s="50">
        <v>3.0428788910505911</v>
      </c>
      <c r="W47" s="50">
        <v>3.0428788910505911</v>
      </c>
      <c r="X47" s="50">
        <v>3.0428788910505911</v>
      </c>
      <c r="Y47" s="50">
        <v>3.0428788910505911</v>
      </c>
      <c r="Z47" s="50">
        <v>3.0428788910505911</v>
      </c>
      <c r="AA47" s="50">
        <v>3.0428788910505911</v>
      </c>
      <c r="AB47" s="50">
        <v>3.0428788910505911</v>
      </c>
      <c r="AC47" s="50">
        <v>3.0428788910505911</v>
      </c>
      <c r="AD47" s="51">
        <v>3.0428788910505911</v>
      </c>
    </row>
    <row r="50" spans="1:30" s="55" customFormat="1" ht="16.5" customHeight="1" x14ac:dyDescent="0.25">
      <c r="A50" s="52"/>
      <c r="B50" s="53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</row>
    <row r="51" spans="1:30" s="55" customFormat="1" ht="16.5" customHeight="1" x14ac:dyDescent="0.25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6"/>
      <c r="L51" s="56"/>
      <c r="M51" s="56"/>
    </row>
    <row r="52" spans="1:30" s="55" customFormat="1" ht="16.5" customHeight="1" x14ac:dyDescent="0.25">
      <c r="A52" s="53"/>
      <c r="B52" s="53"/>
      <c r="C52" s="53"/>
      <c r="D52" s="53"/>
      <c r="E52" s="53"/>
      <c r="F52" s="53"/>
      <c r="G52" s="53"/>
      <c r="H52" s="53"/>
      <c r="I52" s="53"/>
      <c r="J52" s="53"/>
    </row>
    <row r="54" spans="1:30" ht="27.75" customHeight="1" x14ac:dyDescent="0.25">
      <c r="B54" s="70" t="s">
        <v>5400</v>
      </c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5"/>
    </row>
    <row r="55" spans="1:30" ht="9.75" customHeight="1" x14ac:dyDescent="0.25">
      <c r="D55" s="27"/>
      <c r="E55" s="28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30"/>
    </row>
    <row r="56" spans="1:30" x14ac:dyDescent="0.25">
      <c r="B56" s="57" t="s">
        <v>5393</v>
      </c>
      <c r="C56" s="58"/>
      <c r="D56" s="72" t="s">
        <v>5394</v>
      </c>
      <c r="E56" s="73"/>
      <c r="F56" s="73"/>
      <c r="G56" s="73"/>
      <c r="H56" s="73" t="s">
        <v>5395</v>
      </c>
      <c r="I56" s="73"/>
      <c r="J56" s="73"/>
      <c r="K56" s="73" t="s">
        <v>5396</v>
      </c>
      <c r="L56" s="73"/>
      <c r="M56" s="73"/>
      <c r="N56" s="73"/>
      <c r="O56" s="73" t="s">
        <v>5397</v>
      </c>
      <c r="P56" s="73"/>
      <c r="Q56" s="73"/>
      <c r="R56" s="73"/>
      <c r="S56" s="73"/>
      <c r="T56" s="73"/>
      <c r="U56" s="19"/>
      <c r="V56" s="73" t="s">
        <v>5398</v>
      </c>
      <c r="W56" s="73"/>
      <c r="X56" s="73"/>
      <c r="Y56" s="73"/>
      <c r="Z56" s="73"/>
      <c r="AA56" s="73"/>
      <c r="AB56" s="73"/>
      <c r="AC56" s="73"/>
      <c r="AD56" s="74"/>
    </row>
    <row r="57" spans="1:30" ht="20.25" customHeight="1" x14ac:dyDescent="0.25">
      <c r="B57" s="59"/>
      <c r="C57" s="60"/>
      <c r="D57" s="22" t="s">
        <v>19</v>
      </c>
      <c r="E57" s="23" t="s">
        <v>663</v>
      </c>
      <c r="F57" s="23" t="s">
        <v>851</v>
      </c>
      <c r="G57" s="23" t="s">
        <v>772</v>
      </c>
      <c r="H57" s="23" t="s">
        <v>4294</v>
      </c>
      <c r="I57" s="23" t="s">
        <v>4654</v>
      </c>
      <c r="J57" s="23" t="s">
        <v>4915</v>
      </c>
      <c r="K57" s="23" t="s">
        <v>3670</v>
      </c>
      <c r="L57" s="23" t="s">
        <v>3672</v>
      </c>
      <c r="M57" s="23" t="s">
        <v>4217</v>
      </c>
      <c r="N57" s="23" t="s">
        <v>4079</v>
      </c>
      <c r="O57" s="23" t="s">
        <v>3647</v>
      </c>
      <c r="P57" s="23" t="s">
        <v>3573</v>
      </c>
      <c r="Q57" s="23" t="s">
        <v>3557</v>
      </c>
      <c r="R57" s="23" t="s">
        <v>3417</v>
      </c>
      <c r="S57" s="23" t="s">
        <v>3902</v>
      </c>
      <c r="T57" s="23" t="s">
        <v>3594</v>
      </c>
      <c r="U57" s="23" t="s">
        <v>3952</v>
      </c>
      <c r="V57" s="23" t="s">
        <v>1700</v>
      </c>
      <c r="W57" s="23" t="s">
        <v>2194</v>
      </c>
      <c r="X57" s="23" t="s">
        <v>2815</v>
      </c>
      <c r="Y57" s="23" t="s">
        <v>2373</v>
      </c>
      <c r="Z57" s="23" t="s">
        <v>2471</v>
      </c>
      <c r="AA57" s="23" t="s">
        <v>2120</v>
      </c>
      <c r="AB57" s="23" t="s">
        <v>3213</v>
      </c>
      <c r="AC57" s="23" t="s">
        <v>2668</v>
      </c>
      <c r="AD57" s="24" t="s">
        <v>2995</v>
      </c>
    </row>
    <row r="58" spans="1:30" ht="9.75" customHeight="1" x14ac:dyDescent="0.25">
      <c r="B58" s="25"/>
      <c r="C58" s="26"/>
      <c r="D58" s="61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30"/>
    </row>
    <row r="59" spans="1:30" ht="15.75" x14ac:dyDescent="0.25">
      <c r="B59" s="31">
        <v>0.01</v>
      </c>
      <c r="C59" s="31">
        <v>0.25</v>
      </c>
      <c r="D59" s="32">
        <f>13.5810376266042*((1+5%))</f>
        <v>14.26008950793441</v>
      </c>
      <c r="E59" s="33">
        <f>14.54060351707*((1+5%))</f>
        <v>15.2676336929235</v>
      </c>
      <c r="F59" s="33">
        <f>13.2194145538115*((1+5%))</f>
        <v>13.880385281502075</v>
      </c>
      <c r="G59" s="33">
        <f>13.9426518608529*((1+5%))</f>
        <v>14.639784453895546</v>
      </c>
      <c r="H59" s="33">
        <f>15.565884139582*((1+5%))</f>
        <v>16.344178346561101</v>
      </c>
      <c r="I59" s="33">
        <f>15.8393914658426*((1+5%))</f>
        <v>16.631361039134731</v>
      </c>
      <c r="J59" s="33">
        <f>16.6755264782441*((1+5%))</f>
        <v>17.509302802156309</v>
      </c>
      <c r="K59" s="33">
        <f>17.4409165753249*((1+5%))</f>
        <v>18.312962404091145</v>
      </c>
      <c r="L59" s="33">
        <f>19.4068004491781*((1+5%))</f>
        <v>20.377140471637006</v>
      </c>
      <c r="M59" s="33">
        <f>23.8417612339054*((1+5%))</f>
        <v>25.033849295600671</v>
      </c>
      <c r="N59" s="33">
        <f>24.874356113165*((1+5%))</f>
        <v>26.118073918823249</v>
      </c>
      <c r="O59" s="33">
        <f>38.669105420635*((1+5%))</f>
        <v>40.602560691666753</v>
      </c>
      <c r="P59" s="33">
        <f>26.9547958909412*((1+5%))</f>
        <v>28.302535685488259</v>
      </c>
      <c r="Q59" s="33">
        <f>34.4001136192736*((1+5%))</f>
        <v>36.120119300237278</v>
      </c>
      <c r="R59" s="33">
        <f>27.0509760550756*((1+5%))</f>
        <v>28.403524857829382</v>
      </c>
      <c r="S59" s="33">
        <f>34.6854997484798*((1+5%))</f>
        <v>36.419774735903793</v>
      </c>
      <c r="T59" s="33">
        <f>36.4528043468505*((1+5%))</f>
        <v>38.275444564193023</v>
      </c>
      <c r="U59" s="33">
        <f>30.7927026677126*((1+5%))</f>
        <v>32.332337801098234</v>
      </c>
      <c r="V59" s="33">
        <f>17.9337388512206*((1+5%))</f>
        <v>18.830425793781629</v>
      </c>
      <c r="W59" s="33">
        <f>16.5361133928369*((1+5%))</f>
        <v>17.362919062478746</v>
      </c>
      <c r="X59" s="33">
        <f>19.5204867746025*((1+5%))</f>
        <v>20.496511113332627</v>
      </c>
      <c r="Y59" s="33">
        <f>19.3195248279228*((1+5%))</f>
        <v>20.28550106931894</v>
      </c>
      <c r="Z59" s="33">
        <f>19.8831260032832*((1+5%))</f>
        <v>20.877282303447359</v>
      </c>
      <c r="AA59" s="33">
        <f>17.3508317293209*((1+5%))</f>
        <v>18.218373315786945</v>
      </c>
      <c r="AB59" s="33">
        <f>18.4288811614951*((1+5%))</f>
        <v>19.350325219569854</v>
      </c>
      <c r="AC59" s="33">
        <f>17.3386576187867*((1+5%))</f>
        <v>18.205590499726036</v>
      </c>
      <c r="AD59" s="34">
        <f>17.6410137865431*((1+5%))</f>
        <v>18.523064475870253</v>
      </c>
    </row>
    <row r="60" spans="1:30" ht="15.75" x14ac:dyDescent="0.25">
      <c r="B60" s="31">
        <v>0.251</v>
      </c>
      <c r="C60" s="31">
        <v>0.5</v>
      </c>
      <c r="D60" s="35">
        <f>13.7473200229903*((1+5%))</f>
        <v>14.434686024139815</v>
      </c>
      <c r="E60" s="36">
        <f>14.7198293351908*((1+5%))</f>
        <v>15.455820801950342</v>
      </c>
      <c r="F60" s="36">
        <f>13.3771332737578*((1+5%))</f>
        <v>14.04598993744569</v>
      </c>
      <c r="G60" s="36">
        <f>14.1086715660596*((1+5%))</f>
        <v>14.81410514436258</v>
      </c>
      <c r="H60" s="36">
        <f>15.9681273548403*((1+5%))</f>
        <v>16.766533722582317</v>
      </c>
      <c r="I60" s="36">
        <f>16.2477906061485*((1+5%))</f>
        <v>17.060180136455923</v>
      </c>
      <c r="J60" s="36">
        <f>17.1048315443614*((1+5%))</f>
        <v>17.96007312157947</v>
      </c>
      <c r="K60" s="36">
        <f>18.3927223004032*((1+5%))</f>
        <v>19.312358415423361</v>
      </c>
      <c r="L60" s="36">
        <f>20.383789301955*((1+5%))</f>
        <v>21.402978767052751</v>
      </c>
      <c r="M60" s="36">
        <f>24.6940135950953*((1+5%))</f>
        <v>25.928714274850066</v>
      </c>
      <c r="N60" s="36">
        <f>25.732319078799*((1+5%))</f>
        <v>27.018935032738952</v>
      </c>
      <c r="O60" s="36">
        <f>39.3694306500748*((1+5%))</f>
        <v>41.337902182578539</v>
      </c>
      <c r="P60" s="36">
        <f>27.446444936787*((1+5%))</f>
        <v>28.818767183626349</v>
      </c>
      <c r="Q60" s="36">
        <f>35.0520583133037*((1+5%))</f>
        <v>36.804661228968882</v>
      </c>
      <c r="R60" s="36">
        <f>27.5436237790796*((1+5%))</f>
        <v>28.920804968033579</v>
      </c>
      <c r="S60" s="36">
        <f>35.2820043129451*((1+5%))</f>
        <v>37.046104528592352</v>
      </c>
      <c r="T60" s="36">
        <f>37.130620822236*((1+5%))</f>
        <v>38.987151863347798</v>
      </c>
      <c r="U60" s="36">
        <f>31.3719270330435*((1+5%))</f>
        <v>32.94052338469568</v>
      </c>
      <c r="V60" s="36">
        <f>19.3023093833115*((1+5%))</f>
        <v>20.267424852477074</v>
      </c>
      <c r="W60" s="36">
        <f>17.8695975834375*((1+5%))</f>
        <v>18.763077462609374</v>
      </c>
      <c r="X60" s="36">
        <f>21.3040316809579*((1+5%))</f>
        <v>22.369233265005793</v>
      </c>
      <c r="Y60" s="36">
        <f>20.8301536322883*((1+5%))</f>
        <v>21.871661313902717</v>
      </c>
      <c r="Z60" s="36">
        <f>21.4171149189913*((1+5%))</f>
        <v>22.487970664940864</v>
      </c>
      <c r="AA60" s="36">
        <f>18.7284700517994*((1+5%))</f>
        <v>19.664893554389369</v>
      </c>
      <c r="AB60" s="36">
        <f>20.2251654835389*((1+5%))</f>
        <v>21.236423757715844</v>
      </c>
      <c r="AC60" s="36">
        <f>18.7201244956864*((1+5%))</f>
        <v>19.656130720470721</v>
      </c>
      <c r="AD60" s="37">
        <f>19.0343675443281*((1+5%))</f>
        <v>19.986085921544504</v>
      </c>
    </row>
    <row r="61" spans="1:30" ht="15.75" x14ac:dyDescent="0.25">
      <c r="B61" s="31">
        <v>0.501</v>
      </c>
      <c r="C61" s="31">
        <v>0.75</v>
      </c>
      <c r="D61" s="38">
        <f>14.020978192891*((1+5%))</f>
        <v>14.72202710253555</v>
      </c>
      <c r="E61" s="39">
        <f>14.9729961431662*((1+5%))</f>
        <v>15.721645950324511</v>
      </c>
      <c r="F61" s="39">
        <f>13.3913107765428*((1+5%))</f>
        <v>14.06087631536994</v>
      </c>
      <c r="G61" s="39">
        <f>14.8489535560275*((1+5%))</f>
        <v>15.591401233828876</v>
      </c>
      <c r="H61" s="39">
        <f>16.8658179005954*((1+5%))</f>
        <v>17.70910879562517</v>
      </c>
      <c r="I61" s="39">
        <f>17.1658771466032*((1+5%))</f>
        <v>18.024171003933361</v>
      </c>
      <c r="J61" s="39">
        <f>18.0746916207858*((1+5%))</f>
        <v>18.978426201825091</v>
      </c>
      <c r="K61" s="39">
        <f>19.4356916671856*((1+5%))</f>
        <v>20.407476250544882</v>
      </c>
      <c r="L61" s="39">
        <f>21.5140656954278*((1+5%))</f>
        <v>22.589768980199189</v>
      </c>
      <c r="M61" s="39">
        <f>26.9488834430678*((1+5%))</f>
        <v>28.296327615221191</v>
      </c>
      <c r="N61" s="39">
        <f>27.8414253863547*((1+5%))</f>
        <v>29.233496655672436</v>
      </c>
      <c r="O61" s="39">
        <f>39.9261202595216*((1+5%))</f>
        <v>41.922426272497688</v>
      </c>
      <c r="P61" s="39">
        <f>27.8392385697962*((1+5%))</f>
        <v>29.231200498286011</v>
      </c>
      <c r="Q61" s="39">
        <f>35.5883241837057*((1+5%))</f>
        <v>37.367740392890987</v>
      </c>
      <c r="R61" s="39">
        <f>27.9367879776352*((1+5%))</f>
        <v>29.333627376516958</v>
      </c>
      <c r="S61" s="39">
        <f>35.7381268969095*((1+5%))</f>
        <v>37.525033241754976</v>
      </c>
      <c r="T61" s="39">
        <f>37.7012551132721*((1+5%))</f>
        <v>39.586317868935701</v>
      </c>
      <c r="U61" s="39">
        <f>32.548080270564*((1+5%))</f>
        <v>34.1754842840922</v>
      </c>
      <c r="V61" s="39">
        <f>21.2939025366856*((1+5%))</f>
        <v>22.35859766351988</v>
      </c>
      <c r="W61" s="39">
        <f>19.8308262077152*((1+5%))</f>
        <v>20.822367518100961</v>
      </c>
      <c r="X61" s="39">
        <f>23.2093253167607*((1+5%))</f>
        <v>24.369791582598737</v>
      </c>
      <c r="Y61" s="39">
        <f>23.0389727249097*((1+5%))</f>
        <v>24.190921361155187</v>
      </c>
      <c r="Z61" s="39">
        <f>23.6542467894118*((1+5%))</f>
        <v>24.836959128882391</v>
      </c>
      <c r="AA61" s="39">
        <f>20.7487431508773*((1+5%))</f>
        <v>21.786180308421166</v>
      </c>
      <c r="AB61" s="39">
        <f>22.2971535388773*((1+5%))</f>
        <v>23.412011215821167</v>
      </c>
      <c r="AC61" s="39">
        <f>20.7473446951142*((1+5%))</f>
        <v>21.784711929869911</v>
      </c>
      <c r="AD61" s="40">
        <f>21.075651342761*((1+5%))</f>
        <v>22.129433909899049</v>
      </c>
    </row>
    <row r="62" spans="1:30" ht="15.75" x14ac:dyDescent="0.25">
      <c r="B62" s="31">
        <v>0.751</v>
      </c>
      <c r="C62" s="31">
        <v>1</v>
      </c>
      <c r="D62" s="35">
        <f>14.9311580148145*((1+5%))</f>
        <v>15.677715915555225</v>
      </c>
      <c r="E62" s="36">
        <f>15.9423231297515*((1+5%))</f>
        <v>16.739439286239076</v>
      </c>
      <c r="F62" s="36">
        <f>14.3717510201984*((1+5%))</f>
        <v>15.090338571208319</v>
      </c>
      <c r="G62" s="36">
        <f>15.803432034072*((1+5%))</f>
        <v>16.593603635775601</v>
      </c>
      <c r="H62" s="36">
        <f>17.6626290044263*((1+5%))</f>
        <v>18.545760454647617</v>
      </c>
      <c r="I62" s="36">
        <f>17.9696348926934*((1+5%))</f>
        <v>18.868116637328072</v>
      </c>
      <c r="J62" s="36">
        <f>18.9158285679284*((1+5%))</f>
        <v>19.861619996324823</v>
      </c>
      <c r="K62" s="36">
        <f>20.625297182713*((1+5%))</f>
        <v>21.656562041848648</v>
      </c>
      <c r="L62" s="36">
        <f>22.8956153250864*((1+5%))</f>
        <v>24.040396091340721</v>
      </c>
      <c r="M62" s="36">
        <f>27.5415727803656*((1+5%))</f>
        <v>28.918651419383881</v>
      </c>
      <c r="N62" s="36">
        <f>28.4913040456725*((1+5%))</f>
        <v>29.915869247956127</v>
      </c>
      <c r="O62" s="36">
        <f>41.2029188180537*((1+5%))</f>
        <v>43.263064758956389</v>
      </c>
      <c r="P62" s="36">
        <f>28.7448572391571*((1+5%))</f>
        <v>30.182100101114955</v>
      </c>
      <c r="Q62" s="36">
        <f>36.8612895346944*((1+5%))</f>
        <v>38.704354011429125</v>
      </c>
      <c r="R62" s="36">
        <f>28.8422470565323*((1+5%))</f>
        <v>30.284359409358917</v>
      </c>
      <c r="S62" s="36">
        <f>36.7412458004498*((1+5%))</f>
        <v>38.578308090472298</v>
      </c>
      <c r="T62" s="36">
        <f>39.0859652165021*((1+5%))</f>
        <v>41.040263477327208</v>
      </c>
      <c r="U62" s="36">
        <f>35.2585920140175*((1+5%))</f>
        <v>37.021521614718381</v>
      </c>
      <c r="V62" s="36">
        <f>23.4251644768584*((1+5%))</f>
        <v>24.596422700701318</v>
      </c>
      <c r="W62" s="36">
        <f>21.8406257208269*((1+5%))</f>
        <v>22.932657006868247</v>
      </c>
      <c r="X62" s="36">
        <f>25.5179739752239*((1+5%))</f>
        <v>26.793872673985096</v>
      </c>
      <c r="Y62" s="36">
        <f>25.3575635162775*((1+5%))</f>
        <v>26.625441692091378</v>
      </c>
      <c r="Z62" s="36">
        <f>26.0275624419951*((1+5%))</f>
        <v>27.328940564094857</v>
      </c>
      <c r="AA62" s="36">
        <f>22.8441274037877*((1+5%))</f>
        <v>23.986333773977083</v>
      </c>
      <c r="AB62" s="36">
        <f>25.3355676740259*((1+5%))</f>
        <v>26.602346057727196</v>
      </c>
      <c r="AC62" s="36">
        <f>22.8442491026433*((1+5%))</f>
        <v>23.986461557775467</v>
      </c>
      <c r="AD62" s="37">
        <f>23.2015117615752*((1+5%))</f>
        <v>24.361587349653963</v>
      </c>
    </row>
    <row r="63" spans="1:30" ht="15.75" x14ac:dyDescent="0.25">
      <c r="B63" s="41">
        <v>1.01</v>
      </c>
      <c r="C63" s="41">
        <v>2</v>
      </c>
      <c r="D63" s="38">
        <f>16.2003615283973*((1+5%))</f>
        <v>17.010379604817164</v>
      </c>
      <c r="E63" s="39">
        <f>17.9829190671135*((1+5%))</f>
        <v>18.882065020469174</v>
      </c>
      <c r="F63" s="39">
        <f>15.2622926799074*((1+5%))</f>
        <v>16.025407313902772</v>
      </c>
      <c r="G63" s="39">
        <f>17.2583793902925*((1+5%))</f>
        <v>18.121298359807128</v>
      </c>
      <c r="H63" s="39">
        <f>19.1497458423634*((1+5%))</f>
        <v>20.107233134481572</v>
      </c>
      <c r="I63" s="39">
        <f>19.6077878168629*((1+5%))</f>
        <v>20.588177207706046</v>
      </c>
      <c r="J63" s="39">
        <f>20.5763920891659*((1+5%))</f>
        <v>21.605211693624195</v>
      </c>
      <c r="K63" s="39">
        <f>22.7997827663069*((1+5%))</f>
        <v>23.939771904622248</v>
      </c>
      <c r="L63" s="39">
        <f>24.2366714558011*((1+5%))</f>
        <v>25.448505028591157</v>
      </c>
      <c r="M63" s="39">
        <f>29.835053936941*((1+5%))</f>
        <v>31.326806633788053</v>
      </c>
      <c r="N63" s="39">
        <f>30.8211422508123*((1+5%))</f>
        <v>32.362199363352914</v>
      </c>
      <c r="O63" s="39">
        <f>53.0996374747815*((1+5%))</f>
        <v>55.754619348520578</v>
      </c>
      <c r="P63" s="39">
        <f>36.9638054919058*((1+5%))</f>
        <v>38.811995766501092</v>
      </c>
      <c r="Q63" s="39">
        <f>46.8770872756473*((1+5%))</f>
        <v>49.220941639429668</v>
      </c>
      <c r="R63" s="39">
        <f>37.1065568080708*((1+5%))</f>
        <v>38.961884648474339</v>
      </c>
      <c r="S63" s="39">
        <f>48.0845392521746*((1+5%))</f>
        <v>50.488766214783332</v>
      </c>
      <c r="T63" s="39">
        <f>48.5457783342643*((1+5%))</f>
        <v>50.973067250977515</v>
      </c>
      <c r="U63" s="39">
        <f>40.2012130287316*((1+5%))</f>
        <v>42.211273680168183</v>
      </c>
      <c r="V63" s="39">
        <f>28.6312447359717*((1+5%))</f>
        <v>30.062806972770286</v>
      </c>
      <c r="W63" s="39">
        <f>27.0425155330221*((1+5%))</f>
        <v>28.394641309673208</v>
      </c>
      <c r="X63" s="39">
        <f>31.1901876216139*((1+5%))</f>
        <v>32.749697002694596</v>
      </c>
      <c r="Y63" s="39">
        <f>31.1696166299638*((1+5%))</f>
        <v>32.728097461461992</v>
      </c>
      <c r="Z63" s="39">
        <f>31.8929841754065*((1+5%))</f>
        <v>33.487633384176824</v>
      </c>
      <c r="AA63" s="39">
        <f>28.181432285377*((1+5%))</f>
        <v>29.590503899645849</v>
      </c>
      <c r="AB63" s="39">
        <f>30.6428943230453*((1+5%))</f>
        <v>32.175039039197564</v>
      </c>
      <c r="AC63" s="39">
        <f>28.2047116755015*((1+5%))</f>
        <v>29.614947259276576</v>
      </c>
      <c r="AD63" s="40">
        <f>28.5869855132331*((1+5%))</f>
        <v>30.016334788894756</v>
      </c>
    </row>
    <row r="64" spans="1:30" ht="15.75" x14ac:dyDescent="0.25">
      <c r="B64" s="41">
        <v>2.0099999999999998</v>
      </c>
      <c r="C64" s="41">
        <v>3</v>
      </c>
      <c r="D64" s="35">
        <f>16.0805433985398*((1+5%))</f>
        <v>16.884570568466788</v>
      </c>
      <c r="E64" s="36">
        <f>19.5812009356752*((1+5%))</f>
        <v>20.56026098245896</v>
      </c>
      <c r="F64" s="36">
        <f>17.1560911887312*((1+5%))</f>
        <v>18.013895748167759</v>
      </c>
      <c r="G64" s="36">
        <f>19.0771049963603*((1+5%))</f>
        <v>20.030960246178317</v>
      </c>
      <c r="H64" s="36">
        <f>20.2294776252873*((1+5%))</f>
        <v>21.240951506551664</v>
      </c>
      <c r="I64" s="36">
        <f>21.7754855510056*((1+5%))</f>
        <v>22.86425982855588</v>
      </c>
      <c r="J64" s="36">
        <f>23.1831875195981*((1+5%))</f>
        <v>24.342346895578007</v>
      </c>
      <c r="K64" s="36">
        <f>24.8052364090152*((1+5%))</f>
        <v>26.045498229465963</v>
      </c>
      <c r="L64" s="36">
        <f>26.7713077276301*((1+5%))</f>
        <v>28.109873114011606</v>
      </c>
      <c r="M64" s="36">
        <f>32.5721671055253*((1+5%))</f>
        <v>34.200775460801566</v>
      </c>
      <c r="N64" s="36">
        <f>33.637419065611*((1+5%))</f>
        <v>35.31929001889155</v>
      </c>
      <c r="O64" s="36">
        <f>66.183318508404*((1+5%))</f>
        <v>69.492484433824202</v>
      </c>
      <c r="P64" s="36">
        <f>46.0202020999655*((1+5%))</f>
        <v>48.321212204963778</v>
      </c>
      <c r="Q64" s="36">
        <f>58.035769400027*((1+5%))</f>
        <v>60.93755787002835</v>
      </c>
      <c r="R64" s="36">
        <f>46.209117488522*((1+5%))</f>
        <v>48.519573362948101</v>
      </c>
      <c r="S64" s="36">
        <f>60.4008991727502*((1+5%))</f>
        <v>63.420944131387714</v>
      </c>
      <c r="T64" s="36">
        <f>59.2213491427633*((1+5%))</f>
        <v>62.182416599901472</v>
      </c>
      <c r="U64" s="36">
        <f>46.2382583081093*((1+5%))</f>
        <v>48.550171223514766</v>
      </c>
      <c r="V64" s="36">
        <f>34.5322230078078*((1+5%))</f>
        <v>36.258834158198191</v>
      </c>
      <c r="W64" s="36">
        <f>32.8393842418471*((1+5%))</f>
        <v>34.481353453939455</v>
      </c>
      <c r="X64" s="36">
        <f>37.6275021881833*((1+5%))</f>
        <v>39.50887729759247</v>
      </c>
      <c r="Y64" s="36">
        <f>37.7070497342666*((1+5%))</f>
        <v>39.592402220979928</v>
      </c>
      <c r="Z64" s="36">
        <f>38.5181889425244*((1+5%))</f>
        <v>40.44409838965062</v>
      </c>
      <c r="AA64" s="36">
        <f>34.1568067587456*((1+5%))</f>
        <v>35.864647096682887</v>
      </c>
      <c r="AB64" s="36">
        <f>36.6449430692276*((1+5%))</f>
        <v>38.477190222688982</v>
      </c>
      <c r="AC64" s="36">
        <f>34.1997299871647*((1+5%))</f>
        <v>35.909716486522939</v>
      </c>
      <c r="AD64" s="37">
        <f>34.625883801124*((1+5%))</f>
        <v>36.357177991180201</v>
      </c>
    </row>
    <row r="65" spans="2:30" ht="15.75" x14ac:dyDescent="0.25">
      <c r="B65" s="41">
        <v>3.01</v>
      </c>
      <c r="C65" s="41">
        <v>4</v>
      </c>
      <c r="D65" s="38">
        <f>17.7311974854863*((1+5%))</f>
        <v>18.617757359760617</v>
      </c>
      <c r="E65" s="39">
        <f>21.5915704161585*((1+5%))</f>
        <v>22.671148936966425</v>
      </c>
      <c r="F65" s="39">
        <f>19.1836842871737*((1+5%))</f>
        <v>20.142868501532387</v>
      </c>
      <c r="G65" s="39">
        <f>21.036667012553*((1+5%))</f>
        <v>22.08850036318065</v>
      </c>
      <c r="H65" s="39">
        <f>21.4828720149693*((1+5%))</f>
        <v>22.557015615717766</v>
      </c>
      <c r="I65" s="39">
        <f>24.1171939131622*((1+5%))</f>
        <v>25.323053608820313</v>
      </c>
      <c r="J65" s="39">
        <f>25.9712440208784*((1+5%))</f>
        <v>27.269806221922323</v>
      </c>
      <c r="K65" s="39">
        <f>28.204683318589*((1+5%))</f>
        <v>29.614917484518454</v>
      </c>
      <c r="L65" s="39">
        <f>29.5000927149417*((1+5%))</f>
        <v>30.975097350688788</v>
      </c>
      <c r="M65" s="39">
        <f>35.8404899077647*((1+5%))</f>
        <v>37.632514403152932</v>
      </c>
      <c r="N65" s="39">
        <f>37.0153033528026*((1+5%))</f>
        <v>38.866068520442731</v>
      </c>
      <c r="O65" s="39">
        <f>79.547814837946*((1+5%))</f>
        <v>83.525205579843316</v>
      </c>
      <c r="P65" s="39">
        <f>55.277493970726*((1+5%))</f>
        <v>58.041368669262305</v>
      </c>
      <c r="Q65" s="39">
        <f>69.4900465727431*((1+5%))</f>
        <v>72.964548901380255</v>
      </c>
      <c r="R65" s="39">
        <f>55.5121716411487*((1+5%))</f>
        <v>58.287780223206134</v>
      </c>
      <c r="S65" s="39">
        <f>72.9222542593471*((1+5%))</f>
        <v>76.56836697231445</v>
      </c>
      <c r="T65" s="39">
        <f>70.229049219056*((1+5%))</f>
        <v>73.740501680008791</v>
      </c>
      <c r="U65" s="39">
        <f>44.0159352492828*((1+5%))</f>
        <v>46.216732011746942</v>
      </c>
      <c r="V65" s="39">
        <f>40.6306212698283*((1+5%))</f>
        <v>42.662152333319717</v>
      </c>
      <c r="W65" s="39">
        <f>38.7942732569849*((1+5%))</f>
        <v>40.733986919834145</v>
      </c>
      <c r="X65" s="39">
        <f>44.2787438059383*((1+5%))</f>
        <v>46.492680996235215</v>
      </c>
      <c r="Y65" s="39">
        <f>44.4449763107449*((1+5%))</f>
        <v>46.667225126282148</v>
      </c>
      <c r="Z65" s="39">
        <f>45.3566846374885*((1+5%))</f>
        <v>47.624518869362923</v>
      </c>
      <c r="AA65" s="39">
        <f>40.3052162413223*((1+5%))</f>
        <v>42.320477053388416</v>
      </c>
      <c r="AB65" s="39">
        <f>43.8789578713435*((1+5%))</f>
        <v>46.072905764910679</v>
      </c>
      <c r="AC65" s="39">
        <f>40.366052957944*((1+5%))</f>
        <v>42.384355605841201</v>
      </c>
      <c r="AD65" s="40">
        <f>40.843168696446*((1+5%))</f>
        <v>42.885327131268305</v>
      </c>
    </row>
    <row r="66" spans="2:30" ht="15.75" x14ac:dyDescent="0.25">
      <c r="B66" s="41">
        <v>4.01</v>
      </c>
      <c r="C66" s="41">
        <v>5</v>
      </c>
      <c r="D66" s="35">
        <f>19.5456406818504*((1+5%))</f>
        <v>20.522922715942922</v>
      </c>
      <c r="E66" s="36">
        <f>23.7987122719991*((1+5%))</f>
        <v>24.988647885599057</v>
      </c>
      <c r="F66" s="36">
        <f>21.3869998393471*((1+5%))</f>
        <v>22.456349831314458</v>
      </c>
      <c r="G66" s="36">
        <f>23.1812000326731*((1+5%))</f>
        <v>24.340260034306755</v>
      </c>
      <c r="H66" s="36">
        <f>24.81534501955*((1+5%))</f>
        <v>26.056112270527503</v>
      </c>
      <c r="I66" s="36">
        <f>26.6874434638457*((1+5%))</f>
        <v>28.021815637037985</v>
      </c>
      <c r="J66" s="36">
        <f>28.9973642602073*((1+5%))</f>
        <v>30.447232473217664</v>
      </c>
      <c r="K66" s="36">
        <f>31.7079696254699*((1+5%))</f>
        <v>33.293368106743394</v>
      </c>
      <c r="L66" s="36">
        <f>32.733884313234*((1+5%))</f>
        <v>34.370578528895699</v>
      </c>
      <c r="M66" s="36">
        <f>38.9887544954311*((1+5%))</f>
        <v>40.938192220202659</v>
      </c>
      <c r="N66" s="36">
        <f>40.281070071435*((1+5%))</f>
        <v>42.295123575006755</v>
      </c>
      <c r="O66" s="36">
        <f>93.2811269244245*((1+5%))</f>
        <v>97.945183270645728</v>
      </c>
      <c r="P66" s="36">
        <f>64.7986366339989*((1+5%))</f>
        <v>68.038568465698845</v>
      </c>
      <c r="Q66" s="36">
        <f>81.332550858024*((1+5%))</f>
        <v>85.399178400925209</v>
      </c>
      <c r="R66" s="36">
        <f>65.0785488847027*((1+5%))</f>
        <v>68.33247632893783</v>
      </c>
      <c r="S66" s="36">
        <f>85.7128448485076*((1+5%))</f>
        <v>89.998487090932983</v>
      </c>
      <c r="T66" s="36">
        <f>81.6729595341854*((1+5%))</f>
        <v>85.756607510894668</v>
      </c>
      <c r="U66" s="36">
        <f>50.2097446883232*((1+5%))</f>
        <v>52.720231922739359</v>
      </c>
      <c r="V66" s="36">
        <f>46.98830598872*((1+5%))</f>
        <v>49.337721288156004</v>
      </c>
      <c r="W66" s="36">
        <f>44.9567021737268*((1+5%))</f>
        <v>47.204537282413135</v>
      </c>
      <c r="X66" s="36">
        <f>51.2109518399058*((1+5%))</f>
        <v>53.771499431901098</v>
      </c>
      <c r="Y66" s="36">
        <f>51.4462259781506*((1+5%))</f>
        <v>54.01853727705813</v>
      </c>
      <c r="Z66" s="36">
        <f>52.4753112802476*((1+5%))</f>
        <v>55.099076844259983</v>
      </c>
      <c r="AA66" s="36">
        <f>46.680885559189*((1+5%))</f>
        <v>49.014929837148451</v>
      </c>
      <c r="AB66" s="36">
        <f>50.3401850149976*((1+5%))</f>
        <v>52.857194265747481</v>
      </c>
      <c r="AC66" s="36">
        <f>46.7573631656603*((1+5%))</f>
        <v>49.095231323943317</v>
      </c>
      <c r="AD66" s="37">
        <f>47.2947420817575*((1+5%))</f>
        <v>49.659479185845377</v>
      </c>
    </row>
    <row r="67" spans="2:30" ht="15.75" x14ac:dyDescent="0.25">
      <c r="B67" s="41">
        <v>5.01</v>
      </c>
      <c r="C67" s="41">
        <v>6</v>
      </c>
      <c r="D67" s="38">
        <f>21.4577400382636*((1+5%))</f>
        <v>22.530627040176782</v>
      </c>
      <c r="E67" s="39">
        <f>26.1231759366549*((1+5%))</f>
        <v>27.429334733487647</v>
      </c>
      <c r="F67" s="39">
        <f>23.695086582516*((1+5%))</f>
        <v>24.879840911641804</v>
      </c>
      <c r="G67" s="39">
        <f>25.6682707181229*((1+5%))</f>
        <v>26.951684254029047</v>
      </c>
      <c r="H67" s="39">
        <f>28.7069296860666*((1+5%))</f>
        <v>30.142276170369932</v>
      </c>
      <c r="I67" s="39">
        <f>29.3939563776059*((1+5%))</f>
        <v>30.863654196486195</v>
      </c>
      <c r="J67" s="39">
        <f>32.1654255027412*((1+5%))</f>
        <v>33.773696777878264</v>
      </c>
      <c r="K67" s="39">
        <f>36.0070239913473*((1+5%))</f>
        <v>37.807375190914669</v>
      </c>
      <c r="L67" s="39">
        <f>37.1554166421247*((1+5%))</f>
        <v>39.013187474230932</v>
      </c>
      <c r="M67" s="39">
        <f>42.4788931174049*((1+5%))</f>
        <v>44.602837773275148</v>
      </c>
      <c r="N67" s="39">
        <f>43.9293389695817*((1+5%))</f>
        <v>46.125805918060784</v>
      </c>
      <c r="O67" s="39">
        <f>107.234338433496*((1+5%))</f>
        <v>112.5960553551708</v>
      </c>
      <c r="P67" s="39">
        <f>74.4770953441951*((1+5%))</f>
        <v>78.200950111404865</v>
      </c>
      <c r="Q67" s="39">
        <f>93.4065282197187*((1+5%))</f>
        <v>98.076854630704631</v>
      </c>
      <c r="R67" s="39">
        <f>74.8019275430861*((1+5%))</f>
        <v>78.542023920240396</v>
      </c>
      <c r="S67" s="39">
        <f>98.6639620161612*((1+5%))</f>
        <v>103.59716011696926</v>
      </c>
      <c r="T67" s="39">
        <f>93.3769519576451*((1+5%))</f>
        <v>98.045799555527367</v>
      </c>
      <c r="U67" s="39">
        <f>57.6075934721569*((1+5%))</f>
        <v>60.487973145764748</v>
      </c>
      <c r="V67" s="39">
        <f>53.500585355698*((1+5%))</f>
        <v>56.1756146234829</v>
      </c>
      <c r="W67" s="39">
        <f>51.242872833248*((1+5%))</f>
        <v>53.805016474910403</v>
      </c>
      <c r="X67" s="39">
        <f>58.3106807878561*((1+5%))</f>
        <v>61.22621482724891</v>
      </c>
      <c r="Y67" s="39">
        <f>58.6044770603856*((1+5%))</f>
        <v>61.534700913404883</v>
      </c>
      <c r="Z67" s="39">
        <f>59.7609607047401*((1+5%))</f>
        <v>62.749008739977107</v>
      </c>
      <c r="AA67" s="39">
        <f>53.1920542574889*((1+5%))</f>
        <v>55.851656970363344</v>
      </c>
      <c r="AB67" s="39">
        <f>57.2152129389527*((1+5%))</f>
        <v>60.075973585900343</v>
      </c>
      <c r="AC67" s="39">
        <f>53.2828177600055*((1+5%))</f>
        <v>55.946958648005776</v>
      </c>
      <c r="AD67" s="40">
        <f>53.88600554999*((1+5%))</f>
        <v>56.580305827489504</v>
      </c>
    </row>
    <row r="68" spans="2:30" ht="15.75" x14ac:dyDescent="0.25">
      <c r="B68" s="41">
        <v>6.01</v>
      </c>
      <c r="C68" s="41">
        <v>7</v>
      </c>
      <c r="D68" s="35">
        <f>23.4800570002151*((1+5%))</f>
        <v>24.654059850225856</v>
      </c>
      <c r="E68" s="36">
        <f>28.5800524346492*((1+5%))</f>
        <v>30.009055056381662</v>
      </c>
      <c r="F68" s="36">
        <f>26.1214211637641*((1+5%))</f>
        <v>27.427492221952306</v>
      </c>
      <c r="G68" s="36">
        <f>28.6375903420958*((1+5%))</f>
        <v>30.069469859200588</v>
      </c>
      <c r="H68" s="36">
        <f>31.3719343316798*((1+5%))</f>
        <v>32.940531048263793</v>
      </c>
      <c r="I68" s="36">
        <f>32.2542601182157*((1+5%))</f>
        <v>33.866973124126481</v>
      </c>
      <c r="J68" s="36">
        <f>35.8743832852416*((1+5%))</f>
        <v>37.668102449503678</v>
      </c>
      <c r="K68" s="36">
        <f>39.152858216005*((1+5%))</f>
        <v>41.110501126805254</v>
      </c>
      <c r="L68" s="36">
        <f>40.4306418615587*((1+5%))</f>
        <v>42.452173954636635</v>
      </c>
      <c r="M68" s="36">
        <f>46.0378743136883*((1+5%))</f>
        <v>48.339768029372713</v>
      </c>
      <c r="N68" s="36">
        <f>47.6472719657832*((1+5%))</f>
        <v>50.029635564072358</v>
      </c>
      <c r="O68" s="36">
        <f>121.435734878422*((1+5%))</f>
        <v>127.50752162234311</v>
      </c>
      <c r="P68" s="36">
        <f>84.3331055575008*((1+5%))</f>
        <v>88.549760835375849</v>
      </c>
      <c r="Q68" s="36">
        <f>105.741752882312*((1+5%))</f>
        <v>111.0288405264276</v>
      </c>
      <c r="R68" s="36">
        <f>84.7025026015729*((1+5%))</f>
        <v>88.937627731651546</v>
      </c>
      <c r="S68" s="36">
        <f>111.796254186988*((1+5%))</f>
        <v>117.3860668963374</v>
      </c>
      <c r="T68" s="36">
        <f>105.374480674249*((1+5%))</f>
        <v>110.64320470796146</v>
      </c>
      <c r="U68" s="36">
        <f>65.2995667982195*((1+5%))</f>
        <v>68.564545138130484</v>
      </c>
      <c r="V68" s="36">
        <f>60.1873447752661*((1+5%))</f>
        <v>63.196712014029409</v>
      </c>
      <c r="W68" s="36">
        <f>57.6687020518137*((1+5%))</f>
        <v>60.552137154404392</v>
      </c>
      <c r="X68" s="36">
        <f>65.5994787510891*((1+5%))</f>
        <v>68.879452688643553</v>
      </c>
      <c r="Y68" s="36">
        <f>65.939924542724*((1+5%))</f>
        <v>69.236920769860205</v>
      </c>
      <c r="Z68" s="36">
        <f>67.2351169378534*((1+5%))</f>
        <v>70.596872784746083</v>
      </c>
      <c r="AA68" s="36">
        <f>59.8561515294268*((1+5%))</f>
        <v>62.848959105898146</v>
      </c>
      <c r="AB68" s="36">
        <f>64.0072959193903*((1+5%))</f>
        <v>67.207660715359822</v>
      </c>
      <c r="AC68" s="36">
        <f>59.9596716422524*((1+5%))</f>
        <v>62.957655224365027</v>
      </c>
      <c r="AD68" s="37">
        <f>60.6349273415606*((1+5%))</f>
        <v>63.666673708638633</v>
      </c>
    </row>
    <row r="69" spans="2:30" ht="15.75" x14ac:dyDescent="0.25">
      <c r="B69" s="41">
        <v>7.01</v>
      </c>
      <c r="C69" s="41">
        <v>8</v>
      </c>
      <c r="D69" s="38">
        <f>27.2599641843832*((1+5%))</f>
        <v>28.622962393602361</v>
      </c>
      <c r="E69" s="39">
        <f>33.1915838639703*((1+5%))</f>
        <v>34.851163057168819</v>
      </c>
      <c r="F69" s="39">
        <f>31.6140998749816*((1+5%))</f>
        <v>33.194804868730685</v>
      </c>
      <c r="G69" s="39">
        <f>32.4775324287371*((1+5%))</f>
        <v>34.101409050173956</v>
      </c>
      <c r="H69" s="39">
        <f>34.210224075548*((1+5%))</f>
        <v>35.920735279325399</v>
      </c>
      <c r="I69" s="39">
        <f>35.2881962218066*((1+5%))</f>
        <v>37.052606032896932</v>
      </c>
      <c r="J69" s="39">
        <f>39.8053867522699*((1+5%))</f>
        <v>41.795656089883394</v>
      </c>
      <c r="K69" s="39">
        <f>43.7885508794563*((1+5%))</f>
        <v>45.977978423429121</v>
      </c>
      <c r="L69" s="39">
        <f>45.2174897602529*((1+5%))</f>
        <v>47.478364248265549</v>
      </c>
      <c r="M69" s="39">
        <f>49.8926616144858*((1+5%))</f>
        <v>52.387294695210095</v>
      </c>
      <c r="N69" s="39">
        <f>51.6498969666393*((1+5%))</f>
        <v>54.232391814971265</v>
      </c>
      <c r="O69" s="39">
        <f>135.917336181799*((1+5%))</f>
        <v>142.71320299088893</v>
      </c>
      <c r="P69" s="39">
        <f>94.3895743265428*((1+5%))</f>
        <v>99.109053042869945</v>
      </c>
      <c r="Q69" s="39">
        <f>118.371930027486*((1+5%))</f>
        <v>124.29052652886031</v>
      </c>
      <c r="R69" s="39">
        <f>94.8031352986845*((1+5%))</f>
        <v>99.543292063618722</v>
      </c>
      <c r="S69" s="39">
        <f>125.133095904484*((1+5%))</f>
        <v>131.3897506997082</v>
      </c>
      <c r="T69" s="39">
        <f>117.703416674652*((1+5%))</f>
        <v>123.58858750838461</v>
      </c>
      <c r="U69" s="39">
        <f>73.3236115509337*((1+5%))</f>
        <v>76.989792128480389</v>
      </c>
      <c r="V69" s="39">
        <f>67.0710950326158*((1+5%))</f>
        <v>70.424649784246597</v>
      </c>
      <c r="W69" s="39">
        <f>64.2522080714875*((1+5%))</f>
        <v>67.464818475061875</v>
      </c>
      <c r="X69" s="39">
        <f>73.1017387299866*((1+5%))</f>
        <v>76.756825666485923</v>
      </c>
      <c r="Y69" s="39">
        <f>73.4754296636872*((1+5%))</f>
        <v>77.149201146871562</v>
      </c>
      <c r="Z69" s="39">
        <f>74.9221004460992*((1+5%))</f>
        <v>78.668205468404153</v>
      </c>
      <c r="AA69" s="39">
        <f>66.6929076663441*((1+5%))</f>
        <v>70.027553049661307</v>
      </c>
      <c r="AB69" s="39">
        <f>71.2049185678947*((1+5%))</f>
        <v>74.76516449628943</v>
      </c>
      <c r="AC69" s="39">
        <f>66.8074578008288*((1+5%))</f>
        <v>70.147830690870236</v>
      </c>
      <c r="AD69" s="40">
        <f>67.5618479630069*((1+5%))</f>
        <v>70.939940361157241</v>
      </c>
    </row>
    <row r="70" spans="2:30" ht="15.75" x14ac:dyDescent="0.25">
      <c r="B70" s="41">
        <v>8.01</v>
      </c>
      <c r="C70" s="41">
        <v>9</v>
      </c>
      <c r="D70" s="35">
        <f>29.5348621381183*((1+5%))</f>
        <v>31.011605245024217</v>
      </c>
      <c r="E70" s="36">
        <f>35.9602126623005*((1+5%))</f>
        <v>37.758223295415526</v>
      </c>
      <c r="F70" s="36">
        <f>34.2455322245982*((1+5%))</f>
        <v>35.957808835828111</v>
      </c>
      <c r="G70" s="36">
        <f>35.1829683107578*((1+5%))</f>
        <v>36.942116726295694</v>
      </c>
      <c r="H70" s="36">
        <f>36.7888825727807*((1+5%))</f>
        <v>38.628326701419738</v>
      </c>
      <c r="I70" s="36">
        <f>38.0619807756624*((1+5%))</f>
        <v>39.965079814445517</v>
      </c>
      <c r="J70" s="36">
        <f>43.4653990216576*((1+5%))</f>
        <v>45.638668972740483</v>
      </c>
      <c r="K70" s="36">
        <f>46.8454308924364*((1+5%))</f>
        <v>49.187702437058221</v>
      </c>
      <c r="L70" s="36">
        <f>48.3961830082518*((1+5%))</f>
        <v>50.815992158664393</v>
      </c>
      <c r="M70" s="36">
        <f>53.4630238982485*((1+5%))</f>
        <v>56.136175093160929</v>
      </c>
      <c r="N70" s="36">
        <f>55.3709710812384*((1+5%))</f>
        <v>58.139519635300324</v>
      </c>
      <c r="O70" s="36">
        <f>149.979109482389*((1+5%))</f>
        <v>157.47806495650846</v>
      </c>
      <c r="P70" s="36">
        <f>104.145698142391*((1+5%))</f>
        <v>109.35298304951056</v>
      </c>
      <c r="Q70" s="36">
        <f>130.5601829592*((1+5%))</f>
        <v>137.08819210716001</v>
      </c>
      <c r="R70" s="36">
        <f>104.604023732509*((1+5%))</f>
        <v>109.83422491913446</v>
      </c>
      <c r="S70" s="36">
        <f>138.163463179946*((1+5%))</f>
        <v>145.07163633894331</v>
      </c>
      <c r="T70" s="36">
        <f>129.535808614987*((1+5%))</f>
        <v>136.01259904573635</v>
      </c>
      <c r="U70" s="36">
        <f>80.8501171653043*((1+5%))</f>
        <v>84.892623023569513</v>
      </c>
      <c r="V70" s="36">
        <f>73.6596959822405*((1+5%))</f>
        <v>77.342680781352541</v>
      </c>
      <c r="W70" s="36">
        <f>70.5994685925615*((1+5%))</f>
        <v>74.129442022189565</v>
      </c>
      <c r="X70" s="36">
        <f>80.2841708079602*((1+5%))</f>
        <v>84.29837934835821</v>
      </c>
      <c r="Y70" s="36">
        <f>80.7111905213633*((1+5%))</f>
        <v>84.746750047431476</v>
      </c>
      <c r="Z70" s="36">
        <f>82.2902070785078*((1+5%))</f>
        <v>86.404717432433202</v>
      </c>
      <c r="AA70" s="36">
        <f>73.2709708353798*((1+5%))</f>
        <v>76.934519377148789</v>
      </c>
      <c r="AB70" s="36">
        <f>78.8451711127292*((1+5%))</f>
        <v>82.787429668365661</v>
      </c>
      <c r="AC70" s="36">
        <f>73.3991379212024*((1+5%))</f>
        <v>77.069094817262524</v>
      </c>
      <c r="AD70" s="37">
        <f>74.2220748031318*((1+5%))</f>
        <v>77.933178543288392</v>
      </c>
    </row>
    <row r="71" spans="2:30" ht="15.75" x14ac:dyDescent="0.25">
      <c r="B71" s="41">
        <v>9.01</v>
      </c>
      <c r="C71" s="41">
        <v>10</v>
      </c>
      <c r="D71" s="38">
        <f>31.7436183680921*((1+5%))</f>
        <v>33.330799286496706</v>
      </c>
      <c r="E71" s="39">
        <f>38.6493803527402*((1+5%))</f>
        <v>40.581849370377213</v>
      </c>
      <c r="F71" s="39">
        <f>36.806003897802*((1+5%))</f>
        <v>38.646304092692105</v>
      </c>
      <c r="G71" s="39">
        <f>37.813708743923*((1+5%))</f>
        <v>39.704394181119156</v>
      </c>
      <c r="H71" s="39">
        <f>39.2754355814562*((1+5%))</f>
        <v>41.239207360529015</v>
      </c>
      <c r="I71" s="39">
        <f>40.7434752608236*((1+5%))</f>
        <v>42.780649023864783</v>
      </c>
      <c r="J71" s="39">
        <f>47.0292758028217*((1+5%))</f>
        <v>49.38073959296279</v>
      </c>
      <c r="K71" s="39">
        <f>49.8074233941672*((1+5%))</f>
        <v>52.297794563875563</v>
      </c>
      <c r="L71" s="39">
        <f>51.4719055440972*((1+5%))</f>
        <v>54.045500821302056</v>
      </c>
      <c r="M71" s="39">
        <f>57.1911496501284*((1+5%))</f>
        <v>60.050707132634827</v>
      </c>
      <c r="N71" s="39">
        <f>59.2410190839653*((1+5%))</f>
        <v>62.203070038163567</v>
      </c>
      <c r="O71" s="39">
        <f>163.891946690703*((1+5%))</f>
        <v>172.08654402523817</v>
      </c>
      <c r="P71" s="39">
        <f>113.795273077825*((1+5%))</f>
        <v>119.48503673171626</v>
      </c>
      <c r="Q71" s="39">
        <f>142.59166105694*((1+5%))</f>
        <v>149.72124410978702</v>
      </c>
      <c r="R71" s="39">
        <f>114.29857638368*((1+5%))</f>
        <v>120.01350520286401</v>
      </c>
      <c r="S71" s="39">
        <f>151.085107108047*((1+5%))</f>
        <v>158.63936246344934</v>
      </c>
      <c r="T71" s="39">
        <f>141.192049056475*((1+5%))</f>
        <v>148.25165150929877</v>
      </c>
      <c r="U71" s="39">
        <f>88.2001182718109*((1+5%))</f>
        <v>92.610124185401446</v>
      </c>
      <c r="V71" s="39">
        <f>80.7080449822807*((1+5%))</f>
        <v>84.74344723139474</v>
      </c>
      <c r="W71" s="39">
        <f>77.4330181236355*((1+5%))</f>
        <v>81.30466902981729</v>
      </c>
      <c r="X71" s="39">
        <f>87.9695229089594*((1+5%))</f>
        <v>92.367999054407377</v>
      </c>
      <c r="Y71" s="39">
        <f>88.473863919612*((1+5%))</f>
        <v>92.897557115592605</v>
      </c>
      <c r="Z71" s="39">
        <f>90.1825507323179*((1+5%))</f>
        <v>94.691678268933799</v>
      </c>
      <c r="AA71" s="39">
        <f>80.3405061284598*((1+5%))</f>
        <v>84.357531434882787</v>
      </c>
      <c r="AB71" s="39">
        <f>86.3801512327368*((1+5%))</f>
        <v>90.699158794373631</v>
      </c>
      <c r="AC71" s="39">
        <f>80.4861241156824*((1+5%))</f>
        <v>84.510430321466529</v>
      </c>
      <c r="AD71" s="40">
        <f>81.3756101452544*((1+5%))</f>
        <v>85.444390652517129</v>
      </c>
    </row>
    <row r="72" spans="2:30" x14ac:dyDescent="0.25">
      <c r="B72" s="41">
        <v>10.01</v>
      </c>
      <c r="C72" s="41">
        <v>11</v>
      </c>
      <c r="D72" s="42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4"/>
    </row>
    <row r="73" spans="2:30" x14ac:dyDescent="0.25">
      <c r="B73" s="41">
        <v>11.01</v>
      </c>
      <c r="C73" s="41">
        <v>12</v>
      </c>
      <c r="D73" s="45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7"/>
    </row>
    <row r="74" spans="2:30" x14ac:dyDescent="0.25">
      <c r="B74" s="41">
        <v>12.01</v>
      </c>
      <c r="C74" s="41">
        <v>13</v>
      </c>
      <c r="D74" s="42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4"/>
    </row>
    <row r="75" spans="2:30" x14ac:dyDescent="0.25">
      <c r="B75" s="41">
        <v>13.01</v>
      </c>
      <c r="C75" s="41">
        <v>14</v>
      </c>
      <c r="D75" s="45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7"/>
    </row>
    <row r="76" spans="2:30" x14ac:dyDescent="0.25">
      <c r="B76" s="41">
        <v>14.01</v>
      </c>
      <c r="C76" s="41">
        <v>15</v>
      </c>
      <c r="D76" s="42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4"/>
    </row>
    <row r="77" spans="2:30" x14ac:dyDescent="0.25">
      <c r="B77" s="41">
        <v>15.01</v>
      </c>
      <c r="C77" s="41">
        <v>16</v>
      </c>
      <c r="D77" s="45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7"/>
    </row>
    <row r="78" spans="2:30" x14ac:dyDescent="0.25">
      <c r="B78" s="41">
        <v>16.010000000000002</v>
      </c>
      <c r="C78" s="41">
        <v>17</v>
      </c>
      <c r="D78" s="42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4"/>
    </row>
    <row r="79" spans="2:30" x14ac:dyDescent="0.25">
      <c r="B79" s="41">
        <v>17.010000000000002</v>
      </c>
      <c r="C79" s="41">
        <v>18</v>
      </c>
      <c r="D79" s="45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7"/>
    </row>
    <row r="80" spans="2:30" x14ac:dyDescent="0.25">
      <c r="B80" s="41">
        <v>18.010000000000002</v>
      </c>
      <c r="C80" s="41">
        <v>19</v>
      </c>
      <c r="D80" s="42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4"/>
    </row>
    <row r="81" spans="1:30" x14ac:dyDescent="0.25">
      <c r="B81" s="41">
        <v>19.010000000000002</v>
      </c>
      <c r="C81" s="41">
        <v>20</v>
      </c>
      <c r="D81" s="45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7"/>
    </row>
    <row r="82" spans="1:30" x14ac:dyDescent="0.25">
      <c r="B82" s="41">
        <v>20.010000000000002</v>
      </c>
      <c r="C82" s="41">
        <v>21</v>
      </c>
      <c r="D82" s="42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4"/>
    </row>
    <row r="83" spans="1:30" x14ac:dyDescent="0.25">
      <c r="B83" s="41">
        <v>21.01</v>
      </c>
      <c r="C83" s="41">
        <v>22</v>
      </c>
      <c r="D83" s="45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7"/>
    </row>
    <row r="84" spans="1:30" x14ac:dyDescent="0.25">
      <c r="B84" s="41">
        <v>22.01</v>
      </c>
      <c r="C84" s="41">
        <v>23</v>
      </c>
      <c r="D84" s="42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4"/>
    </row>
    <row r="85" spans="1:30" x14ac:dyDescent="0.25">
      <c r="B85" s="41">
        <v>23.01</v>
      </c>
      <c r="C85" s="41">
        <v>24</v>
      </c>
      <c r="D85" s="45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7"/>
    </row>
    <row r="86" spans="1:30" x14ac:dyDescent="0.25">
      <c r="B86" s="41">
        <v>24.01</v>
      </c>
      <c r="C86" s="41">
        <v>25</v>
      </c>
      <c r="D86" s="42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4"/>
    </row>
    <row r="87" spans="1:30" x14ac:dyDescent="0.25">
      <c r="B87" s="41">
        <v>25.01</v>
      </c>
      <c r="C87" s="41">
        <v>26</v>
      </c>
      <c r="D87" s="45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7"/>
    </row>
    <row r="88" spans="1:30" x14ac:dyDescent="0.25">
      <c r="B88" s="41">
        <v>26.01</v>
      </c>
      <c r="C88" s="41">
        <v>27</v>
      </c>
      <c r="D88" s="42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4"/>
    </row>
    <row r="89" spans="1:30" x14ac:dyDescent="0.25">
      <c r="B89" s="41">
        <v>27.01</v>
      </c>
      <c r="C89" s="41">
        <v>28</v>
      </c>
      <c r="D89" s="45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7"/>
    </row>
    <row r="90" spans="1:30" x14ac:dyDescent="0.25">
      <c r="B90" s="41">
        <v>28.01</v>
      </c>
      <c r="C90" s="41">
        <v>29</v>
      </c>
      <c r="D90" s="42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4"/>
    </row>
    <row r="91" spans="1:30" x14ac:dyDescent="0.25">
      <c r="B91" s="41">
        <v>29.01</v>
      </c>
      <c r="C91" s="41">
        <v>30</v>
      </c>
      <c r="D91" s="45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7"/>
    </row>
    <row r="92" spans="1:30" ht="24" customHeight="1" x14ac:dyDescent="0.25">
      <c r="B92" s="48" t="s">
        <v>5399</v>
      </c>
      <c r="C92" s="48" t="s">
        <v>15</v>
      </c>
      <c r="D92" s="49">
        <v>3.0428788910505911</v>
      </c>
      <c r="E92" s="50">
        <v>3.0428788910505911</v>
      </c>
      <c r="F92" s="50">
        <v>3.0428788910505911</v>
      </c>
      <c r="G92" s="50">
        <v>3.0428788910505911</v>
      </c>
      <c r="H92" s="50">
        <v>3.0428788910505911</v>
      </c>
      <c r="I92" s="50">
        <v>3.0428788910505911</v>
      </c>
      <c r="J92" s="50">
        <v>3.0428788910505911</v>
      </c>
      <c r="K92" s="50">
        <v>3.0428788910505911</v>
      </c>
      <c r="L92" s="50">
        <v>3.0428788910505911</v>
      </c>
      <c r="M92" s="50">
        <v>3.0428788910505911</v>
      </c>
      <c r="N92" s="50">
        <v>3.0428788910505911</v>
      </c>
      <c r="O92" s="50">
        <v>3.0428788910505911</v>
      </c>
      <c r="P92" s="50">
        <v>3.0428788910505911</v>
      </c>
      <c r="Q92" s="50">
        <v>3.0428788910505911</v>
      </c>
      <c r="R92" s="50">
        <v>3.0428788910505911</v>
      </c>
      <c r="S92" s="50">
        <v>3.0428788910505911</v>
      </c>
      <c r="T92" s="50">
        <v>3.0428788910505911</v>
      </c>
      <c r="U92" s="50">
        <v>3.0428788910505911</v>
      </c>
      <c r="V92" s="50">
        <v>3.0428788910505911</v>
      </c>
      <c r="W92" s="50">
        <v>3.0428788910505911</v>
      </c>
      <c r="X92" s="50">
        <v>3.0428788910505911</v>
      </c>
      <c r="Y92" s="50">
        <v>3.0428788910505911</v>
      </c>
      <c r="Z92" s="50">
        <v>3.0428788910505911</v>
      </c>
      <c r="AA92" s="50">
        <v>3.0428788910505911</v>
      </c>
      <c r="AB92" s="50">
        <v>3.0428788910505911</v>
      </c>
      <c r="AC92" s="50">
        <v>3.0428788910505911</v>
      </c>
      <c r="AD92" s="51">
        <v>3.0428788910505911</v>
      </c>
    </row>
    <row r="94" spans="1:30" s="55" customFormat="1" ht="16.5" customHeight="1" x14ac:dyDescent="0.25">
      <c r="A94" s="52"/>
      <c r="B94" s="53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</row>
    <row r="95" spans="1:30" s="55" customFormat="1" ht="16.5" customHeight="1" x14ac:dyDescent="0.25">
      <c r="A95" s="52"/>
      <c r="B95" s="53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</row>
    <row r="96" spans="1:30" s="55" customFormat="1" ht="16.5" hidden="1" customHeight="1" x14ac:dyDescent="0.25">
      <c r="A96" s="53"/>
      <c r="B96" s="53"/>
      <c r="C96" s="53"/>
      <c r="D96" s="53"/>
      <c r="E96" s="53"/>
      <c r="F96" s="53"/>
      <c r="G96" s="53"/>
      <c r="H96" s="53"/>
      <c r="I96" s="53"/>
      <c r="J96" s="53"/>
    </row>
    <row r="97" spans="1:30" s="55" customFormat="1" ht="16.5" hidden="1" customHeight="1" x14ac:dyDescent="0.25">
      <c r="A97" s="53"/>
      <c r="B97" s="53"/>
      <c r="C97" s="53"/>
      <c r="D97" s="53"/>
      <c r="E97" s="53"/>
      <c r="F97" s="53"/>
      <c r="G97" s="53"/>
      <c r="H97" s="53"/>
      <c r="I97" s="53"/>
      <c r="J97" s="53"/>
    </row>
    <row r="98" spans="1:30" hidden="1" x14ac:dyDescent="0.25"/>
    <row r="99" spans="1:30" hidden="1" x14ac:dyDescent="0.25"/>
    <row r="100" spans="1:30" ht="28.5" customHeight="1" x14ac:dyDescent="0.25">
      <c r="B100" s="70" t="s">
        <v>5401</v>
      </c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5"/>
    </row>
    <row r="101" spans="1:30" ht="9.75" customHeight="1" x14ac:dyDescent="0.25">
      <c r="D101" s="27"/>
      <c r="E101" s="28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30"/>
    </row>
    <row r="102" spans="1:30" ht="21" customHeight="1" x14ac:dyDescent="0.25">
      <c r="B102" s="57" t="s">
        <v>5393</v>
      </c>
      <c r="C102" s="58"/>
      <c r="D102" s="72" t="s">
        <v>5394</v>
      </c>
      <c r="E102" s="73"/>
      <c r="F102" s="73"/>
      <c r="G102" s="73"/>
      <c r="H102" s="73" t="s">
        <v>5395</v>
      </c>
      <c r="I102" s="73"/>
      <c r="J102" s="73"/>
      <c r="K102" s="73" t="s">
        <v>5396</v>
      </c>
      <c r="L102" s="73"/>
      <c r="M102" s="73"/>
      <c r="N102" s="73"/>
      <c r="O102" s="73" t="s">
        <v>5397</v>
      </c>
      <c r="P102" s="73"/>
      <c r="Q102" s="73"/>
      <c r="R102" s="73"/>
      <c r="S102" s="73"/>
      <c r="T102" s="73"/>
      <c r="U102" s="19"/>
      <c r="V102" s="73" t="s">
        <v>5398</v>
      </c>
      <c r="W102" s="73"/>
      <c r="X102" s="73"/>
      <c r="Y102" s="73"/>
      <c r="Z102" s="73"/>
      <c r="AA102" s="73"/>
      <c r="AB102" s="73"/>
      <c r="AC102" s="73"/>
      <c r="AD102" s="74"/>
    </row>
    <row r="103" spans="1:30" ht="20.25" customHeight="1" x14ac:dyDescent="0.25">
      <c r="B103" s="59"/>
      <c r="C103" s="60"/>
      <c r="D103" s="22" t="s">
        <v>19</v>
      </c>
      <c r="E103" s="23" t="s">
        <v>663</v>
      </c>
      <c r="F103" s="23" t="s">
        <v>851</v>
      </c>
      <c r="G103" s="23" t="s">
        <v>772</v>
      </c>
      <c r="H103" s="23" t="s">
        <v>4294</v>
      </c>
      <c r="I103" s="23" t="s">
        <v>4654</v>
      </c>
      <c r="J103" s="23" t="s">
        <v>4915</v>
      </c>
      <c r="K103" s="23" t="s">
        <v>3670</v>
      </c>
      <c r="L103" s="23" t="s">
        <v>3672</v>
      </c>
      <c r="M103" s="23" t="s">
        <v>4217</v>
      </c>
      <c r="N103" s="23" t="s">
        <v>4079</v>
      </c>
      <c r="O103" s="23" t="s">
        <v>3647</v>
      </c>
      <c r="P103" s="23" t="s">
        <v>3573</v>
      </c>
      <c r="Q103" s="23" t="s">
        <v>3557</v>
      </c>
      <c r="R103" s="23" t="s">
        <v>3417</v>
      </c>
      <c r="S103" s="23" t="s">
        <v>3902</v>
      </c>
      <c r="T103" s="23" t="s">
        <v>3594</v>
      </c>
      <c r="U103" s="23" t="s">
        <v>3952</v>
      </c>
      <c r="V103" s="23" t="s">
        <v>1700</v>
      </c>
      <c r="W103" s="23" t="s">
        <v>2194</v>
      </c>
      <c r="X103" s="23" t="s">
        <v>2815</v>
      </c>
      <c r="Y103" s="23" t="s">
        <v>2373</v>
      </c>
      <c r="Z103" s="23" t="s">
        <v>2471</v>
      </c>
      <c r="AA103" s="23" t="s">
        <v>2120</v>
      </c>
      <c r="AB103" s="23" t="s">
        <v>3213</v>
      </c>
      <c r="AC103" s="23" t="s">
        <v>2668</v>
      </c>
      <c r="AD103" s="24" t="s">
        <v>2995</v>
      </c>
    </row>
    <row r="104" spans="1:30" ht="9.75" customHeight="1" x14ac:dyDescent="0.25">
      <c r="B104" s="25"/>
      <c r="C104" s="26"/>
      <c r="D104" s="61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30"/>
    </row>
    <row r="105" spans="1:30" ht="15.75" x14ac:dyDescent="0.25">
      <c r="B105" s="31">
        <v>0.01</v>
      </c>
      <c r="C105" s="31">
        <v>0.25</v>
      </c>
      <c r="D105" s="32">
        <f>17.0805296123076*((1+5%))</f>
        <v>17.934556092922982</v>
      </c>
      <c r="E105" s="33">
        <f>18.2777398591643*((1+5%))</f>
        <v>19.191626852122514</v>
      </c>
      <c r="F105" s="33">
        <f>16.973625168567*((1+5%))</f>
        <v>17.82230642699535</v>
      </c>
      <c r="G105" s="33">
        <f>17.9348759970865*((1+5%))</f>
        <v>18.831619796940828</v>
      </c>
      <c r="H105" s="33">
        <f>18.2169073317806*((1+5%))</f>
        <v>19.12775269836963</v>
      </c>
      <c r="I105" s="33">
        <f>18.5482799009055*((1+5%))</f>
        <v>19.475693895950773</v>
      </c>
      <c r="J105" s="33">
        <f>19.3607116131738*((1+5%))</f>
        <v>20.328747193832491</v>
      </c>
      <c r="K105" s="33">
        <f>20.7253491941156*((1+5%))</f>
        <v>21.761616653821381</v>
      </c>
      <c r="L105" s="33">
        <f>22.9801729254222*((1+5%))</f>
        <v>24.129181571693309</v>
      </c>
      <c r="M105" s="33">
        <f>24.5619187167067*((1+5%))</f>
        <v>25.790014652542038</v>
      </c>
      <c r="N105" s="33">
        <f>25.6627332807491*((1+5%))</f>
        <v>26.945869944786558</v>
      </c>
      <c r="O105" s="33">
        <f>39.8182615793197*((1+5%))</f>
        <v>41.809174658285691</v>
      </c>
      <c r="P105" s="33">
        <f>27.7769022068643*((1+5%))</f>
        <v>29.165747317207515</v>
      </c>
      <c r="Q105" s="33">
        <f>35.609751681047*((1+5%))</f>
        <v>37.390239265099353</v>
      </c>
      <c r="R105" s="33">
        <f>27.8714381583668*((1+5%))</f>
        <v>29.265010066285143</v>
      </c>
      <c r="S105" s="33">
        <f>35.5243837443197*((1+5%))</f>
        <v>37.300602931535686</v>
      </c>
      <c r="T105" s="33">
        <f>41.8756200673091*((1+5%))</f>
        <v>43.969401070674557</v>
      </c>
      <c r="U105" s="33">
        <f>32.1726966676284*((1+5%))</f>
        <v>33.781331501009824</v>
      </c>
      <c r="V105" s="33">
        <f>21.8418255723328*((1+5%))</f>
        <v>22.933916850949444</v>
      </c>
      <c r="W105" s="33">
        <f>20.3139702134139*((1+5%))</f>
        <v>21.329668724084595</v>
      </c>
      <c r="X105" s="33">
        <f>23.8494736330898*((1+5%))</f>
        <v>25.041947314744291</v>
      </c>
      <c r="Y105" s="33">
        <f>23.6180357458503*((1+5%))</f>
        <v>24.798937533142816</v>
      </c>
      <c r="Z105" s="33">
        <f>24.2565908563727*((1+5%))</f>
        <v>25.469420399191335</v>
      </c>
      <c r="AA105" s="33">
        <f>21.2623374843451*((1+5%))</f>
        <v>22.325454358562357</v>
      </c>
      <c r="AB105" s="33">
        <f>24.4465341958723*((1+5%))</f>
        <v>25.668860905665916</v>
      </c>
      <c r="AC105" s="33">
        <f>21.2590994594495*((1+5%))</f>
        <v>22.322054432421979</v>
      </c>
      <c r="AD105" s="34">
        <f>21.6000947518337*((1+5%))</f>
        <v>22.680099489425388</v>
      </c>
    </row>
    <row r="106" spans="1:30" ht="15.75" x14ac:dyDescent="0.25">
      <c r="B106" s="31">
        <v>0.251</v>
      </c>
      <c r="C106" s="31">
        <v>0.5</v>
      </c>
      <c r="D106" s="35">
        <f>17.4816952130573*((1+5%))</f>
        <v>18.355779973710167</v>
      </c>
      <c r="E106" s="36">
        <f>18.7075509146322*((1+5%))</f>
        <v>19.642928460363812</v>
      </c>
      <c r="F106" s="36">
        <f>17.3692031491378*((1+5%))</f>
        <v>18.23766330659469</v>
      </c>
      <c r="G106" s="36">
        <f>18.352598312518*((1+5%))</f>
        <v>19.270228228143903</v>
      </c>
      <c r="H106" s="36">
        <f>18.6559568453407*((1+5%))</f>
        <v>19.588754687607736</v>
      </c>
      <c r="I106" s="36">
        <f>19.0709073392195*((1+5%))</f>
        <v>20.024452706180476</v>
      </c>
      <c r="J106" s="36">
        <f>19.906159217702*((1+5%))</f>
        <v>20.901467178587101</v>
      </c>
      <c r="K106" s="36">
        <f>21.21585515946*((1+5%))</f>
        <v>22.276647917432999</v>
      </c>
      <c r="L106" s="36">
        <f>24.1313586697111*((1+5%))</f>
        <v>25.337926603196657</v>
      </c>
      <c r="M106" s="36">
        <f>25.4365589830316*((1+5%))</f>
        <v>26.708386932183181</v>
      </c>
      <c r="N106" s="36">
        <f>26.5451677871051*((1+5%))</f>
        <v>27.872426176460358</v>
      </c>
      <c r="O106" s="36">
        <f>40.5541277208838*((1+5%))</f>
        <v>42.581834106927992</v>
      </c>
      <c r="P106" s="36">
        <f>28.2939772212438*((1+5%))</f>
        <v>29.708676082305992</v>
      </c>
      <c r="Q106" s="36">
        <f>36.2991078615237*((1+5%))</f>
        <v>38.114063254599891</v>
      </c>
      <c r="R106" s="36">
        <f>28.3894609989674*((1+5%))</f>
        <v>29.808934048915773</v>
      </c>
      <c r="S106" s="36">
        <f>36.1468331746357*((1+5%))</f>
        <v>37.954174833367489</v>
      </c>
      <c r="T106" s="36">
        <f>42.5954719207245*((1+5%))</f>
        <v>44.725245516760729</v>
      </c>
      <c r="U106" s="36">
        <f>32.7942277589965*((1+5%))</f>
        <v>34.433939146946322</v>
      </c>
      <c r="V106" s="36">
        <f>23.9749960462343*((1+5%))</f>
        <v>25.173745848546016</v>
      </c>
      <c r="W106" s="36">
        <f>22.414463929746*((1+5%))</f>
        <v>23.5351871262333</v>
      </c>
      <c r="X106" s="36">
        <f>26.148908003583*((1+5%))</f>
        <v>27.456353403762151</v>
      </c>
      <c r="Y106" s="36">
        <f>25.9837962389901*((1+5%))</f>
        <v>27.282986050939606</v>
      </c>
      <c r="Z106" s="36">
        <f>26.6527190073335*((1+5%))</f>
        <v>27.985354957700174</v>
      </c>
      <c r="AA106" s="36">
        <f>23.4261116925122*((1+5%))</f>
        <v>24.597417277137811</v>
      </c>
      <c r="AB106" s="36">
        <f>27.5297883845154*((1+5%))</f>
        <v>28.906277803741169</v>
      </c>
      <c r="AC106" s="36">
        <f>23.4303044032248*((1+5%))</f>
        <v>24.601819623386039</v>
      </c>
      <c r="AD106" s="37">
        <f>23.7863870628323*((1+5%))</f>
        <v>24.975706415973917</v>
      </c>
    </row>
    <row r="107" spans="1:30" ht="15.75" x14ac:dyDescent="0.25">
      <c r="B107" s="31">
        <v>0.501</v>
      </c>
      <c r="C107" s="31">
        <v>0.75</v>
      </c>
      <c r="D107" s="38">
        <f>17.5284145775579*((1+5%))</f>
        <v>18.404835306435796</v>
      </c>
      <c r="E107" s="39">
        <f>18.3450038750453*((1+5%))</f>
        <v>19.262254068797567</v>
      </c>
      <c r="F107" s="39">
        <f>17.6067897231536*((1+5%))</f>
        <v>18.487129209311281</v>
      </c>
      <c r="G107" s="39">
        <f>18.6030343496095*((1+5%))</f>
        <v>19.533186067089979</v>
      </c>
      <c r="H107" s="39">
        <f>18.9449636439409*((1+5%))</f>
        <v>19.892211826137945</v>
      </c>
      <c r="I107" s="39">
        <f>19.8810467890409*((1+5%))</f>
        <v>20.875099128492948</v>
      </c>
      <c r="J107" s="39">
        <f>20.7520895541631*((1+5%))</f>
        <v>21.789694031871257</v>
      </c>
      <c r="K107" s="39">
        <f>21.5235379681619*((1+5%))</f>
        <v>22.599714866569997</v>
      </c>
      <c r="L107" s="39">
        <f>25.465833765545*((1+5%))</f>
        <v>26.73912545382225</v>
      </c>
      <c r="M107" s="39">
        <f>27.7158867823793*((1+5%))</f>
        <v>29.101681121498267</v>
      </c>
      <c r="N107" s="39">
        <f>28.6807283213966*((1+5%))</f>
        <v>30.11476473746643</v>
      </c>
      <c r="O107" s="39">
        <f>41.1474574459227*((1+5%))</f>
        <v>43.204830318218832</v>
      </c>
      <c r="P107" s="39">
        <f>28.7129831929475*((1+5%))</f>
        <v>30.148632352594877</v>
      </c>
      <c r="Q107" s="39">
        <f>36.8739422746542*((1+5%))</f>
        <v>38.717639388386907</v>
      </c>
      <c r="R107" s="39">
        <f>28.8087851115402*((1+5%))</f>
        <v>30.249224367117211</v>
      </c>
      <c r="S107" s="39">
        <f>36.6297030429823*((1+5%))</f>
        <v>38.461188195131413</v>
      </c>
      <c r="T107" s="39">
        <f>43.2094416530285*((1+5%))</f>
        <v>45.369913735679923</v>
      </c>
      <c r="U107" s="39">
        <f>34.0145757723095*((1+5%))</f>
        <v>35.715304560924977</v>
      </c>
      <c r="V107" s="39">
        <f>26.3254195612798*((1+5%))</f>
        <v>27.641690539343791</v>
      </c>
      <c r="W107" s="39">
        <f>24.7327128528197*((1+5%))</f>
        <v>25.969348495460686</v>
      </c>
      <c r="X107" s="39">
        <f>28.673001495366*((1+5%))</f>
        <v>30.106651570134304</v>
      </c>
      <c r="Y107" s="39">
        <f>28.5924408453494*((1+5%))</f>
        <v>30.022062887616872</v>
      </c>
      <c r="Z107" s="39">
        <f>29.2937724960019*((1+5%))</f>
        <v>30.758461120801996</v>
      </c>
      <c r="AA107" s="39">
        <f>25.8131216076452*((1+5%))</f>
        <v>27.103777688027463</v>
      </c>
      <c r="AB107" s="39">
        <f>30.5603796065646*((1+5%))</f>
        <v>32.088398586892829</v>
      </c>
      <c r="AC107" s="39">
        <f>25.8257564448072*((1+5%))</f>
        <v>27.117044267047561</v>
      </c>
      <c r="AD107" s="40">
        <f>26.1978643805311*((1+5%))</f>
        <v>27.507757599557657</v>
      </c>
    </row>
    <row r="108" spans="1:30" ht="15.75" x14ac:dyDescent="0.25">
      <c r="B108" s="31">
        <v>0.751</v>
      </c>
      <c r="C108" s="31">
        <v>1</v>
      </c>
      <c r="D108" s="35">
        <f>18.202496199012*((1+5%))</f>
        <v>19.112621008962602</v>
      </c>
      <c r="E108" s="36">
        <f>19.0499408064829*((1+5%))</f>
        <v>20.002437846807048</v>
      </c>
      <c r="F108" s="36">
        <f>18.2871939018761*((1+5%))</f>
        <v>19.201553596969909</v>
      </c>
      <c r="G108" s="36">
        <f>19.3222154708977*((1+5%))</f>
        <v>20.288326244442587</v>
      </c>
      <c r="H108" s="36">
        <f>19.661483548635*((1+5%))</f>
        <v>20.644557726066751</v>
      </c>
      <c r="I108" s="36">
        <f>20.6984287485204*((1+5%))</f>
        <v>21.733350185946421</v>
      </c>
      <c r="J108" s="36">
        <f>21.605564171518*((1+5%))</f>
        <v>22.685842380093902</v>
      </c>
      <c r="K108" s="36">
        <f>22.3472412234831*((1+5%))</f>
        <v>23.464603284657255</v>
      </c>
      <c r="L108" s="36">
        <f>26.5890756732107*((1+5%))</f>
        <v>27.918529456871237</v>
      </c>
      <c r="M108" s="36">
        <f>27.9541698310765*((1+5%))</f>
        <v>29.351878322630323</v>
      </c>
      <c r="N108" s="36">
        <f>28.9420035940909*((1+5%))</f>
        <v>30.389103773795444</v>
      </c>
      <c r="O108" s="36">
        <f>41.8447991757046*((1+5%))</f>
        <v>43.937039134489837</v>
      </c>
      <c r="P108" s="36">
        <f>29.2040584470205*((1+5%))</f>
        <v>30.664261369371527</v>
      </c>
      <c r="Q108" s="36">
        <f>37.5369530690638*((1+5%))</f>
        <v>39.413800722516989</v>
      </c>
      <c r="R108" s="36">
        <f>29.30052986198*((1+5%))</f>
        <v>30.765556355078999</v>
      </c>
      <c r="S108" s="36">
        <f>37.2098184615349*((1+5%))</f>
        <v>39.070309384611647</v>
      </c>
      <c r="T108" s="36">
        <f>43.908809557855*((1+5%))</f>
        <v>46.104250035747754</v>
      </c>
      <c r="U108" s="36">
        <f>36.0399355365238*((1+5%))</f>
        <v>37.841932313349993</v>
      </c>
      <c r="V108" s="36">
        <f>28.3146462608844*((1+5%))</f>
        <v>29.730378573928618</v>
      </c>
      <c r="W108" s="36">
        <f>26.6844309667171*((1+5%))</f>
        <v>28.018652515052953</v>
      </c>
      <c r="X108" s="36">
        <f>30.8429312872578*((1+5%))</f>
        <v>32.385077851620693</v>
      </c>
      <c r="Y108" s="36">
        <f>30.7949931091936*((1+5%))</f>
        <v>32.334742764653285</v>
      </c>
      <c r="Z108" s="36">
        <f>31.5265752217194*((1+5%))</f>
        <v>33.102903982805373</v>
      </c>
      <c r="AA108" s="36">
        <f>27.8256217761905*((1+5%))</f>
        <v>29.216902865000023</v>
      </c>
      <c r="AB108" s="36">
        <f>33.63563799561*((1+5%))</f>
        <v>35.317419895390501</v>
      </c>
      <c r="AC108" s="36">
        <f>27.8447181625187*((1+5%))</f>
        <v>29.236954070644636</v>
      </c>
      <c r="AD108" s="37">
        <f>28.2319952720469*((1+5%))</f>
        <v>29.643595035649245</v>
      </c>
    </row>
    <row r="109" spans="1:30" ht="15.75" x14ac:dyDescent="0.25">
      <c r="B109" s="41">
        <v>1.01</v>
      </c>
      <c r="C109" s="41">
        <v>2</v>
      </c>
      <c r="D109" s="38">
        <f>19.3826371735992*((1+5%))</f>
        <v>20.351769032279162</v>
      </c>
      <c r="E109" s="39">
        <f>21.0756203882883*((1+5%))</f>
        <v>22.129401407702716</v>
      </c>
      <c r="F109" s="39">
        <f>19.5831861741485*((1+5%))</f>
        <v>20.562345482855928</v>
      </c>
      <c r="G109" s="39">
        <f>20.6930400684951*((1+5%))</f>
        <v>21.727692071919858</v>
      </c>
      <c r="H109" s="39">
        <f>20.9716421124144*((1+5%))</f>
        <v>22.020224218035121</v>
      </c>
      <c r="I109" s="39">
        <f>22.7252910650649*((1+5%))</f>
        <v>23.861555618318146</v>
      </c>
      <c r="J109" s="39">
        <f>23.9424911624521*((1+5%))</f>
        <v>25.139615720574707</v>
      </c>
      <c r="K109" s="39">
        <f>23.8255436676393*((1+5%))</f>
        <v>25.016820851021269</v>
      </c>
      <c r="L109" s="39">
        <f>28.1592759107166*((1+5%))</f>
        <v>29.567239706252433</v>
      </c>
      <c r="M109" s="39">
        <f>30.2618548442386*((1+5%))</f>
        <v>31.77494758645053</v>
      </c>
      <c r="N109" s="39">
        <f>31.2872310744892*((1+5%))</f>
        <v>32.851592628213659</v>
      </c>
      <c r="O109" s="39">
        <f>53.7613698022567*((1+5%))</f>
        <v>56.449438292369543</v>
      </c>
      <c r="P109" s="39">
        <f>37.4372087989815*((1+5%))</f>
        <v>39.309069238930576</v>
      </c>
      <c r="Q109" s="39">
        <f>47.573647620358*((1+5%))</f>
        <v>49.952330001375906</v>
      </c>
      <c r="R109" s="39">
        <f>37.5790133085324*((1+5%))</f>
        <v>39.457963973959025</v>
      </c>
      <c r="S109" s="39">
        <f>48.5676038512315*((1+5%))</f>
        <v>50.995984043793079</v>
      </c>
      <c r="T109" s="39">
        <f>53.3921022377985*((1+5%))</f>
        <v>56.061707349688426</v>
      </c>
      <c r="U109" s="39">
        <f>41.0105778199225*((1+5%))</f>
        <v>43.061106710918629</v>
      </c>
      <c r="V109" s="39">
        <f>34.4605621117426*((1+5%))</f>
        <v>36.18359021732973</v>
      </c>
      <c r="W109" s="39">
        <f>32.8326298392763*((1+5%))</f>
        <v>34.474261331240115</v>
      </c>
      <c r="X109" s="39">
        <f>37.5518731534504*((1+5%))</f>
        <v>39.429466811122921</v>
      </c>
      <c r="Y109" s="39">
        <f>37.659943524054*((1+5%))</f>
        <v>39.5429407002567</v>
      </c>
      <c r="Z109" s="39">
        <f>38.452543704027*((1+5%))</f>
        <v>40.37517088922835</v>
      </c>
      <c r="AA109" s="39">
        <f>34.1318614497421*((1+5%))</f>
        <v>35.838454522229206</v>
      </c>
      <c r="AB109" s="39">
        <f>39.9038131506016*((1+5%))</f>
        <v>41.899003808131681</v>
      </c>
      <c r="AC109" s="39">
        <f>34.1787767131219*((1+5%))</f>
        <v>35.887715548777997</v>
      </c>
      <c r="AD109" s="40">
        <f>34.5944501103136*((1+5%))</f>
        <v>36.324172615829283</v>
      </c>
    </row>
    <row r="110" spans="1:30" ht="15.75" x14ac:dyDescent="0.25">
      <c r="B110" s="41">
        <v>2.0099999999999998</v>
      </c>
      <c r="C110" s="41">
        <v>3</v>
      </c>
      <c r="D110" s="35">
        <f>18.9675194692276*((1+5%))</f>
        <v>19.915895442688981</v>
      </c>
      <c r="E110" s="36">
        <f>22.6223836624748*((1+5%))</f>
        <v>23.75350284559854</v>
      </c>
      <c r="F110" s="36">
        <f>21.3256930390484*((1+5%))</f>
        <v>22.391977691000822</v>
      </c>
      <c r="G110" s="36">
        <f>22.5338800267529*((1+5%))</f>
        <v>23.660574028090547</v>
      </c>
      <c r="H110" s="36">
        <f>22.8613673711716*((1+5%))</f>
        <v>24.00443573973018</v>
      </c>
      <c r="I110" s="36">
        <f>25.3328815328896*((1+5%))</f>
        <v>26.599525609534084</v>
      </c>
      <c r="J110" s="36">
        <f>27.0772635819433*((1+5%))</f>
        <v>28.431126761040467</v>
      </c>
      <c r="K110" s="36">
        <f>26.238620031958*((1+5%))</f>
        <v>27.550551033555902</v>
      </c>
      <c r="L110" s="36">
        <f>31.2079278721462*((1+5%))</f>
        <v>32.768324265753513</v>
      </c>
      <c r="M110" s="36">
        <f>33.1427293216208*((1+5%))</f>
        <v>34.79986578770184</v>
      </c>
      <c r="N110" s="36">
        <f>34.2609557744269*((1+5%))</f>
        <v>35.974003563148244</v>
      </c>
      <c r="O110" s="36">
        <f>67.0767301711139*((1+5%))</f>
        <v>70.430566679669596</v>
      </c>
      <c r="P110" s="36">
        <f>46.6593488034681*((1+5%))</f>
        <v>48.992316243641504</v>
      </c>
      <c r="Q110" s="36">
        <f>58.9762027291953*((1+5%))</f>
        <v>61.92501286565507</v>
      </c>
      <c r="R110" s="36">
        <f>46.8469858986176*((1+5%))</f>
        <v>49.189335193548487</v>
      </c>
      <c r="S110" s="36">
        <f>61.0530896865284*((1+5%))</f>
        <v>64.10574417085482</v>
      </c>
      <c r="T110" s="36">
        <f>64.3416876355757*((1+5%))</f>
        <v>67.558772017354485</v>
      </c>
      <c r="U110" s="36">
        <f>47.32691652468*((1+5%))</f>
        <v>49.693262350914004</v>
      </c>
      <c r="V110" s="36">
        <f>41.4502957706757*((1+5%))</f>
        <v>43.522810559209489</v>
      </c>
      <c r="W110" s="36">
        <f>39.6950070454404*((1+5%))</f>
        <v>41.679757397712422</v>
      </c>
      <c r="X110" s="36">
        <f>45.1767379256386*((1+5%))</f>
        <v>47.435574821920532</v>
      </c>
      <c r="Y110" s="36">
        <f>45.4015121441512*((1+5%))</f>
        <v>47.671587751358757</v>
      </c>
      <c r="Z110" s="36">
        <f>46.2991869377222*((1+5%))</f>
        <v>48.61414628460831</v>
      </c>
      <c r="AA110" s="36">
        <f>41.2066961909175*((1+5%))</f>
        <v>43.267031000463376</v>
      </c>
      <c r="AB110" s="36">
        <f>47.0164362352302*((1+5%))</f>
        <v>49.367258046991715</v>
      </c>
      <c r="AC110" s="36">
        <f>41.2766112236163*((1+5%))</f>
        <v>43.340441784797115</v>
      </c>
      <c r="AD110" s="37">
        <f>41.7448918310447*((1+5%))</f>
        <v>43.832136422596932</v>
      </c>
    </row>
    <row r="111" spans="1:30" ht="15.75" x14ac:dyDescent="0.25">
      <c r="B111" s="41">
        <v>3.01</v>
      </c>
      <c r="C111" s="41">
        <v>4</v>
      </c>
      <c r="D111" s="38">
        <f>20.580902641744*((1+5%))</f>
        <v>21.609947773831202</v>
      </c>
      <c r="E111" s="39">
        <f>24.5479460270373*((1+5%))</f>
        <v>25.77534332838917</v>
      </c>
      <c r="F111" s="39">
        <f>23.131987702895*((1+5%))</f>
        <v>24.288587088039751</v>
      </c>
      <c r="G111" s="39">
        <f>24.4418650365336*((1+5%))</f>
        <v>25.663958288360281</v>
      </c>
      <c r="H111" s="39">
        <f>24.8338878720684*((1+5%))</f>
        <v>26.075582265671819</v>
      </c>
      <c r="I111" s="39">
        <f>28.023433165183*((1+5%))</f>
        <v>29.424604823442152</v>
      </c>
      <c r="J111" s="39">
        <f>30.2984538810892*((1+5%))</f>
        <v>31.813376575143661</v>
      </c>
      <c r="K111" s="39">
        <f>30.0377340011348*((1+5%))</f>
        <v>31.539620701191541</v>
      </c>
      <c r="L111" s="39">
        <f>34.3491420161294*((1+5%))</f>
        <v>36.066599116935869</v>
      </c>
      <c r="M111" s="39">
        <f>36.4653057398995*((1+5%))</f>
        <v>38.288571026894473</v>
      </c>
      <c r="N111" s="39">
        <f>37.6981226666919*((1+5%))</f>
        <v>39.583028800026497</v>
      </c>
      <c r="O111" s="39">
        <f>80.5259718104197*((1+5%))</f>
        <v>84.552270400940699</v>
      </c>
      <c r="P111" s="39">
        <f>55.9772674688337*((1+5%))</f>
        <v>58.776130842275393</v>
      </c>
      <c r="Q111" s="39">
        <f>70.5196854911365*((1+5%))</f>
        <v>74.045669765693333</v>
      </c>
      <c r="R111" s="39">
        <f>56.2105455922602*((1+5%))</f>
        <v>59.021072871873216</v>
      </c>
      <c r="S111" s="39">
        <f>73.6363088492529*((1+5%))</f>
        <v>77.318124291715549</v>
      </c>
      <c r="T111" s="39">
        <f>75.4496187109977*((1+5%))</f>
        <v>79.222099646547591</v>
      </c>
      <c r="U111" s="39">
        <f>53.8019182330897*((1+5%))</f>
        <v>56.492014144744189</v>
      </c>
      <c r="V111" s="39">
        <f>48.5341512224096*((1+5%))</f>
        <v>50.960858783530078</v>
      </c>
      <c r="W111" s="39">
        <f>46.6327218833975*((1+5%))</f>
        <v>48.964357977567381</v>
      </c>
      <c r="X111" s="39">
        <f>52.9035943835086*((1+5%))</f>
        <v>55.548774102684028</v>
      </c>
      <c r="Y111" s="39">
        <f>53.2386678678056*((1+5%))</f>
        <v>55.900601261195888</v>
      </c>
      <c r="Z111" s="39">
        <f>54.2475185794569*((1+5%))</f>
        <v>56.959894508429748</v>
      </c>
      <c r="AA111" s="39">
        <f>48.3640269613388*((1+5%))</f>
        <v>50.782228309405745</v>
      </c>
      <c r="AB111" s="39">
        <f>54.2236905523804*((1+5%))</f>
        <v>56.934875079999422</v>
      </c>
      <c r="AC111" s="39">
        <f>48.4561168030642*((1+5%))</f>
        <v>50.878922643217408</v>
      </c>
      <c r="AD111" s="40">
        <f>48.9803810046066*((1+5%))</f>
        <v>51.429400054836933</v>
      </c>
    </row>
    <row r="112" spans="1:30" ht="15.75" x14ac:dyDescent="0.25">
      <c r="B112" s="41">
        <v>4.01</v>
      </c>
      <c r="C112" s="41">
        <v>5</v>
      </c>
      <c r="D112" s="35">
        <f>22.2596873677631*((1+5%))</f>
        <v>23.372671736151254</v>
      </c>
      <c r="E112" s="36">
        <f>26.5393263611947*((1+5%))</f>
        <v>27.866292679254435</v>
      </c>
      <c r="F112" s="36">
        <f>23.9212719352431*((1+5%))</f>
        <v>25.117335532005256</v>
      </c>
      <c r="G112" s="36">
        <f>25.8833497589338*((1+5%))</f>
        <v>27.177517246880491</v>
      </c>
      <c r="H112" s="36">
        <f>26.8974831393188*((1+5%))</f>
        <v>28.242357296284741</v>
      </c>
      <c r="I112" s="36">
        <f>30.8052420783918*((1+5%))</f>
        <v>32.345504182311387</v>
      </c>
      <c r="J112" s="36">
        <f>33.6147038478555*((1+5%))</f>
        <v>35.295439040248276</v>
      </c>
      <c r="K112" s="36">
        <f>33.7995396958045*((1+5%))</f>
        <v>35.489516680594726</v>
      </c>
      <c r="L112" s="36">
        <f>37.5921745609217*((1+5%))</f>
        <v>39.471783288967785</v>
      </c>
      <c r="M112" s="36">
        <f>39.5319762000755*((1+5%))</f>
        <v>41.508575010079277</v>
      </c>
      <c r="N112" s="36">
        <f>40.8742356760193*((1+5%))</f>
        <v>42.917947459820269</v>
      </c>
      <c r="O112" s="36">
        <f>94.1224828472191*((1+5%))</f>
        <v>98.828606989580067</v>
      </c>
      <c r="P112" s="36">
        <f>65.4005426611662*((1+5%))</f>
        <v>68.670569794224505</v>
      </c>
      <c r="Q112" s="36">
        <f>82.218188671492*((1+5%))</f>
        <v>86.329098105066606</v>
      </c>
      <c r="R112" s="36">
        <f>65.6792510998156*((1+5%))</f>
        <v>68.963213654806381</v>
      </c>
      <c r="S112" s="36">
        <f>86.3270346721477*((1+5%))</f>
        <v>90.643386405755095</v>
      </c>
      <c r="T112" s="36">
        <f>86.7317300318289*((1+5%))</f>
        <v>91.068316533420358</v>
      </c>
      <c r="U112" s="36">
        <f>60.5306143244076*((1+5%))</f>
        <v>63.557145040627987</v>
      </c>
      <c r="V112" s="36">
        <f>55.7215406462245*((1+5%))</f>
        <v>58.507617678535723</v>
      </c>
      <c r="W112" s="36">
        <f>53.6533081163269*((1+5%))</f>
        <v>56.335973522143242</v>
      </c>
      <c r="X112" s="36">
        <f>60.7426416956286*((1+5%))</f>
        <v>63.779773780410032</v>
      </c>
      <c r="Y112" s="36">
        <f>61.1809694053729*((1+5%))</f>
        <v>64.240017875641541</v>
      </c>
      <c r="Z112" s="36">
        <f>62.3077074700352*((1+5%))</f>
        <v>65.423092843536963</v>
      </c>
      <c r="AA112" s="36">
        <f>55.6121033639306*((1+5%))</f>
        <v>58.392708532127131</v>
      </c>
      <c r="AB112" s="36">
        <f>61.5350392253044*((1+5%))</f>
        <v>64.611791186569619</v>
      </c>
      <c r="AC112" s="36">
        <f>55.7254605583608*((1+5%))</f>
        <v>58.511733586278844</v>
      </c>
      <c r="AD112" s="37">
        <f>56.3094223762825*((1+5%))</f>
        <v>59.124893495096629</v>
      </c>
    </row>
    <row r="113" spans="2:30" ht="15.75" x14ac:dyDescent="0.25">
      <c r="B113" s="41">
        <v>5.01</v>
      </c>
      <c r="C113" s="41">
        <v>6</v>
      </c>
      <c r="D113" s="38">
        <f>25.1722160102154*((1+5%))</f>
        <v>26.43082681072617</v>
      </c>
      <c r="E113" s="39">
        <f>30.4096451889375*((1+5%))</f>
        <v>31.930127448384376</v>
      </c>
      <c r="F113" s="39">
        <f>27.6563014202732*((1+5%))</f>
        <v>29.039116491286858</v>
      </c>
      <c r="G113" s="39">
        <f>30.0065540879627*((1+5%))</f>
        <v>31.506881792360836</v>
      </c>
      <c r="H113" s="39">
        <f>30.7417004355533*((1+5%))</f>
        <v>32.278785457330969</v>
      </c>
      <c r="I113" s="39">
        <f>35.3085409124007*((1+5%))</f>
        <v>37.073967958020738</v>
      </c>
      <c r="J113" s="39">
        <f>38.7241724821219*((1+5%))</f>
        <v>40.660381106227995</v>
      </c>
      <c r="K113" s="39">
        <f>39.9869551535266*((1+5%))</f>
        <v>41.986302911202934</v>
      </c>
      <c r="L113" s="39">
        <f>42.7559234473189*((1+5%))</f>
        <v>44.893719619684845</v>
      </c>
      <c r="M113" s="39">
        <f>44.5053763176056*((1+5%))</f>
        <v>46.730645133485886</v>
      </c>
      <c r="N113" s="39">
        <f>46.1487089766757*((1+5%))</f>
        <v>48.456144425509486</v>
      </c>
      <c r="O113" s="39">
        <f>110.497104089409*((1+5%))</f>
        <v>116.02195929387946</v>
      </c>
      <c r="P113" s="39">
        <f>76.8112778944348*((1+5%))</f>
        <v>80.651841789156535</v>
      </c>
      <c r="Q113" s="39">
        <f>96.841018383837*((1+5%))</f>
        <v>101.68306930302884</v>
      </c>
      <c r="R113" s="39">
        <f>77.1314417282254*((1+5%))</f>
        <v>80.988013814636673</v>
      </c>
      <c r="S113" s="39">
        <f>101.045780944977*((1+5%))</f>
        <v>106.09806999222585</v>
      </c>
      <c r="T113" s="39">
        <f>101.299601500963*((1+5%))</f>
        <v>106.36458157601116</v>
      </c>
      <c r="U113" s="39">
        <f>71.683778489504*((1+5%))</f>
        <v>75.267967413979193</v>
      </c>
      <c r="V113" s="39">
        <f>64.8620091844919*((1+5%))</f>
        <v>68.105109643716489</v>
      </c>
      <c r="W113" s="39">
        <f>62.2371917622007*((1+5%))</f>
        <v>65.349051350310745</v>
      </c>
      <c r="X113" s="39">
        <f>70.6980727401997*((1+5%))</f>
        <v>74.232976377209695</v>
      </c>
      <c r="Y113" s="39">
        <f>71.1067560637945*((1+5%))</f>
        <v>74.662093866984236</v>
      </c>
      <c r="Z113" s="39">
        <f>72.4779869147137*((1+5%))</f>
        <v>76.10188626044939</v>
      </c>
      <c r="AA113" s="39">
        <f>64.5720178749009*((1+5%))</f>
        <v>67.800618768645947</v>
      </c>
      <c r="AB113" s="39">
        <f>70.8100381678742*((1+5%))</f>
        <v>74.350540076267905</v>
      </c>
      <c r="AC113" s="39">
        <f>64.6895240409522*((1+5%))</f>
        <v>67.92400024299981</v>
      </c>
      <c r="AD113" s="40">
        <f>65.4032453029877*((1+5%))</f>
        <v>68.673407568137094</v>
      </c>
    </row>
    <row r="114" spans="2:30" ht="15.75" x14ac:dyDescent="0.25">
      <c r="B114" s="41">
        <v>6.01</v>
      </c>
      <c r="C114" s="41">
        <v>7</v>
      </c>
      <c r="D114" s="35">
        <f>26.628351148965*((1+5%))</f>
        <v>27.95976870641325</v>
      </c>
      <c r="E114" s="36">
        <f>32.4225549551133*((1+5%))</f>
        <v>34.043682702868963</v>
      </c>
      <c r="F114" s="36">
        <f>29.7326200355065*((1+5%))</f>
        <v>31.219251037281825</v>
      </c>
      <c r="G114" s="36">
        <f>32.6904924975044*((1+5%))</f>
        <v>34.32501712237962</v>
      </c>
      <c r="H114" s="36">
        <f>32.5989950767127*((1+5%))</f>
        <v>34.228944830548336</v>
      </c>
      <c r="I114" s="36">
        <f>37.6545528114911*((1+5%))</f>
        <v>39.537280452065659</v>
      </c>
      <c r="J114" s="36">
        <f>42.0433045402459*((1+5%))</f>
        <v>44.145469767258199</v>
      </c>
      <c r="K114" s="36">
        <f>42.6450289629206*((1+5%))</f>
        <v>44.777280411066627</v>
      </c>
      <c r="L114" s="36">
        <f>45.5127245965474*((1+5%))</f>
        <v>47.78836082637477</v>
      </c>
      <c r="M114" s="36">
        <f>47.2664593277599*((1+5%))</f>
        <v>49.629782294147894</v>
      </c>
      <c r="N114" s="36">
        <f>48.991568967584*((1+5%))</f>
        <v>51.441147415963201</v>
      </c>
      <c r="O114" s="36">
        <f>123.390333557276*((1+5%))</f>
        <v>129.55985023513981</v>
      </c>
      <c r="P114" s="36">
        <f>85.7314254523533*((1+5%))</f>
        <v>90.01799672497097</v>
      </c>
      <c r="Q114" s="36">
        <f>107.799225175843*((1+5%))</f>
        <v>113.18918643463516</v>
      </c>
      <c r="R114" s="36">
        <f>86.0980258566358*((1+5%))</f>
        <v>90.402927149467601</v>
      </c>
      <c r="S114" s="36">
        <f>113.223111222552*((1+5%))</f>
        <v>118.88426678367961</v>
      </c>
      <c r="T114" s="36">
        <f>111.74991912702*((1+5%))</f>
        <v>117.337415083371</v>
      </c>
      <c r="U114" s="36">
        <f>78.7111372006147*((1+5%))</f>
        <v>82.646694060645444</v>
      </c>
      <c r="V114" s="36">
        <f>71.5549745421933*((1+5%))</f>
        <v>75.132723269302971</v>
      </c>
      <c r="W114" s="36">
        <f>68.8620275835195*((1+5%))</f>
        <v>72.305128962695491</v>
      </c>
      <c r="X114" s="36">
        <f>78.0013552475497*((1+5%))</f>
        <v>81.901423009927186</v>
      </c>
      <c r="Y114" s="36">
        <f>78.5469362222168*((1+5%))</f>
        <v>82.474283033327637</v>
      </c>
      <c r="Z114" s="36">
        <f>80.0040041253505*((1+5%))</f>
        <v>84.004204331618041</v>
      </c>
      <c r="AA114" s="36">
        <f>71.3867406300088*((1+5%))</f>
        <v>74.956077661509241</v>
      </c>
      <c r="AB114" s="36">
        <f>77.6242866754445*((1+5%))</f>
        <v>81.505501009216729</v>
      </c>
      <c r="AC114" s="36">
        <f>71.5298476852397*((1+5%))</f>
        <v>75.106340069501684</v>
      </c>
      <c r="AD114" s="37">
        <f>72.2855303370513*((1+5%))</f>
        <v>75.899806853903868</v>
      </c>
    </row>
    <row r="115" spans="2:30" ht="15.75" x14ac:dyDescent="0.25">
      <c r="B115" s="41">
        <v>7.01</v>
      </c>
      <c r="C115" s="41">
        <v>8</v>
      </c>
      <c r="D115" s="38">
        <f>28.3549540425436*((1+5%))</f>
        <v>29.77270174467078</v>
      </c>
      <c r="E115" s="39">
        <f>34.5296300553312*((1+5%))</f>
        <v>36.256111558097757</v>
      </c>
      <c r="F115" s="39">
        <f>31.8930305540075*((1+5%))</f>
        <v>33.487682081707874</v>
      </c>
      <c r="G115" s="39">
        <f>35.4629486999596*((1+5%))</f>
        <v>37.236096134957577</v>
      </c>
      <c r="H115" s="39">
        <f>34.5654392669708*((1+5%))</f>
        <v>36.293711230319339</v>
      </c>
      <c r="I115" s="39">
        <f>40.1099329962515*((1+5%))</f>
        <v>42.115429646064079</v>
      </c>
      <c r="J115" s="39">
        <f>45.5257762636501*((1+5%))</f>
        <v>47.802065076832605</v>
      </c>
      <c r="K115" s="39">
        <f>46.7268884641158*((1+5%))</f>
        <v>49.063232887321597</v>
      </c>
      <c r="L115" s="39">
        <f>48.3915511210053*((1+5%))</f>
        <v>50.811128677055564</v>
      </c>
      <c r="M115" s="39">
        <f>50.2600431576074*((1+5%))</f>
        <v>52.773045315487771</v>
      </c>
      <c r="N115" s="39">
        <f>52.0496675771594*((1+5%))</f>
        <v>54.652150956017373</v>
      </c>
      <c r="O115" s="39">
        <f>136.460059644087*((1+5%))</f>
        <v>143.28306262629135</v>
      </c>
      <c r="P115" s="39">
        <f>94.7778386914638*((1+5%))</f>
        <v>99.516730626036988</v>
      </c>
      <c r="Q115" s="39">
        <f>118.943217882526*((1+5%))</f>
        <v>124.8903787766523</v>
      </c>
      <c r="R115" s="39">
        <f>95.1906231348756*((1+5%))</f>
        <v>99.950154291619384</v>
      </c>
      <c r="S115" s="39">
        <f>125.529284031955*((1+5%))</f>
        <v>131.80574823355275</v>
      </c>
      <c r="T115" s="39">
        <f>122.408984971814*((1+5%))</f>
        <v>128.52943422040471</v>
      </c>
      <c r="U115" s="39">
        <f>85.9476624635673*((1+5%))</f>
        <v>90.245045586745661</v>
      </c>
      <c r="V115" s="39">
        <f>78.3720213202647*((1+5%))</f>
        <v>82.290622386277931</v>
      </c>
      <c r="W115" s="39">
        <f>75.5861815338498*((1+5%))</f>
        <v>79.365490610542295</v>
      </c>
      <c r="X115" s="39">
        <f>85.4390941103168*((1+5%))</f>
        <v>89.71104881583264</v>
      </c>
      <c r="Y115" s="39">
        <f>86.1131295304685*((1+5%))</f>
        <v>90.418786006991922</v>
      </c>
      <c r="Z115" s="39">
        <f>87.664077878359*((1+5%))</f>
        <v>92.047281772276946</v>
      </c>
      <c r="AA115" s="39">
        <f>78.3102184797564*((1+5%))</f>
        <v>82.225729403744225</v>
      </c>
      <c r="AB115" s="39">
        <f>84.8122673283402*((1+5%))</f>
        <v>89.052880694757206</v>
      </c>
      <c r="AC115" s="39">
        <f>78.4778388732206*((1+5%))</f>
        <v>82.401730816881638</v>
      </c>
      <c r="AD115" s="40">
        <f>79.2799340253826*((1+5%))</f>
        <v>83.24393072665174</v>
      </c>
    </row>
    <row r="116" spans="2:30" ht="15.75" x14ac:dyDescent="0.25">
      <c r="B116" s="41">
        <v>8.01</v>
      </c>
      <c r="C116" s="41">
        <v>9</v>
      </c>
      <c r="D116" s="35">
        <f>31.0374780469676*((1+5%))</f>
        <v>32.589351949315983</v>
      </c>
      <c r="E116" s="36">
        <f>37.794627096684*((1+5%))</f>
        <v>39.684358451518207</v>
      </c>
      <c r="F116" s="36">
        <f>34.6930173056831*((1+5%))</f>
        <v>36.427668170967259</v>
      </c>
      <c r="G116" s="36">
        <f>38.9086430425984*((1+5%))</f>
        <v>40.854075194728324</v>
      </c>
      <c r="H116" s="36">
        <f>37.3620401637905*((1+5%))</f>
        <v>39.230142171980027</v>
      </c>
      <c r="I116" s="36">
        <f>43.397133528268*((1+5%))</f>
        <v>45.566990204681403</v>
      </c>
      <c r="J116" s="36">
        <f>49.874727515446*((1+5%))</f>
        <v>52.368463891218298</v>
      </c>
      <c r="K116" s="36">
        <f>50.3526400340498*((1+5%))</f>
        <v>52.870272035752294</v>
      </c>
      <c r="L116" s="36">
        <f>52.1984637846559*((1+5%))</f>
        <v>54.808386973888695</v>
      </c>
      <c r="M116" s="36">
        <f>54.0469708225746*((1+5%))</f>
        <v>56.749319363703336</v>
      </c>
      <c r="N116" s="36">
        <f>56.0080097417516*((1+5%))</f>
        <v>58.808410228839179</v>
      </c>
      <c r="O116" s="36">
        <f>150.872162800807*((1+5%))</f>
        <v>158.41577094084735</v>
      </c>
      <c r="P116" s="36">
        <f>104.784588486388*((1+5%))</f>
        <v>110.02381791070741</v>
      </c>
      <c r="Q116" s="36">
        <f>131.500239083851*((1+5%))</f>
        <v>138.07525103804355</v>
      </c>
      <c r="R116" s="36">
        <f>105.241636295817*((1+5%))</f>
        <v>110.50371811060786</v>
      </c>
      <c r="S116" s="36">
        <f>138.815392102392*((1+5%))</f>
        <v>145.75616170751161</v>
      </c>
      <c r="T116" s="36">
        <f>134.655723282499*((1+5%))</f>
        <v>141.38850944662394</v>
      </c>
      <c r="U116" s="36">
        <f>94.7750419007585*((1+5%))</f>
        <v>99.513793995796419</v>
      </c>
      <c r="V116" s="36">
        <f>86.1327918620206*((1+5%))</f>
        <v>90.439431455121635</v>
      </c>
      <c r="W116" s="36">
        <f>83.0657175408438*((1+5%))</f>
        <v>87.219003417886</v>
      </c>
      <c r="X116" s="36">
        <f>93.8994651883433*((1+5%))</f>
        <v>98.594438447760467</v>
      </c>
      <c r="Y116" s="36">
        <f>94.6377387214222*((1+5%))</f>
        <v>99.369625657493316</v>
      </c>
      <c r="Z116" s="36">
        <f>96.3437429959441*((1+5%))</f>
        <v>101.1609301457413</v>
      </c>
      <c r="AA116" s="36">
        <f>86.0608529410837*((1+5%))</f>
        <v>90.363895588137879</v>
      </c>
      <c r="AB116" s="36">
        <f>93.836331765492*((1+5%))</f>
        <v>98.528148353766611</v>
      </c>
      <c r="AC116" s="36">
        <f>86.2447151066654*((1+5%))</f>
        <v>90.556950861998672</v>
      </c>
      <c r="AD116" s="37">
        <f>87.1270764885384*((1+5%))</f>
        <v>91.483430312965325</v>
      </c>
    </row>
    <row r="117" spans="2:30" ht="15.75" x14ac:dyDescent="0.25">
      <c r="B117" s="41">
        <v>9.01</v>
      </c>
      <c r="C117" s="41">
        <v>10</v>
      </c>
      <c r="D117" s="38">
        <f>33.1668783889583*((1+5%))</f>
        <v>34.825222308406218</v>
      </c>
      <c r="E117" s="39">
        <f>40.3951144077486*((1+5%))</f>
        <v>42.41487012813603</v>
      </c>
      <c r="F117" s="39">
        <f>36.8995809199777*((1+5%))</f>
        <v>38.744559965976585</v>
      </c>
      <c r="G117" s="39">
        <f>41.7296814511521*((1+5%))</f>
        <v>43.816165523709714</v>
      </c>
      <c r="H117" s="39">
        <f>39.3883901166681*((1+5%))</f>
        <v>41.357809622501506</v>
      </c>
      <c r="I117" s="39">
        <f>45.9125395272765*((1+5%))</f>
        <v>48.208166503640328</v>
      </c>
      <c r="J117" s="39">
        <f>53.419726128692*((1+5%))</f>
        <v>56.090712435126598</v>
      </c>
      <c r="K117" s="39">
        <f>53.1848754275545*((1+5%))</f>
        <v>55.844119198932226</v>
      </c>
      <c r="L117" s="39">
        <f>55.1442628547858*((1+5%))</f>
        <v>57.90147599752509</v>
      </c>
      <c r="M117" s="39">
        <f>57.3212275416698*((1+5%))</f>
        <v>60.187288918753289</v>
      </c>
      <c r="N117" s="39">
        <f>59.3801763041288*((1+5%))</f>
        <v>62.349185119335246</v>
      </c>
      <c r="O117" s="39">
        <f>164.038757492618*((1+5%))</f>
        <v>172.24069536724892</v>
      </c>
      <c r="P117" s="39">
        <f>113.900301525515*((1+5%))</f>
        <v>119.59531660179076</v>
      </c>
      <c r="Q117" s="39">
        <f>142.746198743166*((1+5%))</f>
        <v>149.8835086803243</v>
      </c>
      <c r="R117" s="39">
        <f>114.403394774474*((1+5%))</f>
        <v>120.12356451319771</v>
      </c>
      <c r="S117" s="39">
        <f>151.192278993445*((1+5%))</f>
        <v>158.75189294311727</v>
      </c>
      <c r="T117" s="39">
        <f>145.429358736992*((1+5%))</f>
        <v>152.70082667384159</v>
      </c>
      <c r="U117" s="39">
        <f>102.126366371826*((1+5%))</f>
        <v>107.2326846904173</v>
      </c>
      <c r="V117" s="39">
        <f>93.6952841273263*((1+5%))</f>
        <v>98.380048333692628</v>
      </c>
      <c r="W117" s="39">
        <f>90.52849931042*((1+5%))</f>
        <v>95.054924275941005</v>
      </c>
      <c r="X117" s="39">
        <f>102.150655922465*((1+5%))</f>
        <v>107.25818871858826</v>
      </c>
      <c r="Y117" s="39">
        <f>103.032991217962*((1+5%))</f>
        <v>108.18464077886011</v>
      </c>
      <c r="Z117" s="39">
        <f>104.842224727402*((1+5%))</f>
        <v>110.08433596377211</v>
      </c>
      <c r="AA117" s="39">
        <f>93.7439137648194*((1+5%))</f>
        <v>98.431109453060373</v>
      </c>
      <c r="AB117" s="39">
        <f>101.980034067182*((1+5%))</f>
        <v>107.07903577054111</v>
      </c>
      <c r="AC117" s="39">
        <f>93.9551918444575*((1+5%))</f>
        <v>98.652951436680382</v>
      </c>
      <c r="AD117" s="40">
        <f>94.8885188587872*((1+5%))</f>
        <v>99.632944801726552</v>
      </c>
    </row>
    <row r="118" spans="2:30" x14ac:dyDescent="0.25">
      <c r="B118" s="41">
        <v>10.01</v>
      </c>
      <c r="C118" s="41">
        <v>11</v>
      </c>
      <c r="D118" s="42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4"/>
    </row>
    <row r="119" spans="2:30" x14ac:dyDescent="0.25">
      <c r="B119" s="41">
        <v>11.01</v>
      </c>
      <c r="C119" s="41">
        <v>12</v>
      </c>
      <c r="D119" s="45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7"/>
    </row>
    <row r="120" spans="2:30" x14ac:dyDescent="0.25">
      <c r="B120" s="41">
        <v>12.01</v>
      </c>
      <c r="C120" s="41">
        <v>13</v>
      </c>
      <c r="D120" s="42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4"/>
    </row>
    <row r="121" spans="2:30" x14ac:dyDescent="0.25">
      <c r="B121" s="41">
        <v>13.01</v>
      </c>
      <c r="C121" s="41">
        <v>14</v>
      </c>
      <c r="D121" s="45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7"/>
    </row>
    <row r="122" spans="2:30" x14ac:dyDescent="0.25">
      <c r="B122" s="41">
        <v>14.01</v>
      </c>
      <c r="C122" s="41">
        <v>15</v>
      </c>
      <c r="D122" s="42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4"/>
    </row>
    <row r="123" spans="2:30" x14ac:dyDescent="0.25">
      <c r="B123" s="41">
        <v>15.01</v>
      </c>
      <c r="C123" s="41">
        <v>16</v>
      </c>
      <c r="D123" s="45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7"/>
    </row>
    <row r="124" spans="2:30" x14ac:dyDescent="0.25">
      <c r="B124" s="41">
        <v>16.010000000000002</v>
      </c>
      <c r="C124" s="41">
        <v>17</v>
      </c>
      <c r="D124" s="42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4"/>
    </row>
    <row r="125" spans="2:30" x14ac:dyDescent="0.25">
      <c r="B125" s="41">
        <v>17.010000000000002</v>
      </c>
      <c r="C125" s="41">
        <v>18</v>
      </c>
      <c r="D125" s="45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7"/>
    </row>
    <row r="126" spans="2:30" x14ac:dyDescent="0.25">
      <c r="B126" s="41">
        <v>18.010000000000002</v>
      </c>
      <c r="C126" s="41">
        <v>19</v>
      </c>
      <c r="D126" s="42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4"/>
    </row>
    <row r="127" spans="2:30" x14ac:dyDescent="0.25">
      <c r="B127" s="41">
        <v>19.010000000000002</v>
      </c>
      <c r="C127" s="41">
        <v>20</v>
      </c>
      <c r="D127" s="45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7"/>
    </row>
    <row r="128" spans="2:30" x14ac:dyDescent="0.25">
      <c r="B128" s="41">
        <v>20.010000000000002</v>
      </c>
      <c r="C128" s="41">
        <v>21</v>
      </c>
      <c r="D128" s="42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4"/>
    </row>
    <row r="129" spans="1:30" x14ac:dyDescent="0.25">
      <c r="B129" s="41">
        <v>21.01</v>
      </c>
      <c r="C129" s="41">
        <v>22</v>
      </c>
      <c r="D129" s="45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7"/>
    </row>
    <row r="130" spans="1:30" x14ac:dyDescent="0.25">
      <c r="B130" s="41">
        <v>22.01</v>
      </c>
      <c r="C130" s="41">
        <v>23</v>
      </c>
      <c r="D130" s="42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4"/>
    </row>
    <row r="131" spans="1:30" x14ac:dyDescent="0.25">
      <c r="B131" s="41">
        <v>23.01</v>
      </c>
      <c r="C131" s="41">
        <v>24</v>
      </c>
      <c r="D131" s="45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7"/>
    </row>
    <row r="132" spans="1:30" x14ac:dyDescent="0.25">
      <c r="B132" s="41">
        <v>24.01</v>
      </c>
      <c r="C132" s="41">
        <v>25</v>
      </c>
      <c r="D132" s="42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4"/>
    </row>
    <row r="133" spans="1:30" x14ac:dyDescent="0.25">
      <c r="B133" s="41">
        <v>25.01</v>
      </c>
      <c r="C133" s="41">
        <v>26</v>
      </c>
      <c r="D133" s="45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46"/>
      <c r="AC133" s="46"/>
      <c r="AD133" s="47"/>
    </row>
    <row r="134" spans="1:30" x14ac:dyDescent="0.25">
      <c r="B134" s="41">
        <v>26.01</v>
      </c>
      <c r="C134" s="41">
        <v>27</v>
      </c>
      <c r="D134" s="42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4"/>
    </row>
    <row r="135" spans="1:30" x14ac:dyDescent="0.25">
      <c r="B135" s="41">
        <v>27.01</v>
      </c>
      <c r="C135" s="41">
        <v>28</v>
      </c>
      <c r="D135" s="45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C135" s="46"/>
      <c r="AD135" s="47"/>
    </row>
    <row r="136" spans="1:30" x14ac:dyDescent="0.25">
      <c r="B136" s="41">
        <v>28.01</v>
      </c>
      <c r="C136" s="41">
        <v>29</v>
      </c>
      <c r="D136" s="42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4"/>
    </row>
    <row r="137" spans="1:30" x14ac:dyDescent="0.25">
      <c r="B137" s="41">
        <v>29.01</v>
      </c>
      <c r="C137" s="41">
        <v>30</v>
      </c>
      <c r="D137" s="45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46"/>
      <c r="AD137" s="47"/>
    </row>
    <row r="138" spans="1:30" ht="24" customHeight="1" x14ac:dyDescent="0.25">
      <c r="B138" s="48" t="s">
        <v>5399</v>
      </c>
      <c r="C138" s="48" t="s">
        <v>15</v>
      </c>
      <c r="D138" s="49">
        <v>3.0428788910505911</v>
      </c>
      <c r="E138" s="50">
        <v>3.0428788910505911</v>
      </c>
      <c r="F138" s="50">
        <v>3.0428788910505911</v>
      </c>
      <c r="G138" s="50">
        <v>3.0428788910505911</v>
      </c>
      <c r="H138" s="50">
        <v>3.0428788910505911</v>
      </c>
      <c r="I138" s="50">
        <v>3.0428788910505911</v>
      </c>
      <c r="J138" s="50">
        <v>3.0428788910505911</v>
      </c>
      <c r="K138" s="50">
        <v>3.0428788910505911</v>
      </c>
      <c r="L138" s="50">
        <v>3.0428788910505911</v>
      </c>
      <c r="M138" s="50">
        <v>3.0428788910505911</v>
      </c>
      <c r="N138" s="50">
        <v>3.0428788910505911</v>
      </c>
      <c r="O138" s="50">
        <v>3.0428788910505911</v>
      </c>
      <c r="P138" s="50">
        <v>3.0428788910505911</v>
      </c>
      <c r="Q138" s="50">
        <v>3.0428788910505911</v>
      </c>
      <c r="R138" s="50">
        <v>3.0428788910505911</v>
      </c>
      <c r="S138" s="50">
        <v>3.0428788910505911</v>
      </c>
      <c r="T138" s="50">
        <v>3.0428788910505911</v>
      </c>
      <c r="U138" s="50">
        <v>3.0428788910505911</v>
      </c>
      <c r="V138" s="50">
        <v>3.0428788910505911</v>
      </c>
      <c r="W138" s="50">
        <v>3.0428788910505911</v>
      </c>
      <c r="X138" s="50">
        <v>3.0428788910505911</v>
      </c>
      <c r="Y138" s="50">
        <v>3.0428788910505911</v>
      </c>
      <c r="Z138" s="50">
        <v>3.0428788910505911</v>
      </c>
      <c r="AA138" s="50">
        <v>3.0428788910505911</v>
      </c>
      <c r="AB138" s="50">
        <v>3.0428788910505911</v>
      </c>
      <c r="AC138" s="50">
        <v>3.0428788910505911</v>
      </c>
      <c r="AD138" s="51">
        <v>3.0428788910505911</v>
      </c>
    </row>
    <row r="139" spans="1:30" s="55" customFormat="1" ht="16.5" customHeight="1" x14ac:dyDescent="0.25">
      <c r="A139" s="52"/>
      <c r="B139" s="53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</row>
    <row r="141" spans="1:30" s="62" customFormat="1" x14ac:dyDescent="0.25">
      <c r="W141" s="43"/>
    </row>
    <row r="142" spans="1:30" s="62" customFormat="1" x14ac:dyDescent="0.25">
      <c r="W142" s="43"/>
    </row>
    <row r="143" spans="1:30" s="62" customFormat="1" x14ac:dyDescent="0.25"/>
    <row r="144" spans="1:30" ht="28.5" customHeight="1" x14ac:dyDescent="0.25">
      <c r="B144" s="70" t="s">
        <v>5402</v>
      </c>
      <c r="C144" s="71"/>
      <c r="D144" s="71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</row>
    <row r="145" spans="2:30" ht="9.75" customHeight="1" x14ac:dyDescent="0.25">
      <c r="D145" s="27"/>
      <c r="E145" s="28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30"/>
    </row>
    <row r="146" spans="2:30" s="62" customFormat="1" ht="21" customHeight="1" x14ac:dyDescent="0.25">
      <c r="B146" s="57" t="s">
        <v>5393</v>
      </c>
      <c r="C146" s="58"/>
      <c r="D146" s="72" t="s">
        <v>5394</v>
      </c>
      <c r="E146" s="73"/>
      <c r="F146" s="73"/>
      <c r="G146" s="73"/>
      <c r="H146" s="73" t="s">
        <v>5395</v>
      </c>
      <c r="I146" s="73"/>
      <c r="J146" s="73"/>
      <c r="K146" s="73" t="s">
        <v>5396</v>
      </c>
      <c r="L146" s="73"/>
      <c r="M146" s="73"/>
      <c r="N146" s="73"/>
      <c r="O146" s="73" t="s">
        <v>5397</v>
      </c>
      <c r="P146" s="73"/>
      <c r="Q146" s="73"/>
      <c r="R146" s="73"/>
      <c r="S146" s="73"/>
      <c r="T146" s="73"/>
      <c r="U146" s="19"/>
      <c r="V146" s="73" t="s">
        <v>5398</v>
      </c>
      <c r="W146" s="73"/>
      <c r="X146" s="73"/>
      <c r="Y146" s="73"/>
      <c r="Z146" s="73"/>
      <c r="AA146" s="73"/>
      <c r="AB146" s="73"/>
      <c r="AC146" s="73"/>
      <c r="AD146" s="74"/>
    </row>
    <row r="147" spans="2:30" s="62" customFormat="1" ht="21" customHeight="1" x14ac:dyDescent="0.25">
      <c r="B147" s="59"/>
      <c r="C147" s="60"/>
      <c r="D147" s="22" t="s">
        <v>19</v>
      </c>
      <c r="E147" s="23" t="s">
        <v>663</v>
      </c>
      <c r="F147" s="23" t="s">
        <v>851</v>
      </c>
      <c r="G147" s="23" t="s">
        <v>772</v>
      </c>
      <c r="H147" s="23" t="s">
        <v>4294</v>
      </c>
      <c r="I147" s="23" t="s">
        <v>4654</v>
      </c>
      <c r="J147" s="23" t="s">
        <v>4915</v>
      </c>
      <c r="K147" s="23" t="s">
        <v>3670</v>
      </c>
      <c r="L147" s="23" t="s">
        <v>3672</v>
      </c>
      <c r="M147" s="23" t="s">
        <v>4217</v>
      </c>
      <c r="N147" s="23" t="s">
        <v>4079</v>
      </c>
      <c r="O147" s="23" t="s">
        <v>3647</v>
      </c>
      <c r="P147" s="23" t="s">
        <v>3573</v>
      </c>
      <c r="Q147" s="23" t="s">
        <v>3557</v>
      </c>
      <c r="R147" s="23" t="s">
        <v>3417</v>
      </c>
      <c r="S147" s="23" t="s">
        <v>3902</v>
      </c>
      <c r="T147" s="23" t="s">
        <v>3594</v>
      </c>
      <c r="U147" s="23" t="s">
        <v>3952</v>
      </c>
      <c r="V147" s="23" t="s">
        <v>1700</v>
      </c>
      <c r="W147" s="23" t="s">
        <v>2194</v>
      </c>
      <c r="X147" s="23" t="s">
        <v>2815</v>
      </c>
      <c r="Y147" s="23" t="s">
        <v>2373</v>
      </c>
      <c r="Z147" s="23" t="s">
        <v>2471</v>
      </c>
      <c r="AA147" s="23" t="s">
        <v>2120</v>
      </c>
      <c r="AB147" s="23" t="s">
        <v>3213</v>
      </c>
      <c r="AC147" s="23" t="s">
        <v>2668</v>
      </c>
      <c r="AD147" s="24" t="s">
        <v>2995</v>
      </c>
    </row>
    <row r="148" spans="2:30" s="62" customFormat="1" ht="7.5" customHeight="1" x14ac:dyDescent="0.25">
      <c r="B148" s="25"/>
      <c r="C148" s="26"/>
      <c r="D148" s="61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30"/>
    </row>
    <row r="149" spans="2:30" s="62" customFormat="1" ht="15.75" x14ac:dyDescent="0.25">
      <c r="B149" s="31">
        <v>0.01</v>
      </c>
      <c r="C149" s="31">
        <v>0.25</v>
      </c>
      <c r="D149" s="32">
        <f>25.3440093619563*((1+5%))</f>
        <v>26.611209830054115</v>
      </c>
      <c r="E149" s="33">
        <f>26.4374086747982*((1+5%))</f>
        <v>27.759279108538109</v>
      </c>
      <c r="F149" s="33">
        <f>25.1322106407757*((1+5%))</f>
        <v>26.388821172814485</v>
      </c>
      <c r="G149" s="33">
        <f>26.4346506731799*((1+5%))</f>
        <v>27.756383206838894</v>
      </c>
      <c r="H149" s="33">
        <f>25.3085691371972*((1+5%))</f>
        <v>26.573997594057062</v>
      </c>
      <c r="I149" s="33">
        <f>25.6604397867998*((1+5%))</f>
        <v>26.943461776139792</v>
      </c>
      <c r="J149" s="33">
        <f>26.2231189003696*((1+5%))</f>
        <v>27.534274845388079</v>
      </c>
      <c r="K149" s="33">
        <f>29.804423051307*((1+5%))</f>
        <v>31.294644203872352</v>
      </c>
      <c r="L149" s="33">
        <f>31.1649409532217*((1+5%))</f>
        <v>32.723188000882786</v>
      </c>
      <c r="M149" s="33">
        <f>36.0055548265671*((1+5%))</f>
        <v>37.805832567895457</v>
      </c>
      <c r="N149" s="33">
        <f>39.2448387924345*((1+5%))</f>
        <v>41.207080732056227</v>
      </c>
      <c r="O149" s="33">
        <f>64.1342579121524*((1+5%))</f>
        <v>67.34097080776003</v>
      </c>
      <c r="P149" s="33">
        <f>47.0143763307027*((1+5%))</f>
        <v>49.365095147237838</v>
      </c>
      <c r="Q149" s="33">
        <f>47.4056263573168*((1+5%))</f>
        <v>49.775907675182637</v>
      </c>
      <c r="R149" s="33">
        <f>47.0143763307027*((1+5%))</f>
        <v>49.365095147237838</v>
      </c>
      <c r="S149" s="33">
        <f>49.8633047858938*((1+5%))</f>
        <v>52.356470025188493</v>
      </c>
      <c r="T149" s="33">
        <f>63.7459247597542*((1+5%))</f>
        <v>66.933220997741913</v>
      </c>
      <c r="U149" s="33">
        <f>47.0143763307027*((1+5%))</f>
        <v>49.365095147237838</v>
      </c>
      <c r="V149" s="33">
        <f>27.9684613794115*((1+5%))</f>
        <v>29.366884448382077</v>
      </c>
      <c r="W149" s="33">
        <f>28.1185646119586*((1+5%))</f>
        <v>29.524492842556533</v>
      </c>
      <c r="X149" s="33">
        <f>29.9485613846073*((1+5%))</f>
        <v>31.445989453837665</v>
      </c>
      <c r="Y149" s="33">
        <f>30.0570544372549*((1+5%))</f>
        <v>31.55990715911765</v>
      </c>
      <c r="Z149" s="33">
        <f>30.1664000056278*((1+5%))</f>
        <v>31.67472000590919</v>
      </c>
      <c r="AA149" s="33">
        <f>28.7273268092488*((1+5%))</f>
        <v>30.163693149711243</v>
      </c>
      <c r="AB149" s="33">
        <f>31.3359793722541*((1+5%))</f>
        <v>32.90277834086681</v>
      </c>
      <c r="AC149" s="33">
        <f>28.8048769388591*((1+5%))</f>
        <v>30.245120785802055</v>
      </c>
      <c r="AD149" s="34">
        <f>28.8516396670141*((1+5%))</f>
        <v>30.294221650364808</v>
      </c>
    </row>
    <row r="150" spans="2:30" s="62" customFormat="1" ht="15.75" x14ac:dyDescent="0.25">
      <c r="B150" s="31">
        <v>0.251</v>
      </c>
      <c r="C150" s="31">
        <v>0.5</v>
      </c>
      <c r="D150" s="35">
        <f>26.3312002351557*((1+5%))</f>
        <v>27.647760246913485</v>
      </c>
      <c r="E150" s="36">
        <f>27.533274489653*((1+5%))</f>
        <v>28.90993821413565</v>
      </c>
      <c r="F150" s="36">
        <f>26.0839682627625*((1+5%))</f>
        <v>27.388166675900628</v>
      </c>
      <c r="G150" s="36">
        <f>27.420042825236*((1+5%))</f>
        <v>28.7910449664978</v>
      </c>
      <c r="H150" s="36">
        <f>26.3636258582798*((1+5%))</f>
        <v>27.681807151193791</v>
      </c>
      <c r="I150" s="36">
        <f>26.8078560926209*((1+5%))</f>
        <v>28.148248897251946</v>
      </c>
      <c r="J150" s="36">
        <f>27.3853747776984*((1+5%))</f>
        <v>28.754643516583318</v>
      </c>
      <c r="K150" s="36">
        <f>30.2728225774523*((1+5%))</f>
        <v>31.786463706324916</v>
      </c>
      <c r="L150" s="36">
        <f>33.2605555178661*((1+5%))</f>
        <v>34.923583293759407</v>
      </c>
      <c r="M150" s="36">
        <f>37.4973384615326*((1+5%))</f>
        <v>39.372205384609231</v>
      </c>
      <c r="N150" s="36">
        <f>40.149773818508*((1+5%))</f>
        <v>42.157262509433401</v>
      </c>
      <c r="O150" s="36">
        <f>65.7120786991438*((1+5%))</f>
        <v>68.997682634100997</v>
      </c>
      <c r="P150" s="36">
        <f>48.3532273542451*((1+5%))</f>
        <v>50.770888721957355</v>
      </c>
      <c r="Q150" s="36">
        <f>49.1216118487173*((1+5%))</f>
        <v>51.577692441153168</v>
      </c>
      <c r="R150" s="36">
        <f>48.3532273542451*((1+5%))</f>
        <v>50.770888721957355</v>
      </c>
      <c r="S150" s="36">
        <f>51.2001961960098*((1+5%))</f>
        <v>53.760206005810289</v>
      </c>
      <c r="T150" s="36">
        <f>65.4676387304314*((1+5%))</f>
        <v>68.741020666952977</v>
      </c>
      <c r="U150" s="36">
        <f>48.3532273542451*((1+5%))</f>
        <v>50.770888721957355</v>
      </c>
      <c r="V150" s="36">
        <f>30.769334950297*((1+5%))</f>
        <v>32.307801697811854</v>
      </c>
      <c r="W150" s="36">
        <f>30.9402766630319*((1+5%))</f>
        <v>32.487290496183498</v>
      </c>
      <c r="X150" s="36">
        <f>32.9391983215267*((1+5%))</f>
        <v>34.586158237603037</v>
      </c>
      <c r="Y150" s="36">
        <f>33.1262440420118*((1+5%))</f>
        <v>34.782556244112392</v>
      </c>
      <c r="Z150" s="36">
        <f>33.2507697995219*((1+5%))</f>
        <v>34.913308289497991</v>
      </c>
      <c r="AA150" s="36">
        <f>31.6119134420303*((1+5%))</f>
        <v>33.192509114131816</v>
      </c>
      <c r="AB150" s="36">
        <f>35.2199195077855*((1+5%))</f>
        <v>36.980915483174776</v>
      </c>
      <c r="AC150" s="36">
        <f>31.7002296744888*((1+5%))</f>
        <v>33.285241158213239</v>
      </c>
      <c r="AD150" s="37">
        <f>31.7534843626612*((1+5%))</f>
        <v>33.341158580794264</v>
      </c>
    </row>
    <row r="151" spans="2:30" s="62" customFormat="1" ht="15.75" x14ac:dyDescent="0.25">
      <c r="B151" s="31">
        <v>0.501</v>
      </c>
      <c r="C151" s="31">
        <v>0.75</v>
      </c>
      <c r="D151" s="38">
        <f>27.1271801907832*((1+5%))</f>
        <v>28.483539200322362</v>
      </c>
      <c r="E151" s="39">
        <f>27.7426158186249*((1+5%))</f>
        <v>29.129746609556143</v>
      </c>
      <c r="F151" s="39">
        <f>26.8556304525393*((1+5%))</f>
        <v>28.19841197516627</v>
      </c>
      <c r="G151" s="39">
        <f>28.2627992321571*((1+5%))</f>
        <v>29.675939193764957</v>
      </c>
      <c r="H151" s="39">
        <f>26.6994766526472*((1+5%))</f>
        <v>28.03445048527956</v>
      </c>
      <c r="I151" s="39">
        <f>27.7222227783921*((1+5%))</f>
        <v>29.108333917311707</v>
      </c>
      <c r="J151" s="39">
        <f>28.3286677042291*((1+5%))</f>
        <v>29.745101089440556</v>
      </c>
      <c r="K151" s="39">
        <f>31.1197195729916*((1+5%))</f>
        <v>32.67570555164118</v>
      </c>
      <c r="L151" s="39">
        <f>34.9790858235363*((1+5%))</f>
        <v>36.728040114713117</v>
      </c>
      <c r="M151" s="39">
        <f>39.9561999490225*((1+5%))</f>
        <v>41.954009946473626</v>
      </c>
      <c r="N151" s="39">
        <f>42.4406191672942*((1+5%))</f>
        <v>44.562650125658912</v>
      </c>
      <c r="O151" s="39">
        <f>67.2988926253978*((1+5%))</f>
        <v>70.663837256667691</v>
      </c>
      <c r="P151" s="39">
        <f>49.7146993477224*((1+5%))</f>
        <v>52.200434315108524</v>
      </c>
      <c r="Q151" s="39">
        <f>50.4989927615265*((1+5%))</f>
        <v>53.023942399602831</v>
      </c>
      <c r="R151" s="39">
        <f>49.7146993477224*((1+5%))</f>
        <v>52.200434315108524</v>
      </c>
      <c r="S151" s="39">
        <f>51.6431880293974*((1+5%))</f>
        <v>54.225347430867274</v>
      </c>
      <c r="T151" s="39">
        <f>67.060744275546*((1+5%))</f>
        <v>70.413781489323299</v>
      </c>
      <c r="U151" s="39">
        <f>49.7146993477224*((1+5%))</f>
        <v>52.200434315108524</v>
      </c>
      <c r="V151" s="39">
        <f>33.8517197155994*((1+5%))</f>
        <v>35.544305701379372</v>
      </c>
      <c r="W151" s="39">
        <f>34.0458252720066*((1+5%))</f>
        <v>35.748116535606933</v>
      </c>
      <c r="X151" s="39">
        <f>36.2208135363586*((1+5%))</f>
        <v>38.03185421317653</v>
      </c>
      <c r="Y151" s="39">
        <f>36.5062654359889*((1+5%))</f>
        <v>38.331578707788346</v>
      </c>
      <c r="Z151" s="39">
        <f>36.6476653381064*((1+5%))</f>
        <v>38.480048605011724</v>
      </c>
      <c r="AA151" s="39">
        <f>34.7867320407099*((1+5%))</f>
        <v>36.526068642745393</v>
      </c>
      <c r="AB151" s="39">
        <f>39.0873948130633*((1+5%))</f>
        <v>41.041764553716462</v>
      </c>
      <c r="AC151" s="39">
        <f>34.8870157641316*((1+5%))</f>
        <v>36.631366552338179</v>
      </c>
      <c r="AD151" s="40">
        <f>34.9474868493548*((1+5%))</f>
        <v>36.694861191822547</v>
      </c>
    </row>
    <row r="152" spans="2:30" ht="15.75" x14ac:dyDescent="0.25">
      <c r="B152" s="31">
        <v>0.751</v>
      </c>
      <c r="C152" s="31">
        <v>1</v>
      </c>
      <c r="D152" s="35">
        <f>27.8522121899997*((1+5%))</f>
        <v>29.244822799499687</v>
      </c>
      <c r="E152" s="36">
        <f>28.4621351528741*((1+5%))</f>
        <v>29.885241910517806</v>
      </c>
      <c r="F152" s="36">
        <f>27.5520918260743*((1+5%))</f>
        <v>28.929696417378015</v>
      </c>
      <c r="G152" s="36">
        <f>29.0339495657309*((1+5%))</f>
        <v>30.485647044017448</v>
      </c>
      <c r="H152" s="36">
        <f>28.1355032712233*((1+5%))</f>
        <v>29.542278434784468</v>
      </c>
      <c r="I152" s="36">
        <f>29.2697818645328*((1+5%))</f>
        <v>30.733270957759441</v>
      </c>
      <c r="J152" s="36">
        <f>29.9051530311294*((1+5%))</f>
        <v>31.400410682685873</v>
      </c>
      <c r="K152" s="36">
        <f>32.5335648786821*((1+5%))</f>
        <v>34.160243122616208</v>
      </c>
      <c r="L152" s="36">
        <f>37.058017257906*((1+5%))</f>
        <v>38.910918120801306</v>
      </c>
      <c r="M152" s="36">
        <f>40.728953073747*((1+5%))</f>
        <v>42.765400727434354</v>
      </c>
      <c r="N152" s="36">
        <f>42.6422322920187*((1+5%))</f>
        <v>44.774343906619634</v>
      </c>
      <c r="O152" s="36">
        <f>77.3509710862604*((1+5%))</f>
        <v>81.218519640573419</v>
      </c>
      <c r="P152" s="36">
        <f>49.9163124724469*((1+5%))</f>
        <v>52.412128096069246</v>
      </c>
      <c r="Q152" s="36">
        <f>50.8211149079219*((1+5%))</f>
        <v>53.362170653318003</v>
      </c>
      <c r="R152" s="36">
        <f>49.9163124724469*((1+5%))</f>
        <v>52.412128096069246</v>
      </c>
      <c r="S152" s="36">
        <f>52.0101376404386*((1+5%))</f>
        <v>54.610644522460532</v>
      </c>
      <c r="T152" s="36">
        <f>77.2314783437318*((1+5%))</f>
        <v>81.093052260918384</v>
      </c>
      <c r="U152" s="36">
        <f>50.2141335510634*((1+5%))</f>
        <v>52.724840228616571</v>
      </c>
      <c r="V152" s="36">
        <f>35.9445902576368*((1+5%))</f>
        <v>37.741819770518639</v>
      </c>
      <c r="W152" s="36">
        <f>36.1577550616279*((1+5%))</f>
        <v>37.965642814709298</v>
      </c>
      <c r="X152" s="36">
        <f>38.4965719147258*((1+5%))</f>
        <v>40.421400510462092</v>
      </c>
      <c r="Y152" s="36">
        <f>38.8351654602975*((1+5%))</f>
        <v>40.77692373331238</v>
      </c>
      <c r="Z152" s="36">
        <f>38.990449435559*((1+5%))</f>
        <v>40.939971907336954</v>
      </c>
      <c r="AA152" s="36">
        <f>36.946790877182*((1+5%))</f>
        <v>38.794130421041103</v>
      </c>
      <c r="AB152" s="36">
        <f>42.3928726534856*((1+5%))</f>
        <v>44.51251628615988</v>
      </c>
      <c r="AC152" s="36">
        <f>37.0569214712894*((1+5%))</f>
        <v>38.909767544853871</v>
      </c>
      <c r="AD152" s="37">
        <f>37.1233302195362*((1+5%))</f>
        <v>38.979496730513013</v>
      </c>
    </row>
    <row r="153" spans="2:30" ht="15.75" x14ac:dyDescent="0.25">
      <c r="B153" s="41">
        <v>1.01</v>
      </c>
      <c r="C153" s="41">
        <v>2</v>
      </c>
      <c r="D153" s="38">
        <f>29.8854014387636*((1+5%))</f>
        <v>31.379671510701783</v>
      </c>
      <c r="E153" s="39">
        <f>29.8926652857396*((1+5%))</f>
        <v>31.387298550026582</v>
      </c>
      <c r="F153" s="39">
        <f>29.4901430483775*((1+5%))</f>
        <v>30.964650200796378</v>
      </c>
      <c r="G153" s="39">
        <f>30.9650722618341*((1+5%))</f>
        <v>32.513325874925805</v>
      </c>
      <c r="H153" s="39">
        <f>29.535720019883*((1+5%))</f>
        <v>31.012506020877154</v>
      </c>
      <c r="I153" s="39">
        <f>31.4657830418349*((1+5%))</f>
        <v>33.03907219392665</v>
      </c>
      <c r="J153" s="39">
        <f>32.434148129355*((1+5%))</f>
        <v>34.055855535822751</v>
      </c>
      <c r="K153" s="39">
        <f>34.6657081122035*((1+5%))</f>
        <v>36.398993517813672</v>
      </c>
      <c r="L153" s="39">
        <f>39.6410867609391*((1+5%))</f>
        <v>41.623141098986061</v>
      </c>
      <c r="M153" s="39">
        <f>43.2069088807446*((1+5%))</f>
        <v>45.367254324781833</v>
      </c>
      <c r="N153" s="39">
        <f>45.1524058342492*((1+5%))</f>
        <v>47.410026125961664</v>
      </c>
      <c r="O153" s="39">
        <f>95.526216691544*((1+5%))</f>
        <v>100.3025275261212</v>
      </c>
      <c r="P153" s="39">
        <f>56.2318370933807*((1+5%))</f>
        <v>59.043428948049737</v>
      </c>
      <c r="Q153" s="39">
        <f>57.2642914378968*((1+5%))</f>
        <v>60.127506009791645</v>
      </c>
      <c r="R153" s="39">
        <f>56.2318370933807*((1+5%))</f>
        <v>59.043428948049737</v>
      </c>
      <c r="S153" s="39">
        <f>65.7382161631192*((1+5%))</f>
        <v>69.025126971275171</v>
      </c>
      <c r="T153" s="39">
        <f>95.2356937387493*((1+5%))</f>
        <v>99.997478425686779</v>
      </c>
      <c r="U153" s="39">
        <f>56.6406076420689*((1+5%))</f>
        <v>59.472638024172348</v>
      </c>
      <c r="V153" s="39">
        <f>43.0840435118256*((1+5%))</f>
        <v>45.238245687416878</v>
      </c>
      <c r="W153" s="39">
        <f>43.3623588766218*((1+5%))</f>
        <v>45.53047682045289</v>
      </c>
      <c r="X153" s="39">
        <f>46.2606022999445*((1+5%))</f>
        <v>48.573632414941727</v>
      </c>
      <c r="Y153" s="39">
        <f>46.7811495821079*((1+5%))</f>
        <v>49.1202070612133</v>
      </c>
      <c r="Z153" s="39">
        <f>46.9838937284807*((1+5%))</f>
        <v>49.333088414904736</v>
      </c>
      <c r="AA153" s="39">
        <f>44.3156222007981*((1+5%))</f>
        <v>46.531403310838009</v>
      </c>
      <c r="AB153" s="39">
        <f>49.6916970923481*((1+5%))</f>
        <v>52.17628194696551</v>
      </c>
      <c r="AC153" s="39">
        <f>44.4594125259379*((1+5%))</f>
        <v>46.682383152234799</v>
      </c>
      <c r="AD153" s="40">
        <f>44.5461180919972*((1+5%))</f>
        <v>46.77342399659706</v>
      </c>
    </row>
    <row r="154" spans="2:30" ht="15.75" x14ac:dyDescent="0.25">
      <c r="B154" s="41">
        <v>2.0099999999999998</v>
      </c>
      <c r="C154" s="41">
        <v>3</v>
      </c>
      <c r="D154" s="35">
        <f>32.6195338668408*((1+5%))</f>
        <v>34.250510560182839</v>
      </c>
      <c r="E154" s="36">
        <f>32.6308346071606*((1+5%))</f>
        <v>34.262376337518631</v>
      </c>
      <c r="F154" s="36">
        <f>32.1993665170875*((1+5%))</f>
        <v>33.809334842941873</v>
      </c>
      <c r="G154" s="36">
        <f>37.8490861843109*((1+5%))</f>
        <v>39.741540493526443</v>
      </c>
      <c r="H154" s="36">
        <f>36.3001599360618*((1+5%))</f>
        <v>38.115167932864892</v>
      </c>
      <c r="I154" s="36">
        <f>39.0260073866561*((1+5%))</f>
        <v>40.977307755988903</v>
      </c>
      <c r="J154" s="36">
        <f>40.5417222517367*((1+5%))</f>
        <v>42.568808364323537</v>
      </c>
      <c r="K154" s="36">
        <f>39.4620084489464*((1+5%))</f>
        <v>41.435108871393723</v>
      </c>
      <c r="L154" s="36">
        <f>43.863778070764*((1+5%))</f>
        <v>46.056966974302199</v>
      </c>
      <c r="M154" s="36">
        <f>47.3661430943283*((1+5%))</f>
        <v>49.73445024904472</v>
      </c>
      <c r="N154" s="36">
        <f>49.4954259648839*((1+5%))</f>
        <v>51.9701972631281</v>
      </c>
      <c r="O154" s="36">
        <f>106.187088360698*((1+5%))</f>
        <v>111.4964427787329</v>
      </c>
      <c r="P154" s="36">
        <f>68.2577083027187*((1+5%))</f>
        <v>71.670593717854629</v>
      </c>
      <c r="Q154" s="36">
        <f>69.3934080816865*((1+5%))</f>
        <v>72.863078485770828</v>
      </c>
      <c r="R154" s="36">
        <f>68.2577083027187*((1+5%))</f>
        <v>71.670593717854629</v>
      </c>
      <c r="S154" s="36">
        <f>80.7883993907354*((1+5%))</f>
        <v>84.827819360272187</v>
      </c>
      <c r="T154" s="36">
        <f>105.867513112624*((1+5%))</f>
        <v>111.16088876825521</v>
      </c>
      <c r="U154" s="36">
        <f>68.7073559062758*((1+5%))</f>
        <v>72.142723701589588</v>
      </c>
      <c r="V154" s="36">
        <f>55.3238632521833*((1+5%))</f>
        <v>58.090056414792471</v>
      </c>
      <c r="W154" s="36">
        <f>55.6693843473232*((1+5%))</f>
        <v>58.452853564689363</v>
      </c>
      <c r="X154" s="36">
        <f>59.3416575899423*((1+5%))</f>
        <v>62.308740469439421</v>
      </c>
      <c r="Y154" s="36">
        <f>59.9504452050304*((1+5%))</f>
        <v>62.94796746528192</v>
      </c>
      <c r="Z154" s="36">
        <f>60.2021466500412*((1+5%))</f>
        <v>63.21225398254326</v>
      </c>
      <c r="AA154" s="36">
        <f>56.8895587839335*((1+5%))</f>
        <v>59.734036723130181</v>
      </c>
      <c r="AB154" s="36">
        <f>62.2853777646142*((1+5%))</f>
        <v>65.399646652844922</v>
      </c>
      <c r="AC154" s="36">
        <f>57.0680706337884*((1+5%))</f>
        <v>59.921474165477825</v>
      </c>
      <c r="AD154" s="37">
        <f>57.1757132792508*((1+5%))</f>
        <v>60.034498943213343</v>
      </c>
    </row>
    <row r="155" spans="2:30" ht="15.75" x14ac:dyDescent="0.25">
      <c r="B155" s="41">
        <v>3.01</v>
      </c>
      <c r="C155" s="41">
        <v>4</v>
      </c>
      <c r="D155" s="38">
        <f>35.4968613703973*((1+5%))</f>
        <v>37.271704438917162</v>
      </c>
      <c r="E155" s="39">
        <f>35.5142971717545*((1+5%))</f>
        <v>37.290012030342226</v>
      </c>
      <c r="F155" s="39">
        <f>35.0567757909538*((1+5%))</f>
        <v>36.809614580501488</v>
      </c>
      <c r="G155" s="39">
        <f>41.2502136995258*((1+5%))</f>
        <v>43.31272438450209</v>
      </c>
      <c r="H155" s="39">
        <f>39.5817134449787*((1+5%))</f>
        <v>41.560799117227639</v>
      </c>
      <c r="I155" s="39">
        <f>43.1033453242155*((1+5%))</f>
        <v>45.258512590426278</v>
      </c>
      <c r="J155" s="39">
        <f>45.1664099668567*((1+5%))</f>
        <v>47.424730465199538</v>
      </c>
      <c r="K155" s="39">
        <f>48.5644700764616*((1+5%))</f>
        <v>50.992693580284687</v>
      </c>
      <c r="L155" s="39">
        <f>50.3229921045219*((1+5%))</f>
        <v>52.839141709747999</v>
      </c>
      <c r="M155" s="39">
        <f>52.1119834994464*((1+5%))</f>
        <v>54.717582674418722</v>
      </c>
      <c r="N155" s="39">
        <f>54.4572700222859*((1+5%))</f>
        <v>57.180133523400194</v>
      </c>
      <c r="O155" s="39">
        <f>120.206742438763*((1+5%))</f>
        <v>126.21707956070115</v>
      </c>
      <c r="P155" s="39">
        <f>77.2216041329906*((1+5%))</f>
        <v>81.082684339640139</v>
      </c>
      <c r="Q155" s="39">
        <f>80.9956798766608*((1+5%))</f>
        <v>85.045463870493847</v>
      </c>
      <c r="R155" s="39">
        <f>77.2216041329906*((1+5%))</f>
        <v>81.082684339640139</v>
      </c>
      <c r="S155" s="39">
        <f>95.9395188563005*((1+5%))</f>
        <v>100.73649479911552</v>
      </c>
      <c r="T155" s="39">
        <f>120.110808696342*((1+5%))</f>
        <v>126.11634913115911</v>
      </c>
      <c r="U155" s="39">
        <f>77.6280555411209*((1+5%))</f>
        <v>81.509458318176954</v>
      </c>
      <c r="V155" s="39">
        <f>64.1216116603643*((1+5%))</f>
        <v>67.327692243382515</v>
      </c>
      <c r="W155" s="39">
        <f>64.5343384858477*((1+5%))</f>
        <v>67.761055410140088</v>
      </c>
      <c r="X155" s="39">
        <f>68.8415818659433*((1+5%))</f>
        <v>72.283660959240464</v>
      </c>
      <c r="Y155" s="39">
        <f>69.6088280691327*((1+5%))</f>
        <v>73.089269472589336</v>
      </c>
      <c r="Z155" s="39">
        <f>69.9094868127815*((1+5%))</f>
        <v>73.404961153420572</v>
      </c>
      <c r="AA155" s="39">
        <f>65.9525826082486*((1+5%))</f>
        <v>69.250211738661037</v>
      </c>
      <c r="AB155" s="39">
        <f>71.2979274228836*((1+5%))</f>
        <v>74.86282379402779</v>
      </c>
      <c r="AC155" s="39">
        <f>66.1658159828185*((1+5%))</f>
        <v>69.474106781959435</v>
      </c>
      <c r="AD155" s="40">
        <f>66.2943957076842*((1+5%))</f>
        <v>69.609115493068416</v>
      </c>
    </row>
    <row r="156" spans="2:30" ht="15.75" x14ac:dyDescent="0.25">
      <c r="B156" s="41">
        <v>4.01</v>
      </c>
      <c r="C156" s="41">
        <v>5</v>
      </c>
      <c r="D156" s="35">
        <f>38.531703456981*((1+5%))</f>
        <v>40.458288629830051</v>
      </c>
      <c r="E156" s="36">
        <f>38.5432015559069*((1+5%))</f>
        <v>40.470361633702247</v>
      </c>
      <c r="F156" s="36">
        <f>36.8692149945587*((1+5%))</f>
        <v>38.712675744286642</v>
      </c>
      <c r="G156" s="36">
        <f>44.2611219791971*((1+5%))</f>
        <v>46.474178078156953</v>
      </c>
      <c r="H156" s="36">
        <f>43.0734475450805*((1+5%))</f>
        <v>45.227119922334523</v>
      </c>
      <c r="I156" s="36">
        <f>47.3908638529598*((1+5%))</f>
        <v>49.760407045607785</v>
      </c>
      <c r="J156" s="36">
        <f>50.0012782731616*((1+5%))</f>
        <v>52.501342186819684</v>
      </c>
      <c r="K156" s="36">
        <f>54.2631751891702*((1+5%))</f>
        <v>56.976333948628714</v>
      </c>
      <c r="L156" s="36">
        <f>55.1420894740622*((1+5%))</f>
        <v>57.899193947765319</v>
      </c>
      <c r="M156" s="36">
        <f>56.6788928340421*((1+5%))</f>
        <v>59.512837475744213</v>
      </c>
      <c r="N156" s="36">
        <f>59.2433311830236*((1+5%))</f>
        <v>62.205497742174785</v>
      </c>
      <c r="O156" s="36">
        <f>129.875479182639*((1+5%))</f>
        <v>136.36925314177094</v>
      </c>
      <c r="P156" s="36">
        <f>85.1376395462897*((1+5%))</f>
        <v>89.394521523604197</v>
      </c>
      <c r="Q156" s="36">
        <f>98.8853956316379*((1+5%))</f>
        <v>103.8296654132198</v>
      </c>
      <c r="R156" s="36">
        <f>85.1376395462897*((1+5%))</f>
        <v>89.394521523604197</v>
      </c>
      <c r="S156" s="36">
        <f>111.452465117452*((1+5%))</f>
        <v>117.02508837332459</v>
      </c>
      <c r="T156" s="36">
        <f>129.769952065976*((1+5%))</f>
        <v>136.25844966927482</v>
      </c>
      <c r="U156" s="36">
        <f>85.584736095233*((1+5%))</f>
        <v>89.86397289999465</v>
      </c>
      <c r="V156" s="36">
        <f>73.1270776059274*((1+5%))</f>
        <v>76.783431486223776</v>
      </c>
      <c r="W156" s="36">
        <f>73.6070101617544*((1+5%))</f>
        <v>77.28736066984213</v>
      </c>
      <c r="X156" s="36">
        <f>78.5576154678366*((1+5%))</f>
        <v>82.485496241228432</v>
      </c>
      <c r="Y156" s="36">
        <f>79.4790828213646*((1+5%))</f>
        <v>83.453036962432833</v>
      </c>
      <c r="Z156" s="36">
        <f>79.8286988636514*((1+5%))</f>
        <v>83.820133806833965</v>
      </c>
      <c r="AA156" s="36">
        <f>75.2274783206933*((1+5%))</f>
        <v>78.988852236727965</v>
      </c>
      <c r="AB156" s="36">
        <f>80.5265864070453*((1+5%))</f>
        <v>84.552915727397576</v>
      </c>
      <c r="AC156" s="36">
        <f>75.4754332199784*((1+5%))</f>
        <v>79.249204880977317</v>
      </c>
      <c r="AD156" s="37">
        <f>75.6249500242472*((1+5%))</f>
        <v>79.406197525459561</v>
      </c>
    </row>
    <row r="157" spans="2:30" ht="15.75" x14ac:dyDescent="0.25">
      <c r="B157" s="41">
        <v>5.01</v>
      </c>
      <c r="C157" s="41">
        <v>6</v>
      </c>
      <c r="D157" s="38">
        <f>41.7398115848946*((1+5%))</f>
        <v>43.826802164139337</v>
      </c>
      <c r="E157" s="39">
        <f>42.1952657622009*((1+5%))</f>
        <v>44.305029050310942</v>
      </c>
      <c r="F157" s="39">
        <f>40.4660717621011*((1+5%))</f>
        <v>42.48937535020616</v>
      </c>
      <c r="G157" s="39">
        <f>48.9348097458274*((1+5%))</f>
        <v>51.381550233118773</v>
      </c>
      <c r="H157" s="39">
        <f>46.8659081710697*((1+5%))</f>
        <v>49.209203579623185</v>
      </c>
      <c r="I157" s="39">
        <f>51.9095810320077*((1+5%))</f>
        <v>54.505060083608086</v>
      </c>
      <c r="J157" s="39">
        <f>55.06734522977*((1+5%))</f>
        <v>57.820712491258497</v>
      </c>
      <c r="K157" s="39">
        <f>62.4230935091381*((1+5%))</f>
        <v>65.544248184595006</v>
      </c>
      <c r="L157" s="39">
        <f>61.5603005912146*((1+5%))</f>
        <v>64.63831562077533</v>
      </c>
      <c r="M157" s="39">
        <f>61.7024931020974*((1+5%))</f>
        <v>64.78761775720227</v>
      </c>
      <c r="N157" s="39">
        <f>64.5372144295049*((1+5%))</f>
        <v>67.764075150980148</v>
      </c>
      <c r="O157" s="39">
        <f>141.043214600903*((1+5%))</f>
        <v>148.09537533094817</v>
      </c>
      <c r="P157" s="39">
        <f>95.8047583585812*((1+5%))</f>
        <v>100.59499627651026</v>
      </c>
      <c r="Q157" s="39">
        <f>112.826387165315*((1+5%))</f>
        <v>118.46770652358076</v>
      </c>
      <c r="R157" s="39">
        <f>95.8477711667793*((1+5%))</f>
        <v>100.64015972511827</v>
      </c>
      <c r="S157" s="39">
        <f>127.238022386828*((1+5%))</f>
        <v>133.5999235061694</v>
      </c>
      <c r="T157" s="39">
        <f>140.927134772574*((1+5%))</f>
        <v>147.9734915112027</v>
      </c>
      <c r="U157" s="39">
        <f>93.9225222047563*((1+5%))</f>
        <v>98.618648314994118</v>
      </c>
      <c r="V157" s="39">
        <f>82.3610328426106*((1+5%))</f>
        <v>86.479084484741136</v>
      </c>
      <c r="W157" s="39">
        <f>82.9081711287812*((1+5%))</f>
        <v>87.053579685220271</v>
      </c>
      <c r="X157" s="39">
        <f>88.5113693282114*((1+5%))</f>
        <v>92.936937794621969</v>
      </c>
      <c r="Y157" s="39">
        <f>89.5823966505392*((1+5%))</f>
        <v>94.061516483066157</v>
      </c>
      <c r="Z157" s="39">
        <f>89.9809699914639*((1+5%))</f>
        <v>94.480018491037086</v>
      </c>
      <c r="AA157" s="39">
        <f>84.7354331100807*((1+5%))</f>
        <v>88.972204765584749</v>
      </c>
      <c r="AB157" s="39">
        <f>89.9929656496884*((1+5%))</f>
        <v>94.49261393217283</v>
      </c>
      <c r="AC157" s="39">
        <f>85.0181095340808*((1+5%))</f>
        <v>89.269015010784855</v>
      </c>
      <c r="AD157" s="40">
        <f>85.1885634177529*((1+5%))</f>
        <v>89.447991588640548</v>
      </c>
    </row>
    <row r="158" spans="2:30" ht="15.75" x14ac:dyDescent="0.25">
      <c r="B158" s="41">
        <v>6.01</v>
      </c>
      <c r="C158" s="41">
        <v>7</v>
      </c>
      <c r="D158" s="35">
        <f>45.2602298734829*((1+5%))</f>
        <v>47.523241367157048</v>
      </c>
      <c r="E158" s="36">
        <f>46.0407152751581*((1+5%))</f>
        <v>48.342751038916006</v>
      </c>
      <c r="F158" s="36">
        <f>44.2226891280407*((1+5%))</f>
        <v>46.433823584442735</v>
      </c>
      <c r="G158" s="36">
        <f>54.2036443860186*((1+5%))</f>
        <v>56.913826605319535</v>
      </c>
      <c r="H158" s="36">
        <f>51.0971869856969*((1+5%))</f>
        <v>53.652046334981748</v>
      </c>
      <c r="I158" s="36">
        <f>56.6826167263893*((1+5%))</f>
        <v>59.516747562708765</v>
      </c>
      <c r="J158" s="36">
        <f>60.8953277177097*((1+5%))</f>
        <v>63.940094103595186</v>
      </c>
      <c r="K158" s="36">
        <f>69.7857237127714*((1+5%))</f>
        <v>73.275009898409976</v>
      </c>
      <c r="L158" s="36">
        <f>68.5874050199578*((1+5%))</f>
        <v>72.016775270955691</v>
      </c>
      <c r="M158" s="36">
        <f>66.8824748087638*((1+5%))</f>
        <v>70.226598549201995</v>
      </c>
      <c r="N158" s="36">
        <f>71.7579550384553*((1+5%))</f>
        <v>75.345852790378061</v>
      </c>
      <c r="O158" s="36">
        <f>155.227973560993*((1+5%))</f>
        <v>162.98937223904267</v>
      </c>
      <c r="P158" s="36">
        <f>106.257196311856*((1+5%))</f>
        <v>111.57005612744881</v>
      </c>
      <c r="Q158" s="36">
        <f>127.051113565938*((1+5%))</f>
        <v>133.40366924423489</v>
      </c>
      <c r="R158" s="36">
        <f>106.306044510333*((1+5%))</f>
        <v>111.62134673584966</v>
      </c>
      <c r="S158" s="36">
        <f>143.32345176525*((1+5%))</f>
        <v>150.48962435351251</v>
      </c>
      <c r="T158" s="36">
        <f>155.100285749831*((1+5%))</f>
        <v>162.85530003732254</v>
      </c>
      <c r="U158" s="36">
        <f>103.546461925232*((1+5%))</f>
        <v>108.7237850214936</v>
      </c>
      <c r="V158" s="36">
        <f>91.8463262995261*((1+5%))</f>
        <v>96.438642614502413</v>
      </c>
      <c r="W158" s="36">
        <f>92.4606703160403*((1+5%))</f>
        <v>97.083703831842314</v>
      </c>
      <c r="X158" s="36">
        <f>98.7266154729159*((1+5%))</f>
        <v>103.66294624656169</v>
      </c>
      <c r="Y158" s="36">
        <f>99.9420754643506*((1+5%))</f>
        <v>104.93917923756813</v>
      </c>
      <c r="Z158" s="36">
        <f>100.389606103913*((1+5%))</f>
        <v>105.40908640910865</v>
      </c>
      <c r="AA158" s="36">
        <f>94.499752884105*((1+5%))</f>
        <v>99.224740528310264</v>
      </c>
      <c r="AB158" s="36">
        <f>99.7208371766612*((1+5%))</f>
        <v>104.70687903549427</v>
      </c>
      <c r="AC158" s="36">
        <f>94.8171508328202*((1+5%))</f>
        <v>99.558008374461224</v>
      </c>
      <c r="AD158" s="37">
        <f>95.0085417958955*((1+5%))</f>
        <v>99.75896888569028</v>
      </c>
    </row>
    <row r="159" spans="2:30" ht="15.75" x14ac:dyDescent="0.25">
      <c r="B159" s="41">
        <v>7.01</v>
      </c>
      <c r="C159" s="41">
        <v>8</v>
      </c>
      <c r="D159" s="38">
        <f>49.2510255469128*((1+5%))</f>
        <v>51.713576824258439</v>
      </c>
      <c r="E159" s="39">
        <f>50.0988886254446*((1+5%))</f>
        <v>52.603833056716837</v>
      </c>
      <c r="F159" s="39">
        <f>48.1534455462331*((1+5%))</f>
        <v>50.561117823544755</v>
      </c>
      <c r="G159" s="39">
        <f>59.7522293930769*((1+5%))</f>
        <v>62.739840862730752</v>
      </c>
      <c r="H159" s="39">
        <f>55.6082161671912*((1+5%))</f>
        <v>58.388626975550764</v>
      </c>
      <c r="I159" s="39">
        <f>61.7354027876382*((1+5%))</f>
        <v>64.822172927020119</v>
      </c>
      <c r="J159" s="39">
        <f>67.0579654255247*((1+5%))</f>
        <v>70.410863696800931</v>
      </c>
      <c r="K159" s="39">
        <f>77.0373785454057*((1+5%))</f>
        <v>80.88924747267599</v>
      </c>
      <c r="L159" s="39">
        <f>74.167373011487*((1+5%))</f>
        <v>77.875741662061358</v>
      </c>
      <c r="M159" s="39">
        <f>72.4743545857172*((1+5%))</f>
        <v>76.098072315003051</v>
      </c>
      <c r="N159" s="39">
        <f>77.4975205954591*((1+5%))</f>
        <v>81.372396625232057</v>
      </c>
      <c r="O159" s="39">
        <f>168.898169595142*((1+5%))</f>
        <v>177.34307807489913</v>
      </c>
      <c r="P159" s="39">
        <f>107.330501325107*((1+5%))</f>
        <v>112.69702639136234</v>
      </c>
      <c r="Q159" s="39">
        <f>143.074789858113*((1+5%))</f>
        <v>150.22852935101866</v>
      </c>
      <c r="R159" s="39">
        <f>118.787380018946*((1+5%))</f>
        <v>124.7267490198933</v>
      </c>
      <c r="S159" s="39">
        <f>161.255318832293*((1+5%))</f>
        <v>169.31808477390766</v>
      </c>
      <c r="T159" s="39">
        <f>168.504280862727*((1+5%))</f>
        <v>176.92949490586335</v>
      </c>
      <c r="U159" s="39">
        <f>114.635171366162*((1+5%))</f>
        <v>120.36692993447011</v>
      </c>
      <c r="V159" s="39">
        <f>101.608091798697*((1+5%))</f>
        <v>106.68849638863186</v>
      </c>
      <c r="W159" s="39">
        <f>102.289641545555*((1+5%))</f>
        <v>107.40412362283276</v>
      </c>
      <c r="X159" s="39">
        <f>109.229503130383*((1+5%))</f>
        <v>114.69097828690215</v>
      </c>
      <c r="Y159" s="39">
        <f>110.583755761263*((1+5%))</f>
        <v>116.11294354932616</v>
      </c>
      <c r="Z159" s="39">
        <f>111.080243699463*((1+5%))</f>
        <v>116.63425588443616</v>
      </c>
      <c r="AA159" s="39">
        <f>104.54607414123*((1+5%))</f>
        <v>109.7733778482915</v>
      </c>
      <c r="AB159" s="39">
        <f>110.012993690835*((1+5%))</f>
        <v>115.51364337537676</v>
      </c>
      <c r="AC159" s="39">
        <f>104.89819361466*((1+5%))</f>
        <v>110.143103295393</v>
      </c>
      <c r="AD159" s="40">
        <f>105.110521657139*((1+5%))</f>
        <v>110.36604773999596</v>
      </c>
    </row>
    <row r="160" spans="2:30" ht="15.75" x14ac:dyDescent="0.25">
      <c r="B160" s="41">
        <v>8.01</v>
      </c>
      <c r="C160" s="41">
        <v>9</v>
      </c>
      <c r="D160" s="35">
        <f>53.9607778320283*((1+5%))</f>
        <v>56.65881672362972</v>
      </c>
      <c r="E160" s="36">
        <f>54.8891337654619*((1+5%))</f>
        <v>57.633590453734996</v>
      </c>
      <c r="F160" s="36">
        <f>52.274013531381*((1+5%))</f>
        <v>54.887714207950054</v>
      </c>
      <c r="G160" s="36">
        <f>65.6085398036892*((1+5%))</f>
        <v>68.888966793873664</v>
      </c>
      <c r="H160" s="36">
        <f>60.4269707522395*((1+5%))</f>
        <v>63.448319289851476</v>
      </c>
      <c r="I160" s="36">
        <f>67.095914252441*((1+5%))</f>
        <v>70.450709965063055</v>
      </c>
      <c r="J160" s="36">
        <f>73.5283285368937*((1+5%))</f>
        <v>77.204744963738378</v>
      </c>
      <c r="K160" s="36">
        <f>83.1460993239227*((1+5%))</f>
        <v>87.303404290118834</v>
      </c>
      <c r="L160" s="36">
        <f>80.0372351086645*((1+5%))</f>
        <v>84.039096864097729</v>
      </c>
      <c r="M160" s="36">
        <f>78.3363380088967*((1+5%))</f>
        <v>82.253154909341546</v>
      </c>
      <c r="N160" s="36">
        <f>83.8525945239276*((1+5%))</f>
        <v>88.045224250123994</v>
      </c>
      <c r="O160" s="36">
        <f>181.357049054656*((1+5%))</f>
        <v>190.4249015073888</v>
      </c>
      <c r="P160" s="36">
        <f>130.04526741999*((1+5%))</f>
        <v>136.54753079098953</v>
      </c>
      <c r="Q160" s="36">
        <f>158.103627955171*((1+5%))</f>
        <v>166.00880935292955</v>
      </c>
      <c r="R160" s="36">
        <f>137.27278720767*((1+5%))</f>
        <v>144.13642656805351</v>
      </c>
      <c r="S160" s="36">
        <f>178.185110619479*((1+5%))</f>
        <v>187.09436615045294</v>
      </c>
      <c r="T160" s="36">
        <f>180.923771448999*((1+5%))</f>
        <v>189.96996002144894</v>
      </c>
      <c r="U160" s="36">
        <f>125.096313502778*((1+5%))</f>
        <v>131.3511291779169</v>
      </c>
      <c r="V160" s="36">
        <f>111.673976544349*((1+5%))</f>
        <v>117.25767537156646</v>
      </c>
      <c r="W160" s="36">
        <f>112.422732021551*((1+5%))</f>
        <v>118.04386862262855</v>
      </c>
      <c r="X160" s="36">
        <f>120.048796451889*((1+5%))</f>
        <v>126.05123627448346</v>
      </c>
      <c r="Y160" s="36">
        <f>121.535637689585*((1+5%))</f>
        <v>127.61241957406426</v>
      </c>
      <c r="Z160" s="36">
        <f>122.081082926424*((1+5%))</f>
        <v>128.18513707274522</v>
      </c>
      <c r="AA160" s="36">
        <f>114.902597029765*((1+5%))</f>
        <v>120.64772688125326</v>
      </c>
      <c r="AB160" s="36">
        <f>121.607391491692*((1+5%))</f>
        <v>127.68776106627661</v>
      </c>
      <c r="AC160" s="36">
        <f>115.289438027911*((1+5%))</f>
        <v>121.05390992930656</v>
      </c>
      <c r="AD160" s="37">
        <f>115.522703149792*((1+5%))</f>
        <v>121.2988383072816</v>
      </c>
    </row>
    <row r="161" spans="2:30" ht="15.75" x14ac:dyDescent="0.25">
      <c r="B161" s="41">
        <v>9.01</v>
      </c>
      <c r="C161" s="41">
        <v>10</v>
      </c>
      <c r="D161" s="38">
        <f>58.6451622360328*((1+5%))</f>
        <v>61.577420347834448</v>
      </c>
      <c r="E161" s="39">
        <f>59.9367747486478*((1+5%))</f>
        <v>62.933613486080191</v>
      </c>
      <c r="F161" s="39">
        <f>56.6014761245105*((1+5%))</f>
        <v>59.431549930736026</v>
      </c>
      <c r="G161" s="39">
        <f>71.8033481582108*((1+5%))</f>
        <v>75.393515566121337</v>
      </c>
      <c r="H161" s="39">
        <f>65.584223281197*((1+5%))</f>
        <v>68.863434445256857</v>
      </c>
      <c r="I161" s="39">
        <f>72.794923661153*((1+5%))</f>
        <v>76.43466984421066</v>
      </c>
      <c r="J161" s="39">
        <f>80.3371895921719*((1+5%))</f>
        <v>84.354049071780494</v>
      </c>
      <c r="K161" s="39">
        <f>89.5971995904458*((1+5%))</f>
        <v>94.077059569968085</v>
      </c>
      <c r="L161" s="39">
        <f>86.2230817809987*((1+5%))</f>
        <v>90.534235870048633</v>
      </c>
      <c r="M161" s="39">
        <f>84.8060473309929*((1+5%))</f>
        <v>89.046349697542539</v>
      </c>
      <c r="N161" s="39">
        <f>90.4467336515856*((1+5%))</f>
        <v>94.969070334164883</v>
      </c>
      <c r="O161" s="39">
        <f>199.308887299969*((1+5%))</f>
        <v>209.27433166496746</v>
      </c>
      <c r="P161" s="39">
        <f>149.639232275427*((1+5%))</f>
        <v>157.12119388919834</v>
      </c>
      <c r="Q161" s="39">
        <f>173.148814666421*((1+5%))</f>
        <v>181.80625539974207</v>
      </c>
      <c r="R161" s="39">
        <f>150.242505066823*((1+5%))</f>
        <v>157.75463032016418</v>
      </c>
      <c r="S161" s="39">
        <f>195.145503640218*((1+5%))</f>
        <v>204.90277882222892</v>
      </c>
      <c r="T161" s="39">
        <f>167.280720102581*((1+5%))</f>
        <v>175.64475610771007</v>
      </c>
      <c r="U161" s="39">
        <f>135.554112968028*((1+5%))</f>
        <v>142.33181861642939</v>
      </c>
      <c r="V161" s="39">
        <f>122.826997460475*((1+5%))</f>
        <v>128.96834733349874</v>
      </c>
      <c r="W161" s="39">
        <f>123.650484718013*((1+5%))</f>
        <v>129.83300895391366</v>
      </c>
      <c r="X161" s="39">
        <f>132.037976773153*((1+5%))</f>
        <v>138.63987561181065</v>
      </c>
      <c r="Y161" s="39">
        <f>133.673072510095*((1+5%))</f>
        <v>140.35672613559976</v>
      </c>
      <c r="Z161" s="39">
        <f>134.27295754052*((1+5%))</f>
        <v>140.986605417546</v>
      </c>
      <c r="AA161" s="39">
        <f>126.378001384188*((1+5%))</f>
        <v>132.6969014533974</v>
      </c>
      <c r="AB161" s="39">
        <f>133.549835522993*((1+5%))</f>
        <v>140.22732729914264</v>
      </c>
      <c r="AC161" s="39">
        <f>126.803452205406*((1+5%))</f>
        <v>133.1436248156763</v>
      </c>
      <c r="AD161" s="40">
        <f>127.059999050599*((1+5%))</f>
        <v>133.41299900312896</v>
      </c>
    </row>
    <row r="162" spans="2:30" x14ac:dyDescent="0.25">
      <c r="B162" s="41">
        <v>10.01</v>
      </c>
      <c r="C162" s="41">
        <v>11</v>
      </c>
      <c r="D162" s="42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4"/>
    </row>
    <row r="163" spans="2:30" x14ac:dyDescent="0.25">
      <c r="B163" s="41">
        <v>11.01</v>
      </c>
      <c r="C163" s="41">
        <v>12</v>
      </c>
      <c r="D163" s="45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7"/>
    </row>
    <row r="164" spans="2:30" x14ac:dyDescent="0.25">
      <c r="B164" s="41">
        <v>12.01</v>
      </c>
      <c r="C164" s="41">
        <v>13</v>
      </c>
      <c r="D164" s="42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4"/>
    </row>
    <row r="165" spans="2:30" x14ac:dyDescent="0.25">
      <c r="B165" s="41">
        <v>13.01</v>
      </c>
      <c r="C165" s="41">
        <v>14</v>
      </c>
      <c r="D165" s="45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7"/>
    </row>
    <row r="166" spans="2:30" x14ac:dyDescent="0.25">
      <c r="B166" s="41">
        <v>14.01</v>
      </c>
      <c r="C166" s="41">
        <v>15</v>
      </c>
      <c r="D166" s="42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4"/>
    </row>
    <row r="167" spans="2:30" x14ac:dyDescent="0.25">
      <c r="B167" s="41">
        <v>15.01</v>
      </c>
      <c r="C167" s="41">
        <v>16</v>
      </c>
      <c r="D167" s="45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7"/>
    </row>
    <row r="168" spans="2:30" x14ac:dyDescent="0.25">
      <c r="B168" s="41">
        <v>16.010000000000002</v>
      </c>
      <c r="C168" s="41">
        <v>17</v>
      </c>
      <c r="D168" s="42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4"/>
    </row>
    <row r="169" spans="2:30" x14ac:dyDescent="0.25">
      <c r="B169" s="41">
        <v>17.010000000000002</v>
      </c>
      <c r="C169" s="41">
        <v>18</v>
      </c>
      <c r="D169" s="45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46"/>
      <c r="AD169" s="47"/>
    </row>
    <row r="170" spans="2:30" x14ac:dyDescent="0.25">
      <c r="B170" s="41">
        <v>18.010000000000002</v>
      </c>
      <c r="C170" s="41">
        <v>19</v>
      </c>
      <c r="D170" s="42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4"/>
    </row>
    <row r="171" spans="2:30" x14ac:dyDescent="0.25">
      <c r="B171" s="41">
        <v>19.010000000000002</v>
      </c>
      <c r="C171" s="41">
        <v>20</v>
      </c>
      <c r="D171" s="45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  <c r="AD171" s="47"/>
    </row>
    <row r="172" spans="2:30" x14ac:dyDescent="0.25">
      <c r="B172" s="41">
        <v>20.010000000000002</v>
      </c>
      <c r="C172" s="41">
        <v>21</v>
      </c>
      <c r="D172" s="42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4"/>
    </row>
    <row r="173" spans="2:30" x14ac:dyDescent="0.25">
      <c r="B173" s="41">
        <v>21.01</v>
      </c>
      <c r="C173" s="41">
        <v>22</v>
      </c>
      <c r="D173" s="45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7"/>
    </row>
    <row r="174" spans="2:30" x14ac:dyDescent="0.25">
      <c r="B174" s="41">
        <v>22.01</v>
      </c>
      <c r="C174" s="41">
        <v>23</v>
      </c>
      <c r="D174" s="42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4"/>
    </row>
    <row r="175" spans="2:30" x14ac:dyDescent="0.25">
      <c r="B175" s="41">
        <v>23.01</v>
      </c>
      <c r="C175" s="41">
        <v>24</v>
      </c>
      <c r="D175" s="45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7"/>
    </row>
    <row r="176" spans="2:30" x14ac:dyDescent="0.25">
      <c r="B176" s="41">
        <v>24.01</v>
      </c>
      <c r="C176" s="41">
        <v>25</v>
      </c>
      <c r="D176" s="42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4"/>
    </row>
    <row r="177" spans="2:30" x14ac:dyDescent="0.25">
      <c r="B177" s="41">
        <v>25.01</v>
      </c>
      <c r="C177" s="41">
        <v>26</v>
      </c>
      <c r="D177" s="45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7"/>
    </row>
    <row r="178" spans="2:30" x14ac:dyDescent="0.25">
      <c r="B178" s="41">
        <v>26.01</v>
      </c>
      <c r="C178" s="41">
        <v>27</v>
      </c>
      <c r="D178" s="42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4"/>
    </row>
    <row r="179" spans="2:30" x14ac:dyDescent="0.25">
      <c r="B179" s="41">
        <v>27.01</v>
      </c>
      <c r="C179" s="41">
        <v>28</v>
      </c>
      <c r="D179" s="45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7"/>
    </row>
    <row r="180" spans="2:30" x14ac:dyDescent="0.25">
      <c r="B180" s="41">
        <v>28.01</v>
      </c>
      <c r="C180" s="41">
        <v>29</v>
      </c>
      <c r="D180" s="42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4"/>
    </row>
    <row r="181" spans="2:30" x14ac:dyDescent="0.25">
      <c r="B181" s="41">
        <v>29.01</v>
      </c>
      <c r="C181" s="41">
        <v>30</v>
      </c>
      <c r="D181" s="45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7"/>
    </row>
    <row r="182" spans="2:30" ht="15.75" customHeight="1" x14ac:dyDescent="0.25">
      <c r="B182" s="48" t="s">
        <v>5399</v>
      </c>
      <c r="C182" s="48" t="s">
        <v>15</v>
      </c>
      <c r="D182" s="49">
        <v>3.0428788910505911</v>
      </c>
      <c r="E182" s="50">
        <v>3.0428788910505911</v>
      </c>
      <c r="F182" s="50">
        <v>3.0428788910505911</v>
      </c>
      <c r="G182" s="50">
        <v>3.0428788910505911</v>
      </c>
      <c r="H182" s="50">
        <v>3.0428788910505911</v>
      </c>
      <c r="I182" s="50">
        <v>3.0428788910505911</v>
      </c>
      <c r="J182" s="50">
        <v>3.0428788910505911</v>
      </c>
      <c r="K182" s="50">
        <v>3.0428788910505911</v>
      </c>
      <c r="L182" s="50">
        <v>3.0428788910505911</v>
      </c>
      <c r="M182" s="50">
        <v>3.0428788910505911</v>
      </c>
      <c r="N182" s="50">
        <v>3.0428788910505911</v>
      </c>
      <c r="O182" s="50">
        <v>3.0428788910505911</v>
      </c>
      <c r="P182" s="50">
        <v>3.0428788910505911</v>
      </c>
      <c r="Q182" s="50">
        <v>3.0428788910505911</v>
      </c>
      <c r="R182" s="50">
        <v>3.0428788910505911</v>
      </c>
      <c r="S182" s="50">
        <v>3.0428788910505911</v>
      </c>
      <c r="T182" s="50">
        <v>3.0428788910505911</v>
      </c>
      <c r="U182" s="50">
        <v>3.0428788910505911</v>
      </c>
      <c r="V182" s="50">
        <v>3.0428788910505911</v>
      </c>
      <c r="W182" s="50">
        <v>3.0428788910505911</v>
      </c>
      <c r="X182" s="50">
        <v>3.0428788910505911</v>
      </c>
      <c r="Y182" s="50">
        <v>3.0428788910505911</v>
      </c>
      <c r="Z182" s="50">
        <v>3.0428788910505911</v>
      </c>
      <c r="AA182" s="50">
        <v>3.0428788910505911</v>
      </c>
      <c r="AB182" s="50">
        <v>3.0428788910505911</v>
      </c>
      <c r="AC182" s="50">
        <v>3.0428788910505911</v>
      </c>
      <c r="AD182" s="51">
        <v>3.0428788910505911</v>
      </c>
    </row>
  </sheetData>
  <mergeCells count="26">
    <mergeCell ref="C6:E6"/>
    <mergeCell ref="M8:AD8"/>
    <mergeCell ref="B9:AD9"/>
    <mergeCell ref="D11:G11"/>
    <mergeCell ref="H11:J11"/>
    <mergeCell ref="K11:N11"/>
    <mergeCell ref="O11:T11"/>
    <mergeCell ref="V11:AD11"/>
    <mergeCell ref="B54:AD54"/>
    <mergeCell ref="D56:G56"/>
    <mergeCell ref="H56:J56"/>
    <mergeCell ref="K56:N56"/>
    <mergeCell ref="O56:T56"/>
    <mergeCell ref="V56:AD56"/>
    <mergeCell ref="B100:AD100"/>
    <mergeCell ref="D102:G102"/>
    <mergeCell ref="H102:J102"/>
    <mergeCell ref="K102:N102"/>
    <mergeCell ref="O102:T102"/>
    <mergeCell ref="V102:AD102"/>
    <mergeCell ref="B144:AD144"/>
    <mergeCell ref="D146:G146"/>
    <mergeCell ref="H146:J146"/>
    <mergeCell ref="K146:N146"/>
    <mergeCell ref="O146:T146"/>
    <mergeCell ref="V146:AD146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A561E-0AAF-444E-8C08-E0F480F8D396}">
  <dimension ref="A1:H3673"/>
  <sheetViews>
    <sheetView workbookViewId="0">
      <selection activeCell="T21" sqref="T21"/>
    </sheetView>
  </sheetViews>
  <sheetFormatPr defaultRowHeight="15" x14ac:dyDescent="0.25"/>
  <cols>
    <col min="1" max="1" width="5" style="68" bestFit="1" customWidth="1"/>
    <col min="2" max="2" width="8" style="68" bestFit="1" customWidth="1"/>
    <col min="3" max="3" width="7" style="68" bestFit="1" customWidth="1"/>
    <col min="4" max="4" width="10.28515625" style="68" bestFit="1" customWidth="1"/>
    <col min="5" max="5" width="7.42578125" style="69" bestFit="1" customWidth="1"/>
    <col min="6" max="6" width="13.85546875" style="68" bestFit="1" customWidth="1"/>
    <col min="7" max="7" width="8.28515625" style="68" bestFit="1" customWidth="1"/>
    <col min="8" max="8" width="16.5703125" style="68" bestFit="1" customWidth="1"/>
    <col min="9" max="16384" width="9.140625" style="65"/>
  </cols>
  <sheetData>
    <row r="1" spans="1:8" x14ac:dyDescent="0.25">
      <c r="A1" s="63" t="s">
        <v>5403</v>
      </c>
      <c r="B1" s="63" t="s">
        <v>5404</v>
      </c>
      <c r="C1" s="63" t="s">
        <v>5405</v>
      </c>
      <c r="D1" s="63" t="s">
        <v>5406</v>
      </c>
      <c r="E1" s="64" t="s">
        <v>5407</v>
      </c>
      <c r="F1" s="63" t="s">
        <v>5408</v>
      </c>
      <c r="G1" s="63" t="s">
        <v>5409</v>
      </c>
      <c r="H1" s="63" t="s">
        <v>5410</v>
      </c>
    </row>
    <row r="2" spans="1:8" x14ac:dyDescent="0.25">
      <c r="A2" s="63"/>
      <c r="B2" s="63">
        <v>0.25</v>
      </c>
      <c r="C2" s="63" t="s">
        <v>19</v>
      </c>
      <c r="D2" s="63" t="s">
        <v>21</v>
      </c>
      <c r="E2" s="66">
        <v>10.732823757657394</v>
      </c>
      <c r="F2" s="67">
        <v>3.0000000000000001E-3</v>
      </c>
      <c r="G2" s="67">
        <v>2E-3</v>
      </c>
      <c r="H2" s="63"/>
    </row>
    <row r="3" spans="1:8" x14ac:dyDescent="0.25">
      <c r="A3" s="63"/>
      <c r="B3" s="63">
        <v>0.5</v>
      </c>
      <c r="C3" s="63" t="s">
        <v>19</v>
      </c>
      <c r="D3" s="63" t="s">
        <v>21</v>
      </c>
      <c r="E3" s="66">
        <v>11.04856201020749</v>
      </c>
      <c r="F3" s="67">
        <v>3.0000000000000001E-3</v>
      </c>
      <c r="G3" s="67">
        <v>2E-3</v>
      </c>
      <c r="H3" s="63"/>
    </row>
    <row r="4" spans="1:8" x14ac:dyDescent="0.25">
      <c r="A4" s="63"/>
      <c r="B4" s="63">
        <v>0.75</v>
      </c>
      <c r="C4" s="63" t="s">
        <v>19</v>
      </c>
      <c r="D4" s="63" t="s">
        <v>21</v>
      </c>
      <c r="E4" s="66">
        <v>11.364751027066461</v>
      </c>
      <c r="F4" s="67">
        <v>3.0000000000000001E-3</v>
      </c>
      <c r="G4" s="67">
        <v>2E-3</v>
      </c>
      <c r="H4" s="63"/>
    </row>
    <row r="5" spans="1:8" x14ac:dyDescent="0.25">
      <c r="A5" s="63"/>
      <c r="B5" s="63">
        <v>1</v>
      </c>
      <c r="C5" s="63" t="s">
        <v>19</v>
      </c>
      <c r="D5" s="63" t="s">
        <v>21</v>
      </c>
      <c r="E5" s="66">
        <v>11.749173507902043</v>
      </c>
      <c r="F5" s="67">
        <v>3.0000000000000001E-3</v>
      </c>
      <c r="G5" s="67">
        <v>2E-3</v>
      </c>
      <c r="H5" s="63"/>
    </row>
    <row r="6" spans="1:8" x14ac:dyDescent="0.25">
      <c r="A6" s="63"/>
      <c r="B6" s="63">
        <v>2</v>
      </c>
      <c r="C6" s="63" t="s">
        <v>19</v>
      </c>
      <c r="D6" s="63" t="s">
        <v>21</v>
      </c>
      <c r="E6" s="66">
        <v>12.850564325687124</v>
      </c>
      <c r="F6" s="67">
        <v>3.0000000000000001E-3</v>
      </c>
      <c r="G6" s="67">
        <v>2E-3</v>
      </c>
      <c r="H6" s="63"/>
    </row>
    <row r="7" spans="1:8" x14ac:dyDescent="0.25">
      <c r="A7" s="63"/>
      <c r="B7" s="63">
        <v>3</v>
      </c>
      <c r="C7" s="63" t="s">
        <v>19</v>
      </c>
      <c r="D7" s="63" t="s">
        <v>21</v>
      </c>
      <c r="E7" s="66">
        <v>14.782637373051333</v>
      </c>
      <c r="F7" s="67">
        <v>3.0000000000000001E-3</v>
      </c>
      <c r="G7" s="67">
        <v>2E-3</v>
      </c>
      <c r="H7" s="63"/>
    </row>
    <row r="8" spans="1:8" x14ac:dyDescent="0.25">
      <c r="A8" s="63"/>
      <c r="B8" s="63">
        <v>4</v>
      </c>
      <c r="C8" s="63" t="s">
        <v>19</v>
      </c>
      <c r="D8" s="63" t="s">
        <v>21</v>
      </c>
      <c r="E8" s="66">
        <v>16.85024587052752</v>
      </c>
      <c r="F8" s="67">
        <v>3.0000000000000001E-3</v>
      </c>
      <c r="G8" s="67">
        <v>2E-3</v>
      </c>
      <c r="H8" s="63"/>
    </row>
    <row r="9" spans="1:8" x14ac:dyDescent="0.25">
      <c r="A9" s="63"/>
      <c r="B9" s="63">
        <v>5</v>
      </c>
      <c r="C9" s="63" t="s">
        <v>19</v>
      </c>
      <c r="D9" s="63" t="s">
        <v>21</v>
      </c>
      <c r="E9" s="66">
        <v>19.120701872341421</v>
      </c>
      <c r="F9" s="67">
        <v>3.0000000000000001E-3</v>
      </c>
      <c r="G9" s="67">
        <v>2E-3</v>
      </c>
      <c r="H9" s="63"/>
    </row>
    <row r="10" spans="1:8" x14ac:dyDescent="0.25">
      <c r="A10" s="63"/>
      <c r="B10" s="63">
        <v>6</v>
      </c>
      <c r="C10" s="63" t="s">
        <v>19</v>
      </c>
      <c r="D10" s="63" t="s">
        <v>21</v>
      </c>
      <c r="E10" s="66">
        <v>21.180732467605459</v>
      </c>
      <c r="F10" s="67">
        <v>3.0000000000000001E-3</v>
      </c>
      <c r="G10" s="67">
        <v>2E-3</v>
      </c>
      <c r="H10" s="63"/>
    </row>
    <row r="11" spans="1:8" x14ac:dyDescent="0.25">
      <c r="A11" s="63"/>
      <c r="B11" s="63">
        <v>7</v>
      </c>
      <c r="C11" s="63" t="s">
        <v>19</v>
      </c>
      <c r="D11" s="63" t="s">
        <v>21</v>
      </c>
      <c r="E11" s="66">
        <v>23.311209829410082</v>
      </c>
      <c r="F11" s="67">
        <v>3.0000000000000001E-3</v>
      </c>
      <c r="G11" s="67">
        <v>2E-3</v>
      </c>
      <c r="H11" s="63"/>
    </row>
    <row r="12" spans="1:8" x14ac:dyDescent="0.25">
      <c r="A12" s="63"/>
      <c r="B12" s="63">
        <v>8</v>
      </c>
      <c r="C12" s="63" t="s">
        <v>19</v>
      </c>
      <c r="D12" s="63" t="s">
        <v>21</v>
      </c>
      <c r="E12" s="66">
        <v>25.5191786344094</v>
      </c>
      <c r="F12" s="67">
        <v>3.0000000000000001E-3</v>
      </c>
      <c r="G12" s="67">
        <v>2E-3</v>
      </c>
      <c r="H12" s="63"/>
    </row>
    <row r="13" spans="1:8" x14ac:dyDescent="0.25">
      <c r="A13" s="63"/>
      <c r="B13" s="63">
        <v>9</v>
      </c>
      <c r="C13" s="63" t="s">
        <v>19</v>
      </c>
      <c r="D13" s="63" t="s">
        <v>21</v>
      </c>
      <c r="E13" s="66">
        <v>27.812388026922832</v>
      </c>
      <c r="F13" s="67">
        <v>3.0000000000000001E-3</v>
      </c>
      <c r="G13" s="67">
        <v>2E-3</v>
      </c>
      <c r="H13" s="63"/>
    </row>
    <row r="14" spans="1:8" x14ac:dyDescent="0.25">
      <c r="A14" s="63"/>
      <c r="B14" s="63">
        <v>10</v>
      </c>
      <c r="C14" s="63" t="s">
        <v>19</v>
      </c>
      <c r="D14" s="63" t="s">
        <v>21</v>
      </c>
      <c r="E14" s="66">
        <v>29.713125400067604</v>
      </c>
      <c r="F14" s="67">
        <v>3.0000000000000001E-3</v>
      </c>
      <c r="G14" s="67">
        <v>2E-3</v>
      </c>
      <c r="H14" s="63"/>
    </row>
    <row r="15" spans="1:8" x14ac:dyDescent="0.25">
      <c r="A15" s="63"/>
      <c r="B15" s="63">
        <v>11</v>
      </c>
      <c r="C15" s="63" t="s">
        <v>19</v>
      </c>
      <c r="D15" s="63" t="s">
        <v>21</v>
      </c>
      <c r="E15" s="66"/>
      <c r="F15" s="67">
        <v>3.0000000000000001E-3</v>
      </c>
      <c r="G15" s="67">
        <v>2E-3</v>
      </c>
      <c r="H15" s="63"/>
    </row>
    <row r="16" spans="1:8" x14ac:dyDescent="0.25">
      <c r="A16" s="63"/>
      <c r="B16" s="63">
        <v>12</v>
      </c>
      <c r="C16" s="63" t="s">
        <v>19</v>
      </c>
      <c r="D16" s="63" t="s">
        <v>21</v>
      </c>
      <c r="E16" s="66"/>
      <c r="F16" s="67">
        <v>3.0000000000000001E-3</v>
      </c>
      <c r="G16" s="67">
        <v>2E-3</v>
      </c>
      <c r="H16" s="63"/>
    </row>
    <row r="17" spans="1:8" x14ac:dyDescent="0.25">
      <c r="A17" s="63"/>
      <c r="B17" s="63">
        <v>13</v>
      </c>
      <c r="C17" s="63" t="s">
        <v>19</v>
      </c>
      <c r="D17" s="63" t="s">
        <v>21</v>
      </c>
      <c r="E17" s="66"/>
      <c r="F17" s="67">
        <v>3.0000000000000001E-3</v>
      </c>
      <c r="G17" s="67">
        <v>2E-3</v>
      </c>
      <c r="H17" s="63"/>
    </row>
    <row r="18" spans="1:8" x14ac:dyDescent="0.25">
      <c r="A18" s="63"/>
      <c r="B18" s="63">
        <v>14</v>
      </c>
      <c r="C18" s="63" t="s">
        <v>19</v>
      </c>
      <c r="D18" s="63" t="s">
        <v>21</v>
      </c>
      <c r="E18" s="66"/>
      <c r="F18" s="67">
        <v>3.0000000000000001E-3</v>
      </c>
      <c r="G18" s="67">
        <v>2E-3</v>
      </c>
      <c r="H18" s="63"/>
    </row>
    <row r="19" spans="1:8" x14ac:dyDescent="0.25">
      <c r="A19" s="63"/>
      <c r="B19" s="63">
        <v>15</v>
      </c>
      <c r="C19" s="63" t="s">
        <v>19</v>
      </c>
      <c r="D19" s="63" t="s">
        <v>21</v>
      </c>
      <c r="E19" s="66"/>
      <c r="F19" s="67">
        <v>3.0000000000000001E-3</v>
      </c>
      <c r="G19" s="67">
        <v>2E-3</v>
      </c>
      <c r="H19" s="63"/>
    </row>
    <row r="20" spans="1:8" x14ac:dyDescent="0.25">
      <c r="A20" s="63"/>
      <c r="B20" s="63">
        <v>16</v>
      </c>
      <c r="C20" s="63" t="s">
        <v>19</v>
      </c>
      <c r="D20" s="63" t="s">
        <v>21</v>
      </c>
      <c r="E20" s="66"/>
      <c r="F20" s="67">
        <v>3.0000000000000001E-3</v>
      </c>
      <c r="G20" s="67">
        <v>2E-3</v>
      </c>
      <c r="H20" s="63"/>
    </row>
    <row r="21" spans="1:8" x14ac:dyDescent="0.25">
      <c r="A21" s="63"/>
      <c r="B21" s="63">
        <v>17</v>
      </c>
      <c r="C21" s="63" t="s">
        <v>19</v>
      </c>
      <c r="D21" s="63" t="s">
        <v>21</v>
      </c>
      <c r="E21" s="66"/>
      <c r="F21" s="67">
        <v>3.0000000000000001E-3</v>
      </c>
      <c r="G21" s="67">
        <v>2E-3</v>
      </c>
      <c r="H21" s="63"/>
    </row>
    <row r="22" spans="1:8" x14ac:dyDescent="0.25">
      <c r="A22" s="63"/>
      <c r="B22" s="63">
        <v>18</v>
      </c>
      <c r="C22" s="63" t="s">
        <v>19</v>
      </c>
      <c r="D22" s="63" t="s">
        <v>21</v>
      </c>
      <c r="E22" s="66"/>
      <c r="F22" s="67">
        <v>3.0000000000000001E-3</v>
      </c>
      <c r="G22" s="67">
        <v>2E-3</v>
      </c>
      <c r="H22" s="63"/>
    </row>
    <row r="23" spans="1:8" x14ac:dyDescent="0.25">
      <c r="A23" s="63"/>
      <c r="B23" s="63">
        <v>19</v>
      </c>
      <c r="C23" s="63" t="s">
        <v>19</v>
      </c>
      <c r="D23" s="63" t="s">
        <v>21</v>
      </c>
      <c r="E23" s="66"/>
      <c r="F23" s="67">
        <v>3.0000000000000001E-3</v>
      </c>
      <c r="G23" s="67">
        <v>2E-3</v>
      </c>
      <c r="H23" s="63"/>
    </row>
    <row r="24" spans="1:8" x14ac:dyDescent="0.25">
      <c r="A24" s="63"/>
      <c r="B24" s="63">
        <v>20</v>
      </c>
      <c r="C24" s="63" t="s">
        <v>19</v>
      </c>
      <c r="D24" s="63" t="s">
        <v>21</v>
      </c>
      <c r="E24" s="66"/>
      <c r="F24" s="67">
        <v>3.0000000000000001E-3</v>
      </c>
      <c r="G24" s="67">
        <v>2E-3</v>
      </c>
      <c r="H24" s="63"/>
    </row>
    <row r="25" spans="1:8" x14ac:dyDescent="0.25">
      <c r="A25" s="63"/>
      <c r="B25" s="63">
        <v>21</v>
      </c>
      <c r="C25" s="63" t="s">
        <v>19</v>
      </c>
      <c r="D25" s="63" t="s">
        <v>21</v>
      </c>
      <c r="E25" s="66"/>
      <c r="F25" s="67">
        <v>3.0000000000000001E-3</v>
      </c>
      <c r="G25" s="67">
        <v>2E-3</v>
      </c>
      <c r="H25" s="63"/>
    </row>
    <row r="26" spans="1:8" x14ac:dyDescent="0.25">
      <c r="A26" s="63"/>
      <c r="B26" s="63">
        <v>22</v>
      </c>
      <c r="C26" s="63" t="s">
        <v>19</v>
      </c>
      <c r="D26" s="63" t="s">
        <v>21</v>
      </c>
      <c r="E26" s="66"/>
      <c r="F26" s="67">
        <v>3.0000000000000001E-3</v>
      </c>
      <c r="G26" s="67">
        <v>2E-3</v>
      </c>
      <c r="H26" s="63"/>
    </row>
    <row r="27" spans="1:8" x14ac:dyDescent="0.25">
      <c r="A27" s="63"/>
      <c r="B27" s="63">
        <v>23</v>
      </c>
      <c r="C27" s="63" t="s">
        <v>19</v>
      </c>
      <c r="D27" s="63" t="s">
        <v>21</v>
      </c>
      <c r="E27" s="66"/>
      <c r="F27" s="67">
        <v>3.0000000000000001E-3</v>
      </c>
      <c r="G27" s="67">
        <v>2E-3</v>
      </c>
      <c r="H27" s="63"/>
    </row>
    <row r="28" spans="1:8" x14ac:dyDescent="0.25">
      <c r="A28" s="63"/>
      <c r="B28" s="63">
        <v>24</v>
      </c>
      <c r="C28" s="63" t="s">
        <v>19</v>
      </c>
      <c r="D28" s="63" t="s">
        <v>21</v>
      </c>
      <c r="E28" s="66"/>
      <c r="F28" s="67">
        <v>3.0000000000000001E-3</v>
      </c>
      <c r="G28" s="67">
        <v>2E-3</v>
      </c>
      <c r="H28" s="63"/>
    </row>
    <row r="29" spans="1:8" x14ac:dyDescent="0.25">
      <c r="A29" s="63"/>
      <c r="B29" s="63">
        <v>25</v>
      </c>
      <c r="C29" s="63" t="s">
        <v>19</v>
      </c>
      <c r="D29" s="63" t="s">
        <v>21</v>
      </c>
      <c r="E29" s="66"/>
      <c r="F29" s="67">
        <v>3.0000000000000001E-3</v>
      </c>
      <c r="G29" s="67">
        <v>2E-3</v>
      </c>
      <c r="H29" s="63"/>
    </row>
    <row r="30" spans="1:8" x14ac:dyDescent="0.25">
      <c r="A30" s="63"/>
      <c r="B30" s="63">
        <v>26</v>
      </c>
      <c r="C30" s="63" t="s">
        <v>19</v>
      </c>
      <c r="D30" s="63" t="s">
        <v>21</v>
      </c>
      <c r="E30" s="66"/>
      <c r="F30" s="67">
        <v>3.0000000000000001E-3</v>
      </c>
      <c r="G30" s="67">
        <v>2E-3</v>
      </c>
      <c r="H30" s="63"/>
    </row>
    <row r="31" spans="1:8" x14ac:dyDescent="0.25">
      <c r="A31" s="63"/>
      <c r="B31" s="63">
        <v>27</v>
      </c>
      <c r="C31" s="63" t="s">
        <v>19</v>
      </c>
      <c r="D31" s="63" t="s">
        <v>21</v>
      </c>
      <c r="E31" s="66"/>
      <c r="F31" s="67">
        <v>3.0000000000000001E-3</v>
      </c>
      <c r="G31" s="67">
        <v>2E-3</v>
      </c>
      <c r="H31" s="63"/>
    </row>
    <row r="32" spans="1:8" x14ac:dyDescent="0.25">
      <c r="A32" s="63"/>
      <c r="B32" s="63">
        <v>28</v>
      </c>
      <c r="C32" s="63" t="s">
        <v>19</v>
      </c>
      <c r="D32" s="63" t="s">
        <v>21</v>
      </c>
      <c r="E32" s="66"/>
      <c r="F32" s="67">
        <v>3.0000000000000001E-3</v>
      </c>
      <c r="G32" s="67">
        <v>2E-3</v>
      </c>
      <c r="H32" s="63"/>
    </row>
    <row r="33" spans="1:8" x14ac:dyDescent="0.25">
      <c r="A33" s="63"/>
      <c r="B33" s="63">
        <v>29</v>
      </c>
      <c r="C33" s="63" t="s">
        <v>19</v>
      </c>
      <c r="D33" s="63" t="s">
        <v>21</v>
      </c>
      <c r="E33" s="66"/>
      <c r="F33" s="67">
        <v>3.0000000000000001E-3</v>
      </c>
      <c r="G33" s="67">
        <v>2E-3</v>
      </c>
      <c r="H33" s="63"/>
    </row>
    <row r="34" spans="1:8" x14ac:dyDescent="0.25">
      <c r="A34" s="63"/>
      <c r="B34" s="63">
        <v>30</v>
      </c>
      <c r="C34" s="63" t="s">
        <v>19</v>
      </c>
      <c r="D34" s="63" t="s">
        <v>21</v>
      </c>
      <c r="E34" s="66"/>
      <c r="F34" s="67">
        <v>3.0000000000000001E-3</v>
      </c>
      <c r="G34" s="67">
        <v>2E-3</v>
      </c>
      <c r="H34" s="63"/>
    </row>
    <row r="35" spans="1:8" x14ac:dyDescent="0.25">
      <c r="A35" s="63"/>
      <c r="B35" s="63">
        <v>0</v>
      </c>
      <c r="C35" s="63" t="s">
        <v>19</v>
      </c>
      <c r="D35" s="63" t="s">
        <v>21</v>
      </c>
      <c r="E35" s="66">
        <v>3.0428788910505911</v>
      </c>
      <c r="F35" s="67">
        <v>3.0000000000000001E-3</v>
      </c>
      <c r="G35" s="67">
        <v>2E-3</v>
      </c>
      <c r="H35" s="63"/>
    </row>
    <row r="36" spans="1:8" x14ac:dyDescent="0.25">
      <c r="A36" s="63"/>
      <c r="B36" s="63">
        <v>0.25</v>
      </c>
      <c r="C36" s="63" t="s">
        <v>19</v>
      </c>
      <c r="D36" s="63" t="s">
        <v>62</v>
      </c>
      <c r="E36" s="66">
        <v>14.260089507934383</v>
      </c>
      <c r="F36" s="67">
        <v>3.0000000000000001E-3</v>
      </c>
      <c r="G36" s="67">
        <v>2E-3</v>
      </c>
      <c r="H36" s="63"/>
    </row>
    <row r="37" spans="1:8" x14ac:dyDescent="0.25">
      <c r="A37" s="63"/>
      <c r="B37" s="63">
        <v>0.5</v>
      </c>
      <c r="C37" s="63" t="s">
        <v>19</v>
      </c>
      <c r="D37" s="63" t="s">
        <v>62</v>
      </c>
      <c r="E37" s="66">
        <v>14.434686024139818</v>
      </c>
      <c r="F37" s="67">
        <v>3.0000000000000001E-3</v>
      </c>
      <c r="G37" s="67">
        <v>2E-3</v>
      </c>
      <c r="H37" s="63"/>
    </row>
    <row r="38" spans="1:8" x14ac:dyDescent="0.25">
      <c r="A38" s="63"/>
      <c r="B38" s="63">
        <v>0.75</v>
      </c>
      <c r="C38" s="63" t="s">
        <v>19</v>
      </c>
      <c r="D38" s="63" t="s">
        <v>62</v>
      </c>
      <c r="E38" s="66">
        <v>14.722027102535575</v>
      </c>
      <c r="F38" s="67">
        <v>3.0000000000000001E-3</v>
      </c>
      <c r="G38" s="67">
        <v>2E-3</v>
      </c>
      <c r="H38" s="63"/>
    </row>
    <row r="39" spans="1:8" x14ac:dyDescent="0.25">
      <c r="A39" s="63"/>
      <c r="B39" s="63">
        <v>1</v>
      </c>
      <c r="C39" s="63" t="s">
        <v>19</v>
      </c>
      <c r="D39" s="63" t="s">
        <v>62</v>
      </c>
      <c r="E39" s="66">
        <v>15.677715915555218</v>
      </c>
      <c r="F39" s="67">
        <v>3.0000000000000001E-3</v>
      </c>
      <c r="G39" s="67">
        <v>2E-3</v>
      </c>
      <c r="H39" s="63"/>
    </row>
    <row r="40" spans="1:8" x14ac:dyDescent="0.25">
      <c r="A40" s="63"/>
      <c r="B40" s="63">
        <v>2</v>
      </c>
      <c r="C40" s="63" t="s">
        <v>19</v>
      </c>
      <c r="D40" s="63" t="s">
        <v>62</v>
      </c>
      <c r="E40" s="66">
        <v>17.010379604817192</v>
      </c>
      <c r="F40" s="67">
        <v>3.0000000000000001E-3</v>
      </c>
      <c r="G40" s="67">
        <v>2E-3</v>
      </c>
      <c r="H40" s="63"/>
    </row>
    <row r="41" spans="1:8" x14ac:dyDescent="0.25">
      <c r="A41" s="63"/>
      <c r="B41" s="63">
        <v>3</v>
      </c>
      <c r="C41" s="63" t="s">
        <v>19</v>
      </c>
      <c r="D41" s="63" t="s">
        <v>62</v>
      </c>
      <c r="E41" s="66">
        <v>16.884570568466835</v>
      </c>
      <c r="F41" s="67">
        <v>3.0000000000000001E-3</v>
      </c>
      <c r="G41" s="67">
        <v>2E-3</v>
      </c>
      <c r="H41" s="63"/>
    </row>
    <row r="42" spans="1:8" x14ac:dyDescent="0.25">
      <c r="A42" s="63"/>
      <c r="B42" s="63">
        <v>4</v>
      </c>
      <c r="C42" s="63" t="s">
        <v>19</v>
      </c>
      <c r="D42" s="63" t="s">
        <v>62</v>
      </c>
      <c r="E42" s="66">
        <v>18.617757359760585</v>
      </c>
      <c r="F42" s="67">
        <v>3.0000000000000001E-3</v>
      </c>
      <c r="G42" s="67">
        <v>2E-3</v>
      </c>
      <c r="H42" s="63"/>
    </row>
    <row r="43" spans="1:8" x14ac:dyDescent="0.25">
      <c r="A43" s="63"/>
      <c r="B43" s="63">
        <v>5</v>
      </c>
      <c r="C43" s="63" t="s">
        <v>19</v>
      </c>
      <c r="D43" s="63" t="s">
        <v>62</v>
      </c>
      <c r="E43" s="66">
        <v>20.52292271594289</v>
      </c>
      <c r="F43" s="67">
        <v>3.0000000000000001E-3</v>
      </c>
      <c r="G43" s="67">
        <v>2E-3</v>
      </c>
      <c r="H43" s="63"/>
    </row>
    <row r="44" spans="1:8" x14ac:dyDescent="0.25">
      <c r="A44" s="63"/>
      <c r="B44" s="63">
        <v>6</v>
      </c>
      <c r="C44" s="63" t="s">
        <v>19</v>
      </c>
      <c r="D44" s="63" t="s">
        <v>62</v>
      </c>
      <c r="E44" s="66">
        <v>22.530627040176761</v>
      </c>
      <c r="F44" s="67">
        <v>3.0000000000000001E-3</v>
      </c>
      <c r="G44" s="67">
        <v>2E-3</v>
      </c>
      <c r="H44" s="63"/>
    </row>
    <row r="45" spans="1:8" x14ac:dyDescent="0.25">
      <c r="A45" s="63"/>
      <c r="B45" s="63">
        <v>7</v>
      </c>
      <c r="C45" s="63" t="s">
        <v>19</v>
      </c>
      <c r="D45" s="63" t="s">
        <v>62</v>
      </c>
      <c r="E45" s="66">
        <v>24.654059850225856</v>
      </c>
      <c r="F45" s="67">
        <v>3.0000000000000001E-3</v>
      </c>
      <c r="G45" s="67">
        <v>2E-3</v>
      </c>
      <c r="H45" s="63"/>
    </row>
    <row r="46" spans="1:8" x14ac:dyDescent="0.25">
      <c r="A46" s="63"/>
      <c r="B46" s="63">
        <v>8</v>
      </c>
      <c r="C46" s="63" t="s">
        <v>19</v>
      </c>
      <c r="D46" s="63" t="s">
        <v>62</v>
      </c>
      <c r="E46" s="66">
        <v>28.622962393602329</v>
      </c>
      <c r="F46" s="67">
        <v>3.0000000000000001E-3</v>
      </c>
      <c r="G46" s="67">
        <v>2E-3</v>
      </c>
      <c r="H46" s="63"/>
    </row>
    <row r="47" spans="1:8" x14ac:dyDescent="0.25">
      <c r="A47" s="63"/>
      <c r="B47" s="63">
        <v>9</v>
      </c>
      <c r="C47" s="63" t="s">
        <v>19</v>
      </c>
      <c r="D47" s="63" t="s">
        <v>62</v>
      </c>
      <c r="E47" s="66">
        <v>31.011605245024167</v>
      </c>
      <c r="F47" s="67">
        <v>3.0000000000000001E-3</v>
      </c>
      <c r="G47" s="67">
        <v>2E-3</v>
      </c>
      <c r="H47" s="63"/>
    </row>
    <row r="48" spans="1:8" x14ac:dyDescent="0.25">
      <c r="A48" s="63"/>
      <c r="B48" s="63">
        <v>10</v>
      </c>
      <c r="C48" s="63" t="s">
        <v>19</v>
      </c>
      <c r="D48" s="63" t="s">
        <v>62</v>
      </c>
      <c r="E48" s="66">
        <v>33.330799286496742</v>
      </c>
      <c r="F48" s="67">
        <v>3.0000000000000001E-3</v>
      </c>
      <c r="G48" s="67">
        <v>2E-3</v>
      </c>
      <c r="H48" s="63"/>
    </row>
    <row r="49" spans="1:8" x14ac:dyDescent="0.25">
      <c r="A49" s="63"/>
      <c r="B49" s="63">
        <v>11</v>
      </c>
      <c r="C49" s="63" t="s">
        <v>19</v>
      </c>
      <c r="D49" s="63" t="s">
        <v>62</v>
      </c>
      <c r="E49" s="66"/>
      <c r="F49" s="67">
        <v>3.0000000000000001E-3</v>
      </c>
      <c r="G49" s="67">
        <v>2E-3</v>
      </c>
      <c r="H49" s="63"/>
    </row>
    <row r="50" spans="1:8" x14ac:dyDescent="0.25">
      <c r="A50" s="63"/>
      <c r="B50" s="63">
        <v>12</v>
      </c>
      <c r="C50" s="63" t="s">
        <v>19</v>
      </c>
      <c r="D50" s="63" t="s">
        <v>62</v>
      </c>
      <c r="E50" s="66"/>
      <c r="F50" s="67">
        <v>3.0000000000000001E-3</v>
      </c>
      <c r="G50" s="67">
        <v>2E-3</v>
      </c>
      <c r="H50" s="63"/>
    </row>
    <row r="51" spans="1:8" x14ac:dyDescent="0.25">
      <c r="A51" s="63"/>
      <c r="B51" s="63">
        <v>13</v>
      </c>
      <c r="C51" s="63" t="s">
        <v>19</v>
      </c>
      <c r="D51" s="63" t="s">
        <v>62</v>
      </c>
      <c r="E51" s="66"/>
      <c r="F51" s="67">
        <v>3.0000000000000001E-3</v>
      </c>
      <c r="G51" s="67">
        <v>2E-3</v>
      </c>
      <c r="H51" s="63"/>
    </row>
    <row r="52" spans="1:8" x14ac:dyDescent="0.25">
      <c r="A52" s="63"/>
      <c r="B52" s="63">
        <v>14</v>
      </c>
      <c r="C52" s="63" t="s">
        <v>19</v>
      </c>
      <c r="D52" s="63" t="s">
        <v>62</v>
      </c>
      <c r="E52" s="66"/>
      <c r="F52" s="67">
        <v>3.0000000000000001E-3</v>
      </c>
      <c r="G52" s="67">
        <v>2E-3</v>
      </c>
      <c r="H52" s="63"/>
    </row>
    <row r="53" spans="1:8" x14ac:dyDescent="0.25">
      <c r="A53" s="63"/>
      <c r="B53" s="63">
        <v>15</v>
      </c>
      <c r="C53" s="63" t="s">
        <v>19</v>
      </c>
      <c r="D53" s="63" t="s">
        <v>62</v>
      </c>
      <c r="E53" s="66"/>
      <c r="F53" s="67">
        <v>3.0000000000000001E-3</v>
      </c>
      <c r="G53" s="67">
        <v>2E-3</v>
      </c>
      <c r="H53" s="63"/>
    </row>
    <row r="54" spans="1:8" x14ac:dyDescent="0.25">
      <c r="A54" s="63"/>
      <c r="B54" s="63">
        <v>16</v>
      </c>
      <c r="C54" s="63" t="s">
        <v>19</v>
      </c>
      <c r="D54" s="63" t="s">
        <v>62</v>
      </c>
      <c r="E54" s="66"/>
      <c r="F54" s="67">
        <v>3.0000000000000001E-3</v>
      </c>
      <c r="G54" s="67">
        <v>2E-3</v>
      </c>
      <c r="H54" s="63"/>
    </row>
    <row r="55" spans="1:8" x14ac:dyDescent="0.25">
      <c r="A55" s="63"/>
      <c r="B55" s="63">
        <v>17</v>
      </c>
      <c r="C55" s="63" t="s">
        <v>19</v>
      </c>
      <c r="D55" s="63" t="s">
        <v>62</v>
      </c>
      <c r="E55" s="66"/>
      <c r="F55" s="67">
        <v>3.0000000000000001E-3</v>
      </c>
      <c r="G55" s="67">
        <v>2E-3</v>
      </c>
      <c r="H55" s="63"/>
    </row>
    <row r="56" spans="1:8" x14ac:dyDescent="0.25">
      <c r="A56" s="63"/>
      <c r="B56" s="63">
        <v>18</v>
      </c>
      <c r="C56" s="63" t="s">
        <v>19</v>
      </c>
      <c r="D56" s="63" t="s">
        <v>62</v>
      </c>
      <c r="E56" s="66"/>
      <c r="F56" s="67">
        <v>3.0000000000000001E-3</v>
      </c>
      <c r="G56" s="67">
        <v>2E-3</v>
      </c>
      <c r="H56" s="63"/>
    </row>
    <row r="57" spans="1:8" x14ac:dyDescent="0.25">
      <c r="A57" s="63"/>
      <c r="B57" s="63">
        <v>19</v>
      </c>
      <c r="C57" s="63" t="s">
        <v>19</v>
      </c>
      <c r="D57" s="63" t="s">
        <v>62</v>
      </c>
      <c r="E57" s="66"/>
      <c r="F57" s="67">
        <v>3.0000000000000001E-3</v>
      </c>
      <c r="G57" s="67">
        <v>2E-3</v>
      </c>
      <c r="H57" s="63"/>
    </row>
    <row r="58" spans="1:8" x14ac:dyDescent="0.25">
      <c r="A58" s="63"/>
      <c r="B58" s="63">
        <v>20</v>
      </c>
      <c r="C58" s="63" t="s">
        <v>19</v>
      </c>
      <c r="D58" s="63" t="s">
        <v>62</v>
      </c>
      <c r="E58" s="66"/>
      <c r="F58" s="67">
        <v>3.0000000000000001E-3</v>
      </c>
      <c r="G58" s="67">
        <v>2E-3</v>
      </c>
      <c r="H58" s="63"/>
    </row>
    <row r="59" spans="1:8" x14ac:dyDescent="0.25">
      <c r="A59" s="63"/>
      <c r="B59" s="63">
        <v>21</v>
      </c>
      <c r="C59" s="63" t="s">
        <v>19</v>
      </c>
      <c r="D59" s="63" t="s">
        <v>62</v>
      </c>
      <c r="E59" s="66"/>
      <c r="F59" s="67">
        <v>3.0000000000000001E-3</v>
      </c>
      <c r="G59" s="67">
        <v>2E-3</v>
      </c>
      <c r="H59" s="63"/>
    </row>
    <row r="60" spans="1:8" x14ac:dyDescent="0.25">
      <c r="A60" s="63"/>
      <c r="B60" s="63">
        <v>22</v>
      </c>
      <c r="C60" s="63" t="s">
        <v>19</v>
      </c>
      <c r="D60" s="63" t="s">
        <v>62</v>
      </c>
      <c r="E60" s="66"/>
      <c r="F60" s="67">
        <v>3.0000000000000001E-3</v>
      </c>
      <c r="G60" s="67">
        <v>2E-3</v>
      </c>
      <c r="H60" s="63"/>
    </row>
    <row r="61" spans="1:8" x14ac:dyDescent="0.25">
      <c r="A61" s="63"/>
      <c r="B61" s="63">
        <v>23</v>
      </c>
      <c r="C61" s="63" t="s">
        <v>19</v>
      </c>
      <c r="D61" s="63" t="s">
        <v>62</v>
      </c>
      <c r="E61" s="66"/>
      <c r="F61" s="67">
        <v>3.0000000000000001E-3</v>
      </c>
      <c r="G61" s="67">
        <v>2E-3</v>
      </c>
      <c r="H61" s="63"/>
    </row>
    <row r="62" spans="1:8" x14ac:dyDescent="0.25">
      <c r="A62" s="63"/>
      <c r="B62" s="63">
        <v>24</v>
      </c>
      <c r="C62" s="63" t="s">
        <v>19</v>
      </c>
      <c r="D62" s="63" t="s">
        <v>62</v>
      </c>
      <c r="E62" s="66"/>
      <c r="F62" s="67">
        <v>3.0000000000000001E-3</v>
      </c>
      <c r="G62" s="67">
        <v>2E-3</v>
      </c>
      <c r="H62" s="63"/>
    </row>
    <row r="63" spans="1:8" x14ac:dyDescent="0.25">
      <c r="A63" s="63"/>
      <c r="B63" s="63">
        <v>25</v>
      </c>
      <c r="C63" s="63" t="s">
        <v>19</v>
      </c>
      <c r="D63" s="63" t="s">
        <v>62</v>
      </c>
      <c r="E63" s="66"/>
      <c r="F63" s="67">
        <v>3.0000000000000001E-3</v>
      </c>
      <c r="G63" s="67">
        <v>2E-3</v>
      </c>
      <c r="H63" s="63"/>
    </row>
    <row r="64" spans="1:8" x14ac:dyDescent="0.25">
      <c r="A64" s="63"/>
      <c r="B64" s="63">
        <v>26</v>
      </c>
      <c r="C64" s="63" t="s">
        <v>19</v>
      </c>
      <c r="D64" s="63" t="s">
        <v>62</v>
      </c>
      <c r="E64" s="66"/>
      <c r="F64" s="67">
        <v>3.0000000000000001E-3</v>
      </c>
      <c r="G64" s="67">
        <v>2E-3</v>
      </c>
      <c r="H64" s="63"/>
    </row>
    <row r="65" spans="1:8" x14ac:dyDescent="0.25">
      <c r="A65" s="63"/>
      <c r="B65" s="63">
        <v>27</v>
      </c>
      <c r="C65" s="63" t="s">
        <v>19</v>
      </c>
      <c r="D65" s="63" t="s">
        <v>62</v>
      </c>
      <c r="E65" s="66"/>
      <c r="F65" s="67">
        <v>3.0000000000000001E-3</v>
      </c>
      <c r="G65" s="67">
        <v>2E-3</v>
      </c>
      <c r="H65" s="63"/>
    </row>
    <row r="66" spans="1:8" x14ac:dyDescent="0.25">
      <c r="A66" s="63"/>
      <c r="B66" s="63">
        <v>28</v>
      </c>
      <c r="C66" s="63" t="s">
        <v>19</v>
      </c>
      <c r="D66" s="63" t="s">
        <v>62</v>
      </c>
      <c r="E66" s="66"/>
      <c r="F66" s="67">
        <v>3.0000000000000001E-3</v>
      </c>
      <c r="G66" s="67">
        <v>2E-3</v>
      </c>
      <c r="H66" s="63"/>
    </row>
    <row r="67" spans="1:8" x14ac:dyDescent="0.25">
      <c r="A67" s="63"/>
      <c r="B67" s="63">
        <v>29</v>
      </c>
      <c r="C67" s="63" t="s">
        <v>19</v>
      </c>
      <c r="D67" s="63" t="s">
        <v>62</v>
      </c>
      <c r="E67" s="66"/>
      <c r="F67" s="67">
        <v>3.0000000000000001E-3</v>
      </c>
      <c r="G67" s="67">
        <v>2E-3</v>
      </c>
      <c r="H67" s="63"/>
    </row>
    <row r="68" spans="1:8" x14ac:dyDescent="0.25">
      <c r="A68" s="63"/>
      <c r="B68" s="63">
        <v>30</v>
      </c>
      <c r="C68" s="63" t="s">
        <v>19</v>
      </c>
      <c r="D68" s="63" t="s">
        <v>62</v>
      </c>
      <c r="E68" s="66"/>
      <c r="F68" s="67">
        <v>3.0000000000000001E-3</v>
      </c>
      <c r="G68" s="67">
        <v>2E-3</v>
      </c>
      <c r="H68" s="63"/>
    </row>
    <row r="69" spans="1:8" x14ac:dyDescent="0.25">
      <c r="A69" s="63"/>
      <c r="B69" s="63">
        <v>0</v>
      </c>
      <c r="C69" s="63" t="s">
        <v>19</v>
      </c>
      <c r="D69" s="63" t="s">
        <v>62</v>
      </c>
      <c r="E69" s="66">
        <v>3.0428788910505911</v>
      </c>
      <c r="F69" s="67">
        <v>3.0000000000000001E-3</v>
      </c>
      <c r="G69" s="67">
        <v>2E-3</v>
      </c>
      <c r="H69" s="63"/>
    </row>
    <row r="70" spans="1:8" x14ac:dyDescent="0.25">
      <c r="A70" s="63"/>
      <c r="B70" s="63">
        <v>0.25</v>
      </c>
      <c r="C70" s="63" t="s">
        <v>19</v>
      </c>
      <c r="D70" s="63" t="s">
        <v>64</v>
      </c>
      <c r="E70" s="66">
        <v>17.934556092922943</v>
      </c>
      <c r="F70" s="67">
        <v>3.0000000000000001E-3</v>
      </c>
      <c r="G70" s="67">
        <v>2E-3</v>
      </c>
      <c r="H70" s="63"/>
    </row>
    <row r="71" spans="1:8" x14ac:dyDescent="0.25">
      <c r="A71" s="63"/>
      <c r="B71" s="63">
        <v>0.5</v>
      </c>
      <c r="C71" s="63" t="s">
        <v>19</v>
      </c>
      <c r="D71" s="63" t="s">
        <v>64</v>
      </c>
      <c r="E71" s="66">
        <v>18.35577997371016</v>
      </c>
      <c r="F71" s="67">
        <v>3.0000000000000001E-3</v>
      </c>
      <c r="G71" s="67">
        <v>2E-3</v>
      </c>
      <c r="H71" s="63"/>
    </row>
    <row r="72" spans="1:8" x14ac:dyDescent="0.25">
      <c r="A72" s="63"/>
      <c r="B72" s="63">
        <v>0.75</v>
      </c>
      <c r="C72" s="63" t="s">
        <v>19</v>
      </c>
      <c r="D72" s="63" t="s">
        <v>64</v>
      </c>
      <c r="E72" s="66">
        <v>18.404835306435746</v>
      </c>
      <c r="F72" s="67">
        <v>3.0000000000000001E-3</v>
      </c>
      <c r="G72" s="67">
        <v>2E-3</v>
      </c>
      <c r="H72" s="63"/>
    </row>
    <row r="73" spans="1:8" x14ac:dyDescent="0.25">
      <c r="A73" s="63"/>
      <c r="B73" s="63">
        <v>1</v>
      </c>
      <c r="C73" s="63" t="s">
        <v>19</v>
      </c>
      <c r="D73" s="63" t="s">
        <v>64</v>
      </c>
      <c r="E73" s="66">
        <v>19.112621008962602</v>
      </c>
      <c r="F73" s="67">
        <v>3.0000000000000001E-3</v>
      </c>
      <c r="G73" s="67">
        <v>2E-3</v>
      </c>
      <c r="H73" s="63"/>
    </row>
    <row r="74" spans="1:8" x14ac:dyDescent="0.25">
      <c r="A74" s="63"/>
      <c r="B74" s="63">
        <v>2</v>
      </c>
      <c r="C74" s="63" t="s">
        <v>19</v>
      </c>
      <c r="D74" s="63" t="s">
        <v>64</v>
      </c>
      <c r="E74" s="66">
        <v>20.35176903227914</v>
      </c>
      <c r="F74" s="67">
        <v>3.0000000000000001E-3</v>
      </c>
      <c r="G74" s="67">
        <v>2E-3</v>
      </c>
      <c r="H74" s="63"/>
    </row>
    <row r="75" spans="1:8" x14ac:dyDescent="0.25">
      <c r="A75" s="63"/>
      <c r="B75" s="63">
        <v>3</v>
      </c>
      <c r="C75" s="63" t="s">
        <v>19</v>
      </c>
      <c r="D75" s="63" t="s">
        <v>64</v>
      </c>
      <c r="E75" s="66">
        <v>19.91589544268896</v>
      </c>
      <c r="F75" s="67">
        <v>3.0000000000000001E-3</v>
      </c>
      <c r="G75" s="67">
        <v>2E-3</v>
      </c>
      <c r="H75" s="63"/>
    </row>
    <row r="76" spans="1:8" x14ac:dyDescent="0.25">
      <c r="A76" s="63"/>
      <c r="B76" s="63">
        <v>4</v>
      </c>
      <c r="C76" s="63" t="s">
        <v>19</v>
      </c>
      <c r="D76" s="63" t="s">
        <v>64</v>
      </c>
      <c r="E76" s="66">
        <v>21.609947773831163</v>
      </c>
      <c r="F76" s="67">
        <v>3.0000000000000001E-3</v>
      </c>
      <c r="G76" s="67">
        <v>2E-3</v>
      </c>
      <c r="H76" s="63"/>
    </row>
    <row r="77" spans="1:8" x14ac:dyDescent="0.25">
      <c r="A77" s="63"/>
      <c r="B77" s="63">
        <v>5</v>
      </c>
      <c r="C77" s="63" t="s">
        <v>19</v>
      </c>
      <c r="D77" s="63" t="s">
        <v>64</v>
      </c>
      <c r="E77" s="66">
        <v>23.372671736151272</v>
      </c>
      <c r="F77" s="67">
        <v>3.0000000000000001E-3</v>
      </c>
      <c r="G77" s="67">
        <v>2E-3</v>
      </c>
      <c r="H77" s="63"/>
    </row>
    <row r="78" spans="1:8" x14ac:dyDescent="0.25">
      <c r="A78" s="63"/>
      <c r="B78" s="63">
        <v>6</v>
      </c>
      <c r="C78" s="63" t="s">
        <v>19</v>
      </c>
      <c r="D78" s="63" t="s">
        <v>64</v>
      </c>
      <c r="E78" s="66">
        <v>26.430826810726163</v>
      </c>
      <c r="F78" s="67">
        <v>3.0000000000000001E-3</v>
      </c>
      <c r="G78" s="67">
        <v>2E-3</v>
      </c>
      <c r="H78" s="63"/>
    </row>
    <row r="79" spans="1:8" x14ac:dyDescent="0.25">
      <c r="A79" s="63"/>
      <c r="B79" s="63">
        <v>7</v>
      </c>
      <c r="C79" s="63" t="s">
        <v>19</v>
      </c>
      <c r="D79" s="63" t="s">
        <v>64</v>
      </c>
      <c r="E79" s="66">
        <v>27.959768706413232</v>
      </c>
      <c r="F79" s="67">
        <v>3.0000000000000001E-3</v>
      </c>
      <c r="G79" s="67">
        <v>2E-3</v>
      </c>
      <c r="H79" s="63"/>
    </row>
    <row r="80" spans="1:8" x14ac:dyDescent="0.25">
      <c r="A80" s="63"/>
      <c r="B80" s="63">
        <v>8</v>
      </c>
      <c r="C80" s="63" t="s">
        <v>19</v>
      </c>
      <c r="D80" s="63" t="s">
        <v>64</v>
      </c>
      <c r="E80" s="66">
        <v>29.772701744670762</v>
      </c>
      <c r="F80" s="67">
        <v>3.0000000000000001E-3</v>
      </c>
      <c r="G80" s="67">
        <v>2E-3</v>
      </c>
      <c r="H80" s="63"/>
    </row>
    <row r="81" spans="1:8" x14ac:dyDescent="0.25">
      <c r="A81" s="63"/>
      <c r="B81" s="63">
        <v>9</v>
      </c>
      <c r="C81" s="63" t="s">
        <v>19</v>
      </c>
      <c r="D81" s="63" t="s">
        <v>64</v>
      </c>
      <c r="E81" s="66">
        <v>32.589351949315954</v>
      </c>
      <c r="F81" s="67">
        <v>3.0000000000000001E-3</v>
      </c>
      <c r="G81" s="67">
        <v>2E-3</v>
      </c>
      <c r="H81" s="63"/>
    </row>
    <row r="82" spans="1:8" x14ac:dyDescent="0.25">
      <c r="A82" s="63"/>
      <c r="B82" s="63">
        <v>10</v>
      </c>
      <c r="C82" s="63" t="s">
        <v>19</v>
      </c>
      <c r="D82" s="63" t="s">
        <v>64</v>
      </c>
      <c r="E82" s="66">
        <v>34.825222308406182</v>
      </c>
      <c r="F82" s="67">
        <v>3.0000000000000001E-3</v>
      </c>
      <c r="G82" s="67">
        <v>2E-3</v>
      </c>
      <c r="H82" s="63"/>
    </row>
    <row r="83" spans="1:8" x14ac:dyDescent="0.25">
      <c r="A83" s="63"/>
      <c r="B83" s="63">
        <v>11</v>
      </c>
      <c r="C83" s="63" t="s">
        <v>19</v>
      </c>
      <c r="D83" s="63" t="s">
        <v>64</v>
      </c>
      <c r="E83" s="66"/>
      <c r="F83" s="67">
        <v>3.0000000000000001E-3</v>
      </c>
      <c r="G83" s="67">
        <v>2E-3</v>
      </c>
      <c r="H83" s="63"/>
    </row>
    <row r="84" spans="1:8" x14ac:dyDescent="0.25">
      <c r="A84" s="63"/>
      <c r="B84" s="63">
        <v>12</v>
      </c>
      <c r="C84" s="63" t="s">
        <v>19</v>
      </c>
      <c r="D84" s="63" t="s">
        <v>64</v>
      </c>
      <c r="E84" s="66"/>
      <c r="F84" s="67">
        <v>3.0000000000000001E-3</v>
      </c>
      <c r="G84" s="67">
        <v>2E-3</v>
      </c>
      <c r="H84" s="63"/>
    </row>
    <row r="85" spans="1:8" x14ac:dyDescent="0.25">
      <c r="A85" s="63"/>
      <c r="B85" s="63">
        <v>13</v>
      </c>
      <c r="C85" s="63" t="s">
        <v>19</v>
      </c>
      <c r="D85" s="63" t="s">
        <v>64</v>
      </c>
      <c r="E85" s="66"/>
      <c r="F85" s="67">
        <v>3.0000000000000001E-3</v>
      </c>
      <c r="G85" s="67">
        <v>2E-3</v>
      </c>
      <c r="H85" s="63"/>
    </row>
    <row r="86" spans="1:8" x14ac:dyDescent="0.25">
      <c r="A86" s="63"/>
      <c r="B86" s="63">
        <v>14</v>
      </c>
      <c r="C86" s="63" t="s">
        <v>19</v>
      </c>
      <c r="D86" s="63" t="s">
        <v>64</v>
      </c>
      <c r="E86" s="66"/>
      <c r="F86" s="67">
        <v>3.0000000000000001E-3</v>
      </c>
      <c r="G86" s="67">
        <v>2E-3</v>
      </c>
      <c r="H86" s="63"/>
    </row>
    <row r="87" spans="1:8" x14ac:dyDescent="0.25">
      <c r="A87" s="63"/>
      <c r="B87" s="63">
        <v>15</v>
      </c>
      <c r="C87" s="63" t="s">
        <v>19</v>
      </c>
      <c r="D87" s="63" t="s">
        <v>64</v>
      </c>
      <c r="E87" s="66"/>
      <c r="F87" s="67">
        <v>3.0000000000000001E-3</v>
      </c>
      <c r="G87" s="67">
        <v>2E-3</v>
      </c>
      <c r="H87" s="63"/>
    </row>
    <row r="88" spans="1:8" x14ac:dyDescent="0.25">
      <c r="A88" s="63"/>
      <c r="B88" s="63">
        <v>16</v>
      </c>
      <c r="C88" s="63" t="s">
        <v>19</v>
      </c>
      <c r="D88" s="63" t="s">
        <v>64</v>
      </c>
      <c r="E88" s="66"/>
      <c r="F88" s="67">
        <v>3.0000000000000001E-3</v>
      </c>
      <c r="G88" s="67">
        <v>2E-3</v>
      </c>
      <c r="H88" s="63"/>
    </row>
    <row r="89" spans="1:8" x14ac:dyDescent="0.25">
      <c r="A89" s="63"/>
      <c r="B89" s="63">
        <v>17</v>
      </c>
      <c r="C89" s="63" t="s">
        <v>19</v>
      </c>
      <c r="D89" s="63" t="s">
        <v>64</v>
      </c>
      <c r="E89" s="66"/>
      <c r="F89" s="67">
        <v>3.0000000000000001E-3</v>
      </c>
      <c r="G89" s="67">
        <v>2E-3</v>
      </c>
      <c r="H89" s="63"/>
    </row>
    <row r="90" spans="1:8" x14ac:dyDescent="0.25">
      <c r="A90" s="63"/>
      <c r="B90" s="63">
        <v>18</v>
      </c>
      <c r="C90" s="63" t="s">
        <v>19</v>
      </c>
      <c r="D90" s="63" t="s">
        <v>64</v>
      </c>
      <c r="E90" s="66"/>
      <c r="F90" s="67">
        <v>3.0000000000000001E-3</v>
      </c>
      <c r="G90" s="67">
        <v>2E-3</v>
      </c>
      <c r="H90" s="63"/>
    </row>
    <row r="91" spans="1:8" x14ac:dyDescent="0.25">
      <c r="A91" s="63"/>
      <c r="B91" s="63">
        <v>19</v>
      </c>
      <c r="C91" s="63" t="s">
        <v>19</v>
      </c>
      <c r="D91" s="63" t="s">
        <v>64</v>
      </c>
      <c r="E91" s="66"/>
      <c r="F91" s="67">
        <v>3.0000000000000001E-3</v>
      </c>
      <c r="G91" s="67">
        <v>2E-3</v>
      </c>
      <c r="H91" s="63"/>
    </row>
    <row r="92" spans="1:8" x14ac:dyDescent="0.25">
      <c r="A92" s="63"/>
      <c r="B92" s="63">
        <v>20</v>
      </c>
      <c r="C92" s="63" t="s">
        <v>19</v>
      </c>
      <c r="D92" s="63" t="s">
        <v>64</v>
      </c>
      <c r="E92" s="66"/>
      <c r="F92" s="67">
        <v>3.0000000000000001E-3</v>
      </c>
      <c r="G92" s="67">
        <v>2E-3</v>
      </c>
      <c r="H92" s="63"/>
    </row>
    <row r="93" spans="1:8" x14ac:dyDescent="0.25">
      <c r="A93" s="63"/>
      <c r="B93" s="63">
        <v>21</v>
      </c>
      <c r="C93" s="63" t="s">
        <v>19</v>
      </c>
      <c r="D93" s="63" t="s">
        <v>64</v>
      </c>
      <c r="E93" s="66"/>
      <c r="F93" s="67">
        <v>3.0000000000000001E-3</v>
      </c>
      <c r="G93" s="67">
        <v>2E-3</v>
      </c>
      <c r="H93" s="63"/>
    </row>
    <row r="94" spans="1:8" x14ac:dyDescent="0.25">
      <c r="A94" s="63"/>
      <c r="B94" s="63">
        <v>22</v>
      </c>
      <c r="C94" s="63" t="s">
        <v>19</v>
      </c>
      <c r="D94" s="63" t="s">
        <v>64</v>
      </c>
      <c r="E94" s="66"/>
      <c r="F94" s="67">
        <v>3.0000000000000001E-3</v>
      </c>
      <c r="G94" s="67">
        <v>2E-3</v>
      </c>
      <c r="H94" s="63"/>
    </row>
    <row r="95" spans="1:8" x14ac:dyDescent="0.25">
      <c r="A95" s="63"/>
      <c r="B95" s="63">
        <v>23</v>
      </c>
      <c r="C95" s="63" t="s">
        <v>19</v>
      </c>
      <c r="D95" s="63" t="s">
        <v>64</v>
      </c>
      <c r="E95" s="66"/>
      <c r="F95" s="67">
        <v>3.0000000000000001E-3</v>
      </c>
      <c r="G95" s="67">
        <v>2E-3</v>
      </c>
      <c r="H95" s="63"/>
    </row>
    <row r="96" spans="1:8" x14ac:dyDescent="0.25">
      <c r="A96" s="63"/>
      <c r="B96" s="63">
        <v>24</v>
      </c>
      <c r="C96" s="63" t="s">
        <v>19</v>
      </c>
      <c r="D96" s="63" t="s">
        <v>64</v>
      </c>
      <c r="E96" s="66"/>
      <c r="F96" s="67">
        <v>3.0000000000000001E-3</v>
      </c>
      <c r="G96" s="67">
        <v>2E-3</v>
      </c>
      <c r="H96" s="63"/>
    </row>
    <row r="97" spans="1:8" x14ac:dyDescent="0.25">
      <c r="A97" s="63"/>
      <c r="B97" s="63">
        <v>25</v>
      </c>
      <c r="C97" s="63" t="s">
        <v>19</v>
      </c>
      <c r="D97" s="63" t="s">
        <v>64</v>
      </c>
      <c r="E97" s="66"/>
      <c r="F97" s="67">
        <v>3.0000000000000001E-3</v>
      </c>
      <c r="G97" s="67">
        <v>2E-3</v>
      </c>
      <c r="H97" s="63"/>
    </row>
    <row r="98" spans="1:8" x14ac:dyDescent="0.25">
      <c r="A98" s="63"/>
      <c r="B98" s="63">
        <v>26</v>
      </c>
      <c r="C98" s="63" t="s">
        <v>19</v>
      </c>
      <c r="D98" s="63" t="s">
        <v>64</v>
      </c>
      <c r="E98" s="66"/>
      <c r="F98" s="67">
        <v>3.0000000000000001E-3</v>
      </c>
      <c r="G98" s="67">
        <v>2E-3</v>
      </c>
      <c r="H98" s="63"/>
    </row>
    <row r="99" spans="1:8" x14ac:dyDescent="0.25">
      <c r="A99" s="63"/>
      <c r="B99" s="63">
        <v>27</v>
      </c>
      <c r="C99" s="63" t="s">
        <v>19</v>
      </c>
      <c r="D99" s="63" t="s">
        <v>64</v>
      </c>
      <c r="E99" s="66"/>
      <c r="F99" s="67">
        <v>3.0000000000000001E-3</v>
      </c>
      <c r="G99" s="67">
        <v>2E-3</v>
      </c>
      <c r="H99" s="63"/>
    </row>
    <row r="100" spans="1:8" x14ac:dyDescent="0.25">
      <c r="A100" s="63"/>
      <c r="B100" s="63">
        <v>28</v>
      </c>
      <c r="C100" s="63" t="s">
        <v>19</v>
      </c>
      <c r="D100" s="63" t="s">
        <v>64</v>
      </c>
      <c r="E100" s="66"/>
      <c r="F100" s="67">
        <v>3.0000000000000001E-3</v>
      </c>
      <c r="G100" s="67">
        <v>2E-3</v>
      </c>
      <c r="H100" s="63"/>
    </row>
    <row r="101" spans="1:8" x14ac:dyDescent="0.25">
      <c r="A101" s="63"/>
      <c r="B101" s="63">
        <v>29</v>
      </c>
      <c r="C101" s="63" t="s">
        <v>19</v>
      </c>
      <c r="D101" s="63" t="s">
        <v>64</v>
      </c>
      <c r="E101" s="66"/>
      <c r="F101" s="67">
        <v>3.0000000000000001E-3</v>
      </c>
      <c r="G101" s="67">
        <v>2E-3</v>
      </c>
      <c r="H101" s="63"/>
    </row>
    <row r="102" spans="1:8" x14ac:dyDescent="0.25">
      <c r="A102" s="63"/>
      <c r="B102" s="63">
        <v>30</v>
      </c>
      <c r="C102" s="63" t="s">
        <v>19</v>
      </c>
      <c r="D102" s="63" t="s">
        <v>64</v>
      </c>
      <c r="E102" s="66"/>
      <c r="F102" s="67">
        <v>3.0000000000000001E-3</v>
      </c>
      <c r="G102" s="67">
        <v>2E-3</v>
      </c>
      <c r="H102" s="63"/>
    </row>
    <row r="103" spans="1:8" x14ac:dyDescent="0.25">
      <c r="A103" s="63"/>
      <c r="B103" s="63">
        <v>0</v>
      </c>
      <c r="C103" s="63" t="s">
        <v>19</v>
      </c>
      <c r="D103" s="63" t="s">
        <v>64</v>
      </c>
      <c r="E103" s="66">
        <v>3.0428788910505911</v>
      </c>
      <c r="F103" s="67">
        <v>3.0000000000000001E-3</v>
      </c>
      <c r="G103" s="67">
        <v>2E-3</v>
      </c>
      <c r="H103" s="63"/>
    </row>
    <row r="104" spans="1:8" x14ac:dyDescent="0.25">
      <c r="A104" s="63"/>
      <c r="B104" s="63">
        <v>0.25</v>
      </c>
      <c r="C104" s="63" t="s">
        <v>19</v>
      </c>
      <c r="D104" s="63" t="s">
        <v>77</v>
      </c>
      <c r="E104" s="66">
        <v>26.611209830054129</v>
      </c>
      <c r="F104" s="67">
        <v>3.0000000000000001E-3</v>
      </c>
      <c r="G104" s="67">
        <v>2E-3</v>
      </c>
      <c r="H104" s="63"/>
    </row>
    <row r="105" spans="1:8" x14ac:dyDescent="0.25">
      <c r="A105" s="63"/>
      <c r="B105" s="63">
        <v>0.5</v>
      </c>
      <c r="C105" s="63" t="s">
        <v>19</v>
      </c>
      <c r="D105" s="63" t="s">
        <v>77</v>
      </c>
      <c r="E105" s="66">
        <v>27.647760246913514</v>
      </c>
      <c r="F105" s="67">
        <v>3.0000000000000001E-3</v>
      </c>
      <c r="G105" s="67">
        <v>2E-3</v>
      </c>
      <c r="H105" s="63"/>
    </row>
    <row r="106" spans="1:8" x14ac:dyDescent="0.25">
      <c r="A106" s="63"/>
      <c r="B106" s="63">
        <v>0.75</v>
      </c>
      <c r="C106" s="63" t="s">
        <v>19</v>
      </c>
      <c r="D106" s="63" t="s">
        <v>77</v>
      </c>
      <c r="E106" s="66">
        <v>28.483539200322319</v>
      </c>
      <c r="F106" s="67">
        <v>3.0000000000000001E-3</v>
      </c>
      <c r="G106" s="67">
        <v>2E-3</v>
      </c>
      <c r="H106" s="63"/>
    </row>
    <row r="107" spans="1:8" x14ac:dyDescent="0.25">
      <c r="A107" s="63"/>
      <c r="B107" s="63">
        <v>1</v>
      </c>
      <c r="C107" s="63" t="s">
        <v>19</v>
      </c>
      <c r="D107" s="63" t="s">
        <v>77</v>
      </c>
      <c r="E107" s="66">
        <v>29.244822799499698</v>
      </c>
      <c r="F107" s="67">
        <v>3.0000000000000001E-3</v>
      </c>
      <c r="G107" s="67">
        <v>2E-3</v>
      </c>
      <c r="H107" s="63"/>
    </row>
    <row r="108" spans="1:8" x14ac:dyDescent="0.25">
      <c r="A108" s="63"/>
      <c r="B108" s="63">
        <v>2</v>
      </c>
      <c r="C108" s="63" t="s">
        <v>19</v>
      </c>
      <c r="D108" s="63" t="s">
        <v>77</v>
      </c>
      <c r="E108" s="66">
        <v>31.379671510701762</v>
      </c>
      <c r="F108" s="67">
        <v>3.0000000000000001E-3</v>
      </c>
      <c r="G108" s="67">
        <v>2E-3</v>
      </c>
      <c r="H108" s="63"/>
    </row>
    <row r="109" spans="1:8" x14ac:dyDescent="0.25">
      <c r="A109" s="63"/>
      <c r="B109" s="63">
        <v>3</v>
      </c>
      <c r="C109" s="63" t="s">
        <v>19</v>
      </c>
      <c r="D109" s="63" t="s">
        <v>77</v>
      </c>
      <c r="E109" s="66">
        <v>34.250510560182867</v>
      </c>
      <c r="F109" s="67">
        <v>3.0000000000000001E-3</v>
      </c>
      <c r="G109" s="67">
        <v>2E-3</v>
      </c>
      <c r="H109" s="63"/>
    </row>
    <row r="110" spans="1:8" x14ac:dyDescent="0.25">
      <c r="A110" s="63"/>
      <c r="B110" s="63">
        <v>4</v>
      </c>
      <c r="C110" s="63" t="s">
        <v>19</v>
      </c>
      <c r="D110" s="63" t="s">
        <v>77</v>
      </c>
      <c r="E110" s="66">
        <v>37.271704438917176</v>
      </c>
      <c r="F110" s="67">
        <v>3.0000000000000001E-3</v>
      </c>
      <c r="G110" s="67">
        <v>2E-3</v>
      </c>
      <c r="H110" s="63"/>
    </row>
    <row r="111" spans="1:8" x14ac:dyDescent="0.25">
      <c r="A111" s="63"/>
      <c r="B111" s="63">
        <v>5</v>
      </c>
      <c r="C111" s="63" t="s">
        <v>19</v>
      </c>
      <c r="D111" s="63" t="s">
        <v>77</v>
      </c>
      <c r="E111" s="66">
        <v>40.458288629830058</v>
      </c>
      <c r="F111" s="67">
        <v>3.0000000000000001E-3</v>
      </c>
      <c r="G111" s="67">
        <v>2E-3</v>
      </c>
      <c r="H111" s="63"/>
    </row>
    <row r="112" spans="1:8" x14ac:dyDescent="0.25">
      <c r="A112" s="63"/>
      <c r="B112" s="63">
        <v>6</v>
      </c>
      <c r="C112" s="63" t="s">
        <v>19</v>
      </c>
      <c r="D112" s="63" t="s">
        <v>77</v>
      </c>
      <c r="E112" s="66">
        <v>43.826802164139323</v>
      </c>
      <c r="F112" s="67">
        <v>3.0000000000000001E-3</v>
      </c>
      <c r="G112" s="67">
        <v>2E-3</v>
      </c>
      <c r="H112" s="63"/>
    </row>
    <row r="113" spans="1:8" x14ac:dyDescent="0.25">
      <c r="A113" s="63"/>
      <c r="B113" s="63">
        <v>7</v>
      </c>
      <c r="C113" s="63" t="s">
        <v>19</v>
      </c>
      <c r="D113" s="63" t="s">
        <v>77</v>
      </c>
      <c r="E113" s="66">
        <v>47.523241367157013</v>
      </c>
      <c r="F113" s="67">
        <v>3.0000000000000001E-3</v>
      </c>
      <c r="G113" s="67">
        <v>2E-3</v>
      </c>
      <c r="H113" s="63"/>
    </row>
    <row r="114" spans="1:8" x14ac:dyDescent="0.25">
      <c r="A114" s="63"/>
      <c r="B114" s="63">
        <v>8</v>
      </c>
      <c r="C114" s="63" t="s">
        <v>19</v>
      </c>
      <c r="D114" s="63" t="s">
        <v>77</v>
      </c>
      <c r="E114" s="66">
        <v>51.713576824258396</v>
      </c>
      <c r="F114" s="67">
        <v>3.0000000000000001E-3</v>
      </c>
      <c r="G114" s="67">
        <v>2E-3</v>
      </c>
      <c r="H114" s="63"/>
    </row>
    <row r="115" spans="1:8" x14ac:dyDescent="0.25">
      <c r="A115" s="63"/>
      <c r="B115" s="63">
        <v>9</v>
      </c>
      <c r="C115" s="63" t="s">
        <v>19</v>
      </c>
      <c r="D115" s="63" t="s">
        <v>77</v>
      </c>
      <c r="E115" s="66">
        <v>56.658816723629734</v>
      </c>
      <c r="F115" s="67">
        <v>3.0000000000000001E-3</v>
      </c>
      <c r="G115" s="67">
        <v>2E-3</v>
      </c>
      <c r="H115" s="63"/>
    </row>
    <row r="116" spans="1:8" x14ac:dyDescent="0.25">
      <c r="A116" s="63"/>
      <c r="B116" s="63">
        <v>10</v>
      </c>
      <c r="C116" s="63" t="s">
        <v>19</v>
      </c>
      <c r="D116" s="63" t="s">
        <v>77</v>
      </c>
      <c r="E116" s="66">
        <v>61.577420347834391</v>
      </c>
      <c r="F116" s="67">
        <v>3.0000000000000001E-3</v>
      </c>
      <c r="G116" s="67">
        <v>2E-3</v>
      </c>
      <c r="H116" s="63"/>
    </row>
    <row r="117" spans="1:8" x14ac:dyDescent="0.25">
      <c r="A117" s="63"/>
      <c r="B117" s="63">
        <v>11</v>
      </c>
      <c r="C117" s="63" t="s">
        <v>19</v>
      </c>
      <c r="D117" s="63" t="s">
        <v>77</v>
      </c>
      <c r="E117" s="66"/>
      <c r="F117" s="67">
        <v>3.0000000000000001E-3</v>
      </c>
      <c r="G117" s="67">
        <v>2E-3</v>
      </c>
      <c r="H117" s="63"/>
    </row>
    <row r="118" spans="1:8" x14ac:dyDescent="0.25">
      <c r="A118" s="63"/>
      <c r="B118" s="63">
        <v>12</v>
      </c>
      <c r="C118" s="63" t="s">
        <v>19</v>
      </c>
      <c r="D118" s="63" t="s">
        <v>77</v>
      </c>
      <c r="E118" s="66"/>
      <c r="F118" s="67">
        <v>3.0000000000000001E-3</v>
      </c>
      <c r="G118" s="67">
        <v>2E-3</v>
      </c>
      <c r="H118" s="63"/>
    </row>
    <row r="119" spans="1:8" x14ac:dyDescent="0.25">
      <c r="A119" s="63"/>
      <c r="B119" s="63">
        <v>13</v>
      </c>
      <c r="C119" s="63" t="s">
        <v>19</v>
      </c>
      <c r="D119" s="63" t="s">
        <v>77</v>
      </c>
      <c r="E119" s="66"/>
      <c r="F119" s="67">
        <v>3.0000000000000001E-3</v>
      </c>
      <c r="G119" s="67">
        <v>2E-3</v>
      </c>
      <c r="H119" s="63"/>
    </row>
    <row r="120" spans="1:8" x14ac:dyDescent="0.25">
      <c r="A120" s="63"/>
      <c r="B120" s="63">
        <v>14</v>
      </c>
      <c r="C120" s="63" t="s">
        <v>19</v>
      </c>
      <c r="D120" s="63" t="s">
        <v>77</v>
      </c>
      <c r="E120" s="66"/>
      <c r="F120" s="67">
        <v>3.0000000000000001E-3</v>
      </c>
      <c r="G120" s="67">
        <v>2E-3</v>
      </c>
      <c r="H120" s="63"/>
    </row>
    <row r="121" spans="1:8" x14ac:dyDescent="0.25">
      <c r="A121" s="63"/>
      <c r="B121" s="63">
        <v>15</v>
      </c>
      <c r="C121" s="63" t="s">
        <v>19</v>
      </c>
      <c r="D121" s="63" t="s">
        <v>77</v>
      </c>
      <c r="E121" s="66"/>
      <c r="F121" s="67">
        <v>3.0000000000000001E-3</v>
      </c>
      <c r="G121" s="67">
        <v>2E-3</v>
      </c>
      <c r="H121" s="63"/>
    </row>
    <row r="122" spans="1:8" x14ac:dyDescent="0.25">
      <c r="A122" s="63"/>
      <c r="B122" s="63">
        <v>16</v>
      </c>
      <c r="C122" s="63" t="s">
        <v>19</v>
      </c>
      <c r="D122" s="63" t="s">
        <v>77</v>
      </c>
      <c r="E122" s="66"/>
      <c r="F122" s="67">
        <v>3.0000000000000001E-3</v>
      </c>
      <c r="G122" s="67">
        <v>2E-3</v>
      </c>
      <c r="H122" s="63"/>
    </row>
    <row r="123" spans="1:8" x14ac:dyDescent="0.25">
      <c r="A123" s="63"/>
      <c r="B123" s="63">
        <v>17</v>
      </c>
      <c r="C123" s="63" t="s">
        <v>19</v>
      </c>
      <c r="D123" s="63" t="s">
        <v>77</v>
      </c>
      <c r="E123" s="66"/>
      <c r="F123" s="67">
        <v>3.0000000000000001E-3</v>
      </c>
      <c r="G123" s="67">
        <v>2E-3</v>
      </c>
      <c r="H123" s="63"/>
    </row>
    <row r="124" spans="1:8" x14ac:dyDescent="0.25">
      <c r="A124" s="63"/>
      <c r="B124" s="63">
        <v>18</v>
      </c>
      <c r="C124" s="63" t="s">
        <v>19</v>
      </c>
      <c r="D124" s="63" t="s">
        <v>77</v>
      </c>
      <c r="E124" s="66"/>
      <c r="F124" s="67">
        <v>3.0000000000000001E-3</v>
      </c>
      <c r="G124" s="67">
        <v>2E-3</v>
      </c>
      <c r="H124" s="63"/>
    </row>
    <row r="125" spans="1:8" x14ac:dyDescent="0.25">
      <c r="A125" s="63"/>
      <c r="B125" s="63">
        <v>19</v>
      </c>
      <c r="C125" s="63" t="s">
        <v>19</v>
      </c>
      <c r="D125" s="63" t="s">
        <v>77</v>
      </c>
      <c r="E125" s="66"/>
      <c r="F125" s="67">
        <v>3.0000000000000001E-3</v>
      </c>
      <c r="G125" s="67">
        <v>2E-3</v>
      </c>
      <c r="H125" s="63"/>
    </row>
    <row r="126" spans="1:8" x14ac:dyDescent="0.25">
      <c r="A126" s="63"/>
      <c r="B126" s="63">
        <v>20</v>
      </c>
      <c r="C126" s="63" t="s">
        <v>19</v>
      </c>
      <c r="D126" s="63" t="s">
        <v>77</v>
      </c>
      <c r="E126" s="66"/>
      <c r="F126" s="67">
        <v>3.0000000000000001E-3</v>
      </c>
      <c r="G126" s="67">
        <v>2E-3</v>
      </c>
      <c r="H126" s="63"/>
    </row>
    <row r="127" spans="1:8" x14ac:dyDescent="0.25">
      <c r="A127" s="63"/>
      <c r="B127" s="63">
        <v>21</v>
      </c>
      <c r="C127" s="63" t="s">
        <v>19</v>
      </c>
      <c r="D127" s="63" t="s">
        <v>77</v>
      </c>
      <c r="E127" s="66"/>
      <c r="F127" s="67">
        <v>3.0000000000000001E-3</v>
      </c>
      <c r="G127" s="67">
        <v>2E-3</v>
      </c>
      <c r="H127" s="63"/>
    </row>
    <row r="128" spans="1:8" x14ac:dyDescent="0.25">
      <c r="A128" s="63"/>
      <c r="B128" s="63">
        <v>22</v>
      </c>
      <c r="C128" s="63" t="s">
        <v>19</v>
      </c>
      <c r="D128" s="63" t="s">
        <v>77</v>
      </c>
      <c r="E128" s="66"/>
      <c r="F128" s="67">
        <v>3.0000000000000001E-3</v>
      </c>
      <c r="G128" s="67">
        <v>2E-3</v>
      </c>
      <c r="H128" s="63"/>
    </row>
    <row r="129" spans="1:8" x14ac:dyDescent="0.25">
      <c r="A129" s="63"/>
      <c r="B129" s="63">
        <v>23</v>
      </c>
      <c r="C129" s="63" t="s">
        <v>19</v>
      </c>
      <c r="D129" s="63" t="s">
        <v>77</v>
      </c>
      <c r="E129" s="66"/>
      <c r="F129" s="67">
        <v>3.0000000000000001E-3</v>
      </c>
      <c r="G129" s="67">
        <v>2E-3</v>
      </c>
      <c r="H129" s="63"/>
    </row>
    <row r="130" spans="1:8" x14ac:dyDescent="0.25">
      <c r="A130" s="63"/>
      <c r="B130" s="63">
        <v>24</v>
      </c>
      <c r="C130" s="63" t="s">
        <v>19</v>
      </c>
      <c r="D130" s="63" t="s">
        <v>77</v>
      </c>
      <c r="E130" s="66"/>
      <c r="F130" s="67">
        <v>3.0000000000000001E-3</v>
      </c>
      <c r="G130" s="67">
        <v>2E-3</v>
      </c>
      <c r="H130" s="63"/>
    </row>
    <row r="131" spans="1:8" x14ac:dyDescent="0.25">
      <c r="A131" s="63"/>
      <c r="B131" s="63">
        <v>25</v>
      </c>
      <c r="C131" s="63" t="s">
        <v>19</v>
      </c>
      <c r="D131" s="63" t="s">
        <v>77</v>
      </c>
      <c r="E131" s="66"/>
      <c r="F131" s="67">
        <v>3.0000000000000001E-3</v>
      </c>
      <c r="G131" s="67">
        <v>2E-3</v>
      </c>
      <c r="H131" s="63"/>
    </row>
    <row r="132" spans="1:8" x14ac:dyDescent="0.25">
      <c r="A132" s="63"/>
      <c r="B132" s="63">
        <v>26</v>
      </c>
      <c r="C132" s="63" t="s">
        <v>19</v>
      </c>
      <c r="D132" s="63" t="s">
        <v>77</v>
      </c>
      <c r="E132" s="66"/>
      <c r="F132" s="67">
        <v>3.0000000000000001E-3</v>
      </c>
      <c r="G132" s="67">
        <v>2E-3</v>
      </c>
      <c r="H132" s="63"/>
    </row>
    <row r="133" spans="1:8" x14ac:dyDescent="0.25">
      <c r="A133" s="63"/>
      <c r="B133" s="63">
        <v>27</v>
      </c>
      <c r="C133" s="63" t="s">
        <v>19</v>
      </c>
      <c r="D133" s="63" t="s">
        <v>77</v>
      </c>
      <c r="E133" s="66"/>
      <c r="F133" s="67">
        <v>3.0000000000000001E-3</v>
      </c>
      <c r="G133" s="67">
        <v>2E-3</v>
      </c>
      <c r="H133" s="63"/>
    </row>
    <row r="134" spans="1:8" x14ac:dyDescent="0.25">
      <c r="A134" s="63"/>
      <c r="B134" s="63">
        <v>28</v>
      </c>
      <c r="C134" s="63" t="s">
        <v>19</v>
      </c>
      <c r="D134" s="63" t="s">
        <v>77</v>
      </c>
      <c r="E134" s="66"/>
      <c r="F134" s="67">
        <v>3.0000000000000001E-3</v>
      </c>
      <c r="G134" s="67">
        <v>2E-3</v>
      </c>
      <c r="H134" s="63"/>
    </row>
    <row r="135" spans="1:8" x14ac:dyDescent="0.25">
      <c r="A135" s="63"/>
      <c r="B135" s="63">
        <v>29</v>
      </c>
      <c r="C135" s="63" t="s">
        <v>19</v>
      </c>
      <c r="D135" s="63" t="s">
        <v>77</v>
      </c>
      <c r="E135" s="66"/>
      <c r="F135" s="67">
        <v>3.0000000000000001E-3</v>
      </c>
      <c r="G135" s="67">
        <v>2E-3</v>
      </c>
      <c r="H135" s="63"/>
    </row>
    <row r="136" spans="1:8" x14ac:dyDescent="0.25">
      <c r="A136" s="63"/>
      <c r="B136" s="63">
        <v>30</v>
      </c>
      <c r="C136" s="63" t="s">
        <v>19</v>
      </c>
      <c r="D136" s="63" t="s">
        <v>77</v>
      </c>
      <c r="E136" s="66"/>
      <c r="F136" s="67">
        <v>3.0000000000000001E-3</v>
      </c>
      <c r="G136" s="67">
        <v>2E-3</v>
      </c>
      <c r="H136" s="63"/>
    </row>
    <row r="137" spans="1:8" x14ac:dyDescent="0.25">
      <c r="A137" s="63"/>
      <c r="B137" s="63">
        <v>0</v>
      </c>
      <c r="C137" s="63" t="s">
        <v>19</v>
      </c>
      <c r="D137" s="63" t="s">
        <v>77</v>
      </c>
      <c r="E137" s="66">
        <v>3.0428788910505911</v>
      </c>
      <c r="F137" s="67">
        <v>3.0000000000000001E-3</v>
      </c>
      <c r="G137" s="67">
        <v>2E-3</v>
      </c>
      <c r="H137" s="63"/>
    </row>
    <row r="138" spans="1:8" x14ac:dyDescent="0.25">
      <c r="A138" s="63"/>
      <c r="B138" s="63">
        <v>0.25</v>
      </c>
      <c r="C138" s="63" t="s">
        <v>663</v>
      </c>
      <c r="D138" s="63" t="s">
        <v>21</v>
      </c>
      <c r="E138" s="66">
        <v>10.849677748364684</v>
      </c>
      <c r="F138" s="67">
        <v>3.0000000000000001E-3</v>
      </c>
      <c r="G138" s="67">
        <v>2E-3</v>
      </c>
      <c r="H138" s="63"/>
    </row>
    <row r="139" spans="1:8" x14ac:dyDescent="0.25">
      <c r="A139" s="63"/>
      <c r="B139" s="63">
        <v>0.5</v>
      </c>
      <c r="C139" s="63" t="s">
        <v>663</v>
      </c>
      <c r="D139" s="63" t="s">
        <v>21</v>
      </c>
      <c r="E139" s="66">
        <v>11.170722907780601</v>
      </c>
      <c r="F139" s="67">
        <v>3.0000000000000001E-3</v>
      </c>
      <c r="G139" s="67">
        <v>2E-3</v>
      </c>
      <c r="H139" s="63"/>
    </row>
    <row r="140" spans="1:8" x14ac:dyDescent="0.25">
      <c r="A140" s="63"/>
      <c r="B140" s="63">
        <v>0.75</v>
      </c>
      <c r="C140" s="63" t="s">
        <v>663</v>
      </c>
      <c r="D140" s="63" t="s">
        <v>21</v>
      </c>
      <c r="E140" s="66">
        <v>11.492217929976764</v>
      </c>
      <c r="F140" s="67">
        <v>3.0000000000000001E-3</v>
      </c>
      <c r="G140" s="67">
        <v>2E-3</v>
      </c>
      <c r="H140" s="63"/>
    </row>
    <row r="141" spans="1:8" x14ac:dyDescent="0.25">
      <c r="A141" s="63"/>
      <c r="B141" s="63">
        <v>1</v>
      </c>
      <c r="C141" s="63" t="s">
        <v>663</v>
      </c>
      <c r="D141" s="63" t="s">
        <v>21</v>
      </c>
      <c r="E141" s="66">
        <v>11.883294545064322</v>
      </c>
      <c r="F141" s="67">
        <v>3.0000000000000001E-3</v>
      </c>
      <c r="G141" s="67">
        <v>2E-3</v>
      </c>
      <c r="H141" s="63"/>
    </row>
    <row r="142" spans="1:8" x14ac:dyDescent="0.25">
      <c r="A142" s="63"/>
      <c r="B142" s="63">
        <v>2</v>
      </c>
      <c r="C142" s="63" t="s">
        <v>663</v>
      </c>
      <c r="D142" s="63" t="s">
        <v>21</v>
      </c>
      <c r="E142" s="66">
        <v>13.000297731326581</v>
      </c>
      <c r="F142" s="67">
        <v>3.0000000000000001E-3</v>
      </c>
      <c r="G142" s="67">
        <v>2E-3</v>
      </c>
      <c r="H142" s="63"/>
    </row>
    <row r="143" spans="1:8" x14ac:dyDescent="0.25">
      <c r="A143" s="63"/>
      <c r="B143" s="63">
        <v>3</v>
      </c>
      <c r="C143" s="63" t="s">
        <v>663</v>
      </c>
      <c r="D143" s="63" t="s">
        <v>21</v>
      </c>
      <c r="E143" s="66">
        <v>14.958198549450643</v>
      </c>
      <c r="F143" s="67">
        <v>3.0000000000000001E-3</v>
      </c>
      <c r="G143" s="67">
        <v>2E-3</v>
      </c>
      <c r="H143" s="63"/>
    </row>
    <row r="144" spans="1:8" x14ac:dyDescent="0.25">
      <c r="A144" s="63"/>
      <c r="B144" s="63">
        <v>4</v>
      </c>
      <c r="C144" s="63" t="s">
        <v>663</v>
      </c>
      <c r="D144" s="63" t="s">
        <v>21</v>
      </c>
      <c r="E144" s="66">
        <v>17.051363746786457</v>
      </c>
      <c r="F144" s="67">
        <v>3.0000000000000001E-3</v>
      </c>
      <c r="G144" s="67">
        <v>2E-3</v>
      </c>
      <c r="H144" s="63"/>
    </row>
    <row r="145" spans="1:8" x14ac:dyDescent="0.25">
      <c r="A145" s="63"/>
      <c r="B145" s="63">
        <v>5</v>
      </c>
      <c r="C145" s="63" t="s">
        <v>663</v>
      </c>
      <c r="D145" s="63" t="s">
        <v>21</v>
      </c>
      <c r="E145" s="66">
        <v>19.346970753451323</v>
      </c>
      <c r="F145" s="67">
        <v>3.0000000000000001E-3</v>
      </c>
      <c r="G145" s="67">
        <v>2E-3</v>
      </c>
      <c r="H145" s="63"/>
    </row>
    <row r="146" spans="1:8" x14ac:dyDescent="0.25">
      <c r="A146" s="63"/>
      <c r="B146" s="63">
        <v>6</v>
      </c>
      <c r="C146" s="63" t="s">
        <v>663</v>
      </c>
      <c r="D146" s="63" t="s">
        <v>21</v>
      </c>
      <c r="E146" s="66">
        <v>21.432573204379402</v>
      </c>
      <c r="F146" s="67">
        <v>3.0000000000000001E-3</v>
      </c>
      <c r="G146" s="67">
        <v>2E-3</v>
      </c>
      <c r="H146" s="63"/>
    </row>
    <row r="147" spans="1:8" x14ac:dyDescent="0.25">
      <c r="A147" s="63"/>
      <c r="B147" s="63">
        <v>7</v>
      </c>
      <c r="C147" s="63" t="s">
        <v>663</v>
      </c>
      <c r="D147" s="63" t="s">
        <v>21</v>
      </c>
      <c r="E147" s="66">
        <v>23.588481528315008</v>
      </c>
      <c r="F147" s="67">
        <v>3.0000000000000001E-3</v>
      </c>
      <c r="G147" s="67">
        <v>2E-3</v>
      </c>
      <c r="H147" s="63"/>
    </row>
    <row r="148" spans="1:8" x14ac:dyDescent="0.25">
      <c r="A148" s="63"/>
      <c r="B148" s="63">
        <v>8</v>
      </c>
      <c r="C148" s="63" t="s">
        <v>663</v>
      </c>
      <c r="D148" s="63" t="s">
        <v>21</v>
      </c>
      <c r="E148" s="66">
        <v>25.821726312558901</v>
      </c>
      <c r="F148" s="67">
        <v>3.0000000000000001E-3</v>
      </c>
      <c r="G148" s="67">
        <v>2E-3</v>
      </c>
      <c r="H148" s="63"/>
    </row>
    <row r="149" spans="1:8" x14ac:dyDescent="0.25">
      <c r="A149" s="63"/>
      <c r="B149" s="63">
        <v>9</v>
      </c>
      <c r="C149" s="63" t="s">
        <v>663</v>
      </c>
      <c r="D149" s="63" t="s">
        <v>21</v>
      </c>
      <c r="E149" s="66">
        <v>28.140041203141894</v>
      </c>
      <c r="F149" s="67">
        <v>3.0000000000000001E-3</v>
      </c>
      <c r="G149" s="67">
        <v>2E-3</v>
      </c>
      <c r="H149" s="63"/>
    </row>
    <row r="150" spans="1:8" x14ac:dyDescent="0.25">
      <c r="A150" s="63"/>
      <c r="B150" s="63">
        <v>10</v>
      </c>
      <c r="C150" s="63" t="s">
        <v>663</v>
      </c>
      <c r="D150" s="63" t="s">
        <v>21</v>
      </c>
      <c r="E150" s="66">
        <v>30.066669018394961</v>
      </c>
      <c r="F150" s="67">
        <v>3.0000000000000001E-3</v>
      </c>
      <c r="G150" s="67">
        <v>2E-3</v>
      </c>
      <c r="H150" s="63"/>
    </row>
    <row r="151" spans="1:8" x14ac:dyDescent="0.25">
      <c r="A151" s="63"/>
      <c r="B151" s="63">
        <v>11</v>
      </c>
      <c r="C151" s="63" t="s">
        <v>663</v>
      </c>
      <c r="D151" s="63" t="s">
        <v>21</v>
      </c>
      <c r="E151" s="66"/>
      <c r="F151" s="67">
        <v>3.0000000000000001E-3</v>
      </c>
      <c r="G151" s="67">
        <v>2E-3</v>
      </c>
      <c r="H151" s="63"/>
    </row>
    <row r="152" spans="1:8" x14ac:dyDescent="0.25">
      <c r="A152" s="63"/>
      <c r="B152" s="63">
        <v>12</v>
      </c>
      <c r="C152" s="63" t="s">
        <v>663</v>
      </c>
      <c r="D152" s="63" t="s">
        <v>21</v>
      </c>
      <c r="E152" s="66"/>
      <c r="F152" s="67">
        <v>3.0000000000000001E-3</v>
      </c>
      <c r="G152" s="67">
        <v>2E-3</v>
      </c>
      <c r="H152" s="63"/>
    </row>
    <row r="153" spans="1:8" x14ac:dyDescent="0.25">
      <c r="A153" s="63"/>
      <c r="B153" s="63">
        <v>13</v>
      </c>
      <c r="C153" s="63" t="s">
        <v>663</v>
      </c>
      <c r="D153" s="63" t="s">
        <v>21</v>
      </c>
      <c r="E153" s="66"/>
      <c r="F153" s="67">
        <v>3.0000000000000001E-3</v>
      </c>
      <c r="G153" s="67">
        <v>2E-3</v>
      </c>
      <c r="H153" s="63"/>
    </row>
    <row r="154" spans="1:8" x14ac:dyDescent="0.25">
      <c r="A154" s="63"/>
      <c r="B154" s="63">
        <v>14</v>
      </c>
      <c r="C154" s="63" t="s">
        <v>663</v>
      </c>
      <c r="D154" s="63" t="s">
        <v>21</v>
      </c>
      <c r="E154" s="66"/>
      <c r="F154" s="67">
        <v>3.0000000000000001E-3</v>
      </c>
      <c r="G154" s="67">
        <v>2E-3</v>
      </c>
      <c r="H154" s="63"/>
    </row>
    <row r="155" spans="1:8" x14ac:dyDescent="0.25">
      <c r="A155" s="63"/>
      <c r="B155" s="63">
        <v>15</v>
      </c>
      <c r="C155" s="63" t="s">
        <v>663</v>
      </c>
      <c r="D155" s="63" t="s">
        <v>21</v>
      </c>
      <c r="E155" s="66"/>
      <c r="F155" s="67">
        <v>3.0000000000000001E-3</v>
      </c>
      <c r="G155" s="67">
        <v>2E-3</v>
      </c>
      <c r="H155" s="63"/>
    </row>
    <row r="156" spans="1:8" x14ac:dyDescent="0.25">
      <c r="A156" s="63"/>
      <c r="B156" s="63">
        <v>16</v>
      </c>
      <c r="C156" s="63" t="s">
        <v>663</v>
      </c>
      <c r="D156" s="63" t="s">
        <v>21</v>
      </c>
      <c r="E156" s="66"/>
      <c r="F156" s="67">
        <v>3.0000000000000001E-3</v>
      </c>
      <c r="G156" s="67">
        <v>2E-3</v>
      </c>
      <c r="H156" s="63"/>
    </row>
    <row r="157" spans="1:8" x14ac:dyDescent="0.25">
      <c r="A157" s="63"/>
      <c r="B157" s="63">
        <v>17</v>
      </c>
      <c r="C157" s="63" t="s">
        <v>663</v>
      </c>
      <c r="D157" s="63" t="s">
        <v>21</v>
      </c>
      <c r="E157" s="66"/>
      <c r="F157" s="67">
        <v>3.0000000000000001E-3</v>
      </c>
      <c r="G157" s="67">
        <v>2E-3</v>
      </c>
      <c r="H157" s="63"/>
    </row>
    <row r="158" spans="1:8" x14ac:dyDescent="0.25">
      <c r="A158" s="63"/>
      <c r="B158" s="63">
        <v>18</v>
      </c>
      <c r="C158" s="63" t="s">
        <v>663</v>
      </c>
      <c r="D158" s="63" t="s">
        <v>21</v>
      </c>
      <c r="E158" s="66"/>
      <c r="F158" s="67">
        <v>3.0000000000000001E-3</v>
      </c>
      <c r="G158" s="67">
        <v>2E-3</v>
      </c>
      <c r="H158" s="63"/>
    </row>
    <row r="159" spans="1:8" x14ac:dyDescent="0.25">
      <c r="A159" s="63"/>
      <c r="B159" s="63">
        <v>19</v>
      </c>
      <c r="C159" s="63" t="s">
        <v>663</v>
      </c>
      <c r="D159" s="63" t="s">
        <v>21</v>
      </c>
      <c r="E159" s="66"/>
      <c r="F159" s="67">
        <v>3.0000000000000001E-3</v>
      </c>
      <c r="G159" s="67">
        <v>2E-3</v>
      </c>
      <c r="H159" s="63"/>
    </row>
    <row r="160" spans="1:8" x14ac:dyDescent="0.25">
      <c r="A160" s="63"/>
      <c r="B160" s="63">
        <v>20</v>
      </c>
      <c r="C160" s="63" t="s">
        <v>663</v>
      </c>
      <c r="D160" s="63" t="s">
        <v>21</v>
      </c>
      <c r="E160" s="66"/>
      <c r="F160" s="67">
        <v>3.0000000000000001E-3</v>
      </c>
      <c r="G160" s="67">
        <v>2E-3</v>
      </c>
      <c r="H160" s="63"/>
    </row>
    <row r="161" spans="1:8" x14ac:dyDescent="0.25">
      <c r="A161" s="63"/>
      <c r="B161" s="63">
        <v>21</v>
      </c>
      <c r="C161" s="63" t="s">
        <v>663</v>
      </c>
      <c r="D161" s="63" t="s">
        <v>21</v>
      </c>
      <c r="E161" s="66"/>
      <c r="F161" s="67">
        <v>3.0000000000000001E-3</v>
      </c>
      <c r="G161" s="67">
        <v>2E-3</v>
      </c>
      <c r="H161" s="63"/>
    </row>
    <row r="162" spans="1:8" x14ac:dyDescent="0.25">
      <c r="A162" s="63"/>
      <c r="B162" s="63">
        <v>22</v>
      </c>
      <c r="C162" s="63" t="s">
        <v>663</v>
      </c>
      <c r="D162" s="63" t="s">
        <v>21</v>
      </c>
      <c r="E162" s="66"/>
      <c r="F162" s="67">
        <v>3.0000000000000001E-3</v>
      </c>
      <c r="G162" s="67">
        <v>2E-3</v>
      </c>
      <c r="H162" s="63"/>
    </row>
    <row r="163" spans="1:8" x14ac:dyDescent="0.25">
      <c r="A163" s="63"/>
      <c r="B163" s="63">
        <v>23</v>
      </c>
      <c r="C163" s="63" t="s">
        <v>663</v>
      </c>
      <c r="D163" s="63" t="s">
        <v>21</v>
      </c>
      <c r="E163" s="66"/>
      <c r="F163" s="67">
        <v>3.0000000000000001E-3</v>
      </c>
      <c r="G163" s="67">
        <v>2E-3</v>
      </c>
      <c r="H163" s="63"/>
    </row>
    <row r="164" spans="1:8" x14ac:dyDescent="0.25">
      <c r="A164" s="63"/>
      <c r="B164" s="63">
        <v>24</v>
      </c>
      <c r="C164" s="63" t="s">
        <v>663</v>
      </c>
      <c r="D164" s="63" t="s">
        <v>21</v>
      </c>
      <c r="E164" s="66"/>
      <c r="F164" s="67">
        <v>3.0000000000000001E-3</v>
      </c>
      <c r="G164" s="67">
        <v>2E-3</v>
      </c>
      <c r="H164" s="63"/>
    </row>
    <row r="165" spans="1:8" x14ac:dyDescent="0.25">
      <c r="A165" s="63"/>
      <c r="B165" s="63">
        <v>25</v>
      </c>
      <c r="C165" s="63" t="s">
        <v>663</v>
      </c>
      <c r="D165" s="63" t="s">
        <v>21</v>
      </c>
      <c r="E165" s="66"/>
      <c r="F165" s="67">
        <v>3.0000000000000001E-3</v>
      </c>
      <c r="G165" s="67">
        <v>2E-3</v>
      </c>
      <c r="H165" s="63"/>
    </row>
    <row r="166" spans="1:8" x14ac:dyDescent="0.25">
      <c r="A166" s="63"/>
      <c r="B166" s="63">
        <v>26</v>
      </c>
      <c r="C166" s="63" t="s">
        <v>663</v>
      </c>
      <c r="D166" s="63" t="s">
        <v>21</v>
      </c>
      <c r="E166" s="66"/>
      <c r="F166" s="67">
        <v>3.0000000000000001E-3</v>
      </c>
      <c r="G166" s="67">
        <v>2E-3</v>
      </c>
      <c r="H166" s="63"/>
    </row>
    <row r="167" spans="1:8" x14ac:dyDescent="0.25">
      <c r="A167" s="63"/>
      <c r="B167" s="63">
        <v>27</v>
      </c>
      <c r="C167" s="63" t="s">
        <v>663</v>
      </c>
      <c r="D167" s="63" t="s">
        <v>21</v>
      </c>
      <c r="E167" s="66"/>
      <c r="F167" s="67">
        <v>3.0000000000000001E-3</v>
      </c>
      <c r="G167" s="67">
        <v>2E-3</v>
      </c>
      <c r="H167" s="63"/>
    </row>
    <row r="168" spans="1:8" x14ac:dyDescent="0.25">
      <c r="A168" s="63"/>
      <c r="B168" s="63">
        <v>28</v>
      </c>
      <c r="C168" s="63" t="s">
        <v>663</v>
      </c>
      <c r="D168" s="63" t="s">
        <v>21</v>
      </c>
      <c r="E168" s="66"/>
      <c r="F168" s="67">
        <v>3.0000000000000001E-3</v>
      </c>
      <c r="G168" s="67">
        <v>2E-3</v>
      </c>
      <c r="H168" s="63"/>
    </row>
    <row r="169" spans="1:8" x14ac:dyDescent="0.25">
      <c r="A169" s="63"/>
      <c r="B169" s="63">
        <v>29</v>
      </c>
      <c r="C169" s="63" t="s">
        <v>663</v>
      </c>
      <c r="D169" s="63" t="s">
        <v>21</v>
      </c>
      <c r="E169" s="66"/>
      <c r="F169" s="67">
        <v>3.0000000000000001E-3</v>
      </c>
      <c r="G169" s="67">
        <v>2E-3</v>
      </c>
      <c r="H169" s="63"/>
    </row>
    <row r="170" spans="1:8" x14ac:dyDescent="0.25">
      <c r="A170" s="63"/>
      <c r="B170" s="63">
        <v>30</v>
      </c>
      <c r="C170" s="63" t="s">
        <v>663</v>
      </c>
      <c r="D170" s="63" t="s">
        <v>21</v>
      </c>
      <c r="E170" s="66"/>
      <c r="F170" s="67">
        <v>3.0000000000000001E-3</v>
      </c>
      <c r="G170" s="67">
        <v>2E-3</v>
      </c>
      <c r="H170" s="63"/>
    </row>
    <row r="171" spans="1:8" x14ac:dyDescent="0.25">
      <c r="A171" s="63"/>
      <c r="B171" s="63">
        <v>0</v>
      </c>
      <c r="C171" s="63" t="s">
        <v>663</v>
      </c>
      <c r="D171" s="63" t="s">
        <v>21</v>
      </c>
      <c r="E171" s="66">
        <v>3.0428788910505911</v>
      </c>
      <c r="F171" s="67">
        <v>3.0000000000000001E-3</v>
      </c>
      <c r="G171" s="67">
        <v>2E-3</v>
      </c>
      <c r="H171" s="63"/>
    </row>
    <row r="172" spans="1:8" x14ac:dyDescent="0.25">
      <c r="A172" s="63"/>
      <c r="B172" s="63">
        <v>0.25</v>
      </c>
      <c r="C172" s="63" t="s">
        <v>663</v>
      </c>
      <c r="D172" s="63" t="s">
        <v>62</v>
      </c>
      <c r="E172" s="66">
        <v>15.267633692923473</v>
      </c>
      <c r="F172" s="67">
        <v>3.0000000000000001E-3</v>
      </c>
      <c r="G172" s="67">
        <v>2E-3</v>
      </c>
      <c r="H172" s="63"/>
    </row>
    <row r="173" spans="1:8" x14ac:dyDescent="0.25">
      <c r="A173" s="63"/>
      <c r="B173" s="63">
        <v>0.5</v>
      </c>
      <c r="C173" s="63" t="s">
        <v>663</v>
      </c>
      <c r="D173" s="63" t="s">
        <v>62</v>
      </c>
      <c r="E173" s="66">
        <v>15.455820801950338</v>
      </c>
      <c r="F173" s="67">
        <v>3.0000000000000001E-3</v>
      </c>
      <c r="G173" s="67">
        <v>2E-3</v>
      </c>
      <c r="H173" s="63"/>
    </row>
    <row r="174" spans="1:8" x14ac:dyDescent="0.25">
      <c r="A174" s="63"/>
      <c r="B174" s="63">
        <v>0.75</v>
      </c>
      <c r="C174" s="63" t="s">
        <v>663</v>
      </c>
      <c r="D174" s="63" t="s">
        <v>62</v>
      </c>
      <c r="E174" s="66">
        <v>15.721645950324477</v>
      </c>
      <c r="F174" s="67">
        <v>3.0000000000000001E-3</v>
      </c>
      <c r="G174" s="67">
        <v>2E-3</v>
      </c>
      <c r="H174" s="63"/>
    </row>
    <row r="175" spans="1:8" x14ac:dyDescent="0.25">
      <c r="A175" s="63"/>
      <c r="B175" s="63">
        <v>1</v>
      </c>
      <c r="C175" s="63" t="s">
        <v>663</v>
      </c>
      <c r="D175" s="63" t="s">
        <v>62</v>
      </c>
      <c r="E175" s="66">
        <v>16.739439286239044</v>
      </c>
      <c r="F175" s="67">
        <v>3.0000000000000001E-3</v>
      </c>
      <c r="G175" s="67">
        <v>2E-3</v>
      </c>
      <c r="H175" s="63"/>
    </row>
    <row r="176" spans="1:8" x14ac:dyDescent="0.25">
      <c r="A176" s="63"/>
      <c r="B176" s="63">
        <v>2</v>
      </c>
      <c r="C176" s="63" t="s">
        <v>663</v>
      </c>
      <c r="D176" s="63" t="s">
        <v>62</v>
      </c>
      <c r="E176" s="66">
        <v>18.882065020469135</v>
      </c>
      <c r="F176" s="67">
        <v>3.0000000000000001E-3</v>
      </c>
      <c r="G176" s="67">
        <v>2E-3</v>
      </c>
      <c r="H176" s="63"/>
    </row>
    <row r="177" spans="1:8" x14ac:dyDescent="0.25">
      <c r="A177" s="63"/>
      <c r="B177" s="63">
        <v>3</v>
      </c>
      <c r="C177" s="63" t="s">
        <v>663</v>
      </c>
      <c r="D177" s="63" t="s">
        <v>62</v>
      </c>
      <c r="E177" s="66">
        <v>20.560260982458932</v>
      </c>
      <c r="F177" s="67">
        <v>3.0000000000000001E-3</v>
      </c>
      <c r="G177" s="67">
        <v>2E-3</v>
      </c>
      <c r="H177" s="63"/>
    </row>
    <row r="178" spans="1:8" x14ac:dyDescent="0.25">
      <c r="A178" s="63"/>
      <c r="B178" s="63">
        <v>4</v>
      </c>
      <c r="C178" s="63" t="s">
        <v>663</v>
      </c>
      <c r="D178" s="63" t="s">
        <v>62</v>
      </c>
      <c r="E178" s="66">
        <v>22.671148936966464</v>
      </c>
      <c r="F178" s="67">
        <v>3.0000000000000001E-3</v>
      </c>
      <c r="G178" s="67">
        <v>2E-3</v>
      </c>
      <c r="H178" s="63"/>
    </row>
    <row r="179" spans="1:8" x14ac:dyDescent="0.25">
      <c r="A179" s="63"/>
      <c r="B179" s="63">
        <v>5</v>
      </c>
      <c r="C179" s="63" t="s">
        <v>663</v>
      </c>
      <c r="D179" s="63" t="s">
        <v>62</v>
      </c>
      <c r="E179" s="66">
        <v>24.988647885599047</v>
      </c>
      <c r="F179" s="67">
        <v>3.0000000000000001E-3</v>
      </c>
      <c r="G179" s="67">
        <v>2E-3</v>
      </c>
      <c r="H179" s="63"/>
    </row>
    <row r="180" spans="1:8" x14ac:dyDescent="0.25">
      <c r="A180" s="63"/>
      <c r="B180" s="63">
        <v>6</v>
      </c>
      <c r="C180" s="63" t="s">
        <v>663</v>
      </c>
      <c r="D180" s="63" t="s">
        <v>62</v>
      </c>
      <c r="E180" s="66">
        <v>27.429334733487696</v>
      </c>
      <c r="F180" s="67">
        <v>3.0000000000000001E-3</v>
      </c>
      <c r="G180" s="67">
        <v>2E-3</v>
      </c>
      <c r="H180" s="63"/>
    </row>
    <row r="181" spans="1:8" x14ac:dyDescent="0.25">
      <c r="A181" s="63"/>
      <c r="B181" s="63">
        <v>7</v>
      </c>
      <c r="C181" s="63" t="s">
        <v>663</v>
      </c>
      <c r="D181" s="63" t="s">
        <v>62</v>
      </c>
      <c r="E181" s="66">
        <v>30.009055056381616</v>
      </c>
      <c r="F181" s="67">
        <v>3.0000000000000001E-3</v>
      </c>
      <c r="G181" s="67">
        <v>2E-3</v>
      </c>
      <c r="H181" s="63"/>
    </row>
    <row r="182" spans="1:8" x14ac:dyDescent="0.25">
      <c r="A182" s="63"/>
      <c r="B182" s="63">
        <v>8</v>
      </c>
      <c r="C182" s="63" t="s">
        <v>663</v>
      </c>
      <c r="D182" s="63" t="s">
        <v>62</v>
      </c>
      <c r="E182" s="66">
        <v>34.85116305716884</v>
      </c>
      <c r="F182" s="67">
        <v>3.0000000000000001E-3</v>
      </c>
      <c r="G182" s="67">
        <v>2E-3</v>
      </c>
      <c r="H182" s="63"/>
    </row>
    <row r="183" spans="1:8" x14ac:dyDescent="0.25">
      <c r="A183" s="63"/>
      <c r="B183" s="63">
        <v>9</v>
      </c>
      <c r="C183" s="63" t="s">
        <v>663</v>
      </c>
      <c r="D183" s="63" t="s">
        <v>62</v>
      </c>
      <c r="E183" s="66">
        <v>37.75822329541549</v>
      </c>
      <c r="F183" s="67">
        <v>3.0000000000000001E-3</v>
      </c>
      <c r="G183" s="67">
        <v>2E-3</v>
      </c>
      <c r="H183" s="63"/>
    </row>
    <row r="184" spans="1:8" x14ac:dyDescent="0.25">
      <c r="A184" s="63"/>
      <c r="B184" s="63">
        <v>10</v>
      </c>
      <c r="C184" s="63" t="s">
        <v>663</v>
      </c>
      <c r="D184" s="63" t="s">
        <v>62</v>
      </c>
      <c r="E184" s="66">
        <v>40.581849370377171</v>
      </c>
      <c r="F184" s="67">
        <v>3.0000000000000001E-3</v>
      </c>
      <c r="G184" s="67">
        <v>2E-3</v>
      </c>
      <c r="H184" s="63"/>
    </row>
    <row r="185" spans="1:8" x14ac:dyDescent="0.25">
      <c r="A185" s="63"/>
      <c r="B185" s="63">
        <v>11</v>
      </c>
      <c r="C185" s="63" t="s">
        <v>663</v>
      </c>
      <c r="D185" s="63" t="s">
        <v>62</v>
      </c>
      <c r="E185" s="66"/>
      <c r="F185" s="67">
        <v>3.0000000000000001E-3</v>
      </c>
      <c r="G185" s="67">
        <v>2E-3</v>
      </c>
      <c r="H185" s="63"/>
    </row>
    <row r="186" spans="1:8" x14ac:dyDescent="0.25">
      <c r="A186" s="63"/>
      <c r="B186" s="63">
        <v>12</v>
      </c>
      <c r="C186" s="63" t="s">
        <v>663</v>
      </c>
      <c r="D186" s="63" t="s">
        <v>62</v>
      </c>
      <c r="E186" s="66"/>
      <c r="F186" s="67">
        <v>3.0000000000000001E-3</v>
      </c>
      <c r="G186" s="67">
        <v>2E-3</v>
      </c>
      <c r="H186" s="63"/>
    </row>
    <row r="187" spans="1:8" x14ac:dyDescent="0.25">
      <c r="A187" s="63"/>
      <c r="B187" s="63">
        <v>13</v>
      </c>
      <c r="C187" s="63" t="s">
        <v>663</v>
      </c>
      <c r="D187" s="63" t="s">
        <v>62</v>
      </c>
      <c r="E187" s="66"/>
      <c r="F187" s="67">
        <v>3.0000000000000001E-3</v>
      </c>
      <c r="G187" s="67">
        <v>2E-3</v>
      </c>
      <c r="H187" s="63"/>
    </row>
    <row r="188" spans="1:8" x14ac:dyDescent="0.25">
      <c r="A188" s="63"/>
      <c r="B188" s="63">
        <v>14</v>
      </c>
      <c r="C188" s="63" t="s">
        <v>663</v>
      </c>
      <c r="D188" s="63" t="s">
        <v>62</v>
      </c>
      <c r="E188" s="66"/>
      <c r="F188" s="67">
        <v>3.0000000000000001E-3</v>
      </c>
      <c r="G188" s="67">
        <v>2E-3</v>
      </c>
      <c r="H188" s="63"/>
    </row>
    <row r="189" spans="1:8" x14ac:dyDescent="0.25">
      <c r="A189" s="63"/>
      <c r="B189" s="63">
        <v>15</v>
      </c>
      <c r="C189" s="63" t="s">
        <v>663</v>
      </c>
      <c r="D189" s="63" t="s">
        <v>62</v>
      </c>
      <c r="E189" s="66"/>
      <c r="F189" s="67">
        <v>3.0000000000000001E-3</v>
      </c>
      <c r="G189" s="67">
        <v>2E-3</v>
      </c>
      <c r="H189" s="63"/>
    </row>
    <row r="190" spans="1:8" x14ac:dyDescent="0.25">
      <c r="A190" s="63"/>
      <c r="B190" s="63">
        <v>16</v>
      </c>
      <c r="C190" s="63" t="s">
        <v>663</v>
      </c>
      <c r="D190" s="63" t="s">
        <v>62</v>
      </c>
      <c r="E190" s="66"/>
      <c r="F190" s="67">
        <v>3.0000000000000001E-3</v>
      </c>
      <c r="G190" s="67">
        <v>2E-3</v>
      </c>
      <c r="H190" s="63"/>
    </row>
    <row r="191" spans="1:8" x14ac:dyDescent="0.25">
      <c r="A191" s="63"/>
      <c r="B191" s="63">
        <v>17</v>
      </c>
      <c r="C191" s="63" t="s">
        <v>663</v>
      </c>
      <c r="D191" s="63" t="s">
        <v>62</v>
      </c>
      <c r="E191" s="66"/>
      <c r="F191" s="67">
        <v>3.0000000000000001E-3</v>
      </c>
      <c r="G191" s="67">
        <v>2E-3</v>
      </c>
      <c r="H191" s="63"/>
    </row>
    <row r="192" spans="1:8" x14ac:dyDescent="0.25">
      <c r="A192" s="63"/>
      <c r="B192" s="63">
        <v>18</v>
      </c>
      <c r="C192" s="63" t="s">
        <v>663</v>
      </c>
      <c r="D192" s="63" t="s">
        <v>62</v>
      </c>
      <c r="E192" s="66"/>
      <c r="F192" s="67">
        <v>3.0000000000000001E-3</v>
      </c>
      <c r="G192" s="67">
        <v>2E-3</v>
      </c>
      <c r="H192" s="63"/>
    </row>
    <row r="193" spans="1:8" x14ac:dyDescent="0.25">
      <c r="A193" s="63"/>
      <c r="B193" s="63">
        <v>19</v>
      </c>
      <c r="C193" s="63" t="s">
        <v>663</v>
      </c>
      <c r="D193" s="63" t="s">
        <v>62</v>
      </c>
      <c r="E193" s="66"/>
      <c r="F193" s="67">
        <v>3.0000000000000001E-3</v>
      </c>
      <c r="G193" s="67">
        <v>2E-3</v>
      </c>
      <c r="H193" s="63"/>
    </row>
    <row r="194" spans="1:8" x14ac:dyDescent="0.25">
      <c r="A194" s="63"/>
      <c r="B194" s="63">
        <v>20</v>
      </c>
      <c r="C194" s="63" t="s">
        <v>663</v>
      </c>
      <c r="D194" s="63" t="s">
        <v>62</v>
      </c>
      <c r="E194" s="66"/>
      <c r="F194" s="67">
        <v>3.0000000000000001E-3</v>
      </c>
      <c r="G194" s="67">
        <v>2E-3</v>
      </c>
      <c r="H194" s="63"/>
    </row>
    <row r="195" spans="1:8" x14ac:dyDescent="0.25">
      <c r="A195" s="63"/>
      <c r="B195" s="63">
        <v>21</v>
      </c>
      <c r="C195" s="63" t="s">
        <v>663</v>
      </c>
      <c r="D195" s="63" t="s">
        <v>62</v>
      </c>
      <c r="E195" s="66"/>
      <c r="F195" s="67">
        <v>3.0000000000000001E-3</v>
      </c>
      <c r="G195" s="67">
        <v>2E-3</v>
      </c>
      <c r="H195" s="63"/>
    </row>
    <row r="196" spans="1:8" x14ac:dyDescent="0.25">
      <c r="A196" s="63"/>
      <c r="B196" s="63">
        <v>22</v>
      </c>
      <c r="C196" s="63" t="s">
        <v>663</v>
      </c>
      <c r="D196" s="63" t="s">
        <v>62</v>
      </c>
      <c r="E196" s="66"/>
      <c r="F196" s="67">
        <v>3.0000000000000001E-3</v>
      </c>
      <c r="G196" s="67">
        <v>2E-3</v>
      </c>
      <c r="H196" s="63"/>
    </row>
    <row r="197" spans="1:8" x14ac:dyDescent="0.25">
      <c r="A197" s="63"/>
      <c r="B197" s="63">
        <v>23</v>
      </c>
      <c r="C197" s="63" t="s">
        <v>663</v>
      </c>
      <c r="D197" s="63" t="s">
        <v>62</v>
      </c>
      <c r="E197" s="66"/>
      <c r="F197" s="67">
        <v>3.0000000000000001E-3</v>
      </c>
      <c r="G197" s="67">
        <v>2E-3</v>
      </c>
      <c r="H197" s="63"/>
    </row>
    <row r="198" spans="1:8" x14ac:dyDescent="0.25">
      <c r="A198" s="63"/>
      <c r="B198" s="63">
        <v>24</v>
      </c>
      <c r="C198" s="63" t="s">
        <v>663</v>
      </c>
      <c r="D198" s="63" t="s">
        <v>62</v>
      </c>
      <c r="E198" s="66"/>
      <c r="F198" s="67">
        <v>3.0000000000000001E-3</v>
      </c>
      <c r="G198" s="67">
        <v>2E-3</v>
      </c>
      <c r="H198" s="63"/>
    </row>
    <row r="199" spans="1:8" x14ac:dyDescent="0.25">
      <c r="A199" s="63"/>
      <c r="B199" s="63">
        <v>25</v>
      </c>
      <c r="C199" s="63" t="s">
        <v>663</v>
      </c>
      <c r="D199" s="63" t="s">
        <v>62</v>
      </c>
      <c r="E199" s="66"/>
      <c r="F199" s="67">
        <v>3.0000000000000001E-3</v>
      </c>
      <c r="G199" s="67">
        <v>2E-3</v>
      </c>
      <c r="H199" s="63"/>
    </row>
    <row r="200" spans="1:8" x14ac:dyDescent="0.25">
      <c r="A200" s="63"/>
      <c r="B200" s="63">
        <v>26</v>
      </c>
      <c r="C200" s="63" t="s">
        <v>663</v>
      </c>
      <c r="D200" s="63" t="s">
        <v>62</v>
      </c>
      <c r="E200" s="66"/>
      <c r="F200" s="67">
        <v>3.0000000000000001E-3</v>
      </c>
      <c r="G200" s="67">
        <v>2E-3</v>
      </c>
      <c r="H200" s="63"/>
    </row>
    <row r="201" spans="1:8" x14ac:dyDescent="0.25">
      <c r="A201" s="63"/>
      <c r="B201" s="63">
        <v>27</v>
      </c>
      <c r="C201" s="63" t="s">
        <v>663</v>
      </c>
      <c r="D201" s="63" t="s">
        <v>62</v>
      </c>
      <c r="E201" s="66"/>
      <c r="F201" s="67">
        <v>3.0000000000000001E-3</v>
      </c>
      <c r="G201" s="67">
        <v>2E-3</v>
      </c>
      <c r="H201" s="63"/>
    </row>
    <row r="202" spans="1:8" x14ac:dyDescent="0.25">
      <c r="A202" s="63"/>
      <c r="B202" s="63">
        <v>28</v>
      </c>
      <c r="C202" s="63" t="s">
        <v>663</v>
      </c>
      <c r="D202" s="63" t="s">
        <v>62</v>
      </c>
      <c r="E202" s="66"/>
      <c r="F202" s="67">
        <v>3.0000000000000001E-3</v>
      </c>
      <c r="G202" s="67">
        <v>2E-3</v>
      </c>
      <c r="H202" s="63"/>
    </row>
    <row r="203" spans="1:8" x14ac:dyDescent="0.25">
      <c r="A203" s="63"/>
      <c r="B203" s="63">
        <v>29</v>
      </c>
      <c r="C203" s="63" t="s">
        <v>663</v>
      </c>
      <c r="D203" s="63" t="s">
        <v>62</v>
      </c>
      <c r="E203" s="66"/>
      <c r="F203" s="67">
        <v>3.0000000000000001E-3</v>
      </c>
      <c r="G203" s="67">
        <v>2E-3</v>
      </c>
      <c r="H203" s="63"/>
    </row>
    <row r="204" spans="1:8" x14ac:dyDescent="0.25">
      <c r="A204" s="63"/>
      <c r="B204" s="63">
        <v>30</v>
      </c>
      <c r="C204" s="63" t="s">
        <v>663</v>
      </c>
      <c r="D204" s="63" t="s">
        <v>62</v>
      </c>
      <c r="E204" s="66"/>
      <c r="F204" s="67">
        <v>3.0000000000000001E-3</v>
      </c>
      <c r="G204" s="67">
        <v>2E-3</v>
      </c>
      <c r="H204" s="63"/>
    </row>
    <row r="205" spans="1:8" x14ac:dyDescent="0.25">
      <c r="A205" s="63"/>
      <c r="B205" s="63">
        <v>0</v>
      </c>
      <c r="C205" s="63" t="s">
        <v>663</v>
      </c>
      <c r="D205" s="63" t="s">
        <v>62</v>
      </c>
      <c r="E205" s="66">
        <v>3.0428788910505911</v>
      </c>
      <c r="F205" s="67">
        <v>3.0000000000000001E-3</v>
      </c>
      <c r="G205" s="67">
        <v>2E-3</v>
      </c>
      <c r="H205" s="63"/>
    </row>
    <row r="206" spans="1:8" x14ac:dyDescent="0.25">
      <c r="A206" s="63"/>
      <c r="B206" s="63">
        <v>0.25</v>
      </c>
      <c r="C206" s="63" t="s">
        <v>663</v>
      </c>
      <c r="D206" s="63" t="s">
        <v>64</v>
      </c>
      <c r="E206" s="66">
        <v>19.191626852122567</v>
      </c>
      <c r="F206" s="67">
        <v>3.0000000000000001E-3</v>
      </c>
      <c r="G206" s="67">
        <v>2E-3</v>
      </c>
      <c r="H206" s="63"/>
    </row>
    <row r="207" spans="1:8" x14ac:dyDescent="0.25">
      <c r="A207" s="63"/>
      <c r="B207" s="63">
        <v>0.5</v>
      </c>
      <c r="C207" s="63" t="s">
        <v>663</v>
      </c>
      <c r="D207" s="63" t="s">
        <v>64</v>
      </c>
      <c r="E207" s="66">
        <v>19.642928460363855</v>
      </c>
      <c r="F207" s="67">
        <v>3.0000000000000001E-3</v>
      </c>
      <c r="G207" s="67">
        <v>2E-3</v>
      </c>
      <c r="H207" s="63"/>
    </row>
    <row r="208" spans="1:8" x14ac:dyDescent="0.25">
      <c r="A208" s="63"/>
      <c r="B208" s="63">
        <v>0.75</v>
      </c>
      <c r="C208" s="63" t="s">
        <v>663</v>
      </c>
      <c r="D208" s="63" t="s">
        <v>64</v>
      </c>
      <c r="E208" s="66">
        <v>19.262254068797603</v>
      </c>
      <c r="F208" s="67">
        <v>3.0000000000000001E-3</v>
      </c>
      <c r="G208" s="67">
        <v>2E-3</v>
      </c>
      <c r="H208" s="63"/>
    </row>
    <row r="209" spans="1:8" x14ac:dyDescent="0.25">
      <c r="A209" s="63"/>
      <c r="B209" s="63">
        <v>1</v>
      </c>
      <c r="C209" s="63" t="s">
        <v>663</v>
      </c>
      <c r="D209" s="63" t="s">
        <v>64</v>
      </c>
      <c r="E209" s="66">
        <v>20.002437846806995</v>
      </c>
      <c r="F209" s="67">
        <v>3.0000000000000001E-3</v>
      </c>
      <c r="G209" s="67">
        <v>2E-3</v>
      </c>
      <c r="H209" s="63"/>
    </row>
    <row r="210" spans="1:8" x14ac:dyDescent="0.25">
      <c r="A210" s="63"/>
      <c r="B210" s="63">
        <v>2</v>
      </c>
      <c r="C210" s="63" t="s">
        <v>663</v>
      </c>
      <c r="D210" s="63" t="s">
        <v>64</v>
      </c>
      <c r="E210" s="66">
        <v>22.129401407702662</v>
      </c>
      <c r="F210" s="67">
        <v>3.0000000000000001E-3</v>
      </c>
      <c r="G210" s="67">
        <v>2E-3</v>
      </c>
      <c r="H210" s="63"/>
    </row>
    <row r="211" spans="1:8" x14ac:dyDescent="0.25">
      <c r="A211" s="63"/>
      <c r="B211" s="63">
        <v>3</v>
      </c>
      <c r="C211" s="63" t="s">
        <v>663</v>
      </c>
      <c r="D211" s="63" t="s">
        <v>64</v>
      </c>
      <c r="E211" s="66">
        <v>23.753502845598582</v>
      </c>
      <c r="F211" s="67">
        <v>3.0000000000000001E-3</v>
      </c>
      <c r="G211" s="67">
        <v>2E-3</v>
      </c>
      <c r="H211" s="63"/>
    </row>
    <row r="212" spans="1:8" x14ac:dyDescent="0.25">
      <c r="A212" s="63"/>
      <c r="B212" s="63">
        <v>4</v>
      </c>
      <c r="C212" s="63" t="s">
        <v>663</v>
      </c>
      <c r="D212" s="63" t="s">
        <v>64</v>
      </c>
      <c r="E212" s="66">
        <v>25.775343328389187</v>
      </c>
      <c r="F212" s="67">
        <v>3.0000000000000001E-3</v>
      </c>
      <c r="G212" s="67">
        <v>2E-3</v>
      </c>
      <c r="H212" s="63"/>
    </row>
    <row r="213" spans="1:8" x14ac:dyDescent="0.25">
      <c r="A213" s="63"/>
      <c r="B213" s="63">
        <v>5</v>
      </c>
      <c r="C213" s="63" t="s">
        <v>663</v>
      </c>
      <c r="D213" s="63" t="s">
        <v>64</v>
      </c>
      <c r="E213" s="66">
        <v>27.866292679254457</v>
      </c>
      <c r="F213" s="67">
        <v>3.0000000000000001E-3</v>
      </c>
      <c r="G213" s="67">
        <v>2E-3</v>
      </c>
      <c r="H213" s="63"/>
    </row>
    <row r="214" spans="1:8" x14ac:dyDescent="0.25">
      <c r="A214" s="63"/>
      <c r="B214" s="63">
        <v>6</v>
      </c>
      <c r="C214" s="63" t="s">
        <v>663</v>
      </c>
      <c r="D214" s="63" t="s">
        <v>64</v>
      </c>
      <c r="E214" s="66">
        <v>31.93012744838439</v>
      </c>
      <c r="F214" s="67">
        <v>3.0000000000000001E-3</v>
      </c>
      <c r="G214" s="67">
        <v>2E-3</v>
      </c>
      <c r="H214" s="63"/>
    </row>
    <row r="215" spans="1:8" x14ac:dyDescent="0.25">
      <c r="A215" s="63"/>
      <c r="B215" s="63">
        <v>7</v>
      </c>
      <c r="C215" s="63" t="s">
        <v>663</v>
      </c>
      <c r="D215" s="63" t="s">
        <v>64</v>
      </c>
      <c r="E215" s="66">
        <v>34.043682702868942</v>
      </c>
      <c r="F215" s="67">
        <v>3.0000000000000001E-3</v>
      </c>
      <c r="G215" s="67">
        <v>2E-3</v>
      </c>
      <c r="H215" s="63"/>
    </row>
    <row r="216" spans="1:8" x14ac:dyDescent="0.25">
      <c r="A216" s="63"/>
      <c r="B216" s="63">
        <v>8</v>
      </c>
      <c r="C216" s="63" t="s">
        <v>663</v>
      </c>
      <c r="D216" s="63" t="s">
        <v>64</v>
      </c>
      <c r="E216" s="66">
        <v>36.2561115580978</v>
      </c>
      <c r="F216" s="67">
        <v>3.0000000000000001E-3</v>
      </c>
      <c r="G216" s="67">
        <v>2E-3</v>
      </c>
      <c r="H216" s="63"/>
    </row>
    <row r="217" spans="1:8" x14ac:dyDescent="0.25">
      <c r="A217" s="63"/>
      <c r="B217" s="63">
        <v>9</v>
      </c>
      <c r="C217" s="63" t="s">
        <v>663</v>
      </c>
      <c r="D217" s="63" t="s">
        <v>64</v>
      </c>
      <c r="E217" s="66">
        <v>39.68435845151825</v>
      </c>
      <c r="F217" s="67">
        <v>3.0000000000000001E-3</v>
      </c>
      <c r="G217" s="67">
        <v>2E-3</v>
      </c>
      <c r="H217" s="63"/>
    </row>
    <row r="218" spans="1:8" x14ac:dyDescent="0.25">
      <c r="A218" s="63"/>
      <c r="B218" s="63">
        <v>10</v>
      </c>
      <c r="C218" s="63" t="s">
        <v>663</v>
      </c>
      <c r="D218" s="63" t="s">
        <v>64</v>
      </c>
      <c r="E218" s="66">
        <v>42.41487012813608</v>
      </c>
      <c r="F218" s="67">
        <v>3.0000000000000001E-3</v>
      </c>
      <c r="G218" s="67">
        <v>2E-3</v>
      </c>
      <c r="H218" s="63"/>
    </row>
    <row r="219" spans="1:8" x14ac:dyDescent="0.25">
      <c r="A219" s="63"/>
      <c r="B219" s="63">
        <v>11</v>
      </c>
      <c r="C219" s="63" t="s">
        <v>663</v>
      </c>
      <c r="D219" s="63" t="s">
        <v>64</v>
      </c>
      <c r="E219" s="66"/>
      <c r="F219" s="67">
        <v>3.0000000000000001E-3</v>
      </c>
      <c r="G219" s="67">
        <v>2E-3</v>
      </c>
      <c r="H219" s="63"/>
    </row>
    <row r="220" spans="1:8" x14ac:dyDescent="0.25">
      <c r="A220" s="63"/>
      <c r="B220" s="63">
        <v>12</v>
      </c>
      <c r="C220" s="63" t="s">
        <v>663</v>
      </c>
      <c r="D220" s="63" t="s">
        <v>64</v>
      </c>
      <c r="E220" s="66"/>
      <c r="F220" s="67">
        <v>3.0000000000000001E-3</v>
      </c>
      <c r="G220" s="67">
        <v>2E-3</v>
      </c>
      <c r="H220" s="63"/>
    </row>
    <row r="221" spans="1:8" x14ac:dyDescent="0.25">
      <c r="A221" s="63"/>
      <c r="B221" s="63">
        <v>13</v>
      </c>
      <c r="C221" s="63" t="s">
        <v>663</v>
      </c>
      <c r="D221" s="63" t="s">
        <v>64</v>
      </c>
      <c r="E221" s="66"/>
      <c r="F221" s="67">
        <v>3.0000000000000001E-3</v>
      </c>
      <c r="G221" s="67">
        <v>2E-3</v>
      </c>
      <c r="H221" s="63"/>
    </row>
    <row r="222" spans="1:8" x14ac:dyDescent="0.25">
      <c r="A222" s="63"/>
      <c r="B222" s="63">
        <v>14</v>
      </c>
      <c r="C222" s="63" t="s">
        <v>663</v>
      </c>
      <c r="D222" s="63" t="s">
        <v>64</v>
      </c>
      <c r="E222" s="66"/>
      <c r="F222" s="67">
        <v>3.0000000000000001E-3</v>
      </c>
      <c r="G222" s="67">
        <v>2E-3</v>
      </c>
      <c r="H222" s="63"/>
    </row>
    <row r="223" spans="1:8" x14ac:dyDescent="0.25">
      <c r="A223" s="63"/>
      <c r="B223" s="63">
        <v>15</v>
      </c>
      <c r="C223" s="63" t="s">
        <v>663</v>
      </c>
      <c r="D223" s="63" t="s">
        <v>64</v>
      </c>
      <c r="E223" s="66"/>
      <c r="F223" s="67">
        <v>3.0000000000000001E-3</v>
      </c>
      <c r="G223" s="67">
        <v>2E-3</v>
      </c>
      <c r="H223" s="63"/>
    </row>
    <row r="224" spans="1:8" x14ac:dyDescent="0.25">
      <c r="A224" s="63"/>
      <c r="B224" s="63">
        <v>16</v>
      </c>
      <c r="C224" s="63" t="s">
        <v>663</v>
      </c>
      <c r="D224" s="63" t="s">
        <v>64</v>
      </c>
      <c r="E224" s="66"/>
      <c r="F224" s="67">
        <v>3.0000000000000001E-3</v>
      </c>
      <c r="G224" s="67">
        <v>2E-3</v>
      </c>
      <c r="H224" s="63"/>
    </row>
    <row r="225" spans="1:8" x14ac:dyDescent="0.25">
      <c r="A225" s="63"/>
      <c r="B225" s="63">
        <v>17</v>
      </c>
      <c r="C225" s="63" t="s">
        <v>663</v>
      </c>
      <c r="D225" s="63" t="s">
        <v>64</v>
      </c>
      <c r="E225" s="66"/>
      <c r="F225" s="67">
        <v>3.0000000000000001E-3</v>
      </c>
      <c r="G225" s="67">
        <v>2E-3</v>
      </c>
      <c r="H225" s="63"/>
    </row>
    <row r="226" spans="1:8" x14ac:dyDescent="0.25">
      <c r="A226" s="63"/>
      <c r="B226" s="63">
        <v>18</v>
      </c>
      <c r="C226" s="63" t="s">
        <v>663</v>
      </c>
      <c r="D226" s="63" t="s">
        <v>64</v>
      </c>
      <c r="E226" s="66"/>
      <c r="F226" s="67">
        <v>3.0000000000000001E-3</v>
      </c>
      <c r="G226" s="67">
        <v>2E-3</v>
      </c>
      <c r="H226" s="63"/>
    </row>
    <row r="227" spans="1:8" x14ac:dyDescent="0.25">
      <c r="A227" s="63"/>
      <c r="B227" s="63">
        <v>19</v>
      </c>
      <c r="C227" s="63" t="s">
        <v>663</v>
      </c>
      <c r="D227" s="63" t="s">
        <v>64</v>
      </c>
      <c r="E227" s="66"/>
      <c r="F227" s="67">
        <v>3.0000000000000001E-3</v>
      </c>
      <c r="G227" s="67">
        <v>2E-3</v>
      </c>
      <c r="H227" s="63"/>
    </row>
    <row r="228" spans="1:8" x14ac:dyDescent="0.25">
      <c r="A228" s="63"/>
      <c r="B228" s="63">
        <v>20</v>
      </c>
      <c r="C228" s="63" t="s">
        <v>663</v>
      </c>
      <c r="D228" s="63" t="s">
        <v>64</v>
      </c>
      <c r="E228" s="66"/>
      <c r="F228" s="67">
        <v>3.0000000000000001E-3</v>
      </c>
      <c r="G228" s="67">
        <v>2E-3</v>
      </c>
      <c r="H228" s="63"/>
    </row>
    <row r="229" spans="1:8" x14ac:dyDescent="0.25">
      <c r="A229" s="63"/>
      <c r="B229" s="63">
        <v>21</v>
      </c>
      <c r="C229" s="63" t="s">
        <v>663</v>
      </c>
      <c r="D229" s="63" t="s">
        <v>64</v>
      </c>
      <c r="E229" s="66"/>
      <c r="F229" s="67">
        <v>3.0000000000000001E-3</v>
      </c>
      <c r="G229" s="67">
        <v>2E-3</v>
      </c>
      <c r="H229" s="63"/>
    </row>
    <row r="230" spans="1:8" x14ac:dyDescent="0.25">
      <c r="A230" s="63"/>
      <c r="B230" s="63">
        <v>22</v>
      </c>
      <c r="C230" s="63" t="s">
        <v>663</v>
      </c>
      <c r="D230" s="63" t="s">
        <v>64</v>
      </c>
      <c r="E230" s="66"/>
      <c r="F230" s="67">
        <v>3.0000000000000001E-3</v>
      </c>
      <c r="G230" s="67">
        <v>2E-3</v>
      </c>
      <c r="H230" s="63"/>
    </row>
    <row r="231" spans="1:8" x14ac:dyDescent="0.25">
      <c r="A231" s="63"/>
      <c r="B231" s="63">
        <v>23</v>
      </c>
      <c r="C231" s="63" t="s">
        <v>663</v>
      </c>
      <c r="D231" s="63" t="s">
        <v>64</v>
      </c>
      <c r="E231" s="66"/>
      <c r="F231" s="67">
        <v>3.0000000000000001E-3</v>
      </c>
      <c r="G231" s="67">
        <v>2E-3</v>
      </c>
      <c r="H231" s="63"/>
    </row>
    <row r="232" spans="1:8" x14ac:dyDescent="0.25">
      <c r="A232" s="63"/>
      <c r="B232" s="63">
        <v>24</v>
      </c>
      <c r="C232" s="63" t="s">
        <v>663</v>
      </c>
      <c r="D232" s="63" t="s">
        <v>64</v>
      </c>
      <c r="E232" s="66"/>
      <c r="F232" s="67">
        <v>3.0000000000000001E-3</v>
      </c>
      <c r="G232" s="67">
        <v>2E-3</v>
      </c>
      <c r="H232" s="63"/>
    </row>
    <row r="233" spans="1:8" x14ac:dyDescent="0.25">
      <c r="A233" s="63"/>
      <c r="B233" s="63">
        <v>25</v>
      </c>
      <c r="C233" s="63" t="s">
        <v>663</v>
      </c>
      <c r="D233" s="63" t="s">
        <v>64</v>
      </c>
      <c r="E233" s="66"/>
      <c r="F233" s="67">
        <v>3.0000000000000001E-3</v>
      </c>
      <c r="G233" s="67">
        <v>2E-3</v>
      </c>
      <c r="H233" s="63"/>
    </row>
    <row r="234" spans="1:8" x14ac:dyDescent="0.25">
      <c r="A234" s="63"/>
      <c r="B234" s="63">
        <v>26</v>
      </c>
      <c r="C234" s="63" t="s">
        <v>663</v>
      </c>
      <c r="D234" s="63" t="s">
        <v>64</v>
      </c>
      <c r="E234" s="66"/>
      <c r="F234" s="67">
        <v>3.0000000000000001E-3</v>
      </c>
      <c r="G234" s="67">
        <v>2E-3</v>
      </c>
      <c r="H234" s="63"/>
    </row>
    <row r="235" spans="1:8" x14ac:dyDescent="0.25">
      <c r="A235" s="63"/>
      <c r="B235" s="63">
        <v>27</v>
      </c>
      <c r="C235" s="63" t="s">
        <v>663</v>
      </c>
      <c r="D235" s="63" t="s">
        <v>64</v>
      </c>
      <c r="E235" s="66"/>
      <c r="F235" s="67">
        <v>3.0000000000000001E-3</v>
      </c>
      <c r="G235" s="67">
        <v>2E-3</v>
      </c>
      <c r="H235" s="63"/>
    </row>
    <row r="236" spans="1:8" x14ac:dyDescent="0.25">
      <c r="A236" s="63"/>
      <c r="B236" s="63">
        <v>28</v>
      </c>
      <c r="C236" s="63" t="s">
        <v>663</v>
      </c>
      <c r="D236" s="63" t="s">
        <v>64</v>
      </c>
      <c r="E236" s="66"/>
      <c r="F236" s="67">
        <v>3.0000000000000001E-3</v>
      </c>
      <c r="G236" s="67">
        <v>2E-3</v>
      </c>
      <c r="H236" s="63"/>
    </row>
    <row r="237" spans="1:8" x14ac:dyDescent="0.25">
      <c r="A237" s="63"/>
      <c r="B237" s="63">
        <v>29</v>
      </c>
      <c r="C237" s="63" t="s">
        <v>663</v>
      </c>
      <c r="D237" s="63" t="s">
        <v>64</v>
      </c>
      <c r="E237" s="66"/>
      <c r="F237" s="67">
        <v>3.0000000000000001E-3</v>
      </c>
      <c r="G237" s="67">
        <v>2E-3</v>
      </c>
      <c r="H237" s="63"/>
    </row>
    <row r="238" spans="1:8" x14ac:dyDescent="0.25">
      <c r="A238" s="63"/>
      <c r="B238" s="63">
        <v>30</v>
      </c>
      <c r="C238" s="63" t="s">
        <v>663</v>
      </c>
      <c r="D238" s="63" t="s">
        <v>64</v>
      </c>
      <c r="E238" s="66"/>
      <c r="F238" s="67">
        <v>3.0000000000000001E-3</v>
      </c>
      <c r="G238" s="67">
        <v>2E-3</v>
      </c>
      <c r="H238" s="63"/>
    </row>
    <row r="239" spans="1:8" x14ac:dyDescent="0.25">
      <c r="A239" s="63"/>
      <c r="B239" s="63">
        <v>0</v>
      </c>
      <c r="C239" s="63" t="s">
        <v>663</v>
      </c>
      <c r="D239" s="63" t="s">
        <v>64</v>
      </c>
      <c r="E239" s="66">
        <v>3.0428788910505911</v>
      </c>
      <c r="F239" s="67">
        <v>3.0000000000000001E-3</v>
      </c>
      <c r="G239" s="67">
        <v>2E-3</v>
      </c>
      <c r="H239" s="63"/>
    </row>
    <row r="240" spans="1:8" x14ac:dyDescent="0.25">
      <c r="A240" s="63"/>
      <c r="B240" s="63">
        <v>0.25</v>
      </c>
      <c r="C240" s="63" t="s">
        <v>663</v>
      </c>
      <c r="D240" s="63" t="s">
        <v>77</v>
      </c>
      <c r="E240" s="66">
        <v>27.759279108538067</v>
      </c>
      <c r="F240" s="67">
        <v>3.0000000000000001E-3</v>
      </c>
      <c r="G240" s="67">
        <v>2E-3</v>
      </c>
      <c r="H240" s="63"/>
    </row>
    <row r="241" spans="1:8" x14ac:dyDescent="0.25">
      <c r="A241" s="63"/>
      <c r="B241" s="63">
        <v>0.5</v>
      </c>
      <c r="C241" s="63" t="s">
        <v>663</v>
      </c>
      <c r="D241" s="63" t="s">
        <v>77</v>
      </c>
      <c r="E241" s="66">
        <v>28.909938214135668</v>
      </c>
      <c r="F241" s="67">
        <v>3.0000000000000001E-3</v>
      </c>
      <c r="G241" s="67">
        <v>2E-3</v>
      </c>
      <c r="H241" s="63"/>
    </row>
    <row r="242" spans="1:8" x14ac:dyDescent="0.25">
      <c r="A242" s="63"/>
      <c r="B242" s="63">
        <v>0.75</v>
      </c>
      <c r="C242" s="63" t="s">
        <v>663</v>
      </c>
      <c r="D242" s="63" t="s">
        <v>77</v>
      </c>
      <c r="E242" s="66">
        <v>29.129746609556125</v>
      </c>
      <c r="F242" s="67">
        <v>3.0000000000000001E-3</v>
      </c>
      <c r="G242" s="67">
        <v>2E-3</v>
      </c>
      <c r="H242" s="63"/>
    </row>
    <row r="243" spans="1:8" x14ac:dyDescent="0.25">
      <c r="A243" s="63"/>
      <c r="B243" s="63">
        <v>1</v>
      </c>
      <c r="C243" s="63" t="s">
        <v>663</v>
      </c>
      <c r="D243" s="63" t="s">
        <v>77</v>
      </c>
      <c r="E243" s="66">
        <v>29.885241910517856</v>
      </c>
      <c r="F243" s="67">
        <v>3.0000000000000001E-3</v>
      </c>
      <c r="G243" s="67">
        <v>2E-3</v>
      </c>
      <c r="H243" s="63"/>
    </row>
    <row r="244" spans="1:8" x14ac:dyDescent="0.25">
      <c r="A244" s="63"/>
      <c r="B244" s="63">
        <v>2</v>
      </c>
      <c r="C244" s="63" t="s">
        <v>663</v>
      </c>
      <c r="D244" s="63" t="s">
        <v>77</v>
      </c>
      <c r="E244" s="66">
        <v>31.387298550026539</v>
      </c>
      <c r="F244" s="67">
        <v>3.0000000000000001E-3</v>
      </c>
      <c r="G244" s="67">
        <v>2E-3</v>
      </c>
      <c r="H244" s="63"/>
    </row>
    <row r="245" spans="1:8" x14ac:dyDescent="0.25">
      <c r="A245" s="63"/>
      <c r="B245" s="63">
        <v>3</v>
      </c>
      <c r="C245" s="63" t="s">
        <v>663</v>
      </c>
      <c r="D245" s="63" t="s">
        <v>77</v>
      </c>
      <c r="E245" s="66">
        <v>34.262376337518653</v>
      </c>
      <c r="F245" s="67">
        <v>3.0000000000000001E-3</v>
      </c>
      <c r="G245" s="67">
        <v>2E-3</v>
      </c>
      <c r="H245" s="63"/>
    </row>
    <row r="246" spans="1:8" x14ac:dyDescent="0.25">
      <c r="A246" s="63"/>
      <c r="B246" s="63">
        <v>4</v>
      </c>
      <c r="C246" s="63" t="s">
        <v>663</v>
      </c>
      <c r="D246" s="63" t="s">
        <v>77</v>
      </c>
      <c r="E246" s="66">
        <v>37.290012030342261</v>
      </c>
      <c r="F246" s="67">
        <v>3.0000000000000001E-3</v>
      </c>
      <c r="G246" s="67">
        <v>2E-3</v>
      </c>
      <c r="H246" s="63"/>
    </row>
    <row r="247" spans="1:8" x14ac:dyDescent="0.25">
      <c r="A247" s="63"/>
      <c r="B247" s="63">
        <v>5</v>
      </c>
      <c r="C247" s="63" t="s">
        <v>663</v>
      </c>
      <c r="D247" s="63" t="s">
        <v>77</v>
      </c>
      <c r="E247" s="66">
        <v>40.470361633702204</v>
      </c>
      <c r="F247" s="67">
        <v>3.0000000000000001E-3</v>
      </c>
      <c r="G247" s="67">
        <v>2E-3</v>
      </c>
      <c r="H247" s="63"/>
    </row>
    <row r="248" spans="1:8" x14ac:dyDescent="0.25">
      <c r="A248" s="63"/>
      <c r="B248" s="63">
        <v>6</v>
      </c>
      <c r="C248" s="63" t="s">
        <v>663</v>
      </c>
      <c r="D248" s="63" t="s">
        <v>77</v>
      </c>
      <c r="E248" s="66">
        <v>44.305029050310999</v>
      </c>
      <c r="F248" s="67">
        <v>3.0000000000000001E-3</v>
      </c>
      <c r="G248" s="67">
        <v>2E-3</v>
      </c>
      <c r="H248" s="63"/>
    </row>
    <row r="249" spans="1:8" x14ac:dyDescent="0.25">
      <c r="A249" s="63"/>
      <c r="B249" s="63">
        <v>7</v>
      </c>
      <c r="C249" s="63" t="s">
        <v>663</v>
      </c>
      <c r="D249" s="63" t="s">
        <v>77</v>
      </c>
      <c r="E249" s="66">
        <v>48.34275103891602</v>
      </c>
      <c r="F249" s="67">
        <v>3.0000000000000001E-3</v>
      </c>
      <c r="G249" s="67">
        <v>2E-3</v>
      </c>
      <c r="H249" s="63"/>
    </row>
    <row r="250" spans="1:8" x14ac:dyDescent="0.25">
      <c r="A250" s="63"/>
      <c r="B250" s="63">
        <v>8</v>
      </c>
      <c r="C250" s="63" t="s">
        <v>663</v>
      </c>
      <c r="D250" s="63" t="s">
        <v>77</v>
      </c>
      <c r="E250" s="66">
        <v>52.603833056716866</v>
      </c>
      <c r="F250" s="67">
        <v>3.0000000000000001E-3</v>
      </c>
      <c r="G250" s="67">
        <v>2E-3</v>
      </c>
      <c r="H250" s="63"/>
    </row>
    <row r="251" spans="1:8" x14ac:dyDescent="0.25">
      <c r="A251" s="63"/>
      <c r="B251" s="63">
        <v>9</v>
      </c>
      <c r="C251" s="63" t="s">
        <v>663</v>
      </c>
      <c r="D251" s="63" t="s">
        <v>77</v>
      </c>
      <c r="E251" s="66">
        <v>57.633590453735039</v>
      </c>
      <c r="F251" s="67">
        <v>3.0000000000000001E-3</v>
      </c>
      <c r="G251" s="67">
        <v>2E-3</v>
      </c>
      <c r="H251" s="63"/>
    </row>
    <row r="252" spans="1:8" x14ac:dyDescent="0.25">
      <c r="A252" s="63"/>
      <c r="B252" s="63">
        <v>10</v>
      </c>
      <c r="C252" s="63" t="s">
        <v>663</v>
      </c>
      <c r="D252" s="63" t="s">
        <v>77</v>
      </c>
      <c r="E252" s="66">
        <v>62.933613486080198</v>
      </c>
      <c r="F252" s="67">
        <v>3.0000000000000001E-3</v>
      </c>
      <c r="G252" s="67">
        <v>2E-3</v>
      </c>
      <c r="H252" s="63"/>
    </row>
    <row r="253" spans="1:8" x14ac:dyDescent="0.25">
      <c r="A253" s="63"/>
      <c r="B253" s="63">
        <v>11</v>
      </c>
      <c r="C253" s="63" t="s">
        <v>663</v>
      </c>
      <c r="D253" s="63" t="s">
        <v>77</v>
      </c>
      <c r="E253" s="66"/>
      <c r="F253" s="67">
        <v>3.0000000000000001E-3</v>
      </c>
      <c r="G253" s="67">
        <v>2E-3</v>
      </c>
      <c r="H253" s="63"/>
    </row>
    <row r="254" spans="1:8" x14ac:dyDescent="0.25">
      <c r="A254" s="63"/>
      <c r="B254" s="63">
        <v>12</v>
      </c>
      <c r="C254" s="63" t="s">
        <v>663</v>
      </c>
      <c r="D254" s="63" t="s">
        <v>77</v>
      </c>
      <c r="E254" s="66"/>
      <c r="F254" s="67">
        <v>3.0000000000000001E-3</v>
      </c>
      <c r="G254" s="67">
        <v>2E-3</v>
      </c>
      <c r="H254" s="63"/>
    </row>
    <row r="255" spans="1:8" x14ac:dyDescent="0.25">
      <c r="A255" s="63"/>
      <c r="B255" s="63">
        <v>13</v>
      </c>
      <c r="C255" s="63" t="s">
        <v>663</v>
      </c>
      <c r="D255" s="63" t="s">
        <v>77</v>
      </c>
      <c r="E255" s="66"/>
      <c r="F255" s="67">
        <v>3.0000000000000001E-3</v>
      </c>
      <c r="G255" s="67">
        <v>2E-3</v>
      </c>
      <c r="H255" s="63"/>
    </row>
    <row r="256" spans="1:8" x14ac:dyDescent="0.25">
      <c r="A256" s="63"/>
      <c r="B256" s="63">
        <v>14</v>
      </c>
      <c r="C256" s="63" t="s">
        <v>663</v>
      </c>
      <c r="D256" s="63" t="s">
        <v>77</v>
      </c>
      <c r="E256" s="66"/>
      <c r="F256" s="67">
        <v>3.0000000000000001E-3</v>
      </c>
      <c r="G256" s="67">
        <v>2E-3</v>
      </c>
      <c r="H256" s="63"/>
    </row>
    <row r="257" spans="1:8" x14ac:dyDescent="0.25">
      <c r="A257" s="63"/>
      <c r="B257" s="63">
        <v>15</v>
      </c>
      <c r="C257" s="63" t="s">
        <v>663</v>
      </c>
      <c r="D257" s="63" t="s">
        <v>77</v>
      </c>
      <c r="E257" s="66"/>
      <c r="F257" s="67">
        <v>3.0000000000000001E-3</v>
      </c>
      <c r="G257" s="67">
        <v>2E-3</v>
      </c>
      <c r="H257" s="63"/>
    </row>
    <row r="258" spans="1:8" x14ac:dyDescent="0.25">
      <c r="A258" s="63"/>
      <c r="B258" s="63">
        <v>16</v>
      </c>
      <c r="C258" s="63" t="s">
        <v>663</v>
      </c>
      <c r="D258" s="63" t="s">
        <v>77</v>
      </c>
      <c r="E258" s="66"/>
      <c r="F258" s="67">
        <v>3.0000000000000001E-3</v>
      </c>
      <c r="G258" s="67">
        <v>2E-3</v>
      </c>
      <c r="H258" s="63"/>
    </row>
    <row r="259" spans="1:8" x14ac:dyDescent="0.25">
      <c r="A259" s="63"/>
      <c r="B259" s="63">
        <v>17</v>
      </c>
      <c r="C259" s="63" t="s">
        <v>663</v>
      </c>
      <c r="D259" s="63" t="s">
        <v>77</v>
      </c>
      <c r="E259" s="66"/>
      <c r="F259" s="67">
        <v>3.0000000000000001E-3</v>
      </c>
      <c r="G259" s="67">
        <v>2E-3</v>
      </c>
      <c r="H259" s="63"/>
    </row>
    <row r="260" spans="1:8" x14ac:dyDescent="0.25">
      <c r="A260" s="63"/>
      <c r="B260" s="63">
        <v>18</v>
      </c>
      <c r="C260" s="63" t="s">
        <v>663</v>
      </c>
      <c r="D260" s="63" t="s">
        <v>77</v>
      </c>
      <c r="E260" s="66"/>
      <c r="F260" s="67">
        <v>3.0000000000000001E-3</v>
      </c>
      <c r="G260" s="67">
        <v>2E-3</v>
      </c>
      <c r="H260" s="63"/>
    </row>
    <row r="261" spans="1:8" x14ac:dyDescent="0.25">
      <c r="A261" s="63"/>
      <c r="B261" s="63">
        <v>19</v>
      </c>
      <c r="C261" s="63" t="s">
        <v>663</v>
      </c>
      <c r="D261" s="63" t="s">
        <v>77</v>
      </c>
      <c r="E261" s="66"/>
      <c r="F261" s="67">
        <v>3.0000000000000001E-3</v>
      </c>
      <c r="G261" s="67">
        <v>2E-3</v>
      </c>
      <c r="H261" s="63"/>
    </row>
    <row r="262" spans="1:8" x14ac:dyDescent="0.25">
      <c r="A262" s="63"/>
      <c r="B262" s="63">
        <v>20</v>
      </c>
      <c r="C262" s="63" t="s">
        <v>663</v>
      </c>
      <c r="D262" s="63" t="s">
        <v>77</v>
      </c>
      <c r="E262" s="66"/>
      <c r="F262" s="67">
        <v>3.0000000000000001E-3</v>
      </c>
      <c r="G262" s="67">
        <v>2E-3</v>
      </c>
      <c r="H262" s="63"/>
    </row>
    <row r="263" spans="1:8" x14ac:dyDescent="0.25">
      <c r="A263" s="63"/>
      <c r="B263" s="63">
        <v>21</v>
      </c>
      <c r="C263" s="63" t="s">
        <v>663</v>
      </c>
      <c r="D263" s="63" t="s">
        <v>77</v>
      </c>
      <c r="E263" s="66"/>
      <c r="F263" s="67">
        <v>3.0000000000000001E-3</v>
      </c>
      <c r="G263" s="67">
        <v>2E-3</v>
      </c>
      <c r="H263" s="63"/>
    </row>
    <row r="264" spans="1:8" x14ac:dyDescent="0.25">
      <c r="A264" s="63"/>
      <c r="B264" s="63">
        <v>22</v>
      </c>
      <c r="C264" s="63" t="s">
        <v>663</v>
      </c>
      <c r="D264" s="63" t="s">
        <v>77</v>
      </c>
      <c r="E264" s="66"/>
      <c r="F264" s="67">
        <v>3.0000000000000001E-3</v>
      </c>
      <c r="G264" s="67">
        <v>2E-3</v>
      </c>
      <c r="H264" s="63"/>
    </row>
    <row r="265" spans="1:8" x14ac:dyDescent="0.25">
      <c r="A265" s="63"/>
      <c r="B265" s="63">
        <v>23</v>
      </c>
      <c r="C265" s="63" t="s">
        <v>663</v>
      </c>
      <c r="D265" s="63" t="s">
        <v>77</v>
      </c>
      <c r="E265" s="66"/>
      <c r="F265" s="67">
        <v>3.0000000000000001E-3</v>
      </c>
      <c r="G265" s="67">
        <v>2E-3</v>
      </c>
      <c r="H265" s="63"/>
    </row>
    <row r="266" spans="1:8" x14ac:dyDescent="0.25">
      <c r="A266" s="63"/>
      <c r="B266" s="63">
        <v>24</v>
      </c>
      <c r="C266" s="63" t="s">
        <v>663</v>
      </c>
      <c r="D266" s="63" t="s">
        <v>77</v>
      </c>
      <c r="E266" s="66"/>
      <c r="F266" s="67">
        <v>3.0000000000000001E-3</v>
      </c>
      <c r="G266" s="67">
        <v>2E-3</v>
      </c>
      <c r="H266" s="63"/>
    </row>
    <row r="267" spans="1:8" x14ac:dyDescent="0.25">
      <c r="A267" s="63"/>
      <c r="B267" s="63">
        <v>25</v>
      </c>
      <c r="C267" s="63" t="s">
        <v>663</v>
      </c>
      <c r="D267" s="63" t="s">
        <v>77</v>
      </c>
      <c r="E267" s="66"/>
      <c r="F267" s="67">
        <v>3.0000000000000001E-3</v>
      </c>
      <c r="G267" s="67">
        <v>2E-3</v>
      </c>
      <c r="H267" s="63"/>
    </row>
    <row r="268" spans="1:8" x14ac:dyDescent="0.25">
      <c r="A268" s="63"/>
      <c r="B268" s="63">
        <v>26</v>
      </c>
      <c r="C268" s="63" t="s">
        <v>663</v>
      </c>
      <c r="D268" s="63" t="s">
        <v>77</v>
      </c>
      <c r="E268" s="66"/>
      <c r="F268" s="67">
        <v>3.0000000000000001E-3</v>
      </c>
      <c r="G268" s="67">
        <v>2E-3</v>
      </c>
      <c r="H268" s="63"/>
    </row>
    <row r="269" spans="1:8" x14ac:dyDescent="0.25">
      <c r="A269" s="63"/>
      <c r="B269" s="63">
        <v>27</v>
      </c>
      <c r="C269" s="63" t="s">
        <v>663</v>
      </c>
      <c r="D269" s="63" t="s">
        <v>77</v>
      </c>
      <c r="E269" s="66"/>
      <c r="F269" s="67">
        <v>3.0000000000000001E-3</v>
      </c>
      <c r="G269" s="67">
        <v>2E-3</v>
      </c>
      <c r="H269" s="63"/>
    </row>
    <row r="270" spans="1:8" x14ac:dyDescent="0.25">
      <c r="A270" s="63"/>
      <c r="B270" s="63">
        <v>28</v>
      </c>
      <c r="C270" s="63" t="s">
        <v>663</v>
      </c>
      <c r="D270" s="63" t="s">
        <v>77</v>
      </c>
      <c r="E270" s="66"/>
      <c r="F270" s="67">
        <v>3.0000000000000001E-3</v>
      </c>
      <c r="G270" s="67">
        <v>2E-3</v>
      </c>
      <c r="H270" s="63"/>
    </row>
    <row r="271" spans="1:8" x14ac:dyDescent="0.25">
      <c r="A271" s="63"/>
      <c r="B271" s="63">
        <v>29</v>
      </c>
      <c r="C271" s="63" t="s">
        <v>663</v>
      </c>
      <c r="D271" s="63" t="s">
        <v>77</v>
      </c>
      <c r="E271" s="66"/>
      <c r="F271" s="67">
        <v>3.0000000000000001E-3</v>
      </c>
      <c r="G271" s="67">
        <v>2E-3</v>
      </c>
      <c r="H271" s="63"/>
    </row>
    <row r="272" spans="1:8" x14ac:dyDescent="0.25">
      <c r="A272" s="63"/>
      <c r="B272" s="63">
        <v>30</v>
      </c>
      <c r="C272" s="63" t="s">
        <v>663</v>
      </c>
      <c r="D272" s="63" t="s">
        <v>77</v>
      </c>
      <c r="E272" s="66"/>
      <c r="F272" s="67">
        <v>3.0000000000000001E-3</v>
      </c>
      <c r="G272" s="67">
        <v>2E-3</v>
      </c>
      <c r="H272" s="63"/>
    </row>
    <row r="273" spans="1:8" x14ac:dyDescent="0.25">
      <c r="A273" s="63"/>
      <c r="B273" s="63">
        <v>0</v>
      </c>
      <c r="C273" s="63" t="s">
        <v>663</v>
      </c>
      <c r="D273" s="63" t="s">
        <v>77</v>
      </c>
      <c r="E273" s="66">
        <v>3.0428788910505911</v>
      </c>
      <c r="F273" s="67">
        <v>3.0000000000000001E-3</v>
      </c>
      <c r="G273" s="67">
        <v>2E-3</v>
      </c>
      <c r="H273" s="63"/>
    </row>
    <row r="274" spans="1:8" x14ac:dyDescent="0.25">
      <c r="A274" s="63"/>
      <c r="B274" s="63">
        <v>0.25</v>
      </c>
      <c r="C274" s="63" t="s">
        <v>851</v>
      </c>
      <c r="D274" s="63" t="s">
        <v>21</v>
      </c>
      <c r="E274" s="66">
        <v>9.0302197684294985</v>
      </c>
      <c r="F274" s="67">
        <v>3.0000000000000001E-3</v>
      </c>
      <c r="G274" s="67">
        <v>2E-3</v>
      </c>
      <c r="H274" s="63"/>
    </row>
    <row r="275" spans="1:8" x14ac:dyDescent="0.25">
      <c r="A275" s="63"/>
      <c r="B275" s="63">
        <v>0.5</v>
      </c>
      <c r="C275" s="63" t="s">
        <v>851</v>
      </c>
      <c r="D275" s="63" t="s">
        <v>21</v>
      </c>
      <c r="E275" s="66">
        <v>9.0947258437001413</v>
      </c>
      <c r="F275" s="67">
        <v>3.0000000000000001E-3</v>
      </c>
      <c r="G275" s="67">
        <v>2E-3</v>
      </c>
      <c r="H275" s="63"/>
    </row>
    <row r="276" spans="1:8" x14ac:dyDescent="0.25">
      <c r="A276" s="63"/>
      <c r="B276" s="63">
        <v>0.75</v>
      </c>
      <c r="C276" s="63" t="s">
        <v>851</v>
      </c>
      <c r="D276" s="63" t="s">
        <v>21</v>
      </c>
      <c r="E276" s="66">
        <v>9.1596277982174144</v>
      </c>
      <c r="F276" s="67">
        <v>3.0000000000000001E-3</v>
      </c>
      <c r="G276" s="67">
        <v>2E-3</v>
      </c>
      <c r="H276" s="63"/>
    </row>
    <row r="277" spans="1:8" x14ac:dyDescent="0.25">
      <c r="A277" s="63"/>
      <c r="B277" s="63">
        <v>1</v>
      </c>
      <c r="C277" s="63" t="s">
        <v>851</v>
      </c>
      <c r="D277" s="63" t="s">
        <v>21</v>
      </c>
      <c r="E277" s="66">
        <v>9.2312581382252521</v>
      </c>
      <c r="F277" s="67">
        <v>3.0000000000000001E-3</v>
      </c>
      <c r="G277" s="67">
        <v>2E-3</v>
      </c>
      <c r="H277" s="63"/>
    </row>
    <row r="278" spans="1:8" x14ac:dyDescent="0.25">
      <c r="A278" s="63"/>
      <c r="B278" s="63">
        <v>2</v>
      </c>
      <c r="C278" s="63" t="s">
        <v>851</v>
      </c>
      <c r="D278" s="63" t="s">
        <v>21</v>
      </c>
      <c r="E278" s="66">
        <v>9.56017994708996</v>
      </c>
      <c r="F278" s="67">
        <v>3.0000000000000001E-3</v>
      </c>
      <c r="G278" s="67">
        <v>2E-3</v>
      </c>
      <c r="H278" s="63"/>
    </row>
    <row r="279" spans="1:8" x14ac:dyDescent="0.25">
      <c r="A279" s="63"/>
      <c r="B279" s="63">
        <v>3</v>
      </c>
      <c r="C279" s="63" t="s">
        <v>851</v>
      </c>
      <c r="D279" s="63" t="s">
        <v>21</v>
      </c>
      <c r="E279" s="66">
        <v>10.193064341962325</v>
      </c>
      <c r="F279" s="67">
        <v>3.0000000000000001E-3</v>
      </c>
      <c r="G279" s="67">
        <v>2E-3</v>
      </c>
      <c r="H279" s="63"/>
    </row>
    <row r="280" spans="1:8" x14ac:dyDescent="0.25">
      <c r="A280" s="63"/>
      <c r="B280" s="63">
        <v>4</v>
      </c>
      <c r="C280" s="63" t="s">
        <v>851</v>
      </c>
      <c r="D280" s="63" t="s">
        <v>21</v>
      </c>
      <c r="E280" s="66">
        <v>10.944981390541031</v>
      </c>
      <c r="F280" s="67">
        <v>3.0000000000000001E-3</v>
      </c>
      <c r="G280" s="67">
        <v>2E-3</v>
      </c>
      <c r="H280" s="63"/>
    </row>
    <row r="281" spans="1:8" x14ac:dyDescent="0.25">
      <c r="A281" s="63"/>
      <c r="B281" s="63">
        <v>5</v>
      </c>
      <c r="C281" s="63" t="s">
        <v>851</v>
      </c>
      <c r="D281" s="63" t="s">
        <v>21</v>
      </c>
      <c r="E281" s="66">
        <v>11.875047231329289</v>
      </c>
      <c r="F281" s="67">
        <v>3.0000000000000001E-3</v>
      </c>
      <c r="G281" s="67">
        <v>2E-3</v>
      </c>
      <c r="H281" s="63"/>
    </row>
    <row r="282" spans="1:8" x14ac:dyDescent="0.25">
      <c r="A282" s="63"/>
      <c r="B282" s="63">
        <v>6</v>
      </c>
      <c r="C282" s="63" t="s">
        <v>851</v>
      </c>
      <c r="D282" s="63" t="s">
        <v>21</v>
      </c>
      <c r="E282" s="66">
        <v>12.620309063069197</v>
      </c>
      <c r="F282" s="67">
        <v>3.0000000000000001E-3</v>
      </c>
      <c r="G282" s="67">
        <v>2E-3</v>
      </c>
      <c r="H282" s="63"/>
    </row>
    <row r="283" spans="1:8" x14ac:dyDescent="0.25">
      <c r="A283" s="63"/>
      <c r="B283" s="63">
        <v>7</v>
      </c>
      <c r="C283" s="63" t="s">
        <v>851</v>
      </c>
      <c r="D283" s="63" t="s">
        <v>21</v>
      </c>
      <c r="E283" s="66">
        <v>13.427440063055712</v>
      </c>
      <c r="F283" s="67">
        <v>3.0000000000000001E-3</v>
      </c>
      <c r="G283" s="67">
        <v>2E-3</v>
      </c>
      <c r="H283" s="63"/>
    </row>
    <row r="284" spans="1:8" x14ac:dyDescent="0.25">
      <c r="A284" s="63"/>
      <c r="B284" s="63">
        <v>8</v>
      </c>
      <c r="C284" s="63" t="s">
        <v>851</v>
      </c>
      <c r="D284" s="63" t="s">
        <v>21</v>
      </c>
      <c r="E284" s="66">
        <v>14.302627148113524</v>
      </c>
      <c r="F284" s="67">
        <v>3.0000000000000001E-3</v>
      </c>
      <c r="G284" s="67">
        <v>2E-3</v>
      </c>
      <c r="H284" s="63"/>
    </row>
    <row r="285" spans="1:8" x14ac:dyDescent="0.25">
      <c r="A285" s="63"/>
      <c r="B285" s="63">
        <v>9</v>
      </c>
      <c r="C285" s="63" t="s">
        <v>851</v>
      </c>
      <c r="D285" s="63" t="s">
        <v>21</v>
      </c>
      <c r="E285" s="66">
        <v>15.252675926749765</v>
      </c>
      <c r="F285" s="67">
        <v>3.0000000000000001E-3</v>
      </c>
      <c r="G285" s="67">
        <v>2E-3</v>
      </c>
      <c r="H285" s="63"/>
    </row>
    <row r="286" spans="1:8" x14ac:dyDescent="0.25">
      <c r="A286" s="63"/>
      <c r="B286" s="63">
        <v>10</v>
      </c>
      <c r="C286" s="63" t="s">
        <v>851</v>
      </c>
      <c r="D286" s="63" t="s">
        <v>21</v>
      </c>
      <c r="E286" s="66">
        <v>15.858040079095648</v>
      </c>
      <c r="F286" s="67">
        <v>3.0000000000000001E-3</v>
      </c>
      <c r="G286" s="67">
        <v>2E-3</v>
      </c>
      <c r="H286" s="63"/>
    </row>
    <row r="287" spans="1:8" x14ac:dyDescent="0.25">
      <c r="A287" s="63"/>
      <c r="B287" s="63">
        <v>11</v>
      </c>
      <c r="C287" s="63" t="s">
        <v>851</v>
      </c>
      <c r="D287" s="63" t="s">
        <v>21</v>
      </c>
      <c r="E287" s="66"/>
      <c r="F287" s="67">
        <v>3.0000000000000001E-3</v>
      </c>
      <c r="G287" s="67">
        <v>2E-3</v>
      </c>
      <c r="H287" s="63"/>
    </row>
    <row r="288" spans="1:8" x14ac:dyDescent="0.25">
      <c r="A288" s="63"/>
      <c r="B288" s="63">
        <v>12</v>
      </c>
      <c r="C288" s="63" t="s">
        <v>851</v>
      </c>
      <c r="D288" s="63" t="s">
        <v>21</v>
      </c>
      <c r="E288" s="66"/>
      <c r="F288" s="67">
        <v>3.0000000000000001E-3</v>
      </c>
      <c r="G288" s="67">
        <v>2E-3</v>
      </c>
      <c r="H288" s="63"/>
    </row>
    <row r="289" spans="1:8" x14ac:dyDescent="0.25">
      <c r="A289" s="63"/>
      <c r="B289" s="63">
        <v>13</v>
      </c>
      <c r="C289" s="63" t="s">
        <v>851</v>
      </c>
      <c r="D289" s="63" t="s">
        <v>21</v>
      </c>
      <c r="E289" s="66"/>
      <c r="F289" s="67">
        <v>3.0000000000000001E-3</v>
      </c>
      <c r="G289" s="67">
        <v>2E-3</v>
      </c>
      <c r="H289" s="63"/>
    </row>
    <row r="290" spans="1:8" x14ac:dyDescent="0.25">
      <c r="A290" s="63"/>
      <c r="B290" s="63">
        <v>14</v>
      </c>
      <c r="C290" s="63" t="s">
        <v>851</v>
      </c>
      <c r="D290" s="63" t="s">
        <v>21</v>
      </c>
      <c r="E290" s="66"/>
      <c r="F290" s="67">
        <v>3.0000000000000001E-3</v>
      </c>
      <c r="G290" s="67">
        <v>2E-3</v>
      </c>
      <c r="H290" s="63"/>
    </row>
    <row r="291" spans="1:8" x14ac:dyDescent="0.25">
      <c r="A291" s="63"/>
      <c r="B291" s="63">
        <v>15</v>
      </c>
      <c r="C291" s="63" t="s">
        <v>851</v>
      </c>
      <c r="D291" s="63" t="s">
        <v>21</v>
      </c>
      <c r="E291" s="66"/>
      <c r="F291" s="67">
        <v>3.0000000000000001E-3</v>
      </c>
      <c r="G291" s="67">
        <v>2E-3</v>
      </c>
      <c r="H291" s="63"/>
    </row>
    <row r="292" spans="1:8" x14ac:dyDescent="0.25">
      <c r="A292" s="63"/>
      <c r="B292" s="63">
        <v>16</v>
      </c>
      <c r="C292" s="63" t="s">
        <v>851</v>
      </c>
      <c r="D292" s="63" t="s">
        <v>21</v>
      </c>
      <c r="E292" s="66"/>
      <c r="F292" s="67">
        <v>3.0000000000000001E-3</v>
      </c>
      <c r="G292" s="67">
        <v>2E-3</v>
      </c>
      <c r="H292" s="63"/>
    </row>
    <row r="293" spans="1:8" x14ac:dyDescent="0.25">
      <c r="A293" s="63"/>
      <c r="B293" s="63">
        <v>17</v>
      </c>
      <c r="C293" s="63" t="s">
        <v>851</v>
      </c>
      <c r="D293" s="63" t="s">
        <v>21</v>
      </c>
      <c r="E293" s="66"/>
      <c r="F293" s="67">
        <v>3.0000000000000001E-3</v>
      </c>
      <c r="G293" s="67">
        <v>2E-3</v>
      </c>
      <c r="H293" s="63"/>
    </row>
    <row r="294" spans="1:8" x14ac:dyDescent="0.25">
      <c r="A294" s="63"/>
      <c r="B294" s="63">
        <v>18</v>
      </c>
      <c r="C294" s="63" t="s">
        <v>851</v>
      </c>
      <c r="D294" s="63" t="s">
        <v>21</v>
      </c>
      <c r="E294" s="66"/>
      <c r="F294" s="67">
        <v>3.0000000000000001E-3</v>
      </c>
      <c r="G294" s="67">
        <v>2E-3</v>
      </c>
      <c r="H294" s="63"/>
    </row>
    <row r="295" spans="1:8" x14ac:dyDescent="0.25">
      <c r="A295" s="63"/>
      <c r="B295" s="63">
        <v>19</v>
      </c>
      <c r="C295" s="63" t="s">
        <v>851</v>
      </c>
      <c r="D295" s="63" t="s">
        <v>21</v>
      </c>
      <c r="E295" s="66"/>
      <c r="F295" s="67">
        <v>3.0000000000000001E-3</v>
      </c>
      <c r="G295" s="67">
        <v>2E-3</v>
      </c>
      <c r="H295" s="63"/>
    </row>
    <row r="296" spans="1:8" x14ac:dyDescent="0.25">
      <c r="A296" s="63"/>
      <c r="B296" s="63">
        <v>20</v>
      </c>
      <c r="C296" s="63" t="s">
        <v>851</v>
      </c>
      <c r="D296" s="63" t="s">
        <v>21</v>
      </c>
      <c r="E296" s="66"/>
      <c r="F296" s="67">
        <v>3.0000000000000001E-3</v>
      </c>
      <c r="G296" s="67">
        <v>2E-3</v>
      </c>
      <c r="H296" s="63"/>
    </row>
    <row r="297" spans="1:8" x14ac:dyDescent="0.25">
      <c r="A297" s="63"/>
      <c r="B297" s="63">
        <v>21</v>
      </c>
      <c r="C297" s="63" t="s">
        <v>851</v>
      </c>
      <c r="D297" s="63" t="s">
        <v>21</v>
      </c>
      <c r="E297" s="66"/>
      <c r="F297" s="67">
        <v>3.0000000000000001E-3</v>
      </c>
      <c r="G297" s="67">
        <v>2E-3</v>
      </c>
      <c r="H297" s="63"/>
    </row>
    <row r="298" spans="1:8" x14ac:dyDescent="0.25">
      <c r="A298" s="63"/>
      <c r="B298" s="63">
        <v>22</v>
      </c>
      <c r="C298" s="63" t="s">
        <v>851</v>
      </c>
      <c r="D298" s="63" t="s">
        <v>21</v>
      </c>
      <c r="E298" s="66"/>
      <c r="F298" s="67">
        <v>3.0000000000000001E-3</v>
      </c>
      <c r="G298" s="67">
        <v>2E-3</v>
      </c>
      <c r="H298" s="63"/>
    </row>
    <row r="299" spans="1:8" x14ac:dyDescent="0.25">
      <c r="A299" s="63"/>
      <c r="B299" s="63">
        <v>23</v>
      </c>
      <c r="C299" s="63" t="s">
        <v>851</v>
      </c>
      <c r="D299" s="63" t="s">
        <v>21</v>
      </c>
      <c r="E299" s="66"/>
      <c r="F299" s="67">
        <v>3.0000000000000001E-3</v>
      </c>
      <c r="G299" s="67">
        <v>2E-3</v>
      </c>
      <c r="H299" s="63"/>
    </row>
    <row r="300" spans="1:8" x14ac:dyDescent="0.25">
      <c r="A300" s="63"/>
      <c r="B300" s="63">
        <v>24</v>
      </c>
      <c r="C300" s="63" t="s">
        <v>851</v>
      </c>
      <c r="D300" s="63" t="s">
        <v>21</v>
      </c>
      <c r="E300" s="66"/>
      <c r="F300" s="67">
        <v>3.0000000000000001E-3</v>
      </c>
      <c r="G300" s="67">
        <v>2E-3</v>
      </c>
      <c r="H300" s="63"/>
    </row>
    <row r="301" spans="1:8" x14ac:dyDescent="0.25">
      <c r="A301" s="63"/>
      <c r="B301" s="63">
        <v>25</v>
      </c>
      <c r="C301" s="63" t="s">
        <v>851</v>
      </c>
      <c r="D301" s="63" t="s">
        <v>21</v>
      </c>
      <c r="E301" s="66"/>
      <c r="F301" s="67">
        <v>3.0000000000000001E-3</v>
      </c>
      <c r="G301" s="67">
        <v>2E-3</v>
      </c>
      <c r="H301" s="63"/>
    </row>
    <row r="302" spans="1:8" x14ac:dyDescent="0.25">
      <c r="A302" s="63"/>
      <c r="B302" s="63">
        <v>26</v>
      </c>
      <c r="C302" s="63" t="s">
        <v>851</v>
      </c>
      <c r="D302" s="63" t="s">
        <v>21</v>
      </c>
      <c r="E302" s="66"/>
      <c r="F302" s="67">
        <v>3.0000000000000001E-3</v>
      </c>
      <c r="G302" s="67">
        <v>2E-3</v>
      </c>
      <c r="H302" s="63"/>
    </row>
    <row r="303" spans="1:8" x14ac:dyDescent="0.25">
      <c r="A303" s="63"/>
      <c r="B303" s="63">
        <v>27</v>
      </c>
      <c r="C303" s="63" t="s">
        <v>851</v>
      </c>
      <c r="D303" s="63" t="s">
        <v>21</v>
      </c>
      <c r="E303" s="66"/>
      <c r="F303" s="67">
        <v>3.0000000000000001E-3</v>
      </c>
      <c r="G303" s="67">
        <v>2E-3</v>
      </c>
      <c r="H303" s="63"/>
    </row>
    <row r="304" spans="1:8" x14ac:dyDescent="0.25">
      <c r="A304" s="63"/>
      <c r="B304" s="63">
        <v>28</v>
      </c>
      <c r="C304" s="63" t="s">
        <v>851</v>
      </c>
      <c r="D304" s="63" t="s">
        <v>21</v>
      </c>
      <c r="E304" s="66"/>
      <c r="F304" s="67">
        <v>3.0000000000000001E-3</v>
      </c>
      <c r="G304" s="67">
        <v>2E-3</v>
      </c>
      <c r="H304" s="63"/>
    </row>
    <row r="305" spans="1:8" x14ac:dyDescent="0.25">
      <c r="A305" s="63"/>
      <c r="B305" s="63">
        <v>29</v>
      </c>
      <c r="C305" s="63" t="s">
        <v>851</v>
      </c>
      <c r="D305" s="63" t="s">
        <v>21</v>
      </c>
      <c r="E305" s="66"/>
      <c r="F305" s="67">
        <v>3.0000000000000001E-3</v>
      </c>
      <c r="G305" s="67">
        <v>2E-3</v>
      </c>
      <c r="H305" s="63"/>
    </row>
    <row r="306" spans="1:8" x14ac:dyDescent="0.25">
      <c r="A306" s="63"/>
      <c r="B306" s="63">
        <v>30</v>
      </c>
      <c r="C306" s="63" t="s">
        <v>851</v>
      </c>
      <c r="D306" s="63" t="s">
        <v>21</v>
      </c>
      <c r="E306" s="66"/>
      <c r="F306" s="67">
        <v>3.0000000000000001E-3</v>
      </c>
      <c r="G306" s="67">
        <v>2E-3</v>
      </c>
      <c r="H306" s="63"/>
    </row>
    <row r="307" spans="1:8" x14ac:dyDescent="0.25">
      <c r="A307" s="63"/>
      <c r="B307" s="63">
        <v>0</v>
      </c>
      <c r="C307" s="63" t="s">
        <v>851</v>
      </c>
      <c r="D307" s="63" t="s">
        <v>21</v>
      </c>
      <c r="E307" s="66">
        <v>3.0428788910505911</v>
      </c>
      <c r="F307" s="67">
        <v>3.0000000000000001E-3</v>
      </c>
      <c r="G307" s="67">
        <v>2E-3</v>
      </c>
      <c r="H307" s="63"/>
    </row>
    <row r="308" spans="1:8" x14ac:dyDescent="0.25">
      <c r="A308" s="63"/>
      <c r="B308" s="63">
        <v>0.25</v>
      </c>
      <c r="C308" s="63" t="s">
        <v>851</v>
      </c>
      <c r="D308" s="63" t="s">
        <v>62</v>
      </c>
      <c r="E308" s="66">
        <v>13.880385281502075</v>
      </c>
      <c r="F308" s="67">
        <v>3.0000000000000001E-3</v>
      </c>
      <c r="G308" s="67">
        <v>2E-3</v>
      </c>
      <c r="H308" s="63"/>
    </row>
    <row r="309" spans="1:8" x14ac:dyDescent="0.25">
      <c r="A309" s="63"/>
      <c r="B309" s="63">
        <v>0.5</v>
      </c>
      <c r="C309" s="63" t="s">
        <v>851</v>
      </c>
      <c r="D309" s="63" t="s">
        <v>62</v>
      </c>
      <c r="E309" s="66">
        <v>14.045989937445718</v>
      </c>
      <c r="F309" s="67">
        <v>3.0000000000000001E-3</v>
      </c>
      <c r="G309" s="67">
        <v>2E-3</v>
      </c>
      <c r="H309" s="63"/>
    </row>
    <row r="310" spans="1:8" x14ac:dyDescent="0.25">
      <c r="A310" s="63"/>
      <c r="B310" s="63">
        <v>0.75</v>
      </c>
      <c r="C310" s="63" t="s">
        <v>851</v>
      </c>
      <c r="D310" s="63" t="s">
        <v>62</v>
      </c>
      <c r="E310" s="66">
        <v>14.060876315369912</v>
      </c>
      <c r="F310" s="67">
        <v>3.0000000000000001E-3</v>
      </c>
      <c r="G310" s="67">
        <v>2E-3</v>
      </c>
      <c r="H310" s="63"/>
    </row>
    <row r="311" spans="1:8" x14ac:dyDescent="0.25">
      <c r="A311" s="63"/>
      <c r="B311" s="63">
        <v>1</v>
      </c>
      <c r="C311" s="63" t="s">
        <v>851</v>
      </c>
      <c r="D311" s="63" t="s">
        <v>62</v>
      </c>
      <c r="E311" s="66">
        <v>15.090338571208333</v>
      </c>
      <c r="F311" s="67">
        <v>3.0000000000000001E-3</v>
      </c>
      <c r="G311" s="67">
        <v>2E-3</v>
      </c>
      <c r="H311" s="63"/>
    </row>
    <row r="312" spans="1:8" x14ac:dyDescent="0.25">
      <c r="A312" s="63"/>
      <c r="B312" s="63">
        <v>2</v>
      </c>
      <c r="C312" s="63" t="s">
        <v>851</v>
      </c>
      <c r="D312" s="63" t="s">
        <v>62</v>
      </c>
      <c r="E312" s="66">
        <v>16.025407313902726</v>
      </c>
      <c r="F312" s="67">
        <v>3.0000000000000001E-3</v>
      </c>
      <c r="G312" s="67">
        <v>2E-3</v>
      </c>
      <c r="H312" s="63"/>
    </row>
    <row r="313" spans="1:8" x14ac:dyDescent="0.25">
      <c r="A313" s="63"/>
      <c r="B313" s="63">
        <v>3</v>
      </c>
      <c r="C313" s="63" t="s">
        <v>851</v>
      </c>
      <c r="D313" s="63" t="s">
        <v>62</v>
      </c>
      <c r="E313" s="66">
        <v>18.013895748167766</v>
      </c>
      <c r="F313" s="67">
        <v>3.0000000000000001E-3</v>
      </c>
      <c r="G313" s="67">
        <v>2E-3</v>
      </c>
      <c r="H313" s="63"/>
    </row>
    <row r="314" spans="1:8" x14ac:dyDescent="0.25">
      <c r="A314" s="63"/>
      <c r="B314" s="63">
        <v>4</v>
      </c>
      <c r="C314" s="63" t="s">
        <v>851</v>
      </c>
      <c r="D314" s="63" t="s">
        <v>62</v>
      </c>
      <c r="E314" s="66">
        <v>20.142868501532355</v>
      </c>
      <c r="F314" s="67">
        <v>3.0000000000000001E-3</v>
      </c>
      <c r="G314" s="67">
        <v>2E-3</v>
      </c>
      <c r="H314" s="63"/>
    </row>
    <row r="315" spans="1:8" x14ac:dyDescent="0.25">
      <c r="A315" s="63"/>
      <c r="B315" s="63">
        <v>5</v>
      </c>
      <c r="C315" s="63" t="s">
        <v>851</v>
      </c>
      <c r="D315" s="63" t="s">
        <v>62</v>
      </c>
      <c r="E315" s="66">
        <v>22.456349831314476</v>
      </c>
      <c r="F315" s="67">
        <v>3.0000000000000001E-3</v>
      </c>
      <c r="G315" s="67">
        <v>2E-3</v>
      </c>
      <c r="H315" s="63"/>
    </row>
    <row r="316" spans="1:8" x14ac:dyDescent="0.25">
      <c r="A316" s="63"/>
      <c r="B316" s="63">
        <v>6</v>
      </c>
      <c r="C316" s="63" t="s">
        <v>851</v>
      </c>
      <c r="D316" s="63" t="s">
        <v>62</v>
      </c>
      <c r="E316" s="66">
        <v>24.87984091164185</v>
      </c>
      <c r="F316" s="67">
        <v>3.0000000000000001E-3</v>
      </c>
      <c r="G316" s="67">
        <v>2E-3</v>
      </c>
      <c r="H316" s="63"/>
    </row>
    <row r="317" spans="1:8" x14ac:dyDescent="0.25">
      <c r="A317" s="63"/>
      <c r="B317" s="63">
        <v>7</v>
      </c>
      <c r="C317" s="63" t="s">
        <v>851</v>
      </c>
      <c r="D317" s="63" t="s">
        <v>62</v>
      </c>
      <c r="E317" s="66">
        <v>27.427492221952345</v>
      </c>
      <c r="F317" s="67">
        <v>3.0000000000000001E-3</v>
      </c>
      <c r="G317" s="67">
        <v>2E-3</v>
      </c>
      <c r="H317" s="63"/>
    </row>
    <row r="318" spans="1:8" x14ac:dyDescent="0.25">
      <c r="A318" s="63"/>
      <c r="B318" s="63">
        <v>8</v>
      </c>
      <c r="C318" s="63" t="s">
        <v>851</v>
      </c>
      <c r="D318" s="63" t="s">
        <v>62</v>
      </c>
      <c r="E318" s="66">
        <v>33.194804868730657</v>
      </c>
      <c r="F318" s="67">
        <v>3.0000000000000001E-3</v>
      </c>
      <c r="G318" s="67">
        <v>2E-3</v>
      </c>
      <c r="H318" s="63"/>
    </row>
    <row r="319" spans="1:8" x14ac:dyDescent="0.25">
      <c r="A319" s="63"/>
      <c r="B319" s="63">
        <v>9</v>
      </c>
      <c r="C319" s="63" t="s">
        <v>851</v>
      </c>
      <c r="D319" s="63" t="s">
        <v>62</v>
      </c>
      <c r="E319" s="66">
        <v>35.957808835828068</v>
      </c>
      <c r="F319" s="67">
        <v>3.0000000000000001E-3</v>
      </c>
      <c r="G319" s="67">
        <v>2E-3</v>
      </c>
      <c r="H319" s="63"/>
    </row>
    <row r="320" spans="1:8" x14ac:dyDescent="0.25">
      <c r="A320" s="63"/>
      <c r="B320" s="63">
        <v>10</v>
      </c>
      <c r="C320" s="63" t="s">
        <v>851</v>
      </c>
      <c r="D320" s="63" t="s">
        <v>62</v>
      </c>
      <c r="E320" s="66">
        <v>38.646304092692077</v>
      </c>
      <c r="F320" s="67">
        <v>3.0000000000000001E-3</v>
      </c>
      <c r="G320" s="67">
        <v>2E-3</v>
      </c>
      <c r="H320" s="63"/>
    </row>
    <row r="321" spans="1:8" x14ac:dyDescent="0.25">
      <c r="A321" s="63"/>
      <c r="B321" s="63">
        <v>11</v>
      </c>
      <c r="C321" s="63" t="s">
        <v>851</v>
      </c>
      <c r="D321" s="63" t="s">
        <v>62</v>
      </c>
      <c r="E321" s="66"/>
      <c r="F321" s="67">
        <v>3.0000000000000001E-3</v>
      </c>
      <c r="G321" s="67">
        <v>2E-3</v>
      </c>
      <c r="H321" s="63"/>
    </row>
    <row r="322" spans="1:8" x14ac:dyDescent="0.25">
      <c r="A322" s="63"/>
      <c r="B322" s="63">
        <v>12</v>
      </c>
      <c r="C322" s="63" t="s">
        <v>851</v>
      </c>
      <c r="D322" s="63" t="s">
        <v>62</v>
      </c>
      <c r="E322" s="66"/>
      <c r="F322" s="67">
        <v>3.0000000000000001E-3</v>
      </c>
      <c r="G322" s="67">
        <v>2E-3</v>
      </c>
      <c r="H322" s="63"/>
    </row>
    <row r="323" spans="1:8" x14ac:dyDescent="0.25">
      <c r="A323" s="63"/>
      <c r="B323" s="63">
        <v>13</v>
      </c>
      <c r="C323" s="63" t="s">
        <v>851</v>
      </c>
      <c r="D323" s="63" t="s">
        <v>62</v>
      </c>
      <c r="E323" s="66"/>
      <c r="F323" s="67">
        <v>3.0000000000000001E-3</v>
      </c>
      <c r="G323" s="67">
        <v>2E-3</v>
      </c>
      <c r="H323" s="63"/>
    </row>
    <row r="324" spans="1:8" x14ac:dyDescent="0.25">
      <c r="A324" s="63"/>
      <c r="B324" s="63">
        <v>14</v>
      </c>
      <c r="C324" s="63" t="s">
        <v>851</v>
      </c>
      <c r="D324" s="63" t="s">
        <v>62</v>
      </c>
      <c r="E324" s="66"/>
      <c r="F324" s="67">
        <v>3.0000000000000001E-3</v>
      </c>
      <c r="G324" s="67">
        <v>2E-3</v>
      </c>
      <c r="H324" s="63"/>
    </row>
    <row r="325" spans="1:8" x14ac:dyDescent="0.25">
      <c r="A325" s="63"/>
      <c r="B325" s="63">
        <v>15</v>
      </c>
      <c r="C325" s="63" t="s">
        <v>851</v>
      </c>
      <c r="D325" s="63" t="s">
        <v>62</v>
      </c>
      <c r="E325" s="66"/>
      <c r="F325" s="67">
        <v>3.0000000000000001E-3</v>
      </c>
      <c r="G325" s="67">
        <v>2E-3</v>
      </c>
      <c r="H325" s="63"/>
    </row>
    <row r="326" spans="1:8" x14ac:dyDescent="0.25">
      <c r="A326" s="63"/>
      <c r="B326" s="63">
        <v>16</v>
      </c>
      <c r="C326" s="63" t="s">
        <v>851</v>
      </c>
      <c r="D326" s="63" t="s">
        <v>62</v>
      </c>
      <c r="E326" s="66"/>
      <c r="F326" s="67">
        <v>3.0000000000000001E-3</v>
      </c>
      <c r="G326" s="67">
        <v>2E-3</v>
      </c>
      <c r="H326" s="63"/>
    </row>
    <row r="327" spans="1:8" x14ac:dyDescent="0.25">
      <c r="A327" s="63"/>
      <c r="B327" s="63">
        <v>17</v>
      </c>
      <c r="C327" s="63" t="s">
        <v>851</v>
      </c>
      <c r="D327" s="63" t="s">
        <v>62</v>
      </c>
      <c r="E327" s="66"/>
      <c r="F327" s="67">
        <v>3.0000000000000001E-3</v>
      </c>
      <c r="G327" s="67">
        <v>2E-3</v>
      </c>
      <c r="H327" s="63"/>
    </row>
    <row r="328" spans="1:8" x14ac:dyDescent="0.25">
      <c r="A328" s="63"/>
      <c r="B328" s="63">
        <v>18</v>
      </c>
      <c r="C328" s="63" t="s">
        <v>851</v>
      </c>
      <c r="D328" s="63" t="s">
        <v>62</v>
      </c>
      <c r="E328" s="66"/>
      <c r="F328" s="67">
        <v>3.0000000000000001E-3</v>
      </c>
      <c r="G328" s="67">
        <v>2E-3</v>
      </c>
      <c r="H328" s="63"/>
    </row>
    <row r="329" spans="1:8" x14ac:dyDescent="0.25">
      <c r="A329" s="63"/>
      <c r="B329" s="63">
        <v>19</v>
      </c>
      <c r="C329" s="63" t="s">
        <v>851</v>
      </c>
      <c r="D329" s="63" t="s">
        <v>62</v>
      </c>
      <c r="E329" s="66"/>
      <c r="F329" s="67">
        <v>3.0000000000000001E-3</v>
      </c>
      <c r="G329" s="67">
        <v>2E-3</v>
      </c>
      <c r="H329" s="63"/>
    </row>
    <row r="330" spans="1:8" x14ac:dyDescent="0.25">
      <c r="A330" s="63"/>
      <c r="B330" s="63">
        <v>20</v>
      </c>
      <c r="C330" s="63" t="s">
        <v>851</v>
      </c>
      <c r="D330" s="63" t="s">
        <v>62</v>
      </c>
      <c r="E330" s="66"/>
      <c r="F330" s="67">
        <v>3.0000000000000001E-3</v>
      </c>
      <c r="G330" s="67">
        <v>2E-3</v>
      </c>
      <c r="H330" s="63"/>
    </row>
    <row r="331" spans="1:8" x14ac:dyDescent="0.25">
      <c r="A331" s="63"/>
      <c r="B331" s="63">
        <v>21</v>
      </c>
      <c r="C331" s="63" t="s">
        <v>851</v>
      </c>
      <c r="D331" s="63" t="s">
        <v>62</v>
      </c>
      <c r="E331" s="66"/>
      <c r="F331" s="67">
        <v>3.0000000000000001E-3</v>
      </c>
      <c r="G331" s="67">
        <v>2E-3</v>
      </c>
      <c r="H331" s="63"/>
    </row>
    <row r="332" spans="1:8" x14ac:dyDescent="0.25">
      <c r="A332" s="63"/>
      <c r="B332" s="63">
        <v>22</v>
      </c>
      <c r="C332" s="63" t="s">
        <v>851</v>
      </c>
      <c r="D332" s="63" t="s">
        <v>62</v>
      </c>
      <c r="E332" s="66"/>
      <c r="F332" s="67">
        <v>3.0000000000000001E-3</v>
      </c>
      <c r="G332" s="67">
        <v>2E-3</v>
      </c>
      <c r="H332" s="63"/>
    </row>
    <row r="333" spans="1:8" x14ac:dyDescent="0.25">
      <c r="A333" s="63"/>
      <c r="B333" s="63">
        <v>23</v>
      </c>
      <c r="C333" s="63" t="s">
        <v>851</v>
      </c>
      <c r="D333" s="63" t="s">
        <v>62</v>
      </c>
      <c r="E333" s="66"/>
      <c r="F333" s="67">
        <v>3.0000000000000001E-3</v>
      </c>
      <c r="G333" s="67">
        <v>2E-3</v>
      </c>
      <c r="H333" s="63"/>
    </row>
    <row r="334" spans="1:8" x14ac:dyDescent="0.25">
      <c r="A334" s="63"/>
      <c r="B334" s="63">
        <v>24</v>
      </c>
      <c r="C334" s="63" t="s">
        <v>851</v>
      </c>
      <c r="D334" s="63" t="s">
        <v>62</v>
      </c>
      <c r="E334" s="66"/>
      <c r="F334" s="67">
        <v>3.0000000000000001E-3</v>
      </c>
      <c r="G334" s="67">
        <v>2E-3</v>
      </c>
      <c r="H334" s="63"/>
    </row>
    <row r="335" spans="1:8" x14ac:dyDescent="0.25">
      <c r="A335" s="63"/>
      <c r="B335" s="63">
        <v>25</v>
      </c>
      <c r="C335" s="63" t="s">
        <v>851</v>
      </c>
      <c r="D335" s="63" t="s">
        <v>62</v>
      </c>
      <c r="E335" s="66"/>
      <c r="F335" s="67">
        <v>3.0000000000000001E-3</v>
      </c>
      <c r="G335" s="67">
        <v>2E-3</v>
      </c>
      <c r="H335" s="63"/>
    </row>
    <row r="336" spans="1:8" x14ac:dyDescent="0.25">
      <c r="A336" s="63"/>
      <c r="B336" s="63">
        <v>26</v>
      </c>
      <c r="C336" s="63" t="s">
        <v>851</v>
      </c>
      <c r="D336" s="63" t="s">
        <v>62</v>
      </c>
      <c r="E336" s="66"/>
      <c r="F336" s="67">
        <v>3.0000000000000001E-3</v>
      </c>
      <c r="G336" s="67">
        <v>2E-3</v>
      </c>
      <c r="H336" s="63"/>
    </row>
    <row r="337" spans="1:8" x14ac:dyDescent="0.25">
      <c r="A337" s="63"/>
      <c r="B337" s="63">
        <v>27</v>
      </c>
      <c r="C337" s="63" t="s">
        <v>851</v>
      </c>
      <c r="D337" s="63" t="s">
        <v>62</v>
      </c>
      <c r="E337" s="66"/>
      <c r="F337" s="67">
        <v>3.0000000000000001E-3</v>
      </c>
      <c r="G337" s="67">
        <v>2E-3</v>
      </c>
      <c r="H337" s="63"/>
    </row>
    <row r="338" spans="1:8" x14ac:dyDescent="0.25">
      <c r="A338" s="63"/>
      <c r="B338" s="63">
        <v>28</v>
      </c>
      <c r="C338" s="63" t="s">
        <v>851</v>
      </c>
      <c r="D338" s="63" t="s">
        <v>62</v>
      </c>
      <c r="E338" s="66"/>
      <c r="F338" s="67">
        <v>3.0000000000000001E-3</v>
      </c>
      <c r="G338" s="67">
        <v>2E-3</v>
      </c>
      <c r="H338" s="63"/>
    </row>
    <row r="339" spans="1:8" x14ac:dyDescent="0.25">
      <c r="A339" s="63"/>
      <c r="B339" s="63">
        <v>29</v>
      </c>
      <c r="C339" s="63" t="s">
        <v>851</v>
      </c>
      <c r="D339" s="63" t="s">
        <v>62</v>
      </c>
      <c r="E339" s="66"/>
      <c r="F339" s="67">
        <v>3.0000000000000001E-3</v>
      </c>
      <c r="G339" s="67">
        <v>2E-3</v>
      </c>
      <c r="H339" s="63"/>
    </row>
    <row r="340" spans="1:8" x14ac:dyDescent="0.25">
      <c r="A340" s="63"/>
      <c r="B340" s="63">
        <v>30</v>
      </c>
      <c r="C340" s="63" t="s">
        <v>851</v>
      </c>
      <c r="D340" s="63" t="s">
        <v>62</v>
      </c>
      <c r="E340" s="66"/>
      <c r="F340" s="67">
        <v>3.0000000000000001E-3</v>
      </c>
      <c r="G340" s="67">
        <v>2E-3</v>
      </c>
      <c r="H340" s="63"/>
    </row>
    <row r="341" spans="1:8" x14ac:dyDescent="0.25">
      <c r="A341" s="63"/>
      <c r="B341" s="63">
        <v>0</v>
      </c>
      <c r="C341" s="63" t="s">
        <v>851</v>
      </c>
      <c r="D341" s="63" t="s">
        <v>62</v>
      </c>
      <c r="E341" s="66">
        <v>3.0428788910505911</v>
      </c>
      <c r="F341" s="67">
        <v>3.0000000000000001E-3</v>
      </c>
      <c r="G341" s="67">
        <v>2E-3</v>
      </c>
      <c r="H341" s="63"/>
    </row>
    <row r="342" spans="1:8" x14ac:dyDescent="0.25">
      <c r="A342" s="63"/>
      <c r="B342" s="63">
        <v>0.25</v>
      </c>
      <c r="C342" s="63" t="s">
        <v>851</v>
      </c>
      <c r="D342" s="63" t="s">
        <v>64</v>
      </c>
      <c r="E342" s="66">
        <v>17.822306426995311</v>
      </c>
      <c r="F342" s="67">
        <v>3.0000000000000001E-3</v>
      </c>
      <c r="G342" s="67">
        <v>2E-3</v>
      </c>
      <c r="H342" s="63"/>
    </row>
    <row r="343" spans="1:8" x14ac:dyDescent="0.25">
      <c r="A343" s="63"/>
      <c r="B343" s="63">
        <v>0.5</v>
      </c>
      <c r="C343" s="63" t="s">
        <v>851</v>
      </c>
      <c r="D343" s="63" t="s">
        <v>64</v>
      </c>
      <c r="E343" s="66">
        <v>18.237663306594719</v>
      </c>
      <c r="F343" s="67">
        <v>3.0000000000000001E-3</v>
      </c>
      <c r="G343" s="67">
        <v>2E-3</v>
      </c>
      <c r="H343" s="63"/>
    </row>
    <row r="344" spans="1:8" x14ac:dyDescent="0.25">
      <c r="A344" s="63"/>
      <c r="B344" s="63">
        <v>0.75</v>
      </c>
      <c r="C344" s="63" t="s">
        <v>851</v>
      </c>
      <c r="D344" s="63" t="s">
        <v>64</v>
      </c>
      <c r="E344" s="66">
        <v>18.48712920931133</v>
      </c>
      <c r="F344" s="67">
        <v>3.0000000000000001E-3</v>
      </c>
      <c r="G344" s="67">
        <v>2E-3</v>
      </c>
      <c r="H344" s="63"/>
    </row>
    <row r="345" spans="1:8" x14ac:dyDescent="0.25">
      <c r="A345" s="63"/>
      <c r="B345" s="63">
        <v>1</v>
      </c>
      <c r="C345" s="63" t="s">
        <v>851</v>
      </c>
      <c r="D345" s="63" t="s">
        <v>64</v>
      </c>
      <c r="E345" s="66">
        <v>19.201553596969877</v>
      </c>
      <c r="F345" s="67">
        <v>3.0000000000000001E-3</v>
      </c>
      <c r="G345" s="67">
        <v>2E-3</v>
      </c>
      <c r="H345" s="63"/>
    </row>
    <row r="346" spans="1:8" x14ac:dyDescent="0.25">
      <c r="A346" s="63"/>
      <c r="B346" s="63">
        <v>2</v>
      </c>
      <c r="C346" s="63" t="s">
        <v>851</v>
      </c>
      <c r="D346" s="63" t="s">
        <v>64</v>
      </c>
      <c r="E346" s="66">
        <v>20.562345482855957</v>
      </c>
      <c r="F346" s="67">
        <v>3.0000000000000001E-3</v>
      </c>
      <c r="G346" s="67">
        <v>2E-3</v>
      </c>
      <c r="H346" s="63"/>
    </row>
    <row r="347" spans="1:8" x14ac:dyDescent="0.25">
      <c r="A347" s="63"/>
      <c r="B347" s="63">
        <v>3</v>
      </c>
      <c r="C347" s="63" t="s">
        <v>851</v>
      </c>
      <c r="D347" s="63" t="s">
        <v>64</v>
      </c>
      <c r="E347" s="66">
        <v>22.391977691000818</v>
      </c>
      <c r="F347" s="67">
        <v>3.0000000000000001E-3</v>
      </c>
      <c r="G347" s="67">
        <v>2E-3</v>
      </c>
      <c r="H347" s="63"/>
    </row>
    <row r="348" spans="1:8" x14ac:dyDescent="0.25">
      <c r="A348" s="63"/>
      <c r="B348" s="63">
        <v>4</v>
      </c>
      <c r="C348" s="63" t="s">
        <v>851</v>
      </c>
      <c r="D348" s="63" t="s">
        <v>64</v>
      </c>
      <c r="E348" s="66">
        <v>24.28858708803979</v>
      </c>
      <c r="F348" s="67">
        <v>3.0000000000000001E-3</v>
      </c>
      <c r="G348" s="67">
        <v>2E-3</v>
      </c>
      <c r="H348" s="63"/>
    </row>
    <row r="349" spans="1:8" x14ac:dyDescent="0.25">
      <c r="A349" s="63"/>
      <c r="B349" s="63">
        <v>5</v>
      </c>
      <c r="C349" s="63" t="s">
        <v>851</v>
      </c>
      <c r="D349" s="63" t="s">
        <v>64</v>
      </c>
      <c r="E349" s="66">
        <v>25.117335532005217</v>
      </c>
      <c r="F349" s="67">
        <v>3.0000000000000001E-3</v>
      </c>
      <c r="G349" s="67">
        <v>2E-3</v>
      </c>
      <c r="H349" s="63"/>
    </row>
    <row r="350" spans="1:8" x14ac:dyDescent="0.25">
      <c r="A350" s="63"/>
      <c r="B350" s="63">
        <v>6</v>
      </c>
      <c r="C350" s="63" t="s">
        <v>851</v>
      </c>
      <c r="D350" s="63" t="s">
        <v>64</v>
      </c>
      <c r="E350" s="66">
        <v>29.039116491286865</v>
      </c>
      <c r="F350" s="67">
        <v>3.0000000000000001E-3</v>
      </c>
      <c r="G350" s="67">
        <v>2E-3</v>
      </c>
      <c r="H350" s="63"/>
    </row>
    <row r="351" spans="1:8" x14ac:dyDescent="0.25">
      <c r="A351" s="63"/>
      <c r="B351" s="63">
        <v>7</v>
      </c>
      <c r="C351" s="63" t="s">
        <v>851</v>
      </c>
      <c r="D351" s="63" t="s">
        <v>64</v>
      </c>
      <c r="E351" s="66">
        <v>31.219251037281825</v>
      </c>
      <c r="F351" s="67">
        <v>3.0000000000000001E-3</v>
      </c>
      <c r="G351" s="67">
        <v>2E-3</v>
      </c>
      <c r="H351" s="63"/>
    </row>
    <row r="352" spans="1:8" x14ac:dyDescent="0.25">
      <c r="A352" s="63"/>
      <c r="B352" s="63">
        <v>8</v>
      </c>
      <c r="C352" s="63" t="s">
        <v>851</v>
      </c>
      <c r="D352" s="63" t="s">
        <v>64</v>
      </c>
      <c r="E352" s="66">
        <v>33.487682081707895</v>
      </c>
      <c r="F352" s="67">
        <v>3.0000000000000001E-3</v>
      </c>
      <c r="G352" s="67">
        <v>2E-3</v>
      </c>
      <c r="H352" s="63"/>
    </row>
    <row r="353" spans="1:8" x14ac:dyDescent="0.25">
      <c r="A353" s="63"/>
      <c r="B353" s="63">
        <v>9</v>
      </c>
      <c r="C353" s="63" t="s">
        <v>851</v>
      </c>
      <c r="D353" s="63" t="s">
        <v>64</v>
      </c>
      <c r="E353" s="66">
        <v>36.427668170967245</v>
      </c>
      <c r="F353" s="67">
        <v>3.0000000000000001E-3</v>
      </c>
      <c r="G353" s="67">
        <v>2E-3</v>
      </c>
      <c r="H353" s="63"/>
    </row>
    <row r="354" spans="1:8" x14ac:dyDescent="0.25">
      <c r="A354" s="63"/>
      <c r="B354" s="63">
        <v>10</v>
      </c>
      <c r="C354" s="63" t="s">
        <v>851</v>
      </c>
      <c r="D354" s="63" t="s">
        <v>64</v>
      </c>
      <c r="E354" s="66">
        <v>38.74455996597662</v>
      </c>
      <c r="F354" s="67">
        <v>3.0000000000000001E-3</v>
      </c>
      <c r="G354" s="67">
        <v>2E-3</v>
      </c>
      <c r="H354" s="63"/>
    </row>
    <row r="355" spans="1:8" x14ac:dyDescent="0.25">
      <c r="A355" s="63"/>
      <c r="B355" s="63">
        <v>11</v>
      </c>
      <c r="C355" s="63" t="s">
        <v>851</v>
      </c>
      <c r="D355" s="63" t="s">
        <v>64</v>
      </c>
      <c r="E355" s="66"/>
      <c r="F355" s="67">
        <v>3.0000000000000001E-3</v>
      </c>
      <c r="G355" s="67">
        <v>2E-3</v>
      </c>
      <c r="H355" s="63"/>
    </row>
    <row r="356" spans="1:8" x14ac:dyDescent="0.25">
      <c r="A356" s="63"/>
      <c r="B356" s="63">
        <v>12</v>
      </c>
      <c r="C356" s="63" t="s">
        <v>851</v>
      </c>
      <c r="D356" s="63" t="s">
        <v>64</v>
      </c>
      <c r="E356" s="66"/>
      <c r="F356" s="67">
        <v>3.0000000000000001E-3</v>
      </c>
      <c r="G356" s="67">
        <v>2E-3</v>
      </c>
      <c r="H356" s="63"/>
    </row>
    <row r="357" spans="1:8" x14ac:dyDescent="0.25">
      <c r="A357" s="63"/>
      <c r="B357" s="63">
        <v>13</v>
      </c>
      <c r="C357" s="63" t="s">
        <v>851</v>
      </c>
      <c r="D357" s="63" t="s">
        <v>64</v>
      </c>
      <c r="E357" s="66"/>
      <c r="F357" s="67">
        <v>3.0000000000000001E-3</v>
      </c>
      <c r="G357" s="67">
        <v>2E-3</v>
      </c>
      <c r="H357" s="63"/>
    </row>
    <row r="358" spans="1:8" x14ac:dyDescent="0.25">
      <c r="A358" s="63"/>
      <c r="B358" s="63">
        <v>14</v>
      </c>
      <c r="C358" s="63" t="s">
        <v>851</v>
      </c>
      <c r="D358" s="63" t="s">
        <v>64</v>
      </c>
      <c r="E358" s="66"/>
      <c r="F358" s="67">
        <v>3.0000000000000001E-3</v>
      </c>
      <c r="G358" s="67">
        <v>2E-3</v>
      </c>
      <c r="H358" s="63"/>
    </row>
    <row r="359" spans="1:8" x14ac:dyDescent="0.25">
      <c r="A359" s="63"/>
      <c r="B359" s="63">
        <v>15</v>
      </c>
      <c r="C359" s="63" t="s">
        <v>851</v>
      </c>
      <c r="D359" s="63" t="s">
        <v>64</v>
      </c>
      <c r="E359" s="66"/>
      <c r="F359" s="67">
        <v>3.0000000000000001E-3</v>
      </c>
      <c r="G359" s="67">
        <v>2E-3</v>
      </c>
      <c r="H359" s="63"/>
    </row>
    <row r="360" spans="1:8" x14ac:dyDescent="0.25">
      <c r="A360" s="63"/>
      <c r="B360" s="63">
        <v>16</v>
      </c>
      <c r="C360" s="63" t="s">
        <v>851</v>
      </c>
      <c r="D360" s="63" t="s">
        <v>64</v>
      </c>
      <c r="E360" s="66"/>
      <c r="F360" s="67">
        <v>3.0000000000000001E-3</v>
      </c>
      <c r="G360" s="67">
        <v>2E-3</v>
      </c>
      <c r="H360" s="63"/>
    </row>
    <row r="361" spans="1:8" x14ac:dyDescent="0.25">
      <c r="A361" s="63"/>
      <c r="B361" s="63">
        <v>17</v>
      </c>
      <c r="C361" s="63" t="s">
        <v>851</v>
      </c>
      <c r="D361" s="63" t="s">
        <v>64</v>
      </c>
      <c r="E361" s="66"/>
      <c r="F361" s="67">
        <v>3.0000000000000001E-3</v>
      </c>
      <c r="G361" s="67">
        <v>2E-3</v>
      </c>
      <c r="H361" s="63"/>
    </row>
    <row r="362" spans="1:8" x14ac:dyDescent="0.25">
      <c r="A362" s="63"/>
      <c r="B362" s="63">
        <v>18</v>
      </c>
      <c r="C362" s="63" t="s">
        <v>851</v>
      </c>
      <c r="D362" s="63" t="s">
        <v>64</v>
      </c>
      <c r="E362" s="66"/>
      <c r="F362" s="67">
        <v>3.0000000000000001E-3</v>
      </c>
      <c r="G362" s="67">
        <v>2E-3</v>
      </c>
      <c r="H362" s="63"/>
    </row>
    <row r="363" spans="1:8" x14ac:dyDescent="0.25">
      <c r="A363" s="63"/>
      <c r="B363" s="63">
        <v>19</v>
      </c>
      <c r="C363" s="63" t="s">
        <v>851</v>
      </c>
      <c r="D363" s="63" t="s">
        <v>64</v>
      </c>
      <c r="E363" s="66"/>
      <c r="F363" s="67">
        <v>3.0000000000000001E-3</v>
      </c>
      <c r="G363" s="67">
        <v>2E-3</v>
      </c>
      <c r="H363" s="63"/>
    </row>
    <row r="364" spans="1:8" x14ac:dyDescent="0.25">
      <c r="A364" s="63"/>
      <c r="B364" s="63">
        <v>20</v>
      </c>
      <c r="C364" s="63" t="s">
        <v>851</v>
      </c>
      <c r="D364" s="63" t="s">
        <v>64</v>
      </c>
      <c r="E364" s="66"/>
      <c r="F364" s="67">
        <v>3.0000000000000001E-3</v>
      </c>
      <c r="G364" s="67">
        <v>2E-3</v>
      </c>
      <c r="H364" s="63"/>
    </row>
    <row r="365" spans="1:8" x14ac:dyDescent="0.25">
      <c r="A365" s="63"/>
      <c r="B365" s="63">
        <v>21</v>
      </c>
      <c r="C365" s="63" t="s">
        <v>851</v>
      </c>
      <c r="D365" s="63" t="s">
        <v>64</v>
      </c>
      <c r="E365" s="66"/>
      <c r="F365" s="67">
        <v>3.0000000000000001E-3</v>
      </c>
      <c r="G365" s="67">
        <v>2E-3</v>
      </c>
      <c r="H365" s="63"/>
    </row>
    <row r="366" spans="1:8" x14ac:dyDescent="0.25">
      <c r="A366" s="63"/>
      <c r="B366" s="63">
        <v>22</v>
      </c>
      <c r="C366" s="63" t="s">
        <v>851</v>
      </c>
      <c r="D366" s="63" t="s">
        <v>64</v>
      </c>
      <c r="E366" s="66"/>
      <c r="F366" s="67">
        <v>3.0000000000000001E-3</v>
      </c>
      <c r="G366" s="67">
        <v>2E-3</v>
      </c>
      <c r="H366" s="63"/>
    </row>
    <row r="367" spans="1:8" x14ac:dyDescent="0.25">
      <c r="A367" s="63"/>
      <c r="B367" s="63">
        <v>23</v>
      </c>
      <c r="C367" s="63" t="s">
        <v>851</v>
      </c>
      <c r="D367" s="63" t="s">
        <v>64</v>
      </c>
      <c r="E367" s="66"/>
      <c r="F367" s="67">
        <v>3.0000000000000001E-3</v>
      </c>
      <c r="G367" s="67">
        <v>2E-3</v>
      </c>
      <c r="H367" s="63"/>
    </row>
    <row r="368" spans="1:8" x14ac:dyDescent="0.25">
      <c r="A368" s="63"/>
      <c r="B368" s="63">
        <v>24</v>
      </c>
      <c r="C368" s="63" t="s">
        <v>851</v>
      </c>
      <c r="D368" s="63" t="s">
        <v>64</v>
      </c>
      <c r="E368" s="66"/>
      <c r="F368" s="67">
        <v>3.0000000000000001E-3</v>
      </c>
      <c r="G368" s="67">
        <v>2E-3</v>
      </c>
      <c r="H368" s="63"/>
    </row>
    <row r="369" spans="1:8" x14ac:dyDescent="0.25">
      <c r="A369" s="63"/>
      <c r="B369" s="63">
        <v>25</v>
      </c>
      <c r="C369" s="63" t="s">
        <v>851</v>
      </c>
      <c r="D369" s="63" t="s">
        <v>64</v>
      </c>
      <c r="E369" s="66"/>
      <c r="F369" s="67">
        <v>3.0000000000000001E-3</v>
      </c>
      <c r="G369" s="67">
        <v>2E-3</v>
      </c>
      <c r="H369" s="63"/>
    </row>
    <row r="370" spans="1:8" x14ac:dyDescent="0.25">
      <c r="A370" s="63"/>
      <c r="B370" s="63">
        <v>26</v>
      </c>
      <c r="C370" s="63" t="s">
        <v>851</v>
      </c>
      <c r="D370" s="63" t="s">
        <v>64</v>
      </c>
      <c r="E370" s="66"/>
      <c r="F370" s="67">
        <v>3.0000000000000001E-3</v>
      </c>
      <c r="G370" s="67">
        <v>2E-3</v>
      </c>
      <c r="H370" s="63"/>
    </row>
    <row r="371" spans="1:8" x14ac:dyDescent="0.25">
      <c r="A371" s="63"/>
      <c r="B371" s="63">
        <v>27</v>
      </c>
      <c r="C371" s="63" t="s">
        <v>851</v>
      </c>
      <c r="D371" s="63" t="s">
        <v>64</v>
      </c>
      <c r="E371" s="66"/>
      <c r="F371" s="67">
        <v>3.0000000000000001E-3</v>
      </c>
      <c r="G371" s="67">
        <v>2E-3</v>
      </c>
      <c r="H371" s="63"/>
    </row>
    <row r="372" spans="1:8" x14ac:dyDescent="0.25">
      <c r="A372" s="63"/>
      <c r="B372" s="63">
        <v>28</v>
      </c>
      <c r="C372" s="63" t="s">
        <v>851</v>
      </c>
      <c r="D372" s="63" t="s">
        <v>64</v>
      </c>
      <c r="E372" s="66"/>
      <c r="F372" s="67">
        <v>3.0000000000000001E-3</v>
      </c>
      <c r="G372" s="67">
        <v>2E-3</v>
      </c>
      <c r="H372" s="63"/>
    </row>
    <row r="373" spans="1:8" x14ac:dyDescent="0.25">
      <c r="A373" s="63"/>
      <c r="B373" s="63">
        <v>29</v>
      </c>
      <c r="C373" s="63" t="s">
        <v>851</v>
      </c>
      <c r="D373" s="63" t="s">
        <v>64</v>
      </c>
      <c r="E373" s="66"/>
      <c r="F373" s="67">
        <v>3.0000000000000001E-3</v>
      </c>
      <c r="G373" s="67">
        <v>2E-3</v>
      </c>
      <c r="H373" s="63"/>
    </row>
    <row r="374" spans="1:8" x14ac:dyDescent="0.25">
      <c r="A374" s="63"/>
      <c r="B374" s="63">
        <v>30</v>
      </c>
      <c r="C374" s="63" t="s">
        <v>851</v>
      </c>
      <c r="D374" s="63" t="s">
        <v>64</v>
      </c>
      <c r="E374" s="66"/>
      <c r="F374" s="67">
        <v>3.0000000000000001E-3</v>
      </c>
      <c r="G374" s="67">
        <v>2E-3</v>
      </c>
      <c r="H374" s="63"/>
    </row>
    <row r="375" spans="1:8" x14ac:dyDescent="0.25">
      <c r="A375" s="63"/>
      <c r="B375" s="63">
        <v>0</v>
      </c>
      <c r="C375" s="63" t="s">
        <v>851</v>
      </c>
      <c r="D375" s="63" t="s">
        <v>64</v>
      </c>
      <c r="E375" s="66">
        <v>3.0428788910505911</v>
      </c>
      <c r="F375" s="67">
        <v>3.0000000000000001E-3</v>
      </c>
      <c r="G375" s="67">
        <v>2E-3</v>
      </c>
      <c r="H375" s="63"/>
    </row>
    <row r="376" spans="1:8" x14ac:dyDescent="0.25">
      <c r="A376" s="63"/>
      <c r="B376" s="63">
        <v>0.25</v>
      </c>
      <c r="C376" s="63" t="s">
        <v>851</v>
      </c>
      <c r="D376" s="63" t="s">
        <v>77</v>
      </c>
      <c r="E376" s="66">
        <v>26.388821172814527</v>
      </c>
      <c r="F376" s="67">
        <v>3.0000000000000001E-3</v>
      </c>
      <c r="G376" s="67">
        <v>2E-3</v>
      </c>
      <c r="H376" s="63"/>
    </row>
    <row r="377" spans="1:8" x14ac:dyDescent="0.25">
      <c r="A377" s="63"/>
      <c r="B377" s="63">
        <v>0.5</v>
      </c>
      <c r="C377" s="63" t="s">
        <v>851</v>
      </c>
      <c r="D377" s="63" t="s">
        <v>77</v>
      </c>
      <c r="E377" s="66">
        <v>27.388166675900646</v>
      </c>
      <c r="F377" s="67">
        <v>3.0000000000000001E-3</v>
      </c>
      <c r="G377" s="67">
        <v>2E-3</v>
      </c>
      <c r="H377" s="63"/>
    </row>
    <row r="378" spans="1:8" x14ac:dyDescent="0.25">
      <c r="A378" s="63"/>
      <c r="B378" s="63">
        <v>0.75</v>
      </c>
      <c r="C378" s="63" t="s">
        <v>851</v>
      </c>
      <c r="D378" s="63" t="s">
        <v>77</v>
      </c>
      <c r="E378" s="66">
        <v>28.198411975166223</v>
      </c>
      <c r="F378" s="67">
        <v>3.0000000000000001E-3</v>
      </c>
      <c r="G378" s="67">
        <v>2E-3</v>
      </c>
      <c r="H378" s="63"/>
    </row>
    <row r="379" spans="1:8" x14ac:dyDescent="0.25">
      <c r="A379" s="63"/>
      <c r="B379" s="63">
        <v>1</v>
      </c>
      <c r="C379" s="63" t="s">
        <v>851</v>
      </c>
      <c r="D379" s="63" t="s">
        <v>77</v>
      </c>
      <c r="E379" s="66">
        <v>28.929696417378057</v>
      </c>
      <c r="F379" s="67">
        <v>3.0000000000000001E-3</v>
      </c>
      <c r="G379" s="67">
        <v>2E-3</v>
      </c>
      <c r="H379" s="63"/>
    </row>
    <row r="380" spans="1:8" x14ac:dyDescent="0.25">
      <c r="A380" s="63"/>
      <c r="B380" s="63">
        <v>2</v>
      </c>
      <c r="C380" s="63" t="s">
        <v>851</v>
      </c>
      <c r="D380" s="63" t="s">
        <v>77</v>
      </c>
      <c r="E380" s="66">
        <v>30.96465020079636</v>
      </c>
      <c r="F380" s="67">
        <v>3.0000000000000001E-3</v>
      </c>
      <c r="G380" s="67">
        <v>2E-3</v>
      </c>
      <c r="H380" s="63"/>
    </row>
    <row r="381" spans="1:8" x14ac:dyDescent="0.25">
      <c r="A381" s="63"/>
      <c r="B381" s="63">
        <v>3</v>
      </c>
      <c r="C381" s="63" t="s">
        <v>851</v>
      </c>
      <c r="D381" s="63" t="s">
        <v>77</v>
      </c>
      <c r="E381" s="66">
        <v>33.809334842941865</v>
      </c>
      <c r="F381" s="67">
        <v>3.0000000000000001E-3</v>
      </c>
      <c r="G381" s="67">
        <v>2E-3</v>
      </c>
      <c r="H381" s="63"/>
    </row>
    <row r="382" spans="1:8" x14ac:dyDescent="0.25">
      <c r="A382" s="63"/>
      <c r="B382" s="63">
        <v>4</v>
      </c>
      <c r="C382" s="63" t="s">
        <v>851</v>
      </c>
      <c r="D382" s="63" t="s">
        <v>77</v>
      </c>
      <c r="E382" s="66">
        <v>36.809614580501488</v>
      </c>
      <c r="F382" s="67">
        <v>3.0000000000000001E-3</v>
      </c>
      <c r="G382" s="67">
        <v>2E-3</v>
      </c>
      <c r="H382" s="63"/>
    </row>
    <row r="383" spans="1:8" x14ac:dyDescent="0.25">
      <c r="A383" s="63"/>
      <c r="B383" s="63">
        <v>5</v>
      </c>
      <c r="C383" s="63" t="s">
        <v>851</v>
      </c>
      <c r="D383" s="63" t="s">
        <v>77</v>
      </c>
      <c r="E383" s="66">
        <v>38.712675744286592</v>
      </c>
      <c r="F383" s="67">
        <v>3.0000000000000001E-3</v>
      </c>
      <c r="G383" s="67">
        <v>2E-3</v>
      </c>
      <c r="H383" s="63"/>
    </row>
    <row r="384" spans="1:8" x14ac:dyDescent="0.25">
      <c r="A384" s="63"/>
      <c r="B384" s="63">
        <v>6</v>
      </c>
      <c r="C384" s="63" t="s">
        <v>851</v>
      </c>
      <c r="D384" s="63" t="s">
        <v>77</v>
      </c>
      <c r="E384" s="66">
        <v>42.489375350206174</v>
      </c>
      <c r="F384" s="67">
        <v>3.0000000000000001E-3</v>
      </c>
      <c r="G384" s="67">
        <v>2E-3</v>
      </c>
      <c r="H384" s="63"/>
    </row>
    <row r="385" spans="1:8" x14ac:dyDescent="0.25">
      <c r="A385" s="63"/>
      <c r="B385" s="63">
        <v>7</v>
      </c>
      <c r="C385" s="63" t="s">
        <v>851</v>
      </c>
      <c r="D385" s="63" t="s">
        <v>77</v>
      </c>
      <c r="E385" s="66">
        <v>46.43382358444272</v>
      </c>
      <c r="F385" s="67">
        <v>3.0000000000000001E-3</v>
      </c>
      <c r="G385" s="67">
        <v>2E-3</v>
      </c>
      <c r="H385" s="63"/>
    </row>
    <row r="386" spans="1:8" x14ac:dyDescent="0.25">
      <c r="A386" s="63"/>
      <c r="B386" s="63">
        <v>8</v>
      </c>
      <c r="C386" s="63" t="s">
        <v>851</v>
      </c>
      <c r="D386" s="63" t="s">
        <v>77</v>
      </c>
      <c r="E386" s="66">
        <v>50.56111782354472</v>
      </c>
      <c r="F386" s="67">
        <v>3.0000000000000001E-3</v>
      </c>
      <c r="G386" s="67">
        <v>2E-3</v>
      </c>
      <c r="H386" s="63"/>
    </row>
    <row r="387" spans="1:8" x14ac:dyDescent="0.25">
      <c r="A387" s="63"/>
      <c r="B387" s="63">
        <v>9</v>
      </c>
      <c r="C387" s="63" t="s">
        <v>851</v>
      </c>
      <c r="D387" s="63" t="s">
        <v>77</v>
      </c>
      <c r="E387" s="66">
        <v>54.887714207950076</v>
      </c>
      <c r="F387" s="67">
        <v>3.0000000000000001E-3</v>
      </c>
      <c r="G387" s="67">
        <v>2E-3</v>
      </c>
      <c r="H387" s="63"/>
    </row>
    <row r="388" spans="1:8" x14ac:dyDescent="0.25">
      <c r="A388" s="63"/>
      <c r="B388" s="63">
        <v>10</v>
      </c>
      <c r="C388" s="63" t="s">
        <v>851</v>
      </c>
      <c r="D388" s="63" t="s">
        <v>77</v>
      </c>
      <c r="E388" s="66">
        <v>59.431549930736061</v>
      </c>
      <c r="F388" s="67">
        <v>3.0000000000000001E-3</v>
      </c>
      <c r="G388" s="67">
        <v>2E-3</v>
      </c>
      <c r="H388" s="63"/>
    </row>
    <row r="389" spans="1:8" x14ac:dyDescent="0.25">
      <c r="A389" s="63"/>
      <c r="B389" s="63">
        <v>11</v>
      </c>
      <c r="C389" s="63" t="s">
        <v>851</v>
      </c>
      <c r="D389" s="63" t="s">
        <v>77</v>
      </c>
      <c r="E389" s="66"/>
      <c r="F389" s="67">
        <v>3.0000000000000001E-3</v>
      </c>
      <c r="G389" s="67">
        <v>2E-3</v>
      </c>
      <c r="H389" s="63"/>
    </row>
    <row r="390" spans="1:8" x14ac:dyDescent="0.25">
      <c r="A390" s="63"/>
      <c r="B390" s="63">
        <v>12</v>
      </c>
      <c r="C390" s="63" t="s">
        <v>851</v>
      </c>
      <c r="D390" s="63" t="s">
        <v>77</v>
      </c>
      <c r="E390" s="66"/>
      <c r="F390" s="67">
        <v>3.0000000000000001E-3</v>
      </c>
      <c r="G390" s="67">
        <v>2E-3</v>
      </c>
      <c r="H390" s="63"/>
    </row>
    <row r="391" spans="1:8" x14ac:dyDescent="0.25">
      <c r="A391" s="63"/>
      <c r="B391" s="63">
        <v>13</v>
      </c>
      <c r="C391" s="63" t="s">
        <v>851</v>
      </c>
      <c r="D391" s="63" t="s">
        <v>77</v>
      </c>
      <c r="E391" s="66"/>
      <c r="F391" s="67">
        <v>3.0000000000000001E-3</v>
      </c>
      <c r="G391" s="67">
        <v>2E-3</v>
      </c>
      <c r="H391" s="63"/>
    </row>
    <row r="392" spans="1:8" x14ac:dyDescent="0.25">
      <c r="A392" s="63"/>
      <c r="B392" s="63">
        <v>14</v>
      </c>
      <c r="C392" s="63" t="s">
        <v>851</v>
      </c>
      <c r="D392" s="63" t="s">
        <v>77</v>
      </c>
      <c r="E392" s="66"/>
      <c r="F392" s="67">
        <v>3.0000000000000001E-3</v>
      </c>
      <c r="G392" s="67">
        <v>2E-3</v>
      </c>
      <c r="H392" s="63"/>
    </row>
    <row r="393" spans="1:8" x14ac:dyDescent="0.25">
      <c r="A393" s="63"/>
      <c r="B393" s="63">
        <v>15</v>
      </c>
      <c r="C393" s="63" t="s">
        <v>851</v>
      </c>
      <c r="D393" s="63" t="s">
        <v>77</v>
      </c>
      <c r="E393" s="66"/>
      <c r="F393" s="67">
        <v>3.0000000000000001E-3</v>
      </c>
      <c r="G393" s="67">
        <v>2E-3</v>
      </c>
      <c r="H393" s="63"/>
    </row>
    <row r="394" spans="1:8" x14ac:dyDescent="0.25">
      <c r="A394" s="63"/>
      <c r="B394" s="63">
        <v>16</v>
      </c>
      <c r="C394" s="63" t="s">
        <v>851</v>
      </c>
      <c r="D394" s="63" t="s">
        <v>77</v>
      </c>
      <c r="E394" s="66"/>
      <c r="F394" s="67">
        <v>3.0000000000000001E-3</v>
      </c>
      <c r="G394" s="67">
        <v>2E-3</v>
      </c>
      <c r="H394" s="63"/>
    </row>
    <row r="395" spans="1:8" x14ac:dyDescent="0.25">
      <c r="A395" s="63"/>
      <c r="B395" s="63">
        <v>17</v>
      </c>
      <c r="C395" s="63" t="s">
        <v>851</v>
      </c>
      <c r="D395" s="63" t="s">
        <v>77</v>
      </c>
      <c r="E395" s="66"/>
      <c r="F395" s="67">
        <v>3.0000000000000001E-3</v>
      </c>
      <c r="G395" s="67">
        <v>2E-3</v>
      </c>
      <c r="H395" s="63"/>
    </row>
    <row r="396" spans="1:8" x14ac:dyDescent="0.25">
      <c r="A396" s="63"/>
      <c r="B396" s="63">
        <v>18</v>
      </c>
      <c r="C396" s="63" t="s">
        <v>851</v>
      </c>
      <c r="D396" s="63" t="s">
        <v>77</v>
      </c>
      <c r="E396" s="66"/>
      <c r="F396" s="67">
        <v>3.0000000000000001E-3</v>
      </c>
      <c r="G396" s="67">
        <v>2E-3</v>
      </c>
      <c r="H396" s="63"/>
    </row>
    <row r="397" spans="1:8" x14ac:dyDescent="0.25">
      <c r="A397" s="63"/>
      <c r="B397" s="63">
        <v>19</v>
      </c>
      <c r="C397" s="63" t="s">
        <v>851</v>
      </c>
      <c r="D397" s="63" t="s">
        <v>77</v>
      </c>
      <c r="E397" s="66"/>
      <c r="F397" s="67">
        <v>3.0000000000000001E-3</v>
      </c>
      <c r="G397" s="67">
        <v>2E-3</v>
      </c>
      <c r="H397" s="63"/>
    </row>
    <row r="398" spans="1:8" x14ac:dyDescent="0.25">
      <c r="A398" s="63"/>
      <c r="B398" s="63">
        <v>20</v>
      </c>
      <c r="C398" s="63" t="s">
        <v>851</v>
      </c>
      <c r="D398" s="63" t="s">
        <v>77</v>
      </c>
      <c r="E398" s="66"/>
      <c r="F398" s="67">
        <v>3.0000000000000001E-3</v>
      </c>
      <c r="G398" s="67">
        <v>2E-3</v>
      </c>
      <c r="H398" s="63"/>
    </row>
    <row r="399" spans="1:8" x14ac:dyDescent="0.25">
      <c r="A399" s="63"/>
      <c r="B399" s="63">
        <v>21</v>
      </c>
      <c r="C399" s="63" t="s">
        <v>851</v>
      </c>
      <c r="D399" s="63" t="s">
        <v>77</v>
      </c>
      <c r="E399" s="66"/>
      <c r="F399" s="67">
        <v>3.0000000000000001E-3</v>
      </c>
      <c r="G399" s="67">
        <v>2E-3</v>
      </c>
      <c r="H399" s="63"/>
    </row>
    <row r="400" spans="1:8" x14ac:dyDescent="0.25">
      <c r="A400" s="63"/>
      <c r="B400" s="63">
        <v>22</v>
      </c>
      <c r="C400" s="63" t="s">
        <v>851</v>
      </c>
      <c r="D400" s="63" t="s">
        <v>77</v>
      </c>
      <c r="E400" s="66"/>
      <c r="F400" s="67">
        <v>3.0000000000000001E-3</v>
      </c>
      <c r="G400" s="67">
        <v>2E-3</v>
      </c>
      <c r="H400" s="63"/>
    </row>
    <row r="401" spans="1:8" x14ac:dyDescent="0.25">
      <c r="A401" s="63"/>
      <c r="B401" s="63">
        <v>23</v>
      </c>
      <c r="C401" s="63" t="s">
        <v>851</v>
      </c>
      <c r="D401" s="63" t="s">
        <v>77</v>
      </c>
      <c r="E401" s="66"/>
      <c r="F401" s="67">
        <v>3.0000000000000001E-3</v>
      </c>
      <c r="G401" s="67">
        <v>2E-3</v>
      </c>
      <c r="H401" s="63"/>
    </row>
    <row r="402" spans="1:8" x14ac:dyDescent="0.25">
      <c r="A402" s="63"/>
      <c r="B402" s="63">
        <v>24</v>
      </c>
      <c r="C402" s="63" t="s">
        <v>851</v>
      </c>
      <c r="D402" s="63" t="s">
        <v>77</v>
      </c>
      <c r="E402" s="66"/>
      <c r="F402" s="67">
        <v>3.0000000000000001E-3</v>
      </c>
      <c r="G402" s="67">
        <v>2E-3</v>
      </c>
      <c r="H402" s="63"/>
    </row>
    <row r="403" spans="1:8" x14ac:dyDescent="0.25">
      <c r="A403" s="63"/>
      <c r="B403" s="63">
        <v>25</v>
      </c>
      <c r="C403" s="63" t="s">
        <v>851</v>
      </c>
      <c r="D403" s="63" t="s">
        <v>77</v>
      </c>
      <c r="E403" s="66"/>
      <c r="F403" s="67">
        <v>3.0000000000000001E-3</v>
      </c>
      <c r="G403" s="67">
        <v>2E-3</v>
      </c>
      <c r="H403" s="63"/>
    </row>
    <row r="404" spans="1:8" x14ac:dyDescent="0.25">
      <c r="A404" s="63"/>
      <c r="B404" s="63">
        <v>26</v>
      </c>
      <c r="C404" s="63" t="s">
        <v>851</v>
      </c>
      <c r="D404" s="63" t="s">
        <v>77</v>
      </c>
      <c r="E404" s="66"/>
      <c r="F404" s="67">
        <v>3.0000000000000001E-3</v>
      </c>
      <c r="G404" s="67">
        <v>2E-3</v>
      </c>
      <c r="H404" s="63"/>
    </row>
    <row r="405" spans="1:8" x14ac:dyDescent="0.25">
      <c r="A405" s="63"/>
      <c r="B405" s="63">
        <v>27</v>
      </c>
      <c r="C405" s="63" t="s">
        <v>851</v>
      </c>
      <c r="D405" s="63" t="s">
        <v>77</v>
      </c>
      <c r="E405" s="66"/>
      <c r="F405" s="67">
        <v>3.0000000000000001E-3</v>
      </c>
      <c r="G405" s="67">
        <v>2E-3</v>
      </c>
      <c r="H405" s="63"/>
    </row>
    <row r="406" spans="1:8" x14ac:dyDescent="0.25">
      <c r="A406" s="63"/>
      <c r="B406" s="63">
        <v>28</v>
      </c>
      <c r="C406" s="63" t="s">
        <v>851</v>
      </c>
      <c r="D406" s="63" t="s">
        <v>77</v>
      </c>
      <c r="E406" s="66"/>
      <c r="F406" s="67">
        <v>3.0000000000000001E-3</v>
      </c>
      <c r="G406" s="67">
        <v>2E-3</v>
      </c>
      <c r="H406" s="63"/>
    </row>
    <row r="407" spans="1:8" x14ac:dyDescent="0.25">
      <c r="A407" s="63"/>
      <c r="B407" s="63">
        <v>29</v>
      </c>
      <c r="C407" s="63" t="s">
        <v>851</v>
      </c>
      <c r="D407" s="63" t="s">
        <v>77</v>
      </c>
      <c r="E407" s="66"/>
      <c r="F407" s="67">
        <v>3.0000000000000001E-3</v>
      </c>
      <c r="G407" s="67">
        <v>2E-3</v>
      </c>
      <c r="H407" s="63"/>
    </row>
    <row r="408" spans="1:8" x14ac:dyDescent="0.25">
      <c r="A408" s="63"/>
      <c r="B408" s="63">
        <v>30</v>
      </c>
      <c r="C408" s="63" t="s">
        <v>851</v>
      </c>
      <c r="D408" s="63" t="s">
        <v>77</v>
      </c>
      <c r="E408" s="66"/>
      <c r="F408" s="67">
        <v>3.0000000000000001E-3</v>
      </c>
      <c r="G408" s="67">
        <v>2E-3</v>
      </c>
      <c r="H408" s="63"/>
    </row>
    <row r="409" spans="1:8" x14ac:dyDescent="0.25">
      <c r="A409" s="63"/>
      <c r="B409" s="63">
        <v>0</v>
      </c>
      <c r="C409" s="63" t="s">
        <v>851</v>
      </c>
      <c r="D409" s="63" t="s">
        <v>77</v>
      </c>
      <c r="E409" s="66">
        <v>3.0428788910505911</v>
      </c>
      <c r="F409" s="67">
        <v>3.0000000000000001E-3</v>
      </c>
      <c r="G409" s="67">
        <v>2E-3</v>
      </c>
      <c r="H409" s="63"/>
    </row>
    <row r="410" spans="1:8" x14ac:dyDescent="0.25">
      <c r="A410" s="63"/>
      <c r="B410" s="63">
        <v>0.25</v>
      </c>
      <c r="C410" s="63" t="s">
        <v>772</v>
      </c>
      <c r="D410" s="63" t="s">
        <v>21</v>
      </c>
      <c r="E410" s="66">
        <v>10.757857324309652</v>
      </c>
      <c r="F410" s="67">
        <v>3.0000000000000001E-3</v>
      </c>
      <c r="G410" s="67">
        <v>2E-3</v>
      </c>
      <c r="H410" s="63"/>
    </row>
    <row r="411" spans="1:8" x14ac:dyDescent="0.25">
      <c r="A411" s="63"/>
      <c r="B411" s="63">
        <v>0.5</v>
      </c>
      <c r="C411" s="63" t="s">
        <v>772</v>
      </c>
      <c r="D411" s="63" t="s">
        <v>21</v>
      </c>
      <c r="E411" s="66">
        <v>11.22314512962223</v>
      </c>
      <c r="F411" s="67">
        <v>3.0000000000000001E-3</v>
      </c>
      <c r="G411" s="67">
        <v>2E-3</v>
      </c>
      <c r="H411" s="63"/>
    </row>
    <row r="412" spans="1:8" x14ac:dyDescent="0.25">
      <c r="A412" s="63"/>
      <c r="B412" s="63">
        <v>0.75</v>
      </c>
      <c r="C412" s="63" t="s">
        <v>772</v>
      </c>
      <c r="D412" s="63" t="s">
        <v>21</v>
      </c>
      <c r="E412" s="66">
        <v>11.68884964993126</v>
      </c>
      <c r="F412" s="67">
        <v>3.0000000000000001E-3</v>
      </c>
      <c r="G412" s="67">
        <v>2E-3</v>
      </c>
      <c r="H412" s="63"/>
    </row>
    <row r="413" spans="1:8" x14ac:dyDescent="0.25">
      <c r="A413" s="63"/>
      <c r="B413" s="63">
        <v>1</v>
      </c>
      <c r="C413" s="63" t="s">
        <v>772</v>
      </c>
      <c r="D413" s="63" t="s">
        <v>21</v>
      </c>
      <c r="E413" s="66">
        <v>12.260983349645192</v>
      </c>
      <c r="F413" s="67">
        <v>3.0000000000000001E-3</v>
      </c>
      <c r="G413" s="67">
        <v>2E-3</v>
      </c>
      <c r="H413" s="63"/>
    </row>
    <row r="414" spans="1:8" x14ac:dyDescent="0.25">
      <c r="A414" s="63"/>
      <c r="B414" s="63">
        <v>2</v>
      </c>
      <c r="C414" s="63" t="s">
        <v>772</v>
      </c>
      <c r="D414" s="63" t="s">
        <v>21</v>
      </c>
      <c r="E414" s="66">
        <v>13.799376853006919</v>
      </c>
      <c r="F414" s="67">
        <v>3.0000000000000001E-3</v>
      </c>
      <c r="G414" s="67">
        <v>2E-3</v>
      </c>
      <c r="H414" s="63"/>
    </row>
    <row r="415" spans="1:8" x14ac:dyDescent="0.25">
      <c r="A415" s="63"/>
      <c r="B415" s="63">
        <v>3</v>
      </c>
      <c r="C415" s="63" t="s">
        <v>772</v>
      </c>
      <c r="D415" s="63" t="s">
        <v>21</v>
      </c>
      <c r="E415" s="66">
        <v>16.452504320116319</v>
      </c>
      <c r="F415" s="67">
        <v>3.0000000000000001E-3</v>
      </c>
      <c r="G415" s="67">
        <v>2E-3</v>
      </c>
      <c r="H415" s="63"/>
    </row>
    <row r="416" spans="1:8" x14ac:dyDescent="0.25">
      <c r="A416" s="63"/>
      <c r="B416" s="63">
        <v>4</v>
      </c>
      <c r="C416" s="63" t="s">
        <v>772</v>
      </c>
      <c r="D416" s="63" t="s">
        <v>21</v>
      </c>
      <c r="E416" s="66">
        <v>19.230929317442918</v>
      </c>
      <c r="F416" s="67">
        <v>3.0000000000000001E-3</v>
      </c>
      <c r="G416" s="67">
        <v>2E-3</v>
      </c>
      <c r="H416" s="63"/>
    </row>
    <row r="417" spans="1:8" x14ac:dyDescent="0.25">
      <c r="A417" s="63"/>
      <c r="B417" s="63">
        <v>5</v>
      </c>
      <c r="C417" s="63" t="s">
        <v>772</v>
      </c>
      <c r="D417" s="63" t="s">
        <v>21</v>
      </c>
      <c r="E417" s="66">
        <v>22.196879359200619</v>
      </c>
      <c r="F417" s="67">
        <v>3.0000000000000001E-3</v>
      </c>
      <c r="G417" s="67">
        <v>2E-3</v>
      </c>
      <c r="H417" s="63"/>
    </row>
    <row r="418" spans="1:8" x14ac:dyDescent="0.25">
      <c r="A418" s="63"/>
      <c r="B418" s="63">
        <v>6</v>
      </c>
      <c r="C418" s="63" t="s">
        <v>772</v>
      </c>
      <c r="D418" s="63" t="s">
        <v>21</v>
      </c>
      <c r="E418" s="66">
        <v>24.968298865117955</v>
      </c>
      <c r="F418" s="67">
        <v>3.0000000000000001E-3</v>
      </c>
      <c r="G418" s="67">
        <v>2E-3</v>
      </c>
      <c r="H418" s="63"/>
    </row>
    <row r="419" spans="1:8" x14ac:dyDescent="0.25">
      <c r="A419" s="63"/>
      <c r="B419" s="63">
        <v>7</v>
      </c>
      <c r="C419" s="63" t="s">
        <v>772</v>
      </c>
      <c r="D419" s="63" t="s">
        <v>21</v>
      </c>
      <c r="E419" s="66">
        <v>27.804843811294869</v>
      </c>
      <c r="F419" s="67">
        <v>3.0000000000000001E-3</v>
      </c>
      <c r="G419" s="67">
        <v>2E-3</v>
      </c>
      <c r="H419" s="63"/>
    </row>
    <row r="420" spans="1:8" x14ac:dyDescent="0.25">
      <c r="A420" s="63"/>
      <c r="B420" s="63">
        <v>8</v>
      </c>
      <c r="C420" s="63" t="s">
        <v>772</v>
      </c>
      <c r="D420" s="63" t="s">
        <v>21</v>
      </c>
      <c r="E420" s="66">
        <v>30.713026741757393</v>
      </c>
      <c r="F420" s="67">
        <v>3.0000000000000001E-3</v>
      </c>
      <c r="G420" s="67">
        <v>2E-3</v>
      </c>
      <c r="H420" s="63"/>
    </row>
    <row r="421" spans="1:8" x14ac:dyDescent="0.25">
      <c r="A421" s="63"/>
      <c r="B421" s="63">
        <v>9</v>
      </c>
      <c r="C421" s="63" t="s">
        <v>772</v>
      </c>
      <c r="D421" s="63" t="s">
        <v>21</v>
      </c>
      <c r="E421" s="66">
        <v>33.700011454933993</v>
      </c>
      <c r="F421" s="67">
        <v>3.0000000000000001E-3</v>
      </c>
      <c r="G421" s="67">
        <v>2E-3</v>
      </c>
      <c r="H421" s="63"/>
    </row>
    <row r="422" spans="1:8" x14ac:dyDescent="0.25">
      <c r="A422" s="63"/>
      <c r="B422" s="63">
        <v>10</v>
      </c>
      <c r="C422" s="63" t="s">
        <v>772</v>
      </c>
      <c r="D422" s="63" t="s">
        <v>21</v>
      </c>
      <c r="E422" s="66">
        <v>36.324170245699733</v>
      </c>
      <c r="F422" s="67">
        <v>3.0000000000000001E-3</v>
      </c>
      <c r="G422" s="67">
        <v>2E-3</v>
      </c>
      <c r="H422" s="63"/>
    </row>
    <row r="423" spans="1:8" x14ac:dyDescent="0.25">
      <c r="A423" s="63"/>
      <c r="B423" s="63">
        <v>11</v>
      </c>
      <c r="C423" s="63" t="s">
        <v>772</v>
      </c>
      <c r="D423" s="63" t="s">
        <v>21</v>
      </c>
      <c r="E423" s="66"/>
      <c r="F423" s="67">
        <v>3.0000000000000001E-3</v>
      </c>
      <c r="G423" s="67">
        <v>2E-3</v>
      </c>
      <c r="H423" s="63"/>
    </row>
    <row r="424" spans="1:8" x14ac:dyDescent="0.25">
      <c r="A424" s="63"/>
      <c r="B424" s="63">
        <v>12</v>
      </c>
      <c r="C424" s="63" t="s">
        <v>772</v>
      </c>
      <c r="D424" s="63" t="s">
        <v>21</v>
      </c>
      <c r="E424" s="66"/>
      <c r="F424" s="67">
        <v>3.0000000000000001E-3</v>
      </c>
      <c r="G424" s="67">
        <v>2E-3</v>
      </c>
      <c r="H424" s="63"/>
    </row>
    <row r="425" spans="1:8" x14ac:dyDescent="0.25">
      <c r="A425" s="63"/>
      <c r="B425" s="63">
        <v>13</v>
      </c>
      <c r="C425" s="63" t="s">
        <v>772</v>
      </c>
      <c r="D425" s="63" t="s">
        <v>21</v>
      </c>
      <c r="E425" s="66"/>
      <c r="F425" s="67">
        <v>3.0000000000000001E-3</v>
      </c>
      <c r="G425" s="67">
        <v>2E-3</v>
      </c>
      <c r="H425" s="63"/>
    </row>
    <row r="426" spans="1:8" x14ac:dyDescent="0.25">
      <c r="A426" s="63"/>
      <c r="B426" s="63">
        <v>14</v>
      </c>
      <c r="C426" s="63" t="s">
        <v>772</v>
      </c>
      <c r="D426" s="63" t="s">
        <v>21</v>
      </c>
      <c r="E426" s="66"/>
      <c r="F426" s="67">
        <v>3.0000000000000001E-3</v>
      </c>
      <c r="G426" s="67">
        <v>2E-3</v>
      </c>
      <c r="H426" s="63"/>
    </row>
    <row r="427" spans="1:8" x14ac:dyDescent="0.25">
      <c r="A427" s="63"/>
      <c r="B427" s="63">
        <v>15</v>
      </c>
      <c r="C427" s="63" t="s">
        <v>772</v>
      </c>
      <c r="D427" s="63" t="s">
        <v>21</v>
      </c>
      <c r="E427" s="66"/>
      <c r="F427" s="67">
        <v>3.0000000000000001E-3</v>
      </c>
      <c r="G427" s="67">
        <v>2E-3</v>
      </c>
      <c r="H427" s="63"/>
    </row>
    <row r="428" spans="1:8" x14ac:dyDescent="0.25">
      <c r="A428" s="63"/>
      <c r="B428" s="63">
        <v>16</v>
      </c>
      <c r="C428" s="63" t="s">
        <v>772</v>
      </c>
      <c r="D428" s="63" t="s">
        <v>21</v>
      </c>
      <c r="E428" s="66"/>
      <c r="F428" s="67">
        <v>3.0000000000000001E-3</v>
      </c>
      <c r="G428" s="67">
        <v>2E-3</v>
      </c>
      <c r="H428" s="63"/>
    </row>
    <row r="429" spans="1:8" x14ac:dyDescent="0.25">
      <c r="A429" s="63"/>
      <c r="B429" s="63">
        <v>17</v>
      </c>
      <c r="C429" s="63" t="s">
        <v>772</v>
      </c>
      <c r="D429" s="63" t="s">
        <v>21</v>
      </c>
      <c r="E429" s="66"/>
      <c r="F429" s="67">
        <v>3.0000000000000001E-3</v>
      </c>
      <c r="G429" s="67">
        <v>2E-3</v>
      </c>
      <c r="H429" s="63"/>
    </row>
    <row r="430" spans="1:8" x14ac:dyDescent="0.25">
      <c r="A430" s="63"/>
      <c r="B430" s="63">
        <v>18</v>
      </c>
      <c r="C430" s="63" t="s">
        <v>772</v>
      </c>
      <c r="D430" s="63" t="s">
        <v>21</v>
      </c>
      <c r="E430" s="66"/>
      <c r="F430" s="67">
        <v>3.0000000000000001E-3</v>
      </c>
      <c r="G430" s="67">
        <v>2E-3</v>
      </c>
      <c r="H430" s="63"/>
    </row>
    <row r="431" spans="1:8" x14ac:dyDescent="0.25">
      <c r="A431" s="63"/>
      <c r="B431" s="63">
        <v>19</v>
      </c>
      <c r="C431" s="63" t="s">
        <v>772</v>
      </c>
      <c r="D431" s="63" t="s">
        <v>21</v>
      </c>
      <c r="E431" s="66"/>
      <c r="F431" s="67">
        <v>3.0000000000000001E-3</v>
      </c>
      <c r="G431" s="67">
        <v>2E-3</v>
      </c>
      <c r="H431" s="63"/>
    </row>
    <row r="432" spans="1:8" x14ac:dyDescent="0.25">
      <c r="A432" s="63"/>
      <c r="B432" s="63">
        <v>20</v>
      </c>
      <c r="C432" s="63" t="s">
        <v>772</v>
      </c>
      <c r="D432" s="63" t="s">
        <v>21</v>
      </c>
      <c r="E432" s="66"/>
      <c r="F432" s="67">
        <v>3.0000000000000001E-3</v>
      </c>
      <c r="G432" s="67">
        <v>2E-3</v>
      </c>
      <c r="H432" s="63"/>
    </row>
    <row r="433" spans="1:8" x14ac:dyDescent="0.25">
      <c r="A433" s="63"/>
      <c r="B433" s="63">
        <v>21</v>
      </c>
      <c r="C433" s="63" t="s">
        <v>772</v>
      </c>
      <c r="D433" s="63" t="s">
        <v>21</v>
      </c>
      <c r="E433" s="66"/>
      <c r="F433" s="67">
        <v>3.0000000000000001E-3</v>
      </c>
      <c r="G433" s="67">
        <v>2E-3</v>
      </c>
      <c r="H433" s="63"/>
    </row>
    <row r="434" spans="1:8" x14ac:dyDescent="0.25">
      <c r="A434" s="63"/>
      <c r="B434" s="63">
        <v>22</v>
      </c>
      <c r="C434" s="63" t="s">
        <v>772</v>
      </c>
      <c r="D434" s="63" t="s">
        <v>21</v>
      </c>
      <c r="E434" s="66"/>
      <c r="F434" s="67">
        <v>3.0000000000000001E-3</v>
      </c>
      <c r="G434" s="67">
        <v>2E-3</v>
      </c>
      <c r="H434" s="63"/>
    </row>
    <row r="435" spans="1:8" x14ac:dyDescent="0.25">
      <c r="A435" s="63"/>
      <c r="B435" s="63">
        <v>23</v>
      </c>
      <c r="C435" s="63" t="s">
        <v>772</v>
      </c>
      <c r="D435" s="63" t="s">
        <v>21</v>
      </c>
      <c r="E435" s="66"/>
      <c r="F435" s="67">
        <v>3.0000000000000001E-3</v>
      </c>
      <c r="G435" s="67">
        <v>2E-3</v>
      </c>
      <c r="H435" s="63"/>
    </row>
    <row r="436" spans="1:8" x14ac:dyDescent="0.25">
      <c r="A436" s="63"/>
      <c r="B436" s="63">
        <v>24</v>
      </c>
      <c r="C436" s="63" t="s">
        <v>772</v>
      </c>
      <c r="D436" s="63" t="s">
        <v>21</v>
      </c>
      <c r="E436" s="66"/>
      <c r="F436" s="67">
        <v>3.0000000000000001E-3</v>
      </c>
      <c r="G436" s="67">
        <v>2E-3</v>
      </c>
      <c r="H436" s="63"/>
    </row>
    <row r="437" spans="1:8" x14ac:dyDescent="0.25">
      <c r="A437" s="63"/>
      <c r="B437" s="63">
        <v>25</v>
      </c>
      <c r="C437" s="63" t="s">
        <v>772</v>
      </c>
      <c r="D437" s="63" t="s">
        <v>21</v>
      </c>
      <c r="E437" s="66"/>
      <c r="F437" s="67">
        <v>3.0000000000000001E-3</v>
      </c>
      <c r="G437" s="67">
        <v>2E-3</v>
      </c>
      <c r="H437" s="63"/>
    </row>
    <row r="438" spans="1:8" x14ac:dyDescent="0.25">
      <c r="A438" s="63"/>
      <c r="B438" s="63">
        <v>26</v>
      </c>
      <c r="C438" s="63" t="s">
        <v>772</v>
      </c>
      <c r="D438" s="63" t="s">
        <v>21</v>
      </c>
      <c r="E438" s="66"/>
      <c r="F438" s="67">
        <v>3.0000000000000001E-3</v>
      </c>
      <c r="G438" s="67">
        <v>2E-3</v>
      </c>
      <c r="H438" s="63"/>
    </row>
    <row r="439" spans="1:8" x14ac:dyDescent="0.25">
      <c r="A439" s="63"/>
      <c r="B439" s="63">
        <v>27</v>
      </c>
      <c r="C439" s="63" t="s">
        <v>772</v>
      </c>
      <c r="D439" s="63" t="s">
        <v>21</v>
      </c>
      <c r="E439" s="66"/>
      <c r="F439" s="67">
        <v>3.0000000000000001E-3</v>
      </c>
      <c r="G439" s="67">
        <v>2E-3</v>
      </c>
      <c r="H439" s="63"/>
    </row>
    <row r="440" spans="1:8" x14ac:dyDescent="0.25">
      <c r="A440" s="63"/>
      <c r="B440" s="63">
        <v>28</v>
      </c>
      <c r="C440" s="63" t="s">
        <v>772</v>
      </c>
      <c r="D440" s="63" t="s">
        <v>21</v>
      </c>
      <c r="E440" s="66"/>
      <c r="F440" s="67">
        <v>3.0000000000000001E-3</v>
      </c>
      <c r="G440" s="67">
        <v>2E-3</v>
      </c>
      <c r="H440" s="63"/>
    </row>
    <row r="441" spans="1:8" x14ac:dyDescent="0.25">
      <c r="A441" s="63"/>
      <c r="B441" s="63">
        <v>29</v>
      </c>
      <c r="C441" s="63" t="s">
        <v>772</v>
      </c>
      <c r="D441" s="63" t="s">
        <v>21</v>
      </c>
      <c r="E441" s="66"/>
      <c r="F441" s="67">
        <v>3.0000000000000001E-3</v>
      </c>
      <c r="G441" s="67">
        <v>2E-3</v>
      </c>
      <c r="H441" s="63"/>
    </row>
    <row r="442" spans="1:8" x14ac:dyDescent="0.25">
      <c r="A442" s="63"/>
      <c r="B442" s="63">
        <v>30</v>
      </c>
      <c r="C442" s="63" t="s">
        <v>772</v>
      </c>
      <c r="D442" s="63" t="s">
        <v>21</v>
      </c>
      <c r="E442" s="66"/>
      <c r="F442" s="67">
        <v>3.0000000000000001E-3</v>
      </c>
      <c r="G442" s="67">
        <v>2E-3</v>
      </c>
      <c r="H442" s="63"/>
    </row>
    <row r="443" spans="1:8" x14ac:dyDescent="0.25">
      <c r="A443" s="63"/>
      <c r="B443" s="63">
        <v>0</v>
      </c>
      <c r="C443" s="63" t="s">
        <v>772</v>
      </c>
      <c r="D443" s="63" t="s">
        <v>21</v>
      </c>
      <c r="E443" s="66">
        <v>3.0428788910505911</v>
      </c>
      <c r="F443" s="67">
        <v>3.0000000000000001E-3</v>
      </c>
      <c r="G443" s="67">
        <v>2E-3</v>
      </c>
      <c r="H443" s="63"/>
    </row>
    <row r="444" spans="1:8" x14ac:dyDescent="0.25">
      <c r="A444" s="63"/>
      <c r="B444" s="63">
        <v>0.25</v>
      </c>
      <c r="C444" s="63" t="s">
        <v>772</v>
      </c>
      <c r="D444" s="63" t="s">
        <v>62</v>
      </c>
      <c r="E444" s="66">
        <v>14.639784453895587</v>
      </c>
      <c r="F444" s="67">
        <v>3.0000000000000001E-3</v>
      </c>
      <c r="G444" s="67">
        <v>2E-3</v>
      </c>
      <c r="H444" s="63"/>
    </row>
    <row r="445" spans="1:8" x14ac:dyDescent="0.25">
      <c r="A445" s="63"/>
      <c r="B445" s="63">
        <v>0.5</v>
      </c>
      <c r="C445" s="63" t="s">
        <v>772</v>
      </c>
      <c r="D445" s="63" t="s">
        <v>62</v>
      </c>
      <c r="E445" s="66">
        <v>14.814105144362575</v>
      </c>
      <c r="F445" s="67">
        <v>3.0000000000000001E-3</v>
      </c>
      <c r="G445" s="67">
        <v>2E-3</v>
      </c>
      <c r="H445" s="63"/>
    </row>
    <row r="446" spans="1:8" x14ac:dyDescent="0.25">
      <c r="A446" s="63"/>
      <c r="B446" s="63">
        <v>0.75</v>
      </c>
      <c r="C446" s="63" t="s">
        <v>772</v>
      </c>
      <c r="D446" s="63" t="s">
        <v>62</v>
      </c>
      <c r="E446" s="66">
        <v>15.591401233828892</v>
      </c>
      <c r="F446" s="67">
        <v>3.0000000000000001E-3</v>
      </c>
      <c r="G446" s="67">
        <v>2E-3</v>
      </c>
      <c r="H446" s="63"/>
    </row>
    <row r="447" spans="1:8" x14ac:dyDescent="0.25">
      <c r="A447" s="63"/>
      <c r="B447" s="63">
        <v>1</v>
      </c>
      <c r="C447" s="63" t="s">
        <v>772</v>
      </c>
      <c r="D447" s="63" t="s">
        <v>62</v>
      </c>
      <c r="E447" s="66">
        <v>16.593603635775594</v>
      </c>
      <c r="F447" s="67">
        <v>3.0000000000000001E-3</v>
      </c>
      <c r="G447" s="67">
        <v>2E-3</v>
      </c>
      <c r="H447" s="63"/>
    </row>
    <row r="448" spans="1:8" x14ac:dyDescent="0.25">
      <c r="A448" s="63"/>
      <c r="B448" s="63">
        <v>2</v>
      </c>
      <c r="C448" s="63" t="s">
        <v>772</v>
      </c>
      <c r="D448" s="63" t="s">
        <v>62</v>
      </c>
      <c r="E448" s="66">
        <v>18.121298359807103</v>
      </c>
      <c r="F448" s="67">
        <v>3.0000000000000001E-3</v>
      </c>
      <c r="G448" s="67">
        <v>2E-3</v>
      </c>
      <c r="H448" s="63"/>
    </row>
    <row r="449" spans="1:8" x14ac:dyDescent="0.25">
      <c r="A449" s="63"/>
      <c r="B449" s="63">
        <v>3</v>
      </c>
      <c r="C449" s="63" t="s">
        <v>772</v>
      </c>
      <c r="D449" s="63" t="s">
        <v>62</v>
      </c>
      <c r="E449" s="66">
        <v>20.030960246178328</v>
      </c>
      <c r="F449" s="67">
        <v>3.0000000000000001E-3</v>
      </c>
      <c r="G449" s="67">
        <v>2E-3</v>
      </c>
      <c r="H449" s="63"/>
    </row>
    <row r="450" spans="1:8" x14ac:dyDescent="0.25">
      <c r="A450" s="63"/>
      <c r="B450" s="63">
        <v>4</v>
      </c>
      <c r="C450" s="63" t="s">
        <v>772</v>
      </c>
      <c r="D450" s="63" t="s">
        <v>62</v>
      </c>
      <c r="E450" s="66">
        <v>22.08850036318066</v>
      </c>
      <c r="F450" s="67">
        <v>3.0000000000000001E-3</v>
      </c>
      <c r="G450" s="67">
        <v>2E-3</v>
      </c>
      <c r="H450" s="63"/>
    </row>
    <row r="451" spans="1:8" x14ac:dyDescent="0.25">
      <c r="A451" s="63"/>
      <c r="B451" s="63">
        <v>5</v>
      </c>
      <c r="C451" s="63" t="s">
        <v>772</v>
      </c>
      <c r="D451" s="63" t="s">
        <v>62</v>
      </c>
      <c r="E451" s="66">
        <v>24.340260034306734</v>
      </c>
      <c r="F451" s="67">
        <v>3.0000000000000001E-3</v>
      </c>
      <c r="G451" s="67">
        <v>2E-3</v>
      </c>
      <c r="H451" s="63"/>
    </row>
    <row r="452" spans="1:8" x14ac:dyDescent="0.25">
      <c r="A452" s="63"/>
      <c r="B452" s="63">
        <v>6</v>
      </c>
      <c r="C452" s="63" t="s">
        <v>772</v>
      </c>
      <c r="D452" s="63" t="s">
        <v>62</v>
      </c>
      <c r="E452" s="66">
        <v>26.951684254029054</v>
      </c>
      <c r="F452" s="67">
        <v>3.0000000000000001E-3</v>
      </c>
      <c r="G452" s="67">
        <v>2E-3</v>
      </c>
      <c r="H452" s="63"/>
    </row>
    <row r="453" spans="1:8" x14ac:dyDescent="0.25">
      <c r="A453" s="63"/>
      <c r="B453" s="63">
        <v>7</v>
      </c>
      <c r="C453" s="63" t="s">
        <v>772</v>
      </c>
      <c r="D453" s="63" t="s">
        <v>62</v>
      </c>
      <c r="E453" s="66">
        <v>30.069469859200559</v>
      </c>
      <c r="F453" s="67">
        <v>3.0000000000000001E-3</v>
      </c>
      <c r="G453" s="67">
        <v>2E-3</v>
      </c>
      <c r="H453" s="63"/>
    </row>
    <row r="454" spans="1:8" x14ac:dyDescent="0.25">
      <c r="A454" s="63"/>
      <c r="B454" s="63">
        <v>8</v>
      </c>
      <c r="C454" s="63" t="s">
        <v>772</v>
      </c>
      <c r="D454" s="63" t="s">
        <v>62</v>
      </c>
      <c r="E454" s="66">
        <v>34.10140905017392</v>
      </c>
      <c r="F454" s="67">
        <v>3.0000000000000001E-3</v>
      </c>
      <c r="G454" s="67">
        <v>2E-3</v>
      </c>
      <c r="H454" s="63"/>
    </row>
    <row r="455" spans="1:8" x14ac:dyDescent="0.25">
      <c r="A455" s="63"/>
      <c r="B455" s="63">
        <v>9</v>
      </c>
      <c r="C455" s="63" t="s">
        <v>772</v>
      </c>
      <c r="D455" s="63" t="s">
        <v>62</v>
      </c>
      <c r="E455" s="66">
        <v>36.942116726295687</v>
      </c>
      <c r="F455" s="67">
        <v>3.0000000000000001E-3</v>
      </c>
      <c r="G455" s="67">
        <v>2E-3</v>
      </c>
      <c r="H455" s="63"/>
    </row>
    <row r="456" spans="1:8" x14ac:dyDescent="0.25">
      <c r="A456" s="63"/>
      <c r="B456" s="63">
        <v>10</v>
      </c>
      <c r="C456" s="63" t="s">
        <v>772</v>
      </c>
      <c r="D456" s="63" t="s">
        <v>62</v>
      </c>
      <c r="E456" s="66">
        <v>39.704394181119142</v>
      </c>
      <c r="F456" s="67">
        <v>3.0000000000000001E-3</v>
      </c>
      <c r="G456" s="67">
        <v>2E-3</v>
      </c>
      <c r="H456" s="63"/>
    </row>
    <row r="457" spans="1:8" x14ac:dyDescent="0.25">
      <c r="A457" s="63"/>
      <c r="B457" s="63">
        <v>11</v>
      </c>
      <c r="C457" s="63" t="s">
        <v>772</v>
      </c>
      <c r="D457" s="63" t="s">
        <v>62</v>
      </c>
      <c r="E457" s="66"/>
      <c r="F457" s="67">
        <v>3.0000000000000001E-3</v>
      </c>
      <c r="G457" s="67">
        <v>2E-3</v>
      </c>
      <c r="H457" s="63"/>
    </row>
    <row r="458" spans="1:8" x14ac:dyDescent="0.25">
      <c r="A458" s="63"/>
      <c r="B458" s="63">
        <v>12</v>
      </c>
      <c r="C458" s="63" t="s">
        <v>772</v>
      </c>
      <c r="D458" s="63" t="s">
        <v>62</v>
      </c>
      <c r="E458" s="66"/>
      <c r="F458" s="67">
        <v>3.0000000000000001E-3</v>
      </c>
      <c r="G458" s="67">
        <v>2E-3</v>
      </c>
      <c r="H458" s="63"/>
    </row>
    <row r="459" spans="1:8" x14ac:dyDescent="0.25">
      <c r="A459" s="63"/>
      <c r="B459" s="63">
        <v>13</v>
      </c>
      <c r="C459" s="63" t="s">
        <v>772</v>
      </c>
      <c r="D459" s="63" t="s">
        <v>62</v>
      </c>
      <c r="E459" s="66"/>
      <c r="F459" s="67">
        <v>3.0000000000000001E-3</v>
      </c>
      <c r="G459" s="67">
        <v>2E-3</v>
      </c>
      <c r="H459" s="63"/>
    </row>
    <row r="460" spans="1:8" x14ac:dyDescent="0.25">
      <c r="A460" s="63"/>
      <c r="B460" s="63">
        <v>14</v>
      </c>
      <c r="C460" s="63" t="s">
        <v>772</v>
      </c>
      <c r="D460" s="63" t="s">
        <v>62</v>
      </c>
      <c r="E460" s="66"/>
      <c r="F460" s="67">
        <v>3.0000000000000001E-3</v>
      </c>
      <c r="G460" s="67">
        <v>2E-3</v>
      </c>
      <c r="H460" s="63"/>
    </row>
    <row r="461" spans="1:8" x14ac:dyDescent="0.25">
      <c r="A461" s="63"/>
      <c r="B461" s="63">
        <v>15</v>
      </c>
      <c r="C461" s="63" t="s">
        <v>772</v>
      </c>
      <c r="D461" s="63" t="s">
        <v>62</v>
      </c>
      <c r="E461" s="66"/>
      <c r="F461" s="67">
        <v>3.0000000000000001E-3</v>
      </c>
      <c r="G461" s="67">
        <v>2E-3</v>
      </c>
      <c r="H461" s="63"/>
    </row>
    <row r="462" spans="1:8" x14ac:dyDescent="0.25">
      <c r="A462" s="63"/>
      <c r="B462" s="63">
        <v>16</v>
      </c>
      <c r="C462" s="63" t="s">
        <v>772</v>
      </c>
      <c r="D462" s="63" t="s">
        <v>62</v>
      </c>
      <c r="E462" s="66"/>
      <c r="F462" s="67">
        <v>3.0000000000000001E-3</v>
      </c>
      <c r="G462" s="67">
        <v>2E-3</v>
      </c>
      <c r="H462" s="63"/>
    </row>
    <row r="463" spans="1:8" x14ac:dyDescent="0.25">
      <c r="A463" s="63"/>
      <c r="B463" s="63">
        <v>17</v>
      </c>
      <c r="C463" s="63" t="s">
        <v>772</v>
      </c>
      <c r="D463" s="63" t="s">
        <v>62</v>
      </c>
      <c r="E463" s="66"/>
      <c r="F463" s="67">
        <v>3.0000000000000001E-3</v>
      </c>
      <c r="G463" s="67">
        <v>2E-3</v>
      </c>
      <c r="H463" s="63"/>
    </row>
    <row r="464" spans="1:8" x14ac:dyDescent="0.25">
      <c r="A464" s="63"/>
      <c r="B464" s="63">
        <v>18</v>
      </c>
      <c r="C464" s="63" t="s">
        <v>772</v>
      </c>
      <c r="D464" s="63" t="s">
        <v>62</v>
      </c>
      <c r="E464" s="66"/>
      <c r="F464" s="67">
        <v>3.0000000000000001E-3</v>
      </c>
      <c r="G464" s="67">
        <v>2E-3</v>
      </c>
      <c r="H464" s="63"/>
    </row>
    <row r="465" spans="1:8" x14ac:dyDescent="0.25">
      <c r="A465" s="63"/>
      <c r="B465" s="63">
        <v>19</v>
      </c>
      <c r="C465" s="63" t="s">
        <v>772</v>
      </c>
      <c r="D465" s="63" t="s">
        <v>62</v>
      </c>
      <c r="E465" s="66"/>
      <c r="F465" s="67">
        <v>3.0000000000000001E-3</v>
      </c>
      <c r="G465" s="67">
        <v>2E-3</v>
      </c>
      <c r="H465" s="63"/>
    </row>
    <row r="466" spans="1:8" x14ac:dyDescent="0.25">
      <c r="A466" s="63"/>
      <c r="B466" s="63">
        <v>20</v>
      </c>
      <c r="C466" s="63" t="s">
        <v>772</v>
      </c>
      <c r="D466" s="63" t="s">
        <v>62</v>
      </c>
      <c r="E466" s="66"/>
      <c r="F466" s="67">
        <v>3.0000000000000001E-3</v>
      </c>
      <c r="G466" s="67">
        <v>2E-3</v>
      </c>
      <c r="H466" s="63"/>
    </row>
    <row r="467" spans="1:8" x14ac:dyDescent="0.25">
      <c r="A467" s="63"/>
      <c r="B467" s="63">
        <v>21</v>
      </c>
      <c r="C467" s="63" t="s">
        <v>772</v>
      </c>
      <c r="D467" s="63" t="s">
        <v>62</v>
      </c>
      <c r="E467" s="66"/>
      <c r="F467" s="67">
        <v>3.0000000000000001E-3</v>
      </c>
      <c r="G467" s="67">
        <v>2E-3</v>
      </c>
      <c r="H467" s="63"/>
    </row>
    <row r="468" spans="1:8" x14ac:dyDescent="0.25">
      <c r="A468" s="63"/>
      <c r="B468" s="63">
        <v>22</v>
      </c>
      <c r="C468" s="63" t="s">
        <v>772</v>
      </c>
      <c r="D468" s="63" t="s">
        <v>62</v>
      </c>
      <c r="E468" s="66"/>
      <c r="F468" s="67">
        <v>3.0000000000000001E-3</v>
      </c>
      <c r="G468" s="67">
        <v>2E-3</v>
      </c>
      <c r="H468" s="63"/>
    </row>
    <row r="469" spans="1:8" x14ac:dyDescent="0.25">
      <c r="A469" s="63"/>
      <c r="B469" s="63">
        <v>23</v>
      </c>
      <c r="C469" s="63" t="s">
        <v>772</v>
      </c>
      <c r="D469" s="63" t="s">
        <v>62</v>
      </c>
      <c r="E469" s="66"/>
      <c r="F469" s="67">
        <v>3.0000000000000001E-3</v>
      </c>
      <c r="G469" s="67">
        <v>2E-3</v>
      </c>
      <c r="H469" s="63"/>
    </row>
    <row r="470" spans="1:8" x14ac:dyDescent="0.25">
      <c r="A470" s="63"/>
      <c r="B470" s="63">
        <v>24</v>
      </c>
      <c r="C470" s="63" t="s">
        <v>772</v>
      </c>
      <c r="D470" s="63" t="s">
        <v>62</v>
      </c>
      <c r="E470" s="66"/>
      <c r="F470" s="67">
        <v>3.0000000000000001E-3</v>
      </c>
      <c r="G470" s="67">
        <v>2E-3</v>
      </c>
      <c r="H470" s="63"/>
    </row>
    <row r="471" spans="1:8" x14ac:dyDescent="0.25">
      <c r="A471" s="63"/>
      <c r="B471" s="63">
        <v>25</v>
      </c>
      <c r="C471" s="63" t="s">
        <v>772</v>
      </c>
      <c r="D471" s="63" t="s">
        <v>62</v>
      </c>
      <c r="E471" s="66"/>
      <c r="F471" s="67">
        <v>3.0000000000000001E-3</v>
      </c>
      <c r="G471" s="67">
        <v>2E-3</v>
      </c>
      <c r="H471" s="63"/>
    </row>
    <row r="472" spans="1:8" x14ac:dyDescent="0.25">
      <c r="A472" s="63"/>
      <c r="B472" s="63">
        <v>26</v>
      </c>
      <c r="C472" s="63" t="s">
        <v>772</v>
      </c>
      <c r="D472" s="63" t="s">
        <v>62</v>
      </c>
      <c r="E472" s="66"/>
      <c r="F472" s="67">
        <v>3.0000000000000001E-3</v>
      </c>
      <c r="G472" s="67">
        <v>2E-3</v>
      </c>
      <c r="H472" s="63"/>
    </row>
    <row r="473" spans="1:8" x14ac:dyDescent="0.25">
      <c r="A473" s="63"/>
      <c r="B473" s="63">
        <v>27</v>
      </c>
      <c r="C473" s="63" t="s">
        <v>772</v>
      </c>
      <c r="D473" s="63" t="s">
        <v>62</v>
      </c>
      <c r="E473" s="66"/>
      <c r="F473" s="67">
        <v>3.0000000000000001E-3</v>
      </c>
      <c r="G473" s="67">
        <v>2E-3</v>
      </c>
      <c r="H473" s="63"/>
    </row>
    <row r="474" spans="1:8" x14ac:dyDescent="0.25">
      <c r="A474" s="63"/>
      <c r="B474" s="63">
        <v>28</v>
      </c>
      <c r="C474" s="63" t="s">
        <v>772</v>
      </c>
      <c r="D474" s="63" t="s">
        <v>62</v>
      </c>
      <c r="E474" s="66"/>
      <c r="F474" s="67">
        <v>3.0000000000000001E-3</v>
      </c>
      <c r="G474" s="67">
        <v>2E-3</v>
      </c>
      <c r="H474" s="63"/>
    </row>
    <row r="475" spans="1:8" x14ac:dyDescent="0.25">
      <c r="A475" s="63"/>
      <c r="B475" s="63">
        <v>29</v>
      </c>
      <c r="C475" s="63" t="s">
        <v>772</v>
      </c>
      <c r="D475" s="63" t="s">
        <v>62</v>
      </c>
      <c r="E475" s="66"/>
      <c r="F475" s="67">
        <v>3.0000000000000001E-3</v>
      </c>
      <c r="G475" s="67">
        <v>2E-3</v>
      </c>
      <c r="H475" s="63"/>
    </row>
    <row r="476" spans="1:8" x14ac:dyDescent="0.25">
      <c r="A476" s="63"/>
      <c r="B476" s="63">
        <v>30</v>
      </c>
      <c r="C476" s="63" t="s">
        <v>772</v>
      </c>
      <c r="D476" s="63" t="s">
        <v>62</v>
      </c>
      <c r="E476" s="66"/>
      <c r="F476" s="67">
        <v>3.0000000000000001E-3</v>
      </c>
      <c r="G476" s="67">
        <v>2E-3</v>
      </c>
      <c r="H476" s="63"/>
    </row>
    <row r="477" spans="1:8" x14ac:dyDescent="0.25">
      <c r="A477" s="63"/>
      <c r="B477" s="63">
        <v>0</v>
      </c>
      <c r="C477" s="63" t="s">
        <v>772</v>
      </c>
      <c r="D477" s="63" t="s">
        <v>62</v>
      </c>
      <c r="E477" s="66">
        <v>3.0428788910505911</v>
      </c>
      <c r="F477" s="67">
        <v>3.0000000000000001E-3</v>
      </c>
      <c r="G477" s="67">
        <v>2E-3</v>
      </c>
      <c r="H477" s="63"/>
    </row>
    <row r="478" spans="1:8" x14ac:dyDescent="0.25">
      <c r="A478" s="63"/>
      <c r="B478" s="63">
        <v>0.25</v>
      </c>
      <c r="C478" s="63" t="s">
        <v>772</v>
      </c>
      <c r="D478" s="63" t="s">
        <v>64</v>
      </c>
      <c r="E478" s="66">
        <v>18.831619796940856</v>
      </c>
      <c r="F478" s="67">
        <v>3.0000000000000001E-3</v>
      </c>
      <c r="G478" s="67">
        <v>2E-3</v>
      </c>
      <c r="H478" s="63"/>
    </row>
    <row r="479" spans="1:8" x14ac:dyDescent="0.25">
      <c r="A479" s="63"/>
      <c r="B479" s="63">
        <v>0.5</v>
      </c>
      <c r="C479" s="63" t="s">
        <v>772</v>
      </c>
      <c r="D479" s="63" t="s">
        <v>64</v>
      </c>
      <c r="E479" s="66">
        <v>19.270228228143885</v>
      </c>
      <c r="F479" s="67">
        <v>3.0000000000000001E-3</v>
      </c>
      <c r="G479" s="67">
        <v>2E-3</v>
      </c>
      <c r="H479" s="63"/>
    </row>
    <row r="480" spans="1:8" x14ac:dyDescent="0.25">
      <c r="A480" s="63"/>
      <c r="B480" s="63">
        <v>0.75</v>
      </c>
      <c r="C480" s="63" t="s">
        <v>772</v>
      </c>
      <c r="D480" s="63" t="s">
        <v>64</v>
      </c>
      <c r="E480" s="66">
        <v>19.533186067089943</v>
      </c>
      <c r="F480" s="67">
        <v>3.0000000000000001E-3</v>
      </c>
      <c r="G480" s="67">
        <v>2E-3</v>
      </c>
      <c r="H480" s="63"/>
    </row>
    <row r="481" spans="1:8" x14ac:dyDescent="0.25">
      <c r="A481" s="63"/>
      <c r="B481" s="63">
        <v>1</v>
      </c>
      <c r="C481" s="63" t="s">
        <v>772</v>
      </c>
      <c r="D481" s="63" t="s">
        <v>64</v>
      </c>
      <c r="E481" s="66">
        <v>20.288326244442615</v>
      </c>
      <c r="F481" s="67">
        <v>3.0000000000000001E-3</v>
      </c>
      <c r="G481" s="67">
        <v>2E-3</v>
      </c>
      <c r="H481" s="63"/>
    </row>
    <row r="482" spans="1:8" x14ac:dyDescent="0.25">
      <c r="A482" s="63"/>
      <c r="B482" s="63">
        <v>2</v>
      </c>
      <c r="C482" s="63" t="s">
        <v>772</v>
      </c>
      <c r="D482" s="63" t="s">
        <v>64</v>
      </c>
      <c r="E482" s="66">
        <v>21.727692071919854</v>
      </c>
      <c r="F482" s="67">
        <v>3.0000000000000001E-3</v>
      </c>
      <c r="G482" s="67">
        <v>2E-3</v>
      </c>
      <c r="H482" s="63"/>
    </row>
    <row r="483" spans="1:8" x14ac:dyDescent="0.25">
      <c r="A483" s="63"/>
      <c r="B483" s="63">
        <v>3</v>
      </c>
      <c r="C483" s="63" t="s">
        <v>772</v>
      </c>
      <c r="D483" s="63" t="s">
        <v>64</v>
      </c>
      <c r="E483" s="66">
        <v>23.660574028090565</v>
      </c>
      <c r="F483" s="67">
        <v>3.0000000000000001E-3</v>
      </c>
      <c r="G483" s="67">
        <v>2E-3</v>
      </c>
      <c r="H483" s="63"/>
    </row>
    <row r="484" spans="1:8" x14ac:dyDescent="0.25">
      <c r="A484" s="63"/>
      <c r="B484" s="63">
        <v>4</v>
      </c>
      <c r="C484" s="63" t="s">
        <v>772</v>
      </c>
      <c r="D484" s="63" t="s">
        <v>64</v>
      </c>
      <c r="E484" s="66">
        <v>25.663958288360334</v>
      </c>
      <c r="F484" s="67">
        <v>3.0000000000000001E-3</v>
      </c>
      <c r="G484" s="67">
        <v>2E-3</v>
      </c>
      <c r="H484" s="63"/>
    </row>
    <row r="485" spans="1:8" x14ac:dyDescent="0.25">
      <c r="A485" s="63"/>
      <c r="B485" s="63">
        <v>5</v>
      </c>
      <c r="C485" s="63" t="s">
        <v>772</v>
      </c>
      <c r="D485" s="63" t="s">
        <v>64</v>
      </c>
      <c r="E485" s="66">
        <v>27.177517246880505</v>
      </c>
      <c r="F485" s="67">
        <v>3.0000000000000001E-3</v>
      </c>
      <c r="G485" s="67">
        <v>2E-3</v>
      </c>
      <c r="H485" s="63"/>
    </row>
    <row r="486" spans="1:8" x14ac:dyDescent="0.25">
      <c r="A486" s="63"/>
      <c r="B486" s="63">
        <v>6</v>
      </c>
      <c r="C486" s="63" t="s">
        <v>772</v>
      </c>
      <c r="D486" s="63" t="s">
        <v>64</v>
      </c>
      <c r="E486" s="66">
        <v>31.506881792360829</v>
      </c>
      <c r="F486" s="67">
        <v>3.0000000000000001E-3</v>
      </c>
      <c r="G486" s="67">
        <v>2E-3</v>
      </c>
      <c r="H486" s="63"/>
    </row>
    <row r="487" spans="1:8" x14ac:dyDescent="0.25">
      <c r="A487" s="63"/>
      <c r="B487" s="63">
        <v>7</v>
      </c>
      <c r="C487" s="63" t="s">
        <v>772</v>
      </c>
      <c r="D487" s="63" t="s">
        <v>64</v>
      </c>
      <c r="E487" s="66">
        <v>34.32501712237967</v>
      </c>
      <c r="F487" s="67">
        <v>3.0000000000000001E-3</v>
      </c>
      <c r="G487" s="67">
        <v>2E-3</v>
      </c>
      <c r="H487" s="63"/>
    </row>
    <row r="488" spans="1:8" x14ac:dyDescent="0.25">
      <c r="A488" s="63"/>
      <c r="B488" s="63">
        <v>8</v>
      </c>
      <c r="C488" s="63" t="s">
        <v>772</v>
      </c>
      <c r="D488" s="63" t="s">
        <v>64</v>
      </c>
      <c r="E488" s="66">
        <v>37.236096134957549</v>
      </c>
      <c r="F488" s="67">
        <v>3.0000000000000001E-3</v>
      </c>
      <c r="G488" s="67">
        <v>2E-3</v>
      </c>
      <c r="H488" s="63"/>
    </row>
    <row r="489" spans="1:8" x14ac:dyDescent="0.25">
      <c r="A489" s="63"/>
      <c r="B489" s="63">
        <v>9</v>
      </c>
      <c r="C489" s="63" t="s">
        <v>772</v>
      </c>
      <c r="D489" s="63" t="s">
        <v>64</v>
      </c>
      <c r="E489" s="66">
        <v>40.854075194728338</v>
      </c>
      <c r="F489" s="67">
        <v>3.0000000000000001E-3</v>
      </c>
      <c r="G489" s="67">
        <v>2E-3</v>
      </c>
      <c r="H489" s="63"/>
    </row>
    <row r="490" spans="1:8" x14ac:dyDescent="0.25">
      <c r="A490" s="63"/>
      <c r="B490" s="63">
        <v>10</v>
      </c>
      <c r="C490" s="63" t="s">
        <v>772</v>
      </c>
      <c r="D490" s="63" t="s">
        <v>64</v>
      </c>
      <c r="E490" s="66">
        <v>43.816165523709728</v>
      </c>
      <c r="F490" s="67">
        <v>3.0000000000000001E-3</v>
      </c>
      <c r="G490" s="67">
        <v>2E-3</v>
      </c>
      <c r="H490" s="63"/>
    </row>
    <row r="491" spans="1:8" x14ac:dyDescent="0.25">
      <c r="A491" s="63"/>
      <c r="B491" s="63">
        <v>11</v>
      </c>
      <c r="C491" s="63" t="s">
        <v>772</v>
      </c>
      <c r="D491" s="63" t="s">
        <v>64</v>
      </c>
      <c r="E491" s="66"/>
      <c r="F491" s="67">
        <v>3.0000000000000001E-3</v>
      </c>
      <c r="G491" s="67">
        <v>2E-3</v>
      </c>
      <c r="H491" s="63"/>
    </row>
    <row r="492" spans="1:8" x14ac:dyDescent="0.25">
      <c r="A492" s="63"/>
      <c r="B492" s="63">
        <v>12</v>
      </c>
      <c r="C492" s="63" t="s">
        <v>772</v>
      </c>
      <c r="D492" s="63" t="s">
        <v>64</v>
      </c>
      <c r="E492" s="66"/>
      <c r="F492" s="67">
        <v>3.0000000000000001E-3</v>
      </c>
      <c r="G492" s="67">
        <v>2E-3</v>
      </c>
      <c r="H492" s="63"/>
    </row>
    <row r="493" spans="1:8" x14ac:dyDescent="0.25">
      <c r="A493" s="63"/>
      <c r="B493" s="63">
        <v>13</v>
      </c>
      <c r="C493" s="63" t="s">
        <v>772</v>
      </c>
      <c r="D493" s="63" t="s">
        <v>64</v>
      </c>
      <c r="E493" s="66"/>
      <c r="F493" s="67">
        <v>3.0000000000000001E-3</v>
      </c>
      <c r="G493" s="67">
        <v>2E-3</v>
      </c>
      <c r="H493" s="63"/>
    </row>
    <row r="494" spans="1:8" x14ac:dyDescent="0.25">
      <c r="A494" s="63"/>
      <c r="B494" s="63">
        <v>14</v>
      </c>
      <c r="C494" s="63" t="s">
        <v>772</v>
      </c>
      <c r="D494" s="63" t="s">
        <v>64</v>
      </c>
      <c r="E494" s="66"/>
      <c r="F494" s="67">
        <v>3.0000000000000001E-3</v>
      </c>
      <c r="G494" s="67">
        <v>2E-3</v>
      </c>
      <c r="H494" s="63"/>
    </row>
    <row r="495" spans="1:8" x14ac:dyDescent="0.25">
      <c r="A495" s="63"/>
      <c r="B495" s="63">
        <v>15</v>
      </c>
      <c r="C495" s="63" t="s">
        <v>772</v>
      </c>
      <c r="D495" s="63" t="s">
        <v>64</v>
      </c>
      <c r="E495" s="66"/>
      <c r="F495" s="67">
        <v>3.0000000000000001E-3</v>
      </c>
      <c r="G495" s="67">
        <v>2E-3</v>
      </c>
      <c r="H495" s="63"/>
    </row>
    <row r="496" spans="1:8" x14ac:dyDescent="0.25">
      <c r="A496" s="63"/>
      <c r="B496" s="63">
        <v>16</v>
      </c>
      <c r="C496" s="63" t="s">
        <v>772</v>
      </c>
      <c r="D496" s="63" t="s">
        <v>64</v>
      </c>
      <c r="E496" s="66"/>
      <c r="F496" s="67">
        <v>3.0000000000000001E-3</v>
      </c>
      <c r="G496" s="67">
        <v>2E-3</v>
      </c>
      <c r="H496" s="63"/>
    </row>
    <row r="497" spans="1:8" x14ac:dyDescent="0.25">
      <c r="A497" s="63"/>
      <c r="B497" s="63">
        <v>17</v>
      </c>
      <c r="C497" s="63" t="s">
        <v>772</v>
      </c>
      <c r="D497" s="63" t="s">
        <v>64</v>
      </c>
      <c r="E497" s="66"/>
      <c r="F497" s="67">
        <v>3.0000000000000001E-3</v>
      </c>
      <c r="G497" s="67">
        <v>2E-3</v>
      </c>
      <c r="H497" s="63"/>
    </row>
    <row r="498" spans="1:8" x14ac:dyDescent="0.25">
      <c r="A498" s="63"/>
      <c r="B498" s="63">
        <v>18</v>
      </c>
      <c r="C498" s="63" t="s">
        <v>772</v>
      </c>
      <c r="D498" s="63" t="s">
        <v>64</v>
      </c>
      <c r="E498" s="66"/>
      <c r="F498" s="67">
        <v>3.0000000000000001E-3</v>
      </c>
      <c r="G498" s="67">
        <v>2E-3</v>
      </c>
      <c r="H498" s="63"/>
    </row>
    <row r="499" spans="1:8" x14ac:dyDescent="0.25">
      <c r="A499" s="63"/>
      <c r="B499" s="63">
        <v>19</v>
      </c>
      <c r="C499" s="63" t="s">
        <v>772</v>
      </c>
      <c r="D499" s="63" t="s">
        <v>64</v>
      </c>
      <c r="E499" s="66"/>
      <c r="F499" s="67">
        <v>3.0000000000000001E-3</v>
      </c>
      <c r="G499" s="67">
        <v>2E-3</v>
      </c>
      <c r="H499" s="63"/>
    </row>
    <row r="500" spans="1:8" x14ac:dyDescent="0.25">
      <c r="A500" s="63"/>
      <c r="B500" s="63">
        <v>20</v>
      </c>
      <c r="C500" s="63" t="s">
        <v>772</v>
      </c>
      <c r="D500" s="63" t="s">
        <v>64</v>
      </c>
      <c r="E500" s="66"/>
      <c r="F500" s="67">
        <v>3.0000000000000001E-3</v>
      </c>
      <c r="G500" s="67">
        <v>2E-3</v>
      </c>
      <c r="H500" s="63"/>
    </row>
    <row r="501" spans="1:8" x14ac:dyDescent="0.25">
      <c r="A501" s="63"/>
      <c r="B501" s="63">
        <v>21</v>
      </c>
      <c r="C501" s="63" t="s">
        <v>772</v>
      </c>
      <c r="D501" s="63" t="s">
        <v>64</v>
      </c>
      <c r="E501" s="66"/>
      <c r="F501" s="67">
        <v>3.0000000000000001E-3</v>
      </c>
      <c r="G501" s="67">
        <v>2E-3</v>
      </c>
      <c r="H501" s="63"/>
    </row>
    <row r="502" spans="1:8" x14ac:dyDescent="0.25">
      <c r="A502" s="63"/>
      <c r="B502" s="63">
        <v>22</v>
      </c>
      <c r="C502" s="63" t="s">
        <v>772</v>
      </c>
      <c r="D502" s="63" t="s">
        <v>64</v>
      </c>
      <c r="E502" s="66"/>
      <c r="F502" s="67">
        <v>3.0000000000000001E-3</v>
      </c>
      <c r="G502" s="67">
        <v>2E-3</v>
      </c>
      <c r="H502" s="63"/>
    </row>
    <row r="503" spans="1:8" x14ac:dyDescent="0.25">
      <c r="A503" s="63"/>
      <c r="B503" s="63">
        <v>23</v>
      </c>
      <c r="C503" s="63" t="s">
        <v>772</v>
      </c>
      <c r="D503" s="63" t="s">
        <v>64</v>
      </c>
      <c r="E503" s="66"/>
      <c r="F503" s="67">
        <v>3.0000000000000001E-3</v>
      </c>
      <c r="G503" s="67">
        <v>2E-3</v>
      </c>
      <c r="H503" s="63"/>
    </row>
    <row r="504" spans="1:8" x14ac:dyDescent="0.25">
      <c r="A504" s="63"/>
      <c r="B504" s="63">
        <v>24</v>
      </c>
      <c r="C504" s="63" t="s">
        <v>772</v>
      </c>
      <c r="D504" s="63" t="s">
        <v>64</v>
      </c>
      <c r="E504" s="66"/>
      <c r="F504" s="67">
        <v>3.0000000000000001E-3</v>
      </c>
      <c r="G504" s="67">
        <v>2E-3</v>
      </c>
      <c r="H504" s="63"/>
    </row>
    <row r="505" spans="1:8" x14ac:dyDescent="0.25">
      <c r="A505" s="63"/>
      <c r="B505" s="63">
        <v>25</v>
      </c>
      <c r="C505" s="63" t="s">
        <v>772</v>
      </c>
      <c r="D505" s="63" t="s">
        <v>64</v>
      </c>
      <c r="E505" s="66"/>
      <c r="F505" s="67">
        <v>3.0000000000000001E-3</v>
      </c>
      <c r="G505" s="67">
        <v>2E-3</v>
      </c>
      <c r="H505" s="63"/>
    </row>
    <row r="506" spans="1:8" x14ac:dyDescent="0.25">
      <c r="A506" s="63"/>
      <c r="B506" s="63">
        <v>26</v>
      </c>
      <c r="C506" s="63" t="s">
        <v>772</v>
      </c>
      <c r="D506" s="63" t="s">
        <v>64</v>
      </c>
      <c r="E506" s="66"/>
      <c r="F506" s="67">
        <v>3.0000000000000001E-3</v>
      </c>
      <c r="G506" s="67">
        <v>2E-3</v>
      </c>
      <c r="H506" s="63"/>
    </row>
    <row r="507" spans="1:8" x14ac:dyDescent="0.25">
      <c r="A507" s="63"/>
      <c r="B507" s="63">
        <v>27</v>
      </c>
      <c r="C507" s="63" t="s">
        <v>772</v>
      </c>
      <c r="D507" s="63" t="s">
        <v>64</v>
      </c>
      <c r="E507" s="66"/>
      <c r="F507" s="67">
        <v>3.0000000000000001E-3</v>
      </c>
      <c r="G507" s="67">
        <v>2E-3</v>
      </c>
      <c r="H507" s="63"/>
    </row>
    <row r="508" spans="1:8" x14ac:dyDescent="0.25">
      <c r="A508" s="63"/>
      <c r="B508" s="63">
        <v>28</v>
      </c>
      <c r="C508" s="63" t="s">
        <v>772</v>
      </c>
      <c r="D508" s="63" t="s">
        <v>64</v>
      </c>
      <c r="E508" s="66"/>
      <c r="F508" s="67">
        <v>3.0000000000000001E-3</v>
      </c>
      <c r="G508" s="67">
        <v>2E-3</v>
      </c>
      <c r="H508" s="63"/>
    </row>
    <row r="509" spans="1:8" x14ac:dyDescent="0.25">
      <c r="A509" s="63"/>
      <c r="B509" s="63">
        <v>29</v>
      </c>
      <c r="C509" s="63" t="s">
        <v>772</v>
      </c>
      <c r="D509" s="63" t="s">
        <v>64</v>
      </c>
      <c r="E509" s="66"/>
      <c r="F509" s="67">
        <v>3.0000000000000001E-3</v>
      </c>
      <c r="G509" s="67">
        <v>2E-3</v>
      </c>
      <c r="H509" s="63"/>
    </row>
    <row r="510" spans="1:8" x14ac:dyDescent="0.25">
      <c r="A510" s="63"/>
      <c r="B510" s="63">
        <v>30</v>
      </c>
      <c r="C510" s="63" t="s">
        <v>772</v>
      </c>
      <c r="D510" s="63" t="s">
        <v>64</v>
      </c>
      <c r="E510" s="66"/>
      <c r="F510" s="67">
        <v>3.0000000000000001E-3</v>
      </c>
      <c r="G510" s="67">
        <v>2E-3</v>
      </c>
      <c r="H510" s="63"/>
    </row>
    <row r="511" spans="1:8" x14ac:dyDescent="0.25">
      <c r="A511" s="63"/>
      <c r="B511" s="63">
        <v>0</v>
      </c>
      <c r="C511" s="63" t="s">
        <v>772</v>
      </c>
      <c r="D511" s="63" t="s">
        <v>64</v>
      </c>
      <c r="E511" s="66">
        <v>3.0428788910505911</v>
      </c>
      <c r="F511" s="67">
        <v>3.0000000000000001E-3</v>
      </c>
      <c r="G511" s="67">
        <v>2E-3</v>
      </c>
      <c r="H511" s="63"/>
    </row>
    <row r="512" spans="1:8" x14ac:dyDescent="0.25">
      <c r="A512" s="63"/>
      <c r="B512" s="63">
        <v>0.25</v>
      </c>
      <c r="C512" s="63" t="s">
        <v>772</v>
      </c>
      <c r="D512" s="63" t="s">
        <v>77</v>
      </c>
      <c r="E512" s="66">
        <v>27.756383206838887</v>
      </c>
      <c r="F512" s="67">
        <v>3.0000000000000001E-3</v>
      </c>
      <c r="G512" s="67">
        <v>2E-3</v>
      </c>
      <c r="H512" s="63"/>
    </row>
    <row r="513" spans="1:8" x14ac:dyDescent="0.25">
      <c r="A513" s="63"/>
      <c r="B513" s="63">
        <v>0.5</v>
      </c>
      <c r="C513" s="63" t="s">
        <v>772</v>
      </c>
      <c r="D513" s="63" t="s">
        <v>77</v>
      </c>
      <c r="E513" s="66">
        <v>28.791044966497818</v>
      </c>
      <c r="F513" s="67">
        <v>3.0000000000000001E-3</v>
      </c>
      <c r="G513" s="67">
        <v>2E-3</v>
      </c>
      <c r="H513" s="63"/>
    </row>
    <row r="514" spans="1:8" x14ac:dyDescent="0.25">
      <c r="A514" s="63"/>
      <c r="B514" s="63">
        <v>0.75</v>
      </c>
      <c r="C514" s="63" t="s">
        <v>772</v>
      </c>
      <c r="D514" s="63" t="s">
        <v>77</v>
      </c>
      <c r="E514" s="66">
        <v>29.675939193764933</v>
      </c>
      <c r="F514" s="67">
        <v>3.0000000000000001E-3</v>
      </c>
      <c r="G514" s="67">
        <v>2E-3</v>
      </c>
      <c r="H514" s="63"/>
    </row>
    <row r="515" spans="1:8" x14ac:dyDescent="0.25">
      <c r="A515" s="63"/>
      <c r="B515" s="63">
        <v>1</v>
      </c>
      <c r="C515" s="63" t="s">
        <v>772</v>
      </c>
      <c r="D515" s="63" t="s">
        <v>77</v>
      </c>
      <c r="E515" s="66">
        <v>30.485647044017416</v>
      </c>
      <c r="F515" s="67">
        <v>3.0000000000000001E-3</v>
      </c>
      <c r="G515" s="67">
        <v>2E-3</v>
      </c>
      <c r="H515" s="63"/>
    </row>
    <row r="516" spans="1:8" x14ac:dyDescent="0.25">
      <c r="A516" s="63"/>
      <c r="B516" s="63">
        <v>2</v>
      </c>
      <c r="C516" s="63" t="s">
        <v>772</v>
      </c>
      <c r="D516" s="63" t="s">
        <v>77</v>
      </c>
      <c r="E516" s="66">
        <v>32.513325874925854</v>
      </c>
      <c r="F516" s="67">
        <v>3.0000000000000001E-3</v>
      </c>
      <c r="G516" s="67">
        <v>2E-3</v>
      </c>
      <c r="H516" s="63"/>
    </row>
    <row r="517" spans="1:8" x14ac:dyDescent="0.25">
      <c r="A517" s="63"/>
      <c r="B517" s="63">
        <v>3</v>
      </c>
      <c r="C517" s="63" t="s">
        <v>772</v>
      </c>
      <c r="D517" s="63" t="s">
        <v>77</v>
      </c>
      <c r="E517" s="66">
        <v>39.741540493526472</v>
      </c>
      <c r="F517" s="67">
        <v>3.0000000000000001E-3</v>
      </c>
      <c r="G517" s="67">
        <v>2E-3</v>
      </c>
      <c r="H517" s="63"/>
    </row>
    <row r="518" spans="1:8" x14ac:dyDescent="0.25">
      <c r="A518" s="63"/>
      <c r="B518" s="63">
        <v>4</v>
      </c>
      <c r="C518" s="63" t="s">
        <v>772</v>
      </c>
      <c r="D518" s="63" t="s">
        <v>77</v>
      </c>
      <c r="E518" s="66">
        <v>43.31272438450214</v>
      </c>
      <c r="F518" s="67">
        <v>3.0000000000000001E-3</v>
      </c>
      <c r="G518" s="67">
        <v>2E-3</v>
      </c>
      <c r="H518" s="63"/>
    </row>
    <row r="519" spans="1:8" x14ac:dyDescent="0.25">
      <c r="A519" s="63"/>
      <c r="B519" s="63">
        <v>5</v>
      </c>
      <c r="C519" s="63" t="s">
        <v>772</v>
      </c>
      <c r="D519" s="63" t="s">
        <v>77</v>
      </c>
      <c r="E519" s="66">
        <v>46.474178078156939</v>
      </c>
      <c r="F519" s="67">
        <v>3.0000000000000001E-3</v>
      </c>
      <c r="G519" s="67">
        <v>2E-3</v>
      </c>
      <c r="H519" s="63"/>
    </row>
    <row r="520" spans="1:8" x14ac:dyDescent="0.25">
      <c r="A520" s="63"/>
      <c r="B520" s="63">
        <v>6</v>
      </c>
      <c r="C520" s="63" t="s">
        <v>772</v>
      </c>
      <c r="D520" s="63" t="s">
        <v>77</v>
      </c>
      <c r="E520" s="66">
        <v>51.381550233118794</v>
      </c>
      <c r="F520" s="67">
        <v>3.0000000000000001E-3</v>
      </c>
      <c r="G520" s="67">
        <v>2E-3</v>
      </c>
      <c r="H520" s="63"/>
    </row>
    <row r="521" spans="1:8" x14ac:dyDescent="0.25">
      <c r="A521" s="63"/>
      <c r="B521" s="63">
        <v>7</v>
      </c>
      <c r="C521" s="63" t="s">
        <v>772</v>
      </c>
      <c r="D521" s="63" t="s">
        <v>77</v>
      </c>
      <c r="E521" s="66">
        <v>56.913826605319514</v>
      </c>
      <c r="F521" s="67">
        <v>3.0000000000000001E-3</v>
      </c>
      <c r="G521" s="67">
        <v>2E-3</v>
      </c>
      <c r="H521" s="63"/>
    </row>
    <row r="522" spans="1:8" x14ac:dyDescent="0.25">
      <c r="A522" s="63"/>
      <c r="B522" s="63">
        <v>8</v>
      </c>
      <c r="C522" s="63" t="s">
        <v>772</v>
      </c>
      <c r="D522" s="63" t="s">
        <v>77</v>
      </c>
      <c r="E522" s="66">
        <v>62.739840862730787</v>
      </c>
      <c r="F522" s="67">
        <v>3.0000000000000001E-3</v>
      </c>
      <c r="G522" s="67">
        <v>2E-3</v>
      </c>
      <c r="H522" s="63"/>
    </row>
    <row r="523" spans="1:8" x14ac:dyDescent="0.25">
      <c r="A523" s="63"/>
      <c r="B523" s="63">
        <v>9</v>
      </c>
      <c r="C523" s="63" t="s">
        <v>772</v>
      </c>
      <c r="D523" s="63" t="s">
        <v>77</v>
      </c>
      <c r="E523" s="66">
        <v>68.888966793873706</v>
      </c>
      <c r="F523" s="67">
        <v>3.0000000000000001E-3</v>
      </c>
      <c r="G523" s="67">
        <v>2E-3</v>
      </c>
      <c r="H523" s="63"/>
    </row>
    <row r="524" spans="1:8" x14ac:dyDescent="0.25">
      <c r="A524" s="63"/>
      <c r="B524" s="63">
        <v>10</v>
      </c>
      <c r="C524" s="63" t="s">
        <v>772</v>
      </c>
      <c r="D524" s="63" t="s">
        <v>77</v>
      </c>
      <c r="E524" s="66">
        <v>75.393515566121351</v>
      </c>
      <c r="F524" s="67">
        <v>3.0000000000000001E-3</v>
      </c>
      <c r="G524" s="67">
        <v>2E-3</v>
      </c>
      <c r="H524" s="63"/>
    </row>
    <row r="525" spans="1:8" x14ac:dyDescent="0.25">
      <c r="A525" s="63"/>
      <c r="B525" s="63">
        <v>11</v>
      </c>
      <c r="C525" s="63" t="s">
        <v>772</v>
      </c>
      <c r="D525" s="63" t="s">
        <v>77</v>
      </c>
      <c r="E525" s="66"/>
      <c r="F525" s="67">
        <v>3.0000000000000001E-3</v>
      </c>
      <c r="G525" s="67">
        <v>2E-3</v>
      </c>
      <c r="H525" s="63"/>
    </row>
    <row r="526" spans="1:8" x14ac:dyDescent="0.25">
      <c r="A526" s="63"/>
      <c r="B526" s="63">
        <v>12</v>
      </c>
      <c r="C526" s="63" t="s">
        <v>772</v>
      </c>
      <c r="D526" s="63" t="s">
        <v>77</v>
      </c>
      <c r="E526" s="66"/>
      <c r="F526" s="67">
        <v>3.0000000000000001E-3</v>
      </c>
      <c r="G526" s="67">
        <v>2E-3</v>
      </c>
      <c r="H526" s="63"/>
    </row>
    <row r="527" spans="1:8" x14ac:dyDescent="0.25">
      <c r="A527" s="63"/>
      <c r="B527" s="63">
        <v>13</v>
      </c>
      <c r="C527" s="63" t="s">
        <v>772</v>
      </c>
      <c r="D527" s="63" t="s">
        <v>77</v>
      </c>
      <c r="E527" s="66"/>
      <c r="F527" s="67">
        <v>3.0000000000000001E-3</v>
      </c>
      <c r="G527" s="67">
        <v>2E-3</v>
      </c>
      <c r="H527" s="63"/>
    </row>
    <row r="528" spans="1:8" x14ac:dyDescent="0.25">
      <c r="A528" s="63"/>
      <c r="B528" s="63">
        <v>14</v>
      </c>
      <c r="C528" s="63" t="s">
        <v>772</v>
      </c>
      <c r="D528" s="63" t="s">
        <v>77</v>
      </c>
      <c r="E528" s="66"/>
      <c r="F528" s="67">
        <v>3.0000000000000001E-3</v>
      </c>
      <c r="G528" s="67">
        <v>2E-3</v>
      </c>
      <c r="H528" s="63"/>
    </row>
    <row r="529" spans="1:8" x14ac:dyDescent="0.25">
      <c r="A529" s="63"/>
      <c r="B529" s="63">
        <v>15</v>
      </c>
      <c r="C529" s="63" t="s">
        <v>772</v>
      </c>
      <c r="D529" s="63" t="s">
        <v>77</v>
      </c>
      <c r="E529" s="66"/>
      <c r="F529" s="67">
        <v>3.0000000000000001E-3</v>
      </c>
      <c r="G529" s="67">
        <v>2E-3</v>
      </c>
      <c r="H529" s="63"/>
    </row>
    <row r="530" spans="1:8" x14ac:dyDescent="0.25">
      <c r="A530" s="63"/>
      <c r="B530" s="63">
        <v>16</v>
      </c>
      <c r="C530" s="63" t="s">
        <v>772</v>
      </c>
      <c r="D530" s="63" t="s">
        <v>77</v>
      </c>
      <c r="E530" s="66"/>
      <c r="F530" s="67">
        <v>3.0000000000000001E-3</v>
      </c>
      <c r="G530" s="67">
        <v>2E-3</v>
      </c>
      <c r="H530" s="63"/>
    </row>
    <row r="531" spans="1:8" x14ac:dyDescent="0.25">
      <c r="A531" s="63"/>
      <c r="B531" s="63">
        <v>17</v>
      </c>
      <c r="C531" s="63" t="s">
        <v>772</v>
      </c>
      <c r="D531" s="63" t="s">
        <v>77</v>
      </c>
      <c r="E531" s="66"/>
      <c r="F531" s="67">
        <v>3.0000000000000001E-3</v>
      </c>
      <c r="G531" s="67">
        <v>2E-3</v>
      </c>
      <c r="H531" s="63"/>
    </row>
    <row r="532" spans="1:8" x14ac:dyDescent="0.25">
      <c r="A532" s="63"/>
      <c r="B532" s="63">
        <v>18</v>
      </c>
      <c r="C532" s="63" t="s">
        <v>772</v>
      </c>
      <c r="D532" s="63" t="s">
        <v>77</v>
      </c>
      <c r="E532" s="66"/>
      <c r="F532" s="67">
        <v>3.0000000000000001E-3</v>
      </c>
      <c r="G532" s="67">
        <v>2E-3</v>
      </c>
      <c r="H532" s="63"/>
    </row>
    <row r="533" spans="1:8" x14ac:dyDescent="0.25">
      <c r="A533" s="63"/>
      <c r="B533" s="63">
        <v>19</v>
      </c>
      <c r="C533" s="63" t="s">
        <v>772</v>
      </c>
      <c r="D533" s="63" t="s">
        <v>77</v>
      </c>
      <c r="E533" s="66"/>
      <c r="F533" s="67">
        <v>3.0000000000000001E-3</v>
      </c>
      <c r="G533" s="67">
        <v>2E-3</v>
      </c>
      <c r="H533" s="63"/>
    </row>
    <row r="534" spans="1:8" x14ac:dyDescent="0.25">
      <c r="A534" s="63"/>
      <c r="B534" s="63">
        <v>20</v>
      </c>
      <c r="C534" s="63" t="s">
        <v>772</v>
      </c>
      <c r="D534" s="63" t="s">
        <v>77</v>
      </c>
      <c r="E534" s="66"/>
      <c r="F534" s="67">
        <v>3.0000000000000001E-3</v>
      </c>
      <c r="G534" s="67">
        <v>2E-3</v>
      </c>
      <c r="H534" s="63"/>
    </row>
    <row r="535" spans="1:8" x14ac:dyDescent="0.25">
      <c r="A535" s="63"/>
      <c r="B535" s="63">
        <v>21</v>
      </c>
      <c r="C535" s="63" t="s">
        <v>772</v>
      </c>
      <c r="D535" s="63" t="s">
        <v>77</v>
      </c>
      <c r="E535" s="66"/>
      <c r="F535" s="67">
        <v>3.0000000000000001E-3</v>
      </c>
      <c r="G535" s="67">
        <v>2E-3</v>
      </c>
      <c r="H535" s="63"/>
    </row>
    <row r="536" spans="1:8" x14ac:dyDescent="0.25">
      <c r="A536" s="63"/>
      <c r="B536" s="63">
        <v>22</v>
      </c>
      <c r="C536" s="63" t="s">
        <v>772</v>
      </c>
      <c r="D536" s="63" t="s">
        <v>77</v>
      </c>
      <c r="E536" s="66"/>
      <c r="F536" s="67">
        <v>3.0000000000000001E-3</v>
      </c>
      <c r="G536" s="67">
        <v>2E-3</v>
      </c>
      <c r="H536" s="63"/>
    </row>
    <row r="537" spans="1:8" x14ac:dyDescent="0.25">
      <c r="A537" s="63"/>
      <c r="B537" s="63">
        <v>23</v>
      </c>
      <c r="C537" s="63" t="s">
        <v>772</v>
      </c>
      <c r="D537" s="63" t="s">
        <v>77</v>
      </c>
      <c r="E537" s="66"/>
      <c r="F537" s="67">
        <v>3.0000000000000001E-3</v>
      </c>
      <c r="G537" s="67">
        <v>2E-3</v>
      </c>
      <c r="H537" s="63"/>
    </row>
    <row r="538" spans="1:8" x14ac:dyDescent="0.25">
      <c r="A538" s="63"/>
      <c r="B538" s="63">
        <v>24</v>
      </c>
      <c r="C538" s="63" t="s">
        <v>772</v>
      </c>
      <c r="D538" s="63" t="s">
        <v>77</v>
      </c>
      <c r="E538" s="66"/>
      <c r="F538" s="67">
        <v>3.0000000000000001E-3</v>
      </c>
      <c r="G538" s="67">
        <v>2E-3</v>
      </c>
      <c r="H538" s="63"/>
    </row>
    <row r="539" spans="1:8" x14ac:dyDescent="0.25">
      <c r="A539" s="63"/>
      <c r="B539" s="63">
        <v>25</v>
      </c>
      <c r="C539" s="63" t="s">
        <v>772</v>
      </c>
      <c r="D539" s="63" t="s">
        <v>77</v>
      </c>
      <c r="E539" s="66"/>
      <c r="F539" s="67">
        <v>3.0000000000000001E-3</v>
      </c>
      <c r="G539" s="67">
        <v>2E-3</v>
      </c>
      <c r="H539" s="63"/>
    </row>
    <row r="540" spans="1:8" x14ac:dyDescent="0.25">
      <c r="A540" s="63"/>
      <c r="B540" s="63">
        <v>26</v>
      </c>
      <c r="C540" s="63" t="s">
        <v>772</v>
      </c>
      <c r="D540" s="63" t="s">
        <v>77</v>
      </c>
      <c r="E540" s="66"/>
      <c r="F540" s="67">
        <v>3.0000000000000001E-3</v>
      </c>
      <c r="G540" s="67">
        <v>2E-3</v>
      </c>
      <c r="H540" s="63"/>
    </row>
    <row r="541" spans="1:8" x14ac:dyDescent="0.25">
      <c r="A541" s="63"/>
      <c r="B541" s="63">
        <v>27</v>
      </c>
      <c r="C541" s="63" t="s">
        <v>772</v>
      </c>
      <c r="D541" s="63" t="s">
        <v>77</v>
      </c>
      <c r="E541" s="66"/>
      <c r="F541" s="67">
        <v>3.0000000000000001E-3</v>
      </c>
      <c r="G541" s="67">
        <v>2E-3</v>
      </c>
      <c r="H541" s="63"/>
    </row>
    <row r="542" spans="1:8" x14ac:dyDescent="0.25">
      <c r="A542" s="63"/>
      <c r="B542" s="63">
        <v>28</v>
      </c>
      <c r="C542" s="63" t="s">
        <v>772</v>
      </c>
      <c r="D542" s="63" t="s">
        <v>77</v>
      </c>
      <c r="E542" s="66"/>
      <c r="F542" s="67">
        <v>3.0000000000000001E-3</v>
      </c>
      <c r="G542" s="67">
        <v>2E-3</v>
      </c>
      <c r="H542" s="63"/>
    </row>
    <row r="543" spans="1:8" x14ac:dyDescent="0.25">
      <c r="A543" s="63"/>
      <c r="B543" s="63">
        <v>29</v>
      </c>
      <c r="C543" s="63" t="s">
        <v>772</v>
      </c>
      <c r="D543" s="63" t="s">
        <v>77</v>
      </c>
      <c r="E543" s="66"/>
      <c r="F543" s="67">
        <v>3.0000000000000001E-3</v>
      </c>
      <c r="G543" s="67">
        <v>2E-3</v>
      </c>
      <c r="H543" s="63"/>
    </row>
    <row r="544" spans="1:8" x14ac:dyDescent="0.25">
      <c r="A544" s="63"/>
      <c r="B544" s="63">
        <v>30</v>
      </c>
      <c r="C544" s="63" t="s">
        <v>772</v>
      </c>
      <c r="D544" s="63" t="s">
        <v>77</v>
      </c>
      <c r="E544" s="66"/>
      <c r="F544" s="67">
        <v>3.0000000000000001E-3</v>
      </c>
      <c r="G544" s="67">
        <v>2E-3</v>
      </c>
      <c r="H544" s="63"/>
    </row>
    <row r="545" spans="1:8" x14ac:dyDescent="0.25">
      <c r="A545" s="63"/>
      <c r="B545" s="63">
        <v>0</v>
      </c>
      <c r="C545" s="63" t="s">
        <v>772</v>
      </c>
      <c r="D545" s="63" t="s">
        <v>77</v>
      </c>
      <c r="E545" s="66">
        <v>3.0428788910505911</v>
      </c>
      <c r="F545" s="67">
        <v>3.0000000000000001E-3</v>
      </c>
      <c r="G545" s="67">
        <v>2E-3</v>
      </c>
      <c r="H545" s="63"/>
    </row>
    <row r="546" spans="1:8" x14ac:dyDescent="0.25">
      <c r="A546" s="63"/>
      <c r="B546" s="63">
        <v>0.25</v>
      </c>
      <c r="C546" s="63" t="s">
        <v>4294</v>
      </c>
      <c r="D546" s="63" t="s">
        <v>21</v>
      </c>
      <c r="E546" s="66">
        <v>11.709693885402361</v>
      </c>
      <c r="F546" s="67">
        <v>3.0000000000000001E-3</v>
      </c>
      <c r="G546" s="67">
        <v>2E-3</v>
      </c>
      <c r="H546" s="63"/>
    </row>
    <row r="547" spans="1:8" x14ac:dyDescent="0.25">
      <c r="A547" s="63"/>
      <c r="B547" s="63">
        <v>0.5</v>
      </c>
      <c r="C547" s="63" t="s">
        <v>4294</v>
      </c>
      <c r="D547" s="63" t="s">
        <v>21</v>
      </c>
      <c r="E547" s="66">
        <v>12.006591397949746</v>
      </c>
      <c r="F547" s="67">
        <v>3.0000000000000001E-3</v>
      </c>
      <c r="G547" s="67">
        <v>2E-3</v>
      </c>
      <c r="H547" s="63"/>
    </row>
    <row r="548" spans="1:8" x14ac:dyDescent="0.25">
      <c r="A548" s="63"/>
      <c r="B548" s="63">
        <v>0.75</v>
      </c>
      <c r="C548" s="63" t="s">
        <v>4294</v>
      </c>
      <c r="D548" s="63" t="s">
        <v>21</v>
      </c>
      <c r="E548" s="66">
        <v>12.863489046972891</v>
      </c>
      <c r="F548" s="67">
        <v>3.0000000000000001E-3</v>
      </c>
      <c r="G548" s="67">
        <v>2E-3</v>
      </c>
      <c r="H548" s="63"/>
    </row>
    <row r="549" spans="1:8" x14ac:dyDescent="0.25">
      <c r="A549" s="63"/>
      <c r="B549" s="63">
        <v>1</v>
      </c>
      <c r="C549" s="63" t="s">
        <v>4294</v>
      </c>
      <c r="D549" s="63" t="s">
        <v>21</v>
      </c>
      <c r="E549" s="66">
        <v>13.222921898642833</v>
      </c>
      <c r="F549" s="67">
        <v>3.0000000000000001E-3</v>
      </c>
      <c r="G549" s="67">
        <v>2E-3</v>
      </c>
      <c r="H549" s="63"/>
    </row>
    <row r="550" spans="1:8" x14ac:dyDescent="0.25">
      <c r="A550" s="63"/>
      <c r="B550" s="63">
        <v>2</v>
      </c>
      <c r="C550" s="63" t="s">
        <v>4294</v>
      </c>
      <c r="D550" s="63" t="s">
        <v>21</v>
      </c>
      <c r="E550" s="66">
        <v>15.268530836889617</v>
      </c>
      <c r="F550" s="67">
        <v>3.0000000000000001E-3</v>
      </c>
      <c r="G550" s="67">
        <v>2E-3</v>
      </c>
      <c r="H550" s="63"/>
    </row>
    <row r="551" spans="1:8" x14ac:dyDescent="0.25">
      <c r="A551" s="63"/>
      <c r="B551" s="63">
        <v>3</v>
      </c>
      <c r="C551" s="63" t="s">
        <v>4294</v>
      </c>
      <c r="D551" s="63" t="s">
        <v>21</v>
      </c>
      <c r="E551" s="66">
        <v>17.155999719448005</v>
      </c>
      <c r="F551" s="67">
        <v>3.0000000000000001E-3</v>
      </c>
      <c r="G551" s="67">
        <v>2E-3</v>
      </c>
      <c r="H551" s="63"/>
    </row>
    <row r="552" spans="1:8" x14ac:dyDescent="0.25">
      <c r="A552" s="63"/>
      <c r="B552" s="63">
        <v>4</v>
      </c>
      <c r="C552" s="63" t="s">
        <v>4294</v>
      </c>
      <c r="D552" s="63" t="s">
        <v>21</v>
      </c>
      <c r="E552" s="66">
        <v>19.198027373699794</v>
      </c>
      <c r="F552" s="67">
        <v>3.0000000000000001E-3</v>
      </c>
      <c r="G552" s="67">
        <v>2E-3</v>
      </c>
      <c r="H552" s="63"/>
    </row>
    <row r="553" spans="1:8" x14ac:dyDescent="0.25">
      <c r="A553" s="63"/>
      <c r="B553" s="63">
        <v>5</v>
      </c>
      <c r="C553" s="63" t="s">
        <v>4294</v>
      </c>
      <c r="D553" s="63" t="s">
        <v>21</v>
      </c>
      <c r="E553" s="66">
        <v>22.870088818994869</v>
      </c>
      <c r="F553" s="67">
        <v>3.0000000000000001E-3</v>
      </c>
      <c r="G553" s="67">
        <v>2E-3</v>
      </c>
      <c r="H553" s="63"/>
    </row>
    <row r="554" spans="1:8" x14ac:dyDescent="0.25">
      <c r="A554" s="63"/>
      <c r="B554" s="63">
        <v>6</v>
      </c>
      <c r="C554" s="63" t="s">
        <v>4294</v>
      </c>
      <c r="D554" s="63" t="s">
        <v>21</v>
      </c>
      <c r="E554" s="66">
        <v>24.903474960956302</v>
      </c>
      <c r="F554" s="67">
        <v>3.0000000000000001E-3</v>
      </c>
      <c r="G554" s="67">
        <v>2E-3</v>
      </c>
      <c r="H554" s="63"/>
    </row>
    <row r="555" spans="1:8" x14ac:dyDescent="0.25">
      <c r="A555" s="63"/>
      <c r="B555" s="63">
        <v>7</v>
      </c>
      <c r="C555" s="63" t="s">
        <v>4294</v>
      </c>
      <c r="D555" s="63" t="s">
        <v>21</v>
      </c>
      <c r="E555" s="66">
        <v>27.017195551929351</v>
      </c>
      <c r="F555" s="67">
        <v>3.0000000000000001E-3</v>
      </c>
      <c r="G555" s="67">
        <v>2E-3</v>
      </c>
      <c r="H555" s="63"/>
    </row>
    <row r="556" spans="1:8" x14ac:dyDescent="0.25">
      <c r="A556" s="63"/>
      <c r="B556" s="63">
        <v>8</v>
      </c>
      <c r="C556" s="63" t="s">
        <v>4294</v>
      </c>
      <c r="D556" s="63" t="s">
        <v>21</v>
      </c>
      <c r="E556" s="66">
        <v>29.2192840368152</v>
      </c>
      <c r="F556" s="67">
        <v>3.0000000000000001E-3</v>
      </c>
      <c r="G556" s="67">
        <v>2E-3</v>
      </c>
      <c r="H556" s="63"/>
    </row>
    <row r="557" spans="1:8" x14ac:dyDescent="0.25">
      <c r="A557" s="63"/>
      <c r="B557" s="63">
        <v>9</v>
      </c>
      <c r="C557" s="63" t="s">
        <v>4294</v>
      </c>
      <c r="D557" s="63" t="s">
        <v>21</v>
      </c>
      <c r="E557" s="66">
        <v>31.518577205005123</v>
      </c>
      <c r="F557" s="67">
        <v>3.0000000000000001E-3</v>
      </c>
      <c r="G557" s="67">
        <v>2E-3</v>
      </c>
      <c r="H557" s="63"/>
    </row>
    <row r="558" spans="1:8" x14ac:dyDescent="0.25">
      <c r="A558" s="63"/>
      <c r="B558" s="63">
        <v>10</v>
      </c>
      <c r="C558" s="63" t="s">
        <v>4294</v>
      </c>
      <c r="D558" s="63" t="s">
        <v>21</v>
      </c>
      <c r="E558" s="66">
        <v>33.370312238496417</v>
      </c>
      <c r="F558" s="67">
        <v>3.0000000000000001E-3</v>
      </c>
      <c r="G558" s="67">
        <v>2E-3</v>
      </c>
      <c r="H558" s="63"/>
    </row>
    <row r="559" spans="1:8" x14ac:dyDescent="0.25">
      <c r="A559" s="63"/>
      <c r="B559" s="63">
        <v>11</v>
      </c>
      <c r="C559" s="63" t="s">
        <v>4294</v>
      </c>
      <c r="D559" s="63" t="s">
        <v>21</v>
      </c>
      <c r="E559" s="66"/>
      <c r="F559" s="67">
        <v>3.0000000000000001E-3</v>
      </c>
      <c r="G559" s="67">
        <v>2E-3</v>
      </c>
      <c r="H559" s="63"/>
    </row>
    <row r="560" spans="1:8" x14ac:dyDescent="0.25">
      <c r="A560" s="63"/>
      <c r="B560" s="63">
        <v>12</v>
      </c>
      <c r="C560" s="63" t="s">
        <v>4294</v>
      </c>
      <c r="D560" s="63" t="s">
        <v>21</v>
      </c>
      <c r="E560" s="66"/>
      <c r="F560" s="67">
        <v>3.0000000000000001E-3</v>
      </c>
      <c r="G560" s="67">
        <v>2E-3</v>
      </c>
      <c r="H560" s="63"/>
    </row>
    <row r="561" spans="1:8" x14ac:dyDescent="0.25">
      <c r="A561" s="63"/>
      <c r="B561" s="63">
        <v>13</v>
      </c>
      <c r="C561" s="63" t="s">
        <v>4294</v>
      </c>
      <c r="D561" s="63" t="s">
        <v>21</v>
      </c>
      <c r="E561" s="66"/>
      <c r="F561" s="67">
        <v>3.0000000000000001E-3</v>
      </c>
      <c r="G561" s="67">
        <v>2E-3</v>
      </c>
      <c r="H561" s="63"/>
    </row>
    <row r="562" spans="1:8" x14ac:dyDescent="0.25">
      <c r="A562" s="63"/>
      <c r="B562" s="63">
        <v>14</v>
      </c>
      <c r="C562" s="63" t="s">
        <v>4294</v>
      </c>
      <c r="D562" s="63" t="s">
        <v>21</v>
      </c>
      <c r="E562" s="66"/>
      <c r="F562" s="67">
        <v>3.0000000000000001E-3</v>
      </c>
      <c r="G562" s="67">
        <v>2E-3</v>
      </c>
      <c r="H562" s="63"/>
    </row>
    <row r="563" spans="1:8" x14ac:dyDescent="0.25">
      <c r="A563" s="63"/>
      <c r="B563" s="63">
        <v>15</v>
      </c>
      <c r="C563" s="63" t="s">
        <v>4294</v>
      </c>
      <c r="D563" s="63" t="s">
        <v>21</v>
      </c>
      <c r="E563" s="66"/>
      <c r="F563" s="67">
        <v>3.0000000000000001E-3</v>
      </c>
      <c r="G563" s="67">
        <v>2E-3</v>
      </c>
      <c r="H563" s="63"/>
    </row>
    <row r="564" spans="1:8" x14ac:dyDescent="0.25">
      <c r="A564" s="63"/>
      <c r="B564" s="63">
        <v>16</v>
      </c>
      <c r="C564" s="63" t="s">
        <v>4294</v>
      </c>
      <c r="D564" s="63" t="s">
        <v>21</v>
      </c>
      <c r="E564" s="66"/>
      <c r="F564" s="67">
        <v>3.0000000000000001E-3</v>
      </c>
      <c r="G564" s="67">
        <v>2E-3</v>
      </c>
      <c r="H564" s="63"/>
    </row>
    <row r="565" spans="1:8" x14ac:dyDescent="0.25">
      <c r="A565" s="63"/>
      <c r="B565" s="63">
        <v>17</v>
      </c>
      <c r="C565" s="63" t="s">
        <v>4294</v>
      </c>
      <c r="D565" s="63" t="s">
        <v>21</v>
      </c>
      <c r="E565" s="66"/>
      <c r="F565" s="67">
        <v>3.0000000000000001E-3</v>
      </c>
      <c r="G565" s="67">
        <v>2E-3</v>
      </c>
      <c r="H565" s="63"/>
    </row>
    <row r="566" spans="1:8" x14ac:dyDescent="0.25">
      <c r="A566" s="63"/>
      <c r="B566" s="63">
        <v>18</v>
      </c>
      <c r="C566" s="63" t="s">
        <v>4294</v>
      </c>
      <c r="D566" s="63" t="s">
        <v>21</v>
      </c>
      <c r="E566" s="66"/>
      <c r="F566" s="67">
        <v>3.0000000000000001E-3</v>
      </c>
      <c r="G566" s="67">
        <v>2E-3</v>
      </c>
      <c r="H566" s="63"/>
    </row>
    <row r="567" spans="1:8" x14ac:dyDescent="0.25">
      <c r="A567" s="63"/>
      <c r="B567" s="63">
        <v>19</v>
      </c>
      <c r="C567" s="63" t="s">
        <v>4294</v>
      </c>
      <c r="D567" s="63" t="s">
        <v>21</v>
      </c>
      <c r="E567" s="66"/>
      <c r="F567" s="67">
        <v>3.0000000000000001E-3</v>
      </c>
      <c r="G567" s="67">
        <v>2E-3</v>
      </c>
      <c r="H567" s="63"/>
    </row>
    <row r="568" spans="1:8" x14ac:dyDescent="0.25">
      <c r="A568" s="63"/>
      <c r="B568" s="63">
        <v>20</v>
      </c>
      <c r="C568" s="63" t="s">
        <v>4294</v>
      </c>
      <c r="D568" s="63" t="s">
        <v>21</v>
      </c>
      <c r="E568" s="66"/>
      <c r="F568" s="67">
        <v>3.0000000000000001E-3</v>
      </c>
      <c r="G568" s="67">
        <v>2E-3</v>
      </c>
      <c r="H568" s="63"/>
    </row>
    <row r="569" spans="1:8" x14ac:dyDescent="0.25">
      <c r="A569" s="63"/>
      <c r="B569" s="63">
        <v>21</v>
      </c>
      <c r="C569" s="63" t="s">
        <v>4294</v>
      </c>
      <c r="D569" s="63" t="s">
        <v>21</v>
      </c>
      <c r="E569" s="66"/>
      <c r="F569" s="67">
        <v>3.0000000000000001E-3</v>
      </c>
      <c r="G569" s="67">
        <v>2E-3</v>
      </c>
      <c r="H569" s="63"/>
    </row>
    <row r="570" spans="1:8" x14ac:dyDescent="0.25">
      <c r="A570" s="63"/>
      <c r="B570" s="63">
        <v>22</v>
      </c>
      <c r="C570" s="63" t="s">
        <v>4294</v>
      </c>
      <c r="D570" s="63" t="s">
        <v>21</v>
      </c>
      <c r="E570" s="66"/>
      <c r="F570" s="67">
        <v>3.0000000000000001E-3</v>
      </c>
      <c r="G570" s="67">
        <v>2E-3</v>
      </c>
      <c r="H570" s="63"/>
    </row>
    <row r="571" spans="1:8" x14ac:dyDescent="0.25">
      <c r="A571" s="63"/>
      <c r="B571" s="63">
        <v>23</v>
      </c>
      <c r="C571" s="63" t="s">
        <v>4294</v>
      </c>
      <c r="D571" s="63" t="s">
        <v>21</v>
      </c>
      <c r="E571" s="66"/>
      <c r="F571" s="67">
        <v>3.0000000000000001E-3</v>
      </c>
      <c r="G571" s="67">
        <v>2E-3</v>
      </c>
      <c r="H571" s="63"/>
    </row>
    <row r="572" spans="1:8" x14ac:dyDescent="0.25">
      <c r="A572" s="63"/>
      <c r="B572" s="63">
        <v>24</v>
      </c>
      <c r="C572" s="63" t="s">
        <v>4294</v>
      </c>
      <c r="D572" s="63" t="s">
        <v>21</v>
      </c>
      <c r="E572" s="66"/>
      <c r="F572" s="67">
        <v>3.0000000000000001E-3</v>
      </c>
      <c r="G572" s="67">
        <v>2E-3</v>
      </c>
      <c r="H572" s="63"/>
    </row>
    <row r="573" spans="1:8" x14ac:dyDescent="0.25">
      <c r="A573" s="63"/>
      <c r="B573" s="63">
        <v>25</v>
      </c>
      <c r="C573" s="63" t="s">
        <v>4294</v>
      </c>
      <c r="D573" s="63" t="s">
        <v>21</v>
      </c>
      <c r="E573" s="66"/>
      <c r="F573" s="67">
        <v>3.0000000000000001E-3</v>
      </c>
      <c r="G573" s="67">
        <v>2E-3</v>
      </c>
      <c r="H573" s="63"/>
    </row>
    <row r="574" spans="1:8" x14ac:dyDescent="0.25">
      <c r="A574" s="63"/>
      <c r="B574" s="63">
        <v>26</v>
      </c>
      <c r="C574" s="63" t="s">
        <v>4294</v>
      </c>
      <c r="D574" s="63" t="s">
        <v>21</v>
      </c>
      <c r="E574" s="66"/>
      <c r="F574" s="67">
        <v>3.0000000000000001E-3</v>
      </c>
      <c r="G574" s="67">
        <v>2E-3</v>
      </c>
      <c r="H574" s="63"/>
    </row>
    <row r="575" spans="1:8" x14ac:dyDescent="0.25">
      <c r="A575" s="63"/>
      <c r="B575" s="63">
        <v>27</v>
      </c>
      <c r="C575" s="63" t="s">
        <v>4294</v>
      </c>
      <c r="D575" s="63" t="s">
        <v>21</v>
      </c>
      <c r="E575" s="66"/>
      <c r="F575" s="67">
        <v>3.0000000000000001E-3</v>
      </c>
      <c r="G575" s="67">
        <v>2E-3</v>
      </c>
      <c r="H575" s="63"/>
    </row>
    <row r="576" spans="1:8" x14ac:dyDescent="0.25">
      <c r="A576" s="63"/>
      <c r="B576" s="63">
        <v>28</v>
      </c>
      <c r="C576" s="63" t="s">
        <v>4294</v>
      </c>
      <c r="D576" s="63" t="s">
        <v>21</v>
      </c>
      <c r="E576" s="66"/>
      <c r="F576" s="67">
        <v>3.0000000000000001E-3</v>
      </c>
      <c r="G576" s="67">
        <v>2E-3</v>
      </c>
      <c r="H576" s="63"/>
    </row>
    <row r="577" spans="1:8" x14ac:dyDescent="0.25">
      <c r="A577" s="63"/>
      <c r="B577" s="63">
        <v>29</v>
      </c>
      <c r="C577" s="63" t="s">
        <v>4294</v>
      </c>
      <c r="D577" s="63" t="s">
        <v>21</v>
      </c>
      <c r="E577" s="66"/>
      <c r="F577" s="67">
        <v>3.0000000000000001E-3</v>
      </c>
      <c r="G577" s="67">
        <v>2E-3</v>
      </c>
      <c r="H577" s="63"/>
    </row>
    <row r="578" spans="1:8" x14ac:dyDescent="0.25">
      <c r="A578" s="63"/>
      <c r="B578" s="63">
        <v>30</v>
      </c>
      <c r="C578" s="63" t="s">
        <v>4294</v>
      </c>
      <c r="D578" s="63" t="s">
        <v>21</v>
      </c>
      <c r="E578" s="66"/>
      <c r="F578" s="67">
        <v>3.0000000000000001E-3</v>
      </c>
      <c r="G578" s="67">
        <v>2E-3</v>
      </c>
      <c r="H578" s="63"/>
    </row>
    <row r="579" spans="1:8" x14ac:dyDescent="0.25">
      <c r="A579" s="63"/>
      <c r="B579" s="63">
        <v>0</v>
      </c>
      <c r="C579" s="63" t="s">
        <v>4294</v>
      </c>
      <c r="D579" s="63" t="s">
        <v>21</v>
      </c>
      <c r="E579" s="66">
        <v>3.0428788910505911</v>
      </c>
      <c r="F579" s="67">
        <v>3.0000000000000001E-3</v>
      </c>
      <c r="G579" s="67">
        <v>2E-3</v>
      </c>
      <c r="H579" s="63"/>
    </row>
    <row r="580" spans="1:8" x14ac:dyDescent="0.25">
      <c r="A580" s="63"/>
      <c r="B580" s="63">
        <v>0.25</v>
      </c>
      <c r="C580" s="63" t="s">
        <v>4294</v>
      </c>
      <c r="D580" s="63" t="s">
        <v>62</v>
      </c>
      <c r="E580" s="66">
        <v>16.344178346561137</v>
      </c>
      <c r="F580" s="67">
        <v>3.0000000000000001E-3</v>
      </c>
      <c r="G580" s="67">
        <v>2E-3</v>
      </c>
      <c r="H580" s="63"/>
    </row>
    <row r="581" spans="1:8" x14ac:dyDescent="0.25">
      <c r="A581" s="63"/>
      <c r="B581" s="63">
        <v>0.5</v>
      </c>
      <c r="C581" s="63" t="s">
        <v>4294</v>
      </c>
      <c r="D581" s="63" t="s">
        <v>62</v>
      </c>
      <c r="E581" s="66">
        <v>16.766533722582309</v>
      </c>
      <c r="F581" s="67">
        <v>3.0000000000000001E-3</v>
      </c>
      <c r="G581" s="67">
        <v>2E-3</v>
      </c>
      <c r="H581" s="63"/>
    </row>
    <row r="582" spans="1:8" x14ac:dyDescent="0.25">
      <c r="A582" s="63"/>
      <c r="B582" s="63">
        <v>0.75</v>
      </c>
      <c r="C582" s="63" t="s">
        <v>4294</v>
      </c>
      <c r="D582" s="63" t="s">
        <v>62</v>
      </c>
      <c r="E582" s="66">
        <v>17.709108795625173</v>
      </c>
      <c r="F582" s="67">
        <v>3.0000000000000001E-3</v>
      </c>
      <c r="G582" s="67">
        <v>2E-3</v>
      </c>
      <c r="H582" s="63"/>
    </row>
    <row r="583" spans="1:8" x14ac:dyDescent="0.25">
      <c r="A583" s="63"/>
      <c r="B583" s="63">
        <v>1</v>
      </c>
      <c r="C583" s="63" t="s">
        <v>4294</v>
      </c>
      <c r="D583" s="63" t="s">
        <v>62</v>
      </c>
      <c r="E583" s="66">
        <v>18.545760454647645</v>
      </c>
      <c r="F583" s="67">
        <v>3.0000000000000001E-3</v>
      </c>
      <c r="G583" s="67">
        <v>2E-3</v>
      </c>
      <c r="H583" s="63"/>
    </row>
    <row r="584" spans="1:8" x14ac:dyDescent="0.25">
      <c r="A584" s="63"/>
      <c r="B584" s="63">
        <v>2</v>
      </c>
      <c r="C584" s="63" t="s">
        <v>4294</v>
      </c>
      <c r="D584" s="63" t="s">
        <v>62</v>
      </c>
      <c r="E584" s="66">
        <v>20.10723313448154</v>
      </c>
      <c r="F584" s="67">
        <v>3.0000000000000001E-3</v>
      </c>
      <c r="G584" s="67">
        <v>2E-3</v>
      </c>
      <c r="H584" s="63"/>
    </row>
    <row r="585" spans="1:8" x14ac:dyDescent="0.25">
      <c r="A585" s="63"/>
      <c r="B585" s="63">
        <v>3</v>
      </c>
      <c r="C585" s="63" t="s">
        <v>4294</v>
      </c>
      <c r="D585" s="63" t="s">
        <v>62</v>
      </c>
      <c r="E585" s="66">
        <v>21.240951506551678</v>
      </c>
      <c r="F585" s="67">
        <v>3.0000000000000001E-3</v>
      </c>
      <c r="G585" s="67">
        <v>2E-3</v>
      </c>
      <c r="H585" s="63"/>
    </row>
    <row r="586" spans="1:8" x14ac:dyDescent="0.25">
      <c r="A586" s="63"/>
      <c r="B586" s="63">
        <v>4</v>
      </c>
      <c r="C586" s="63" t="s">
        <v>4294</v>
      </c>
      <c r="D586" s="63" t="s">
        <v>62</v>
      </c>
      <c r="E586" s="66">
        <v>22.557015615717738</v>
      </c>
      <c r="F586" s="67">
        <v>3.0000000000000001E-3</v>
      </c>
      <c r="G586" s="67">
        <v>2E-3</v>
      </c>
      <c r="H586" s="63"/>
    </row>
    <row r="587" spans="1:8" x14ac:dyDescent="0.25">
      <c r="A587" s="63"/>
      <c r="B587" s="63">
        <v>5</v>
      </c>
      <c r="C587" s="63" t="s">
        <v>4294</v>
      </c>
      <c r="D587" s="63" t="s">
        <v>62</v>
      </c>
      <c r="E587" s="66">
        <v>26.056112270527457</v>
      </c>
      <c r="F587" s="67">
        <v>3.0000000000000001E-3</v>
      </c>
      <c r="G587" s="67">
        <v>2E-3</v>
      </c>
      <c r="H587" s="63"/>
    </row>
    <row r="588" spans="1:8" x14ac:dyDescent="0.25">
      <c r="A588" s="63"/>
      <c r="B588" s="63">
        <v>6</v>
      </c>
      <c r="C588" s="63" t="s">
        <v>4294</v>
      </c>
      <c r="D588" s="63" t="s">
        <v>62</v>
      </c>
      <c r="E588" s="66">
        <v>30.142276170369946</v>
      </c>
      <c r="F588" s="67">
        <v>3.0000000000000001E-3</v>
      </c>
      <c r="G588" s="67">
        <v>2E-3</v>
      </c>
      <c r="H588" s="63"/>
    </row>
    <row r="589" spans="1:8" x14ac:dyDescent="0.25">
      <c r="A589" s="63"/>
      <c r="B589" s="63">
        <v>7</v>
      </c>
      <c r="C589" s="63" t="s">
        <v>4294</v>
      </c>
      <c r="D589" s="63" t="s">
        <v>62</v>
      </c>
      <c r="E589" s="66">
        <v>32.940531048263779</v>
      </c>
      <c r="F589" s="67">
        <v>3.0000000000000001E-3</v>
      </c>
      <c r="G589" s="67">
        <v>2E-3</v>
      </c>
      <c r="H589" s="63"/>
    </row>
    <row r="590" spans="1:8" x14ac:dyDescent="0.25">
      <c r="A590" s="63"/>
      <c r="B590" s="63">
        <v>8</v>
      </c>
      <c r="C590" s="63" t="s">
        <v>4294</v>
      </c>
      <c r="D590" s="63" t="s">
        <v>62</v>
      </c>
      <c r="E590" s="66">
        <v>35.920735279325392</v>
      </c>
      <c r="F590" s="67">
        <v>3.0000000000000001E-3</v>
      </c>
      <c r="G590" s="67">
        <v>2E-3</v>
      </c>
      <c r="H590" s="63"/>
    </row>
    <row r="591" spans="1:8" x14ac:dyDescent="0.25">
      <c r="A591" s="63"/>
      <c r="B591" s="63">
        <v>9</v>
      </c>
      <c r="C591" s="63" t="s">
        <v>4294</v>
      </c>
      <c r="D591" s="63" t="s">
        <v>62</v>
      </c>
      <c r="E591" s="66">
        <v>38.62832670141978</v>
      </c>
      <c r="F591" s="67">
        <v>3.0000000000000001E-3</v>
      </c>
      <c r="G591" s="67">
        <v>2E-3</v>
      </c>
      <c r="H591" s="63"/>
    </row>
    <row r="592" spans="1:8" x14ac:dyDescent="0.25">
      <c r="A592" s="63"/>
      <c r="B592" s="63">
        <v>10</v>
      </c>
      <c r="C592" s="63" t="s">
        <v>4294</v>
      </c>
      <c r="D592" s="63" t="s">
        <v>62</v>
      </c>
      <c r="E592" s="66">
        <v>41.239207360528972</v>
      </c>
      <c r="F592" s="67">
        <v>3.0000000000000001E-3</v>
      </c>
      <c r="G592" s="67">
        <v>2E-3</v>
      </c>
      <c r="H592" s="63"/>
    </row>
    <row r="593" spans="1:8" x14ac:dyDescent="0.25">
      <c r="A593" s="63"/>
      <c r="B593" s="63">
        <v>11</v>
      </c>
      <c r="C593" s="63" t="s">
        <v>4294</v>
      </c>
      <c r="D593" s="63" t="s">
        <v>62</v>
      </c>
      <c r="E593" s="66"/>
      <c r="F593" s="67">
        <v>3.0000000000000001E-3</v>
      </c>
      <c r="G593" s="67">
        <v>2E-3</v>
      </c>
      <c r="H593" s="63"/>
    </row>
    <row r="594" spans="1:8" x14ac:dyDescent="0.25">
      <c r="A594" s="63"/>
      <c r="B594" s="63">
        <v>12</v>
      </c>
      <c r="C594" s="63" t="s">
        <v>4294</v>
      </c>
      <c r="D594" s="63" t="s">
        <v>62</v>
      </c>
      <c r="E594" s="66"/>
      <c r="F594" s="67">
        <v>3.0000000000000001E-3</v>
      </c>
      <c r="G594" s="67">
        <v>2E-3</v>
      </c>
      <c r="H594" s="63"/>
    </row>
    <row r="595" spans="1:8" x14ac:dyDescent="0.25">
      <c r="A595" s="63"/>
      <c r="B595" s="63">
        <v>13</v>
      </c>
      <c r="C595" s="63" t="s">
        <v>4294</v>
      </c>
      <c r="D595" s="63" t="s">
        <v>62</v>
      </c>
      <c r="E595" s="66"/>
      <c r="F595" s="67">
        <v>3.0000000000000001E-3</v>
      </c>
      <c r="G595" s="67">
        <v>2E-3</v>
      </c>
      <c r="H595" s="63"/>
    </row>
    <row r="596" spans="1:8" x14ac:dyDescent="0.25">
      <c r="A596" s="63"/>
      <c r="B596" s="63">
        <v>14</v>
      </c>
      <c r="C596" s="63" t="s">
        <v>4294</v>
      </c>
      <c r="D596" s="63" t="s">
        <v>62</v>
      </c>
      <c r="E596" s="66"/>
      <c r="F596" s="67">
        <v>3.0000000000000001E-3</v>
      </c>
      <c r="G596" s="67">
        <v>2E-3</v>
      </c>
      <c r="H596" s="63"/>
    </row>
    <row r="597" spans="1:8" x14ac:dyDescent="0.25">
      <c r="A597" s="63"/>
      <c r="B597" s="63">
        <v>15</v>
      </c>
      <c r="C597" s="63" t="s">
        <v>4294</v>
      </c>
      <c r="D597" s="63" t="s">
        <v>62</v>
      </c>
      <c r="E597" s="66"/>
      <c r="F597" s="67">
        <v>3.0000000000000001E-3</v>
      </c>
      <c r="G597" s="67">
        <v>2E-3</v>
      </c>
      <c r="H597" s="63"/>
    </row>
    <row r="598" spans="1:8" x14ac:dyDescent="0.25">
      <c r="A598" s="63"/>
      <c r="B598" s="63">
        <v>16</v>
      </c>
      <c r="C598" s="63" t="s">
        <v>4294</v>
      </c>
      <c r="D598" s="63" t="s">
        <v>62</v>
      </c>
      <c r="E598" s="66"/>
      <c r="F598" s="67">
        <v>3.0000000000000001E-3</v>
      </c>
      <c r="G598" s="67">
        <v>2E-3</v>
      </c>
      <c r="H598" s="63"/>
    </row>
    <row r="599" spans="1:8" x14ac:dyDescent="0.25">
      <c r="A599" s="63"/>
      <c r="B599" s="63">
        <v>17</v>
      </c>
      <c r="C599" s="63" t="s">
        <v>4294</v>
      </c>
      <c r="D599" s="63" t="s">
        <v>62</v>
      </c>
      <c r="E599" s="66"/>
      <c r="F599" s="67">
        <v>3.0000000000000001E-3</v>
      </c>
      <c r="G599" s="67">
        <v>2E-3</v>
      </c>
      <c r="H599" s="63"/>
    </row>
    <row r="600" spans="1:8" x14ac:dyDescent="0.25">
      <c r="A600" s="63"/>
      <c r="B600" s="63">
        <v>18</v>
      </c>
      <c r="C600" s="63" t="s">
        <v>4294</v>
      </c>
      <c r="D600" s="63" t="s">
        <v>62</v>
      </c>
      <c r="E600" s="66"/>
      <c r="F600" s="67">
        <v>3.0000000000000001E-3</v>
      </c>
      <c r="G600" s="67">
        <v>2E-3</v>
      </c>
      <c r="H600" s="63"/>
    </row>
    <row r="601" spans="1:8" x14ac:dyDescent="0.25">
      <c r="A601" s="63"/>
      <c r="B601" s="63">
        <v>19</v>
      </c>
      <c r="C601" s="63" t="s">
        <v>4294</v>
      </c>
      <c r="D601" s="63" t="s">
        <v>62</v>
      </c>
      <c r="E601" s="66"/>
      <c r="F601" s="67">
        <v>3.0000000000000001E-3</v>
      </c>
      <c r="G601" s="67">
        <v>2E-3</v>
      </c>
      <c r="H601" s="63"/>
    </row>
    <row r="602" spans="1:8" x14ac:dyDescent="0.25">
      <c r="A602" s="63"/>
      <c r="B602" s="63">
        <v>20</v>
      </c>
      <c r="C602" s="63" t="s">
        <v>4294</v>
      </c>
      <c r="D602" s="63" t="s">
        <v>62</v>
      </c>
      <c r="E602" s="66"/>
      <c r="F602" s="67">
        <v>3.0000000000000001E-3</v>
      </c>
      <c r="G602" s="67">
        <v>2E-3</v>
      </c>
      <c r="H602" s="63"/>
    </row>
    <row r="603" spans="1:8" x14ac:dyDescent="0.25">
      <c r="A603" s="63"/>
      <c r="B603" s="63">
        <v>21</v>
      </c>
      <c r="C603" s="63" t="s">
        <v>4294</v>
      </c>
      <c r="D603" s="63" t="s">
        <v>62</v>
      </c>
      <c r="E603" s="66"/>
      <c r="F603" s="67">
        <v>3.0000000000000001E-3</v>
      </c>
      <c r="G603" s="67">
        <v>2E-3</v>
      </c>
      <c r="H603" s="63"/>
    </row>
    <row r="604" spans="1:8" x14ac:dyDescent="0.25">
      <c r="A604" s="63"/>
      <c r="B604" s="63">
        <v>22</v>
      </c>
      <c r="C604" s="63" t="s">
        <v>4294</v>
      </c>
      <c r="D604" s="63" t="s">
        <v>62</v>
      </c>
      <c r="E604" s="66"/>
      <c r="F604" s="67">
        <v>3.0000000000000001E-3</v>
      </c>
      <c r="G604" s="67">
        <v>2E-3</v>
      </c>
      <c r="H604" s="63"/>
    </row>
    <row r="605" spans="1:8" x14ac:dyDescent="0.25">
      <c r="A605" s="63"/>
      <c r="B605" s="63">
        <v>23</v>
      </c>
      <c r="C605" s="63" t="s">
        <v>4294</v>
      </c>
      <c r="D605" s="63" t="s">
        <v>62</v>
      </c>
      <c r="E605" s="66"/>
      <c r="F605" s="67">
        <v>3.0000000000000001E-3</v>
      </c>
      <c r="G605" s="67">
        <v>2E-3</v>
      </c>
      <c r="H605" s="63"/>
    </row>
    <row r="606" spans="1:8" x14ac:dyDescent="0.25">
      <c r="A606" s="63"/>
      <c r="B606" s="63">
        <v>24</v>
      </c>
      <c r="C606" s="63" t="s">
        <v>4294</v>
      </c>
      <c r="D606" s="63" t="s">
        <v>62</v>
      </c>
      <c r="E606" s="66"/>
      <c r="F606" s="67">
        <v>3.0000000000000001E-3</v>
      </c>
      <c r="G606" s="67">
        <v>2E-3</v>
      </c>
      <c r="H606" s="63"/>
    </row>
    <row r="607" spans="1:8" x14ac:dyDescent="0.25">
      <c r="A607" s="63"/>
      <c r="B607" s="63">
        <v>25</v>
      </c>
      <c r="C607" s="63" t="s">
        <v>4294</v>
      </c>
      <c r="D607" s="63" t="s">
        <v>62</v>
      </c>
      <c r="E607" s="66"/>
      <c r="F607" s="67">
        <v>3.0000000000000001E-3</v>
      </c>
      <c r="G607" s="67">
        <v>2E-3</v>
      </c>
      <c r="H607" s="63"/>
    </row>
    <row r="608" spans="1:8" x14ac:dyDescent="0.25">
      <c r="A608" s="63"/>
      <c r="B608" s="63">
        <v>26</v>
      </c>
      <c r="C608" s="63" t="s">
        <v>4294</v>
      </c>
      <c r="D608" s="63" t="s">
        <v>62</v>
      </c>
      <c r="E608" s="66"/>
      <c r="F608" s="67">
        <v>3.0000000000000001E-3</v>
      </c>
      <c r="G608" s="67">
        <v>2E-3</v>
      </c>
      <c r="H608" s="63"/>
    </row>
    <row r="609" spans="1:8" x14ac:dyDescent="0.25">
      <c r="A609" s="63"/>
      <c r="B609" s="63">
        <v>27</v>
      </c>
      <c r="C609" s="63" t="s">
        <v>4294</v>
      </c>
      <c r="D609" s="63" t="s">
        <v>62</v>
      </c>
      <c r="E609" s="66"/>
      <c r="F609" s="67">
        <v>3.0000000000000001E-3</v>
      </c>
      <c r="G609" s="67">
        <v>2E-3</v>
      </c>
      <c r="H609" s="63"/>
    </row>
    <row r="610" spans="1:8" x14ac:dyDescent="0.25">
      <c r="A610" s="63"/>
      <c r="B610" s="63">
        <v>28</v>
      </c>
      <c r="C610" s="63" t="s">
        <v>4294</v>
      </c>
      <c r="D610" s="63" t="s">
        <v>62</v>
      </c>
      <c r="E610" s="66"/>
      <c r="F610" s="67">
        <v>3.0000000000000001E-3</v>
      </c>
      <c r="G610" s="67">
        <v>2E-3</v>
      </c>
      <c r="H610" s="63"/>
    </row>
    <row r="611" spans="1:8" x14ac:dyDescent="0.25">
      <c r="A611" s="63"/>
      <c r="B611" s="63">
        <v>29</v>
      </c>
      <c r="C611" s="63" t="s">
        <v>4294</v>
      </c>
      <c r="D611" s="63" t="s">
        <v>62</v>
      </c>
      <c r="E611" s="66"/>
      <c r="F611" s="67">
        <v>3.0000000000000001E-3</v>
      </c>
      <c r="G611" s="67">
        <v>2E-3</v>
      </c>
      <c r="H611" s="63"/>
    </row>
    <row r="612" spans="1:8" x14ac:dyDescent="0.25">
      <c r="A612" s="63"/>
      <c r="B612" s="63">
        <v>30</v>
      </c>
      <c r="C612" s="63" t="s">
        <v>4294</v>
      </c>
      <c r="D612" s="63" t="s">
        <v>62</v>
      </c>
      <c r="E612" s="66"/>
      <c r="F612" s="67">
        <v>3.0000000000000001E-3</v>
      </c>
      <c r="G612" s="67">
        <v>2E-3</v>
      </c>
      <c r="H612" s="63"/>
    </row>
    <row r="613" spans="1:8" x14ac:dyDescent="0.25">
      <c r="A613" s="63"/>
      <c r="B613" s="63">
        <v>0</v>
      </c>
      <c r="C613" s="63" t="s">
        <v>4294</v>
      </c>
      <c r="D613" s="63" t="s">
        <v>62</v>
      </c>
      <c r="E613" s="66">
        <v>3.0428788910505911</v>
      </c>
      <c r="F613" s="67">
        <v>3.0000000000000001E-3</v>
      </c>
      <c r="G613" s="67">
        <v>2E-3</v>
      </c>
      <c r="H613" s="63"/>
    </row>
    <row r="614" spans="1:8" x14ac:dyDescent="0.25">
      <c r="A614" s="63"/>
      <c r="B614" s="63">
        <v>0.25</v>
      </c>
      <c r="C614" s="63" t="s">
        <v>4294</v>
      </c>
      <c r="D614" s="63" t="s">
        <v>64</v>
      </c>
      <c r="E614" s="66">
        <v>19.127752698369598</v>
      </c>
      <c r="F614" s="67">
        <v>3.0000000000000001E-3</v>
      </c>
      <c r="G614" s="67">
        <v>2E-3</v>
      </c>
      <c r="H614" s="63"/>
    </row>
    <row r="615" spans="1:8" x14ac:dyDescent="0.25">
      <c r="A615" s="63"/>
      <c r="B615" s="63">
        <v>0.5</v>
      </c>
      <c r="C615" s="63" t="s">
        <v>4294</v>
      </c>
      <c r="D615" s="63" t="s">
        <v>64</v>
      </c>
      <c r="E615" s="66">
        <v>19.588754687607715</v>
      </c>
      <c r="F615" s="67">
        <v>3.0000000000000001E-3</v>
      </c>
      <c r="G615" s="67">
        <v>2E-3</v>
      </c>
      <c r="H615" s="63"/>
    </row>
    <row r="616" spans="1:8" x14ac:dyDescent="0.25">
      <c r="A616" s="63"/>
      <c r="B616" s="63">
        <v>0.75</v>
      </c>
      <c r="C616" s="63" t="s">
        <v>4294</v>
      </c>
      <c r="D616" s="63" t="s">
        <v>64</v>
      </c>
      <c r="E616" s="66">
        <v>19.892211826137899</v>
      </c>
      <c r="F616" s="67">
        <v>3.0000000000000001E-3</v>
      </c>
      <c r="G616" s="67">
        <v>2E-3</v>
      </c>
      <c r="H616" s="63"/>
    </row>
    <row r="617" spans="1:8" x14ac:dyDescent="0.25">
      <c r="A617" s="63"/>
      <c r="B617" s="63">
        <v>1</v>
      </c>
      <c r="C617" s="63" t="s">
        <v>4294</v>
      </c>
      <c r="D617" s="63" t="s">
        <v>64</v>
      </c>
      <c r="E617" s="66">
        <v>20.64455772606674</v>
      </c>
      <c r="F617" s="67">
        <v>3.0000000000000001E-3</v>
      </c>
      <c r="G617" s="67">
        <v>2E-3</v>
      </c>
      <c r="H617" s="63"/>
    </row>
    <row r="618" spans="1:8" x14ac:dyDescent="0.25">
      <c r="A618" s="63"/>
      <c r="B618" s="63">
        <v>2</v>
      </c>
      <c r="C618" s="63" t="s">
        <v>4294</v>
      </c>
      <c r="D618" s="63" t="s">
        <v>64</v>
      </c>
      <c r="E618" s="66">
        <v>22.020224218035128</v>
      </c>
      <c r="F618" s="67">
        <v>3.0000000000000001E-3</v>
      </c>
      <c r="G618" s="67">
        <v>2E-3</v>
      </c>
      <c r="H618" s="63"/>
    </row>
    <row r="619" spans="1:8" x14ac:dyDescent="0.25">
      <c r="A619" s="63"/>
      <c r="B619" s="63">
        <v>3</v>
      </c>
      <c r="C619" s="63" t="s">
        <v>4294</v>
      </c>
      <c r="D619" s="63" t="s">
        <v>64</v>
      </c>
      <c r="E619" s="66">
        <v>24.004435739730138</v>
      </c>
      <c r="F619" s="67">
        <v>3.0000000000000001E-3</v>
      </c>
      <c r="G619" s="67">
        <v>2E-3</v>
      </c>
      <c r="H619" s="63"/>
    </row>
    <row r="620" spans="1:8" x14ac:dyDescent="0.25">
      <c r="A620" s="63"/>
      <c r="B620" s="63">
        <v>4</v>
      </c>
      <c r="C620" s="63" t="s">
        <v>4294</v>
      </c>
      <c r="D620" s="63" t="s">
        <v>64</v>
      </c>
      <c r="E620" s="66">
        <v>26.075582265671787</v>
      </c>
      <c r="F620" s="67">
        <v>3.0000000000000001E-3</v>
      </c>
      <c r="G620" s="67">
        <v>2E-3</v>
      </c>
      <c r="H620" s="63"/>
    </row>
    <row r="621" spans="1:8" x14ac:dyDescent="0.25">
      <c r="A621" s="63"/>
      <c r="B621" s="63">
        <v>5</v>
      </c>
      <c r="C621" s="63" t="s">
        <v>4294</v>
      </c>
      <c r="D621" s="63" t="s">
        <v>64</v>
      </c>
      <c r="E621" s="66">
        <v>28.242357296284759</v>
      </c>
      <c r="F621" s="67">
        <v>3.0000000000000001E-3</v>
      </c>
      <c r="G621" s="67">
        <v>2E-3</v>
      </c>
      <c r="H621" s="63"/>
    </row>
    <row r="622" spans="1:8" x14ac:dyDescent="0.25">
      <c r="A622" s="63"/>
      <c r="B622" s="63">
        <v>6</v>
      </c>
      <c r="C622" s="63" t="s">
        <v>4294</v>
      </c>
      <c r="D622" s="63" t="s">
        <v>64</v>
      </c>
      <c r="E622" s="66">
        <v>32.278785457330969</v>
      </c>
      <c r="F622" s="67">
        <v>3.0000000000000001E-3</v>
      </c>
      <c r="G622" s="67">
        <v>2E-3</v>
      </c>
      <c r="H622" s="63"/>
    </row>
    <row r="623" spans="1:8" x14ac:dyDescent="0.25">
      <c r="A623" s="63"/>
      <c r="B623" s="63">
        <v>7</v>
      </c>
      <c r="C623" s="63" t="s">
        <v>4294</v>
      </c>
      <c r="D623" s="63" t="s">
        <v>64</v>
      </c>
      <c r="E623" s="66">
        <v>34.228944830548365</v>
      </c>
      <c r="F623" s="67">
        <v>3.0000000000000001E-3</v>
      </c>
      <c r="G623" s="67">
        <v>2E-3</v>
      </c>
      <c r="H623" s="63"/>
    </row>
    <row r="624" spans="1:8" x14ac:dyDescent="0.25">
      <c r="A624" s="63"/>
      <c r="B624" s="63">
        <v>8</v>
      </c>
      <c r="C624" s="63" t="s">
        <v>4294</v>
      </c>
      <c r="D624" s="63" t="s">
        <v>64</v>
      </c>
      <c r="E624" s="66">
        <v>36.293711230319367</v>
      </c>
      <c r="F624" s="67">
        <v>3.0000000000000001E-3</v>
      </c>
      <c r="G624" s="67">
        <v>2E-3</v>
      </c>
      <c r="H624" s="63"/>
    </row>
    <row r="625" spans="1:8" x14ac:dyDescent="0.25">
      <c r="A625" s="63"/>
      <c r="B625" s="63">
        <v>9</v>
      </c>
      <c r="C625" s="63" t="s">
        <v>4294</v>
      </c>
      <c r="D625" s="63" t="s">
        <v>64</v>
      </c>
      <c r="E625" s="66">
        <v>39.230142171980006</v>
      </c>
      <c r="F625" s="67">
        <v>3.0000000000000001E-3</v>
      </c>
      <c r="G625" s="67">
        <v>2E-3</v>
      </c>
      <c r="H625" s="63"/>
    </row>
    <row r="626" spans="1:8" x14ac:dyDescent="0.25">
      <c r="A626" s="63"/>
      <c r="B626" s="63">
        <v>10</v>
      </c>
      <c r="C626" s="63" t="s">
        <v>4294</v>
      </c>
      <c r="D626" s="63" t="s">
        <v>64</v>
      </c>
      <c r="E626" s="66">
        <v>41.357809622501556</v>
      </c>
      <c r="F626" s="67">
        <v>3.0000000000000001E-3</v>
      </c>
      <c r="G626" s="67">
        <v>2E-3</v>
      </c>
      <c r="H626" s="63"/>
    </row>
    <row r="627" spans="1:8" x14ac:dyDescent="0.25">
      <c r="A627" s="63"/>
      <c r="B627" s="63">
        <v>11</v>
      </c>
      <c r="C627" s="63" t="s">
        <v>4294</v>
      </c>
      <c r="D627" s="63" t="s">
        <v>64</v>
      </c>
      <c r="E627" s="66"/>
      <c r="F627" s="67">
        <v>3.0000000000000001E-3</v>
      </c>
      <c r="G627" s="67">
        <v>2E-3</v>
      </c>
      <c r="H627" s="63"/>
    </row>
    <row r="628" spans="1:8" x14ac:dyDescent="0.25">
      <c r="A628" s="63"/>
      <c r="B628" s="63">
        <v>12</v>
      </c>
      <c r="C628" s="63" t="s">
        <v>4294</v>
      </c>
      <c r="D628" s="63" t="s">
        <v>64</v>
      </c>
      <c r="E628" s="66"/>
      <c r="F628" s="67">
        <v>3.0000000000000001E-3</v>
      </c>
      <c r="G628" s="67">
        <v>2E-3</v>
      </c>
      <c r="H628" s="63"/>
    </row>
    <row r="629" spans="1:8" x14ac:dyDescent="0.25">
      <c r="A629" s="63"/>
      <c r="B629" s="63">
        <v>13</v>
      </c>
      <c r="C629" s="63" t="s">
        <v>4294</v>
      </c>
      <c r="D629" s="63" t="s">
        <v>64</v>
      </c>
      <c r="E629" s="66"/>
      <c r="F629" s="67">
        <v>3.0000000000000001E-3</v>
      </c>
      <c r="G629" s="67">
        <v>2E-3</v>
      </c>
      <c r="H629" s="63"/>
    </row>
    <row r="630" spans="1:8" x14ac:dyDescent="0.25">
      <c r="A630" s="63"/>
      <c r="B630" s="63">
        <v>14</v>
      </c>
      <c r="C630" s="63" t="s">
        <v>4294</v>
      </c>
      <c r="D630" s="63" t="s">
        <v>64</v>
      </c>
      <c r="E630" s="66"/>
      <c r="F630" s="67">
        <v>3.0000000000000001E-3</v>
      </c>
      <c r="G630" s="67">
        <v>2E-3</v>
      </c>
      <c r="H630" s="63"/>
    </row>
    <row r="631" spans="1:8" x14ac:dyDescent="0.25">
      <c r="A631" s="63"/>
      <c r="B631" s="63">
        <v>15</v>
      </c>
      <c r="C631" s="63" t="s">
        <v>4294</v>
      </c>
      <c r="D631" s="63" t="s">
        <v>64</v>
      </c>
      <c r="E631" s="66"/>
      <c r="F631" s="67">
        <v>3.0000000000000001E-3</v>
      </c>
      <c r="G631" s="67">
        <v>2E-3</v>
      </c>
      <c r="H631" s="63"/>
    </row>
    <row r="632" spans="1:8" x14ac:dyDescent="0.25">
      <c r="A632" s="63"/>
      <c r="B632" s="63">
        <v>16</v>
      </c>
      <c r="C632" s="63" t="s">
        <v>4294</v>
      </c>
      <c r="D632" s="63" t="s">
        <v>64</v>
      </c>
      <c r="E632" s="66"/>
      <c r="F632" s="67">
        <v>3.0000000000000001E-3</v>
      </c>
      <c r="G632" s="67">
        <v>2E-3</v>
      </c>
      <c r="H632" s="63"/>
    </row>
    <row r="633" spans="1:8" x14ac:dyDescent="0.25">
      <c r="A633" s="63"/>
      <c r="B633" s="63">
        <v>17</v>
      </c>
      <c r="C633" s="63" t="s">
        <v>4294</v>
      </c>
      <c r="D633" s="63" t="s">
        <v>64</v>
      </c>
      <c r="E633" s="66"/>
      <c r="F633" s="67">
        <v>3.0000000000000001E-3</v>
      </c>
      <c r="G633" s="67">
        <v>2E-3</v>
      </c>
      <c r="H633" s="63"/>
    </row>
    <row r="634" spans="1:8" x14ac:dyDescent="0.25">
      <c r="A634" s="63"/>
      <c r="B634" s="63">
        <v>18</v>
      </c>
      <c r="C634" s="63" t="s">
        <v>4294</v>
      </c>
      <c r="D634" s="63" t="s">
        <v>64</v>
      </c>
      <c r="E634" s="66"/>
      <c r="F634" s="67">
        <v>3.0000000000000001E-3</v>
      </c>
      <c r="G634" s="67">
        <v>2E-3</v>
      </c>
      <c r="H634" s="63"/>
    </row>
    <row r="635" spans="1:8" x14ac:dyDescent="0.25">
      <c r="A635" s="63"/>
      <c r="B635" s="63">
        <v>19</v>
      </c>
      <c r="C635" s="63" t="s">
        <v>4294</v>
      </c>
      <c r="D635" s="63" t="s">
        <v>64</v>
      </c>
      <c r="E635" s="66"/>
      <c r="F635" s="67">
        <v>3.0000000000000001E-3</v>
      </c>
      <c r="G635" s="67">
        <v>2E-3</v>
      </c>
      <c r="H635" s="63"/>
    </row>
    <row r="636" spans="1:8" x14ac:dyDescent="0.25">
      <c r="A636" s="63"/>
      <c r="B636" s="63">
        <v>20</v>
      </c>
      <c r="C636" s="63" t="s">
        <v>4294</v>
      </c>
      <c r="D636" s="63" t="s">
        <v>64</v>
      </c>
      <c r="E636" s="66"/>
      <c r="F636" s="67">
        <v>3.0000000000000001E-3</v>
      </c>
      <c r="G636" s="67">
        <v>2E-3</v>
      </c>
      <c r="H636" s="63"/>
    </row>
    <row r="637" spans="1:8" x14ac:dyDescent="0.25">
      <c r="A637" s="63"/>
      <c r="B637" s="63">
        <v>21</v>
      </c>
      <c r="C637" s="63" t="s">
        <v>4294</v>
      </c>
      <c r="D637" s="63" t="s">
        <v>64</v>
      </c>
      <c r="E637" s="66"/>
      <c r="F637" s="67">
        <v>3.0000000000000001E-3</v>
      </c>
      <c r="G637" s="67">
        <v>2E-3</v>
      </c>
      <c r="H637" s="63"/>
    </row>
    <row r="638" spans="1:8" x14ac:dyDescent="0.25">
      <c r="A638" s="63"/>
      <c r="B638" s="63">
        <v>22</v>
      </c>
      <c r="C638" s="63" t="s">
        <v>4294</v>
      </c>
      <c r="D638" s="63" t="s">
        <v>64</v>
      </c>
      <c r="E638" s="66"/>
      <c r="F638" s="67">
        <v>3.0000000000000001E-3</v>
      </c>
      <c r="G638" s="67">
        <v>2E-3</v>
      </c>
      <c r="H638" s="63"/>
    </row>
    <row r="639" spans="1:8" x14ac:dyDescent="0.25">
      <c r="A639" s="63"/>
      <c r="B639" s="63">
        <v>23</v>
      </c>
      <c r="C639" s="63" t="s">
        <v>4294</v>
      </c>
      <c r="D639" s="63" t="s">
        <v>64</v>
      </c>
      <c r="E639" s="66"/>
      <c r="F639" s="67">
        <v>3.0000000000000001E-3</v>
      </c>
      <c r="G639" s="67">
        <v>2E-3</v>
      </c>
      <c r="H639" s="63"/>
    </row>
    <row r="640" spans="1:8" x14ac:dyDescent="0.25">
      <c r="A640" s="63"/>
      <c r="B640" s="63">
        <v>24</v>
      </c>
      <c r="C640" s="63" t="s">
        <v>4294</v>
      </c>
      <c r="D640" s="63" t="s">
        <v>64</v>
      </c>
      <c r="E640" s="66"/>
      <c r="F640" s="67">
        <v>3.0000000000000001E-3</v>
      </c>
      <c r="G640" s="67">
        <v>2E-3</v>
      </c>
      <c r="H640" s="63"/>
    </row>
    <row r="641" spans="1:8" x14ac:dyDescent="0.25">
      <c r="A641" s="63"/>
      <c r="B641" s="63">
        <v>25</v>
      </c>
      <c r="C641" s="63" t="s">
        <v>4294</v>
      </c>
      <c r="D641" s="63" t="s">
        <v>64</v>
      </c>
      <c r="E641" s="66"/>
      <c r="F641" s="67">
        <v>3.0000000000000001E-3</v>
      </c>
      <c r="G641" s="67">
        <v>2E-3</v>
      </c>
      <c r="H641" s="63"/>
    </row>
    <row r="642" spans="1:8" x14ac:dyDescent="0.25">
      <c r="A642" s="63"/>
      <c r="B642" s="63">
        <v>26</v>
      </c>
      <c r="C642" s="63" t="s">
        <v>4294</v>
      </c>
      <c r="D642" s="63" t="s">
        <v>64</v>
      </c>
      <c r="E642" s="66"/>
      <c r="F642" s="67">
        <v>3.0000000000000001E-3</v>
      </c>
      <c r="G642" s="67">
        <v>2E-3</v>
      </c>
      <c r="H642" s="63"/>
    </row>
    <row r="643" spans="1:8" x14ac:dyDescent="0.25">
      <c r="A643" s="63"/>
      <c r="B643" s="63">
        <v>27</v>
      </c>
      <c r="C643" s="63" t="s">
        <v>4294</v>
      </c>
      <c r="D643" s="63" t="s">
        <v>64</v>
      </c>
      <c r="E643" s="66"/>
      <c r="F643" s="67">
        <v>3.0000000000000001E-3</v>
      </c>
      <c r="G643" s="67">
        <v>2E-3</v>
      </c>
      <c r="H643" s="63"/>
    </row>
    <row r="644" spans="1:8" x14ac:dyDescent="0.25">
      <c r="A644" s="63"/>
      <c r="B644" s="63">
        <v>28</v>
      </c>
      <c r="C644" s="63" t="s">
        <v>4294</v>
      </c>
      <c r="D644" s="63" t="s">
        <v>64</v>
      </c>
      <c r="E644" s="66"/>
      <c r="F644" s="67">
        <v>3.0000000000000001E-3</v>
      </c>
      <c r="G644" s="67">
        <v>2E-3</v>
      </c>
      <c r="H644" s="63"/>
    </row>
    <row r="645" spans="1:8" x14ac:dyDescent="0.25">
      <c r="A645" s="63"/>
      <c r="B645" s="63">
        <v>29</v>
      </c>
      <c r="C645" s="63" t="s">
        <v>4294</v>
      </c>
      <c r="D645" s="63" t="s">
        <v>64</v>
      </c>
      <c r="E645" s="66"/>
      <c r="F645" s="67">
        <v>3.0000000000000001E-3</v>
      </c>
      <c r="G645" s="67">
        <v>2E-3</v>
      </c>
      <c r="H645" s="63"/>
    </row>
    <row r="646" spans="1:8" x14ac:dyDescent="0.25">
      <c r="A646" s="63"/>
      <c r="B646" s="63">
        <v>30</v>
      </c>
      <c r="C646" s="63" t="s">
        <v>4294</v>
      </c>
      <c r="D646" s="63" t="s">
        <v>64</v>
      </c>
      <c r="E646" s="66"/>
      <c r="F646" s="67">
        <v>3.0000000000000001E-3</v>
      </c>
      <c r="G646" s="67">
        <v>2E-3</v>
      </c>
      <c r="H646" s="63"/>
    </row>
    <row r="647" spans="1:8" x14ac:dyDescent="0.25">
      <c r="A647" s="63"/>
      <c r="B647" s="63">
        <v>0</v>
      </c>
      <c r="C647" s="63" t="s">
        <v>4294</v>
      </c>
      <c r="D647" s="63" t="s">
        <v>64</v>
      </c>
      <c r="E647" s="66">
        <v>3.0428788910505911</v>
      </c>
      <c r="F647" s="67">
        <v>3.0000000000000001E-3</v>
      </c>
      <c r="G647" s="67">
        <v>2E-3</v>
      </c>
      <c r="H647" s="63"/>
    </row>
    <row r="648" spans="1:8" x14ac:dyDescent="0.25">
      <c r="A648" s="63"/>
      <c r="B648" s="63">
        <v>0.25</v>
      </c>
      <c r="C648" s="63" t="s">
        <v>4294</v>
      </c>
      <c r="D648" s="63" t="s">
        <v>77</v>
      </c>
      <c r="E648" s="66">
        <v>26.573997594057079</v>
      </c>
      <c r="F648" s="67">
        <v>3.0000000000000001E-3</v>
      </c>
      <c r="G648" s="67">
        <v>2E-3</v>
      </c>
      <c r="H648" s="63"/>
    </row>
    <row r="649" spans="1:8" x14ac:dyDescent="0.25">
      <c r="A649" s="63"/>
      <c r="B649" s="63">
        <v>0.5</v>
      </c>
      <c r="C649" s="63" t="s">
        <v>4294</v>
      </c>
      <c r="D649" s="63" t="s">
        <v>77</v>
      </c>
      <c r="E649" s="66">
        <v>27.681807151193791</v>
      </c>
      <c r="F649" s="67">
        <v>3.0000000000000001E-3</v>
      </c>
      <c r="G649" s="67">
        <v>2E-3</v>
      </c>
      <c r="H649" s="63"/>
    </row>
    <row r="650" spans="1:8" x14ac:dyDescent="0.25">
      <c r="A650" s="63"/>
      <c r="B650" s="63">
        <v>0.75</v>
      </c>
      <c r="C650" s="63" t="s">
        <v>4294</v>
      </c>
      <c r="D650" s="63" t="s">
        <v>77</v>
      </c>
      <c r="E650" s="66">
        <v>28.03445048527961</v>
      </c>
      <c r="F650" s="67">
        <v>3.0000000000000001E-3</v>
      </c>
      <c r="G650" s="67">
        <v>2E-3</v>
      </c>
      <c r="H650" s="63"/>
    </row>
    <row r="651" spans="1:8" x14ac:dyDescent="0.25">
      <c r="A651" s="63"/>
      <c r="B651" s="63">
        <v>1</v>
      </c>
      <c r="C651" s="63" t="s">
        <v>4294</v>
      </c>
      <c r="D651" s="63" t="s">
        <v>77</v>
      </c>
      <c r="E651" s="66">
        <v>29.542278434784421</v>
      </c>
      <c r="F651" s="67">
        <v>3.0000000000000001E-3</v>
      </c>
      <c r="G651" s="67">
        <v>2E-3</v>
      </c>
      <c r="H651" s="63"/>
    </row>
    <row r="652" spans="1:8" x14ac:dyDescent="0.25">
      <c r="A652" s="63"/>
      <c r="B652" s="63">
        <v>2</v>
      </c>
      <c r="C652" s="63" t="s">
        <v>4294</v>
      </c>
      <c r="D652" s="63" t="s">
        <v>77</v>
      </c>
      <c r="E652" s="66">
        <v>31.012506020877129</v>
      </c>
      <c r="F652" s="67">
        <v>3.0000000000000001E-3</v>
      </c>
      <c r="G652" s="67">
        <v>2E-3</v>
      </c>
      <c r="H652" s="63"/>
    </row>
    <row r="653" spans="1:8" x14ac:dyDescent="0.25">
      <c r="A653" s="63"/>
      <c r="B653" s="63">
        <v>3</v>
      </c>
      <c r="C653" s="63" t="s">
        <v>4294</v>
      </c>
      <c r="D653" s="63" t="s">
        <v>77</v>
      </c>
      <c r="E653" s="66">
        <v>38.115167932864843</v>
      </c>
      <c r="F653" s="67">
        <v>3.0000000000000001E-3</v>
      </c>
      <c r="G653" s="67">
        <v>2E-3</v>
      </c>
      <c r="H653" s="63"/>
    </row>
    <row r="654" spans="1:8" x14ac:dyDescent="0.25">
      <c r="A654" s="63"/>
      <c r="B654" s="63">
        <v>4</v>
      </c>
      <c r="C654" s="63" t="s">
        <v>4294</v>
      </c>
      <c r="D654" s="63" t="s">
        <v>77</v>
      </c>
      <c r="E654" s="66">
        <v>41.560799117227596</v>
      </c>
      <c r="F654" s="67">
        <v>3.0000000000000001E-3</v>
      </c>
      <c r="G654" s="67">
        <v>2E-3</v>
      </c>
      <c r="H654" s="63"/>
    </row>
    <row r="655" spans="1:8" x14ac:dyDescent="0.25">
      <c r="A655" s="63"/>
      <c r="B655" s="63">
        <v>5</v>
      </c>
      <c r="C655" s="63" t="s">
        <v>4294</v>
      </c>
      <c r="D655" s="63" t="s">
        <v>77</v>
      </c>
      <c r="E655" s="66">
        <v>45.22711992233458</v>
      </c>
      <c r="F655" s="67">
        <v>3.0000000000000001E-3</v>
      </c>
      <c r="G655" s="67">
        <v>2E-3</v>
      </c>
      <c r="H655" s="63"/>
    </row>
    <row r="656" spans="1:8" x14ac:dyDescent="0.25">
      <c r="A656" s="63"/>
      <c r="B656" s="63">
        <v>6</v>
      </c>
      <c r="C656" s="63" t="s">
        <v>4294</v>
      </c>
      <c r="D656" s="63" t="s">
        <v>77</v>
      </c>
      <c r="E656" s="66">
        <v>49.209203579623228</v>
      </c>
      <c r="F656" s="67">
        <v>3.0000000000000001E-3</v>
      </c>
      <c r="G656" s="67">
        <v>2E-3</v>
      </c>
      <c r="H656" s="63"/>
    </row>
    <row r="657" spans="1:8" x14ac:dyDescent="0.25">
      <c r="A657" s="63"/>
      <c r="B657" s="63">
        <v>7</v>
      </c>
      <c r="C657" s="63" t="s">
        <v>4294</v>
      </c>
      <c r="D657" s="63" t="s">
        <v>77</v>
      </c>
      <c r="E657" s="66">
        <v>53.652046334981719</v>
      </c>
      <c r="F657" s="67">
        <v>3.0000000000000001E-3</v>
      </c>
      <c r="G657" s="67">
        <v>2E-3</v>
      </c>
      <c r="H657" s="63"/>
    </row>
    <row r="658" spans="1:8" x14ac:dyDescent="0.25">
      <c r="A658" s="63"/>
      <c r="B658" s="63">
        <v>8</v>
      </c>
      <c r="C658" s="63" t="s">
        <v>4294</v>
      </c>
      <c r="D658" s="63" t="s">
        <v>77</v>
      </c>
      <c r="E658" s="66">
        <v>58.388626975550771</v>
      </c>
      <c r="F658" s="67">
        <v>3.0000000000000001E-3</v>
      </c>
      <c r="G658" s="67">
        <v>2E-3</v>
      </c>
      <c r="H658" s="63"/>
    </row>
    <row r="659" spans="1:8" x14ac:dyDescent="0.25">
      <c r="A659" s="63"/>
      <c r="B659" s="63">
        <v>9</v>
      </c>
      <c r="C659" s="63" t="s">
        <v>4294</v>
      </c>
      <c r="D659" s="63" t="s">
        <v>77</v>
      </c>
      <c r="E659" s="66">
        <v>63.448319289851462</v>
      </c>
      <c r="F659" s="67">
        <v>3.0000000000000001E-3</v>
      </c>
      <c r="G659" s="67">
        <v>2E-3</v>
      </c>
      <c r="H659" s="63"/>
    </row>
    <row r="660" spans="1:8" x14ac:dyDescent="0.25">
      <c r="A660" s="63"/>
      <c r="B660" s="63">
        <v>10</v>
      </c>
      <c r="C660" s="63" t="s">
        <v>4294</v>
      </c>
      <c r="D660" s="63" t="s">
        <v>77</v>
      </c>
      <c r="E660" s="66">
        <v>68.8634344452569</v>
      </c>
      <c r="F660" s="67">
        <v>3.0000000000000001E-3</v>
      </c>
      <c r="G660" s="67">
        <v>2E-3</v>
      </c>
      <c r="H660" s="63"/>
    </row>
    <row r="661" spans="1:8" x14ac:dyDescent="0.25">
      <c r="A661" s="63"/>
      <c r="B661" s="63">
        <v>11</v>
      </c>
      <c r="C661" s="63" t="s">
        <v>4294</v>
      </c>
      <c r="D661" s="63" t="s">
        <v>77</v>
      </c>
      <c r="E661" s="66"/>
      <c r="F661" s="67">
        <v>3.0000000000000001E-3</v>
      </c>
      <c r="G661" s="67">
        <v>2E-3</v>
      </c>
      <c r="H661" s="63"/>
    </row>
    <row r="662" spans="1:8" x14ac:dyDescent="0.25">
      <c r="A662" s="63"/>
      <c r="B662" s="63">
        <v>12</v>
      </c>
      <c r="C662" s="63" t="s">
        <v>4294</v>
      </c>
      <c r="D662" s="63" t="s">
        <v>77</v>
      </c>
      <c r="E662" s="66"/>
      <c r="F662" s="67">
        <v>3.0000000000000001E-3</v>
      </c>
      <c r="G662" s="67">
        <v>2E-3</v>
      </c>
      <c r="H662" s="63"/>
    </row>
    <row r="663" spans="1:8" x14ac:dyDescent="0.25">
      <c r="A663" s="63"/>
      <c r="B663" s="63">
        <v>13</v>
      </c>
      <c r="C663" s="63" t="s">
        <v>4294</v>
      </c>
      <c r="D663" s="63" t="s">
        <v>77</v>
      </c>
      <c r="E663" s="66"/>
      <c r="F663" s="67">
        <v>3.0000000000000001E-3</v>
      </c>
      <c r="G663" s="67">
        <v>2E-3</v>
      </c>
      <c r="H663" s="63"/>
    </row>
    <row r="664" spans="1:8" x14ac:dyDescent="0.25">
      <c r="A664" s="63"/>
      <c r="B664" s="63">
        <v>14</v>
      </c>
      <c r="C664" s="63" t="s">
        <v>4294</v>
      </c>
      <c r="D664" s="63" t="s">
        <v>77</v>
      </c>
      <c r="E664" s="66"/>
      <c r="F664" s="67">
        <v>3.0000000000000001E-3</v>
      </c>
      <c r="G664" s="67">
        <v>2E-3</v>
      </c>
      <c r="H664" s="63"/>
    </row>
    <row r="665" spans="1:8" x14ac:dyDescent="0.25">
      <c r="A665" s="63"/>
      <c r="B665" s="63">
        <v>15</v>
      </c>
      <c r="C665" s="63" t="s">
        <v>4294</v>
      </c>
      <c r="D665" s="63" t="s">
        <v>77</v>
      </c>
      <c r="E665" s="66"/>
      <c r="F665" s="67">
        <v>3.0000000000000001E-3</v>
      </c>
      <c r="G665" s="67">
        <v>2E-3</v>
      </c>
      <c r="H665" s="63"/>
    </row>
    <row r="666" spans="1:8" x14ac:dyDescent="0.25">
      <c r="A666" s="63"/>
      <c r="B666" s="63">
        <v>16</v>
      </c>
      <c r="C666" s="63" t="s">
        <v>4294</v>
      </c>
      <c r="D666" s="63" t="s">
        <v>77</v>
      </c>
      <c r="E666" s="66"/>
      <c r="F666" s="67">
        <v>3.0000000000000001E-3</v>
      </c>
      <c r="G666" s="67">
        <v>2E-3</v>
      </c>
      <c r="H666" s="63"/>
    </row>
    <row r="667" spans="1:8" x14ac:dyDescent="0.25">
      <c r="A667" s="63"/>
      <c r="B667" s="63">
        <v>17</v>
      </c>
      <c r="C667" s="63" t="s">
        <v>4294</v>
      </c>
      <c r="D667" s="63" t="s">
        <v>77</v>
      </c>
      <c r="E667" s="66"/>
      <c r="F667" s="67">
        <v>3.0000000000000001E-3</v>
      </c>
      <c r="G667" s="67">
        <v>2E-3</v>
      </c>
      <c r="H667" s="63"/>
    </row>
    <row r="668" spans="1:8" x14ac:dyDescent="0.25">
      <c r="A668" s="63"/>
      <c r="B668" s="63">
        <v>18</v>
      </c>
      <c r="C668" s="63" t="s">
        <v>4294</v>
      </c>
      <c r="D668" s="63" t="s">
        <v>77</v>
      </c>
      <c r="E668" s="66"/>
      <c r="F668" s="67">
        <v>3.0000000000000001E-3</v>
      </c>
      <c r="G668" s="67">
        <v>2E-3</v>
      </c>
      <c r="H668" s="63"/>
    </row>
    <row r="669" spans="1:8" x14ac:dyDescent="0.25">
      <c r="A669" s="63"/>
      <c r="B669" s="63">
        <v>19</v>
      </c>
      <c r="C669" s="63" t="s">
        <v>4294</v>
      </c>
      <c r="D669" s="63" t="s">
        <v>77</v>
      </c>
      <c r="E669" s="66"/>
      <c r="F669" s="67">
        <v>3.0000000000000001E-3</v>
      </c>
      <c r="G669" s="67">
        <v>2E-3</v>
      </c>
      <c r="H669" s="63"/>
    </row>
    <row r="670" spans="1:8" x14ac:dyDescent="0.25">
      <c r="A670" s="63"/>
      <c r="B670" s="63">
        <v>20</v>
      </c>
      <c r="C670" s="63" t="s">
        <v>4294</v>
      </c>
      <c r="D670" s="63" t="s">
        <v>77</v>
      </c>
      <c r="E670" s="66"/>
      <c r="F670" s="67">
        <v>3.0000000000000001E-3</v>
      </c>
      <c r="G670" s="67">
        <v>2E-3</v>
      </c>
      <c r="H670" s="63"/>
    </row>
    <row r="671" spans="1:8" x14ac:dyDescent="0.25">
      <c r="A671" s="63"/>
      <c r="B671" s="63">
        <v>21</v>
      </c>
      <c r="C671" s="63" t="s">
        <v>4294</v>
      </c>
      <c r="D671" s="63" t="s">
        <v>77</v>
      </c>
      <c r="E671" s="66"/>
      <c r="F671" s="67">
        <v>3.0000000000000001E-3</v>
      </c>
      <c r="G671" s="67">
        <v>2E-3</v>
      </c>
      <c r="H671" s="63"/>
    </row>
    <row r="672" spans="1:8" x14ac:dyDescent="0.25">
      <c r="A672" s="63"/>
      <c r="B672" s="63">
        <v>22</v>
      </c>
      <c r="C672" s="63" t="s">
        <v>4294</v>
      </c>
      <c r="D672" s="63" t="s">
        <v>77</v>
      </c>
      <c r="E672" s="66"/>
      <c r="F672" s="67">
        <v>3.0000000000000001E-3</v>
      </c>
      <c r="G672" s="67">
        <v>2E-3</v>
      </c>
      <c r="H672" s="63"/>
    </row>
    <row r="673" spans="1:8" x14ac:dyDescent="0.25">
      <c r="A673" s="63"/>
      <c r="B673" s="63">
        <v>23</v>
      </c>
      <c r="C673" s="63" t="s">
        <v>4294</v>
      </c>
      <c r="D673" s="63" t="s">
        <v>77</v>
      </c>
      <c r="E673" s="66"/>
      <c r="F673" s="67">
        <v>3.0000000000000001E-3</v>
      </c>
      <c r="G673" s="67">
        <v>2E-3</v>
      </c>
      <c r="H673" s="63"/>
    </row>
    <row r="674" spans="1:8" x14ac:dyDescent="0.25">
      <c r="A674" s="63"/>
      <c r="B674" s="63">
        <v>24</v>
      </c>
      <c r="C674" s="63" t="s">
        <v>4294</v>
      </c>
      <c r="D674" s="63" t="s">
        <v>77</v>
      </c>
      <c r="E674" s="66"/>
      <c r="F674" s="67">
        <v>3.0000000000000001E-3</v>
      </c>
      <c r="G674" s="67">
        <v>2E-3</v>
      </c>
      <c r="H674" s="63"/>
    </row>
    <row r="675" spans="1:8" x14ac:dyDescent="0.25">
      <c r="A675" s="63"/>
      <c r="B675" s="63">
        <v>25</v>
      </c>
      <c r="C675" s="63" t="s">
        <v>4294</v>
      </c>
      <c r="D675" s="63" t="s">
        <v>77</v>
      </c>
      <c r="E675" s="66"/>
      <c r="F675" s="67">
        <v>3.0000000000000001E-3</v>
      </c>
      <c r="G675" s="67">
        <v>2E-3</v>
      </c>
      <c r="H675" s="63"/>
    </row>
    <row r="676" spans="1:8" x14ac:dyDescent="0.25">
      <c r="A676" s="63"/>
      <c r="B676" s="63">
        <v>26</v>
      </c>
      <c r="C676" s="63" t="s">
        <v>4294</v>
      </c>
      <c r="D676" s="63" t="s">
        <v>77</v>
      </c>
      <c r="E676" s="66"/>
      <c r="F676" s="67">
        <v>3.0000000000000001E-3</v>
      </c>
      <c r="G676" s="67">
        <v>2E-3</v>
      </c>
      <c r="H676" s="63"/>
    </row>
    <row r="677" spans="1:8" x14ac:dyDescent="0.25">
      <c r="A677" s="63"/>
      <c r="B677" s="63">
        <v>27</v>
      </c>
      <c r="C677" s="63" t="s">
        <v>4294</v>
      </c>
      <c r="D677" s="63" t="s">
        <v>77</v>
      </c>
      <c r="E677" s="66"/>
      <c r="F677" s="67">
        <v>3.0000000000000001E-3</v>
      </c>
      <c r="G677" s="67">
        <v>2E-3</v>
      </c>
      <c r="H677" s="63"/>
    </row>
    <row r="678" spans="1:8" x14ac:dyDescent="0.25">
      <c r="A678" s="63"/>
      <c r="B678" s="63">
        <v>28</v>
      </c>
      <c r="C678" s="63" t="s">
        <v>4294</v>
      </c>
      <c r="D678" s="63" t="s">
        <v>77</v>
      </c>
      <c r="E678" s="66"/>
      <c r="F678" s="67">
        <v>3.0000000000000001E-3</v>
      </c>
      <c r="G678" s="67">
        <v>2E-3</v>
      </c>
      <c r="H678" s="63"/>
    </row>
    <row r="679" spans="1:8" x14ac:dyDescent="0.25">
      <c r="A679" s="63"/>
      <c r="B679" s="63">
        <v>29</v>
      </c>
      <c r="C679" s="63" t="s">
        <v>4294</v>
      </c>
      <c r="D679" s="63" t="s">
        <v>77</v>
      </c>
      <c r="E679" s="66"/>
      <c r="F679" s="67">
        <v>3.0000000000000001E-3</v>
      </c>
      <c r="G679" s="67">
        <v>2E-3</v>
      </c>
      <c r="H679" s="63"/>
    </row>
    <row r="680" spans="1:8" x14ac:dyDescent="0.25">
      <c r="A680" s="63"/>
      <c r="B680" s="63">
        <v>30</v>
      </c>
      <c r="C680" s="63" t="s">
        <v>4294</v>
      </c>
      <c r="D680" s="63" t="s">
        <v>77</v>
      </c>
      <c r="E680" s="66"/>
      <c r="F680" s="67">
        <v>3.0000000000000001E-3</v>
      </c>
      <c r="G680" s="67">
        <v>2E-3</v>
      </c>
      <c r="H680" s="63"/>
    </row>
    <row r="681" spans="1:8" x14ac:dyDescent="0.25">
      <c r="A681" s="63"/>
      <c r="B681" s="63">
        <v>0</v>
      </c>
      <c r="C681" s="63" t="s">
        <v>4294</v>
      </c>
      <c r="D681" s="63" t="s">
        <v>77</v>
      </c>
      <c r="E681" s="66">
        <v>3.0428788910505911</v>
      </c>
      <c r="F681" s="67">
        <v>3.0000000000000001E-3</v>
      </c>
      <c r="G681" s="67">
        <v>2E-3</v>
      </c>
      <c r="H681" s="63"/>
    </row>
    <row r="682" spans="1:8" x14ac:dyDescent="0.25">
      <c r="A682" s="63"/>
      <c r="B682" s="63">
        <v>0.25</v>
      </c>
      <c r="C682" s="63" t="s">
        <v>4654</v>
      </c>
      <c r="D682" s="63" t="s">
        <v>21</v>
      </c>
      <c r="E682" s="66">
        <v>11.913855217525144</v>
      </c>
      <c r="F682" s="67">
        <v>3.0000000000000001E-3</v>
      </c>
      <c r="G682" s="67">
        <v>2E-3</v>
      </c>
      <c r="H682" s="63"/>
    </row>
    <row r="683" spans="1:8" x14ac:dyDescent="0.25">
      <c r="A683" s="63"/>
      <c r="B683" s="63">
        <v>0.5</v>
      </c>
      <c r="C683" s="63" t="s">
        <v>4654</v>
      </c>
      <c r="D683" s="63" t="s">
        <v>21</v>
      </c>
      <c r="E683" s="66">
        <v>12.218010591446777</v>
      </c>
      <c r="F683" s="67">
        <v>3.0000000000000001E-3</v>
      </c>
      <c r="G683" s="67">
        <v>2E-3</v>
      </c>
      <c r="H683" s="63"/>
    </row>
    <row r="684" spans="1:8" x14ac:dyDescent="0.25">
      <c r="A684" s="63"/>
      <c r="B684" s="63">
        <v>0.75</v>
      </c>
      <c r="C684" s="63" t="s">
        <v>4654</v>
      </c>
      <c r="D684" s="63" t="s">
        <v>21</v>
      </c>
      <c r="E684" s="66">
        <v>13.098441438143986</v>
      </c>
      <c r="F684" s="67">
        <v>3.0000000000000001E-3</v>
      </c>
      <c r="G684" s="67">
        <v>2E-3</v>
      </c>
      <c r="H684" s="63"/>
    </row>
    <row r="685" spans="1:8" x14ac:dyDescent="0.25">
      <c r="A685" s="63"/>
      <c r="B685" s="63">
        <v>1</v>
      </c>
      <c r="C685" s="63" t="s">
        <v>4654</v>
      </c>
      <c r="D685" s="63" t="s">
        <v>21</v>
      </c>
      <c r="E685" s="66">
        <v>13.466923191603852</v>
      </c>
      <c r="F685" s="67">
        <v>3.0000000000000001E-3</v>
      </c>
      <c r="G685" s="67">
        <v>2E-3</v>
      </c>
      <c r="H685" s="63"/>
    </row>
    <row r="686" spans="1:8" x14ac:dyDescent="0.25">
      <c r="A686" s="63"/>
      <c r="B686" s="63">
        <v>2</v>
      </c>
      <c r="C686" s="63" t="s">
        <v>4654</v>
      </c>
      <c r="D686" s="63" t="s">
        <v>21</v>
      </c>
      <c r="E686" s="66">
        <v>15.563138085888387</v>
      </c>
      <c r="F686" s="67">
        <v>3.0000000000000001E-3</v>
      </c>
      <c r="G686" s="67">
        <v>2E-3</v>
      </c>
      <c r="H686" s="63"/>
    </row>
    <row r="687" spans="1:8" x14ac:dyDescent="0.25">
      <c r="A687" s="63"/>
      <c r="B687" s="63">
        <v>3</v>
      </c>
      <c r="C687" s="63" t="s">
        <v>4654</v>
      </c>
      <c r="D687" s="63" t="s">
        <v>21</v>
      </c>
      <c r="E687" s="66">
        <v>17.487703853113263</v>
      </c>
      <c r="F687" s="67">
        <v>3.0000000000000001E-3</v>
      </c>
      <c r="G687" s="67">
        <v>2E-3</v>
      </c>
      <c r="H687" s="63"/>
    </row>
    <row r="688" spans="1:8" x14ac:dyDescent="0.25">
      <c r="A688" s="63"/>
      <c r="B688" s="63">
        <v>4</v>
      </c>
      <c r="C688" s="63" t="s">
        <v>4654</v>
      </c>
      <c r="D688" s="63" t="s">
        <v>21</v>
      </c>
      <c r="E688" s="66">
        <v>19.567138129048967</v>
      </c>
      <c r="F688" s="67">
        <v>3.0000000000000001E-3</v>
      </c>
      <c r="G688" s="67">
        <v>2E-3</v>
      </c>
      <c r="H688" s="63"/>
    </row>
    <row r="689" spans="1:8" x14ac:dyDescent="0.25">
      <c r="A689" s="63"/>
      <c r="B689" s="63">
        <v>5</v>
      </c>
      <c r="C689" s="63" t="s">
        <v>4654</v>
      </c>
      <c r="D689" s="63" t="s">
        <v>21</v>
      </c>
      <c r="E689" s="66">
        <v>23.317755525654952</v>
      </c>
      <c r="F689" s="67">
        <v>3.0000000000000001E-3</v>
      </c>
      <c r="G689" s="67">
        <v>2E-3</v>
      </c>
      <c r="H689" s="63"/>
    </row>
    <row r="690" spans="1:8" x14ac:dyDescent="0.25">
      <c r="A690" s="63"/>
      <c r="B690" s="63">
        <v>6</v>
      </c>
      <c r="C690" s="63" t="s">
        <v>4654</v>
      </c>
      <c r="D690" s="63" t="s">
        <v>21</v>
      </c>
      <c r="E690" s="66">
        <v>25.388530971640378</v>
      </c>
      <c r="F690" s="67">
        <v>3.0000000000000001E-3</v>
      </c>
      <c r="G690" s="67">
        <v>2E-3</v>
      </c>
      <c r="H690" s="63"/>
    </row>
    <row r="691" spans="1:8" x14ac:dyDescent="0.25">
      <c r="A691" s="63"/>
      <c r="B691" s="63">
        <v>7</v>
      </c>
      <c r="C691" s="63" t="s">
        <v>4654</v>
      </c>
      <c r="D691" s="63" t="s">
        <v>21</v>
      </c>
      <c r="E691" s="66">
        <v>27.539801857517215</v>
      </c>
      <c r="F691" s="67">
        <v>3.0000000000000001E-3</v>
      </c>
      <c r="G691" s="67">
        <v>2E-3</v>
      </c>
      <c r="H691" s="63"/>
    </row>
    <row r="692" spans="1:8" x14ac:dyDescent="0.25">
      <c r="A692" s="63"/>
      <c r="B692" s="63">
        <v>8</v>
      </c>
      <c r="C692" s="63" t="s">
        <v>4654</v>
      </c>
      <c r="D692" s="63" t="s">
        <v>21</v>
      </c>
      <c r="E692" s="66">
        <v>29.779617727274616</v>
      </c>
      <c r="F692" s="67">
        <v>3.0000000000000001E-3</v>
      </c>
      <c r="G692" s="67">
        <v>2E-3</v>
      </c>
      <c r="H692" s="63"/>
    </row>
    <row r="693" spans="1:8" x14ac:dyDescent="0.25">
      <c r="A693" s="63"/>
      <c r="B693" s="63">
        <v>9</v>
      </c>
      <c r="C693" s="63" t="s">
        <v>4654</v>
      </c>
      <c r="D693" s="63" t="s">
        <v>21</v>
      </c>
      <c r="E693" s="66">
        <v>32.116833079300633</v>
      </c>
      <c r="F693" s="67">
        <v>3.0000000000000001E-3</v>
      </c>
      <c r="G693" s="67">
        <v>2E-3</v>
      </c>
      <c r="H693" s="63"/>
    </row>
    <row r="694" spans="1:8" x14ac:dyDescent="0.25">
      <c r="A694" s="63"/>
      <c r="B694" s="63">
        <v>10</v>
      </c>
      <c r="C694" s="63" t="s">
        <v>4654</v>
      </c>
      <c r="D694" s="63" t="s">
        <v>21</v>
      </c>
      <c r="E694" s="66">
        <v>34.005593386538443</v>
      </c>
      <c r="F694" s="67">
        <v>3.0000000000000001E-3</v>
      </c>
      <c r="G694" s="67">
        <v>2E-3</v>
      </c>
      <c r="H694" s="63"/>
    </row>
    <row r="695" spans="1:8" x14ac:dyDescent="0.25">
      <c r="A695" s="63"/>
      <c r="B695" s="63">
        <v>11</v>
      </c>
      <c r="C695" s="63" t="s">
        <v>4654</v>
      </c>
      <c r="D695" s="63" t="s">
        <v>21</v>
      </c>
      <c r="E695" s="66"/>
      <c r="F695" s="67">
        <v>3.0000000000000001E-3</v>
      </c>
      <c r="G695" s="67">
        <v>2E-3</v>
      </c>
      <c r="H695" s="63"/>
    </row>
    <row r="696" spans="1:8" x14ac:dyDescent="0.25">
      <c r="A696" s="63"/>
      <c r="B696" s="63">
        <v>12</v>
      </c>
      <c r="C696" s="63" t="s">
        <v>4654</v>
      </c>
      <c r="D696" s="63" t="s">
        <v>21</v>
      </c>
      <c r="E696" s="66"/>
      <c r="F696" s="67">
        <v>3.0000000000000001E-3</v>
      </c>
      <c r="G696" s="67">
        <v>2E-3</v>
      </c>
      <c r="H696" s="63"/>
    </row>
    <row r="697" spans="1:8" x14ac:dyDescent="0.25">
      <c r="A697" s="63"/>
      <c r="B697" s="63">
        <v>13</v>
      </c>
      <c r="C697" s="63" t="s">
        <v>4654</v>
      </c>
      <c r="D697" s="63" t="s">
        <v>21</v>
      </c>
      <c r="E697" s="66"/>
      <c r="F697" s="67">
        <v>3.0000000000000001E-3</v>
      </c>
      <c r="G697" s="67">
        <v>2E-3</v>
      </c>
      <c r="H697" s="63"/>
    </row>
    <row r="698" spans="1:8" x14ac:dyDescent="0.25">
      <c r="A698" s="63"/>
      <c r="B698" s="63">
        <v>14</v>
      </c>
      <c r="C698" s="63" t="s">
        <v>4654</v>
      </c>
      <c r="D698" s="63" t="s">
        <v>21</v>
      </c>
      <c r="E698" s="66"/>
      <c r="F698" s="67">
        <v>3.0000000000000001E-3</v>
      </c>
      <c r="G698" s="67">
        <v>2E-3</v>
      </c>
      <c r="H698" s="63"/>
    </row>
    <row r="699" spans="1:8" x14ac:dyDescent="0.25">
      <c r="A699" s="63"/>
      <c r="B699" s="63">
        <v>15</v>
      </c>
      <c r="C699" s="63" t="s">
        <v>4654</v>
      </c>
      <c r="D699" s="63" t="s">
        <v>21</v>
      </c>
      <c r="E699" s="66"/>
      <c r="F699" s="67">
        <v>3.0000000000000001E-3</v>
      </c>
      <c r="G699" s="67">
        <v>2E-3</v>
      </c>
      <c r="H699" s="63"/>
    </row>
    <row r="700" spans="1:8" x14ac:dyDescent="0.25">
      <c r="A700" s="63"/>
      <c r="B700" s="63">
        <v>16</v>
      </c>
      <c r="C700" s="63" t="s">
        <v>4654</v>
      </c>
      <c r="D700" s="63" t="s">
        <v>21</v>
      </c>
      <c r="E700" s="66"/>
      <c r="F700" s="67">
        <v>3.0000000000000001E-3</v>
      </c>
      <c r="G700" s="67">
        <v>2E-3</v>
      </c>
      <c r="H700" s="63"/>
    </row>
    <row r="701" spans="1:8" x14ac:dyDescent="0.25">
      <c r="A701" s="63"/>
      <c r="B701" s="63">
        <v>17</v>
      </c>
      <c r="C701" s="63" t="s">
        <v>4654</v>
      </c>
      <c r="D701" s="63" t="s">
        <v>21</v>
      </c>
      <c r="E701" s="66"/>
      <c r="F701" s="67">
        <v>3.0000000000000001E-3</v>
      </c>
      <c r="G701" s="67">
        <v>2E-3</v>
      </c>
      <c r="H701" s="63"/>
    </row>
    <row r="702" spans="1:8" x14ac:dyDescent="0.25">
      <c r="A702" s="63"/>
      <c r="B702" s="63">
        <v>18</v>
      </c>
      <c r="C702" s="63" t="s">
        <v>4654</v>
      </c>
      <c r="D702" s="63" t="s">
        <v>21</v>
      </c>
      <c r="E702" s="66"/>
      <c r="F702" s="67">
        <v>3.0000000000000001E-3</v>
      </c>
      <c r="G702" s="67">
        <v>2E-3</v>
      </c>
      <c r="H702" s="63"/>
    </row>
    <row r="703" spans="1:8" x14ac:dyDescent="0.25">
      <c r="A703" s="63"/>
      <c r="B703" s="63">
        <v>19</v>
      </c>
      <c r="C703" s="63" t="s">
        <v>4654</v>
      </c>
      <c r="D703" s="63" t="s">
        <v>21</v>
      </c>
      <c r="E703" s="66"/>
      <c r="F703" s="67">
        <v>3.0000000000000001E-3</v>
      </c>
      <c r="G703" s="67">
        <v>2E-3</v>
      </c>
      <c r="H703" s="63"/>
    </row>
    <row r="704" spans="1:8" x14ac:dyDescent="0.25">
      <c r="A704" s="63"/>
      <c r="B704" s="63">
        <v>20</v>
      </c>
      <c r="C704" s="63" t="s">
        <v>4654</v>
      </c>
      <c r="D704" s="63" t="s">
        <v>21</v>
      </c>
      <c r="E704" s="66"/>
      <c r="F704" s="67">
        <v>3.0000000000000001E-3</v>
      </c>
      <c r="G704" s="67">
        <v>2E-3</v>
      </c>
      <c r="H704" s="63"/>
    </row>
    <row r="705" spans="1:8" x14ac:dyDescent="0.25">
      <c r="A705" s="63"/>
      <c r="B705" s="63">
        <v>21</v>
      </c>
      <c r="C705" s="63" t="s">
        <v>4654</v>
      </c>
      <c r="D705" s="63" t="s">
        <v>21</v>
      </c>
      <c r="E705" s="66"/>
      <c r="F705" s="67">
        <v>3.0000000000000001E-3</v>
      </c>
      <c r="G705" s="67">
        <v>2E-3</v>
      </c>
      <c r="H705" s="63"/>
    </row>
    <row r="706" spans="1:8" x14ac:dyDescent="0.25">
      <c r="A706" s="63"/>
      <c r="B706" s="63">
        <v>22</v>
      </c>
      <c r="C706" s="63" t="s">
        <v>4654</v>
      </c>
      <c r="D706" s="63" t="s">
        <v>21</v>
      </c>
      <c r="E706" s="66"/>
      <c r="F706" s="67">
        <v>3.0000000000000001E-3</v>
      </c>
      <c r="G706" s="67">
        <v>2E-3</v>
      </c>
      <c r="H706" s="63"/>
    </row>
    <row r="707" spans="1:8" x14ac:dyDescent="0.25">
      <c r="A707" s="63"/>
      <c r="B707" s="63">
        <v>23</v>
      </c>
      <c r="C707" s="63" t="s">
        <v>4654</v>
      </c>
      <c r="D707" s="63" t="s">
        <v>21</v>
      </c>
      <c r="E707" s="66"/>
      <c r="F707" s="67">
        <v>3.0000000000000001E-3</v>
      </c>
      <c r="G707" s="67">
        <v>2E-3</v>
      </c>
      <c r="H707" s="63"/>
    </row>
    <row r="708" spans="1:8" x14ac:dyDescent="0.25">
      <c r="A708" s="63"/>
      <c r="B708" s="63">
        <v>24</v>
      </c>
      <c r="C708" s="63" t="s">
        <v>4654</v>
      </c>
      <c r="D708" s="63" t="s">
        <v>21</v>
      </c>
      <c r="E708" s="66"/>
      <c r="F708" s="67">
        <v>3.0000000000000001E-3</v>
      </c>
      <c r="G708" s="67">
        <v>2E-3</v>
      </c>
      <c r="H708" s="63"/>
    </row>
    <row r="709" spans="1:8" x14ac:dyDescent="0.25">
      <c r="A709" s="63"/>
      <c r="B709" s="63">
        <v>25</v>
      </c>
      <c r="C709" s="63" t="s">
        <v>4654</v>
      </c>
      <c r="D709" s="63" t="s">
        <v>21</v>
      </c>
      <c r="E709" s="66"/>
      <c r="F709" s="67">
        <v>3.0000000000000001E-3</v>
      </c>
      <c r="G709" s="67">
        <v>2E-3</v>
      </c>
      <c r="H709" s="63"/>
    </row>
    <row r="710" spans="1:8" x14ac:dyDescent="0.25">
      <c r="A710" s="63"/>
      <c r="B710" s="63">
        <v>26</v>
      </c>
      <c r="C710" s="63" t="s">
        <v>4654</v>
      </c>
      <c r="D710" s="63" t="s">
        <v>21</v>
      </c>
      <c r="E710" s="66"/>
      <c r="F710" s="67">
        <v>3.0000000000000001E-3</v>
      </c>
      <c r="G710" s="67">
        <v>2E-3</v>
      </c>
      <c r="H710" s="63"/>
    </row>
    <row r="711" spans="1:8" x14ac:dyDescent="0.25">
      <c r="A711" s="63"/>
      <c r="B711" s="63">
        <v>27</v>
      </c>
      <c r="C711" s="63" t="s">
        <v>4654</v>
      </c>
      <c r="D711" s="63" t="s">
        <v>21</v>
      </c>
      <c r="E711" s="66"/>
      <c r="F711" s="67">
        <v>3.0000000000000001E-3</v>
      </c>
      <c r="G711" s="67">
        <v>2E-3</v>
      </c>
      <c r="H711" s="63"/>
    </row>
    <row r="712" spans="1:8" x14ac:dyDescent="0.25">
      <c r="A712" s="63"/>
      <c r="B712" s="63">
        <v>28</v>
      </c>
      <c r="C712" s="63" t="s">
        <v>4654</v>
      </c>
      <c r="D712" s="63" t="s">
        <v>21</v>
      </c>
      <c r="E712" s="66"/>
      <c r="F712" s="67">
        <v>3.0000000000000001E-3</v>
      </c>
      <c r="G712" s="67">
        <v>2E-3</v>
      </c>
      <c r="H712" s="63"/>
    </row>
    <row r="713" spans="1:8" x14ac:dyDescent="0.25">
      <c r="A713" s="63"/>
      <c r="B713" s="63">
        <v>29</v>
      </c>
      <c r="C713" s="63" t="s">
        <v>4654</v>
      </c>
      <c r="D713" s="63" t="s">
        <v>21</v>
      </c>
      <c r="E713" s="66"/>
      <c r="F713" s="67">
        <v>3.0000000000000001E-3</v>
      </c>
      <c r="G713" s="67">
        <v>2E-3</v>
      </c>
      <c r="H713" s="63"/>
    </row>
    <row r="714" spans="1:8" x14ac:dyDescent="0.25">
      <c r="A714" s="63"/>
      <c r="B714" s="63">
        <v>30</v>
      </c>
      <c r="C714" s="63" t="s">
        <v>4654</v>
      </c>
      <c r="D714" s="63" t="s">
        <v>21</v>
      </c>
      <c r="E714" s="66"/>
      <c r="F714" s="67">
        <v>3.0000000000000001E-3</v>
      </c>
      <c r="G714" s="67">
        <v>2E-3</v>
      </c>
      <c r="H714" s="63"/>
    </row>
    <row r="715" spans="1:8" x14ac:dyDescent="0.25">
      <c r="A715" s="63"/>
      <c r="B715" s="63">
        <v>0</v>
      </c>
      <c r="C715" s="63" t="s">
        <v>4654</v>
      </c>
      <c r="D715" s="63" t="s">
        <v>21</v>
      </c>
      <c r="E715" s="66">
        <v>3.0428788910505911</v>
      </c>
      <c r="F715" s="67">
        <v>3.0000000000000001E-3</v>
      </c>
      <c r="G715" s="67">
        <v>2E-3</v>
      </c>
      <c r="H715" s="63"/>
    </row>
    <row r="716" spans="1:8" x14ac:dyDescent="0.25">
      <c r="A716" s="63"/>
      <c r="B716" s="63">
        <v>0.25</v>
      </c>
      <c r="C716" s="63" t="s">
        <v>4654</v>
      </c>
      <c r="D716" s="63" t="s">
        <v>62</v>
      </c>
      <c r="E716" s="66">
        <v>16.631361039134706</v>
      </c>
      <c r="F716" s="67">
        <v>3.0000000000000001E-3</v>
      </c>
      <c r="G716" s="67">
        <v>2E-3</v>
      </c>
      <c r="H716" s="63"/>
    </row>
    <row r="717" spans="1:8" x14ac:dyDescent="0.25">
      <c r="A717" s="63"/>
      <c r="B717" s="63">
        <v>0.5</v>
      </c>
      <c r="C717" s="63" t="s">
        <v>4654</v>
      </c>
      <c r="D717" s="63" t="s">
        <v>62</v>
      </c>
      <c r="E717" s="66">
        <v>17.060180136455905</v>
      </c>
      <c r="F717" s="67">
        <v>3.0000000000000001E-3</v>
      </c>
      <c r="G717" s="67">
        <v>2E-3</v>
      </c>
      <c r="H717" s="63"/>
    </row>
    <row r="718" spans="1:8" x14ac:dyDescent="0.25">
      <c r="A718" s="63"/>
      <c r="B718" s="63">
        <v>0.75</v>
      </c>
      <c r="C718" s="63" t="s">
        <v>4654</v>
      </c>
      <c r="D718" s="63" t="s">
        <v>62</v>
      </c>
      <c r="E718" s="66">
        <v>18.024171003933382</v>
      </c>
      <c r="F718" s="67">
        <v>3.0000000000000001E-3</v>
      </c>
      <c r="G718" s="67">
        <v>2E-3</v>
      </c>
      <c r="H718" s="63"/>
    </row>
    <row r="719" spans="1:8" x14ac:dyDescent="0.25">
      <c r="A719" s="63"/>
      <c r="B719" s="63">
        <v>1</v>
      </c>
      <c r="C719" s="63" t="s">
        <v>4654</v>
      </c>
      <c r="D719" s="63" t="s">
        <v>62</v>
      </c>
      <c r="E719" s="66">
        <v>18.868116637328029</v>
      </c>
      <c r="F719" s="67">
        <v>3.0000000000000001E-3</v>
      </c>
      <c r="G719" s="67">
        <v>2E-3</v>
      </c>
      <c r="H719" s="63"/>
    </row>
    <row r="720" spans="1:8" x14ac:dyDescent="0.25">
      <c r="A720" s="63"/>
      <c r="B720" s="63">
        <v>2</v>
      </c>
      <c r="C720" s="63" t="s">
        <v>4654</v>
      </c>
      <c r="D720" s="63" t="s">
        <v>62</v>
      </c>
      <c r="E720" s="66">
        <v>20.58817720770605</v>
      </c>
      <c r="F720" s="67">
        <v>3.0000000000000001E-3</v>
      </c>
      <c r="G720" s="67">
        <v>2E-3</v>
      </c>
      <c r="H720" s="63"/>
    </row>
    <row r="721" spans="1:8" x14ac:dyDescent="0.25">
      <c r="A721" s="63"/>
      <c r="B721" s="63">
        <v>3</v>
      </c>
      <c r="C721" s="63" t="s">
        <v>4654</v>
      </c>
      <c r="D721" s="63" t="s">
        <v>62</v>
      </c>
      <c r="E721" s="66">
        <v>22.864259828555831</v>
      </c>
      <c r="F721" s="67">
        <v>3.0000000000000001E-3</v>
      </c>
      <c r="G721" s="67">
        <v>2E-3</v>
      </c>
      <c r="H721" s="63"/>
    </row>
    <row r="722" spans="1:8" x14ac:dyDescent="0.25">
      <c r="A722" s="63"/>
      <c r="B722" s="63">
        <v>4</v>
      </c>
      <c r="C722" s="63" t="s">
        <v>4654</v>
      </c>
      <c r="D722" s="63" t="s">
        <v>62</v>
      </c>
      <c r="E722" s="66">
        <v>25.323053608820352</v>
      </c>
      <c r="F722" s="67">
        <v>3.0000000000000001E-3</v>
      </c>
      <c r="G722" s="67">
        <v>2E-3</v>
      </c>
      <c r="H722" s="63"/>
    </row>
    <row r="723" spans="1:8" x14ac:dyDescent="0.25">
      <c r="A723" s="63"/>
      <c r="B723" s="63">
        <v>5</v>
      </c>
      <c r="C723" s="63" t="s">
        <v>4654</v>
      </c>
      <c r="D723" s="63" t="s">
        <v>62</v>
      </c>
      <c r="E723" s="66">
        <v>28.021815637038035</v>
      </c>
      <c r="F723" s="67">
        <v>3.0000000000000001E-3</v>
      </c>
      <c r="G723" s="67">
        <v>2E-3</v>
      </c>
      <c r="H723" s="63"/>
    </row>
    <row r="724" spans="1:8" x14ac:dyDescent="0.25">
      <c r="A724" s="63"/>
      <c r="B724" s="63">
        <v>6</v>
      </c>
      <c r="C724" s="63" t="s">
        <v>4654</v>
      </c>
      <c r="D724" s="63" t="s">
        <v>62</v>
      </c>
      <c r="E724" s="66">
        <v>30.863654196486234</v>
      </c>
      <c r="F724" s="67">
        <v>3.0000000000000001E-3</v>
      </c>
      <c r="G724" s="67">
        <v>2E-3</v>
      </c>
      <c r="H724" s="63"/>
    </row>
    <row r="725" spans="1:8" x14ac:dyDescent="0.25">
      <c r="A725" s="63"/>
      <c r="B725" s="63">
        <v>7</v>
      </c>
      <c r="C725" s="63" t="s">
        <v>4654</v>
      </c>
      <c r="D725" s="63" t="s">
        <v>62</v>
      </c>
      <c r="E725" s="66">
        <v>33.866973124126531</v>
      </c>
      <c r="F725" s="67">
        <v>3.0000000000000001E-3</v>
      </c>
      <c r="G725" s="67">
        <v>2E-3</v>
      </c>
      <c r="H725" s="63"/>
    </row>
    <row r="726" spans="1:8" x14ac:dyDescent="0.25">
      <c r="A726" s="63"/>
      <c r="B726" s="63">
        <v>8</v>
      </c>
      <c r="C726" s="63" t="s">
        <v>4654</v>
      </c>
      <c r="D726" s="63" t="s">
        <v>62</v>
      </c>
      <c r="E726" s="66">
        <v>37.052606032896897</v>
      </c>
      <c r="F726" s="67">
        <v>3.0000000000000001E-3</v>
      </c>
      <c r="G726" s="67">
        <v>2E-3</v>
      </c>
      <c r="H726" s="63"/>
    </row>
    <row r="727" spans="1:8" x14ac:dyDescent="0.25">
      <c r="A727" s="63"/>
      <c r="B727" s="63">
        <v>9</v>
      </c>
      <c r="C727" s="63" t="s">
        <v>4654</v>
      </c>
      <c r="D727" s="63" t="s">
        <v>62</v>
      </c>
      <c r="E727" s="66">
        <v>39.965079814445566</v>
      </c>
      <c r="F727" s="67">
        <v>3.0000000000000001E-3</v>
      </c>
      <c r="G727" s="67">
        <v>2E-3</v>
      </c>
      <c r="H727" s="63"/>
    </row>
    <row r="728" spans="1:8" x14ac:dyDescent="0.25">
      <c r="A728" s="63"/>
      <c r="B728" s="63">
        <v>10</v>
      </c>
      <c r="C728" s="63" t="s">
        <v>4654</v>
      </c>
      <c r="D728" s="63" t="s">
        <v>62</v>
      </c>
      <c r="E728" s="66">
        <v>42.780649023864797</v>
      </c>
      <c r="F728" s="67">
        <v>3.0000000000000001E-3</v>
      </c>
      <c r="G728" s="67">
        <v>2E-3</v>
      </c>
      <c r="H728" s="63"/>
    </row>
    <row r="729" spans="1:8" x14ac:dyDescent="0.25">
      <c r="A729" s="63"/>
      <c r="B729" s="63">
        <v>11</v>
      </c>
      <c r="C729" s="63" t="s">
        <v>4654</v>
      </c>
      <c r="D729" s="63" t="s">
        <v>62</v>
      </c>
      <c r="E729" s="66"/>
      <c r="F729" s="67">
        <v>3.0000000000000001E-3</v>
      </c>
      <c r="G729" s="67">
        <v>2E-3</v>
      </c>
      <c r="H729" s="63"/>
    </row>
    <row r="730" spans="1:8" x14ac:dyDescent="0.25">
      <c r="A730" s="63"/>
      <c r="B730" s="63">
        <v>12</v>
      </c>
      <c r="C730" s="63" t="s">
        <v>4654</v>
      </c>
      <c r="D730" s="63" t="s">
        <v>62</v>
      </c>
      <c r="E730" s="66"/>
      <c r="F730" s="67">
        <v>3.0000000000000001E-3</v>
      </c>
      <c r="G730" s="67">
        <v>2E-3</v>
      </c>
      <c r="H730" s="63"/>
    </row>
    <row r="731" spans="1:8" x14ac:dyDescent="0.25">
      <c r="A731" s="63"/>
      <c r="B731" s="63">
        <v>13</v>
      </c>
      <c r="C731" s="63" t="s">
        <v>4654</v>
      </c>
      <c r="D731" s="63" t="s">
        <v>62</v>
      </c>
      <c r="E731" s="66"/>
      <c r="F731" s="67">
        <v>3.0000000000000001E-3</v>
      </c>
      <c r="G731" s="67">
        <v>2E-3</v>
      </c>
      <c r="H731" s="63"/>
    </row>
    <row r="732" spans="1:8" x14ac:dyDescent="0.25">
      <c r="A732" s="63"/>
      <c r="B732" s="63">
        <v>14</v>
      </c>
      <c r="C732" s="63" t="s">
        <v>4654</v>
      </c>
      <c r="D732" s="63" t="s">
        <v>62</v>
      </c>
      <c r="E732" s="66"/>
      <c r="F732" s="67">
        <v>3.0000000000000001E-3</v>
      </c>
      <c r="G732" s="67">
        <v>2E-3</v>
      </c>
      <c r="H732" s="63"/>
    </row>
    <row r="733" spans="1:8" x14ac:dyDescent="0.25">
      <c r="A733" s="63"/>
      <c r="B733" s="63">
        <v>15</v>
      </c>
      <c r="C733" s="63" t="s">
        <v>4654</v>
      </c>
      <c r="D733" s="63" t="s">
        <v>62</v>
      </c>
      <c r="E733" s="66"/>
      <c r="F733" s="67">
        <v>3.0000000000000001E-3</v>
      </c>
      <c r="G733" s="67">
        <v>2E-3</v>
      </c>
      <c r="H733" s="63"/>
    </row>
    <row r="734" spans="1:8" x14ac:dyDescent="0.25">
      <c r="A734" s="63"/>
      <c r="B734" s="63">
        <v>16</v>
      </c>
      <c r="C734" s="63" t="s">
        <v>4654</v>
      </c>
      <c r="D734" s="63" t="s">
        <v>62</v>
      </c>
      <c r="E734" s="66"/>
      <c r="F734" s="67">
        <v>3.0000000000000001E-3</v>
      </c>
      <c r="G734" s="67">
        <v>2E-3</v>
      </c>
      <c r="H734" s="63"/>
    </row>
    <row r="735" spans="1:8" x14ac:dyDescent="0.25">
      <c r="A735" s="63"/>
      <c r="B735" s="63">
        <v>17</v>
      </c>
      <c r="C735" s="63" t="s">
        <v>4654</v>
      </c>
      <c r="D735" s="63" t="s">
        <v>62</v>
      </c>
      <c r="E735" s="66"/>
      <c r="F735" s="67">
        <v>3.0000000000000001E-3</v>
      </c>
      <c r="G735" s="67">
        <v>2E-3</v>
      </c>
      <c r="H735" s="63"/>
    </row>
    <row r="736" spans="1:8" x14ac:dyDescent="0.25">
      <c r="A736" s="63"/>
      <c r="B736" s="63">
        <v>18</v>
      </c>
      <c r="C736" s="63" t="s">
        <v>4654</v>
      </c>
      <c r="D736" s="63" t="s">
        <v>62</v>
      </c>
      <c r="E736" s="66"/>
      <c r="F736" s="67">
        <v>3.0000000000000001E-3</v>
      </c>
      <c r="G736" s="67">
        <v>2E-3</v>
      </c>
      <c r="H736" s="63"/>
    </row>
    <row r="737" spans="1:8" x14ac:dyDescent="0.25">
      <c r="A737" s="63"/>
      <c r="B737" s="63">
        <v>19</v>
      </c>
      <c r="C737" s="63" t="s">
        <v>4654</v>
      </c>
      <c r="D737" s="63" t="s">
        <v>62</v>
      </c>
      <c r="E737" s="66"/>
      <c r="F737" s="67">
        <v>3.0000000000000001E-3</v>
      </c>
      <c r="G737" s="67">
        <v>2E-3</v>
      </c>
      <c r="H737" s="63"/>
    </row>
    <row r="738" spans="1:8" x14ac:dyDescent="0.25">
      <c r="A738" s="63"/>
      <c r="B738" s="63">
        <v>20</v>
      </c>
      <c r="C738" s="63" t="s">
        <v>4654</v>
      </c>
      <c r="D738" s="63" t="s">
        <v>62</v>
      </c>
      <c r="E738" s="66"/>
      <c r="F738" s="67">
        <v>3.0000000000000001E-3</v>
      </c>
      <c r="G738" s="67">
        <v>2E-3</v>
      </c>
      <c r="H738" s="63"/>
    </row>
    <row r="739" spans="1:8" x14ac:dyDescent="0.25">
      <c r="A739" s="63"/>
      <c r="B739" s="63">
        <v>21</v>
      </c>
      <c r="C739" s="63" t="s">
        <v>4654</v>
      </c>
      <c r="D739" s="63" t="s">
        <v>62</v>
      </c>
      <c r="E739" s="66"/>
      <c r="F739" s="67">
        <v>3.0000000000000001E-3</v>
      </c>
      <c r="G739" s="67">
        <v>2E-3</v>
      </c>
      <c r="H739" s="63"/>
    </row>
    <row r="740" spans="1:8" x14ac:dyDescent="0.25">
      <c r="A740" s="63"/>
      <c r="B740" s="63">
        <v>22</v>
      </c>
      <c r="C740" s="63" t="s">
        <v>4654</v>
      </c>
      <c r="D740" s="63" t="s">
        <v>62</v>
      </c>
      <c r="E740" s="66"/>
      <c r="F740" s="67">
        <v>3.0000000000000001E-3</v>
      </c>
      <c r="G740" s="67">
        <v>2E-3</v>
      </c>
      <c r="H740" s="63"/>
    </row>
    <row r="741" spans="1:8" x14ac:dyDescent="0.25">
      <c r="A741" s="63"/>
      <c r="B741" s="63">
        <v>23</v>
      </c>
      <c r="C741" s="63" t="s">
        <v>4654</v>
      </c>
      <c r="D741" s="63" t="s">
        <v>62</v>
      </c>
      <c r="E741" s="66"/>
      <c r="F741" s="67">
        <v>3.0000000000000001E-3</v>
      </c>
      <c r="G741" s="67">
        <v>2E-3</v>
      </c>
      <c r="H741" s="63"/>
    </row>
    <row r="742" spans="1:8" x14ac:dyDescent="0.25">
      <c r="A742" s="63"/>
      <c r="B742" s="63">
        <v>24</v>
      </c>
      <c r="C742" s="63" t="s">
        <v>4654</v>
      </c>
      <c r="D742" s="63" t="s">
        <v>62</v>
      </c>
      <c r="E742" s="66"/>
      <c r="F742" s="67">
        <v>3.0000000000000001E-3</v>
      </c>
      <c r="G742" s="67">
        <v>2E-3</v>
      </c>
      <c r="H742" s="63"/>
    </row>
    <row r="743" spans="1:8" x14ac:dyDescent="0.25">
      <c r="A743" s="63"/>
      <c r="B743" s="63">
        <v>25</v>
      </c>
      <c r="C743" s="63" t="s">
        <v>4654</v>
      </c>
      <c r="D743" s="63" t="s">
        <v>62</v>
      </c>
      <c r="E743" s="66"/>
      <c r="F743" s="67">
        <v>3.0000000000000001E-3</v>
      </c>
      <c r="G743" s="67">
        <v>2E-3</v>
      </c>
      <c r="H743" s="63"/>
    </row>
    <row r="744" spans="1:8" x14ac:dyDescent="0.25">
      <c r="A744" s="63"/>
      <c r="B744" s="63">
        <v>26</v>
      </c>
      <c r="C744" s="63" t="s">
        <v>4654</v>
      </c>
      <c r="D744" s="63" t="s">
        <v>62</v>
      </c>
      <c r="E744" s="66"/>
      <c r="F744" s="67">
        <v>3.0000000000000001E-3</v>
      </c>
      <c r="G744" s="67">
        <v>2E-3</v>
      </c>
      <c r="H744" s="63"/>
    </row>
    <row r="745" spans="1:8" x14ac:dyDescent="0.25">
      <c r="A745" s="63"/>
      <c r="B745" s="63">
        <v>27</v>
      </c>
      <c r="C745" s="63" t="s">
        <v>4654</v>
      </c>
      <c r="D745" s="63" t="s">
        <v>62</v>
      </c>
      <c r="E745" s="66"/>
      <c r="F745" s="67">
        <v>3.0000000000000001E-3</v>
      </c>
      <c r="G745" s="67">
        <v>2E-3</v>
      </c>
      <c r="H745" s="63"/>
    </row>
    <row r="746" spans="1:8" x14ac:dyDescent="0.25">
      <c r="A746" s="63"/>
      <c r="B746" s="63">
        <v>28</v>
      </c>
      <c r="C746" s="63" t="s">
        <v>4654</v>
      </c>
      <c r="D746" s="63" t="s">
        <v>62</v>
      </c>
      <c r="E746" s="66"/>
      <c r="F746" s="67">
        <v>3.0000000000000001E-3</v>
      </c>
      <c r="G746" s="67">
        <v>2E-3</v>
      </c>
      <c r="H746" s="63"/>
    </row>
    <row r="747" spans="1:8" x14ac:dyDescent="0.25">
      <c r="A747" s="63"/>
      <c r="B747" s="63">
        <v>29</v>
      </c>
      <c r="C747" s="63" t="s">
        <v>4654</v>
      </c>
      <c r="D747" s="63" t="s">
        <v>62</v>
      </c>
      <c r="E747" s="66"/>
      <c r="F747" s="67">
        <v>3.0000000000000001E-3</v>
      </c>
      <c r="G747" s="67">
        <v>2E-3</v>
      </c>
      <c r="H747" s="63"/>
    </row>
    <row r="748" spans="1:8" x14ac:dyDescent="0.25">
      <c r="A748" s="63"/>
      <c r="B748" s="63">
        <v>30</v>
      </c>
      <c r="C748" s="63" t="s">
        <v>4654</v>
      </c>
      <c r="D748" s="63" t="s">
        <v>62</v>
      </c>
      <c r="E748" s="66"/>
      <c r="F748" s="67">
        <v>3.0000000000000001E-3</v>
      </c>
      <c r="G748" s="67">
        <v>2E-3</v>
      </c>
      <c r="H748" s="63"/>
    </row>
    <row r="749" spans="1:8" x14ac:dyDescent="0.25">
      <c r="A749" s="63"/>
      <c r="B749" s="63">
        <v>0</v>
      </c>
      <c r="C749" s="63" t="s">
        <v>4654</v>
      </c>
      <c r="D749" s="63" t="s">
        <v>62</v>
      </c>
      <c r="E749" s="66">
        <v>3.0428788910505911</v>
      </c>
      <c r="F749" s="67">
        <v>3.0000000000000001E-3</v>
      </c>
      <c r="G749" s="67">
        <v>2E-3</v>
      </c>
      <c r="H749" s="63"/>
    </row>
    <row r="750" spans="1:8" x14ac:dyDescent="0.25">
      <c r="A750" s="63"/>
      <c r="B750" s="63">
        <v>0.25</v>
      </c>
      <c r="C750" s="63" t="s">
        <v>4654</v>
      </c>
      <c r="D750" s="63" t="s">
        <v>64</v>
      </c>
      <c r="E750" s="66">
        <v>19.475693895950801</v>
      </c>
      <c r="F750" s="67">
        <v>3.0000000000000001E-3</v>
      </c>
      <c r="G750" s="67">
        <v>2E-3</v>
      </c>
      <c r="H750" s="63"/>
    </row>
    <row r="751" spans="1:8" x14ac:dyDescent="0.25">
      <c r="A751" s="63"/>
      <c r="B751" s="63">
        <v>0.5</v>
      </c>
      <c r="C751" s="63" t="s">
        <v>4654</v>
      </c>
      <c r="D751" s="63" t="s">
        <v>64</v>
      </c>
      <c r="E751" s="66">
        <v>20.024452706180426</v>
      </c>
      <c r="F751" s="67">
        <v>3.0000000000000001E-3</v>
      </c>
      <c r="G751" s="67">
        <v>2E-3</v>
      </c>
      <c r="H751" s="63"/>
    </row>
    <row r="752" spans="1:8" x14ac:dyDescent="0.25">
      <c r="A752" s="63"/>
      <c r="B752" s="63">
        <v>0.75</v>
      </c>
      <c r="C752" s="63" t="s">
        <v>4654</v>
      </c>
      <c r="D752" s="63" t="s">
        <v>64</v>
      </c>
      <c r="E752" s="66">
        <v>20.875099128492941</v>
      </c>
      <c r="F752" s="67">
        <v>3.0000000000000001E-3</v>
      </c>
      <c r="G752" s="67">
        <v>2E-3</v>
      </c>
      <c r="H752" s="63"/>
    </row>
    <row r="753" spans="1:8" x14ac:dyDescent="0.25">
      <c r="A753" s="63"/>
      <c r="B753" s="63">
        <v>1</v>
      </c>
      <c r="C753" s="63" t="s">
        <v>4654</v>
      </c>
      <c r="D753" s="63" t="s">
        <v>64</v>
      </c>
      <c r="E753" s="66">
        <v>21.733350185946453</v>
      </c>
      <c r="F753" s="67">
        <v>3.0000000000000001E-3</v>
      </c>
      <c r="G753" s="67">
        <v>2E-3</v>
      </c>
      <c r="H753" s="63"/>
    </row>
    <row r="754" spans="1:8" x14ac:dyDescent="0.25">
      <c r="A754" s="63"/>
      <c r="B754" s="63">
        <v>2</v>
      </c>
      <c r="C754" s="63" t="s">
        <v>4654</v>
      </c>
      <c r="D754" s="63" t="s">
        <v>64</v>
      </c>
      <c r="E754" s="66">
        <v>23.861555618318132</v>
      </c>
      <c r="F754" s="67">
        <v>3.0000000000000001E-3</v>
      </c>
      <c r="G754" s="67">
        <v>2E-3</v>
      </c>
      <c r="H754" s="63"/>
    </row>
    <row r="755" spans="1:8" x14ac:dyDescent="0.25">
      <c r="A755" s="63"/>
      <c r="B755" s="63">
        <v>3</v>
      </c>
      <c r="C755" s="63" t="s">
        <v>4654</v>
      </c>
      <c r="D755" s="63" t="s">
        <v>64</v>
      </c>
      <c r="E755" s="66">
        <v>26.599525609534091</v>
      </c>
      <c r="F755" s="67">
        <v>3.0000000000000001E-3</v>
      </c>
      <c r="G755" s="67">
        <v>2E-3</v>
      </c>
      <c r="H755" s="63"/>
    </row>
    <row r="756" spans="1:8" x14ac:dyDescent="0.25">
      <c r="A756" s="63"/>
      <c r="B756" s="63">
        <v>4</v>
      </c>
      <c r="C756" s="63" t="s">
        <v>4654</v>
      </c>
      <c r="D756" s="63" t="s">
        <v>64</v>
      </c>
      <c r="E756" s="66">
        <v>29.424604823442099</v>
      </c>
      <c r="F756" s="67">
        <v>3.0000000000000001E-3</v>
      </c>
      <c r="G756" s="67">
        <v>2E-3</v>
      </c>
      <c r="H756" s="63"/>
    </row>
    <row r="757" spans="1:8" x14ac:dyDescent="0.25">
      <c r="A757" s="63"/>
      <c r="B757" s="63">
        <v>5</v>
      </c>
      <c r="C757" s="63" t="s">
        <v>4654</v>
      </c>
      <c r="D757" s="63" t="s">
        <v>64</v>
      </c>
      <c r="E757" s="66">
        <v>32.345504182311352</v>
      </c>
      <c r="F757" s="67">
        <v>3.0000000000000001E-3</v>
      </c>
      <c r="G757" s="67">
        <v>2E-3</v>
      </c>
      <c r="H757" s="63"/>
    </row>
    <row r="758" spans="1:8" x14ac:dyDescent="0.25">
      <c r="A758" s="63"/>
      <c r="B758" s="63">
        <v>6</v>
      </c>
      <c r="C758" s="63" t="s">
        <v>4654</v>
      </c>
      <c r="D758" s="63" t="s">
        <v>64</v>
      </c>
      <c r="E758" s="66">
        <v>37.073967958020759</v>
      </c>
      <c r="F758" s="67">
        <v>3.0000000000000001E-3</v>
      </c>
      <c r="G758" s="67">
        <v>2E-3</v>
      </c>
      <c r="H758" s="63"/>
    </row>
    <row r="759" spans="1:8" x14ac:dyDescent="0.25">
      <c r="A759" s="63"/>
      <c r="B759" s="63">
        <v>7</v>
      </c>
      <c r="C759" s="63" t="s">
        <v>4654</v>
      </c>
      <c r="D759" s="63" t="s">
        <v>64</v>
      </c>
      <c r="E759" s="66">
        <v>39.537280452065687</v>
      </c>
      <c r="F759" s="67">
        <v>3.0000000000000001E-3</v>
      </c>
      <c r="G759" s="67">
        <v>2E-3</v>
      </c>
      <c r="H759" s="63"/>
    </row>
    <row r="760" spans="1:8" x14ac:dyDescent="0.25">
      <c r="A760" s="63"/>
      <c r="B760" s="63">
        <v>8</v>
      </c>
      <c r="C760" s="63" t="s">
        <v>4654</v>
      </c>
      <c r="D760" s="63" t="s">
        <v>64</v>
      </c>
      <c r="E760" s="66">
        <v>42.115429646064094</v>
      </c>
      <c r="F760" s="67">
        <v>3.0000000000000001E-3</v>
      </c>
      <c r="G760" s="67">
        <v>2E-3</v>
      </c>
      <c r="H760" s="63"/>
    </row>
    <row r="761" spans="1:8" x14ac:dyDescent="0.25">
      <c r="A761" s="63"/>
      <c r="B761" s="63">
        <v>9</v>
      </c>
      <c r="C761" s="63" t="s">
        <v>4654</v>
      </c>
      <c r="D761" s="63" t="s">
        <v>64</v>
      </c>
      <c r="E761" s="66">
        <v>45.566990204681431</v>
      </c>
      <c r="F761" s="67">
        <v>3.0000000000000001E-3</v>
      </c>
      <c r="G761" s="67">
        <v>2E-3</v>
      </c>
      <c r="H761" s="63"/>
    </row>
    <row r="762" spans="1:8" x14ac:dyDescent="0.25">
      <c r="A762" s="63"/>
      <c r="B762" s="63">
        <v>10</v>
      </c>
      <c r="C762" s="63" t="s">
        <v>4654</v>
      </c>
      <c r="D762" s="63" t="s">
        <v>64</v>
      </c>
      <c r="E762" s="66">
        <v>48.2081665036403</v>
      </c>
      <c r="F762" s="67">
        <v>3.0000000000000001E-3</v>
      </c>
      <c r="G762" s="67">
        <v>2E-3</v>
      </c>
      <c r="H762" s="63"/>
    </row>
    <row r="763" spans="1:8" x14ac:dyDescent="0.25">
      <c r="A763" s="63"/>
      <c r="B763" s="63">
        <v>11</v>
      </c>
      <c r="C763" s="63" t="s">
        <v>4654</v>
      </c>
      <c r="D763" s="63" t="s">
        <v>64</v>
      </c>
      <c r="E763" s="66"/>
      <c r="F763" s="67">
        <v>3.0000000000000001E-3</v>
      </c>
      <c r="G763" s="67">
        <v>2E-3</v>
      </c>
      <c r="H763" s="63"/>
    </row>
    <row r="764" spans="1:8" x14ac:dyDescent="0.25">
      <c r="A764" s="63"/>
      <c r="B764" s="63">
        <v>12</v>
      </c>
      <c r="C764" s="63" t="s">
        <v>4654</v>
      </c>
      <c r="D764" s="63" t="s">
        <v>64</v>
      </c>
      <c r="E764" s="66"/>
      <c r="F764" s="67">
        <v>3.0000000000000001E-3</v>
      </c>
      <c r="G764" s="67">
        <v>2E-3</v>
      </c>
      <c r="H764" s="63"/>
    </row>
    <row r="765" spans="1:8" x14ac:dyDescent="0.25">
      <c r="A765" s="63"/>
      <c r="B765" s="63">
        <v>13</v>
      </c>
      <c r="C765" s="63" t="s">
        <v>4654</v>
      </c>
      <c r="D765" s="63" t="s">
        <v>64</v>
      </c>
      <c r="E765" s="66"/>
      <c r="F765" s="67">
        <v>3.0000000000000001E-3</v>
      </c>
      <c r="G765" s="67">
        <v>2E-3</v>
      </c>
      <c r="H765" s="63"/>
    </row>
    <row r="766" spans="1:8" x14ac:dyDescent="0.25">
      <c r="A766" s="63"/>
      <c r="B766" s="63">
        <v>14</v>
      </c>
      <c r="C766" s="63" t="s">
        <v>4654</v>
      </c>
      <c r="D766" s="63" t="s">
        <v>64</v>
      </c>
      <c r="E766" s="66"/>
      <c r="F766" s="67">
        <v>3.0000000000000001E-3</v>
      </c>
      <c r="G766" s="67">
        <v>2E-3</v>
      </c>
      <c r="H766" s="63"/>
    </row>
    <row r="767" spans="1:8" x14ac:dyDescent="0.25">
      <c r="A767" s="63"/>
      <c r="B767" s="63">
        <v>15</v>
      </c>
      <c r="C767" s="63" t="s">
        <v>4654</v>
      </c>
      <c r="D767" s="63" t="s">
        <v>64</v>
      </c>
      <c r="E767" s="66"/>
      <c r="F767" s="67">
        <v>3.0000000000000001E-3</v>
      </c>
      <c r="G767" s="67">
        <v>2E-3</v>
      </c>
      <c r="H767" s="63"/>
    </row>
    <row r="768" spans="1:8" x14ac:dyDescent="0.25">
      <c r="A768" s="63"/>
      <c r="B768" s="63">
        <v>16</v>
      </c>
      <c r="C768" s="63" t="s">
        <v>4654</v>
      </c>
      <c r="D768" s="63" t="s">
        <v>64</v>
      </c>
      <c r="E768" s="66"/>
      <c r="F768" s="67">
        <v>3.0000000000000001E-3</v>
      </c>
      <c r="G768" s="67">
        <v>2E-3</v>
      </c>
      <c r="H768" s="63"/>
    </row>
    <row r="769" spans="1:8" x14ac:dyDescent="0.25">
      <c r="A769" s="63"/>
      <c r="B769" s="63">
        <v>17</v>
      </c>
      <c r="C769" s="63" t="s">
        <v>4654</v>
      </c>
      <c r="D769" s="63" t="s">
        <v>64</v>
      </c>
      <c r="E769" s="66"/>
      <c r="F769" s="67">
        <v>3.0000000000000001E-3</v>
      </c>
      <c r="G769" s="67">
        <v>2E-3</v>
      </c>
      <c r="H769" s="63"/>
    </row>
    <row r="770" spans="1:8" x14ac:dyDescent="0.25">
      <c r="A770" s="63"/>
      <c r="B770" s="63">
        <v>18</v>
      </c>
      <c r="C770" s="63" t="s">
        <v>4654</v>
      </c>
      <c r="D770" s="63" t="s">
        <v>64</v>
      </c>
      <c r="E770" s="66"/>
      <c r="F770" s="67">
        <v>3.0000000000000001E-3</v>
      </c>
      <c r="G770" s="67">
        <v>2E-3</v>
      </c>
      <c r="H770" s="63"/>
    </row>
    <row r="771" spans="1:8" x14ac:dyDescent="0.25">
      <c r="A771" s="63"/>
      <c r="B771" s="63">
        <v>19</v>
      </c>
      <c r="C771" s="63" t="s">
        <v>4654</v>
      </c>
      <c r="D771" s="63" t="s">
        <v>64</v>
      </c>
      <c r="E771" s="66"/>
      <c r="F771" s="67">
        <v>3.0000000000000001E-3</v>
      </c>
      <c r="G771" s="67">
        <v>2E-3</v>
      </c>
      <c r="H771" s="63"/>
    </row>
    <row r="772" spans="1:8" x14ac:dyDescent="0.25">
      <c r="A772" s="63"/>
      <c r="B772" s="63">
        <v>20</v>
      </c>
      <c r="C772" s="63" t="s">
        <v>4654</v>
      </c>
      <c r="D772" s="63" t="s">
        <v>64</v>
      </c>
      <c r="E772" s="66"/>
      <c r="F772" s="67">
        <v>3.0000000000000001E-3</v>
      </c>
      <c r="G772" s="67">
        <v>2E-3</v>
      </c>
      <c r="H772" s="63"/>
    </row>
    <row r="773" spans="1:8" x14ac:dyDescent="0.25">
      <c r="A773" s="63"/>
      <c r="B773" s="63">
        <v>21</v>
      </c>
      <c r="C773" s="63" t="s">
        <v>4654</v>
      </c>
      <c r="D773" s="63" t="s">
        <v>64</v>
      </c>
      <c r="E773" s="66"/>
      <c r="F773" s="67">
        <v>3.0000000000000001E-3</v>
      </c>
      <c r="G773" s="67">
        <v>2E-3</v>
      </c>
      <c r="H773" s="63"/>
    </row>
    <row r="774" spans="1:8" x14ac:dyDescent="0.25">
      <c r="A774" s="63"/>
      <c r="B774" s="63">
        <v>22</v>
      </c>
      <c r="C774" s="63" t="s">
        <v>4654</v>
      </c>
      <c r="D774" s="63" t="s">
        <v>64</v>
      </c>
      <c r="E774" s="66"/>
      <c r="F774" s="67">
        <v>3.0000000000000001E-3</v>
      </c>
      <c r="G774" s="67">
        <v>2E-3</v>
      </c>
      <c r="H774" s="63"/>
    </row>
    <row r="775" spans="1:8" x14ac:dyDescent="0.25">
      <c r="A775" s="63"/>
      <c r="B775" s="63">
        <v>23</v>
      </c>
      <c r="C775" s="63" t="s">
        <v>4654</v>
      </c>
      <c r="D775" s="63" t="s">
        <v>64</v>
      </c>
      <c r="E775" s="66"/>
      <c r="F775" s="67">
        <v>3.0000000000000001E-3</v>
      </c>
      <c r="G775" s="67">
        <v>2E-3</v>
      </c>
      <c r="H775" s="63"/>
    </row>
    <row r="776" spans="1:8" x14ac:dyDescent="0.25">
      <c r="A776" s="63"/>
      <c r="B776" s="63">
        <v>24</v>
      </c>
      <c r="C776" s="63" t="s">
        <v>4654</v>
      </c>
      <c r="D776" s="63" t="s">
        <v>64</v>
      </c>
      <c r="E776" s="66"/>
      <c r="F776" s="67">
        <v>3.0000000000000001E-3</v>
      </c>
      <c r="G776" s="67">
        <v>2E-3</v>
      </c>
      <c r="H776" s="63"/>
    </row>
    <row r="777" spans="1:8" x14ac:dyDescent="0.25">
      <c r="A777" s="63"/>
      <c r="B777" s="63">
        <v>25</v>
      </c>
      <c r="C777" s="63" t="s">
        <v>4654</v>
      </c>
      <c r="D777" s="63" t="s">
        <v>64</v>
      </c>
      <c r="E777" s="66"/>
      <c r="F777" s="67">
        <v>3.0000000000000001E-3</v>
      </c>
      <c r="G777" s="67">
        <v>2E-3</v>
      </c>
      <c r="H777" s="63"/>
    </row>
    <row r="778" spans="1:8" x14ac:dyDescent="0.25">
      <c r="A778" s="63"/>
      <c r="B778" s="63">
        <v>26</v>
      </c>
      <c r="C778" s="63" t="s">
        <v>4654</v>
      </c>
      <c r="D778" s="63" t="s">
        <v>64</v>
      </c>
      <c r="E778" s="66"/>
      <c r="F778" s="67">
        <v>3.0000000000000001E-3</v>
      </c>
      <c r="G778" s="67">
        <v>2E-3</v>
      </c>
      <c r="H778" s="63"/>
    </row>
    <row r="779" spans="1:8" x14ac:dyDescent="0.25">
      <c r="A779" s="63"/>
      <c r="B779" s="63">
        <v>27</v>
      </c>
      <c r="C779" s="63" t="s">
        <v>4654</v>
      </c>
      <c r="D779" s="63" t="s">
        <v>64</v>
      </c>
      <c r="E779" s="66"/>
      <c r="F779" s="67">
        <v>3.0000000000000001E-3</v>
      </c>
      <c r="G779" s="67">
        <v>2E-3</v>
      </c>
      <c r="H779" s="63"/>
    </row>
    <row r="780" spans="1:8" x14ac:dyDescent="0.25">
      <c r="A780" s="63"/>
      <c r="B780" s="63">
        <v>28</v>
      </c>
      <c r="C780" s="63" t="s">
        <v>4654</v>
      </c>
      <c r="D780" s="63" t="s">
        <v>64</v>
      </c>
      <c r="E780" s="66"/>
      <c r="F780" s="67">
        <v>3.0000000000000001E-3</v>
      </c>
      <c r="G780" s="67">
        <v>2E-3</v>
      </c>
      <c r="H780" s="63"/>
    </row>
    <row r="781" spans="1:8" x14ac:dyDescent="0.25">
      <c r="A781" s="63"/>
      <c r="B781" s="63">
        <v>29</v>
      </c>
      <c r="C781" s="63" t="s">
        <v>4654</v>
      </c>
      <c r="D781" s="63" t="s">
        <v>64</v>
      </c>
      <c r="E781" s="66"/>
      <c r="F781" s="67">
        <v>3.0000000000000001E-3</v>
      </c>
      <c r="G781" s="67">
        <v>2E-3</v>
      </c>
      <c r="H781" s="63"/>
    </row>
    <row r="782" spans="1:8" x14ac:dyDescent="0.25">
      <c r="A782" s="63"/>
      <c r="B782" s="63">
        <v>30</v>
      </c>
      <c r="C782" s="63" t="s">
        <v>4654</v>
      </c>
      <c r="D782" s="63" t="s">
        <v>64</v>
      </c>
      <c r="E782" s="66"/>
      <c r="F782" s="67">
        <v>3.0000000000000001E-3</v>
      </c>
      <c r="G782" s="67">
        <v>2E-3</v>
      </c>
      <c r="H782" s="63"/>
    </row>
    <row r="783" spans="1:8" x14ac:dyDescent="0.25">
      <c r="A783" s="63"/>
      <c r="B783" s="63">
        <v>0</v>
      </c>
      <c r="C783" s="63" t="s">
        <v>4654</v>
      </c>
      <c r="D783" s="63" t="s">
        <v>64</v>
      </c>
      <c r="E783" s="66">
        <v>3.0428788910505911</v>
      </c>
      <c r="F783" s="67">
        <v>3.0000000000000001E-3</v>
      </c>
      <c r="G783" s="67">
        <v>2E-3</v>
      </c>
      <c r="H783" s="63"/>
    </row>
    <row r="784" spans="1:8" x14ac:dyDescent="0.25">
      <c r="A784" s="63"/>
      <c r="B784" s="63">
        <v>0.25</v>
      </c>
      <c r="C784" s="63" t="s">
        <v>4654</v>
      </c>
      <c r="D784" s="63" t="s">
        <v>77</v>
      </c>
      <c r="E784" s="66">
        <v>26.943461776139777</v>
      </c>
      <c r="F784" s="67">
        <v>3.0000000000000001E-3</v>
      </c>
      <c r="G784" s="67">
        <v>2E-3</v>
      </c>
      <c r="H784" s="63"/>
    </row>
    <row r="785" spans="1:8" x14ac:dyDescent="0.25">
      <c r="A785" s="63"/>
      <c r="B785" s="63">
        <v>0.5</v>
      </c>
      <c r="C785" s="63" t="s">
        <v>4654</v>
      </c>
      <c r="D785" s="63" t="s">
        <v>77</v>
      </c>
      <c r="E785" s="66">
        <v>28.148248897251914</v>
      </c>
      <c r="F785" s="67">
        <v>3.0000000000000001E-3</v>
      </c>
      <c r="G785" s="67">
        <v>2E-3</v>
      </c>
      <c r="H785" s="63"/>
    </row>
    <row r="786" spans="1:8" x14ac:dyDescent="0.25">
      <c r="A786" s="63"/>
      <c r="B786" s="63">
        <v>0.75</v>
      </c>
      <c r="C786" s="63" t="s">
        <v>4654</v>
      </c>
      <c r="D786" s="63" t="s">
        <v>77</v>
      </c>
      <c r="E786" s="66">
        <v>29.108333917311686</v>
      </c>
      <c r="F786" s="67">
        <v>3.0000000000000001E-3</v>
      </c>
      <c r="G786" s="67">
        <v>2E-3</v>
      </c>
      <c r="H786" s="63"/>
    </row>
    <row r="787" spans="1:8" x14ac:dyDescent="0.25">
      <c r="A787" s="63"/>
      <c r="B787" s="63">
        <v>1</v>
      </c>
      <c r="C787" s="63" t="s">
        <v>4654</v>
      </c>
      <c r="D787" s="63" t="s">
        <v>77</v>
      </c>
      <c r="E787" s="66">
        <v>30.733270957759391</v>
      </c>
      <c r="F787" s="67">
        <v>3.0000000000000001E-3</v>
      </c>
      <c r="G787" s="67">
        <v>2E-3</v>
      </c>
      <c r="H787" s="63"/>
    </row>
    <row r="788" spans="1:8" x14ac:dyDescent="0.25">
      <c r="A788" s="63"/>
      <c r="B788" s="63">
        <v>2</v>
      </c>
      <c r="C788" s="63" t="s">
        <v>4654</v>
      </c>
      <c r="D788" s="63" t="s">
        <v>77</v>
      </c>
      <c r="E788" s="66">
        <v>33.039072193926664</v>
      </c>
      <c r="F788" s="67">
        <v>3.0000000000000001E-3</v>
      </c>
      <c r="G788" s="67">
        <v>2E-3</v>
      </c>
      <c r="H788" s="63"/>
    </row>
    <row r="789" spans="1:8" x14ac:dyDescent="0.25">
      <c r="A789" s="63"/>
      <c r="B789" s="63">
        <v>3</v>
      </c>
      <c r="C789" s="63" t="s">
        <v>4654</v>
      </c>
      <c r="D789" s="63" t="s">
        <v>77</v>
      </c>
      <c r="E789" s="66">
        <v>40.977307755988946</v>
      </c>
      <c r="F789" s="67">
        <v>3.0000000000000001E-3</v>
      </c>
      <c r="G789" s="67">
        <v>2E-3</v>
      </c>
      <c r="H789" s="63"/>
    </row>
    <row r="790" spans="1:8" x14ac:dyDescent="0.25">
      <c r="A790" s="63"/>
      <c r="B790" s="63">
        <v>4</v>
      </c>
      <c r="C790" s="63" t="s">
        <v>4654</v>
      </c>
      <c r="D790" s="63" t="s">
        <v>77</v>
      </c>
      <c r="E790" s="66">
        <v>45.258512590426314</v>
      </c>
      <c r="F790" s="67">
        <v>3.0000000000000001E-3</v>
      </c>
      <c r="G790" s="67">
        <v>2E-3</v>
      </c>
      <c r="H790" s="63"/>
    </row>
    <row r="791" spans="1:8" x14ac:dyDescent="0.25">
      <c r="A791" s="63"/>
      <c r="B791" s="63">
        <v>5</v>
      </c>
      <c r="C791" s="63" t="s">
        <v>4654</v>
      </c>
      <c r="D791" s="63" t="s">
        <v>77</v>
      </c>
      <c r="E791" s="66">
        <v>49.760407045607835</v>
      </c>
      <c r="F791" s="67">
        <v>3.0000000000000001E-3</v>
      </c>
      <c r="G791" s="67">
        <v>2E-3</v>
      </c>
      <c r="H791" s="63"/>
    </row>
    <row r="792" spans="1:8" x14ac:dyDescent="0.25">
      <c r="A792" s="63"/>
      <c r="B792" s="63">
        <v>6</v>
      </c>
      <c r="C792" s="63" t="s">
        <v>4654</v>
      </c>
      <c r="D792" s="63" t="s">
        <v>77</v>
      </c>
      <c r="E792" s="66">
        <v>54.505060083608051</v>
      </c>
      <c r="F792" s="67">
        <v>3.0000000000000001E-3</v>
      </c>
      <c r="G792" s="67">
        <v>2E-3</v>
      </c>
      <c r="H792" s="63"/>
    </row>
    <row r="793" spans="1:8" x14ac:dyDescent="0.25">
      <c r="A793" s="63"/>
      <c r="B793" s="63">
        <v>7</v>
      </c>
      <c r="C793" s="63" t="s">
        <v>4654</v>
      </c>
      <c r="D793" s="63" t="s">
        <v>77</v>
      </c>
      <c r="E793" s="66">
        <v>59.516747562708801</v>
      </c>
      <c r="F793" s="67">
        <v>3.0000000000000001E-3</v>
      </c>
      <c r="G793" s="67">
        <v>2E-3</v>
      </c>
      <c r="H793" s="63"/>
    </row>
    <row r="794" spans="1:8" x14ac:dyDescent="0.25">
      <c r="A794" s="63"/>
      <c r="B794" s="63">
        <v>8</v>
      </c>
      <c r="C794" s="63" t="s">
        <v>4654</v>
      </c>
      <c r="D794" s="63" t="s">
        <v>77</v>
      </c>
      <c r="E794" s="66">
        <v>64.822172927020063</v>
      </c>
      <c r="F794" s="67">
        <v>3.0000000000000001E-3</v>
      </c>
      <c r="G794" s="67">
        <v>2E-3</v>
      </c>
      <c r="H794" s="63"/>
    </row>
    <row r="795" spans="1:8" x14ac:dyDescent="0.25">
      <c r="A795" s="63"/>
      <c r="B795" s="63">
        <v>9</v>
      </c>
      <c r="C795" s="63" t="s">
        <v>4654</v>
      </c>
      <c r="D795" s="63" t="s">
        <v>77</v>
      </c>
      <c r="E795" s="66">
        <v>70.450709965063027</v>
      </c>
      <c r="F795" s="67">
        <v>3.0000000000000001E-3</v>
      </c>
      <c r="G795" s="67">
        <v>2E-3</v>
      </c>
      <c r="H795" s="63"/>
    </row>
    <row r="796" spans="1:8" x14ac:dyDescent="0.25">
      <c r="A796" s="63"/>
      <c r="B796" s="63">
        <v>10</v>
      </c>
      <c r="C796" s="63" t="s">
        <v>4654</v>
      </c>
      <c r="D796" s="63" t="s">
        <v>77</v>
      </c>
      <c r="E796" s="66">
        <v>76.434669844210703</v>
      </c>
      <c r="F796" s="67">
        <v>3.0000000000000001E-3</v>
      </c>
      <c r="G796" s="67">
        <v>2E-3</v>
      </c>
      <c r="H796" s="63"/>
    </row>
    <row r="797" spans="1:8" x14ac:dyDescent="0.25">
      <c r="A797" s="63"/>
      <c r="B797" s="63">
        <v>11</v>
      </c>
      <c r="C797" s="63" t="s">
        <v>4654</v>
      </c>
      <c r="D797" s="63" t="s">
        <v>77</v>
      </c>
      <c r="E797" s="66"/>
      <c r="F797" s="67">
        <v>3.0000000000000001E-3</v>
      </c>
      <c r="G797" s="67">
        <v>2E-3</v>
      </c>
      <c r="H797" s="63"/>
    </row>
    <row r="798" spans="1:8" x14ac:dyDescent="0.25">
      <c r="A798" s="63"/>
      <c r="B798" s="63">
        <v>12</v>
      </c>
      <c r="C798" s="63" t="s">
        <v>4654</v>
      </c>
      <c r="D798" s="63" t="s">
        <v>77</v>
      </c>
      <c r="E798" s="66"/>
      <c r="F798" s="67">
        <v>3.0000000000000001E-3</v>
      </c>
      <c r="G798" s="67">
        <v>2E-3</v>
      </c>
      <c r="H798" s="63"/>
    </row>
    <row r="799" spans="1:8" x14ac:dyDescent="0.25">
      <c r="A799" s="63"/>
      <c r="B799" s="63">
        <v>13</v>
      </c>
      <c r="C799" s="63" t="s">
        <v>4654</v>
      </c>
      <c r="D799" s="63" t="s">
        <v>77</v>
      </c>
      <c r="E799" s="66"/>
      <c r="F799" s="67">
        <v>3.0000000000000001E-3</v>
      </c>
      <c r="G799" s="67">
        <v>2E-3</v>
      </c>
      <c r="H799" s="63"/>
    </row>
    <row r="800" spans="1:8" x14ac:dyDescent="0.25">
      <c r="A800" s="63"/>
      <c r="B800" s="63">
        <v>14</v>
      </c>
      <c r="C800" s="63" t="s">
        <v>4654</v>
      </c>
      <c r="D800" s="63" t="s">
        <v>77</v>
      </c>
      <c r="E800" s="66"/>
      <c r="F800" s="67">
        <v>3.0000000000000001E-3</v>
      </c>
      <c r="G800" s="67">
        <v>2E-3</v>
      </c>
      <c r="H800" s="63"/>
    </row>
    <row r="801" spans="1:8" x14ac:dyDescent="0.25">
      <c r="A801" s="63"/>
      <c r="B801" s="63">
        <v>15</v>
      </c>
      <c r="C801" s="63" t="s">
        <v>4654</v>
      </c>
      <c r="D801" s="63" t="s">
        <v>77</v>
      </c>
      <c r="E801" s="66"/>
      <c r="F801" s="67">
        <v>3.0000000000000001E-3</v>
      </c>
      <c r="G801" s="67">
        <v>2E-3</v>
      </c>
      <c r="H801" s="63"/>
    </row>
    <row r="802" spans="1:8" x14ac:dyDescent="0.25">
      <c r="A802" s="63"/>
      <c r="B802" s="63">
        <v>16</v>
      </c>
      <c r="C802" s="63" t="s">
        <v>4654</v>
      </c>
      <c r="D802" s="63" t="s">
        <v>77</v>
      </c>
      <c r="E802" s="66"/>
      <c r="F802" s="67">
        <v>3.0000000000000001E-3</v>
      </c>
      <c r="G802" s="67">
        <v>2E-3</v>
      </c>
      <c r="H802" s="63"/>
    </row>
    <row r="803" spans="1:8" x14ac:dyDescent="0.25">
      <c r="A803" s="63"/>
      <c r="B803" s="63">
        <v>17</v>
      </c>
      <c r="C803" s="63" t="s">
        <v>4654</v>
      </c>
      <c r="D803" s="63" t="s">
        <v>77</v>
      </c>
      <c r="E803" s="66"/>
      <c r="F803" s="67">
        <v>3.0000000000000001E-3</v>
      </c>
      <c r="G803" s="67">
        <v>2E-3</v>
      </c>
      <c r="H803" s="63"/>
    </row>
    <row r="804" spans="1:8" x14ac:dyDescent="0.25">
      <c r="A804" s="63"/>
      <c r="B804" s="63">
        <v>18</v>
      </c>
      <c r="C804" s="63" t="s">
        <v>4654</v>
      </c>
      <c r="D804" s="63" t="s">
        <v>77</v>
      </c>
      <c r="E804" s="66"/>
      <c r="F804" s="67">
        <v>3.0000000000000001E-3</v>
      </c>
      <c r="G804" s="67">
        <v>2E-3</v>
      </c>
      <c r="H804" s="63"/>
    </row>
    <row r="805" spans="1:8" x14ac:dyDescent="0.25">
      <c r="A805" s="63"/>
      <c r="B805" s="63">
        <v>19</v>
      </c>
      <c r="C805" s="63" t="s">
        <v>4654</v>
      </c>
      <c r="D805" s="63" t="s">
        <v>77</v>
      </c>
      <c r="E805" s="66"/>
      <c r="F805" s="67">
        <v>3.0000000000000001E-3</v>
      </c>
      <c r="G805" s="67">
        <v>2E-3</v>
      </c>
      <c r="H805" s="63"/>
    </row>
    <row r="806" spans="1:8" x14ac:dyDescent="0.25">
      <c r="A806" s="63"/>
      <c r="B806" s="63">
        <v>20</v>
      </c>
      <c r="C806" s="63" t="s">
        <v>4654</v>
      </c>
      <c r="D806" s="63" t="s">
        <v>77</v>
      </c>
      <c r="E806" s="66"/>
      <c r="F806" s="67">
        <v>3.0000000000000001E-3</v>
      </c>
      <c r="G806" s="67">
        <v>2E-3</v>
      </c>
      <c r="H806" s="63"/>
    </row>
    <row r="807" spans="1:8" x14ac:dyDescent="0.25">
      <c r="A807" s="63"/>
      <c r="B807" s="63">
        <v>21</v>
      </c>
      <c r="C807" s="63" t="s">
        <v>4654</v>
      </c>
      <c r="D807" s="63" t="s">
        <v>77</v>
      </c>
      <c r="E807" s="66"/>
      <c r="F807" s="67">
        <v>3.0000000000000001E-3</v>
      </c>
      <c r="G807" s="67">
        <v>2E-3</v>
      </c>
      <c r="H807" s="63"/>
    </row>
    <row r="808" spans="1:8" x14ac:dyDescent="0.25">
      <c r="A808" s="63"/>
      <c r="B808" s="63">
        <v>22</v>
      </c>
      <c r="C808" s="63" t="s">
        <v>4654</v>
      </c>
      <c r="D808" s="63" t="s">
        <v>77</v>
      </c>
      <c r="E808" s="66"/>
      <c r="F808" s="67">
        <v>3.0000000000000001E-3</v>
      </c>
      <c r="G808" s="67">
        <v>2E-3</v>
      </c>
      <c r="H808" s="63"/>
    </row>
    <row r="809" spans="1:8" x14ac:dyDescent="0.25">
      <c r="A809" s="63"/>
      <c r="B809" s="63">
        <v>23</v>
      </c>
      <c r="C809" s="63" t="s">
        <v>4654</v>
      </c>
      <c r="D809" s="63" t="s">
        <v>77</v>
      </c>
      <c r="E809" s="66"/>
      <c r="F809" s="67">
        <v>3.0000000000000001E-3</v>
      </c>
      <c r="G809" s="67">
        <v>2E-3</v>
      </c>
      <c r="H809" s="63"/>
    </row>
    <row r="810" spans="1:8" x14ac:dyDescent="0.25">
      <c r="A810" s="63"/>
      <c r="B810" s="63">
        <v>24</v>
      </c>
      <c r="C810" s="63" t="s">
        <v>4654</v>
      </c>
      <c r="D810" s="63" t="s">
        <v>77</v>
      </c>
      <c r="E810" s="66"/>
      <c r="F810" s="67">
        <v>3.0000000000000001E-3</v>
      </c>
      <c r="G810" s="67">
        <v>2E-3</v>
      </c>
      <c r="H810" s="63"/>
    </row>
    <row r="811" spans="1:8" x14ac:dyDescent="0.25">
      <c r="A811" s="63"/>
      <c r="B811" s="63">
        <v>25</v>
      </c>
      <c r="C811" s="63" t="s">
        <v>4654</v>
      </c>
      <c r="D811" s="63" t="s">
        <v>77</v>
      </c>
      <c r="E811" s="66"/>
      <c r="F811" s="67">
        <v>3.0000000000000001E-3</v>
      </c>
      <c r="G811" s="67">
        <v>2E-3</v>
      </c>
      <c r="H811" s="63"/>
    </row>
    <row r="812" spans="1:8" x14ac:dyDescent="0.25">
      <c r="A812" s="63"/>
      <c r="B812" s="63">
        <v>26</v>
      </c>
      <c r="C812" s="63" t="s">
        <v>4654</v>
      </c>
      <c r="D812" s="63" t="s">
        <v>77</v>
      </c>
      <c r="E812" s="66"/>
      <c r="F812" s="67">
        <v>3.0000000000000001E-3</v>
      </c>
      <c r="G812" s="67">
        <v>2E-3</v>
      </c>
      <c r="H812" s="63"/>
    </row>
    <row r="813" spans="1:8" x14ac:dyDescent="0.25">
      <c r="A813" s="63"/>
      <c r="B813" s="63">
        <v>27</v>
      </c>
      <c r="C813" s="63" t="s">
        <v>4654</v>
      </c>
      <c r="D813" s="63" t="s">
        <v>77</v>
      </c>
      <c r="E813" s="66"/>
      <c r="F813" s="67">
        <v>3.0000000000000001E-3</v>
      </c>
      <c r="G813" s="67">
        <v>2E-3</v>
      </c>
      <c r="H813" s="63"/>
    </row>
    <row r="814" spans="1:8" x14ac:dyDescent="0.25">
      <c r="A814" s="63"/>
      <c r="B814" s="63">
        <v>28</v>
      </c>
      <c r="C814" s="63" t="s">
        <v>4654</v>
      </c>
      <c r="D814" s="63" t="s">
        <v>77</v>
      </c>
      <c r="E814" s="66"/>
      <c r="F814" s="67">
        <v>3.0000000000000001E-3</v>
      </c>
      <c r="G814" s="67">
        <v>2E-3</v>
      </c>
      <c r="H814" s="63"/>
    </row>
    <row r="815" spans="1:8" x14ac:dyDescent="0.25">
      <c r="A815" s="63"/>
      <c r="B815" s="63">
        <v>29</v>
      </c>
      <c r="C815" s="63" t="s">
        <v>4654</v>
      </c>
      <c r="D815" s="63" t="s">
        <v>77</v>
      </c>
      <c r="E815" s="66"/>
      <c r="F815" s="67">
        <v>3.0000000000000001E-3</v>
      </c>
      <c r="G815" s="67">
        <v>2E-3</v>
      </c>
      <c r="H815" s="63"/>
    </row>
    <row r="816" spans="1:8" x14ac:dyDescent="0.25">
      <c r="A816" s="63"/>
      <c r="B816" s="63">
        <v>30</v>
      </c>
      <c r="C816" s="63" t="s">
        <v>4654</v>
      </c>
      <c r="D816" s="63" t="s">
        <v>77</v>
      </c>
      <c r="E816" s="66"/>
      <c r="F816" s="67">
        <v>3.0000000000000001E-3</v>
      </c>
      <c r="G816" s="67">
        <v>2E-3</v>
      </c>
      <c r="H816" s="63"/>
    </row>
    <row r="817" spans="1:8" x14ac:dyDescent="0.25">
      <c r="A817" s="63"/>
      <c r="B817" s="63">
        <v>0</v>
      </c>
      <c r="C817" s="63" t="s">
        <v>4654</v>
      </c>
      <c r="D817" s="63" t="s">
        <v>77</v>
      </c>
      <c r="E817" s="66">
        <v>3.0428788910505911</v>
      </c>
      <c r="F817" s="67">
        <v>3.0000000000000001E-3</v>
      </c>
      <c r="G817" s="67">
        <v>2E-3</v>
      </c>
      <c r="H817" s="63"/>
    </row>
    <row r="818" spans="1:8" x14ac:dyDescent="0.25">
      <c r="A818" s="63"/>
      <c r="B818" s="63">
        <v>0.25</v>
      </c>
      <c r="C818" s="63" t="s">
        <v>4915</v>
      </c>
      <c r="D818" s="63" t="s">
        <v>21</v>
      </c>
      <c r="E818" s="66">
        <v>12.541630150940794</v>
      </c>
      <c r="F818" s="67">
        <v>3.0000000000000001E-3</v>
      </c>
      <c r="G818" s="67">
        <v>2E-3</v>
      </c>
      <c r="H818" s="63"/>
    </row>
    <row r="819" spans="1:8" x14ac:dyDescent="0.25">
      <c r="A819" s="63"/>
      <c r="B819" s="63">
        <v>0.5</v>
      </c>
      <c r="C819" s="63" t="s">
        <v>4915</v>
      </c>
      <c r="D819" s="63" t="s">
        <v>21</v>
      </c>
      <c r="E819" s="66">
        <v>12.863302540649283</v>
      </c>
      <c r="F819" s="67">
        <v>3.0000000000000001E-3</v>
      </c>
      <c r="G819" s="67">
        <v>2E-3</v>
      </c>
      <c r="H819" s="63"/>
    </row>
    <row r="820" spans="1:8" x14ac:dyDescent="0.25">
      <c r="A820" s="63"/>
      <c r="B820" s="63">
        <v>0.75</v>
      </c>
      <c r="C820" s="63" t="s">
        <v>4915</v>
      </c>
      <c r="D820" s="63" t="s">
        <v>21</v>
      </c>
      <c r="E820" s="66">
        <v>13.796278097020052</v>
      </c>
      <c r="F820" s="67">
        <v>3.0000000000000001E-3</v>
      </c>
      <c r="G820" s="67">
        <v>2E-3</v>
      </c>
      <c r="H820" s="63"/>
    </row>
    <row r="821" spans="1:8" x14ac:dyDescent="0.25">
      <c r="A821" s="63"/>
      <c r="B821" s="63">
        <v>1</v>
      </c>
      <c r="C821" s="63" t="s">
        <v>4915</v>
      </c>
      <c r="D821" s="63" t="s">
        <v>21</v>
      </c>
      <c r="E821" s="66">
        <v>14.186168100882581</v>
      </c>
      <c r="F821" s="67">
        <v>3.0000000000000001E-3</v>
      </c>
      <c r="G821" s="67">
        <v>2E-3</v>
      </c>
      <c r="H821" s="63"/>
    </row>
    <row r="822" spans="1:8" x14ac:dyDescent="0.25">
      <c r="A822" s="63"/>
      <c r="B822" s="63">
        <v>2</v>
      </c>
      <c r="C822" s="63" t="s">
        <v>4915</v>
      </c>
      <c r="D822" s="63" t="s">
        <v>21</v>
      </c>
      <c r="E822" s="66">
        <v>16.403535285794508</v>
      </c>
      <c r="F822" s="67">
        <v>3.0000000000000001E-3</v>
      </c>
      <c r="G822" s="67">
        <v>2E-3</v>
      </c>
      <c r="H822" s="63"/>
    </row>
    <row r="823" spans="1:8" x14ac:dyDescent="0.25">
      <c r="A823" s="63"/>
      <c r="B823" s="63">
        <v>3</v>
      </c>
      <c r="C823" s="63" t="s">
        <v>4915</v>
      </c>
      <c r="D823" s="63" t="s">
        <v>21</v>
      </c>
      <c r="E823" s="66">
        <v>19.024000757722551</v>
      </c>
      <c r="F823" s="67">
        <v>3.0000000000000001E-3</v>
      </c>
      <c r="G823" s="67">
        <v>2E-3</v>
      </c>
      <c r="H823" s="63"/>
    </row>
    <row r="824" spans="1:8" x14ac:dyDescent="0.25">
      <c r="A824" s="63"/>
      <c r="B824" s="63">
        <v>4</v>
      </c>
      <c r="C824" s="63" t="s">
        <v>4915</v>
      </c>
      <c r="D824" s="63" t="s">
        <v>21</v>
      </c>
      <c r="E824" s="66">
        <v>22.518478003106196</v>
      </c>
      <c r="F824" s="67">
        <v>3.0000000000000001E-3</v>
      </c>
      <c r="G824" s="67">
        <v>2E-3</v>
      </c>
      <c r="H824" s="63"/>
    </row>
    <row r="825" spans="1:8" x14ac:dyDescent="0.25">
      <c r="A825" s="63"/>
      <c r="B825" s="63">
        <v>5</v>
      </c>
      <c r="C825" s="63" t="s">
        <v>4915</v>
      </c>
      <c r="D825" s="63" t="s">
        <v>21</v>
      </c>
      <c r="E825" s="66">
        <v>26.254394930157243</v>
      </c>
      <c r="F825" s="67">
        <v>3.0000000000000001E-3</v>
      </c>
      <c r="G825" s="67">
        <v>2E-3</v>
      </c>
      <c r="H825" s="63"/>
    </row>
    <row r="826" spans="1:8" x14ac:dyDescent="0.25">
      <c r="A826" s="63"/>
      <c r="B826" s="63">
        <v>6</v>
      </c>
      <c r="C826" s="63" t="s">
        <v>4915</v>
      </c>
      <c r="D826" s="63" t="s">
        <v>21</v>
      </c>
      <c r="E826" s="66">
        <v>29.739852561009368</v>
      </c>
      <c r="F826" s="67">
        <v>3.0000000000000001E-3</v>
      </c>
      <c r="G826" s="67">
        <v>2E-3</v>
      </c>
      <c r="H826" s="63"/>
    </row>
    <row r="827" spans="1:8" x14ac:dyDescent="0.25">
      <c r="A827" s="63"/>
      <c r="B827" s="63">
        <v>7</v>
      </c>
      <c r="C827" s="63" t="s">
        <v>4915</v>
      </c>
      <c r="D827" s="63" t="s">
        <v>21</v>
      </c>
      <c r="E827" s="66">
        <v>33.309159608415044</v>
      </c>
      <c r="F827" s="67">
        <v>3.0000000000000001E-3</v>
      </c>
      <c r="G827" s="67">
        <v>2E-3</v>
      </c>
      <c r="H827" s="63"/>
    </row>
    <row r="828" spans="1:8" x14ac:dyDescent="0.25">
      <c r="A828" s="63"/>
      <c r="B828" s="63">
        <v>8</v>
      </c>
      <c r="C828" s="63" t="s">
        <v>4915</v>
      </c>
      <c r="D828" s="63" t="s">
        <v>21</v>
      </c>
      <c r="E828" s="66">
        <v>36.970701014029615</v>
      </c>
      <c r="F828" s="67">
        <v>3.0000000000000001E-3</v>
      </c>
      <c r="G828" s="67">
        <v>2E-3</v>
      </c>
      <c r="H828" s="63"/>
    </row>
    <row r="829" spans="1:8" x14ac:dyDescent="0.25">
      <c r="A829" s="63"/>
      <c r="B829" s="63">
        <v>9</v>
      </c>
      <c r="C829" s="63" t="s">
        <v>4915</v>
      </c>
      <c r="D829" s="63" t="s">
        <v>21</v>
      </c>
      <c r="E829" s="66">
        <v>40.73370021367402</v>
      </c>
      <c r="F829" s="67">
        <v>3.0000000000000001E-3</v>
      </c>
      <c r="G829" s="67">
        <v>2E-3</v>
      </c>
      <c r="H829" s="63"/>
    </row>
    <row r="830" spans="1:8" x14ac:dyDescent="0.25">
      <c r="A830" s="63"/>
      <c r="B830" s="63">
        <v>10</v>
      </c>
      <c r="C830" s="63" t="s">
        <v>4915</v>
      </c>
      <c r="D830" s="63" t="s">
        <v>21</v>
      </c>
      <c r="E830" s="66">
        <v>44.029558741664026</v>
      </c>
      <c r="F830" s="67">
        <v>3.0000000000000001E-3</v>
      </c>
      <c r="G830" s="67">
        <v>2E-3</v>
      </c>
      <c r="H830" s="63"/>
    </row>
    <row r="831" spans="1:8" x14ac:dyDescent="0.25">
      <c r="A831" s="63"/>
      <c r="B831" s="63">
        <v>11</v>
      </c>
      <c r="C831" s="63" t="s">
        <v>4915</v>
      </c>
      <c r="D831" s="63" t="s">
        <v>21</v>
      </c>
      <c r="E831" s="66"/>
      <c r="F831" s="67">
        <v>3.0000000000000001E-3</v>
      </c>
      <c r="G831" s="67">
        <v>2E-3</v>
      </c>
      <c r="H831" s="63"/>
    </row>
    <row r="832" spans="1:8" x14ac:dyDescent="0.25">
      <c r="A832" s="63"/>
      <c r="B832" s="63">
        <v>12</v>
      </c>
      <c r="C832" s="63" t="s">
        <v>4915</v>
      </c>
      <c r="D832" s="63" t="s">
        <v>21</v>
      </c>
      <c r="E832" s="66"/>
      <c r="F832" s="67">
        <v>3.0000000000000001E-3</v>
      </c>
      <c r="G832" s="67">
        <v>2E-3</v>
      </c>
      <c r="H832" s="63"/>
    </row>
    <row r="833" spans="1:8" x14ac:dyDescent="0.25">
      <c r="A833" s="63"/>
      <c r="B833" s="63">
        <v>13</v>
      </c>
      <c r="C833" s="63" t="s">
        <v>4915</v>
      </c>
      <c r="D833" s="63" t="s">
        <v>21</v>
      </c>
      <c r="E833" s="66"/>
      <c r="F833" s="67">
        <v>3.0000000000000001E-3</v>
      </c>
      <c r="G833" s="67">
        <v>2E-3</v>
      </c>
      <c r="H833" s="63"/>
    </row>
    <row r="834" spans="1:8" x14ac:dyDescent="0.25">
      <c r="A834" s="63"/>
      <c r="B834" s="63">
        <v>14</v>
      </c>
      <c r="C834" s="63" t="s">
        <v>4915</v>
      </c>
      <c r="D834" s="63" t="s">
        <v>21</v>
      </c>
      <c r="E834" s="66"/>
      <c r="F834" s="67">
        <v>3.0000000000000001E-3</v>
      </c>
      <c r="G834" s="67">
        <v>2E-3</v>
      </c>
      <c r="H834" s="63"/>
    </row>
    <row r="835" spans="1:8" x14ac:dyDescent="0.25">
      <c r="A835" s="63"/>
      <c r="B835" s="63">
        <v>15</v>
      </c>
      <c r="C835" s="63" t="s">
        <v>4915</v>
      </c>
      <c r="D835" s="63" t="s">
        <v>21</v>
      </c>
      <c r="E835" s="66"/>
      <c r="F835" s="67">
        <v>3.0000000000000001E-3</v>
      </c>
      <c r="G835" s="67">
        <v>2E-3</v>
      </c>
      <c r="H835" s="63"/>
    </row>
    <row r="836" spans="1:8" x14ac:dyDescent="0.25">
      <c r="A836" s="63"/>
      <c r="B836" s="63">
        <v>16</v>
      </c>
      <c r="C836" s="63" t="s">
        <v>4915</v>
      </c>
      <c r="D836" s="63" t="s">
        <v>21</v>
      </c>
      <c r="E836" s="66"/>
      <c r="F836" s="67">
        <v>3.0000000000000001E-3</v>
      </c>
      <c r="G836" s="67">
        <v>2E-3</v>
      </c>
      <c r="H836" s="63"/>
    </row>
    <row r="837" spans="1:8" x14ac:dyDescent="0.25">
      <c r="A837" s="63"/>
      <c r="B837" s="63">
        <v>17</v>
      </c>
      <c r="C837" s="63" t="s">
        <v>4915</v>
      </c>
      <c r="D837" s="63" t="s">
        <v>21</v>
      </c>
      <c r="E837" s="66"/>
      <c r="F837" s="67">
        <v>3.0000000000000001E-3</v>
      </c>
      <c r="G837" s="67">
        <v>2E-3</v>
      </c>
      <c r="H837" s="63"/>
    </row>
    <row r="838" spans="1:8" x14ac:dyDescent="0.25">
      <c r="A838" s="63"/>
      <c r="B838" s="63">
        <v>18</v>
      </c>
      <c r="C838" s="63" t="s">
        <v>4915</v>
      </c>
      <c r="D838" s="63" t="s">
        <v>21</v>
      </c>
      <c r="E838" s="66"/>
      <c r="F838" s="67">
        <v>3.0000000000000001E-3</v>
      </c>
      <c r="G838" s="67">
        <v>2E-3</v>
      </c>
      <c r="H838" s="63"/>
    </row>
    <row r="839" spans="1:8" x14ac:dyDescent="0.25">
      <c r="A839" s="63"/>
      <c r="B839" s="63">
        <v>19</v>
      </c>
      <c r="C839" s="63" t="s">
        <v>4915</v>
      </c>
      <c r="D839" s="63" t="s">
        <v>21</v>
      </c>
      <c r="E839" s="66"/>
      <c r="F839" s="67">
        <v>3.0000000000000001E-3</v>
      </c>
      <c r="G839" s="67">
        <v>2E-3</v>
      </c>
      <c r="H839" s="63"/>
    </row>
    <row r="840" spans="1:8" x14ac:dyDescent="0.25">
      <c r="A840" s="63"/>
      <c r="B840" s="63">
        <v>20</v>
      </c>
      <c r="C840" s="63" t="s">
        <v>4915</v>
      </c>
      <c r="D840" s="63" t="s">
        <v>21</v>
      </c>
      <c r="E840" s="66"/>
      <c r="F840" s="67">
        <v>3.0000000000000001E-3</v>
      </c>
      <c r="G840" s="67">
        <v>2E-3</v>
      </c>
      <c r="H840" s="63"/>
    </row>
    <row r="841" spans="1:8" x14ac:dyDescent="0.25">
      <c r="A841" s="63"/>
      <c r="B841" s="63">
        <v>21</v>
      </c>
      <c r="C841" s="63" t="s">
        <v>4915</v>
      </c>
      <c r="D841" s="63" t="s">
        <v>21</v>
      </c>
      <c r="E841" s="66"/>
      <c r="F841" s="67">
        <v>3.0000000000000001E-3</v>
      </c>
      <c r="G841" s="67">
        <v>2E-3</v>
      </c>
      <c r="H841" s="63"/>
    </row>
    <row r="842" spans="1:8" x14ac:dyDescent="0.25">
      <c r="A842" s="63"/>
      <c r="B842" s="63">
        <v>22</v>
      </c>
      <c r="C842" s="63" t="s">
        <v>4915</v>
      </c>
      <c r="D842" s="63" t="s">
        <v>21</v>
      </c>
      <c r="E842" s="66"/>
      <c r="F842" s="67">
        <v>3.0000000000000001E-3</v>
      </c>
      <c r="G842" s="67">
        <v>2E-3</v>
      </c>
      <c r="H842" s="63"/>
    </row>
    <row r="843" spans="1:8" x14ac:dyDescent="0.25">
      <c r="A843" s="63"/>
      <c r="B843" s="63">
        <v>23</v>
      </c>
      <c r="C843" s="63" t="s">
        <v>4915</v>
      </c>
      <c r="D843" s="63" t="s">
        <v>21</v>
      </c>
      <c r="E843" s="66"/>
      <c r="F843" s="67">
        <v>3.0000000000000001E-3</v>
      </c>
      <c r="G843" s="67">
        <v>2E-3</v>
      </c>
      <c r="H843" s="63"/>
    </row>
    <row r="844" spans="1:8" x14ac:dyDescent="0.25">
      <c r="A844" s="63"/>
      <c r="B844" s="63">
        <v>24</v>
      </c>
      <c r="C844" s="63" t="s">
        <v>4915</v>
      </c>
      <c r="D844" s="63" t="s">
        <v>21</v>
      </c>
      <c r="E844" s="66"/>
      <c r="F844" s="67">
        <v>3.0000000000000001E-3</v>
      </c>
      <c r="G844" s="67">
        <v>2E-3</v>
      </c>
      <c r="H844" s="63"/>
    </row>
    <row r="845" spans="1:8" x14ac:dyDescent="0.25">
      <c r="A845" s="63"/>
      <c r="B845" s="63">
        <v>25</v>
      </c>
      <c r="C845" s="63" t="s">
        <v>4915</v>
      </c>
      <c r="D845" s="63" t="s">
        <v>21</v>
      </c>
      <c r="E845" s="66"/>
      <c r="F845" s="67">
        <v>3.0000000000000001E-3</v>
      </c>
      <c r="G845" s="67">
        <v>2E-3</v>
      </c>
      <c r="H845" s="63"/>
    </row>
    <row r="846" spans="1:8" x14ac:dyDescent="0.25">
      <c r="A846" s="63"/>
      <c r="B846" s="63">
        <v>26</v>
      </c>
      <c r="C846" s="63" t="s">
        <v>4915</v>
      </c>
      <c r="D846" s="63" t="s">
        <v>21</v>
      </c>
      <c r="E846" s="66"/>
      <c r="F846" s="67">
        <v>3.0000000000000001E-3</v>
      </c>
      <c r="G846" s="67">
        <v>2E-3</v>
      </c>
      <c r="H846" s="63"/>
    </row>
    <row r="847" spans="1:8" x14ac:dyDescent="0.25">
      <c r="A847" s="63"/>
      <c r="B847" s="63">
        <v>27</v>
      </c>
      <c r="C847" s="63" t="s">
        <v>4915</v>
      </c>
      <c r="D847" s="63" t="s">
        <v>21</v>
      </c>
      <c r="E847" s="66"/>
      <c r="F847" s="67">
        <v>3.0000000000000001E-3</v>
      </c>
      <c r="G847" s="67">
        <v>2E-3</v>
      </c>
      <c r="H847" s="63"/>
    </row>
    <row r="848" spans="1:8" x14ac:dyDescent="0.25">
      <c r="A848" s="63"/>
      <c r="B848" s="63">
        <v>28</v>
      </c>
      <c r="C848" s="63" t="s">
        <v>4915</v>
      </c>
      <c r="D848" s="63" t="s">
        <v>21</v>
      </c>
      <c r="E848" s="66"/>
      <c r="F848" s="67">
        <v>3.0000000000000001E-3</v>
      </c>
      <c r="G848" s="67">
        <v>2E-3</v>
      </c>
      <c r="H848" s="63"/>
    </row>
    <row r="849" spans="1:8" x14ac:dyDescent="0.25">
      <c r="A849" s="63"/>
      <c r="B849" s="63">
        <v>29</v>
      </c>
      <c r="C849" s="63" t="s">
        <v>4915</v>
      </c>
      <c r="D849" s="63" t="s">
        <v>21</v>
      </c>
      <c r="E849" s="66"/>
      <c r="F849" s="67">
        <v>3.0000000000000001E-3</v>
      </c>
      <c r="G849" s="67">
        <v>2E-3</v>
      </c>
      <c r="H849" s="63"/>
    </row>
    <row r="850" spans="1:8" x14ac:dyDescent="0.25">
      <c r="A850" s="63"/>
      <c r="B850" s="63">
        <v>30</v>
      </c>
      <c r="C850" s="63" t="s">
        <v>4915</v>
      </c>
      <c r="D850" s="63" t="s">
        <v>21</v>
      </c>
      <c r="E850" s="66"/>
      <c r="F850" s="67">
        <v>3.0000000000000001E-3</v>
      </c>
      <c r="G850" s="67">
        <v>2E-3</v>
      </c>
      <c r="H850" s="63"/>
    </row>
    <row r="851" spans="1:8" x14ac:dyDescent="0.25">
      <c r="A851" s="63"/>
      <c r="B851" s="63">
        <v>0</v>
      </c>
      <c r="C851" s="63" t="s">
        <v>4915</v>
      </c>
      <c r="D851" s="63" t="s">
        <v>21</v>
      </c>
      <c r="E851" s="66">
        <v>3.0428788910505911</v>
      </c>
      <c r="F851" s="67">
        <v>3.0000000000000001E-3</v>
      </c>
      <c r="G851" s="67">
        <v>2E-3</v>
      </c>
      <c r="H851" s="63"/>
    </row>
    <row r="852" spans="1:8" x14ac:dyDescent="0.25">
      <c r="A852" s="63"/>
      <c r="B852" s="63">
        <v>0.25</v>
      </c>
      <c r="C852" s="63" t="s">
        <v>4915</v>
      </c>
      <c r="D852" s="63" t="s">
        <v>62</v>
      </c>
      <c r="E852" s="66">
        <v>17.509302802156309</v>
      </c>
      <c r="F852" s="67">
        <v>3.0000000000000001E-3</v>
      </c>
      <c r="G852" s="67">
        <v>2E-3</v>
      </c>
      <c r="H852" s="63"/>
    </row>
    <row r="853" spans="1:8" x14ac:dyDescent="0.25">
      <c r="A853" s="63"/>
      <c r="B853" s="63">
        <v>0.5</v>
      </c>
      <c r="C853" s="63" t="s">
        <v>4915</v>
      </c>
      <c r="D853" s="63" t="s">
        <v>62</v>
      </c>
      <c r="E853" s="66">
        <v>17.960073121579438</v>
      </c>
      <c r="F853" s="67">
        <v>3.0000000000000001E-3</v>
      </c>
      <c r="G853" s="67">
        <v>2E-3</v>
      </c>
      <c r="H853" s="63"/>
    </row>
    <row r="854" spans="1:8" x14ac:dyDescent="0.25">
      <c r="A854" s="63"/>
      <c r="B854" s="63">
        <v>0.75</v>
      </c>
      <c r="C854" s="63" t="s">
        <v>4915</v>
      </c>
      <c r="D854" s="63" t="s">
        <v>62</v>
      </c>
      <c r="E854" s="66">
        <v>18.978426201825126</v>
      </c>
      <c r="F854" s="67">
        <v>3.0000000000000001E-3</v>
      </c>
      <c r="G854" s="67">
        <v>2E-3</v>
      </c>
      <c r="H854" s="63"/>
    </row>
    <row r="855" spans="1:8" x14ac:dyDescent="0.25">
      <c r="A855" s="63"/>
      <c r="B855" s="63">
        <v>1</v>
      </c>
      <c r="C855" s="63" t="s">
        <v>4915</v>
      </c>
      <c r="D855" s="63" t="s">
        <v>62</v>
      </c>
      <c r="E855" s="66">
        <v>19.861619996324769</v>
      </c>
      <c r="F855" s="67">
        <v>3.0000000000000001E-3</v>
      </c>
      <c r="G855" s="67">
        <v>2E-3</v>
      </c>
      <c r="H855" s="63"/>
    </row>
    <row r="856" spans="1:8" x14ac:dyDescent="0.25">
      <c r="A856" s="63"/>
      <c r="B856" s="63">
        <v>2</v>
      </c>
      <c r="C856" s="63" t="s">
        <v>4915</v>
      </c>
      <c r="D856" s="63" t="s">
        <v>62</v>
      </c>
      <c r="E856" s="66">
        <v>21.605211693624167</v>
      </c>
      <c r="F856" s="67">
        <v>3.0000000000000001E-3</v>
      </c>
      <c r="G856" s="67">
        <v>2E-3</v>
      </c>
      <c r="H856" s="63"/>
    </row>
    <row r="857" spans="1:8" x14ac:dyDescent="0.25">
      <c r="A857" s="63"/>
      <c r="B857" s="63">
        <v>3</v>
      </c>
      <c r="C857" s="63" t="s">
        <v>4915</v>
      </c>
      <c r="D857" s="63" t="s">
        <v>62</v>
      </c>
      <c r="E857" s="66">
        <v>24.342346895578043</v>
      </c>
      <c r="F857" s="67">
        <v>3.0000000000000001E-3</v>
      </c>
      <c r="G857" s="67">
        <v>2E-3</v>
      </c>
      <c r="H857" s="63"/>
    </row>
    <row r="858" spans="1:8" x14ac:dyDescent="0.25">
      <c r="A858" s="63"/>
      <c r="B858" s="63">
        <v>4</v>
      </c>
      <c r="C858" s="63" t="s">
        <v>4915</v>
      </c>
      <c r="D858" s="63" t="s">
        <v>62</v>
      </c>
      <c r="E858" s="66">
        <v>27.269806221922281</v>
      </c>
      <c r="F858" s="67">
        <v>3.0000000000000001E-3</v>
      </c>
      <c r="G858" s="67">
        <v>2E-3</v>
      </c>
      <c r="H858" s="63"/>
    </row>
    <row r="859" spans="1:8" x14ac:dyDescent="0.25">
      <c r="A859" s="63"/>
      <c r="B859" s="63">
        <v>5</v>
      </c>
      <c r="C859" s="63" t="s">
        <v>4915</v>
      </c>
      <c r="D859" s="63" t="s">
        <v>62</v>
      </c>
      <c r="E859" s="66">
        <v>30.447232473217717</v>
      </c>
      <c r="F859" s="67">
        <v>3.0000000000000001E-3</v>
      </c>
      <c r="G859" s="67">
        <v>2E-3</v>
      </c>
      <c r="H859" s="63"/>
    </row>
    <row r="860" spans="1:8" x14ac:dyDescent="0.25">
      <c r="A860" s="63"/>
      <c r="B860" s="63">
        <v>6</v>
      </c>
      <c r="C860" s="63" t="s">
        <v>4915</v>
      </c>
      <c r="D860" s="63" t="s">
        <v>62</v>
      </c>
      <c r="E860" s="66">
        <v>33.773696777878271</v>
      </c>
      <c r="F860" s="67">
        <v>3.0000000000000001E-3</v>
      </c>
      <c r="G860" s="67">
        <v>2E-3</v>
      </c>
      <c r="H860" s="63"/>
    </row>
    <row r="861" spans="1:8" x14ac:dyDescent="0.25">
      <c r="A861" s="63"/>
      <c r="B861" s="63">
        <v>7</v>
      </c>
      <c r="C861" s="63" t="s">
        <v>4915</v>
      </c>
      <c r="D861" s="63" t="s">
        <v>62</v>
      </c>
      <c r="E861" s="66">
        <v>37.668102449503657</v>
      </c>
      <c r="F861" s="67">
        <v>3.0000000000000001E-3</v>
      </c>
      <c r="G861" s="67">
        <v>2E-3</v>
      </c>
      <c r="H861" s="63"/>
    </row>
    <row r="862" spans="1:8" x14ac:dyDescent="0.25">
      <c r="A862" s="63"/>
      <c r="B862" s="63">
        <v>8</v>
      </c>
      <c r="C862" s="63" t="s">
        <v>4915</v>
      </c>
      <c r="D862" s="63" t="s">
        <v>62</v>
      </c>
      <c r="E862" s="66">
        <v>41.795656089883373</v>
      </c>
      <c r="F862" s="67">
        <v>3.0000000000000001E-3</v>
      </c>
      <c r="G862" s="67">
        <v>2E-3</v>
      </c>
      <c r="H862" s="63"/>
    </row>
    <row r="863" spans="1:8" x14ac:dyDescent="0.25">
      <c r="A863" s="63"/>
      <c r="B863" s="63">
        <v>9</v>
      </c>
      <c r="C863" s="63" t="s">
        <v>4915</v>
      </c>
      <c r="D863" s="63" t="s">
        <v>62</v>
      </c>
      <c r="E863" s="66">
        <v>45.638668972740511</v>
      </c>
      <c r="F863" s="67">
        <v>3.0000000000000001E-3</v>
      </c>
      <c r="G863" s="67">
        <v>2E-3</v>
      </c>
      <c r="H863" s="63"/>
    </row>
    <row r="864" spans="1:8" x14ac:dyDescent="0.25">
      <c r="A864" s="63"/>
      <c r="B864" s="63">
        <v>10</v>
      </c>
      <c r="C864" s="63" t="s">
        <v>4915</v>
      </c>
      <c r="D864" s="63" t="s">
        <v>62</v>
      </c>
      <c r="E864" s="66">
        <v>49.380739592962819</v>
      </c>
      <c r="F864" s="67">
        <v>3.0000000000000001E-3</v>
      </c>
      <c r="G864" s="67">
        <v>2E-3</v>
      </c>
      <c r="H864" s="63"/>
    </row>
    <row r="865" spans="1:8" x14ac:dyDescent="0.25">
      <c r="A865" s="63"/>
      <c r="B865" s="63">
        <v>11</v>
      </c>
      <c r="C865" s="63" t="s">
        <v>4915</v>
      </c>
      <c r="D865" s="63" t="s">
        <v>62</v>
      </c>
      <c r="E865" s="66"/>
      <c r="F865" s="67">
        <v>3.0000000000000001E-3</v>
      </c>
      <c r="G865" s="67">
        <v>2E-3</v>
      </c>
      <c r="H865" s="63"/>
    </row>
    <row r="866" spans="1:8" x14ac:dyDescent="0.25">
      <c r="A866" s="63"/>
      <c r="B866" s="63">
        <v>12</v>
      </c>
      <c r="C866" s="63" t="s">
        <v>4915</v>
      </c>
      <c r="D866" s="63" t="s">
        <v>62</v>
      </c>
      <c r="E866" s="66"/>
      <c r="F866" s="67">
        <v>3.0000000000000001E-3</v>
      </c>
      <c r="G866" s="67">
        <v>2E-3</v>
      </c>
      <c r="H866" s="63"/>
    </row>
    <row r="867" spans="1:8" x14ac:dyDescent="0.25">
      <c r="A867" s="63"/>
      <c r="B867" s="63">
        <v>13</v>
      </c>
      <c r="C867" s="63" t="s">
        <v>4915</v>
      </c>
      <c r="D867" s="63" t="s">
        <v>62</v>
      </c>
      <c r="E867" s="66"/>
      <c r="F867" s="67">
        <v>3.0000000000000001E-3</v>
      </c>
      <c r="G867" s="67">
        <v>2E-3</v>
      </c>
      <c r="H867" s="63"/>
    </row>
    <row r="868" spans="1:8" x14ac:dyDescent="0.25">
      <c r="A868" s="63"/>
      <c r="B868" s="63">
        <v>14</v>
      </c>
      <c r="C868" s="63" t="s">
        <v>4915</v>
      </c>
      <c r="D868" s="63" t="s">
        <v>62</v>
      </c>
      <c r="E868" s="66"/>
      <c r="F868" s="67">
        <v>3.0000000000000001E-3</v>
      </c>
      <c r="G868" s="67">
        <v>2E-3</v>
      </c>
      <c r="H868" s="63"/>
    </row>
    <row r="869" spans="1:8" x14ac:dyDescent="0.25">
      <c r="A869" s="63"/>
      <c r="B869" s="63">
        <v>15</v>
      </c>
      <c r="C869" s="63" t="s">
        <v>4915</v>
      </c>
      <c r="D869" s="63" t="s">
        <v>62</v>
      </c>
      <c r="E869" s="66"/>
      <c r="F869" s="67">
        <v>3.0000000000000001E-3</v>
      </c>
      <c r="G869" s="67">
        <v>2E-3</v>
      </c>
      <c r="H869" s="63"/>
    </row>
    <row r="870" spans="1:8" x14ac:dyDescent="0.25">
      <c r="A870" s="63"/>
      <c r="B870" s="63">
        <v>16</v>
      </c>
      <c r="C870" s="63" t="s">
        <v>4915</v>
      </c>
      <c r="D870" s="63" t="s">
        <v>62</v>
      </c>
      <c r="E870" s="66"/>
      <c r="F870" s="67">
        <v>3.0000000000000001E-3</v>
      </c>
      <c r="G870" s="67">
        <v>2E-3</v>
      </c>
      <c r="H870" s="63"/>
    </row>
    <row r="871" spans="1:8" x14ac:dyDescent="0.25">
      <c r="A871" s="63"/>
      <c r="B871" s="63">
        <v>17</v>
      </c>
      <c r="C871" s="63" t="s">
        <v>4915</v>
      </c>
      <c r="D871" s="63" t="s">
        <v>62</v>
      </c>
      <c r="E871" s="66"/>
      <c r="F871" s="67">
        <v>3.0000000000000001E-3</v>
      </c>
      <c r="G871" s="67">
        <v>2E-3</v>
      </c>
      <c r="H871" s="63"/>
    </row>
    <row r="872" spans="1:8" x14ac:dyDescent="0.25">
      <c r="A872" s="63"/>
      <c r="B872" s="63">
        <v>18</v>
      </c>
      <c r="C872" s="63" t="s">
        <v>4915</v>
      </c>
      <c r="D872" s="63" t="s">
        <v>62</v>
      </c>
      <c r="E872" s="66"/>
      <c r="F872" s="67">
        <v>3.0000000000000001E-3</v>
      </c>
      <c r="G872" s="67">
        <v>2E-3</v>
      </c>
      <c r="H872" s="63"/>
    </row>
    <row r="873" spans="1:8" x14ac:dyDescent="0.25">
      <c r="A873" s="63"/>
      <c r="B873" s="63">
        <v>19</v>
      </c>
      <c r="C873" s="63" t="s">
        <v>4915</v>
      </c>
      <c r="D873" s="63" t="s">
        <v>62</v>
      </c>
      <c r="E873" s="66"/>
      <c r="F873" s="67">
        <v>3.0000000000000001E-3</v>
      </c>
      <c r="G873" s="67">
        <v>2E-3</v>
      </c>
      <c r="H873" s="63"/>
    </row>
    <row r="874" spans="1:8" x14ac:dyDescent="0.25">
      <c r="A874" s="63"/>
      <c r="B874" s="63">
        <v>20</v>
      </c>
      <c r="C874" s="63" t="s">
        <v>4915</v>
      </c>
      <c r="D874" s="63" t="s">
        <v>62</v>
      </c>
      <c r="E874" s="66"/>
      <c r="F874" s="67">
        <v>3.0000000000000001E-3</v>
      </c>
      <c r="G874" s="67">
        <v>2E-3</v>
      </c>
      <c r="H874" s="63"/>
    </row>
    <row r="875" spans="1:8" x14ac:dyDescent="0.25">
      <c r="A875" s="63"/>
      <c r="B875" s="63">
        <v>21</v>
      </c>
      <c r="C875" s="63" t="s">
        <v>4915</v>
      </c>
      <c r="D875" s="63" t="s">
        <v>62</v>
      </c>
      <c r="E875" s="66"/>
      <c r="F875" s="67">
        <v>3.0000000000000001E-3</v>
      </c>
      <c r="G875" s="67">
        <v>2E-3</v>
      </c>
      <c r="H875" s="63"/>
    </row>
    <row r="876" spans="1:8" x14ac:dyDescent="0.25">
      <c r="A876" s="63"/>
      <c r="B876" s="63">
        <v>22</v>
      </c>
      <c r="C876" s="63" t="s">
        <v>4915</v>
      </c>
      <c r="D876" s="63" t="s">
        <v>62</v>
      </c>
      <c r="E876" s="66"/>
      <c r="F876" s="67">
        <v>3.0000000000000001E-3</v>
      </c>
      <c r="G876" s="67">
        <v>2E-3</v>
      </c>
      <c r="H876" s="63"/>
    </row>
    <row r="877" spans="1:8" x14ac:dyDescent="0.25">
      <c r="A877" s="63"/>
      <c r="B877" s="63">
        <v>23</v>
      </c>
      <c r="C877" s="63" t="s">
        <v>4915</v>
      </c>
      <c r="D877" s="63" t="s">
        <v>62</v>
      </c>
      <c r="E877" s="66"/>
      <c r="F877" s="67">
        <v>3.0000000000000001E-3</v>
      </c>
      <c r="G877" s="67">
        <v>2E-3</v>
      </c>
      <c r="H877" s="63"/>
    </row>
    <row r="878" spans="1:8" x14ac:dyDescent="0.25">
      <c r="A878" s="63"/>
      <c r="B878" s="63">
        <v>24</v>
      </c>
      <c r="C878" s="63" t="s">
        <v>4915</v>
      </c>
      <c r="D878" s="63" t="s">
        <v>62</v>
      </c>
      <c r="E878" s="66"/>
      <c r="F878" s="67">
        <v>3.0000000000000001E-3</v>
      </c>
      <c r="G878" s="67">
        <v>2E-3</v>
      </c>
      <c r="H878" s="63"/>
    </row>
    <row r="879" spans="1:8" x14ac:dyDescent="0.25">
      <c r="A879" s="63"/>
      <c r="B879" s="63">
        <v>25</v>
      </c>
      <c r="C879" s="63" t="s">
        <v>4915</v>
      </c>
      <c r="D879" s="63" t="s">
        <v>62</v>
      </c>
      <c r="E879" s="66"/>
      <c r="F879" s="67">
        <v>3.0000000000000001E-3</v>
      </c>
      <c r="G879" s="67">
        <v>2E-3</v>
      </c>
      <c r="H879" s="63"/>
    </row>
    <row r="880" spans="1:8" x14ac:dyDescent="0.25">
      <c r="A880" s="63"/>
      <c r="B880" s="63">
        <v>26</v>
      </c>
      <c r="C880" s="63" t="s">
        <v>4915</v>
      </c>
      <c r="D880" s="63" t="s">
        <v>62</v>
      </c>
      <c r="E880" s="66"/>
      <c r="F880" s="67">
        <v>3.0000000000000001E-3</v>
      </c>
      <c r="G880" s="67">
        <v>2E-3</v>
      </c>
      <c r="H880" s="63"/>
    </row>
    <row r="881" spans="1:8" x14ac:dyDescent="0.25">
      <c r="A881" s="63"/>
      <c r="B881" s="63">
        <v>27</v>
      </c>
      <c r="C881" s="63" t="s">
        <v>4915</v>
      </c>
      <c r="D881" s="63" t="s">
        <v>62</v>
      </c>
      <c r="E881" s="66"/>
      <c r="F881" s="67">
        <v>3.0000000000000001E-3</v>
      </c>
      <c r="G881" s="67">
        <v>2E-3</v>
      </c>
      <c r="H881" s="63"/>
    </row>
    <row r="882" spans="1:8" x14ac:dyDescent="0.25">
      <c r="A882" s="63"/>
      <c r="B882" s="63">
        <v>28</v>
      </c>
      <c r="C882" s="63" t="s">
        <v>4915</v>
      </c>
      <c r="D882" s="63" t="s">
        <v>62</v>
      </c>
      <c r="E882" s="66"/>
      <c r="F882" s="67">
        <v>3.0000000000000001E-3</v>
      </c>
      <c r="G882" s="67">
        <v>2E-3</v>
      </c>
      <c r="H882" s="63"/>
    </row>
    <row r="883" spans="1:8" x14ac:dyDescent="0.25">
      <c r="A883" s="63"/>
      <c r="B883" s="63">
        <v>29</v>
      </c>
      <c r="C883" s="63" t="s">
        <v>4915</v>
      </c>
      <c r="D883" s="63" t="s">
        <v>62</v>
      </c>
      <c r="E883" s="66"/>
      <c r="F883" s="67">
        <v>3.0000000000000001E-3</v>
      </c>
      <c r="G883" s="67">
        <v>2E-3</v>
      </c>
      <c r="H883" s="63"/>
    </row>
    <row r="884" spans="1:8" x14ac:dyDescent="0.25">
      <c r="A884" s="63"/>
      <c r="B884" s="63">
        <v>30</v>
      </c>
      <c r="C884" s="63" t="s">
        <v>4915</v>
      </c>
      <c r="D884" s="63" t="s">
        <v>62</v>
      </c>
      <c r="E884" s="66"/>
      <c r="F884" s="67">
        <v>3.0000000000000001E-3</v>
      </c>
      <c r="G884" s="67">
        <v>2E-3</v>
      </c>
      <c r="H884" s="63"/>
    </row>
    <row r="885" spans="1:8" x14ac:dyDescent="0.25">
      <c r="A885" s="63"/>
      <c r="B885" s="63">
        <v>0</v>
      </c>
      <c r="C885" s="63" t="s">
        <v>4915</v>
      </c>
      <c r="D885" s="63" t="s">
        <v>62</v>
      </c>
      <c r="E885" s="66">
        <v>3.0428788910505911</v>
      </c>
      <c r="F885" s="67">
        <v>3.0000000000000001E-3</v>
      </c>
      <c r="G885" s="67">
        <v>2E-3</v>
      </c>
      <c r="H885" s="63"/>
    </row>
    <row r="886" spans="1:8" x14ac:dyDescent="0.25">
      <c r="A886" s="63"/>
      <c r="B886" s="63">
        <v>0.25</v>
      </c>
      <c r="C886" s="63" t="s">
        <v>4915</v>
      </c>
      <c r="D886" s="63" t="s">
        <v>64</v>
      </c>
      <c r="E886" s="66">
        <v>20.328747193832452</v>
      </c>
      <c r="F886" s="67">
        <v>3.0000000000000001E-3</v>
      </c>
      <c r="G886" s="67">
        <v>2E-3</v>
      </c>
      <c r="H886" s="63"/>
    </row>
    <row r="887" spans="1:8" x14ac:dyDescent="0.25">
      <c r="A887" s="63"/>
      <c r="B887" s="63">
        <v>0.5</v>
      </c>
      <c r="C887" s="63" t="s">
        <v>4915</v>
      </c>
      <c r="D887" s="63" t="s">
        <v>64</v>
      </c>
      <c r="E887" s="66">
        <v>20.901467178587069</v>
      </c>
      <c r="F887" s="67">
        <v>3.0000000000000001E-3</v>
      </c>
      <c r="G887" s="67">
        <v>2E-3</v>
      </c>
      <c r="H887" s="63"/>
    </row>
    <row r="888" spans="1:8" x14ac:dyDescent="0.25">
      <c r="A888" s="63"/>
      <c r="B888" s="63">
        <v>0.75</v>
      </c>
      <c r="C888" s="63" t="s">
        <v>4915</v>
      </c>
      <c r="D888" s="63" t="s">
        <v>64</v>
      </c>
      <c r="E888" s="66">
        <v>21.789694031871221</v>
      </c>
      <c r="F888" s="67">
        <v>3.0000000000000001E-3</v>
      </c>
      <c r="G888" s="67">
        <v>2E-3</v>
      </c>
      <c r="H888" s="63"/>
    </row>
    <row r="889" spans="1:8" x14ac:dyDescent="0.25">
      <c r="A889" s="63"/>
      <c r="B889" s="63">
        <v>1</v>
      </c>
      <c r="C889" s="63" t="s">
        <v>4915</v>
      </c>
      <c r="D889" s="63" t="s">
        <v>64</v>
      </c>
      <c r="E889" s="66">
        <v>22.685842380093916</v>
      </c>
      <c r="F889" s="67">
        <v>3.0000000000000001E-3</v>
      </c>
      <c r="G889" s="67">
        <v>2E-3</v>
      </c>
      <c r="H889" s="63"/>
    </row>
    <row r="890" spans="1:8" x14ac:dyDescent="0.25">
      <c r="A890" s="63"/>
      <c r="B890" s="63">
        <v>2</v>
      </c>
      <c r="C890" s="63" t="s">
        <v>4915</v>
      </c>
      <c r="D890" s="63" t="s">
        <v>64</v>
      </c>
      <c r="E890" s="66">
        <v>25.139615720574728</v>
      </c>
      <c r="F890" s="67">
        <v>3.0000000000000001E-3</v>
      </c>
      <c r="G890" s="67">
        <v>2E-3</v>
      </c>
      <c r="H890" s="63"/>
    </row>
    <row r="891" spans="1:8" x14ac:dyDescent="0.25">
      <c r="A891" s="63"/>
      <c r="B891" s="63">
        <v>3</v>
      </c>
      <c r="C891" s="63" t="s">
        <v>4915</v>
      </c>
      <c r="D891" s="63" t="s">
        <v>64</v>
      </c>
      <c r="E891" s="66">
        <v>28.431126761040446</v>
      </c>
      <c r="F891" s="67">
        <v>3.0000000000000001E-3</v>
      </c>
      <c r="G891" s="67">
        <v>2E-3</v>
      </c>
      <c r="H891" s="63"/>
    </row>
    <row r="892" spans="1:8" x14ac:dyDescent="0.25">
      <c r="A892" s="63"/>
      <c r="B892" s="63">
        <v>4</v>
      </c>
      <c r="C892" s="63" t="s">
        <v>4915</v>
      </c>
      <c r="D892" s="63" t="s">
        <v>64</v>
      </c>
      <c r="E892" s="66">
        <v>31.8133765751437</v>
      </c>
      <c r="F892" s="67">
        <v>3.0000000000000001E-3</v>
      </c>
      <c r="G892" s="67">
        <v>2E-3</v>
      </c>
      <c r="H892" s="63"/>
    </row>
    <row r="893" spans="1:8" x14ac:dyDescent="0.25">
      <c r="A893" s="63"/>
      <c r="B893" s="63">
        <v>5</v>
      </c>
      <c r="C893" s="63" t="s">
        <v>4915</v>
      </c>
      <c r="D893" s="63" t="s">
        <v>64</v>
      </c>
      <c r="E893" s="66">
        <v>35.295439040248269</v>
      </c>
      <c r="F893" s="67">
        <v>3.0000000000000001E-3</v>
      </c>
      <c r="G893" s="67">
        <v>2E-3</v>
      </c>
      <c r="H893" s="63"/>
    </row>
    <row r="894" spans="1:8" x14ac:dyDescent="0.25">
      <c r="A894" s="63"/>
      <c r="B894" s="63">
        <v>6</v>
      </c>
      <c r="C894" s="63" t="s">
        <v>4915</v>
      </c>
      <c r="D894" s="63" t="s">
        <v>64</v>
      </c>
      <c r="E894" s="66">
        <v>40.66038110622798</v>
      </c>
      <c r="F894" s="67">
        <v>3.0000000000000001E-3</v>
      </c>
      <c r="G894" s="67">
        <v>2E-3</v>
      </c>
      <c r="H894" s="63"/>
    </row>
    <row r="895" spans="1:8" x14ac:dyDescent="0.25">
      <c r="A895" s="63"/>
      <c r="B895" s="63">
        <v>7</v>
      </c>
      <c r="C895" s="63" t="s">
        <v>4915</v>
      </c>
      <c r="D895" s="63" t="s">
        <v>64</v>
      </c>
      <c r="E895" s="66">
        <v>44.145469767258199</v>
      </c>
      <c r="F895" s="67">
        <v>3.0000000000000001E-3</v>
      </c>
      <c r="G895" s="67">
        <v>2E-3</v>
      </c>
      <c r="H895" s="63"/>
    </row>
    <row r="896" spans="1:8" x14ac:dyDescent="0.25">
      <c r="A896" s="63"/>
      <c r="B896" s="63">
        <v>8</v>
      </c>
      <c r="C896" s="63" t="s">
        <v>4915</v>
      </c>
      <c r="D896" s="63" t="s">
        <v>64</v>
      </c>
      <c r="E896" s="66">
        <v>47.802065076832598</v>
      </c>
      <c r="F896" s="67">
        <v>3.0000000000000001E-3</v>
      </c>
      <c r="G896" s="67">
        <v>2E-3</v>
      </c>
      <c r="H896" s="63"/>
    </row>
    <row r="897" spans="1:8" x14ac:dyDescent="0.25">
      <c r="A897" s="63"/>
      <c r="B897" s="63">
        <v>9</v>
      </c>
      <c r="C897" s="63" t="s">
        <v>4915</v>
      </c>
      <c r="D897" s="63" t="s">
        <v>64</v>
      </c>
      <c r="E897" s="66">
        <v>52.368463891218347</v>
      </c>
      <c r="F897" s="67">
        <v>3.0000000000000001E-3</v>
      </c>
      <c r="G897" s="67">
        <v>2E-3</v>
      </c>
      <c r="H897" s="63"/>
    </row>
    <row r="898" spans="1:8" x14ac:dyDescent="0.25">
      <c r="A898" s="63"/>
      <c r="B898" s="63">
        <v>10</v>
      </c>
      <c r="C898" s="63" t="s">
        <v>4915</v>
      </c>
      <c r="D898" s="63" t="s">
        <v>64</v>
      </c>
      <c r="E898" s="66">
        <v>56.090712435126555</v>
      </c>
      <c r="F898" s="67">
        <v>3.0000000000000001E-3</v>
      </c>
      <c r="G898" s="67">
        <v>2E-3</v>
      </c>
      <c r="H898" s="63"/>
    </row>
    <row r="899" spans="1:8" x14ac:dyDescent="0.25">
      <c r="A899" s="63"/>
      <c r="B899" s="63">
        <v>11</v>
      </c>
      <c r="C899" s="63" t="s">
        <v>4915</v>
      </c>
      <c r="D899" s="63" t="s">
        <v>64</v>
      </c>
      <c r="E899" s="66"/>
      <c r="F899" s="67">
        <v>3.0000000000000001E-3</v>
      </c>
      <c r="G899" s="67">
        <v>2E-3</v>
      </c>
      <c r="H899" s="63"/>
    </row>
    <row r="900" spans="1:8" x14ac:dyDescent="0.25">
      <c r="A900" s="63"/>
      <c r="B900" s="63">
        <v>12</v>
      </c>
      <c r="C900" s="63" t="s">
        <v>4915</v>
      </c>
      <c r="D900" s="63" t="s">
        <v>64</v>
      </c>
      <c r="E900" s="66"/>
      <c r="F900" s="67">
        <v>3.0000000000000001E-3</v>
      </c>
      <c r="G900" s="67">
        <v>2E-3</v>
      </c>
      <c r="H900" s="63"/>
    </row>
    <row r="901" spans="1:8" x14ac:dyDescent="0.25">
      <c r="A901" s="63"/>
      <c r="B901" s="63">
        <v>13</v>
      </c>
      <c r="C901" s="63" t="s">
        <v>4915</v>
      </c>
      <c r="D901" s="63" t="s">
        <v>64</v>
      </c>
      <c r="E901" s="66"/>
      <c r="F901" s="67">
        <v>3.0000000000000001E-3</v>
      </c>
      <c r="G901" s="67">
        <v>2E-3</v>
      </c>
      <c r="H901" s="63"/>
    </row>
    <row r="902" spans="1:8" x14ac:dyDescent="0.25">
      <c r="A902" s="63"/>
      <c r="B902" s="63">
        <v>14</v>
      </c>
      <c r="C902" s="63" t="s">
        <v>4915</v>
      </c>
      <c r="D902" s="63" t="s">
        <v>64</v>
      </c>
      <c r="E902" s="66"/>
      <c r="F902" s="67">
        <v>3.0000000000000001E-3</v>
      </c>
      <c r="G902" s="67">
        <v>2E-3</v>
      </c>
      <c r="H902" s="63"/>
    </row>
    <row r="903" spans="1:8" x14ac:dyDescent="0.25">
      <c r="A903" s="63"/>
      <c r="B903" s="63">
        <v>15</v>
      </c>
      <c r="C903" s="63" t="s">
        <v>4915</v>
      </c>
      <c r="D903" s="63" t="s">
        <v>64</v>
      </c>
      <c r="E903" s="66"/>
      <c r="F903" s="67">
        <v>3.0000000000000001E-3</v>
      </c>
      <c r="G903" s="67">
        <v>2E-3</v>
      </c>
      <c r="H903" s="63"/>
    </row>
    <row r="904" spans="1:8" x14ac:dyDescent="0.25">
      <c r="A904" s="63"/>
      <c r="B904" s="63">
        <v>16</v>
      </c>
      <c r="C904" s="63" t="s">
        <v>4915</v>
      </c>
      <c r="D904" s="63" t="s">
        <v>64</v>
      </c>
      <c r="E904" s="66"/>
      <c r="F904" s="67">
        <v>3.0000000000000001E-3</v>
      </c>
      <c r="G904" s="67">
        <v>2E-3</v>
      </c>
      <c r="H904" s="63"/>
    </row>
    <row r="905" spans="1:8" x14ac:dyDescent="0.25">
      <c r="A905" s="63"/>
      <c r="B905" s="63">
        <v>17</v>
      </c>
      <c r="C905" s="63" t="s">
        <v>4915</v>
      </c>
      <c r="D905" s="63" t="s">
        <v>64</v>
      </c>
      <c r="E905" s="66"/>
      <c r="F905" s="67">
        <v>3.0000000000000001E-3</v>
      </c>
      <c r="G905" s="67">
        <v>2E-3</v>
      </c>
      <c r="H905" s="63"/>
    </row>
    <row r="906" spans="1:8" x14ac:dyDescent="0.25">
      <c r="A906" s="63"/>
      <c r="B906" s="63">
        <v>18</v>
      </c>
      <c r="C906" s="63" t="s">
        <v>4915</v>
      </c>
      <c r="D906" s="63" t="s">
        <v>64</v>
      </c>
      <c r="E906" s="66"/>
      <c r="F906" s="67">
        <v>3.0000000000000001E-3</v>
      </c>
      <c r="G906" s="67">
        <v>2E-3</v>
      </c>
      <c r="H906" s="63"/>
    </row>
    <row r="907" spans="1:8" x14ac:dyDescent="0.25">
      <c r="A907" s="63"/>
      <c r="B907" s="63">
        <v>19</v>
      </c>
      <c r="C907" s="63" t="s">
        <v>4915</v>
      </c>
      <c r="D907" s="63" t="s">
        <v>64</v>
      </c>
      <c r="E907" s="66"/>
      <c r="F907" s="67">
        <v>3.0000000000000001E-3</v>
      </c>
      <c r="G907" s="67">
        <v>2E-3</v>
      </c>
      <c r="H907" s="63"/>
    </row>
    <row r="908" spans="1:8" x14ac:dyDescent="0.25">
      <c r="A908" s="63"/>
      <c r="B908" s="63">
        <v>20</v>
      </c>
      <c r="C908" s="63" t="s">
        <v>4915</v>
      </c>
      <c r="D908" s="63" t="s">
        <v>64</v>
      </c>
      <c r="E908" s="66"/>
      <c r="F908" s="67">
        <v>3.0000000000000001E-3</v>
      </c>
      <c r="G908" s="67">
        <v>2E-3</v>
      </c>
      <c r="H908" s="63"/>
    </row>
    <row r="909" spans="1:8" x14ac:dyDescent="0.25">
      <c r="A909" s="63"/>
      <c r="B909" s="63">
        <v>21</v>
      </c>
      <c r="C909" s="63" t="s">
        <v>4915</v>
      </c>
      <c r="D909" s="63" t="s">
        <v>64</v>
      </c>
      <c r="E909" s="66"/>
      <c r="F909" s="67">
        <v>3.0000000000000001E-3</v>
      </c>
      <c r="G909" s="67">
        <v>2E-3</v>
      </c>
      <c r="H909" s="63"/>
    </row>
    <row r="910" spans="1:8" x14ac:dyDescent="0.25">
      <c r="A910" s="63"/>
      <c r="B910" s="63">
        <v>22</v>
      </c>
      <c r="C910" s="63" t="s">
        <v>4915</v>
      </c>
      <c r="D910" s="63" t="s">
        <v>64</v>
      </c>
      <c r="E910" s="66"/>
      <c r="F910" s="67">
        <v>3.0000000000000001E-3</v>
      </c>
      <c r="G910" s="67">
        <v>2E-3</v>
      </c>
      <c r="H910" s="63"/>
    </row>
    <row r="911" spans="1:8" x14ac:dyDescent="0.25">
      <c r="A911" s="63"/>
      <c r="B911" s="63">
        <v>23</v>
      </c>
      <c r="C911" s="63" t="s">
        <v>4915</v>
      </c>
      <c r="D911" s="63" t="s">
        <v>64</v>
      </c>
      <c r="E911" s="66"/>
      <c r="F911" s="67">
        <v>3.0000000000000001E-3</v>
      </c>
      <c r="G911" s="67">
        <v>2E-3</v>
      </c>
      <c r="H911" s="63"/>
    </row>
    <row r="912" spans="1:8" x14ac:dyDescent="0.25">
      <c r="A912" s="63"/>
      <c r="B912" s="63">
        <v>24</v>
      </c>
      <c r="C912" s="63" t="s">
        <v>4915</v>
      </c>
      <c r="D912" s="63" t="s">
        <v>64</v>
      </c>
      <c r="E912" s="66"/>
      <c r="F912" s="67">
        <v>3.0000000000000001E-3</v>
      </c>
      <c r="G912" s="67">
        <v>2E-3</v>
      </c>
      <c r="H912" s="63"/>
    </row>
    <row r="913" spans="1:8" x14ac:dyDescent="0.25">
      <c r="A913" s="63"/>
      <c r="B913" s="63">
        <v>25</v>
      </c>
      <c r="C913" s="63" t="s">
        <v>4915</v>
      </c>
      <c r="D913" s="63" t="s">
        <v>64</v>
      </c>
      <c r="E913" s="66"/>
      <c r="F913" s="67">
        <v>3.0000000000000001E-3</v>
      </c>
      <c r="G913" s="67">
        <v>2E-3</v>
      </c>
      <c r="H913" s="63"/>
    </row>
    <row r="914" spans="1:8" x14ac:dyDescent="0.25">
      <c r="A914" s="63"/>
      <c r="B914" s="63">
        <v>26</v>
      </c>
      <c r="C914" s="63" t="s">
        <v>4915</v>
      </c>
      <c r="D914" s="63" t="s">
        <v>64</v>
      </c>
      <c r="E914" s="66"/>
      <c r="F914" s="67">
        <v>3.0000000000000001E-3</v>
      </c>
      <c r="G914" s="67">
        <v>2E-3</v>
      </c>
      <c r="H914" s="63"/>
    </row>
    <row r="915" spans="1:8" x14ac:dyDescent="0.25">
      <c r="A915" s="63"/>
      <c r="B915" s="63">
        <v>27</v>
      </c>
      <c r="C915" s="63" t="s">
        <v>4915</v>
      </c>
      <c r="D915" s="63" t="s">
        <v>64</v>
      </c>
      <c r="E915" s="66"/>
      <c r="F915" s="67">
        <v>3.0000000000000001E-3</v>
      </c>
      <c r="G915" s="67">
        <v>2E-3</v>
      </c>
      <c r="H915" s="63"/>
    </row>
    <row r="916" spans="1:8" x14ac:dyDescent="0.25">
      <c r="A916" s="63"/>
      <c r="B916" s="63">
        <v>28</v>
      </c>
      <c r="C916" s="63" t="s">
        <v>4915</v>
      </c>
      <c r="D916" s="63" t="s">
        <v>64</v>
      </c>
      <c r="E916" s="66"/>
      <c r="F916" s="67">
        <v>3.0000000000000001E-3</v>
      </c>
      <c r="G916" s="67">
        <v>2E-3</v>
      </c>
      <c r="H916" s="63"/>
    </row>
    <row r="917" spans="1:8" x14ac:dyDescent="0.25">
      <c r="A917" s="63"/>
      <c r="B917" s="63">
        <v>29</v>
      </c>
      <c r="C917" s="63" t="s">
        <v>4915</v>
      </c>
      <c r="D917" s="63" t="s">
        <v>64</v>
      </c>
      <c r="E917" s="66"/>
      <c r="F917" s="67">
        <v>3.0000000000000001E-3</v>
      </c>
      <c r="G917" s="67">
        <v>2E-3</v>
      </c>
      <c r="H917" s="63"/>
    </row>
    <row r="918" spans="1:8" x14ac:dyDescent="0.25">
      <c r="A918" s="63"/>
      <c r="B918" s="63">
        <v>30</v>
      </c>
      <c r="C918" s="63" t="s">
        <v>4915</v>
      </c>
      <c r="D918" s="63" t="s">
        <v>64</v>
      </c>
      <c r="E918" s="66"/>
      <c r="F918" s="67">
        <v>3.0000000000000001E-3</v>
      </c>
      <c r="G918" s="67">
        <v>2E-3</v>
      </c>
      <c r="H918" s="63"/>
    </row>
    <row r="919" spans="1:8" x14ac:dyDescent="0.25">
      <c r="A919" s="63"/>
      <c r="B919" s="63">
        <v>0</v>
      </c>
      <c r="C919" s="63" t="s">
        <v>4915</v>
      </c>
      <c r="D919" s="63" t="s">
        <v>64</v>
      </c>
      <c r="E919" s="66">
        <v>3.0428788910505911</v>
      </c>
      <c r="F919" s="67">
        <v>3.0000000000000001E-3</v>
      </c>
      <c r="G919" s="67">
        <v>2E-3</v>
      </c>
      <c r="H919" s="63"/>
    </row>
    <row r="920" spans="1:8" x14ac:dyDescent="0.25">
      <c r="A920" s="63"/>
      <c r="B920" s="63">
        <v>0.25</v>
      </c>
      <c r="C920" s="63" t="s">
        <v>4915</v>
      </c>
      <c r="D920" s="63" t="s">
        <v>77</v>
      </c>
      <c r="E920" s="66">
        <v>27.534274845388101</v>
      </c>
      <c r="F920" s="67">
        <v>3.0000000000000001E-3</v>
      </c>
      <c r="G920" s="67">
        <v>2E-3</v>
      </c>
      <c r="H920" s="63"/>
    </row>
    <row r="921" spans="1:8" x14ac:dyDescent="0.25">
      <c r="A921" s="63"/>
      <c r="B921" s="63">
        <v>0.5</v>
      </c>
      <c r="C921" s="63" t="s">
        <v>4915</v>
      </c>
      <c r="D921" s="63" t="s">
        <v>77</v>
      </c>
      <c r="E921" s="66">
        <v>28.7546435165833</v>
      </c>
      <c r="F921" s="67">
        <v>3.0000000000000001E-3</v>
      </c>
      <c r="G921" s="67">
        <v>2E-3</v>
      </c>
      <c r="H921" s="63"/>
    </row>
    <row r="922" spans="1:8" x14ac:dyDescent="0.25">
      <c r="A922" s="63"/>
      <c r="B922" s="63">
        <v>0.75</v>
      </c>
      <c r="C922" s="63" t="s">
        <v>4915</v>
      </c>
      <c r="D922" s="63" t="s">
        <v>77</v>
      </c>
      <c r="E922" s="66">
        <v>29.745101089440592</v>
      </c>
      <c r="F922" s="67">
        <v>3.0000000000000001E-3</v>
      </c>
      <c r="G922" s="67">
        <v>2E-3</v>
      </c>
      <c r="H922" s="63"/>
    </row>
    <row r="923" spans="1:8" x14ac:dyDescent="0.25">
      <c r="A923" s="63"/>
      <c r="B923" s="63">
        <v>1</v>
      </c>
      <c r="C923" s="63" t="s">
        <v>4915</v>
      </c>
      <c r="D923" s="63" t="s">
        <v>77</v>
      </c>
      <c r="E923" s="66">
        <v>31.40041068268582</v>
      </c>
      <c r="F923" s="67">
        <v>3.0000000000000001E-3</v>
      </c>
      <c r="G923" s="67">
        <v>2E-3</v>
      </c>
      <c r="H923" s="63"/>
    </row>
    <row r="924" spans="1:8" x14ac:dyDescent="0.25">
      <c r="A924" s="63"/>
      <c r="B924" s="63">
        <v>2</v>
      </c>
      <c r="C924" s="63" t="s">
        <v>4915</v>
      </c>
      <c r="D924" s="63" t="s">
        <v>77</v>
      </c>
      <c r="E924" s="66">
        <v>34.055855535822701</v>
      </c>
      <c r="F924" s="67">
        <v>3.0000000000000001E-3</v>
      </c>
      <c r="G924" s="67">
        <v>2E-3</v>
      </c>
      <c r="H924" s="63"/>
    </row>
    <row r="925" spans="1:8" x14ac:dyDescent="0.25">
      <c r="A925" s="63"/>
      <c r="B925" s="63">
        <v>3</v>
      </c>
      <c r="C925" s="63" t="s">
        <v>4915</v>
      </c>
      <c r="D925" s="63" t="s">
        <v>77</v>
      </c>
      <c r="E925" s="66">
        <v>42.56880836432358</v>
      </c>
      <c r="F925" s="67">
        <v>3.0000000000000001E-3</v>
      </c>
      <c r="G925" s="67">
        <v>2E-3</v>
      </c>
      <c r="H925" s="63"/>
    </row>
    <row r="926" spans="1:8" x14ac:dyDescent="0.25">
      <c r="A926" s="63"/>
      <c r="B926" s="63">
        <v>4</v>
      </c>
      <c r="C926" s="63" t="s">
        <v>4915</v>
      </c>
      <c r="D926" s="63" t="s">
        <v>77</v>
      </c>
      <c r="E926" s="66">
        <v>47.424730465199517</v>
      </c>
      <c r="F926" s="67">
        <v>3.0000000000000001E-3</v>
      </c>
      <c r="G926" s="67">
        <v>2E-3</v>
      </c>
      <c r="H926" s="63"/>
    </row>
    <row r="927" spans="1:8" x14ac:dyDescent="0.25">
      <c r="A927" s="63"/>
      <c r="B927" s="63">
        <v>5</v>
      </c>
      <c r="C927" s="63" t="s">
        <v>4915</v>
      </c>
      <c r="D927" s="63" t="s">
        <v>77</v>
      </c>
      <c r="E927" s="66">
        <v>52.50134218681967</v>
      </c>
      <c r="F927" s="67">
        <v>3.0000000000000001E-3</v>
      </c>
      <c r="G927" s="67">
        <v>2E-3</v>
      </c>
      <c r="H927" s="63"/>
    </row>
    <row r="928" spans="1:8" x14ac:dyDescent="0.25">
      <c r="A928" s="63"/>
      <c r="B928" s="63">
        <v>6</v>
      </c>
      <c r="C928" s="63" t="s">
        <v>4915</v>
      </c>
      <c r="D928" s="63" t="s">
        <v>77</v>
      </c>
      <c r="E928" s="66">
        <v>57.82071249125849</v>
      </c>
      <c r="F928" s="67">
        <v>3.0000000000000001E-3</v>
      </c>
      <c r="G928" s="67">
        <v>2E-3</v>
      </c>
      <c r="H928" s="63"/>
    </row>
    <row r="929" spans="1:8" x14ac:dyDescent="0.25">
      <c r="A929" s="63"/>
      <c r="B929" s="63">
        <v>7</v>
      </c>
      <c r="C929" s="63" t="s">
        <v>4915</v>
      </c>
      <c r="D929" s="63" t="s">
        <v>77</v>
      </c>
      <c r="E929" s="66">
        <v>63.9400941035952</v>
      </c>
      <c r="F929" s="67">
        <v>3.0000000000000001E-3</v>
      </c>
      <c r="G929" s="67">
        <v>2E-3</v>
      </c>
      <c r="H929" s="63"/>
    </row>
    <row r="930" spans="1:8" x14ac:dyDescent="0.25">
      <c r="A930" s="63"/>
      <c r="B930" s="63">
        <v>8</v>
      </c>
      <c r="C930" s="63" t="s">
        <v>4915</v>
      </c>
      <c r="D930" s="63" t="s">
        <v>77</v>
      </c>
      <c r="E930" s="66">
        <v>70.410863696800959</v>
      </c>
      <c r="F930" s="67">
        <v>3.0000000000000001E-3</v>
      </c>
      <c r="G930" s="67">
        <v>2E-3</v>
      </c>
      <c r="H930" s="63"/>
    </row>
    <row r="931" spans="1:8" x14ac:dyDescent="0.25">
      <c r="A931" s="63"/>
      <c r="B931" s="63">
        <v>9</v>
      </c>
      <c r="C931" s="63" t="s">
        <v>4915</v>
      </c>
      <c r="D931" s="63" t="s">
        <v>77</v>
      </c>
      <c r="E931" s="66">
        <v>77.204744963738349</v>
      </c>
      <c r="F931" s="67">
        <v>3.0000000000000001E-3</v>
      </c>
      <c r="G931" s="67">
        <v>2E-3</v>
      </c>
      <c r="H931" s="63"/>
    </row>
    <row r="932" spans="1:8" x14ac:dyDescent="0.25">
      <c r="A932" s="63"/>
      <c r="B932" s="63">
        <v>10</v>
      </c>
      <c r="C932" s="63" t="s">
        <v>4915</v>
      </c>
      <c r="D932" s="63" t="s">
        <v>77</v>
      </c>
      <c r="E932" s="66">
        <v>84.354049071780494</v>
      </c>
      <c r="F932" s="67">
        <v>3.0000000000000001E-3</v>
      </c>
      <c r="G932" s="67">
        <v>2E-3</v>
      </c>
      <c r="H932" s="63"/>
    </row>
    <row r="933" spans="1:8" x14ac:dyDescent="0.25">
      <c r="A933" s="63"/>
      <c r="B933" s="63">
        <v>11</v>
      </c>
      <c r="C933" s="63" t="s">
        <v>4915</v>
      </c>
      <c r="D933" s="63" t="s">
        <v>77</v>
      </c>
      <c r="E933" s="66"/>
      <c r="F933" s="67">
        <v>3.0000000000000001E-3</v>
      </c>
      <c r="G933" s="67">
        <v>2E-3</v>
      </c>
      <c r="H933" s="63"/>
    </row>
    <row r="934" spans="1:8" x14ac:dyDescent="0.25">
      <c r="A934" s="63"/>
      <c r="B934" s="63">
        <v>12</v>
      </c>
      <c r="C934" s="63" t="s">
        <v>4915</v>
      </c>
      <c r="D934" s="63" t="s">
        <v>77</v>
      </c>
      <c r="E934" s="66"/>
      <c r="F934" s="67">
        <v>3.0000000000000001E-3</v>
      </c>
      <c r="G934" s="67">
        <v>2E-3</v>
      </c>
      <c r="H934" s="63"/>
    </row>
    <row r="935" spans="1:8" x14ac:dyDescent="0.25">
      <c r="A935" s="63"/>
      <c r="B935" s="63">
        <v>13</v>
      </c>
      <c r="C935" s="63" t="s">
        <v>4915</v>
      </c>
      <c r="D935" s="63" t="s">
        <v>77</v>
      </c>
      <c r="E935" s="66"/>
      <c r="F935" s="67">
        <v>3.0000000000000001E-3</v>
      </c>
      <c r="G935" s="67">
        <v>2E-3</v>
      </c>
      <c r="H935" s="63"/>
    </row>
    <row r="936" spans="1:8" x14ac:dyDescent="0.25">
      <c r="A936" s="63"/>
      <c r="B936" s="63">
        <v>14</v>
      </c>
      <c r="C936" s="63" t="s">
        <v>4915</v>
      </c>
      <c r="D936" s="63" t="s">
        <v>77</v>
      </c>
      <c r="E936" s="66"/>
      <c r="F936" s="67">
        <v>3.0000000000000001E-3</v>
      </c>
      <c r="G936" s="67">
        <v>2E-3</v>
      </c>
      <c r="H936" s="63"/>
    </row>
    <row r="937" spans="1:8" x14ac:dyDescent="0.25">
      <c r="A937" s="63"/>
      <c r="B937" s="63">
        <v>15</v>
      </c>
      <c r="C937" s="63" t="s">
        <v>4915</v>
      </c>
      <c r="D937" s="63" t="s">
        <v>77</v>
      </c>
      <c r="E937" s="66"/>
      <c r="F937" s="67">
        <v>3.0000000000000001E-3</v>
      </c>
      <c r="G937" s="67">
        <v>2E-3</v>
      </c>
      <c r="H937" s="63"/>
    </row>
    <row r="938" spans="1:8" x14ac:dyDescent="0.25">
      <c r="A938" s="63"/>
      <c r="B938" s="63">
        <v>16</v>
      </c>
      <c r="C938" s="63" t="s">
        <v>4915</v>
      </c>
      <c r="D938" s="63" t="s">
        <v>77</v>
      </c>
      <c r="E938" s="66"/>
      <c r="F938" s="67">
        <v>3.0000000000000001E-3</v>
      </c>
      <c r="G938" s="67">
        <v>2E-3</v>
      </c>
      <c r="H938" s="63"/>
    </row>
    <row r="939" spans="1:8" x14ac:dyDescent="0.25">
      <c r="A939" s="63"/>
      <c r="B939" s="63">
        <v>17</v>
      </c>
      <c r="C939" s="63" t="s">
        <v>4915</v>
      </c>
      <c r="D939" s="63" t="s">
        <v>77</v>
      </c>
      <c r="E939" s="66"/>
      <c r="F939" s="67">
        <v>3.0000000000000001E-3</v>
      </c>
      <c r="G939" s="67">
        <v>2E-3</v>
      </c>
      <c r="H939" s="63"/>
    </row>
    <row r="940" spans="1:8" x14ac:dyDescent="0.25">
      <c r="A940" s="63"/>
      <c r="B940" s="63">
        <v>18</v>
      </c>
      <c r="C940" s="63" t="s">
        <v>4915</v>
      </c>
      <c r="D940" s="63" t="s">
        <v>77</v>
      </c>
      <c r="E940" s="66"/>
      <c r="F940" s="67">
        <v>3.0000000000000001E-3</v>
      </c>
      <c r="G940" s="67">
        <v>2E-3</v>
      </c>
      <c r="H940" s="63"/>
    </row>
    <row r="941" spans="1:8" x14ac:dyDescent="0.25">
      <c r="A941" s="63"/>
      <c r="B941" s="63">
        <v>19</v>
      </c>
      <c r="C941" s="63" t="s">
        <v>4915</v>
      </c>
      <c r="D941" s="63" t="s">
        <v>77</v>
      </c>
      <c r="E941" s="66"/>
      <c r="F941" s="67">
        <v>3.0000000000000001E-3</v>
      </c>
      <c r="G941" s="67">
        <v>2E-3</v>
      </c>
      <c r="H941" s="63"/>
    </row>
    <row r="942" spans="1:8" x14ac:dyDescent="0.25">
      <c r="A942" s="63"/>
      <c r="B942" s="63">
        <v>20</v>
      </c>
      <c r="C942" s="63" t="s">
        <v>4915</v>
      </c>
      <c r="D942" s="63" t="s">
        <v>77</v>
      </c>
      <c r="E942" s="66"/>
      <c r="F942" s="67">
        <v>3.0000000000000001E-3</v>
      </c>
      <c r="G942" s="67">
        <v>2E-3</v>
      </c>
      <c r="H942" s="63"/>
    </row>
    <row r="943" spans="1:8" x14ac:dyDescent="0.25">
      <c r="A943" s="63"/>
      <c r="B943" s="63">
        <v>21</v>
      </c>
      <c r="C943" s="63" t="s">
        <v>4915</v>
      </c>
      <c r="D943" s="63" t="s">
        <v>77</v>
      </c>
      <c r="E943" s="66"/>
      <c r="F943" s="67">
        <v>3.0000000000000001E-3</v>
      </c>
      <c r="G943" s="67">
        <v>2E-3</v>
      </c>
      <c r="H943" s="63"/>
    </row>
    <row r="944" spans="1:8" x14ac:dyDescent="0.25">
      <c r="A944" s="63"/>
      <c r="B944" s="63">
        <v>22</v>
      </c>
      <c r="C944" s="63" t="s">
        <v>4915</v>
      </c>
      <c r="D944" s="63" t="s">
        <v>77</v>
      </c>
      <c r="E944" s="66"/>
      <c r="F944" s="67">
        <v>3.0000000000000001E-3</v>
      </c>
      <c r="G944" s="67">
        <v>2E-3</v>
      </c>
      <c r="H944" s="63"/>
    </row>
    <row r="945" spans="1:8" x14ac:dyDescent="0.25">
      <c r="A945" s="63"/>
      <c r="B945" s="63">
        <v>23</v>
      </c>
      <c r="C945" s="63" t="s">
        <v>4915</v>
      </c>
      <c r="D945" s="63" t="s">
        <v>77</v>
      </c>
      <c r="E945" s="66"/>
      <c r="F945" s="67">
        <v>3.0000000000000001E-3</v>
      </c>
      <c r="G945" s="67">
        <v>2E-3</v>
      </c>
      <c r="H945" s="63"/>
    </row>
    <row r="946" spans="1:8" x14ac:dyDescent="0.25">
      <c r="A946" s="63"/>
      <c r="B946" s="63">
        <v>24</v>
      </c>
      <c r="C946" s="63" t="s">
        <v>4915</v>
      </c>
      <c r="D946" s="63" t="s">
        <v>77</v>
      </c>
      <c r="E946" s="66"/>
      <c r="F946" s="67">
        <v>3.0000000000000001E-3</v>
      </c>
      <c r="G946" s="67">
        <v>2E-3</v>
      </c>
      <c r="H946" s="63"/>
    </row>
    <row r="947" spans="1:8" x14ac:dyDescent="0.25">
      <c r="A947" s="63"/>
      <c r="B947" s="63">
        <v>25</v>
      </c>
      <c r="C947" s="63" t="s">
        <v>4915</v>
      </c>
      <c r="D947" s="63" t="s">
        <v>77</v>
      </c>
      <c r="E947" s="66"/>
      <c r="F947" s="67">
        <v>3.0000000000000001E-3</v>
      </c>
      <c r="G947" s="67">
        <v>2E-3</v>
      </c>
      <c r="H947" s="63"/>
    </row>
    <row r="948" spans="1:8" x14ac:dyDescent="0.25">
      <c r="A948" s="63"/>
      <c r="B948" s="63">
        <v>26</v>
      </c>
      <c r="C948" s="63" t="s">
        <v>4915</v>
      </c>
      <c r="D948" s="63" t="s">
        <v>77</v>
      </c>
      <c r="E948" s="66"/>
      <c r="F948" s="67">
        <v>3.0000000000000001E-3</v>
      </c>
      <c r="G948" s="67">
        <v>2E-3</v>
      </c>
      <c r="H948" s="63"/>
    </row>
    <row r="949" spans="1:8" x14ac:dyDescent="0.25">
      <c r="A949" s="63"/>
      <c r="B949" s="63">
        <v>27</v>
      </c>
      <c r="C949" s="63" t="s">
        <v>4915</v>
      </c>
      <c r="D949" s="63" t="s">
        <v>77</v>
      </c>
      <c r="E949" s="66"/>
      <c r="F949" s="67">
        <v>3.0000000000000001E-3</v>
      </c>
      <c r="G949" s="67">
        <v>2E-3</v>
      </c>
      <c r="H949" s="63"/>
    </row>
    <row r="950" spans="1:8" x14ac:dyDescent="0.25">
      <c r="A950" s="63"/>
      <c r="B950" s="63">
        <v>28</v>
      </c>
      <c r="C950" s="63" t="s">
        <v>4915</v>
      </c>
      <c r="D950" s="63" t="s">
        <v>77</v>
      </c>
      <c r="E950" s="66"/>
      <c r="F950" s="67">
        <v>3.0000000000000001E-3</v>
      </c>
      <c r="G950" s="67">
        <v>2E-3</v>
      </c>
      <c r="H950" s="63"/>
    </row>
    <row r="951" spans="1:8" x14ac:dyDescent="0.25">
      <c r="A951" s="63"/>
      <c r="B951" s="63">
        <v>29</v>
      </c>
      <c r="C951" s="63" t="s">
        <v>4915</v>
      </c>
      <c r="D951" s="63" t="s">
        <v>77</v>
      </c>
      <c r="E951" s="66"/>
      <c r="F951" s="67">
        <v>3.0000000000000001E-3</v>
      </c>
      <c r="G951" s="67">
        <v>2E-3</v>
      </c>
      <c r="H951" s="63"/>
    </row>
    <row r="952" spans="1:8" x14ac:dyDescent="0.25">
      <c r="A952" s="63"/>
      <c r="B952" s="63">
        <v>30</v>
      </c>
      <c r="C952" s="63" t="s">
        <v>4915</v>
      </c>
      <c r="D952" s="63" t="s">
        <v>77</v>
      </c>
      <c r="E952" s="66"/>
      <c r="F952" s="67">
        <v>3.0000000000000001E-3</v>
      </c>
      <c r="G952" s="67">
        <v>2E-3</v>
      </c>
      <c r="H952" s="63"/>
    </row>
    <row r="953" spans="1:8" x14ac:dyDescent="0.25">
      <c r="A953" s="63"/>
      <c r="B953" s="63">
        <v>0</v>
      </c>
      <c r="C953" s="63" t="s">
        <v>4915</v>
      </c>
      <c r="D953" s="63" t="s">
        <v>77</v>
      </c>
      <c r="E953" s="66">
        <v>3.0428788910505911</v>
      </c>
      <c r="F953" s="67">
        <v>3.0000000000000001E-3</v>
      </c>
      <c r="G953" s="67">
        <v>2E-3</v>
      </c>
      <c r="H953" s="63"/>
    </row>
    <row r="954" spans="1:8" x14ac:dyDescent="0.25">
      <c r="A954" s="63"/>
      <c r="B954" s="63">
        <v>0.25</v>
      </c>
      <c r="C954" s="63" t="s">
        <v>3670</v>
      </c>
      <c r="D954" s="63" t="s">
        <v>21</v>
      </c>
      <c r="E954" s="66">
        <v>11.007569492562263</v>
      </c>
      <c r="F954" s="67">
        <v>3.0000000000000001E-3</v>
      </c>
      <c r="G954" s="67">
        <v>2E-3</v>
      </c>
      <c r="H954" s="63"/>
    </row>
    <row r="955" spans="1:8" x14ac:dyDescent="0.25">
      <c r="A955" s="63"/>
      <c r="B955" s="63">
        <v>0.5</v>
      </c>
      <c r="C955" s="63" t="s">
        <v>3670</v>
      </c>
      <c r="D955" s="63" t="s">
        <v>21</v>
      </c>
      <c r="E955" s="66">
        <v>11.455385237645514</v>
      </c>
      <c r="F955" s="67">
        <v>3.0000000000000001E-3</v>
      </c>
      <c r="G955" s="67">
        <v>2E-3</v>
      </c>
      <c r="H955" s="63"/>
    </row>
    <row r="956" spans="1:8" x14ac:dyDescent="0.25">
      <c r="A956" s="63"/>
      <c r="B956" s="63">
        <v>0.75</v>
      </c>
      <c r="C956" s="63" t="s">
        <v>3670</v>
      </c>
      <c r="D956" s="63" t="s">
        <v>21</v>
      </c>
      <c r="E956" s="66">
        <v>11.903730346291326</v>
      </c>
      <c r="F956" s="67">
        <v>3.0000000000000001E-3</v>
      </c>
      <c r="G956" s="67">
        <v>2E-3</v>
      </c>
      <c r="H956" s="63"/>
    </row>
    <row r="957" spans="1:8" x14ac:dyDescent="0.25">
      <c r="A957" s="63"/>
      <c r="B957" s="63">
        <v>1</v>
      </c>
      <c r="C957" s="63" t="s">
        <v>3670</v>
      </c>
      <c r="D957" s="63" t="s">
        <v>21</v>
      </c>
      <c r="E957" s="66">
        <v>12.826463499859971</v>
      </c>
      <c r="F957" s="67">
        <v>3.0000000000000001E-3</v>
      </c>
      <c r="G957" s="67">
        <v>2E-3</v>
      </c>
      <c r="H957" s="63"/>
    </row>
    <row r="958" spans="1:8" x14ac:dyDescent="0.25">
      <c r="A958" s="63"/>
      <c r="B958" s="63">
        <v>2</v>
      </c>
      <c r="C958" s="63" t="s">
        <v>3670</v>
      </c>
      <c r="D958" s="63" t="s">
        <v>21</v>
      </c>
      <c r="E958" s="66">
        <v>16.000975340473147</v>
      </c>
      <c r="F958" s="67">
        <v>3.0000000000000001E-3</v>
      </c>
      <c r="G958" s="67">
        <v>2E-3</v>
      </c>
      <c r="H958" s="63"/>
    </row>
    <row r="959" spans="1:8" x14ac:dyDescent="0.25">
      <c r="A959" s="63"/>
      <c r="B959" s="63">
        <v>3</v>
      </c>
      <c r="C959" s="63" t="s">
        <v>3670</v>
      </c>
      <c r="D959" s="63" t="s">
        <v>21</v>
      </c>
      <c r="E959" s="66">
        <v>18.805055083989171</v>
      </c>
      <c r="F959" s="67">
        <v>3.0000000000000001E-3</v>
      </c>
      <c r="G959" s="67">
        <v>2E-3</v>
      </c>
      <c r="H959" s="63"/>
    </row>
    <row r="960" spans="1:8" x14ac:dyDescent="0.25">
      <c r="A960" s="63"/>
      <c r="B960" s="63">
        <v>4</v>
      </c>
      <c r="C960" s="63" t="s">
        <v>3670</v>
      </c>
      <c r="D960" s="63" t="s">
        <v>21</v>
      </c>
      <c r="E960" s="66">
        <v>21.918303896507787</v>
      </c>
      <c r="F960" s="67">
        <v>3.0000000000000001E-3</v>
      </c>
      <c r="G960" s="67">
        <v>2E-3</v>
      </c>
      <c r="H960" s="63"/>
    </row>
    <row r="961" spans="1:8" x14ac:dyDescent="0.25">
      <c r="A961" s="63"/>
      <c r="B961" s="63">
        <v>5</v>
      </c>
      <c r="C961" s="63" t="s">
        <v>3670</v>
      </c>
      <c r="D961" s="63" t="s">
        <v>21</v>
      </c>
      <c r="E961" s="66">
        <v>25.269770499208217</v>
      </c>
      <c r="F961" s="67">
        <v>3.0000000000000001E-3</v>
      </c>
      <c r="G961" s="67">
        <v>2E-3</v>
      </c>
      <c r="H961" s="63"/>
    </row>
    <row r="962" spans="1:8" x14ac:dyDescent="0.25">
      <c r="A962" s="63"/>
      <c r="B962" s="63">
        <v>6</v>
      </c>
      <c r="C962" s="63" t="s">
        <v>3670</v>
      </c>
      <c r="D962" s="63" t="s">
        <v>21</v>
      </c>
      <c r="E962" s="66">
        <v>30.47412647790285</v>
      </c>
      <c r="F962" s="67">
        <v>3.0000000000000001E-3</v>
      </c>
      <c r="G962" s="67">
        <v>2E-3</v>
      </c>
      <c r="H962" s="63"/>
    </row>
    <row r="963" spans="1:8" x14ac:dyDescent="0.25">
      <c r="A963" s="63"/>
      <c r="B963" s="63">
        <v>7</v>
      </c>
      <c r="C963" s="63" t="s">
        <v>3670</v>
      </c>
      <c r="D963" s="63" t="s">
        <v>21</v>
      </c>
      <c r="E963" s="66">
        <v>33.36120560933287</v>
      </c>
      <c r="F963" s="67">
        <v>3.0000000000000001E-3</v>
      </c>
      <c r="G963" s="67">
        <v>2E-3</v>
      </c>
      <c r="H963" s="63"/>
    </row>
    <row r="964" spans="1:8" x14ac:dyDescent="0.25">
      <c r="A964" s="63"/>
      <c r="B964" s="63">
        <v>8</v>
      </c>
      <c r="C964" s="63" t="s">
        <v>3670</v>
      </c>
      <c r="D964" s="63" t="s">
        <v>21</v>
      </c>
      <c r="E964" s="66">
        <v>37.239291028485731</v>
      </c>
      <c r="F964" s="67">
        <v>3.0000000000000001E-3</v>
      </c>
      <c r="G964" s="67">
        <v>2E-3</v>
      </c>
      <c r="H964" s="63"/>
    </row>
    <row r="965" spans="1:8" x14ac:dyDescent="0.25">
      <c r="A965" s="63"/>
      <c r="B965" s="63">
        <v>9</v>
      </c>
      <c r="C965" s="63" t="s">
        <v>3670</v>
      </c>
      <c r="D965" s="63" t="s">
        <v>21</v>
      </c>
      <c r="E965" s="66">
        <v>40.317477587506815</v>
      </c>
      <c r="F965" s="67">
        <v>3.0000000000000001E-3</v>
      </c>
      <c r="G965" s="67">
        <v>2E-3</v>
      </c>
      <c r="H965" s="63"/>
    </row>
    <row r="966" spans="1:8" x14ac:dyDescent="0.25">
      <c r="A966" s="63"/>
      <c r="B966" s="63">
        <v>10</v>
      </c>
      <c r="C966" s="63" t="s">
        <v>3670</v>
      </c>
      <c r="D966" s="63" t="s">
        <v>21</v>
      </c>
      <c r="E966" s="66">
        <v>42.934757232896196</v>
      </c>
      <c r="F966" s="67">
        <v>3.0000000000000001E-3</v>
      </c>
      <c r="G966" s="67">
        <v>2E-3</v>
      </c>
      <c r="H966" s="63"/>
    </row>
    <row r="967" spans="1:8" x14ac:dyDescent="0.25">
      <c r="A967" s="63"/>
      <c r="B967" s="63">
        <v>11</v>
      </c>
      <c r="C967" s="63" t="s">
        <v>3670</v>
      </c>
      <c r="D967" s="63" t="s">
        <v>21</v>
      </c>
      <c r="E967" s="66"/>
      <c r="F967" s="67">
        <v>3.0000000000000001E-3</v>
      </c>
      <c r="G967" s="67">
        <v>2E-3</v>
      </c>
      <c r="H967" s="63"/>
    </row>
    <row r="968" spans="1:8" x14ac:dyDescent="0.25">
      <c r="A968" s="63"/>
      <c r="B968" s="63">
        <v>12</v>
      </c>
      <c r="C968" s="63" t="s">
        <v>3670</v>
      </c>
      <c r="D968" s="63" t="s">
        <v>21</v>
      </c>
      <c r="E968" s="66"/>
      <c r="F968" s="67">
        <v>3.0000000000000001E-3</v>
      </c>
      <c r="G968" s="67">
        <v>2E-3</v>
      </c>
      <c r="H968" s="63"/>
    </row>
    <row r="969" spans="1:8" x14ac:dyDescent="0.25">
      <c r="A969" s="63"/>
      <c r="B969" s="63">
        <v>13</v>
      </c>
      <c r="C969" s="63" t="s">
        <v>3670</v>
      </c>
      <c r="D969" s="63" t="s">
        <v>21</v>
      </c>
      <c r="E969" s="66"/>
      <c r="F969" s="67">
        <v>3.0000000000000001E-3</v>
      </c>
      <c r="G969" s="67">
        <v>2E-3</v>
      </c>
      <c r="H969" s="63"/>
    </row>
    <row r="970" spans="1:8" x14ac:dyDescent="0.25">
      <c r="A970" s="63"/>
      <c r="B970" s="63">
        <v>14</v>
      </c>
      <c r="C970" s="63" t="s">
        <v>3670</v>
      </c>
      <c r="D970" s="63" t="s">
        <v>21</v>
      </c>
      <c r="E970" s="66"/>
      <c r="F970" s="67">
        <v>3.0000000000000001E-3</v>
      </c>
      <c r="G970" s="67">
        <v>2E-3</v>
      </c>
      <c r="H970" s="63"/>
    </row>
    <row r="971" spans="1:8" x14ac:dyDescent="0.25">
      <c r="A971" s="63"/>
      <c r="B971" s="63">
        <v>15</v>
      </c>
      <c r="C971" s="63" t="s">
        <v>3670</v>
      </c>
      <c r="D971" s="63" t="s">
        <v>21</v>
      </c>
      <c r="E971" s="66"/>
      <c r="F971" s="67">
        <v>3.0000000000000001E-3</v>
      </c>
      <c r="G971" s="67">
        <v>2E-3</v>
      </c>
      <c r="H971" s="63"/>
    </row>
    <row r="972" spans="1:8" x14ac:dyDescent="0.25">
      <c r="A972" s="63"/>
      <c r="B972" s="63">
        <v>16</v>
      </c>
      <c r="C972" s="63" t="s">
        <v>3670</v>
      </c>
      <c r="D972" s="63" t="s">
        <v>21</v>
      </c>
      <c r="E972" s="66"/>
      <c r="F972" s="67">
        <v>3.0000000000000001E-3</v>
      </c>
      <c r="G972" s="67">
        <v>2E-3</v>
      </c>
      <c r="H972" s="63"/>
    </row>
    <row r="973" spans="1:8" x14ac:dyDescent="0.25">
      <c r="A973" s="63"/>
      <c r="B973" s="63">
        <v>17</v>
      </c>
      <c r="C973" s="63" t="s">
        <v>3670</v>
      </c>
      <c r="D973" s="63" t="s">
        <v>21</v>
      </c>
      <c r="E973" s="66"/>
      <c r="F973" s="67">
        <v>3.0000000000000001E-3</v>
      </c>
      <c r="G973" s="67">
        <v>2E-3</v>
      </c>
      <c r="H973" s="63"/>
    </row>
    <row r="974" spans="1:8" x14ac:dyDescent="0.25">
      <c r="A974" s="63"/>
      <c r="B974" s="63">
        <v>18</v>
      </c>
      <c r="C974" s="63" t="s">
        <v>3670</v>
      </c>
      <c r="D974" s="63" t="s">
        <v>21</v>
      </c>
      <c r="E974" s="66"/>
      <c r="F974" s="67">
        <v>3.0000000000000001E-3</v>
      </c>
      <c r="G974" s="67">
        <v>2E-3</v>
      </c>
      <c r="H974" s="63"/>
    </row>
    <row r="975" spans="1:8" x14ac:dyDescent="0.25">
      <c r="A975" s="63"/>
      <c r="B975" s="63">
        <v>19</v>
      </c>
      <c r="C975" s="63" t="s">
        <v>3670</v>
      </c>
      <c r="D975" s="63" t="s">
        <v>21</v>
      </c>
      <c r="E975" s="66"/>
      <c r="F975" s="67">
        <v>3.0000000000000001E-3</v>
      </c>
      <c r="G975" s="67">
        <v>2E-3</v>
      </c>
      <c r="H975" s="63"/>
    </row>
    <row r="976" spans="1:8" x14ac:dyDescent="0.25">
      <c r="A976" s="63"/>
      <c r="B976" s="63">
        <v>20</v>
      </c>
      <c r="C976" s="63" t="s">
        <v>3670</v>
      </c>
      <c r="D976" s="63" t="s">
        <v>21</v>
      </c>
      <c r="E976" s="66"/>
      <c r="F976" s="67">
        <v>3.0000000000000001E-3</v>
      </c>
      <c r="G976" s="67">
        <v>2E-3</v>
      </c>
      <c r="H976" s="63"/>
    </row>
    <row r="977" spans="1:8" x14ac:dyDescent="0.25">
      <c r="A977" s="63"/>
      <c r="B977" s="63">
        <v>21</v>
      </c>
      <c r="C977" s="63" t="s">
        <v>3670</v>
      </c>
      <c r="D977" s="63" t="s">
        <v>21</v>
      </c>
      <c r="E977" s="66"/>
      <c r="F977" s="67">
        <v>3.0000000000000001E-3</v>
      </c>
      <c r="G977" s="67">
        <v>2E-3</v>
      </c>
      <c r="H977" s="63"/>
    </row>
    <row r="978" spans="1:8" x14ac:dyDescent="0.25">
      <c r="A978" s="63"/>
      <c r="B978" s="63">
        <v>22</v>
      </c>
      <c r="C978" s="63" t="s">
        <v>3670</v>
      </c>
      <c r="D978" s="63" t="s">
        <v>21</v>
      </c>
      <c r="E978" s="66"/>
      <c r="F978" s="67">
        <v>3.0000000000000001E-3</v>
      </c>
      <c r="G978" s="67">
        <v>2E-3</v>
      </c>
      <c r="H978" s="63"/>
    </row>
    <row r="979" spans="1:8" x14ac:dyDescent="0.25">
      <c r="A979" s="63"/>
      <c r="B979" s="63">
        <v>23</v>
      </c>
      <c r="C979" s="63" t="s">
        <v>3670</v>
      </c>
      <c r="D979" s="63" t="s">
        <v>21</v>
      </c>
      <c r="E979" s="66"/>
      <c r="F979" s="67">
        <v>3.0000000000000001E-3</v>
      </c>
      <c r="G979" s="67">
        <v>2E-3</v>
      </c>
      <c r="H979" s="63"/>
    </row>
    <row r="980" spans="1:8" x14ac:dyDescent="0.25">
      <c r="A980" s="63"/>
      <c r="B980" s="63">
        <v>24</v>
      </c>
      <c r="C980" s="63" t="s">
        <v>3670</v>
      </c>
      <c r="D980" s="63" t="s">
        <v>21</v>
      </c>
      <c r="E980" s="66"/>
      <c r="F980" s="67">
        <v>3.0000000000000001E-3</v>
      </c>
      <c r="G980" s="67">
        <v>2E-3</v>
      </c>
      <c r="H980" s="63"/>
    </row>
    <row r="981" spans="1:8" x14ac:dyDescent="0.25">
      <c r="A981" s="63"/>
      <c r="B981" s="63">
        <v>25</v>
      </c>
      <c r="C981" s="63" t="s">
        <v>3670</v>
      </c>
      <c r="D981" s="63" t="s">
        <v>21</v>
      </c>
      <c r="E981" s="66"/>
      <c r="F981" s="67">
        <v>3.0000000000000001E-3</v>
      </c>
      <c r="G981" s="67">
        <v>2E-3</v>
      </c>
      <c r="H981" s="63"/>
    </row>
    <row r="982" spans="1:8" x14ac:dyDescent="0.25">
      <c r="A982" s="63"/>
      <c r="B982" s="63">
        <v>26</v>
      </c>
      <c r="C982" s="63" t="s">
        <v>3670</v>
      </c>
      <c r="D982" s="63" t="s">
        <v>21</v>
      </c>
      <c r="E982" s="66"/>
      <c r="F982" s="67">
        <v>3.0000000000000001E-3</v>
      </c>
      <c r="G982" s="67">
        <v>2E-3</v>
      </c>
      <c r="H982" s="63"/>
    </row>
    <row r="983" spans="1:8" x14ac:dyDescent="0.25">
      <c r="A983" s="63"/>
      <c r="B983" s="63">
        <v>27</v>
      </c>
      <c r="C983" s="63" t="s">
        <v>3670</v>
      </c>
      <c r="D983" s="63" t="s">
        <v>21</v>
      </c>
      <c r="E983" s="66"/>
      <c r="F983" s="67">
        <v>3.0000000000000001E-3</v>
      </c>
      <c r="G983" s="67">
        <v>2E-3</v>
      </c>
      <c r="H983" s="63"/>
    </row>
    <row r="984" spans="1:8" x14ac:dyDescent="0.25">
      <c r="A984" s="63"/>
      <c r="B984" s="63">
        <v>28</v>
      </c>
      <c r="C984" s="63" t="s">
        <v>3670</v>
      </c>
      <c r="D984" s="63" t="s">
        <v>21</v>
      </c>
      <c r="E984" s="66"/>
      <c r="F984" s="67">
        <v>3.0000000000000001E-3</v>
      </c>
      <c r="G984" s="67">
        <v>2E-3</v>
      </c>
      <c r="H984" s="63"/>
    </row>
    <row r="985" spans="1:8" x14ac:dyDescent="0.25">
      <c r="A985" s="63"/>
      <c r="B985" s="63">
        <v>29</v>
      </c>
      <c r="C985" s="63" t="s">
        <v>3670</v>
      </c>
      <c r="D985" s="63" t="s">
        <v>21</v>
      </c>
      <c r="E985" s="66"/>
      <c r="F985" s="67">
        <v>3.0000000000000001E-3</v>
      </c>
      <c r="G985" s="67">
        <v>2E-3</v>
      </c>
      <c r="H985" s="63"/>
    </row>
    <row r="986" spans="1:8" x14ac:dyDescent="0.25">
      <c r="A986" s="63"/>
      <c r="B986" s="63">
        <v>30</v>
      </c>
      <c r="C986" s="63" t="s">
        <v>3670</v>
      </c>
      <c r="D986" s="63" t="s">
        <v>21</v>
      </c>
      <c r="E986" s="66"/>
      <c r="F986" s="67">
        <v>3.0000000000000001E-3</v>
      </c>
      <c r="G986" s="67">
        <v>2E-3</v>
      </c>
      <c r="H986" s="63"/>
    </row>
    <row r="987" spans="1:8" x14ac:dyDescent="0.25">
      <c r="A987" s="63"/>
      <c r="B987" s="63">
        <v>0</v>
      </c>
      <c r="C987" s="63" t="s">
        <v>3670</v>
      </c>
      <c r="D987" s="63" t="s">
        <v>21</v>
      </c>
      <c r="E987" s="66">
        <v>3.0428788910505911</v>
      </c>
      <c r="F987" s="67">
        <v>3.0000000000000001E-3</v>
      </c>
      <c r="G987" s="67">
        <v>2E-3</v>
      </c>
      <c r="H987" s="63"/>
    </row>
    <row r="988" spans="1:8" x14ac:dyDescent="0.25">
      <c r="A988" s="63"/>
      <c r="B988" s="63">
        <v>0.25</v>
      </c>
      <c r="C988" s="63" t="s">
        <v>3670</v>
      </c>
      <c r="D988" s="63" t="s">
        <v>62</v>
      </c>
      <c r="E988" s="66">
        <v>18.312962404091177</v>
      </c>
      <c r="F988" s="67">
        <v>3.0000000000000001E-3</v>
      </c>
      <c r="G988" s="67">
        <v>2E-3</v>
      </c>
      <c r="H988" s="63"/>
    </row>
    <row r="989" spans="1:8" x14ac:dyDescent="0.25">
      <c r="A989" s="63"/>
      <c r="B989" s="63">
        <v>0.5</v>
      </c>
      <c r="C989" s="63" t="s">
        <v>3670</v>
      </c>
      <c r="D989" s="63" t="s">
        <v>62</v>
      </c>
      <c r="E989" s="66">
        <v>19.312358415423358</v>
      </c>
      <c r="F989" s="67">
        <v>3.0000000000000001E-3</v>
      </c>
      <c r="G989" s="67">
        <v>2E-3</v>
      </c>
      <c r="H989" s="63"/>
    </row>
    <row r="990" spans="1:8" x14ac:dyDescent="0.25">
      <c r="A990" s="63"/>
      <c r="B990" s="63">
        <v>0.75</v>
      </c>
      <c r="C990" s="63" t="s">
        <v>3670</v>
      </c>
      <c r="D990" s="63" t="s">
        <v>62</v>
      </c>
      <c r="E990" s="66">
        <v>20.407476250544931</v>
      </c>
      <c r="F990" s="67">
        <v>3.0000000000000001E-3</v>
      </c>
      <c r="G990" s="67">
        <v>2E-3</v>
      </c>
      <c r="H990" s="63"/>
    </row>
    <row r="991" spans="1:8" x14ac:dyDescent="0.25">
      <c r="A991" s="63"/>
      <c r="B991" s="63">
        <v>1</v>
      </c>
      <c r="C991" s="63" t="s">
        <v>3670</v>
      </c>
      <c r="D991" s="63" t="s">
        <v>62</v>
      </c>
      <c r="E991" s="66">
        <v>21.656562041848634</v>
      </c>
      <c r="F991" s="67">
        <v>3.0000000000000001E-3</v>
      </c>
      <c r="G991" s="67">
        <v>2E-3</v>
      </c>
      <c r="H991" s="63"/>
    </row>
    <row r="992" spans="1:8" x14ac:dyDescent="0.25">
      <c r="A992" s="63"/>
      <c r="B992" s="63">
        <v>2</v>
      </c>
      <c r="C992" s="63" t="s">
        <v>3670</v>
      </c>
      <c r="D992" s="63" t="s">
        <v>62</v>
      </c>
      <c r="E992" s="66">
        <v>23.939771904622269</v>
      </c>
      <c r="F992" s="67">
        <v>3.0000000000000001E-3</v>
      </c>
      <c r="G992" s="67">
        <v>2E-3</v>
      </c>
      <c r="H992" s="63"/>
    </row>
    <row r="993" spans="1:8" x14ac:dyDescent="0.25">
      <c r="A993" s="63"/>
      <c r="B993" s="63">
        <v>3</v>
      </c>
      <c r="C993" s="63" t="s">
        <v>3670</v>
      </c>
      <c r="D993" s="63" t="s">
        <v>62</v>
      </c>
      <c r="E993" s="66">
        <v>26.045498229465927</v>
      </c>
      <c r="F993" s="67">
        <v>3.0000000000000001E-3</v>
      </c>
      <c r="G993" s="67">
        <v>2E-3</v>
      </c>
      <c r="H993" s="63"/>
    </row>
    <row r="994" spans="1:8" x14ac:dyDescent="0.25">
      <c r="A994" s="63"/>
      <c r="B994" s="63">
        <v>4</v>
      </c>
      <c r="C994" s="63" t="s">
        <v>3670</v>
      </c>
      <c r="D994" s="63" t="s">
        <v>62</v>
      </c>
      <c r="E994" s="66">
        <v>29.614917484518479</v>
      </c>
      <c r="F994" s="67">
        <v>3.0000000000000001E-3</v>
      </c>
      <c r="G994" s="67">
        <v>2E-3</v>
      </c>
      <c r="H994" s="63"/>
    </row>
    <row r="995" spans="1:8" x14ac:dyDescent="0.25">
      <c r="A995" s="63"/>
      <c r="B995" s="63">
        <v>5</v>
      </c>
      <c r="C995" s="63" t="s">
        <v>3670</v>
      </c>
      <c r="D995" s="63" t="s">
        <v>62</v>
      </c>
      <c r="E995" s="66">
        <v>33.293368106743436</v>
      </c>
      <c r="F995" s="67">
        <v>3.0000000000000001E-3</v>
      </c>
      <c r="G995" s="67">
        <v>2E-3</v>
      </c>
      <c r="H995" s="63"/>
    </row>
    <row r="996" spans="1:8" x14ac:dyDescent="0.25">
      <c r="A996" s="63"/>
      <c r="B996" s="63">
        <v>6</v>
      </c>
      <c r="C996" s="63" t="s">
        <v>3670</v>
      </c>
      <c r="D996" s="63" t="s">
        <v>62</v>
      </c>
      <c r="E996" s="66">
        <v>37.807375190914655</v>
      </c>
      <c r="F996" s="67">
        <v>3.0000000000000001E-3</v>
      </c>
      <c r="G996" s="67">
        <v>2E-3</v>
      </c>
      <c r="H996" s="63"/>
    </row>
    <row r="997" spans="1:8" x14ac:dyDescent="0.25">
      <c r="A997" s="63"/>
      <c r="B997" s="63">
        <v>7</v>
      </c>
      <c r="C997" s="63" t="s">
        <v>3670</v>
      </c>
      <c r="D997" s="63" t="s">
        <v>62</v>
      </c>
      <c r="E997" s="66">
        <v>41.110501126805239</v>
      </c>
      <c r="F997" s="67">
        <v>3.0000000000000001E-3</v>
      </c>
      <c r="G997" s="67">
        <v>2E-3</v>
      </c>
      <c r="H997" s="63"/>
    </row>
    <row r="998" spans="1:8" x14ac:dyDescent="0.25">
      <c r="A998" s="63"/>
      <c r="B998" s="63">
        <v>8</v>
      </c>
      <c r="C998" s="63" t="s">
        <v>3670</v>
      </c>
      <c r="D998" s="63" t="s">
        <v>62</v>
      </c>
      <c r="E998" s="66">
        <v>45.9779784234291</v>
      </c>
      <c r="F998" s="67">
        <v>3.0000000000000001E-3</v>
      </c>
      <c r="G998" s="67">
        <v>2E-3</v>
      </c>
      <c r="H998" s="63"/>
    </row>
    <row r="999" spans="1:8" x14ac:dyDescent="0.25">
      <c r="A999" s="63"/>
      <c r="B999" s="63">
        <v>9</v>
      </c>
      <c r="C999" s="63" t="s">
        <v>3670</v>
      </c>
      <c r="D999" s="63" t="s">
        <v>62</v>
      </c>
      <c r="E999" s="66">
        <v>49.187702437058249</v>
      </c>
      <c r="F999" s="67">
        <v>3.0000000000000001E-3</v>
      </c>
      <c r="G999" s="67">
        <v>2E-3</v>
      </c>
      <c r="H999" s="63"/>
    </row>
    <row r="1000" spans="1:8" x14ac:dyDescent="0.25">
      <c r="A1000" s="63"/>
      <c r="B1000" s="63">
        <v>10</v>
      </c>
      <c r="C1000" s="63" t="s">
        <v>3670</v>
      </c>
      <c r="D1000" s="63" t="s">
        <v>62</v>
      </c>
      <c r="E1000" s="66">
        <v>52.297794563875534</v>
      </c>
      <c r="F1000" s="67">
        <v>3.0000000000000001E-3</v>
      </c>
      <c r="G1000" s="67">
        <v>2E-3</v>
      </c>
      <c r="H1000" s="63"/>
    </row>
    <row r="1001" spans="1:8" x14ac:dyDescent="0.25">
      <c r="A1001" s="63"/>
      <c r="B1001" s="63">
        <v>11</v>
      </c>
      <c r="C1001" s="63" t="s">
        <v>3670</v>
      </c>
      <c r="D1001" s="63" t="s">
        <v>62</v>
      </c>
      <c r="E1001" s="66"/>
      <c r="F1001" s="67">
        <v>3.0000000000000001E-3</v>
      </c>
      <c r="G1001" s="67">
        <v>2E-3</v>
      </c>
      <c r="H1001" s="63"/>
    </row>
    <row r="1002" spans="1:8" x14ac:dyDescent="0.25">
      <c r="A1002" s="63"/>
      <c r="B1002" s="63">
        <v>12</v>
      </c>
      <c r="C1002" s="63" t="s">
        <v>3670</v>
      </c>
      <c r="D1002" s="63" t="s">
        <v>62</v>
      </c>
      <c r="E1002" s="66"/>
      <c r="F1002" s="67">
        <v>3.0000000000000001E-3</v>
      </c>
      <c r="G1002" s="67">
        <v>2E-3</v>
      </c>
      <c r="H1002" s="63"/>
    </row>
    <row r="1003" spans="1:8" x14ac:dyDescent="0.25">
      <c r="A1003" s="63"/>
      <c r="B1003" s="63">
        <v>13</v>
      </c>
      <c r="C1003" s="63" t="s">
        <v>3670</v>
      </c>
      <c r="D1003" s="63" t="s">
        <v>62</v>
      </c>
      <c r="E1003" s="66"/>
      <c r="F1003" s="67">
        <v>3.0000000000000001E-3</v>
      </c>
      <c r="G1003" s="67">
        <v>2E-3</v>
      </c>
      <c r="H1003" s="63"/>
    </row>
    <row r="1004" spans="1:8" x14ac:dyDescent="0.25">
      <c r="A1004" s="63"/>
      <c r="B1004" s="63">
        <v>14</v>
      </c>
      <c r="C1004" s="63" t="s">
        <v>3670</v>
      </c>
      <c r="D1004" s="63" t="s">
        <v>62</v>
      </c>
      <c r="E1004" s="66"/>
      <c r="F1004" s="67">
        <v>3.0000000000000001E-3</v>
      </c>
      <c r="G1004" s="67">
        <v>2E-3</v>
      </c>
      <c r="H1004" s="63"/>
    </row>
    <row r="1005" spans="1:8" x14ac:dyDescent="0.25">
      <c r="A1005" s="63"/>
      <c r="B1005" s="63">
        <v>15</v>
      </c>
      <c r="C1005" s="63" t="s">
        <v>3670</v>
      </c>
      <c r="D1005" s="63" t="s">
        <v>62</v>
      </c>
      <c r="E1005" s="66"/>
      <c r="F1005" s="67">
        <v>3.0000000000000001E-3</v>
      </c>
      <c r="G1005" s="67">
        <v>2E-3</v>
      </c>
      <c r="H1005" s="63"/>
    </row>
    <row r="1006" spans="1:8" x14ac:dyDescent="0.25">
      <c r="A1006" s="63"/>
      <c r="B1006" s="63">
        <v>16</v>
      </c>
      <c r="C1006" s="63" t="s">
        <v>3670</v>
      </c>
      <c r="D1006" s="63" t="s">
        <v>62</v>
      </c>
      <c r="E1006" s="66"/>
      <c r="F1006" s="67">
        <v>3.0000000000000001E-3</v>
      </c>
      <c r="G1006" s="67">
        <v>2E-3</v>
      </c>
      <c r="H1006" s="63"/>
    </row>
    <row r="1007" spans="1:8" x14ac:dyDescent="0.25">
      <c r="A1007" s="63"/>
      <c r="B1007" s="63">
        <v>17</v>
      </c>
      <c r="C1007" s="63" t="s">
        <v>3670</v>
      </c>
      <c r="D1007" s="63" t="s">
        <v>62</v>
      </c>
      <c r="E1007" s="66"/>
      <c r="F1007" s="67">
        <v>3.0000000000000001E-3</v>
      </c>
      <c r="G1007" s="67">
        <v>2E-3</v>
      </c>
      <c r="H1007" s="63"/>
    </row>
    <row r="1008" spans="1:8" x14ac:dyDescent="0.25">
      <c r="A1008" s="63"/>
      <c r="B1008" s="63">
        <v>18</v>
      </c>
      <c r="C1008" s="63" t="s">
        <v>3670</v>
      </c>
      <c r="D1008" s="63" t="s">
        <v>62</v>
      </c>
      <c r="E1008" s="66"/>
      <c r="F1008" s="67">
        <v>3.0000000000000001E-3</v>
      </c>
      <c r="G1008" s="67">
        <v>2E-3</v>
      </c>
      <c r="H1008" s="63"/>
    </row>
    <row r="1009" spans="1:8" x14ac:dyDescent="0.25">
      <c r="A1009" s="63"/>
      <c r="B1009" s="63">
        <v>19</v>
      </c>
      <c r="C1009" s="63" t="s">
        <v>3670</v>
      </c>
      <c r="D1009" s="63" t="s">
        <v>62</v>
      </c>
      <c r="E1009" s="66"/>
      <c r="F1009" s="67">
        <v>3.0000000000000001E-3</v>
      </c>
      <c r="G1009" s="67">
        <v>2E-3</v>
      </c>
      <c r="H1009" s="63"/>
    </row>
    <row r="1010" spans="1:8" x14ac:dyDescent="0.25">
      <c r="A1010" s="63"/>
      <c r="B1010" s="63">
        <v>20</v>
      </c>
      <c r="C1010" s="63" t="s">
        <v>3670</v>
      </c>
      <c r="D1010" s="63" t="s">
        <v>62</v>
      </c>
      <c r="E1010" s="66"/>
      <c r="F1010" s="67">
        <v>3.0000000000000001E-3</v>
      </c>
      <c r="G1010" s="67">
        <v>2E-3</v>
      </c>
      <c r="H1010" s="63"/>
    </row>
    <row r="1011" spans="1:8" x14ac:dyDescent="0.25">
      <c r="A1011" s="63"/>
      <c r="B1011" s="63">
        <v>21</v>
      </c>
      <c r="C1011" s="63" t="s">
        <v>3670</v>
      </c>
      <c r="D1011" s="63" t="s">
        <v>62</v>
      </c>
      <c r="E1011" s="66"/>
      <c r="F1011" s="67">
        <v>3.0000000000000001E-3</v>
      </c>
      <c r="G1011" s="67">
        <v>2E-3</v>
      </c>
      <c r="H1011" s="63"/>
    </row>
    <row r="1012" spans="1:8" x14ac:dyDescent="0.25">
      <c r="A1012" s="63"/>
      <c r="B1012" s="63">
        <v>22</v>
      </c>
      <c r="C1012" s="63" t="s">
        <v>3670</v>
      </c>
      <c r="D1012" s="63" t="s">
        <v>62</v>
      </c>
      <c r="E1012" s="66"/>
      <c r="F1012" s="67">
        <v>3.0000000000000001E-3</v>
      </c>
      <c r="G1012" s="67">
        <v>2E-3</v>
      </c>
      <c r="H1012" s="63"/>
    </row>
    <row r="1013" spans="1:8" x14ac:dyDescent="0.25">
      <c r="A1013" s="63"/>
      <c r="B1013" s="63">
        <v>23</v>
      </c>
      <c r="C1013" s="63" t="s">
        <v>3670</v>
      </c>
      <c r="D1013" s="63" t="s">
        <v>62</v>
      </c>
      <c r="E1013" s="66"/>
      <c r="F1013" s="67">
        <v>3.0000000000000001E-3</v>
      </c>
      <c r="G1013" s="67">
        <v>2E-3</v>
      </c>
      <c r="H1013" s="63"/>
    </row>
    <row r="1014" spans="1:8" x14ac:dyDescent="0.25">
      <c r="A1014" s="63"/>
      <c r="B1014" s="63">
        <v>24</v>
      </c>
      <c r="C1014" s="63" t="s">
        <v>3670</v>
      </c>
      <c r="D1014" s="63" t="s">
        <v>62</v>
      </c>
      <c r="E1014" s="66"/>
      <c r="F1014" s="67">
        <v>3.0000000000000001E-3</v>
      </c>
      <c r="G1014" s="67">
        <v>2E-3</v>
      </c>
      <c r="H1014" s="63"/>
    </row>
    <row r="1015" spans="1:8" x14ac:dyDescent="0.25">
      <c r="A1015" s="63"/>
      <c r="B1015" s="63">
        <v>25</v>
      </c>
      <c r="C1015" s="63" t="s">
        <v>3670</v>
      </c>
      <c r="D1015" s="63" t="s">
        <v>62</v>
      </c>
      <c r="E1015" s="66"/>
      <c r="F1015" s="67">
        <v>3.0000000000000001E-3</v>
      </c>
      <c r="G1015" s="67">
        <v>2E-3</v>
      </c>
      <c r="H1015" s="63"/>
    </row>
    <row r="1016" spans="1:8" x14ac:dyDescent="0.25">
      <c r="A1016" s="63"/>
      <c r="B1016" s="63">
        <v>26</v>
      </c>
      <c r="C1016" s="63" t="s">
        <v>3670</v>
      </c>
      <c r="D1016" s="63" t="s">
        <v>62</v>
      </c>
      <c r="E1016" s="66"/>
      <c r="F1016" s="67">
        <v>3.0000000000000001E-3</v>
      </c>
      <c r="G1016" s="67">
        <v>2E-3</v>
      </c>
      <c r="H1016" s="63"/>
    </row>
    <row r="1017" spans="1:8" x14ac:dyDescent="0.25">
      <c r="A1017" s="63"/>
      <c r="B1017" s="63">
        <v>27</v>
      </c>
      <c r="C1017" s="63" t="s">
        <v>3670</v>
      </c>
      <c r="D1017" s="63" t="s">
        <v>62</v>
      </c>
      <c r="E1017" s="66"/>
      <c r="F1017" s="67">
        <v>3.0000000000000001E-3</v>
      </c>
      <c r="G1017" s="67">
        <v>2E-3</v>
      </c>
      <c r="H1017" s="63"/>
    </row>
    <row r="1018" spans="1:8" x14ac:dyDescent="0.25">
      <c r="A1018" s="63"/>
      <c r="B1018" s="63">
        <v>28</v>
      </c>
      <c r="C1018" s="63" t="s">
        <v>3670</v>
      </c>
      <c r="D1018" s="63" t="s">
        <v>62</v>
      </c>
      <c r="E1018" s="66"/>
      <c r="F1018" s="67">
        <v>3.0000000000000001E-3</v>
      </c>
      <c r="G1018" s="67">
        <v>2E-3</v>
      </c>
      <c r="H1018" s="63"/>
    </row>
    <row r="1019" spans="1:8" x14ac:dyDescent="0.25">
      <c r="A1019" s="63"/>
      <c r="B1019" s="63">
        <v>29</v>
      </c>
      <c r="C1019" s="63" t="s">
        <v>3670</v>
      </c>
      <c r="D1019" s="63" t="s">
        <v>62</v>
      </c>
      <c r="E1019" s="66"/>
      <c r="F1019" s="67">
        <v>3.0000000000000001E-3</v>
      </c>
      <c r="G1019" s="67">
        <v>2E-3</v>
      </c>
      <c r="H1019" s="63"/>
    </row>
    <row r="1020" spans="1:8" x14ac:dyDescent="0.25">
      <c r="A1020" s="63"/>
      <c r="B1020" s="63">
        <v>30</v>
      </c>
      <c r="C1020" s="63" t="s">
        <v>3670</v>
      </c>
      <c r="D1020" s="63" t="s">
        <v>62</v>
      </c>
      <c r="E1020" s="66"/>
      <c r="F1020" s="67">
        <v>3.0000000000000001E-3</v>
      </c>
      <c r="G1020" s="67">
        <v>2E-3</v>
      </c>
      <c r="H1020" s="63"/>
    </row>
    <row r="1021" spans="1:8" x14ac:dyDescent="0.25">
      <c r="A1021" s="63"/>
      <c r="B1021" s="63">
        <v>0</v>
      </c>
      <c r="C1021" s="63" t="s">
        <v>3670</v>
      </c>
      <c r="D1021" s="63" t="s">
        <v>62</v>
      </c>
      <c r="E1021" s="66">
        <v>3.0428788910505911</v>
      </c>
      <c r="F1021" s="67">
        <v>3.0000000000000001E-3</v>
      </c>
      <c r="G1021" s="67">
        <v>2E-3</v>
      </c>
      <c r="H1021" s="63"/>
    </row>
    <row r="1022" spans="1:8" x14ac:dyDescent="0.25">
      <c r="A1022" s="63"/>
      <c r="B1022" s="63">
        <v>0.25</v>
      </c>
      <c r="C1022" s="63" t="s">
        <v>3670</v>
      </c>
      <c r="D1022" s="63" t="s">
        <v>64</v>
      </c>
      <c r="E1022" s="66">
        <v>21.761616653821346</v>
      </c>
      <c r="F1022" s="67">
        <v>3.0000000000000001E-3</v>
      </c>
      <c r="G1022" s="67">
        <v>2E-3</v>
      </c>
      <c r="H1022" s="63"/>
    </row>
    <row r="1023" spans="1:8" x14ac:dyDescent="0.25">
      <c r="A1023" s="63"/>
      <c r="B1023" s="63">
        <v>0.5</v>
      </c>
      <c r="C1023" s="63" t="s">
        <v>3670</v>
      </c>
      <c r="D1023" s="63" t="s">
        <v>64</v>
      </c>
      <c r="E1023" s="66">
        <v>22.27664791743301</v>
      </c>
      <c r="F1023" s="67">
        <v>3.0000000000000001E-3</v>
      </c>
      <c r="G1023" s="67">
        <v>2E-3</v>
      </c>
      <c r="H1023" s="63"/>
    </row>
    <row r="1024" spans="1:8" x14ac:dyDescent="0.25">
      <c r="A1024" s="63"/>
      <c r="B1024" s="63">
        <v>0.75</v>
      </c>
      <c r="C1024" s="63" t="s">
        <v>3670</v>
      </c>
      <c r="D1024" s="63" t="s">
        <v>64</v>
      </c>
      <c r="E1024" s="66">
        <v>22.599714866570025</v>
      </c>
      <c r="F1024" s="67">
        <v>3.0000000000000001E-3</v>
      </c>
      <c r="G1024" s="67">
        <v>2E-3</v>
      </c>
      <c r="H1024" s="63"/>
    </row>
    <row r="1025" spans="1:8" x14ac:dyDescent="0.25">
      <c r="A1025" s="63"/>
      <c r="B1025" s="63">
        <v>1</v>
      </c>
      <c r="C1025" s="63" t="s">
        <v>3670</v>
      </c>
      <c r="D1025" s="63" t="s">
        <v>64</v>
      </c>
      <c r="E1025" s="66">
        <v>23.464603284657219</v>
      </c>
      <c r="F1025" s="67">
        <v>3.0000000000000001E-3</v>
      </c>
      <c r="G1025" s="67">
        <v>2E-3</v>
      </c>
      <c r="H1025" s="63"/>
    </row>
    <row r="1026" spans="1:8" x14ac:dyDescent="0.25">
      <c r="A1026" s="63"/>
      <c r="B1026" s="63">
        <v>2</v>
      </c>
      <c r="C1026" s="63" t="s">
        <v>3670</v>
      </c>
      <c r="D1026" s="63" t="s">
        <v>64</v>
      </c>
      <c r="E1026" s="66">
        <v>25.01682085102124</v>
      </c>
      <c r="F1026" s="67">
        <v>3.0000000000000001E-3</v>
      </c>
      <c r="G1026" s="67">
        <v>2E-3</v>
      </c>
      <c r="H1026" s="63"/>
    </row>
    <row r="1027" spans="1:8" x14ac:dyDescent="0.25">
      <c r="A1027" s="63"/>
      <c r="B1027" s="63">
        <v>3</v>
      </c>
      <c r="C1027" s="63" t="s">
        <v>3670</v>
      </c>
      <c r="D1027" s="63" t="s">
        <v>64</v>
      </c>
      <c r="E1027" s="66">
        <v>27.550551033555902</v>
      </c>
      <c r="F1027" s="67">
        <v>3.0000000000000001E-3</v>
      </c>
      <c r="G1027" s="67">
        <v>2E-3</v>
      </c>
      <c r="H1027" s="63"/>
    </row>
    <row r="1028" spans="1:8" x14ac:dyDescent="0.25">
      <c r="A1028" s="63"/>
      <c r="B1028" s="63">
        <v>4</v>
      </c>
      <c r="C1028" s="63" t="s">
        <v>3670</v>
      </c>
      <c r="D1028" s="63" t="s">
        <v>64</v>
      </c>
      <c r="E1028" s="66">
        <v>31.539620701191573</v>
      </c>
      <c r="F1028" s="67">
        <v>3.0000000000000001E-3</v>
      </c>
      <c r="G1028" s="67">
        <v>2E-3</v>
      </c>
      <c r="H1028" s="63"/>
    </row>
    <row r="1029" spans="1:8" x14ac:dyDescent="0.25">
      <c r="A1029" s="63"/>
      <c r="B1029" s="63">
        <v>5</v>
      </c>
      <c r="C1029" s="63" t="s">
        <v>3670</v>
      </c>
      <c r="D1029" s="63" t="s">
        <v>64</v>
      </c>
      <c r="E1029" s="66">
        <v>35.489516680594726</v>
      </c>
      <c r="F1029" s="67">
        <v>3.0000000000000001E-3</v>
      </c>
      <c r="G1029" s="67">
        <v>2E-3</v>
      </c>
      <c r="H1029" s="63"/>
    </row>
    <row r="1030" spans="1:8" x14ac:dyDescent="0.25">
      <c r="A1030" s="63"/>
      <c r="B1030" s="63">
        <v>6</v>
      </c>
      <c r="C1030" s="63" t="s">
        <v>3670</v>
      </c>
      <c r="D1030" s="63" t="s">
        <v>64</v>
      </c>
      <c r="E1030" s="66">
        <v>41.986302911202962</v>
      </c>
      <c r="F1030" s="67">
        <v>3.0000000000000001E-3</v>
      </c>
      <c r="G1030" s="67">
        <v>2E-3</v>
      </c>
      <c r="H1030" s="63"/>
    </row>
    <row r="1031" spans="1:8" x14ac:dyDescent="0.25">
      <c r="A1031" s="63"/>
      <c r="B1031" s="63">
        <v>7</v>
      </c>
      <c r="C1031" s="63" t="s">
        <v>3670</v>
      </c>
      <c r="D1031" s="63" t="s">
        <v>64</v>
      </c>
      <c r="E1031" s="66">
        <v>44.777280411066684</v>
      </c>
      <c r="F1031" s="67">
        <v>3.0000000000000001E-3</v>
      </c>
      <c r="G1031" s="67">
        <v>2E-3</v>
      </c>
      <c r="H1031" s="63"/>
    </row>
    <row r="1032" spans="1:8" x14ac:dyDescent="0.25">
      <c r="A1032" s="63"/>
      <c r="B1032" s="63">
        <v>8</v>
      </c>
      <c r="C1032" s="63" t="s">
        <v>3670</v>
      </c>
      <c r="D1032" s="63" t="s">
        <v>64</v>
      </c>
      <c r="E1032" s="66">
        <v>49.063232887321576</v>
      </c>
      <c r="F1032" s="67">
        <v>3.0000000000000001E-3</v>
      </c>
      <c r="G1032" s="67">
        <v>2E-3</v>
      </c>
      <c r="H1032" s="63"/>
    </row>
    <row r="1033" spans="1:8" x14ac:dyDescent="0.25">
      <c r="A1033" s="63"/>
      <c r="B1033" s="63">
        <v>9</v>
      </c>
      <c r="C1033" s="63" t="s">
        <v>3670</v>
      </c>
      <c r="D1033" s="63" t="s">
        <v>64</v>
      </c>
      <c r="E1033" s="66">
        <v>52.870272035752336</v>
      </c>
      <c r="F1033" s="67">
        <v>3.0000000000000001E-3</v>
      </c>
      <c r="G1033" s="67">
        <v>2E-3</v>
      </c>
      <c r="H1033" s="63"/>
    </row>
    <row r="1034" spans="1:8" x14ac:dyDescent="0.25">
      <c r="A1034" s="63"/>
      <c r="B1034" s="63">
        <v>10</v>
      </c>
      <c r="C1034" s="63" t="s">
        <v>3670</v>
      </c>
      <c r="D1034" s="63" t="s">
        <v>64</v>
      </c>
      <c r="E1034" s="66">
        <v>55.844119198932262</v>
      </c>
      <c r="F1034" s="67">
        <v>3.0000000000000001E-3</v>
      </c>
      <c r="G1034" s="67">
        <v>2E-3</v>
      </c>
      <c r="H1034" s="63"/>
    </row>
    <row r="1035" spans="1:8" x14ac:dyDescent="0.25">
      <c r="A1035" s="63"/>
      <c r="B1035" s="63">
        <v>11</v>
      </c>
      <c r="C1035" s="63" t="s">
        <v>3670</v>
      </c>
      <c r="D1035" s="63" t="s">
        <v>64</v>
      </c>
      <c r="E1035" s="66"/>
      <c r="F1035" s="67">
        <v>3.0000000000000001E-3</v>
      </c>
      <c r="G1035" s="67">
        <v>2E-3</v>
      </c>
      <c r="H1035" s="63"/>
    </row>
    <row r="1036" spans="1:8" x14ac:dyDescent="0.25">
      <c r="A1036" s="63"/>
      <c r="B1036" s="63">
        <v>12</v>
      </c>
      <c r="C1036" s="63" t="s">
        <v>3670</v>
      </c>
      <c r="D1036" s="63" t="s">
        <v>64</v>
      </c>
      <c r="E1036" s="66"/>
      <c r="F1036" s="67">
        <v>3.0000000000000001E-3</v>
      </c>
      <c r="G1036" s="67">
        <v>2E-3</v>
      </c>
      <c r="H1036" s="63"/>
    </row>
    <row r="1037" spans="1:8" x14ac:dyDescent="0.25">
      <c r="A1037" s="63"/>
      <c r="B1037" s="63">
        <v>13</v>
      </c>
      <c r="C1037" s="63" t="s">
        <v>3670</v>
      </c>
      <c r="D1037" s="63" t="s">
        <v>64</v>
      </c>
      <c r="E1037" s="66"/>
      <c r="F1037" s="67">
        <v>3.0000000000000001E-3</v>
      </c>
      <c r="G1037" s="67">
        <v>2E-3</v>
      </c>
      <c r="H1037" s="63"/>
    </row>
    <row r="1038" spans="1:8" x14ac:dyDescent="0.25">
      <c r="A1038" s="63"/>
      <c r="B1038" s="63">
        <v>14</v>
      </c>
      <c r="C1038" s="63" t="s">
        <v>3670</v>
      </c>
      <c r="D1038" s="63" t="s">
        <v>64</v>
      </c>
      <c r="E1038" s="66"/>
      <c r="F1038" s="67">
        <v>3.0000000000000001E-3</v>
      </c>
      <c r="G1038" s="67">
        <v>2E-3</v>
      </c>
      <c r="H1038" s="63"/>
    </row>
    <row r="1039" spans="1:8" x14ac:dyDescent="0.25">
      <c r="A1039" s="63"/>
      <c r="B1039" s="63">
        <v>15</v>
      </c>
      <c r="C1039" s="63" t="s">
        <v>3670</v>
      </c>
      <c r="D1039" s="63" t="s">
        <v>64</v>
      </c>
      <c r="E1039" s="66"/>
      <c r="F1039" s="67">
        <v>3.0000000000000001E-3</v>
      </c>
      <c r="G1039" s="67">
        <v>2E-3</v>
      </c>
      <c r="H1039" s="63"/>
    </row>
    <row r="1040" spans="1:8" x14ac:dyDescent="0.25">
      <c r="A1040" s="63"/>
      <c r="B1040" s="63">
        <v>16</v>
      </c>
      <c r="C1040" s="63" t="s">
        <v>3670</v>
      </c>
      <c r="D1040" s="63" t="s">
        <v>64</v>
      </c>
      <c r="E1040" s="66"/>
      <c r="F1040" s="67">
        <v>3.0000000000000001E-3</v>
      </c>
      <c r="G1040" s="67">
        <v>2E-3</v>
      </c>
      <c r="H1040" s="63"/>
    </row>
    <row r="1041" spans="1:8" x14ac:dyDescent="0.25">
      <c r="A1041" s="63"/>
      <c r="B1041" s="63">
        <v>17</v>
      </c>
      <c r="C1041" s="63" t="s">
        <v>3670</v>
      </c>
      <c r="D1041" s="63" t="s">
        <v>64</v>
      </c>
      <c r="E1041" s="66"/>
      <c r="F1041" s="67">
        <v>3.0000000000000001E-3</v>
      </c>
      <c r="G1041" s="67">
        <v>2E-3</v>
      </c>
      <c r="H1041" s="63"/>
    </row>
    <row r="1042" spans="1:8" x14ac:dyDescent="0.25">
      <c r="A1042" s="63"/>
      <c r="B1042" s="63">
        <v>18</v>
      </c>
      <c r="C1042" s="63" t="s">
        <v>3670</v>
      </c>
      <c r="D1042" s="63" t="s">
        <v>64</v>
      </c>
      <c r="E1042" s="66"/>
      <c r="F1042" s="67">
        <v>3.0000000000000001E-3</v>
      </c>
      <c r="G1042" s="67">
        <v>2E-3</v>
      </c>
      <c r="H1042" s="63"/>
    </row>
    <row r="1043" spans="1:8" x14ac:dyDescent="0.25">
      <c r="A1043" s="63"/>
      <c r="B1043" s="63">
        <v>19</v>
      </c>
      <c r="C1043" s="63" t="s">
        <v>3670</v>
      </c>
      <c r="D1043" s="63" t="s">
        <v>64</v>
      </c>
      <c r="E1043" s="66"/>
      <c r="F1043" s="67">
        <v>3.0000000000000001E-3</v>
      </c>
      <c r="G1043" s="67">
        <v>2E-3</v>
      </c>
      <c r="H1043" s="63"/>
    </row>
    <row r="1044" spans="1:8" x14ac:dyDescent="0.25">
      <c r="A1044" s="63"/>
      <c r="B1044" s="63">
        <v>20</v>
      </c>
      <c r="C1044" s="63" t="s">
        <v>3670</v>
      </c>
      <c r="D1044" s="63" t="s">
        <v>64</v>
      </c>
      <c r="E1044" s="66"/>
      <c r="F1044" s="67">
        <v>3.0000000000000001E-3</v>
      </c>
      <c r="G1044" s="67">
        <v>2E-3</v>
      </c>
      <c r="H1044" s="63"/>
    </row>
    <row r="1045" spans="1:8" x14ac:dyDescent="0.25">
      <c r="A1045" s="63"/>
      <c r="B1045" s="63">
        <v>21</v>
      </c>
      <c r="C1045" s="63" t="s">
        <v>3670</v>
      </c>
      <c r="D1045" s="63" t="s">
        <v>64</v>
      </c>
      <c r="E1045" s="66"/>
      <c r="F1045" s="67">
        <v>3.0000000000000001E-3</v>
      </c>
      <c r="G1045" s="67">
        <v>2E-3</v>
      </c>
      <c r="H1045" s="63"/>
    </row>
    <row r="1046" spans="1:8" x14ac:dyDescent="0.25">
      <c r="A1046" s="63"/>
      <c r="B1046" s="63">
        <v>22</v>
      </c>
      <c r="C1046" s="63" t="s">
        <v>3670</v>
      </c>
      <c r="D1046" s="63" t="s">
        <v>64</v>
      </c>
      <c r="E1046" s="66"/>
      <c r="F1046" s="67">
        <v>3.0000000000000001E-3</v>
      </c>
      <c r="G1046" s="67">
        <v>2E-3</v>
      </c>
      <c r="H1046" s="63"/>
    </row>
    <row r="1047" spans="1:8" x14ac:dyDescent="0.25">
      <c r="A1047" s="63"/>
      <c r="B1047" s="63">
        <v>23</v>
      </c>
      <c r="C1047" s="63" t="s">
        <v>3670</v>
      </c>
      <c r="D1047" s="63" t="s">
        <v>64</v>
      </c>
      <c r="E1047" s="66"/>
      <c r="F1047" s="67">
        <v>3.0000000000000001E-3</v>
      </c>
      <c r="G1047" s="67">
        <v>2E-3</v>
      </c>
      <c r="H1047" s="63"/>
    </row>
    <row r="1048" spans="1:8" x14ac:dyDescent="0.25">
      <c r="A1048" s="63"/>
      <c r="B1048" s="63">
        <v>24</v>
      </c>
      <c r="C1048" s="63" t="s">
        <v>3670</v>
      </c>
      <c r="D1048" s="63" t="s">
        <v>64</v>
      </c>
      <c r="E1048" s="66"/>
      <c r="F1048" s="67">
        <v>3.0000000000000001E-3</v>
      </c>
      <c r="G1048" s="67">
        <v>2E-3</v>
      </c>
      <c r="H1048" s="63"/>
    </row>
    <row r="1049" spans="1:8" x14ac:dyDescent="0.25">
      <c r="A1049" s="63"/>
      <c r="B1049" s="63">
        <v>25</v>
      </c>
      <c r="C1049" s="63" t="s">
        <v>3670</v>
      </c>
      <c r="D1049" s="63" t="s">
        <v>64</v>
      </c>
      <c r="E1049" s="66"/>
      <c r="F1049" s="67">
        <v>3.0000000000000001E-3</v>
      </c>
      <c r="G1049" s="67">
        <v>2E-3</v>
      </c>
      <c r="H1049" s="63"/>
    </row>
    <row r="1050" spans="1:8" x14ac:dyDescent="0.25">
      <c r="A1050" s="63"/>
      <c r="B1050" s="63">
        <v>26</v>
      </c>
      <c r="C1050" s="63" t="s">
        <v>3670</v>
      </c>
      <c r="D1050" s="63" t="s">
        <v>64</v>
      </c>
      <c r="E1050" s="66"/>
      <c r="F1050" s="67">
        <v>3.0000000000000001E-3</v>
      </c>
      <c r="G1050" s="67">
        <v>2E-3</v>
      </c>
      <c r="H1050" s="63"/>
    </row>
    <row r="1051" spans="1:8" x14ac:dyDescent="0.25">
      <c r="A1051" s="63"/>
      <c r="B1051" s="63">
        <v>27</v>
      </c>
      <c r="C1051" s="63" t="s">
        <v>3670</v>
      </c>
      <c r="D1051" s="63" t="s">
        <v>64</v>
      </c>
      <c r="E1051" s="66"/>
      <c r="F1051" s="67">
        <v>3.0000000000000001E-3</v>
      </c>
      <c r="G1051" s="67">
        <v>2E-3</v>
      </c>
      <c r="H1051" s="63"/>
    </row>
    <row r="1052" spans="1:8" x14ac:dyDescent="0.25">
      <c r="A1052" s="63"/>
      <c r="B1052" s="63">
        <v>28</v>
      </c>
      <c r="C1052" s="63" t="s">
        <v>3670</v>
      </c>
      <c r="D1052" s="63" t="s">
        <v>64</v>
      </c>
      <c r="E1052" s="66"/>
      <c r="F1052" s="67">
        <v>3.0000000000000001E-3</v>
      </c>
      <c r="G1052" s="67">
        <v>2E-3</v>
      </c>
      <c r="H1052" s="63"/>
    </row>
    <row r="1053" spans="1:8" x14ac:dyDescent="0.25">
      <c r="A1053" s="63"/>
      <c r="B1053" s="63">
        <v>29</v>
      </c>
      <c r="C1053" s="63" t="s">
        <v>3670</v>
      </c>
      <c r="D1053" s="63" t="s">
        <v>64</v>
      </c>
      <c r="E1053" s="66"/>
      <c r="F1053" s="67">
        <v>3.0000000000000001E-3</v>
      </c>
      <c r="G1053" s="67">
        <v>2E-3</v>
      </c>
      <c r="H1053" s="63"/>
    </row>
    <row r="1054" spans="1:8" x14ac:dyDescent="0.25">
      <c r="A1054" s="63"/>
      <c r="B1054" s="63">
        <v>30</v>
      </c>
      <c r="C1054" s="63" t="s">
        <v>3670</v>
      </c>
      <c r="D1054" s="63" t="s">
        <v>64</v>
      </c>
      <c r="E1054" s="66"/>
      <c r="F1054" s="67">
        <v>3.0000000000000001E-3</v>
      </c>
      <c r="G1054" s="67">
        <v>2E-3</v>
      </c>
      <c r="H1054" s="63"/>
    </row>
    <row r="1055" spans="1:8" x14ac:dyDescent="0.25">
      <c r="A1055" s="63"/>
      <c r="B1055" s="63">
        <v>0</v>
      </c>
      <c r="C1055" s="63" t="s">
        <v>3670</v>
      </c>
      <c r="D1055" s="63" t="s">
        <v>64</v>
      </c>
      <c r="E1055" s="66">
        <v>3.0428788910505911</v>
      </c>
      <c r="F1055" s="67">
        <v>3.0000000000000001E-3</v>
      </c>
      <c r="G1055" s="67">
        <v>2E-3</v>
      </c>
      <c r="H1055" s="63"/>
    </row>
    <row r="1056" spans="1:8" x14ac:dyDescent="0.25">
      <c r="A1056" s="63"/>
      <c r="B1056" s="63">
        <v>0.25</v>
      </c>
      <c r="C1056" s="63" t="s">
        <v>3670</v>
      </c>
      <c r="D1056" s="63" t="s">
        <v>77</v>
      </c>
      <c r="E1056" s="66">
        <v>31.294644203872359</v>
      </c>
      <c r="F1056" s="67">
        <v>3.0000000000000001E-3</v>
      </c>
      <c r="G1056" s="67">
        <v>2E-3</v>
      </c>
      <c r="H1056" s="63"/>
    </row>
    <row r="1057" spans="1:8" x14ac:dyDescent="0.25">
      <c r="A1057" s="63"/>
      <c r="B1057" s="63">
        <v>0.5</v>
      </c>
      <c r="C1057" s="63" t="s">
        <v>3670</v>
      </c>
      <c r="D1057" s="63" t="s">
        <v>77</v>
      </c>
      <c r="E1057" s="66">
        <v>31.786463706324941</v>
      </c>
      <c r="F1057" s="67">
        <v>3.0000000000000001E-3</v>
      </c>
      <c r="G1057" s="67">
        <v>2E-3</v>
      </c>
      <c r="H1057" s="63"/>
    </row>
    <row r="1058" spans="1:8" x14ac:dyDescent="0.25">
      <c r="A1058" s="63"/>
      <c r="B1058" s="63">
        <v>0.75</v>
      </c>
      <c r="C1058" s="63" t="s">
        <v>3670</v>
      </c>
      <c r="D1058" s="63" t="s">
        <v>77</v>
      </c>
      <c r="E1058" s="66">
        <v>32.675705551641215</v>
      </c>
      <c r="F1058" s="67">
        <v>3.0000000000000001E-3</v>
      </c>
      <c r="G1058" s="67">
        <v>2E-3</v>
      </c>
      <c r="H1058" s="63"/>
    </row>
    <row r="1059" spans="1:8" x14ac:dyDescent="0.25">
      <c r="A1059" s="63"/>
      <c r="B1059" s="63">
        <v>1</v>
      </c>
      <c r="C1059" s="63" t="s">
        <v>3670</v>
      </c>
      <c r="D1059" s="63" t="s">
        <v>77</v>
      </c>
      <c r="E1059" s="66">
        <v>34.160243122616194</v>
      </c>
      <c r="F1059" s="67">
        <v>3.0000000000000001E-3</v>
      </c>
      <c r="G1059" s="67">
        <v>2E-3</v>
      </c>
      <c r="H1059" s="63"/>
    </row>
    <row r="1060" spans="1:8" x14ac:dyDescent="0.25">
      <c r="A1060" s="63"/>
      <c r="B1060" s="63">
        <v>2</v>
      </c>
      <c r="C1060" s="63" t="s">
        <v>3670</v>
      </c>
      <c r="D1060" s="63" t="s">
        <v>77</v>
      </c>
      <c r="E1060" s="66">
        <v>36.398993517813643</v>
      </c>
      <c r="F1060" s="67">
        <v>3.0000000000000001E-3</v>
      </c>
      <c r="G1060" s="67">
        <v>2E-3</v>
      </c>
      <c r="H1060" s="63"/>
    </row>
    <row r="1061" spans="1:8" x14ac:dyDescent="0.25">
      <c r="A1061" s="63"/>
      <c r="B1061" s="63">
        <v>3</v>
      </c>
      <c r="C1061" s="63" t="s">
        <v>3670</v>
      </c>
      <c r="D1061" s="63" t="s">
        <v>77</v>
      </c>
      <c r="E1061" s="66">
        <v>41.435108871393702</v>
      </c>
      <c r="F1061" s="67">
        <v>3.0000000000000001E-3</v>
      </c>
      <c r="G1061" s="67">
        <v>2E-3</v>
      </c>
      <c r="H1061" s="63"/>
    </row>
    <row r="1062" spans="1:8" x14ac:dyDescent="0.25">
      <c r="A1062" s="63"/>
      <c r="B1062" s="63">
        <v>4</v>
      </c>
      <c r="C1062" s="63" t="s">
        <v>3670</v>
      </c>
      <c r="D1062" s="63" t="s">
        <v>77</v>
      </c>
      <c r="E1062" s="66">
        <v>50.992693580284708</v>
      </c>
      <c r="F1062" s="67">
        <v>3.0000000000000001E-3</v>
      </c>
      <c r="G1062" s="67">
        <v>2E-3</v>
      </c>
      <c r="H1062" s="63"/>
    </row>
    <row r="1063" spans="1:8" x14ac:dyDescent="0.25">
      <c r="A1063" s="63"/>
      <c r="B1063" s="63">
        <v>5</v>
      </c>
      <c r="C1063" s="63" t="s">
        <v>3670</v>
      </c>
      <c r="D1063" s="63" t="s">
        <v>77</v>
      </c>
      <c r="E1063" s="66">
        <v>56.976333948628699</v>
      </c>
      <c r="F1063" s="67">
        <v>3.0000000000000001E-3</v>
      </c>
      <c r="G1063" s="67">
        <v>2E-3</v>
      </c>
      <c r="H1063" s="63"/>
    </row>
    <row r="1064" spans="1:8" x14ac:dyDescent="0.25">
      <c r="A1064" s="63"/>
      <c r="B1064" s="63">
        <v>6</v>
      </c>
      <c r="C1064" s="63" t="s">
        <v>3670</v>
      </c>
      <c r="D1064" s="63" t="s">
        <v>77</v>
      </c>
      <c r="E1064" s="66">
        <v>65.544248184595034</v>
      </c>
      <c r="F1064" s="67">
        <v>3.0000000000000001E-3</v>
      </c>
      <c r="G1064" s="67">
        <v>2E-3</v>
      </c>
      <c r="H1064" s="63"/>
    </row>
    <row r="1065" spans="1:8" x14ac:dyDescent="0.25">
      <c r="A1065" s="63"/>
      <c r="B1065" s="63">
        <v>7</v>
      </c>
      <c r="C1065" s="63" t="s">
        <v>3670</v>
      </c>
      <c r="D1065" s="63" t="s">
        <v>77</v>
      </c>
      <c r="E1065" s="66">
        <v>73.275009898409934</v>
      </c>
      <c r="F1065" s="67">
        <v>3.0000000000000001E-3</v>
      </c>
      <c r="G1065" s="67">
        <v>2E-3</v>
      </c>
      <c r="H1065" s="63"/>
    </row>
    <row r="1066" spans="1:8" x14ac:dyDescent="0.25">
      <c r="A1066" s="63"/>
      <c r="B1066" s="63">
        <v>8</v>
      </c>
      <c r="C1066" s="63" t="s">
        <v>3670</v>
      </c>
      <c r="D1066" s="63" t="s">
        <v>77</v>
      </c>
      <c r="E1066" s="66">
        <v>80.889247472675962</v>
      </c>
      <c r="F1066" s="67">
        <v>3.0000000000000001E-3</v>
      </c>
      <c r="G1066" s="67">
        <v>2E-3</v>
      </c>
      <c r="H1066" s="63"/>
    </row>
    <row r="1067" spans="1:8" x14ac:dyDescent="0.25">
      <c r="A1067" s="63"/>
      <c r="B1067" s="63">
        <v>9</v>
      </c>
      <c r="C1067" s="63" t="s">
        <v>3670</v>
      </c>
      <c r="D1067" s="63" t="s">
        <v>77</v>
      </c>
      <c r="E1067" s="66">
        <v>87.303404290118834</v>
      </c>
      <c r="F1067" s="67">
        <v>3.0000000000000001E-3</v>
      </c>
      <c r="G1067" s="67">
        <v>2E-3</v>
      </c>
      <c r="H1067" s="63"/>
    </row>
    <row r="1068" spans="1:8" x14ac:dyDescent="0.25">
      <c r="A1068" s="63"/>
      <c r="B1068" s="63">
        <v>10</v>
      </c>
      <c r="C1068" s="63" t="s">
        <v>3670</v>
      </c>
      <c r="D1068" s="63" t="s">
        <v>77</v>
      </c>
      <c r="E1068" s="66">
        <v>94.077059569968057</v>
      </c>
      <c r="F1068" s="67">
        <v>3.0000000000000001E-3</v>
      </c>
      <c r="G1068" s="67">
        <v>2E-3</v>
      </c>
      <c r="H1068" s="63"/>
    </row>
    <row r="1069" spans="1:8" x14ac:dyDescent="0.25">
      <c r="A1069" s="63"/>
      <c r="B1069" s="63">
        <v>11</v>
      </c>
      <c r="C1069" s="63" t="s">
        <v>3670</v>
      </c>
      <c r="D1069" s="63" t="s">
        <v>77</v>
      </c>
      <c r="E1069" s="66"/>
      <c r="F1069" s="67">
        <v>3.0000000000000001E-3</v>
      </c>
      <c r="G1069" s="67">
        <v>2E-3</v>
      </c>
      <c r="H1069" s="63"/>
    </row>
    <row r="1070" spans="1:8" x14ac:dyDescent="0.25">
      <c r="A1070" s="63"/>
      <c r="B1070" s="63">
        <v>12</v>
      </c>
      <c r="C1070" s="63" t="s">
        <v>3670</v>
      </c>
      <c r="D1070" s="63" t="s">
        <v>77</v>
      </c>
      <c r="E1070" s="66"/>
      <c r="F1070" s="67">
        <v>3.0000000000000001E-3</v>
      </c>
      <c r="G1070" s="67">
        <v>2E-3</v>
      </c>
      <c r="H1070" s="63"/>
    </row>
    <row r="1071" spans="1:8" x14ac:dyDescent="0.25">
      <c r="A1071" s="63"/>
      <c r="B1071" s="63">
        <v>13</v>
      </c>
      <c r="C1071" s="63" t="s">
        <v>3670</v>
      </c>
      <c r="D1071" s="63" t="s">
        <v>77</v>
      </c>
      <c r="E1071" s="66"/>
      <c r="F1071" s="67">
        <v>3.0000000000000001E-3</v>
      </c>
      <c r="G1071" s="67">
        <v>2E-3</v>
      </c>
      <c r="H1071" s="63"/>
    </row>
    <row r="1072" spans="1:8" x14ac:dyDescent="0.25">
      <c r="A1072" s="63"/>
      <c r="B1072" s="63">
        <v>14</v>
      </c>
      <c r="C1072" s="63" t="s">
        <v>3670</v>
      </c>
      <c r="D1072" s="63" t="s">
        <v>77</v>
      </c>
      <c r="E1072" s="66"/>
      <c r="F1072" s="67">
        <v>3.0000000000000001E-3</v>
      </c>
      <c r="G1072" s="67">
        <v>2E-3</v>
      </c>
      <c r="H1072" s="63"/>
    </row>
    <row r="1073" spans="1:8" x14ac:dyDescent="0.25">
      <c r="A1073" s="63"/>
      <c r="B1073" s="63">
        <v>15</v>
      </c>
      <c r="C1073" s="63" t="s">
        <v>3670</v>
      </c>
      <c r="D1073" s="63" t="s">
        <v>77</v>
      </c>
      <c r="E1073" s="66"/>
      <c r="F1073" s="67">
        <v>3.0000000000000001E-3</v>
      </c>
      <c r="G1073" s="67">
        <v>2E-3</v>
      </c>
      <c r="H1073" s="63"/>
    </row>
    <row r="1074" spans="1:8" x14ac:dyDescent="0.25">
      <c r="A1074" s="63"/>
      <c r="B1074" s="63">
        <v>16</v>
      </c>
      <c r="C1074" s="63" t="s">
        <v>3670</v>
      </c>
      <c r="D1074" s="63" t="s">
        <v>77</v>
      </c>
      <c r="E1074" s="66"/>
      <c r="F1074" s="67">
        <v>3.0000000000000001E-3</v>
      </c>
      <c r="G1074" s="67">
        <v>2E-3</v>
      </c>
      <c r="H1074" s="63"/>
    </row>
    <row r="1075" spans="1:8" x14ac:dyDescent="0.25">
      <c r="A1075" s="63"/>
      <c r="B1075" s="63">
        <v>17</v>
      </c>
      <c r="C1075" s="63" t="s">
        <v>3670</v>
      </c>
      <c r="D1075" s="63" t="s">
        <v>77</v>
      </c>
      <c r="E1075" s="66"/>
      <c r="F1075" s="67">
        <v>3.0000000000000001E-3</v>
      </c>
      <c r="G1075" s="67">
        <v>2E-3</v>
      </c>
      <c r="H1075" s="63"/>
    </row>
    <row r="1076" spans="1:8" x14ac:dyDescent="0.25">
      <c r="A1076" s="63"/>
      <c r="B1076" s="63">
        <v>18</v>
      </c>
      <c r="C1076" s="63" t="s">
        <v>3670</v>
      </c>
      <c r="D1076" s="63" t="s">
        <v>77</v>
      </c>
      <c r="E1076" s="66"/>
      <c r="F1076" s="67">
        <v>3.0000000000000001E-3</v>
      </c>
      <c r="G1076" s="67">
        <v>2E-3</v>
      </c>
      <c r="H1076" s="63"/>
    </row>
    <row r="1077" spans="1:8" x14ac:dyDescent="0.25">
      <c r="A1077" s="63"/>
      <c r="B1077" s="63">
        <v>19</v>
      </c>
      <c r="C1077" s="63" t="s">
        <v>3670</v>
      </c>
      <c r="D1077" s="63" t="s">
        <v>77</v>
      </c>
      <c r="E1077" s="66"/>
      <c r="F1077" s="67">
        <v>3.0000000000000001E-3</v>
      </c>
      <c r="G1077" s="67">
        <v>2E-3</v>
      </c>
      <c r="H1077" s="63"/>
    </row>
    <row r="1078" spans="1:8" x14ac:dyDescent="0.25">
      <c r="A1078" s="63"/>
      <c r="B1078" s="63">
        <v>20</v>
      </c>
      <c r="C1078" s="63" t="s">
        <v>3670</v>
      </c>
      <c r="D1078" s="63" t="s">
        <v>77</v>
      </c>
      <c r="E1078" s="66"/>
      <c r="F1078" s="67">
        <v>3.0000000000000001E-3</v>
      </c>
      <c r="G1078" s="67">
        <v>2E-3</v>
      </c>
      <c r="H1078" s="63"/>
    </row>
    <row r="1079" spans="1:8" x14ac:dyDescent="0.25">
      <c r="A1079" s="63"/>
      <c r="B1079" s="63">
        <v>21</v>
      </c>
      <c r="C1079" s="63" t="s">
        <v>3670</v>
      </c>
      <c r="D1079" s="63" t="s">
        <v>77</v>
      </c>
      <c r="E1079" s="66"/>
      <c r="F1079" s="67">
        <v>3.0000000000000001E-3</v>
      </c>
      <c r="G1079" s="67">
        <v>2E-3</v>
      </c>
      <c r="H1079" s="63"/>
    </row>
    <row r="1080" spans="1:8" x14ac:dyDescent="0.25">
      <c r="A1080" s="63"/>
      <c r="B1080" s="63">
        <v>22</v>
      </c>
      <c r="C1080" s="63" t="s">
        <v>3670</v>
      </c>
      <c r="D1080" s="63" t="s">
        <v>77</v>
      </c>
      <c r="E1080" s="66"/>
      <c r="F1080" s="67">
        <v>3.0000000000000001E-3</v>
      </c>
      <c r="G1080" s="67">
        <v>2E-3</v>
      </c>
      <c r="H1080" s="63"/>
    </row>
    <row r="1081" spans="1:8" x14ac:dyDescent="0.25">
      <c r="A1081" s="63"/>
      <c r="B1081" s="63">
        <v>23</v>
      </c>
      <c r="C1081" s="63" t="s">
        <v>3670</v>
      </c>
      <c r="D1081" s="63" t="s">
        <v>77</v>
      </c>
      <c r="E1081" s="66"/>
      <c r="F1081" s="67">
        <v>3.0000000000000001E-3</v>
      </c>
      <c r="G1081" s="67">
        <v>2E-3</v>
      </c>
      <c r="H1081" s="63"/>
    </row>
    <row r="1082" spans="1:8" x14ac:dyDescent="0.25">
      <c r="A1082" s="63"/>
      <c r="B1082" s="63">
        <v>24</v>
      </c>
      <c r="C1082" s="63" t="s">
        <v>3670</v>
      </c>
      <c r="D1082" s="63" t="s">
        <v>77</v>
      </c>
      <c r="E1082" s="66"/>
      <c r="F1082" s="67">
        <v>3.0000000000000001E-3</v>
      </c>
      <c r="G1082" s="67">
        <v>2E-3</v>
      </c>
      <c r="H1082" s="63"/>
    </row>
    <row r="1083" spans="1:8" x14ac:dyDescent="0.25">
      <c r="A1083" s="63"/>
      <c r="B1083" s="63">
        <v>25</v>
      </c>
      <c r="C1083" s="63" t="s">
        <v>3670</v>
      </c>
      <c r="D1083" s="63" t="s">
        <v>77</v>
      </c>
      <c r="E1083" s="66"/>
      <c r="F1083" s="67">
        <v>3.0000000000000001E-3</v>
      </c>
      <c r="G1083" s="67">
        <v>2E-3</v>
      </c>
      <c r="H1083" s="63"/>
    </row>
    <row r="1084" spans="1:8" x14ac:dyDescent="0.25">
      <c r="A1084" s="63"/>
      <c r="B1084" s="63">
        <v>26</v>
      </c>
      <c r="C1084" s="63" t="s">
        <v>3670</v>
      </c>
      <c r="D1084" s="63" t="s">
        <v>77</v>
      </c>
      <c r="E1084" s="66"/>
      <c r="F1084" s="67">
        <v>3.0000000000000001E-3</v>
      </c>
      <c r="G1084" s="67">
        <v>2E-3</v>
      </c>
      <c r="H1084" s="63"/>
    </row>
    <row r="1085" spans="1:8" x14ac:dyDescent="0.25">
      <c r="A1085" s="63"/>
      <c r="B1085" s="63">
        <v>27</v>
      </c>
      <c r="C1085" s="63" t="s">
        <v>3670</v>
      </c>
      <c r="D1085" s="63" t="s">
        <v>77</v>
      </c>
      <c r="E1085" s="66"/>
      <c r="F1085" s="67">
        <v>3.0000000000000001E-3</v>
      </c>
      <c r="G1085" s="67">
        <v>2E-3</v>
      </c>
      <c r="H1085" s="63"/>
    </row>
    <row r="1086" spans="1:8" x14ac:dyDescent="0.25">
      <c r="A1086" s="63"/>
      <c r="B1086" s="63">
        <v>28</v>
      </c>
      <c r="C1086" s="63" t="s">
        <v>3670</v>
      </c>
      <c r="D1086" s="63" t="s">
        <v>77</v>
      </c>
      <c r="E1086" s="66"/>
      <c r="F1086" s="67">
        <v>3.0000000000000001E-3</v>
      </c>
      <c r="G1086" s="67">
        <v>2E-3</v>
      </c>
      <c r="H1086" s="63"/>
    </row>
    <row r="1087" spans="1:8" x14ac:dyDescent="0.25">
      <c r="A1087" s="63"/>
      <c r="B1087" s="63">
        <v>29</v>
      </c>
      <c r="C1087" s="63" t="s">
        <v>3670</v>
      </c>
      <c r="D1087" s="63" t="s">
        <v>77</v>
      </c>
      <c r="E1087" s="66"/>
      <c r="F1087" s="67">
        <v>3.0000000000000001E-3</v>
      </c>
      <c r="G1087" s="67">
        <v>2E-3</v>
      </c>
      <c r="H1087" s="63"/>
    </row>
    <row r="1088" spans="1:8" x14ac:dyDescent="0.25">
      <c r="A1088" s="63"/>
      <c r="B1088" s="63">
        <v>30</v>
      </c>
      <c r="C1088" s="63" t="s">
        <v>3670</v>
      </c>
      <c r="D1088" s="63" t="s">
        <v>77</v>
      </c>
      <c r="E1088" s="66"/>
      <c r="F1088" s="67">
        <v>3.0000000000000001E-3</v>
      </c>
      <c r="G1088" s="67">
        <v>2E-3</v>
      </c>
      <c r="H1088" s="63"/>
    </row>
    <row r="1089" spans="1:8" x14ac:dyDescent="0.25">
      <c r="A1089" s="63"/>
      <c r="B1089" s="63">
        <v>0</v>
      </c>
      <c r="C1089" s="63" t="s">
        <v>3670</v>
      </c>
      <c r="D1089" s="63" t="s">
        <v>77</v>
      </c>
      <c r="E1089" s="66">
        <v>3.0428788910505911</v>
      </c>
      <c r="F1089" s="67">
        <v>3.0000000000000001E-3</v>
      </c>
      <c r="G1089" s="67">
        <v>2E-3</v>
      </c>
      <c r="H1089" s="63"/>
    </row>
    <row r="1090" spans="1:8" x14ac:dyDescent="0.25">
      <c r="A1090" s="63"/>
      <c r="B1090" s="63">
        <v>0.25</v>
      </c>
      <c r="C1090" s="63" t="s">
        <v>3672</v>
      </c>
      <c r="D1090" s="63" t="s">
        <v>21</v>
      </c>
      <c r="E1090" s="66">
        <v>11.478641943446604</v>
      </c>
      <c r="F1090" s="67">
        <v>3.0000000000000001E-3</v>
      </c>
      <c r="G1090" s="67">
        <v>2E-3</v>
      </c>
      <c r="H1090" s="63"/>
    </row>
    <row r="1091" spans="1:8" x14ac:dyDescent="0.25">
      <c r="A1091" s="63"/>
      <c r="B1091" s="63">
        <v>0.5</v>
      </c>
      <c r="C1091" s="63" t="s">
        <v>3672</v>
      </c>
      <c r="D1091" s="63" t="s">
        <v>21</v>
      </c>
      <c r="E1091" s="66">
        <v>14.326303429267389</v>
      </c>
      <c r="F1091" s="67">
        <v>3.0000000000000001E-3</v>
      </c>
      <c r="G1091" s="67">
        <v>2E-3</v>
      </c>
      <c r="H1091" s="63"/>
    </row>
    <row r="1092" spans="1:8" x14ac:dyDescent="0.25">
      <c r="A1092" s="63"/>
      <c r="B1092" s="63">
        <v>0.75</v>
      </c>
      <c r="C1092" s="63" t="s">
        <v>3672</v>
      </c>
      <c r="D1092" s="63" t="s">
        <v>21</v>
      </c>
      <c r="E1092" s="66">
        <v>14.754174455231563</v>
      </c>
      <c r="F1092" s="67">
        <v>3.0000000000000001E-3</v>
      </c>
      <c r="G1092" s="67">
        <v>2E-3</v>
      </c>
      <c r="H1092" s="63"/>
    </row>
    <row r="1093" spans="1:8" x14ac:dyDescent="0.25">
      <c r="A1093" s="63"/>
      <c r="B1093" s="63">
        <v>1</v>
      </c>
      <c r="C1093" s="63" t="s">
        <v>3672</v>
      </c>
      <c r="D1093" s="63" t="s">
        <v>21</v>
      </c>
      <c r="E1093" s="66">
        <v>15.275232034870987</v>
      </c>
      <c r="F1093" s="67">
        <v>3.0000000000000001E-3</v>
      </c>
      <c r="G1093" s="67">
        <v>2E-3</v>
      </c>
      <c r="H1093" s="63"/>
    </row>
    <row r="1094" spans="1:8" x14ac:dyDescent="0.25">
      <c r="A1094" s="63"/>
      <c r="B1094" s="63">
        <v>2</v>
      </c>
      <c r="C1094" s="63" t="s">
        <v>3672</v>
      </c>
      <c r="D1094" s="63" t="s">
        <v>21</v>
      </c>
      <c r="E1094" s="66">
        <v>16.753605255561901</v>
      </c>
      <c r="F1094" s="67">
        <v>3.0000000000000001E-3</v>
      </c>
      <c r="G1094" s="67">
        <v>2E-3</v>
      </c>
      <c r="H1094" s="63"/>
    </row>
    <row r="1095" spans="1:8" x14ac:dyDescent="0.25">
      <c r="A1095" s="63"/>
      <c r="B1095" s="63">
        <v>3</v>
      </c>
      <c r="C1095" s="63" t="s">
        <v>3672</v>
      </c>
      <c r="D1095" s="63" t="s">
        <v>21</v>
      </c>
      <c r="E1095" s="66">
        <v>19.409265192287389</v>
      </c>
      <c r="F1095" s="67">
        <v>3.0000000000000001E-3</v>
      </c>
      <c r="G1095" s="67">
        <v>2E-3</v>
      </c>
      <c r="H1095" s="63"/>
    </row>
    <row r="1096" spans="1:8" x14ac:dyDescent="0.25">
      <c r="A1096" s="63"/>
      <c r="B1096" s="63">
        <v>4</v>
      </c>
      <c r="C1096" s="63" t="s">
        <v>3672</v>
      </c>
      <c r="D1096" s="63" t="s">
        <v>21</v>
      </c>
      <c r="E1096" s="66">
        <v>22.605133112618322</v>
      </c>
      <c r="F1096" s="67">
        <v>3.0000000000000001E-3</v>
      </c>
      <c r="G1096" s="67">
        <v>2E-3</v>
      </c>
      <c r="H1096" s="63"/>
    </row>
    <row r="1097" spans="1:8" x14ac:dyDescent="0.25">
      <c r="A1097" s="63"/>
      <c r="B1097" s="63">
        <v>5</v>
      </c>
      <c r="C1097" s="63" t="s">
        <v>3672</v>
      </c>
      <c r="D1097" s="63" t="s">
        <v>21</v>
      </c>
      <c r="E1097" s="66">
        <v>26.059511928425973</v>
      </c>
      <c r="F1097" s="67">
        <v>3.0000000000000001E-3</v>
      </c>
      <c r="G1097" s="67">
        <v>2E-3</v>
      </c>
      <c r="H1097" s="63"/>
    </row>
    <row r="1098" spans="1:8" x14ac:dyDescent="0.25">
      <c r="A1098" s="63"/>
      <c r="B1098" s="63">
        <v>6</v>
      </c>
      <c r="C1098" s="63" t="s">
        <v>3672</v>
      </c>
      <c r="D1098" s="63" t="s">
        <v>21</v>
      </c>
      <c r="E1098" s="66">
        <v>31.356228944686265</v>
      </c>
      <c r="F1098" s="67">
        <v>3.0000000000000001E-3</v>
      </c>
      <c r="G1098" s="67">
        <v>2E-3</v>
      </c>
      <c r="H1098" s="63"/>
    </row>
    <row r="1099" spans="1:8" x14ac:dyDescent="0.25">
      <c r="A1099" s="63"/>
      <c r="B1099" s="63">
        <v>7</v>
      </c>
      <c r="C1099" s="63" t="s">
        <v>3672</v>
      </c>
      <c r="D1099" s="63" t="s">
        <v>21</v>
      </c>
      <c r="E1099" s="66">
        <v>34.330716655212825</v>
      </c>
      <c r="F1099" s="67">
        <v>3.0000000000000001E-3</v>
      </c>
      <c r="G1099" s="67">
        <v>2E-3</v>
      </c>
      <c r="H1099" s="63"/>
    </row>
    <row r="1100" spans="1:8" x14ac:dyDescent="0.25">
      <c r="A1100" s="63"/>
      <c r="B1100" s="63">
        <v>8</v>
      </c>
      <c r="C1100" s="63" t="s">
        <v>3672</v>
      </c>
      <c r="D1100" s="63" t="s">
        <v>21</v>
      </c>
      <c r="E1100" s="66">
        <v>38.308463003244775</v>
      </c>
      <c r="F1100" s="67">
        <v>3.0000000000000001E-3</v>
      </c>
      <c r="G1100" s="67">
        <v>2E-3</v>
      </c>
      <c r="H1100" s="63"/>
    </row>
    <row r="1101" spans="1:8" x14ac:dyDescent="0.25">
      <c r="A1101" s="63"/>
      <c r="B1101" s="63">
        <v>9</v>
      </c>
      <c r="C1101" s="63" t="s">
        <v>3672</v>
      </c>
      <c r="D1101" s="63" t="s">
        <v>21</v>
      </c>
      <c r="E1101" s="66">
        <v>41.490338047022625</v>
      </c>
      <c r="F1101" s="67">
        <v>3.0000000000000001E-3</v>
      </c>
      <c r="G1101" s="67">
        <v>2E-3</v>
      </c>
      <c r="H1101" s="63"/>
    </row>
    <row r="1102" spans="1:8" x14ac:dyDescent="0.25">
      <c r="A1102" s="63"/>
      <c r="B1102" s="63">
        <v>10</v>
      </c>
      <c r="C1102" s="63" t="s">
        <v>3672</v>
      </c>
      <c r="D1102" s="63" t="s">
        <v>21</v>
      </c>
      <c r="E1102" s="66">
        <v>44.172042810136631</v>
      </c>
      <c r="F1102" s="67">
        <v>3.0000000000000001E-3</v>
      </c>
      <c r="G1102" s="67">
        <v>2E-3</v>
      </c>
      <c r="H1102" s="63"/>
    </row>
    <row r="1103" spans="1:8" x14ac:dyDescent="0.25">
      <c r="A1103" s="63"/>
      <c r="B1103" s="63">
        <v>11</v>
      </c>
      <c r="C1103" s="63" t="s">
        <v>3672</v>
      </c>
      <c r="D1103" s="63" t="s">
        <v>21</v>
      </c>
      <c r="E1103" s="66"/>
      <c r="F1103" s="67">
        <v>3.0000000000000001E-3</v>
      </c>
      <c r="G1103" s="67">
        <v>2E-3</v>
      </c>
      <c r="H1103" s="63"/>
    </row>
    <row r="1104" spans="1:8" x14ac:dyDescent="0.25">
      <c r="A1104" s="63"/>
      <c r="B1104" s="63">
        <v>12</v>
      </c>
      <c r="C1104" s="63" t="s">
        <v>3672</v>
      </c>
      <c r="D1104" s="63" t="s">
        <v>21</v>
      </c>
      <c r="E1104" s="66"/>
      <c r="F1104" s="67">
        <v>3.0000000000000001E-3</v>
      </c>
      <c r="G1104" s="67">
        <v>2E-3</v>
      </c>
      <c r="H1104" s="63"/>
    </row>
    <row r="1105" spans="1:8" x14ac:dyDescent="0.25">
      <c r="A1105" s="63"/>
      <c r="B1105" s="63">
        <v>13</v>
      </c>
      <c r="C1105" s="63" t="s">
        <v>3672</v>
      </c>
      <c r="D1105" s="63" t="s">
        <v>21</v>
      </c>
      <c r="E1105" s="66"/>
      <c r="F1105" s="67">
        <v>3.0000000000000001E-3</v>
      </c>
      <c r="G1105" s="67">
        <v>2E-3</v>
      </c>
      <c r="H1105" s="63"/>
    </row>
    <row r="1106" spans="1:8" x14ac:dyDescent="0.25">
      <c r="A1106" s="63"/>
      <c r="B1106" s="63">
        <v>14</v>
      </c>
      <c r="C1106" s="63" t="s">
        <v>3672</v>
      </c>
      <c r="D1106" s="63" t="s">
        <v>21</v>
      </c>
      <c r="E1106" s="66"/>
      <c r="F1106" s="67">
        <v>3.0000000000000001E-3</v>
      </c>
      <c r="G1106" s="67">
        <v>2E-3</v>
      </c>
      <c r="H1106" s="63"/>
    </row>
    <row r="1107" spans="1:8" x14ac:dyDescent="0.25">
      <c r="A1107" s="63"/>
      <c r="B1107" s="63">
        <v>15</v>
      </c>
      <c r="C1107" s="63" t="s">
        <v>3672</v>
      </c>
      <c r="D1107" s="63" t="s">
        <v>21</v>
      </c>
      <c r="E1107" s="66"/>
      <c r="F1107" s="67">
        <v>3.0000000000000001E-3</v>
      </c>
      <c r="G1107" s="67">
        <v>2E-3</v>
      </c>
      <c r="H1107" s="63"/>
    </row>
    <row r="1108" spans="1:8" x14ac:dyDescent="0.25">
      <c r="A1108" s="63"/>
      <c r="B1108" s="63">
        <v>16</v>
      </c>
      <c r="C1108" s="63" t="s">
        <v>3672</v>
      </c>
      <c r="D1108" s="63" t="s">
        <v>21</v>
      </c>
      <c r="E1108" s="66"/>
      <c r="F1108" s="67">
        <v>3.0000000000000001E-3</v>
      </c>
      <c r="G1108" s="67">
        <v>2E-3</v>
      </c>
      <c r="H1108" s="63"/>
    </row>
    <row r="1109" spans="1:8" x14ac:dyDescent="0.25">
      <c r="A1109" s="63"/>
      <c r="B1109" s="63">
        <v>17</v>
      </c>
      <c r="C1109" s="63" t="s">
        <v>3672</v>
      </c>
      <c r="D1109" s="63" t="s">
        <v>21</v>
      </c>
      <c r="E1109" s="66"/>
      <c r="F1109" s="67">
        <v>3.0000000000000001E-3</v>
      </c>
      <c r="G1109" s="67">
        <v>2E-3</v>
      </c>
      <c r="H1109" s="63"/>
    </row>
    <row r="1110" spans="1:8" x14ac:dyDescent="0.25">
      <c r="A1110" s="63"/>
      <c r="B1110" s="63">
        <v>18</v>
      </c>
      <c r="C1110" s="63" t="s">
        <v>3672</v>
      </c>
      <c r="D1110" s="63" t="s">
        <v>21</v>
      </c>
      <c r="E1110" s="66"/>
      <c r="F1110" s="67">
        <v>3.0000000000000001E-3</v>
      </c>
      <c r="G1110" s="67">
        <v>2E-3</v>
      </c>
      <c r="H1110" s="63"/>
    </row>
    <row r="1111" spans="1:8" x14ac:dyDescent="0.25">
      <c r="A1111" s="63"/>
      <c r="B1111" s="63">
        <v>19</v>
      </c>
      <c r="C1111" s="63" t="s">
        <v>3672</v>
      </c>
      <c r="D1111" s="63" t="s">
        <v>21</v>
      </c>
      <c r="E1111" s="66"/>
      <c r="F1111" s="67">
        <v>3.0000000000000001E-3</v>
      </c>
      <c r="G1111" s="67">
        <v>2E-3</v>
      </c>
      <c r="H1111" s="63"/>
    </row>
    <row r="1112" spans="1:8" x14ac:dyDescent="0.25">
      <c r="A1112" s="63"/>
      <c r="B1112" s="63">
        <v>20</v>
      </c>
      <c r="C1112" s="63" t="s">
        <v>3672</v>
      </c>
      <c r="D1112" s="63" t="s">
        <v>21</v>
      </c>
      <c r="E1112" s="66"/>
      <c r="F1112" s="67">
        <v>3.0000000000000001E-3</v>
      </c>
      <c r="G1112" s="67">
        <v>2E-3</v>
      </c>
      <c r="H1112" s="63"/>
    </row>
    <row r="1113" spans="1:8" x14ac:dyDescent="0.25">
      <c r="A1113" s="63"/>
      <c r="B1113" s="63">
        <v>21</v>
      </c>
      <c r="C1113" s="63" t="s">
        <v>3672</v>
      </c>
      <c r="D1113" s="63" t="s">
        <v>21</v>
      </c>
      <c r="E1113" s="66"/>
      <c r="F1113" s="67">
        <v>3.0000000000000001E-3</v>
      </c>
      <c r="G1113" s="67">
        <v>2E-3</v>
      </c>
      <c r="H1113" s="63"/>
    </row>
    <row r="1114" spans="1:8" x14ac:dyDescent="0.25">
      <c r="A1114" s="63"/>
      <c r="B1114" s="63">
        <v>22</v>
      </c>
      <c r="C1114" s="63" t="s">
        <v>3672</v>
      </c>
      <c r="D1114" s="63" t="s">
        <v>21</v>
      </c>
      <c r="E1114" s="66"/>
      <c r="F1114" s="67">
        <v>3.0000000000000001E-3</v>
      </c>
      <c r="G1114" s="67">
        <v>2E-3</v>
      </c>
      <c r="H1114" s="63"/>
    </row>
    <row r="1115" spans="1:8" x14ac:dyDescent="0.25">
      <c r="A1115" s="63"/>
      <c r="B1115" s="63">
        <v>23</v>
      </c>
      <c r="C1115" s="63" t="s">
        <v>3672</v>
      </c>
      <c r="D1115" s="63" t="s">
        <v>21</v>
      </c>
      <c r="E1115" s="66"/>
      <c r="F1115" s="67">
        <v>3.0000000000000001E-3</v>
      </c>
      <c r="G1115" s="67">
        <v>2E-3</v>
      </c>
      <c r="H1115" s="63"/>
    </row>
    <row r="1116" spans="1:8" x14ac:dyDescent="0.25">
      <c r="A1116" s="63"/>
      <c r="B1116" s="63">
        <v>24</v>
      </c>
      <c r="C1116" s="63" t="s">
        <v>3672</v>
      </c>
      <c r="D1116" s="63" t="s">
        <v>21</v>
      </c>
      <c r="E1116" s="66"/>
      <c r="F1116" s="67">
        <v>3.0000000000000001E-3</v>
      </c>
      <c r="G1116" s="67">
        <v>2E-3</v>
      </c>
      <c r="H1116" s="63"/>
    </row>
    <row r="1117" spans="1:8" x14ac:dyDescent="0.25">
      <c r="A1117" s="63"/>
      <c r="B1117" s="63">
        <v>25</v>
      </c>
      <c r="C1117" s="63" t="s">
        <v>3672</v>
      </c>
      <c r="D1117" s="63" t="s">
        <v>21</v>
      </c>
      <c r="E1117" s="66"/>
      <c r="F1117" s="67">
        <v>3.0000000000000001E-3</v>
      </c>
      <c r="G1117" s="67">
        <v>2E-3</v>
      </c>
      <c r="H1117" s="63"/>
    </row>
    <row r="1118" spans="1:8" x14ac:dyDescent="0.25">
      <c r="A1118" s="63"/>
      <c r="B1118" s="63">
        <v>26</v>
      </c>
      <c r="C1118" s="63" t="s">
        <v>3672</v>
      </c>
      <c r="D1118" s="63" t="s">
        <v>21</v>
      </c>
      <c r="E1118" s="66"/>
      <c r="F1118" s="67">
        <v>3.0000000000000001E-3</v>
      </c>
      <c r="G1118" s="67">
        <v>2E-3</v>
      </c>
      <c r="H1118" s="63"/>
    </row>
    <row r="1119" spans="1:8" x14ac:dyDescent="0.25">
      <c r="A1119" s="63"/>
      <c r="B1119" s="63">
        <v>27</v>
      </c>
      <c r="C1119" s="63" t="s">
        <v>3672</v>
      </c>
      <c r="D1119" s="63" t="s">
        <v>21</v>
      </c>
      <c r="E1119" s="66"/>
      <c r="F1119" s="67">
        <v>3.0000000000000001E-3</v>
      </c>
      <c r="G1119" s="67">
        <v>2E-3</v>
      </c>
      <c r="H1119" s="63"/>
    </row>
    <row r="1120" spans="1:8" x14ac:dyDescent="0.25">
      <c r="A1120" s="63"/>
      <c r="B1120" s="63">
        <v>28</v>
      </c>
      <c r="C1120" s="63" t="s">
        <v>3672</v>
      </c>
      <c r="D1120" s="63" t="s">
        <v>21</v>
      </c>
      <c r="E1120" s="66"/>
      <c r="F1120" s="67">
        <v>3.0000000000000001E-3</v>
      </c>
      <c r="G1120" s="67">
        <v>2E-3</v>
      </c>
      <c r="H1120" s="63"/>
    </row>
    <row r="1121" spans="1:8" x14ac:dyDescent="0.25">
      <c r="A1121" s="63"/>
      <c r="B1121" s="63">
        <v>29</v>
      </c>
      <c r="C1121" s="63" t="s">
        <v>3672</v>
      </c>
      <c r="D1121" s="63" t="s">
        <v>21</v>
      </c>
      <c r="E1121" s="66"/>
      <c r="F1121" s="67">
        <v>3.0000000000000001E-3</v>
      </c>
      <c r="G1121" s="67">
        <v>2E-3</v>
      </c>
      <c r="H1121" s="63"/>
    </row>
    <row r="1122" spans="1:8" x14ac:dyDescent="0.25">
      <c r="A1122" s="63"/>
      <c r="B1122" s="63">
        <v>30</v>
      </c>
      <c r="C1122" s="63" t="s">
        <v>3672</v>
      </c>
      <c r="D1122" s="63" t="s">
        <v>21</v>
      </c>
      <c r="E1122" s="66"/>
      <c r="F1122" s="67">
        <v>3.0000000000000001E-3</v>
      </c>
      <c r="G1122" s="67">
        <v>2E-3</v>
      </c>
      <c r="H1122" s="63"/>
    </row>
    <row r="1123" spans="1:8" x14ac:dyDescent="0.25">
      <c r="A1123" s="63"/>
      <c r="B1123" s="63">
        <v>0</v>
      </c>
      <c r="C1123" s="63" t="s">
        <v>3672</v>
      </c>
      <c r="D1123" s="63" t="s">
        <v>21</v>
      </c>
      <c r="E1123" s="66">
        <v>3.0428788910505911</v>
      </c>
      <c r="F1123" s="67">
        <v>3.0000000000000001E-3</v>
      </c>
      <c r="G1123" s="67">
        <v>2E-3</v>
      </c>
      <c r="H1123" s="63"/>
    </row>
    <row r="1124" spans="1:8" x14ac:dyDescent="0.25">
      <c r="A1124" s="63"/>
      <c r="B1124" s="63">
        <v>0.25</v>
      </c>
      <c r="C1124" s="63" t="s">
        <v>3672</v>
      </c>
      <c r="D1124" s="63" t="s">
        <v>62</v>
      </c>
      <c r="E1124" s="66">
        <v>20.377140471637041</v>
      </c>
      <c r="F1124" s="67">
        <v>3.0000000000000001E-3</v>
      </c>
      <c r="G1124" s="67">
        <v>2E-3</v>
      </c>
      <c r="H1124" s="63"/>
    </row>
    <row r="1125" spans="1:8" x14ac:dyDescent="0.25">
      <c r="A1125" s="63"/>
      <c r="B1125" s="63">
        <v>0.5</v>
      </c>
      <c r="C1125" s="63" t="s">
        <v>3672</v>
      </c>
      <c r="D1125" s="63" t="s">
        <v>62</v>
      </c>
      <c r="E1125" s="66">
        <v>21.402978767052765</v>
      </c>
      <c r="F1125" s="67">
        <v>3.0000000000000001E-3</v>
      </c>
      <c r="G1125" s="67">
        <v>2E-3</v>
      </c>
      <c r="H1125" s="63"/>
    </row>
    <row r="1126" spans="1:8" x14ac:dyDescent="0.25">
      <c r="A1126" s="63"/>
      <c r="B1126" s="63">
        <v>0.75</v>
      </c>
      <c r="C1126" s="63" t="s">
        <v>3672</v>
      </c>
      <c r="D1126" s="63" t="s">
        <v>62</v>
      </c>
      <c r="E1126" s="66">
        <v>22.589768980199143</v>
      </c>
      <c r="F1126" s="67">
        <v>3.0000000000000001E-3</v>
      </c>
      <c r="G1126" s="67">
        <v>2E-3</v>
      </c>
      <c r="H1126" s="63"/>
    </row>
    <row r="1127" spans="1:8" x14ac:dyDescent="0.25">
      <c r="A1127" s="63"/>
      <c r="B1127" s="63">
        <v>1</v>
      </c>
      <c r="C1127" s="63" t="s">
        <v>3672</v>
      </c>
      <c r="D1127" s="63" t="s">
        <v>62</v>
      </c>
      <c r="E1127" s="66">
        <v>24.040396091340774</v>
      </c>
      <c r="F1127" s="67">
        <v>3.0000000000000001E-3</v>
      </c>
      <c r="G1127" s="67">
        <v>2E-3</v>
      </c>
      <c r="H1127" s="63"/>
    </row>
    <row r="1128" spans="1:8" x14ac:dyDescent="0.25">
      <c r="A1128" s="63"/>
      <c r="B1128" s="63">
        <v>2</v>
      </c>
      <c r="C1128" s="63" t="s">
        <v>3672</v>
      </c>
      <c r="D1128" s="63" t="s">
        <v>62</v>
      </c>
      <c r="E1128" s="66">
        <v>25.448505028591189</v>
      </c>
      <c r="F1128" s="67">
        <v>3.0000000000000001E-3</v>
      </c>
      <c r="G1128" s="67">
        <v>2E-3</v>
      </c>
      <c r="H1128" s="63"/>
    </row>
    <row r="1129" spans="1:8" x14ac:dyDescent="0.25">
      <c r="A1129" s="63"/>
      <c r="B1129" s="63">
        <v>3</v>
      </c>
      <c r="C1129" s="63" t="s">
        <v>3672</v>
      </c>
      <c r="D1129" s="63" t="s">
        <v>62</v>
      </c>
      <c r="E1129" s="66">
        <v>28.109873114011638</v>
      </c>
      <c r="F1129" s="67">
        <v>3.0000000000000001E-3</v>
      </c>
      <c r="G1129" s="67">
        <v>2E-3</v>
      </c>
      <c r="H1129" s="63"/>
    </row>
    <row r="1130" spans="1:8" x14ac:dyDescent="0.25">
      <c r="A1130" s="63"/>
      <c r="B1130" s="63">
        <v>4</v>
      </c>
      <c r="C1130" s="63" t="s">
        <v>3672</v>
      </c>
      <c r="D1130" s="63" t="s">
        <v>62</v>
      </c>
      <c r="E1130" s="66">
        <v>30.975097350688763</v>
      </c>
      <c r="F1130" s="67">
        <v>3.0000000000000001E-3</v>
      </c>
      <c r="G1130" s="67">
        <v>2E-3</v>
      </c>
      <c r="H1130" s="63"/>
    </row>
    <row r="1131" spans="1:8" x14ac:dyDescent="0.25">
      <c r="A1131" s="63"/>
      <c r="B1131" s="63">
        <v>5</v>
      </c>
      <c r="C1131" s="63" t="s">
        <v>3672</v>
      </c>
      <c r="D1131" s="63" t="s">
        <v>62</v>
      </c>
      <c r="E1131" s="66">
        <v>34.370578528895656</v>
      </c>
      <c r="F1131" s="67">
        <v>3.0000000000000001E-3</v>
      </c>
      <c r="G1131" s="67">
        <v>2E-3</v>
      </c>
      <c r="H1131" s="63"/>
    </row>
    <row r="1132" spans="1:8" x14ac:dyDescent="0.25">
      <c r="A1132" s="63"/>
      <c r="B1132" s="63">
        <v>6</v>
      </c>
      <c r="C1132" s="63" t="s">
        <v>3672</v>
      </c>
      <c r="D1132" s="63" t="s">
        <v>62</v>
      </c>
      <c r="E1132" s="66">
        <v>39.013187474230911</v>
      </c>
      <c r="F1132" s="67">
        <v>3.0000000000000001E-3</v>
      </c>
      <c r="G1132" s="67">
        <v>2E-3</v>
      </c>
      <c r="H1132" s="63"/>
    </row>
    <row r="1133" spans="1:8" x14ac:dyDescent="0.25">
      <c r="A1133" s="63"/>
      <c r="B1133" s="63">
        <v>7</v>
      </c>
      <c r="C1133" s="63" t="s">
        <v>3672</v>
      </c>
      <c r="D1133" s="63" t="s">
        <v>62</v>
      </c>
      <c r="E1133" s="66">
        <v>42.452173954636635</v>
      </c>
      <c r="F1133" s="67">
        <v>3.0000000000000001E-3</v>
      </c>
      <c r="G1133" s="67">
        <v>2E-3</v>
      </c>
      <c r="H1133" s="63"/>
    </row>
    <row r="1134" spans="1:8" x14ac:dyDescent="0.25">
      <c r="A1134" s="63"/>
      <c r="B1134" s="63">
        <v>8</v>
      </c>
      <c r="C1134" s="63" t="s">
        <v>3672</v>
      </c>
      <c r="D1134" s="63" t="s">
        <v>62</v>
      </c>
      <c r="E1134" s="66">
        <v>47.478364248265585</v>
      </c>
      <c r="F1134" s="67">
        <v>3.0000000000000001E-3</v>
      </c>
      <c r="G1134" s="67">
        <v>2E-3</v>
      </c>
      <c r="H1134" s="63"/>
    </row>
    <row r="1135" spans="1:8" x14ac:dyDescent="0.25">
      <c r="A1135" s="63"/>
      <c r="B1135" s="63">
        <v>9</v>
      </c>
      <c r="C1135" s="63" t="s">
        <v>3672</v>
      </c>
      <c r="D1135" s="63" t="s">
        <v>62</v>
      </c>
      <c r="E1135" s="66">
        <v>50.815992158664379</v>
      </c>
      <c r="F1135" s="67">
        <v>3.0000000000000001E-3</v>
      </c>
      <c r="G1135" s="67">
        <v>2E-3</v>
      </c>
      <c r="H1135" s="63"/>
    </row>
    <row r="1136" spans="1:8" x14ac:dyDescent="0.25">
      <c r="A1136" s="63"/>
      <c r="B1136" s="63">
        <v>10</v>
      </c>
      <c r="C1136" s="63" t="s">
        <v>3672</v>
      </c>
      <c r="D1136" s="63" t="s">
        <v>62</v>
      </c>
      <c r="E1136" s="66">
        <v>54.045500821302042</v>
      </c>
      <c r="F1136" s="67">
        <v>3.0000000000000001E-3</v>
      </c>
      <c r="G1136" s="67">
        <v>2E-3</v>
      </c>
      <c r="H1136" s="63"/>
    </row>
    <row r="1137" spans="1:8" x14ac:dyDescent="0.25">
      <c r="A1137" s="63"/>
      <c r="B1137" s="63">
        <v>11</v>
      </c>
      <c r="C1137" s="63" t="s">
        <v>3672</v>
      </c>
      <c r="D1137" s="63" t="s">
        <v>62</v>
      </c>
      <c r="E1137" s="66"/>
      <c r="F1137" s="67">
        <v>3.0000000000000001E-3</v>
      </c>
      <c r="G1137" s="67">
        <v>2E-3</v>
      </c>
      <c r="H1137" s="63"/>
    </row>
    <row r="1138" spans="1:8" x14ac:dyDescent="0.25">
      <c r="A1138" s="63"/>
      <c r="B1138" s="63">
        <v>12</v>
      </c>
      <c r="C1138" s="63" t="s">
        <v>3672</v>
      </c>
      <c r="D1138" s="63" t="s">
        <v>62</v>
      </c>
      <c r="E1138" s="66"/>
      <c r="F1138" s="67">
        <v>3.0000000000000001E-3</v>
      </c>
      <c r="G1138" s="67">
        <v>2E-3</v>
      </c>
      <c r="H1138" s="63"/>
    </row>
    <row r="1139" spans="1:8" x14ac:dyDescent="0.25">
      <c r="A1139" s="63"/>
      <c r="B1139" s="63">
        <v>13</v>
      </c>
      <c r="C1139" s="63" t="s">
        <v>3672</v>
      </c>
      <c r="D1139" s="63" t="s">
        <v>62</v>
      </c>
      <c r="E1139" s="66"/>
      <c r="F1139" s="67">
        <v>3.0000000000000001E-3</v>
      </c>
      <c r="G1139" s="67">
        <v>2E-3</v>
      </c>
      <c r="H1139" s="63"/>
    </row>
    <row r="1140" spans="1:8" x14ac:dyDescent="0.25">
      <c r="A1140" s="63"/>
      <c r="B1140" s="63">
        <v>14</v>
      </c>
      <c r="C1140" s="63" t="s">
        <v>3672</v>
      </c>
      <c r="D1140" s="63" t="s">
        <v>62</v>
      </c>
      <c r="E1140" s="66"/>
      <c r="F1140" s="67">
        <v>3.0000000000000001E-3</v>
      </c>
      <c r="G1140" s="67">
        <v>2E-3</v>
      </c>
      <c r="H1140" s="63"/>
    </row>
    <row r="1141" spans="1:8" x14ac:dyDescent="0.25">
      <c r="A1141" s="63"/>
      <c r="B1141" s="63">
        <v>15</v>
      </c>
      <c r="C1141" s="63" t="s">
        <v>3672</v>
      </c>
      <c r="D1141" s="63" t="s">
        <v>62</v>
      </c>
      <c r="E1141" s="66"/>
      <c r="F1141" s="67">
        <v>3.0000000000000001E-3</v>
      </c>
      <c r="G1141" s="67">
        <v>2E-3</v>
      </c>
      <c r="H1141" s="63"/>
    </row>
    <row r="1142" spans="1:8" x14ac:dyDescent="0.25">
      <c r="A1142" s="63"/>
      <c r="B1142" s="63">
        <v>16</v>
      </c>
      <c r="C1142" s="63" t="s">
        <v>3672</v>
      </c>
      <c r="D1142" s="63" t="s">
        <v>62</v>
      </c>
      <c r="E1142" s="66"/>
      <c r="F1142" s="67">
        <v>3.0000000000000001E-3</v>
      </c>
      <c r="G1142" s="67">
        <v>2E-3</v>
      </c>
      <c r="H1142" s="63"/>
    </row>
    <row r="1143" spans="1:8" x14ac:dyDescent="0.25">
      <c r="A1143" s="63"/>
      <c r="B1143" s="63">
        <v>17</v>
      </c>
      <c r="C1143" s="63" t="s">
        <v>3672</v>
      </c>
      <c r="D1143" s="63" t="s">
        <v>62</v>
      </c>
      <c r="E1143" s="66"/>
      <c r="F1143" s="67">
        <v>3.0000000000000001E-3</v>
      </c>
      <c r="G1143" s="67">
        <v>2E-3</v>
      </c>
      <c r="H1143" s="63"/>
    </row>
    <row r="1144" spans="1:8" x14ac:dyDescent="0.25">
      <c r="A1144" s="63"/>
      <c r="B1144" s="63">
        <v>18</v>
      </c>
      <c r="C1144" s="63" t="s">
        <v>3672</v>
      </c>
      <c r="D1144" s="63" t="s">
        <v>62</v>
      </c>
      <c r="E1144" s="66"/>
      <c r="F1144" s="67">
        <v>3.0000000000000001E-3</v>
      </c>
      <c r="G1144" s="67">
        <v>2E-3</v>
      </c>
      <c r="H1144" s="63"/>
    </row>
    <row r="1145" spans="1:8" x14ac:dyDescent="0.25">
      <c r="A1145" s="63"/>
      <c r="B1145" s="63">
        <v>19</v>
      </c>
      <c r="C1145" s="63" t="s">
        <v>3672</v>
      </c>
      <c r="D1145" s="63" t="s">
        <v>62</v>
      </c>
      <c r="E1145" s="66"/>
      <c r="F1145" s="67">
        <v>3.0000000000000001E-3</v>
      </c>
      <c r="G1145" s="67">
        <v>2E-3</v>
      </c>
      <c r="H1145" s="63"/>
    </row>
    <row r="1146" spans="1:8" x14ac:dyDescent="0.25">
      <c r="A1146" s="63"/>
      <c r="B1146" s="63">
        <v>20</v>
      </c>
      <c r="C1146" s="63" t="s">
        <v>3672</v>
      </c>
      <c r="D1146" s="63" t="s">
        <v>62</v>
      </c>
      <c r="E1146" s="66"/>
      <c r="F1146" s="67">
        <v>3.0000000000000001E-3</v>
      </c>
      <c r="G1146" s="67">
        <v>2E-3</v>
      </c>
      <c r="H1146" s="63"/>
    </row>
    <row r="1147" spans="1:8" x14ac:dyDescent="0.25">
      <c r="A1147" s="63"/>
      <c r="B1147" s="63">
        <v>21</v>
      </c>
      <c r="C1147" s="63" t="s">
        <v>3672</v>
      </c>
      <c r="D1147" s="63" t="s">
        <v>62</v>
      </c>
      <c r="E1147" s="66"/>
      <c r="F1147" s="67">
        <v>3.0000000000000001E-3</v>
      </c>
      <c r="G1147" s="67">
        <v>2E-3</v>
      </c>
      <c r="H1147" s="63"/>
    </row>
    <row r="1148" spans="1:8" x14ac:dyDescent="0.25">
      <c r="A1148" s="63"/>
      <c r="B1148" s="63">
        <v>22</v>
      </c>
      <c r="C1148" s="63" t="s">
        <v>3672</v>
      </c>
      <c r="D1148" s="63" t="s">
        <v>62</v>
      </c>
      <c r="E1148" s="66"/>
      <c r="F1148" s="67">
        <v>3.0000000000000001E-3</v>
      </c>
      <c r="G1148" s="67">
        <v>2E-3</v>
      </c>
      <c r="H1148" s="63"/>
    </row>
    <row r="1149" spans="1:8" x14ac:dyDescent="0.25">
      <c r="A1149" s="63"/>
      <c r="B1149" s="63">
        <v>23</v>
      </c>
      <c r="C1149" s="63" t="s">
        <v>3672</v>
      </c>
      <c r="D1149" s="63" t="s">
        <v>62</v>
      </c>
      <c r="E1149" s="66"/>
      <c r="F1149" s="67">
        <v>3.0000000000000001E-3</v>
      </c>
      <c r="G1149" s="67">
        <v>2E-3</v>
      </c>
      <c r="H1149" s="63"/>
    </row>
    <row r="1150" spans="1:8" x14ac:dyDescent="0.25">
      <c r="A1150" s="63"/>
      <c r="B1150" s="63">
        <v>24</v>
      </c>
      <c r="C1150" s="63" t="s">
        <v>3672</v>
      </c>
      <c r="D1150" s="63" t="s">
        <v>62</v>
      </c>
      <c r="E1150" s="66"/>
      <c r="F1150" s="67">
        <v>3.0000000000000001E-3</v>
      </c>
      <c r="G1150" s="67">
        <v>2E-3</v>
      </c>
      <c r="H1150" s="63"/>
    </row>
    <row r="1151" spans="1:8" x14ac:dyDescent="0.25">
      <c r="A1151" s="63"/>
      <c r="B1151" s="63">
        <v>25</v>
      </c>
      <c r="C1151" s="63" t="s">
        <v>3672</v>
      </c>
      <c r="D1151" s="63" t="s">
        <v>62</v>
      </c>
      <c r="E1151" s="66"/>
      <c r="F1151" s="67">
        <v>3.0000000000000001E-3</v>
      </c>
      <c r="G1151" s="67">
        <v>2E-3</v>
      </c>
      <c r="H1151" s="63"/>
    </row>
    <row r="1152" spans="1:8" x14ac:dyDescent="0.25">
      <c r="A1152" s="63"/>
      <c r="B1152" s="63">
        <v>26</v>
      </c>
      <c r="C1152" s="63" t="s">
        <v>3672</v>
      </c>
      <c r="D1152" s="63" t="s">
        <v>62</v>
      </c>
      <c r="E1152" s="66"/>
      <c r="F1152" s="67">
        <v>3.0000000000000001E-3</v>
      </c>
      <c r="G1152" s="67">
        <v>2E-3</v>
      </c>
      <c r="H1152" s="63"/>
    </row>
    <row r="1153" spans="1:8" x14ac:dyDescent="0.25">
      <c r="A1153" s="63"/>
      <c r="B1153" s="63">
        <v>27</v>
      </c>
      <c r="C1153" s="63" t="s">
        <v>3672</v>
      </c>
      <c r="D1153" s="63" t="s">
        <v>62</v>
      </c>
      <c r="E1153" s="66"/>
      <c r="F1153" s="67">
        <v>3.0000000000000001E-3</v>
      </c>
      <c r="G1153" s="67">
        <v>2E-3</v>
      </c>
      <c r="H1153" s="63"/>
    </row>
    <row r="1154" spans="1:8" x14ac:dyDescent="0.25">
      <c r="A1154" s="63"/>
      <c r="B1154" s="63">
        <v>28</v>
      </c>
      <c r="C1154" s="63" t="s">
        <v>3672</v>
      </c>
      <c r="D1154" s="63" t="s">
        <v>62</v>
      </c>
      <c r="E1154" s="66"/>
      <c r="F1154" s="67">
        <v>3.0000000000000001E-3</v>
      </c>
      <c r="G1154" s="67">
        <v>2E-3</v>
      </c>
      <c r="H1154" s="63"/>
    </row>
    <row r="1155" spans="1:8" x14ac:dyDescent="0.25">
      <c r="A1155" s="63"/>
      <c r="B1155" s="63">
        <v>29</v>
      </c>
      <c r="C1155" s="63" t="s">
        <v>3672</v>
      </c>
      <c r="D1155" s="63" t="s">
        <v>62</v>
      </c>
      <c r="E1155" s="66"/>
      <c r="F1155" s="67">
        <v>3.0000000000000001E-3</v>
      </c>
      <c r="G1155" s="67">
        <v>2E-3</v>
      </c>
      <c r="H1155" s="63"/>
    </row>
    <row r="1156" spans="1:8" x14ac:dyDescent="0.25">
      <c r="A1156" s="63"/>
      <c r="B1156" s="63">
        <v>30</v>
      </c>
      <c r="C1156" s="63" t="s">
        <v>3672</v>
      </c>
      <c r="D1156" s="63" t="s">
        <v>62</v>
      </c>
      <c r="E1156" s="66"/>
      <c r="F1156" s="67">
        <v>3.0000000000000001E-3</v>
      </c>
      <c r="G1156" s="67">
        <v>2E-3</v>
      </c>
      <c r="H1156" s="63"/>
    </row>
    <row r="1157" spans="1:8" x14ac:dyDescent="0.25">
      <c r="A1157" s="63"/>
      <c r="B1157" s="63">
        <v>0</v>
      </c>
      <c r="C1157" s="63" t="s">
        <v>3672</v>
      </c>
      <c r="D1157" s="63" t="s">
        <v>62</v>
      </c>
      <c r="E1157" s="66">
        <v>3.0428788910505911</v>
      </c>
      <c r="F1157" s="67">
        <v>3.0000000000000001E-3</v>
      </c>
      <c r="G1157" s="67">
        <v>2E-3</v>
      </c>
      <c r="H1157" s="63"/>
    </row>
    <row r="1158" spans="1:8" x14ac:dyDescent="0.25">
      <c r="A1158" s="63"/>
      <c r="B1158" s="63">
        <v>0.25</v>
      </c>
      <c r="C1158" s="63" t="s">
        <v>3672</v>
      </c>
      <c r="D1158" s="63" t="s">
        <v>64</v>
      </c>
      <c r="E1158" s="66">
        <v>24.12918157169327</v>
      </c>
      <c r="F1158" s="67">
        <v>3.0000000000000001E-3</v>
      </c>
      <c r="G1158" s="67">
        <v>2E-3</v>
      </c>
      <c r="H1158" s="63"/>
    </row>
    <row r="1159" spans="1:8" x14ac:dyDescent="0.25">
      <c r="A1159" s="63"/>
      <c r="B1159" s="63">
        <v>0.5</v>
      </c>
      <c r="C1159" s="63" t="s">
        <v>3672</v>
      </c>
      <c r="D1159" s="63" t="s">
        <v>64</v>
      </c>
      <c r="E1159" s="66">
        <v>25.337926603196635</v>
      </c>
      <c r="F1159" s="67">
        <v>3.0000000000000001E-3</v>
      </c>
      <c r="G1159" s="67">
        <v>2E-3</v>
      </c>
      <c r="H1159" s="63"/>
    </row>
    <row r="1160" spans="1:8" x14ac:dyDescent="0.25">
      <c r="A1160" s="63"/>
      <c r="B1160" s="63">
        <v>0.75</v>
      </c>
      <c r="C1160" s="63" t="s">
        <v>3672</v>
      </c>
      <c r="D1160" s="63" t="s">
        <v>64</v>
      </c>
      <c r="E1160" s="66">
        <v>26.739125453822282</v>
      </c>
      <c r="F1160" s="67">
        <v>3.0000000000000001E-3</v>
      </c>
      <c r="G1160" s="67">
        <v>2E-3</v>
      </c>
      <c r="H1160" s="63"/>
    </row>
    <row r="1161" spans="1:8" x14ac:dyDescent="0.25">
      <c r="A1161" s="63"/>
      <c r="B1161" s="63">
        <v>1</v>
      </c>
      <c r="C1161" s="63" t="s">
        <v>3672</v>
      </c>
      <c r="D1161" s="63" t="s">
        <v>64</v>
      </c>
      <c r="E1161" s="66">
        <v>27.918529456871191</v>
      </c>
      <c r="F1161" s="67">
        <v>3.0000000000000001E-3</v>
      </c>
      <c r="G1161" s="67">
        <v>2E-3</v>
      </c>
      <c r="H1161" s="63"/>
    </row>
    <row r="1162" spans="1:8" x14ac:dyDescent="0.25">
      <c r="A1162" s="63"/>
      <c r="B1162" s="63">
        <v>2</v>
      </c>
      <c r="C1162" s="63" t="s">
        <v>3672</v>
      </c>
      <c r="D1162" s="63" t="s">
        <v>64</v>
      </c>
      <c r="E1162" s="66">
        <v>29.567239706252465</v>
      </c>
      <c r="F1162" s="67">
        <v>3.0000000000000001E-3</v>
      </c>
      <c r="G1162" s="67">
        <v>2E-3</v>
      </c>
      <c r="H1162" s="63"/>
    </row>
    <row r="1163" spans="1:8" x14ac:dyDescent="0.25">
      <c r="A1163" s="63"/>
      <c r="B1163" s="63">
        <v>3</v>
      </c>
      <c r="C1163" s="63" t="s">
        <v>3672</v>
      </c>
      <c r="D1163" s="63" t="s">
        <v>64</v>
      </c>
      <c r="E1163" s="66">
        <v>32.768324265753506</v>
      </c>
      <c r="F1163" s="67">
        <v>3.0000000000000001E-3</v>
      </c>
      <c r="G1163" s="67">
        <v>2E-3</v>
      </c>
      <c r="H1163" s="63"/>
    </row>
    <row r="1164" spans="1:8" x14ac:dyDescent="0.25">
      <c r="A1164" s="63"/>
      <c r="B1164" s="63">
        <v>4</v>
      </c>
      <c r="C1164" s="63" t="s">
        <v>3672</v>
      </c>
      <c r="D1164" s="63" t="s">
        <v>64</v>
      </c>
      <c r="E1164" s="66">
        <v>36.06659911693589</v>
      </c>
      <c r="F1164" s="67">
        <v>3.0000000000000001E-3</v>
      </c>
      <c r="G1164" s="67">
        <v>2E-3</v>
      </c>
      <c r="H1164" s="63"/>
    </row>
    <row r="1165" spans="1:8" x14ac:dyDescent="0.25">
      <c r="A1165" s="63"/>
      <c r="B1165" s="63">
        <v>5</v>
      </c>
      <c r="C1165" s="63" t="s">
        <v>3672</v>
      </c>
      <c r="D1165" s="63" t="s">
        <v>64</v>
      </c>
      <c r="E1165" s="66">
        <v>39.471783288967806</v>
      </c>
      <c r="F1165" s="67">
        <v>3.0000000000000001E-3</v>
      </c>
      <c r="G1165" s="67">
        <v>2E-3</v>
      </c>
      <c r="H1165" s="63"/>
    </row>
    <row r="1166" spans="1:8" x14ac:dyDescent="0.25">
      <c r="A1166" s="63"/>
      <c r="B1166" s="63">
        <v>6</v>
      </c>
      <c r="C1166" s="63" t="s">
        <v>3672</v>
      </c>
      <c r="D1166" s="63" t="s">
        <v>64</v>
      </c>
      <c r="E1166" s="66">
        <v>44.89371961968488</v>
      </c>
      <c r="F1166" s="67">
        <v>3.0000000000000001E-3</v>
      </c>
      <c r="G1166" s="67">
        <v>2E-3</v>
      </c>
      <c r="H1166" s="63"/>
    </row>
    <row r="1167" spans="1:8" x14ac:dyDescent="0.25">
      <c r="A1167" s="63"/>
      <c r="B1167" s="63">
        <v>7</v>
      </c>
      <c r="C1167" s="63" t="s">
        <v>3672</v>
      </c>
      <c r="D1167" s="63" t="s">
        <v>64</v>
      </c>
      <c r="E1167" s="66">
        <v>47.788360826374728</v>
      </c>
      <c r="F1167" s="67">
        <v>3.0000000000000001E-3</v>
      </c>
      <c r="G1167" s="67">
        <v>2E-3</v>
      </c>
      <c r="H1167" s="63"/>
    </row>
    <row r="1168" spans="1:8" x14ac:dyDescent="0.25">
      <c r="A1168" s="63"/>
      <c r="B1168" s="63">
        <v>8</v>
      </c>
      <c r="C1168" s="63" t="s">
        <v>3672</v>
      </c>
      <c r="D1168" s="63" t="s">
        <v>64</v>
      </c>
      <c r="E1168" s="66">
        <v>50.811128677055613</v>
      </c>
      <c r="F1168" s="67">
        <v>3.0000000000000001E-3</v>
      </c>
      <c r="G1168" s="67">
        <v>2E-3</v>
      </c>
      <c r="H1168" s="63"/>
    </row>
    <row r="1169" spans="1:8" x14ac:dyDescent="0.25">
      <c r="A1169" s="63"/>
      <c r="B1169" s="63">
        <v>9</v>
      </c>
      <c r="C1169" s="63" t="s">
        <v>3672</v>
      </c>
      <c r="D1169" s="63" t="s">
        <v>64</v>
      </c>
      <c r="E1169" s="66">
        <v>54.808386973888702</v>
      </c>
      <c r="F1169" s="67">
        <v>3.0000000000000001E-3</v>
      </c>
      <c r="G1169" s="67">
        <v>2E-3</v>
      </c>
      <c r="H1169" s="63"/>
    </row>
    <row r="1170" spans="1:8" x14ac:dyDescent="0.25">
      <c r="A1170" s="63"/>
      <c r="B1170" s="63">
        <v>10</v>
      </c>
      <c r="C1170" s="63" t="s">
        <v>3672</v>
      </c>
      <c r="D1170" s="63" t="s">
        <v>64</v>
      </c>
      <c r="E1170" s="66">
        <v>57.901475997525047</v>
      </c>
      <c r="F1170" s="67">
        <v>3.0000000000000001E-3</v>
      </c>
      <c r="G1170" s="67">
        <v>2E-3</v>
      </c>
      <c r="H1170" s="63"/>
    </row>
    <row r="1171" spans="1:8" x14ac:dyDescent="0.25">
      <c r="A1171" s="63"/>
      <c r="B1171" s="63">
        <v>11</v>
      </c>
      <c r="C1171" s="63" t="s">
        <v>3672</v>
      </c>
      <c r="D1171" s="63" t="s">
        <v>64</v>
      </c>
      <c r="E1171" s="66"/>
      <c r="F1171" s="67">
        <v>3.0000000000000001E-3</v>
      </c>
      <c r="G1171" s="67">
        <v>2E-3</v>
      </c>
      <c r="H1171" s="63"/>
    </row>
    <row r="1172" spans="1:8" x14ac:dyDescent="0.25">
      <c r="A1172" s="63"/>
      <c r="B1172" s="63">
        <v>12</v>
      </c>
      <c r="C1172" s="63" t="s">
        <v>3672</v>
      </c>
      <c r="D1172" s="63" t="s">
        <v>64</v>
      </c>
      <c r="E1172" s="66"/>
      <c r="F1172" s="67">
        <v>3.0000000000000001E-3</v>
      </c>
      <c r="G1172" s="67">
        <v>2E-3</v>
      </c>
      <c r="H1172" s="63"/>
    </row>
    <row r="1173" spans="1:8" x14ac:dyDescent="0.25">
      <c r="A1173" s="63"/>
      <c r="B1173" s="63">
        <v>13</v>
      </c>
      <c r="C1173" s="63" t="s">
        <v>3672</v>
      </c>
      <c r="D1173" s="63" t="s">
        <v>64</v>
      </c>
      <c r="E1173" s="66"/>
      <c r="F1173" s="67">
        <v>3.0000000000000001E-3</v>
      </c>
      <c r="G1173" s="67">
        <v>2E-3</v>
      </c>
      <c r="H1173" s="63"/>
    </row>
    <row r="1174" spans="1:8" x14ac:dyDescent="0.25">
      <c r="A1174" s="63"/>
      <c r="B1174" s="63">
        <v>14</v>
      </c>
      <c r="C1174" s="63" t="s">
        <v>3672</v>
      </c>
      <c r="D1174" s="63" t="s">
        <v>64</v>
      </c>
      <c r="E1174" s="66"/>
      <c r="F1174" s="67">
        <v>3.0000000000000001E-3</v>
      </c>
      <c r="G1174" s="67">
        <v>2E-3</v>
      </c>
      <c r="H1174" s="63"/>
    </row>
    <row r="1175" spans="1:8" x14ac:dyDescent="0.25">
      <c r="A1175" s="63"/>
      <c r="B1175" s="63">
        <v>15</v>
      </c>
      <c r="C1175" s="63" t="s">
        <v>3672</v>
      </c>
      <c r="D1175" s="63" t="s">
        <v>64</v>
      </c>
      <c r="E1175" s="66"/>
      <c r="F1175" s="67">
        <v>3.0000000000000001E-3</v>
      </c>
      <c r="G1175" s="67">
        <v>2E-3</v>
      </c>
      <c r="H1175" s="63"/>
    </row>
    <row r="1176" spans="1:8" x14ac:dyDescent="0.25">
      <c r="A1176" s="63"/>
      <c r="B1176" s="63">
        <v>16</v>
      </c>
      <c r="C1176" s="63" t="s">
        <v>3672</v>
      </c>
      <c r="D1176" s="63" t="s">
        <v>64</v>
      </c>
      <c r="E1176" s="66"/>
      <c r="F1176" s="67">
        <v>3.0000000000000001E-3</v>
      </c>
      <c r="G1176" s="67">
        <v>2E-3</v>
      </c>
      <c r="H1176" s="63"/>
    </row>
    <row r="1177" spans="1:8" x14ac:dyDescent="0.25">
      <c r="A1177" s="63"/>
      <c r="B1177" s="63">
        <v>17</v>
      </c>
      <c r="C1177" s="63" t="s">
        <v>3672</v>
      </c>
      <c r="D1177" s="63" t="s">
        <v>64</v>
      </c>
      <c r="E1177" s="66"/>
      <c r="F1177" s="67">
        <v>3.0000000000000001E-3</v>
      </c>
      <c r="G1177" s="67">
        <v>2E-3</v>
      </c>
      <c r="H1177" s="63"/>
    </row>
    <row r="1178" spans="1:8" x14ac:dyDescent="0.25">
      <c r="A1178" s="63"/>
      <c r="B1178" s="63">
        <v>18</v>
      </c>
      <c r="C1178" s="63" t="s">
        <v>3672</v>
      </c>
      <c r="D1178" s="63" t="s">
        <v>64</v>
      </c>
      <c r="E1178" s="66"/>
      <c r="F1178" s="67">
        <v>3.0000000000000001E-3</v>
      </c>
      <c r="G1178" s="67">
        <v>2E-3</v>
      </c>
      <c r="H1178" s="63"/>
    </row>
    <row r="1179" spans="1:8" x14ac:dyDescent="0.25">
      <c r="A1179" s="63"/>
      <c r="B1179" s="63">
        <v>19</v>
      </c>
      <c r="C1179" s="63" t="s">
        <v>3672</v>
      </c>
      <c r="D1179" s="63" t="s">
        <v>64</v>
      </c>
      <c r="E1179" s="66"/>
      <c r="F1179" s="67">
        <v>3.0000000000000001E-3</v>
      </c>
      <c r="G1179" s="67">
        <v>2E-3</v>
      </c>
      <c r="H1179" s="63"/>
    </row>
    <row r="1180" spans="1:8" x14ac:dyDescent="0.25">
      <c r="A1180" s="63"/>
      <c r="B1180" s="63">
        <v>20</v>
      </c>
      <c r="C1180" s="63" t="s">
        <v>3672</v>
      </c>
      <c r="D1180" s="63" t="s">
        <v>64</v>
      </c>
      <c r="E1180" s="66"/>
      <c r="F1180" s="67">
        <v>3.0000000000000001E-3</v>
      </c>
      <c r="G1180" s="67">
        <v>2E-3</v>
      </c>
      <c r="H1180" s="63"/>
    </row>
    <row r="1181" spans="1:8" x14ac:dyDescent="0.25">
      <c r="A1181" s="63"/>
      <c r="B1181" s="63">
        <v>21</v>
      </c>
      <c r="C1181" s="63" t="s">
        <v>3672</v>
      </c>
      <c r="D1181" s="63" t="s">
        <v>64</v>
      </c>
      <c r="E1181" s="66"/>
      <c r="F1181" s="67">
        <v>3.0000000000000001E-3</v>
      </c>
      <c r="G1181" s="67">
        <v>2E-3</v>
      </c>
      <c r="H1181" s="63"/>
    </row>
    <row r="1182" spans="1:8" x14ac:dyDescent="0.25">
      <c r="A1182" s="63"/>
      <c r="B1182" s="63">
        <v>22</v>
      </c>
      <c r="C1182" s="63" t="s">
        <v>3672</v>
      </c>
      <c r="D1182" s="63" t="s">
        <v>64</v>
      </c>
      <c r="E1182" s="66"/>
      <c r="F1182" s="67">
        <v>3.0000000000000001E-3</v>
      </c>
      <c r="G1182" s="67">
        <v>2E-3</v>
      </c>
      <c r="H1182" s="63"/>
    </row>
    <row r="1183" spans="1:8" x14ac:dyDescent="0.25">
      <c r="A1183" s="63"/>
      <c r="B1183" s="63">
        <v>23</v>
      </c>
      <c r="C1183" s="63" t="s">
        <v>3672</v>
      </c>
      <c r="D1183" s="63" t="s">
        <v>64</v>
      </c>
      <c r="E1183" s="66"/>
      <c r="F1183" s="67">
        <v>3.0000000000000001E-3</v>
      </c>
      <c r="G1183" s="67">
        <v>2E-3</v>
      </c>
      <c r="H1183" s="63"/>
    </row>
    <row r="1184" spans="1:8" x14ac:dyDescent="0.25">
      <c r="A1184" s="63"/>
      <c r="B1184" s="63">
        <v>24</v>
      </c>
      <c r="C1184" s="63" t="s">
        <v>3672</v>
      </c>
      <c r="D1184" s="63" t="s">
        <v>64</v>
      </c>
      <c r="E1184" s="66"/>
      <c r="F1184" s="67">
        <v>3.0000000000000001E-3</v>
      </c>
      <c r="G1184" s="67">
        <v>2E-3</v>
      </c>
      <c r="H1184" s="63"/>
    </row>
    <row r="1185" spans="1:8" x14ac:dyDescent="0.25">
      <c r="A1185" s="63"/>
      <c r="B1185" s="63">
        <v>25</v>
      </c>
      <c r="C1185" s="63" t="s">
        <v>3672</v>
      </c>
      <c r="D1185" s="63" t="s">
        <v>64</v>
      </c>
      <c r="E1185" s="66"/>
      <c r="F1185" s="67">
        <v>3.0000000000000001E-3</v>
      </c>
      <c r="G1185" s="67">
        <v>2E-3</v>
      </c>
      <c r="H1185" s="63"/>
    </row>
    <row r="1186" spans="1:8" x14ac:dyDescent="0.25">
      <c r="A1186" s="63"/>
      <c r="B1186" s="63">
        <v>26</v>
      </c>
      <c r="C1186" s="63" t="s">
        <v>3672</v>
      </c>
      <c r="D1186" s="63" t="s">
        <v>64</v>
      </c>
      <c r="E1186" s="66"/>
      <c r="F1186" s="67">
        <v>3.0000000000000001E-3</v>
      </c>
      <c r="G1186" s="67">
        <v>2E-3</v>
      </c>
      <c r="H1186" s="63"/>
    </row>
    <row r="1187" spans="1:8" x14ac:dyDescent="0.25">
      <c r="A1187" s="63"/>
      <c r="B1187" s="63">
        <v>27</v>
      </c>
      <c r="C1187" s="63" t="s">
        <v>3672</v>
      </c>
      <c r="D1187" s="63" t="s">
        <v>64</v>
      </c>
      <c r="E1187" s="66"/>
      <c r="F1187" s="67">
        <v>3.0000000000000001E-3</v>
      </c>
      <c r="G1187" s="67">
        <v>2E-3</v>
      </c>
      <c r="H1187" s="63"/>
    </row>
    <row r="1188" spans="1:8" x14ac:dyDescent="0.25">
      <c r="A1188" s="63"/>
      <c r="B1188" s="63">
        <v>28</v>
      </c>
      <c r="C1188" s="63" t="s">
        <v>3672</v>
      </c>
      <c r="D1188" s="63" t="s">
        <v>64</v>
      </c>
      <c r="E1188" s="66"/>
      <c r="F1188" s="67">
        <v>3.0000000000000001E-3</v>
      </c>
      <c r="G1188" s="67">
        <v>2E-3</v>
      </c>
      <c r="H1188" s="63"/>
    </row>
    <row r="1189" spans="1:8" x14ac:dyDescent="0.25">
      <c r="A1189" s="63"/>
      <c r="B1189" s="63">
        <v>29</v>
      </c>
      <c r="C1189" s="63" t="s">
        <v>3672</v>
      </c>
      <c r="D1189" s="63" t="s">
        <v>64</v>
      </c>
      <c r="E1189" s="66"/>
      <c r="F1189" s="67">
        <v>3.0000000000000001E-3</v>
      </c>
      <c r="G1189" s="67">
        <v>2E-3</v>
      </c>
      <c r="H1189" s="63"/>
    </row>
    <row r="1190" spans="1:8" x14ac:dyDescent="0.25">
      <c r="A1190" s="63"/>
      <c r="B1190" s="63">
        <v>30</v>
      </c>
      <c r="C1190" s="63" t="s">
        <v>3672</v>
      </c>
      <c r="D1190" s="63" t="s">
        <v>64</v>
      </c>
      <c r="E1190" s="66"/>
      <c r="F1190" s="67">
        <v>3.0000000000000001E-3</v>
      </c>
      <c r="G1190" s="67">
        <v>2E-3</v>
      </c>
      <c r="H1190" s="63"/>
    </row>
    <row r="1191" spans="1:8" x14ac:dyDescent="0.25">
      <c r="A1191" s="63"/>
      <c r="B1191" s="63">
        <v>0</v>
      </c>
      <c r="C1191" s="63" t="s">
        <v>3672</v>
      </c>
      <c r="D1191" s="63" t="s">
        <v>64</v>
      </c>
      <c r="E1191" s="66">
        <v>3.0428788910505911</v>
      </c>
      <c r="F1191" s="67">
        <v>3.0000000000000001E-3</v>
      </c>
      <c r="G1191" s="67">
        <v>2E-3</v>
      </c>
      <c r="H1191" s="63"/>
    </row>
    <row r="1192" spans="1:8" x14ac:dyDescent="0.25">
      <c r="A1192" s="63"/>
      <c r="B1192" s="63">
        <v>0.25</v>
      </c>
      <c r="C1192" s="63" t="s">
        <v>3672</v>
      </c>
      <c r="D1192" s="63" t="s">
        <v>77</v>
      </c>
      <c r="E1192" s="66">
        <v>32.723188000882786</v>
      </c>
      <c r="F1192" s="67">
        <v>3.0000000000000001E-3</v>
      </c>
      <c r="G1192" s="67">
        <v>2E-3</v>
      </c>
      <c r="H1192" s="63"/>
    </row>
    <row r="1193" spans="1:8" x14ac:dyDescent="0.25">
      <c r="A1193" s="63"/>
      <c r="B1193" s="63">
        <v>0.5</v>
      </c>
      <c r="C1193" s="63" t="s">
        <v>3672</v>
      </c>
      <c r="D1193" s="63" t="s">
        <v>77</v>
      </c>
      <c r="E1193" s="66">
        <v>34.923583293759414</v>
      </c>
      <c r="F1193" s="67">
        <v>3.0000000000000001E-3</v>
      </c>
      <c r="G1193" s="67">
        <v>2E-3</v>
      </c>
      <c r="H1193" s="63"/>
    </row>
    <row r="1194" spans="1:8" x14ac:dyDescent="0.25">
      <c r="A1194" s="63"/>
      <c r="B1194" s="63">
        <v>0.75</v>
      </c>
      <c r="C1194" s="63" t="s">
        <v>3672</v>
      </c>
      <c r="D1194" s="63" t="s">
        <v>77</v>
      </c>
      <c r="E1194" s="66">
        <v>36.728040114713068</v>
      </c>
      <c r="F1194" s="67">
        <v>3.0000000000000001E-3</v>
      </c>
      <c r="G1194" s="67">
        <v>2E-3</v>
      </c>
      <c r="H1194" s="63"/>
    </row>
    <row r="1195" spans="1:8" x14ac:dyDescent="0.25">
      <c r="A1195" s="63"/>
      <c r="B1195" s="63">
        <v>1</v>
      </c>
      <c r="C1195" s="63" t="s">
        <v>3672</v>
      </c>
      <c r="D1195" s="63" t="s">
        <v>77</v>
      </c>
      <c r="E1195" s="66">
        <v>38.910918120801263</v>
      </c>
      <c r="F1195" s="67">
        <v>3.0000000000000001E-3</v>
      </c>
      <c r="G1195" s="67">
        <v>2E-3</v>
      </c>
      <c r="H1195" s="63"/>
    </row>
    <row r="1196" spans="1:8" x14ac:dyDescent="0.25">
      <c r="A1196" s="63"/>
      <c r="B1196" s="63">
        <v>2</v>
      </c>
      <c r="C1196" s="63" t="s">
        <v>3672</v>
      </c>
      <c r="D1196" s="63" t="s">
        <v>77</v>
      </c>
      <c r="E1196" s="66">
        <v>41.623141098986061</v>
      </c>
      <c r="F1196" s="67">
        <v>3.0000000000000001E-3</v>
      </c>
      <c r="G1196" s="67">
        <v>2E-3</v>
      </c>
      <c r="H1196" s="63"/>
    </row>
    <row r="1197" spans="1:8" x14ac:dyDescent="0.25">
      <c r="A1197" s="63"/>
      <c r="B1197" s="63">
        <v>3</v>
      </c>
      <c r="C1197" s="63" t="s">
        <v>3672</v>
      </c>
      <c r="D1197" s="63" t="s">
        <v>77</v>
      </c>
      <c r="E1197" s="66">
        <v>46.056966974302227</v>
      </c>
      <c r="F1197" s="67">
        <v>3.0000000000000001E-3</v>
      </c>
      <c r="G1197" s="67">
        <v>2E-3</v>
      </c>
      <c r="H1197" s="63"/>
    </row>
    <row r="1198" spans="1:8" x14ac:dyDescent="0.25">
      <c r="A1198" s="63"/>
      <c r="B1198" s="63">
        <v>4</v>
      </c>
      <c r="C1198" s="63" t="s">
        <v>3672</v>
      </c>
      <c r="D1198" s="63" t="s">
        <v>77</v>
      </c>
      <c r="E1198" s="66">
        <v>52.83914170974797</v>
      </c>
      <c r="F1198" s="67">
        <v>3.0000000000000001E-3</v>
      </c>
      <c r="G1198" s="67">
        <v>2E-3</v>
      </c>
      <c r="H1198" s="63"/>
    </row>
    <row r="1199" spans="1:8" x14ac:dyDescent="0.25">
      <c r="A1199" s="63"/>
      <c r="B1199" s="63">
        <v>5</v>
      </c>
      <c r="C1199" s="63" t="s">
        <v>3672</v>
      </c>
      <c r="D1199" s="63" t="s">
        <v>77</v>
      </c>
      <c r="E1199" s="66">
        <v>57.899193947765362</v>
      </c>
      <c r="F1199" s="67">
        <v>3.0000000000000001E-3</v>
      </c>
      <c r="G1199" s="67">
        <v>2E-3</v>
      </c>
      <c r="H1199" s="63"/>
    </row>
    <row r="1200" spans="1:8" x14ac:dyDescent="0.25">
      <c r="A1200" s="63"/>
      <c r="B1200" s="63">
        <v>6</v>
      </c>
      <c r="C1200" s="63" t="s">
        <v>3672</v>
      </c>
      <c r="D1200" s="63" t="s">
        <v>77</v>
      </c>
      <c r="E1200" s="66">
        <v>64.638315620775373</v>
      </c>
      <c r="F1200" s="67">
        <v>3.0000000000000001E-3</v>
      </c>
      <c r="G1200" s="67">
        <v>2E-3</v>
      </c>
      <c r="H1200" s="63"/>
    </row>
    <row r="1201" spans="1:8" x14ac:dyDescent="0.25">
      <c r="A1201" s="63"/>
      <c r="B1201" s="63">
        <v>7</v>
      </c>
      <c r="C1201" s="63" t="s">
        <v>3672</v>
      </c>
      <c r="D1201" s="63" t="s">
        <v>77</v>
      </c>
      <c r="E1201" s="66">
        <v>72.016775270955691</v>
      </c>
      <c r="F1201" s="67">
        <v>3.0000000000000001E-3</v>
      </c>
      <c r="G1201" s="67">
        <v>2E-3</v>
      </c>
      <c r="H1201" s="63"/>
    </row>
    <row r="1202" spans="1:8" x14ac:dyDescent="0.25">
      <c r="A1202" s="63"/>
      <c r="B1202" s="63">
        <v>8</v>
      </c>
      <c r="C1202" s="63" t="s">
        <v>3672</v>
      </c>
      <c r="D1202" s="63" t="s">
        <v>77</v>
      </c>
      <c r="E1202" s="66">
        <v>77.875741662061358</v>
      </c>
      <c r="F1202" s="67">
        <v>3.0000000000000001E-3</v>
      </c>
      <c r="G1202" s="67">
        <v>2E-3</v>
      </c>
      <c r="H1202" s="63"/>
    </row>
    <row r="1203" spans="1:8" x14ac:dyDescent="0.25">
      <c r="A1203" s="63"/>
      <c r="B1203" s="63">
        <v>9</v>
      </c>
      <c r="C1203" s="63" t="s">
        <v>3672</v>
      </c>
      <c r="D1203" s="63" t="s">
        <v>77</v>
      </c>
      <c r="E1203" s="66">
        <v>84.039096864097687</v>
      </c>
      <c r="F1203" s="67">
        <v>3.0000000000000001E-3</v>
      </c>
      <c r="G1203" s="67">
        <v>2E-3</v>
      </c>
      <c r="H1203" s="63"/>
    </row>
    <row r="1204" spans="1:8" x14ac:dyDescent="0.25">
      <c r="A1204" s="63"/>
      <c r="B1204" s="63">
        <v>10</v>
      </c>
      <c r="C1204" s="63" t="s">
        <v>3672</v>
      </c>
      <c r="D1204" s="63" t="s">
        <v>77</v>
      </c>
      <c r="E1204" s="66">
        <v>90.534235870048619</v>
      </c>
      <c r="F1204" s="67">
        <v>3.0000000000000001E-3</v>
      </c>
      <c r="G1204" s="67">
        <v>2E-3</v>
      </c>
      <c r="H1204" s="63"/>
    </row>
    <row r="1205" spans="1:8" x14ac:dyDescent="0.25">
      <c r="A1205" s="63"/>
      <c r="B1205" s="63">
        <v>11</v>
      </c>
      <c r="C1205" s="63" t="s">
        <v>3672</v>
      </c>
      <c r="D1205" s="63" t="s">
        <v>77</v>
      </c>
      <c r="E1205" s="66"/>
      <c r="F1205" s="67">
        <v>3.0000000000000001E-3</v>
      </c>
      <c r="G1205" s="67">
        <v>2E-3</v>
      </c>
      <c r="H1205" s="63"/>
    </row>
    <row r="1206" spans="1:8" x14ac:dyDescent="0.25">
      <c r="A1206" s="63"/>
      <c r="B1206" s="63">
        <v>12</v>
      </c>
      <c r="C1206" s="63" t="s">
        <v>3672</v>
      </c>
      <c r="D1206" s="63" t="s">
        <v>77</v>
      </c>
      <c r="E1206" s="66"/>
      <c r="F1206" s="67">
        <v>3.0000000000000001E-3</v>
      </c>
      <c r="G1206" s="67">
        <v>2E-3</v>
      </c>
      <c r="H1206" s="63"/>
    </row>
    <row r="1207" spans="1:8" x14ac:dyDescent="0.25">
      <c r="A1207" s="63"/>
      <c r="B1207" s="63">
        <v>13</v>
      </c>
      <c r="C1207" s="63" t="s">
        <v>3672</v>
      </c>
      <c r="D1207" s="63" t="s">
        <v>77</v>
      </c>
      <c r="E1207" s="66"/>
      <c r="F1207" s="67">
        <v>3.0000000000000001E-3</v>
      </c>
      <c r="G1207" s="67">
        <v>2E-3</v>
      </c>
      <c r="H1207" s="63"/>
    </row>
    <row r="1208" spans="1:8" x14ac:dyDescent="0.25">
      <c r="A1208" s="63"/>
      <c r="B1208" s="63">
        <v>14</v>
      </c>
      <c r="C1208" s="63" t="s">
        <v>3672</v>
      </c>
      <c r="D1208" s="63" t="s">
        <v>77</v>
      </c>
      <c r="E1208" s="66"/>
      <c r="F1208" s="67">
        <v>3.0000000000000001E-3</v>
      </c>
      <c r="G1208" s="67">
        <v>2E-3</v>
      </c>
      <c r="H1208" s="63"/>
    </row>
    <row r="1209" spans="1:8" x14ac:dyDescent="0.25">
      <c r="A1209" s="63"/>
      <c r="B1209" s="63">
        <v>15</v>
      </c>
      <c r="C1209" s="63" t="s">
        <v>3672</v>
      </c>
      <c r="D1209" s="63" t="s">
        <v>77</v>
      </c>
      <c r="E1209" s="66"/>
      <c r="F1209" s="67">
        <v>3.0000000000000001E-3</v>
      </c>
      <c r="G1209" s="67">
        <v>2E-3</v>
      </c>
      <c r="H1209" s="63"/>
    </row>
    <row r="1210" spans="1:8" x14ac:dyDescent="0.25">
      <c r="A1210" s="63"/>
      <c r="B1210" s="63">
        <v>16</v>
      </c>
      <c r="C1210" s="63" t="s">
        <v>3672</v>
      </c>
      <c r="D1210" s="63" t="s">
        <v>77</v>
      </c>
      <c r="E1210" s="66"/>
      <c r="F1210" s="67">
        <v>3.0000000000000001E-3</v>
      </c>
      <c r="G1210" s="67">
        <v>2E-3</v>
      </c>
      <c r="H1210" s="63"/>
    </row>
    <row r="1211" spans="1:8" x14ac:dyDescent="0.25">
      <c r="A1211" s="63"/>
      <c r="B1211" s="63">
        <v>17</v>
      </c>
      <c r="C1211" s="63" t="s">
        <v>3672</v>
      </c>
      <c r="D1211" s="63" t="s">
        <v>77</v>
      </c>
      <c r="E1211" s="66"/>
      <c r="F1211" s="67">
        <v>3.0000000000000001E-3</v>
      </c>
      <c r="G1211" s="67">
        <v>2E-3</v>
      </c>
      <c r="H1211" s="63"/>
    </row>
    <row r="1212" spans="1:8" x14ac:dyDescent="0.25">
      <c r="A1212" s="63"/>
      <c r="B1212" s="63">
        <v>18</v>
      </c>
      <c r="C1212" s="63" t="s">
        <v>3672</v>
      </c>
      <c r="D1212" s="63" t="s">
        <v>77</v>
      </c>
      <c r="E1212" s="66"/>
      <c r="F1212" s="67">
        <v>3.0000000000000001E-3</v>
      </c>
      <c r="G1212" s="67">
        <v>2E-3</v>
      </c>
      <c r="H1212" s="63"/>
    </row>
    <row r="1213" spans="1:8" x14ac:dyDescent="0.25">
      <c r="A1213" s="63"/>
      <c r="B1213" s="63">
        <v>19</v>
      </c>
      <c r="C1213" s="63" t="s">
        <v>3672</v>
      </c>
      <c r="D1213" s="63" t="s">
        <v>77</v>
      </c>
      <c r="E1213" s="66"/>
      <c r="F1213" s="67">
        <v>3.0000000000000001E-3</v>
      </c>
      <c r="G1213" s="67">
        <v>2E-3</v>
      </c>
      <c r="H1213" s="63"/>
    </row>
    <row r="1214" spans="1:8" x14ac:dyDescent="0.25">
      <c r="A1214" s="63"/>
      <c r="B1214" s="63">
        <v>20</v>
      </c>
      <c r="C1214" s="63" t="s">
        <v>3672</v>
      </c>
      <c r="D1214" s="63" t="s">
        <v>77</v>
      </c>
      <c r="E1214" s="66"/>
      <c r="F1214" s="67">
        <v>3.0000000000000001E-3</v>
      </c>
      <c r="G1214" s="67">
        <v>2E-3</v>
      </c>
      <c r="H1214" s="63"/>
    </row>
    <row r="1215" spans="1:8" x14ac:dyDescent="0.25">
      <c r="A1215" s="63"/>
      <c r="B1215" s="63">
        <v>21</v>
      </c>
      <c r="C1215" s="63" t="s">
        <v>3672</v>
      </c>
      <c r="D1215" s="63" t="s">
        <v>77</v>
      </c>
      <c r="E1215" s="66"/>
      <c r="F1215" s="67">
        <v>3.0000000000000001E-3</v>
      </c>
      <c r="G1215" s="67">
        <v>2E-3</v>
      </c>
      <c r="H1215" s="63"/>
    </row>
    <row r="1216" spans="1:8" x14ac:dyDescent="0.25">
      <c r="A1216" s="63"/>
      <c r="B1216" s="63">
        <v>22</v>
      </c>
      <c r="C1216" s="63" t="s">
        <v>3672</v>
      </c>
      <c r="D1216" s="63" t="s">
        <v>77</v>
      </c>
      <c r="E1216" s="66"/>
      <c r="F1216" s="67">
        <v>3.0000000000000001E-3</v>
      </c>
      <c r="G1216" s="67">
        <v>2E-3</v>
      </c>
      <c r="H1216" s="63"/>
    </row>
    <row r="1217" spans="1:8" x14ac:dyDescent="0.25">
      <c r="A1217" s="63"/>
      <c r="B1217" s="63">
        <v>23</v>
      </c>
      <c r="C1217" s="63" t="s">
        <v>3672</v>
      </c>
      <c r="D1217" s="63" t="s">
        <v>77</v>
      </c>
      <c r="E1217" s="66"/>
      <c r="F1217" s="67">
        <v>3.0000000000000001E-3</v>
      </c>
      <c r="G1217" s="67">
        <v>2E-3</v>
      </c>
      <c r="H1217" s="63"/>
    </row>
    <row r="1218" spans="1:8" x14ac:dyDescent="0.25">
      <c r="A1218" s="63"/>
      <c r="B1218" s="63">
        <v>24</v>
      </c>
      <c r="C1218" s="63" t="s">
        <v>3672</v>
      </c>
      <c r="D1218" s="63" t="s">
        <v>77</v>
      </c>
      <c r="E1218" s="66"/>
      <c r="F1218" s="67">
        <v>3.0000000000000001E-3</v>
      </c>
      <c r="G1218" s="67">
        <v>2E-3</v>
      </c>
      <c r="H1218" s="63"/>
    </row>
    <row r="1219" spans="1:8" x14ac:dyDescent="0.25">
      <c r="A1219" s="63"/>
      <c r="B1219" s="63">
        <v>25</v>
      </c>
      <c r="C1219" s="63" t="s">
        <v>3672</v>
      </c>
      <c r="D1219" s="63" t="s">
        <v>77</v>
      </c>
      <c r="E1219" s="66"/>
      <c r="F1219" s="67">
        <v>3.0000000000000001E-3</v>
      </c>
      <c r="G1219" s="67">
        <v>2E-3</v>
      </c>
      <c r="H1219" s="63"/>
    </row>
    <row r="1220" spans="1:8" x14ac:dyDescent="0.25">
      <c r="A1220" s="63"/>
      <c r="B1220" s="63">
        <v>26</v>
      </c>
      <c r="C1220" s="63" t="s">
        <v>3672</v>
      </c>
      <c r="D1220" s="63" t="s">
        <v>77</v>
      </c>
      <c r="E1220" s="66"/>
      <c r="F1220" s="67">
        <v>3.0000000000000001E-3</v>
      </c>
      <c r="G1220" s="67">
        <v>2E-3</v>
      </c>
      <c r="H1220" s="63"/>
    </row>
    <row r="1221" spans="1:8" x14ac:dyDescent="0.25">
      <c r="A1221" s="63"/>
      <c r="B1221" s="63">
        <v>27</v>
      </c>
      <c r="C1221" s="63" t="s">
        <v>3672</v>
      </c>
      <c r="D1221" s="63" t="s">
        <v>77</v>
      </c>
      <c r="E1221" s="66"/>
      <c r="F1221" s="67">
        <v>3.0000000000000001E-3</v>
      </c>
      <c r="G1221" s="67">
        <v>2E-3</v>
      </c>
      <c r="H1221" s="63"/>
    </row>
    <row r="1222" spans="1:8" x14ac:dyDescent="0.25">
      <c r="A1222" s="63"/>
      <c r="B1222" s="63">
        <v>28</v>
      </c>
      <c r="C1222" s="63" t="s">
        <v>3672</v>
      </c>
      <c r="D1222" s="63" t="s">
        <v>77</v>
      </c>
      <c r="E1222" s="66"/>
      <c r="F1222" s="67">
        <v>3.0000000000000001E-3</v>
      </c>
      <c r="G1222" s="67">
        <v>2E-3</v>
      </c>
      <c r="H1222" s="63"/>
    </row>
    <row r="1223" spans="1:8" x14ac:dyDescent="0.25">
      <c r="A1223" s="63"/>
      <c r="B1223" s="63">
        <v>29</v>
      </c>
      <c r="C1223" s="63" t="s">
        <v>3672</v>
      </c>
      <c r="D1223" s="63" t="s">
        <v>77</v>
      </c>
      <c r="E1223" s="66"/>
      <c r="F1223" s="67">
        <v>3.0000000000000001E-3</v>
      </c>
      <c r="G1223" s="67">
        <v>2E-3</v>
      </c>
      <c r="H1223" s="63"/>
    </row>
    <row r="1224" spans="1:8" x14ac:dyDescent="0.25">
      <c r="A1224" s="63"/>
      <c r="B1224" s="63">
        <v>30</v>
      </c>
      <c r="C1224" s="63" t="s">
        <v>3672</v>
      </c>
      <c r="D1224" s="63" t="s">
        <v>77</v>
      </c>
      <c r="E1224" s="66"/>
      <c r="F1224" s="67">
        <v>3.0000000000000001E-3</v>
      </c>
      <c r="G1224" s="67">
        <v>2E-3</v>
      </c>
      <c r="H1224" s="63"/>
    </row>
    <row r="1225" spans="1:8" x14ac:dyDescent="0.25">
      <c r="A1225" s="63"/>
      <c r="B1225" s="63">
        <v>0</v>
      </c>
      <c r="C1225" s="63" t="s">
        <v>3672</v>
      </c>
      <c r="D1225" s="63" t="s">
        <v>77</v>
      </c>
      <c r="E1225" s="66">
        <v>3.0428788910505911</v>
      </c>
      <c r="F1225" s="67">
        <v>3.0000000000000001E-3</v>
      </c>
      <c r="G1225" s="67">
        <v>2E-3</v>
      </c>
      <c r="H1225" s="63"/>
    </row>
    <row r="1226" spans="1:8" x14ac:dyDescent="0.25">
      <c r="A1226" s="63"/>
      <c r="B1226" s="63">
        <v>0.25</v>
      </c>
      <c r="C1226" s="63" t="s">
        <v>4217</v>
      </c>
      <c r="D1226" s="63" t="s">
        <v>21</v>
      </c>
      <c r="E1226" s="66">
        <v>12.845399830259842</v>
      </c>
      <c r="F1226" s="67">
        <v>3.0000000000000001E-3</v>
      </c>
      <c r="G1226" s="67">
        <v>2E-3</v>
      </c>
      <c r="H1226" s="63"/>
    </row>
    <row r="1227" spans="1:8" x14ac:dyDescent="0.25">
      <c r="A1227" s="63"/>
      <c r="B1227" s="63">
        <v>0.5</v>
      </c>
      <c r="C1227" s="63" t="s">
        <v>4217</v>
      </c>
      <c r="D1227" s="63" t="s">
        <v>21</v>
      </c>
      <c r="E1227" s="66">
        <v>14.637086074346472</v>
      </c>
      <c r="F1227" s="67">
        <v>3.0000000000000001E-3</v>
      </c>
      <c r="G1227" s="67">
        <v>2E-3</v>
      </c>
      <c r="H1227" s="63"/>
    </row>
    <row r="1228" spans="1:8" x14ac:dyDescent="0.25">
      <c r="A1228" s="63"/>
      <c r="B1228" s="63">
        <v>0.75</v>
      </c>
      <c r="C1228" s="63" t="s">
        <v>4217</v>
      </c>
      <c r="D1228" s="63" t="s">
        <v>21</v>
      </c>
      <c r="E1228" s="66">
        <v>15.099786239863915</v>
      </c>
      <c r="F1228" s="67">
        <v>3.0000000000000001E-3</v>
      </c>
      <c r="G1228" s="67">
        <v>2E-3</v>
      </c>
      <c r="H1228" s="63"/>
    </row>
    <row r="1229" spans="1:8" x14ac:dyDescent="0.25">
      <c r="A1229" s="63"/>
      <c r="B1229" s="63">
        <v>1</v>
      </c>
      <c r="C1229" s="63" t="s">
        <v>4217</v>
      </c>
      <c r="D1229" s="63" t="s">
        <v>21</v>
      </c>
      <c r="E1229" s="66">
        <v>15.665970043501744</v>
      </c>
      <c r="F1229" s="67">
        <v>3.0000000000000001E-3</v>
      </c>
      <c r="G1229" s="67">
        <v>2E-3</v>
      </c>
      <c r="H1229" s="63"/>
    </row>
    <row r="1230" spans="1:8" x14ac:dyDescent="0.25">
      <c r="A1230" s="63"/>
      <c r="B1230" s="63">
        <v>2</v>
      </c>
      <c r="C1230" s="63" t="s">
        <v>4217</v>
      </c>
      <c r="D1230" s="63" t="s">
        <v>21</v>
      </c>
      <c r="E1230" s="66">
        <v>17.834890626325379</v>
      </c>
      <c r="F1230" s="67">
        <v>3.0000000000000001E-3</v>
      </c>
      <c r="G1230" s="67">
        <v>2E-3</v>
      </c>
      <c r="H1230" s="63"/>
    </row>
    <row r="1231" spans="1:8" x14ac:dyDescent="0.25">
      <c r="A1231" s="63"/>
      <c r="B1231" s="63">
        <v>3</v>
      </c>
      <c r="C1231" s="63" t="s">
        <v>4217</v>
      </c>
      <c r="D1231" s="63" t="s">
        <v>21</v>
      </c>
      <c r="E1231" s="66">
        <v>21.718205724069655</v>
      </c>
      <c r="F1231" s="67">
        <v>3.0000000000000001E-3</v>
      </c>
      <c r="G1231" s="67">
        <v>2E-3</v>
      </c>
      <c r="H1231" s="63"/>
    </row>
    <row r="1232" spans="1:8" x14ac:dyDescent="0.25">
      <c r="A1232" s="63"/>
      <c r="B1232" s="63">
        <v>4</v>
      </c>
      <c r="C1232" s="63" t="s">
        <v>4217</v>
      </c>
      <c r="D1232" s="63" t="s">
        <v>21</v>
      </c>
      <c r="E1232" s="66">
        <v>26.150474129480138</v>
      </c>
      <c r="F1232" s="67">
        <v>3.0000000000000001E-3</v>
      </c>
      <c r="G1232" s="67">
        <v>2E-3</v>
      </c>
      <c r="H1232" s="63"/>
    </row>
    <row r="1233" spans="1:8" x14ac:dyDescent="0.25">
      <c r="A1233" s="63"/>
      <c r="B1233" s="63">
        <v>5</v>
      </c>
      <c r="C1233" s="63" t="s">
        <v>4217</v>
      </c>
      <c r="D1233" s="63" t="s">
        <v>21</v>
      </c>
      <c r="E1233" s="66">
        <v>30.41528017191748</v>
      </c>
      <c r="F1233" s="67">
        <v>3.0000000000000001E-3</v>
      </c>
      <c r="G1233" s="67">
        <v>2E-3</v>
      </c>
      <c r="H1233" s="63"/>
    </row>
    <row r="1234" spans="1:8" x14ac:dyDescent="0.25">
      <c r="A1234" s="63"/>
      <c r="B1234" s="63">
        <v>6</v>
      </c>
      <c r="C1234" s="63" t="s">
        <v>4217</v>
      </c>
      <c r="D1234" s="63" t="s">
        <v>21</v>
      </c>
      <c r="E1234" s="66">
        <v>34.44285385357388</v>
      </c>
      <c r="F1234" s="67">
        <v>3.0000000000000001E-3</v>
      </c>
      <c r="G1234" s="67">
        <v>2E-3</v>
      </c>
      <c r="H1234" s="63"/>
    </row>
    <row r="1235" spans="1:8" x14ac:dyDescent="0.25">
      <c r="A1235" s="63"/>
      <c r="B1235" s="63">
        <v>7</v>
      </c>
      <c r="C1235" s="63" t="s">
        <v>4217</v>
      </c>
      <c r="D1235" s="63" t="s">
        <v>21</v>
      </c>
      <c r="E1235" s="66">
        <v>38.946000245387211</v>
      </c>
      <c r="F1235" s="67">
        <v>3.0000000000000001E-3</v>
      </c>
      <c r="G1235" s="67">
        <v>2E-3</v>
      </c>
      <c r="H1235" s="63"/>
    </row>
    <row r="1236" spans="1:8" x14ac:dyDescent="0.25">
      <c r="A1236" s="63"/>
      <c r="B1236" s="63">
        <v>8</v>
      </c>
      <c r="C1236" s="63" t="s">
        <v>4217</v>
      </c>
      <c r="D1236" s="63" t="s">
        <v>21</v>
      </c>
      <c r="E1236" s="66">
        <v>43.140358591123089</v>
      </c>
      <c r="F1236" s="67">
        <v>3.0000000000000001E-3</v>
      </c>
      <c r="G1236" s="67">
        <v>2E-3</v>
      </c>
      <c r="H1236" s="63"/>
    </row>
    <row r="1237" spans="1:8" x14ac:dyDescent="0.25">
      <c r="A1237" s="63"/>
      <c r="B1237" s="63">
        <v>9</v>
      </c>
      <c r="C1237" s="63" t="s">
        <v>4217</v>
      </c>
      <c r="D1237" s="63" t="s">
        <v>21</v>
      </c>
      <c r="E1237" s="66">
        <v>47.430816671876173</v>
      </c>
      <c r="F1237" s="67">
        <v>3.0000000000000001E-3</v>
      </c>
      <c r="G1237" s="67">
        <v>2E-3</v>
      </c>
      <c r="H1237" s="63"/>
    </row>
    <row r="1238" spans="1:8" x14ac:dyDescent="0.25">
      <c r="A1238" s="63"/>
      <c r="B1238" s="63">
        <v>10</v>
      </c>
      <c r="C1238" s="63" t="s">
        <v>4217</v>
      </c>
      <c r="D1238" s="63" t="s">
        <v>21</v>
      </c>
      <c r="E1238" s="66">
        <v>51.674955557090485</v>
      </c>
      <c r="F1238" s="67">
        <v>3.0000000000000001E-3</v>
      </c>
      <c r="G1238" s="67">
        <v>2E-3</v>
      </c>
      <c r="H1238" s="63"/>
    </row>
    <row r="1239" spans="1:8" x14ac:dyDescent="0.25">
      <c r="A1239" s="63"/>
      <c r="B1239" s="63">
        <v>11</v>
      </c>
      <c r="C1239" s="63" t="s">
        <v>4217</v>
      </c>
      <c r="D1239" s="63" t="s">
        <v>21</v>
      </c>
      <c r="E1239" s="66"/>
      <c r="F1239" s="67">
        <v>3.0000000000000001E-3</v>
      </c>
      <c r="G1239" s="67">
        <v>2E-3</v>
      </c>
      <c r="H1239" s="63"/>
    </row>
    <row r="1240" spans="1:8" x14ac:dyDescent="0.25">
      <c r="A1240" s="63"/>
      <c r="B1240" s="63">
        <v>12</v>
      </c>
      <c r="C1240" s="63" t="s">
        <v>4217</v>
      </c>
      <c r="D1240" s="63" t="s">
        <v>21</v>
      </c>
      <c r="E1240" s="66"/>
      <c r="F1240" s="67">
        <v>3.0000000000000001E-3</v>
      </c>
      <c r="G1240" s="67">
        <v>2E-3</v>
      </c>
      <c r="H1240" s="63"/>
    </row>
    <row r="1241" spans="1:8" x14ac:dyDescent="0.25">
      <c r="A1241" s="63"/>
      <c r="B1241" s="63">
        <v>13</v>
      </c>
      <c r="C1241" s="63" t="s">
        <v>4217</v>
      </c>
      <c r="D1241" s="63" t="s">
        <v>21</v>
      </c>
      <c r="E1241" s="66"/>
      <c r="F1241" s="67">
        <v>3.0000000000000001E-3</v>
      </c>
      <c r="G1241" s="67">
        <v>2E-3</v>
      </c>
      <c r="H1241" s="63"/>
    </row>
    <row r="1242" spans="1:8" x14ac:dyDescent="0.25">
      <c r="A1242" s="63"/>
      <c r="B1242" s="63">
        <v>14</v>
      </c>
      <c r="C1242" s="63" t="s">
        <v>4217</v>
      </c>
      <c r="D1242" s="63" t="s">
        <v>21</v>
      </c>
      <c r="E1242" s="66"/>
      <c r="F1242" s="67">
        <v>3.0000000000000001E-3</v>
      </c>
      <c r="G1242" s="67">
        <v>2E-3</v>
      </c>
      <c r="H1242" s="63"/>
    </row>
    <row r="1243" spans="1:8" x14ac:dyDescent="0.25">
      <c r="A1243" s="63"/>
      <c r="B1243" s="63">
        <v>15</v>
      </c>
      <c r="C1243" s="63" t="s">
        <v>4217</v>
      </c>
      <c r="D1243" s="63" t="s">
        <v>21</v>
      </c>
      <c r="E1243" s="66"/>
      <c r="F1243" s="67">
        <v>3.0000000000000001E-3</v>
      </c>
      <c r="G1243" s="67">
        <v>2E-3</v>
      </c>
      <c r="H1243" s="63"/>
    </row>
    <row r="1244" spans="1:8" x14ac:dyDescent="0.25">
      <c r="A1244" s="63"/>
      <c r="B1244" s="63">
        <v>16</v>
      </c>
      <c r="C1244" s="63" t="s">
        <v>4217</v>
      </c>
      <c r="D1244" s="63" t="s">
        <v>21</v>
      </c>
      <c r="E1244" s="66"/>
      <c r="F1244" s="67">
        <v>3.0000000000000001E-3</v>
      </c>
      <c r="G1244" s="67">
        <v>2E-3</v>
      </c>
      <c r="H1244" s="63"/>
    </row>
    <row r="1245" spans="1:8" x14ac:dyDescent="0.25">
      <c r="A1245" s="63"/>
      <c r="B1245" s="63">
        <v>17</v>
      </c>
      <c r="C1245" s="63" t="s">
        <v>4217</v>
      </c>
      <c r="D1245" s="63" t="s">
        <v>21</v>
      </c>
      <c r="E1245" s="66"/>
      <c r="F1245" s="67">
        <v>3.0000000000000001E-3</v>
      </c>
      <c r="G1245" s="67">
        <v>2E-3</v>
      </c>
      <c r="H1245" s="63"/>
    </row>
    <row r="1246" spans="1:8" x14ac:dyDescent="0.25">
      <c r="A1246" s="63"/>
      <c r="B1246" s="63">
        <v>18</v>
      </c>
      <c r="C1246" s="63" t="s">
        <v>4217</v>
      </c>
      <c r="D1246" s="63" t="s">
        <v>21</v>
      </c>
      <c r="E1246" s="66"/>
      <c r="F1246" s="67">
        <v>3.0000000000000001E-3</v>
      </c>
      <c r="G1246" s="67">
        <v>2E-3</v>
      </c>
      <c r="H1246" s="63"/>
    </row>
    <row r="1247" spans="1:8" x14ac:dyDescent="0.25">
      <c r="A1247" s="63"/>
      <c r="B1247" s="63">
        <v>19</v>
      </c>
      <c r="C1247" s="63" t="s">
        <v>4217</v>
      </c>
      <c r="D1247" s="63" t="s">
        <v>21</v>
      </c>
      <c r="E1247" s="66"/>
      <c r="F1247" s="67">
        <v>3.0000000000000001E-3</v>
      </c>
      <c r="G1247" s="67">
        <v>2E-3</v>
      </c>
      <c r="H1247" s="63"/>
    </row>
    <row r="1248" spans="1:8" x14ac:dyDescent="0.25">
      <c r="A1248" s="63"/>
      <c r="B1248" s="63">
        <v>20</v>
      </c>
      <c r="C1248" s="63" t="s">
        <v>4217</v>
      </c>
      <c r="D1248" s="63" t="s">
        <v>21</v>
      </c>
      <c r="E1248" s="66"/>
      <c r="F1248" s="67">
        <v>3.0000000000000001E-3</v>
      </c>
      <c r="G1248" s="67">
        <v>2E-3</v>
      </c>
      <c r="H1248" s="63"/>
    </row>
    <row r="1249" spans="1:8" x14ac:dyDescent="0.25">
      <c r="A1249" s="63"/>
      <c r="B1249" s="63">
        <v>21</v>
      </c>
      <c r="C1249" s="63" t="s">
        <v>4217</v>
      </c>
      <c r="D1249" s="63" t="s">
        <v>21</v>
      </c>
      <c r="E1249" s="66"/>
      <c r="F1249" s="67">
        <v>3.0000000000000001E-3</v>
      </c>
      <c r="G1249" s="67">
        <v>2E-3</v>
      </c>
      <c r="H1249" s="63"/>
    </row>
    <row r="1250" spans="1:8" x14ac:dyDescent="0.25">
      <c r="A1250" s="63"/>
      <c r="B1250" s="63">
        <v>22</v>
      </c>
      <c r="C1250" s="63" t="s">
        <v>4217</v>
      </c>
      <c r="D1250" s="63" t="s">
        <v>21</v>
      </c>
      <c r="E1250" s="66"/>
      <c r="F1250" s="67">
        <v>3.0000000000000001E-3</v>
      </c>
      <c r="G1250" s="67">
        <v>2E-3</v>
      </c>
      <c r="H1250" s="63"/>
    </row>
    <row r="1251" spans="1:8" x14ac:dyDescent="0.25">
      <c r="A1251" s="63"/>
      <c r="B1251" s="63">
        <v>23</v>
      </c>
      <c r="C1251" s="63" t="s">
        <v>4217</v>
      </c>
      <c r="D1251" s="63" t="s">
        <v>21</v>
      </c>
      <c r="E1251" s="66"/>
      <c r="F1251" s="67">
        <v>3.0000000000000001E-3</v>
      </c>
      <c r="G1251" s="67">
        <v>2E-3</v>
      </c>
      <c r="H1251" s="63"/>
    </row>
    <row r="1252" spans="1:8" x14ac:dyDescent="0.25">
      <c r="A1252" s="63"/>
      <c r="B1252" s="63">
        <v>24</v>
      </c>
      <c r="C1252" s="63" t="s">
        <v>4217</v>
      </c>
      <c r="D1252" s="63" t="s">
        <v>21</v>
      </c>
      <c r="E1252" s="66"/>
      <c r="F1252" s="67">
        <v>3.0000000000000001E-3</v>
      </c>
      <c r="G1252" s="67">
        <v>2E-3</v>
      </c>
      <c r="H1252" s="63"/>
    </row>
    <row r="1253" spans="1:8" x14ac:dyDescent="0.25">
      <c r="A1253" s="63"/>
      <c r="B1253" s="63">
        <v>25</v>
      </c>
      <c r="C1253" s="63" t="s">
        <v>4217</v>
      </c>
      <c r="D1253" s="63" t="s">
        <v>21</v>
      </c>
      <c r="E1253" s="66"/>
      <c r="F1253" s="67">
        <v>3.0000000000000001E-3</v>
      </c>
      <c r="G1253" s="67">
        <v>2E-3</v>
      </c>
      <c r="H1253" s="63"/>
    </row>
    <row r="1254" spans="1:8" x14ac:dyDescent="0.25">
      <c r="A1254" s="63"/>
      <c r="B1254" s="63">
        <v>26</v>
      </c>
      <c r="C1254" s="63" t="s">
        <v>4217</v>
      </c>
      <c r="D1254" s="63" t="s">
        <v>21</v>
      </c>
      <c r="E1254" s="66"/>
      <c r="F1254" s="67">
        <v>3.0000000000000001E-3</v>
      </c>
      <c r="G1254" s="67">
        <v>2E-3</v>
      </c>
      <c r="H1254" s="63"/>
    </row>
    <row r="1255" spans="1:8" x14ac:dyDescent="0.25">
      <c r="A1255" s="63"/>
      <c r="B1255" s="63">
        <v>27</v>
      </c>
      <c r="C1255" s="63" t="s">
        <v>4217</v>
      </c>
      <c r="D1255" s="63" t="s">
        <v>21</v>
      </c>
      <c r="E1255" s="66"/>
      <c r="F1255" s="67">
        <v>3.0000000000000001E-3</v>
      </c>
      <c r="G1255" s="67">
        <v>2E-3</v>
      </c>
      <c r="H1255" s="63"/>
    </row>
    <row r="1256" spans="1:8" x14ac:dyDescent="0.25">
      <c r="A1256" s="63"/>
      <c r="B1256" s="63">
        <v>28</v>
      </c>
      <c r="C1256" s="63" t="s">
        <v>4217</v>
      </c>
      <c r="D1256" s="63" t="s">
        <v>21</v>
      </c>
      <c r="E1256" s="66"/>
      <c r="F1256" s="67">
        <v>3.0000000000000001E-3</v>
      </c>
      <c r="G1256" s="67">
        <v>2E-3</v>
      </c>
      <c r="H1256" s="63"/>
    </row>
    <row r="1257" spans="1:8" x14ac:dyDescent="0.25">
      <c r="A1257" s="63"/>
      <c r="B1257" s="63">
        <v>29</v>
      </c>
      <c r="C1257" s="63" t="s">
        <v>4217</v>
      </c>
      <c r="D1257" s="63" t="s">
        <v>21</v>
      </c>
      <c r="E1257" s="66"/>
      <c r="F1257" s="67">
        <v>3.0000000000000001E-3</v>
      </c>
      <c r="G1257" s="67">
        <v>2E-3</v>
      </c>
      <c r="H1257" s="63"/>
    </row>
    <row r="1258" spans="1:8" x14ac:dyDescent="0.25">
      <c r="A1258" s="63"/>
      <c r="B1258" s="63">
        <v>30</v>
      </c>
      <c r="C1258" s="63" t="s">
        <v>4217</v>
      </c>
      <c r="D1258" s="63" t="s">
        <v>21</v>
      </c>
      <c r="E1258" s="66"/>
      <c r="F1258" s="67">
        <v>3.0000000000000001E-3</v>
      </c>
      <c r="G1258" s="67">
        <v>2E-3</v>
      </c>
      <c r="H1258" s="63"/>
    </row>
    <row r="1259" spans="1:8" x14ac:dyDescent="0.25">
      <c r="A1259" s="63"/>
      <c r="B1259" s="63">
        <v>0</v>
      </c>
      <c r="C1259" s="63" t="s">
        <v>4217</v>
      </c>
      <c r="D1259" s="63" t="s">
        <v>21</v>
      </c>
      <c r="E1259" s="66">
        <v>3.0428788910505911</v>
      </c>
      <c r="F1259" s="67">
        <v>3.0000000000000001E-3</v>
      </c>
      <c r="G1259" s="67">
        <v>2E-3</v>
      </c>
      <c r="H1259" s="63"/>
    </row>
    <row r="1260" spans="1:8" x14ac:dyDescent="0.25">
      <c r="A1260" s="63"/>
      <c r="B1260" s="63">
        <v>0.25</v>
      </c>
      <c r="C1260" s="63" t="s">
        <v>4217</v>
      </c>
      <c r="D1260" s="63" t="s">
        <v>62</v>
      </c>
      <c r="E1260" s="66">
        <v>25.033849295600621</v>
      </c>
      <c r="F1260" s="67">
        <v>3.0000000000000001E-3</v>
      </c>
      <c r="G1260" s="67">
        <v>2E-3</v>
      </c>
      <c r="H1260" s="63"/>
    </row>
    <row r="1261" spans="1:8" x14ac:dyDescent="0.25">
      <c r="A1261" s="63"/>
      <c r="B1261" s="63">
        <v>0.5</v>
      </c>
      <c r="C1261" s="63" t="s">
        <v>4217</v>
      </c>
      <c r="D1261" s="63" t="s">
        <v>62</v>
      </c>
      <c r="E1261" s="66">
        <v>25.928714274850051</v>
      </c>
      <c r="F1261" s="67">
        <v>3.0000000000000001E-3</v>
      </c>
      <c r="G1261" s="67">
        <v>2E-3</v>
      </c>
      <c r="H1261" s="63"/>
    </row>
    <row r="1262" spans="1:8" x14ac:dyDescent="0.25">
      <c r="A1262" s="63"/>
      <c r="B1262" s="63">
        <v>0.75</v>
      </c>
      <c r="C1262" s="63" t="s">
        <v>4217</v>
      </c>
      <c r="D1262" s="63" t="s">
        <v>62</v>
      </c>
      <c r="E1262" s="66">
        <v>28.296327615221198</v>
      </c>
      <c r="F1262" s="67">
        <v>3.0000000000000001E-3</v>
      </c>
      <c r="G1262" s="67">
        <v>2E-3</v>
      </c>
      <c r="H1262" s="63"/>
    </row>
    <row r="1263" spans="1:8" x14ac:dyDescent="0.25">
      <c r="A1263" s="63"/>
      <c r="B1263" s="63">
        <v>1</v>
      </c>
      <c r="C1263" s="63" t="s">
        <v>4217</v>
      </c>
      <c r="D1263" s="63" t="s">
        <v>62</v>
      </c>
      <c r="E1263" s="66">
        <v>28.918651419383917</v>
      </c>
      <c r="F1263" s="67">
        <v>3.0000000000000001E-3</v>
      </c>
      <c r="G1263" s="67">
        <v>2E-3</v>
      </c>
      <c r="H1263" s="63"/>
    </row>
    <row r="1264" spans="1:8" x14ac:dyDescent="0.25">
      <c r="A1264" s="63"/>
      <c r="B1264" s="63">
        <v>2</v>
      </c>
      <c r="C1264" s="63" t="s">
        <v>4217</v>
      </c>
      <c r="D1264" s="63" t="s">
        <v>62</v>
      </c>
      <c r="E1264" s="66">
        <v>31.326806633788035</v>
      </c>
      <c r="F1264" s="67">
        <v>3.0000000000000001E-3</v>
      </c>
      <c r="G1264" s="67">
        <v>2E-3</v>
      </c>
      <c r="H1264" s="63"/>
    </row>
    <row r="1265" spans="1:8" x14ac:dyDescent="0.25">
      <c r="A1265" s="63"/>
      <c r="B1265" s="63">
        <v>3</v>
      </c>
      <c r="C1265" s="63" t="s">
        <v>4217</v>
      </c>
      <c r="D1265" s="63" t="s">
        <v>62</v>
      </c>
      <c r="E1265" s="66">
        <v>34.20077546080158</v>
      </c>
      <c r="F1265" s="67">
        <v>3.0000000000000001E-3</v>
      </c>
      <c r="G1265" s="67">
        <v>2E-3</v>
      </c>
      <c r="H1265" s="63"/>
    </row>
    <row r="1266" spans="1:8" x14ac:dyDescent="0.25">
      <c r="A1266" s="63"/>
      <c r="B1266" s="63">
        <v>4</v>
      </c>
      <c r="C1266" s="63" t="s">
        <v>4217</v>
      </c>
      <c r="D1266" s="63" t="s">
        <v>62</v>
      </c>
      <c r="E1266" s="66">
        <v>37.632514403152896</v>
      </c>
      <c r="F1266" s="67">
        <v>3.0000000000000001E-3</v>
      </c>
      <c r="G1266" s="67">
        <v>2E-3</v>
      </c>
      <c r="H1266" s="63"/>
    </row>
    <row r="1267" spans="1:8" x14ac:dyDescent="0.25">
      <c r="A1267" s="63"/>
      <c r="B1267" s="63">
        <v>5</v>
      </c>
      <c r="C1267" s="63" t="s">
        <v>4217</v>
      </c>
      <c r="D1267" s="63" t="s">
        <v>62</v>
      </c>
      <c r="E1267" s="66">
        <v>40.938192220202652</v>
      </c>
      <c r="F1267" s="67">
        <v>3.0000000000000001E-3</v>
      </c>
      <c r="G1267" s="67">
        <v>2E-3</v>
      </c>
      <c r="H1267" s="63"/>
    </row>
    <row r="1268" spans="1:8" x14ac:dyDescent="0.25">
      <c r="A1268" s="63"/>
      <c r="B1268" s="63">
        <v>6</v>
      </c>
      <c r="C1268" s="63" t="s">
        <v>4217</v>
      </c>
      <c r="D1268" s="63" t="s">
        <v>62</v>
      </c>
      <c r="E1268" s="66">
        <v>44.602837773275155</v>
      </c>
      <c r="F1268" s="67">
        <v>3.0000000000000001E-3</v>
      </c>
      <c r="G1268" s="67">
        <v>2E-3</v>
      </c>
      <c r="H1268" s="63"/>
    </row>
    <row r="1269" spans="1:8" x14ac:dyDescent="0.25">
      <c r="A1269" s="63"/>
      <c r="B1269" s="63">
        <v>7</v>
      </c>
      <c r="C1269" s="63" t="s">
        <v>4217</v>
      </c>
      <c r="D1269" s="63" t="s">
        <v>62</v>
      </c>
      <c r="E1269" s="66">
        <v>48.339768029372692</v>
      </c>
      <c r="F1269" s="67">
        <v>3.0000000000000001E-3</v>
      </c>
      <c r="G1269" s="67">
        <v>2E-3</v>
      </c>
      <c r="H1269" s="63"/>
    </row>
    <row r="1270" spans="1:8" x14ac:dyDescent="0.25">
      <c r="A1270" s="63"/>
      <c r="B1270" s="63">
        <v>8</v>
      </c>
      <c r="C1270" s="63" t="s">
        <v>4217</v>
      </c>
      <c r="D1270" s="63" t="s">
        <v>62</v>
      </c>
      <c r="E1270" s="66">
        <v>52.38729469521013</v>
      </c>
      <c r="F1270" s="67">
        <v>3.0000000000000001E-3</v>
      </c>
      <c r="G1270" s="67">
        <v>2E-3</v>
      </c>
      <c r="H1270" s="63"/>
    </row>
    <row r="1271" spans="1:8" x14ac:dyDescent="0.25">
      <c r="A1271" s="63"/>
      <c r="B1271" s="63">
        <v>9</v>
      </c>
      <c r="C1271" s="63" t="s">
        <v>4217</v>
      </c>
      <c r="D1271" s="63" t="s">
        <v>62</v>
      </c>
      <c r="E1271" s="66">
        <v>56.136175093160965</v>
      </c>
      <c r="F1271" s="67">
        <v>3.0000000000000001E-3</v>
      </c>
      <c r="G1271" s="67">
        <v>2E-3</v>
      </c>
      <c r="H1271" s="63"/>
    </row>
    <row r="1272" spans="1:8" x14ac:dyDescent="0.25">
      <c r="A1272" s="63"/>
      <c r="B1272" s="63">
        <v>10</v>
      </c>
      <c r="C1272" s="63" t="s">
        <v>4217</v>
      </c>
      <c r="D1272" s="63" t="s">
        <v>62</v>
      </c>
      <c r="E1272" s="66">
        <v>60.050707132634813</v>
      </c>
      <c r="F1272" s="67">
        <v>3.0000000000000001E-3</v>
      </c>
      <c r="G1272" s="67">
        <v>2E-3</v>
      </c>
      <c r="H1272" s="63"/>
    </row>
    <row r="1273" spans="1:8" x14ac:dyDescent="0.25">
      <c r="A1273" s="63"/>
      <c r="B1273" s="63">
        <v>11</v>
      </c>
      <c r="C1273" s="63" t="s">
        <v>4217</v>
      </c>
      <c r="D1273" s="63" t="s">
        <v>62</v>
      </c>
      <c r="E1273" s="66"/>
      <c r="F1273" s="67">
        <v>3.0000000000000001E-3</v>
      </c>
      <c r="G1273" s="67">
        <v>2E-3</v>
      </c>
      <c r="H1273" s="63"/>
    </row>
    <row r="1274" spans="1:8" x14ac:dyDescent="0.25">
      <c r="A1274" s="63"/>
      <c r="B1274" s="63">
        <v>12</v>
      </c>
      <c r="C1274" s="63" t="s">
        <v>4217</v>
      </c>
      <c r="D1274" s="63" t="s">
        <v>62</v>
      </c>
      <c r="E1274" s="66"/>
      <c r="F1274" s="67">
        <v>3.0000000000000001E-3</v>
      </c>
      <c r="G1274" s="67">
        <v>2E-3</v>
      </c>
      <c r="H1274" s="63"/>
    </row>
    <row r="1275" spans="1:8" x14ac:dyDescent="0.25">
      <c r="A1275" s="63"/>
      <c r="B1275" s="63">
        <v>13</v>
      </c>
      <c r="C1275" s="63" t="s">
        <v>4217</v>
      </c>
      <c r="D1275" s="63" t="s">
        <v>62</v>
      </c>
      <c r="E1275" s="66"/>
      <c r="F1275" s="67">
        <v>3.0000000000000001E-3</v>
      </c>
      <c r="G1275" s="67">
        <v>2E-3</v>
      </c>
      <c r="H1275" s="63"/>
    </row>
    <row r="1276" spans="1:8" x14ac:dyDescent="0.25">
      <c r="A1276" s="63"/>
      <c r="B1276" s="63">
        <v>14</v>
      </c>
      <c r="C1276" s="63" t="s">
        <v>4217</v>
      </c>
      <c r="D1276" s="63" t="s">
        <v>62</v>
      </c>
      <c r="E1276" s="66"/>
      <c r="F1276" s="67">
        <v>3.0000000000000001E-3</v>
      </c>
      <c r="G1276" s="67">
        <v>2E-3</v>
      </c>
      <c r="H1276" s="63"/>
    </row>
    <row r="1277" spans="1:8" x14ac:dyDescent="0.25">
      <c r="A1277" s="63"/>
      <c r="B1277" s="63">
        <v>15</v>
      </c>
      <c r="C1277" s="63" t="s">
        <v>4217</v>
      </c>
      <c r="D1277" s="63" t="s">
        <v>62</v>
      </c>
      <c r="E1277" s="66"/>
      <c r="F1277" s="67">
        <v>3.0000000000000001E-3</v>
      </c>
      <c r="G1277" s="67">
        <v>2E-3</v>
      </c>
      <c r="H1277" s="63"/>
    </row>
    <row r="1278" spans="1:8" x14ac:dyDescent="0.25">
      <c r="A1278" s="63"/>
      <c r="B1278" s="63">
        <v>16</v>
      </c>
      <c r="C1278" s="63" t="s">
        <v>4217</v>
      </c>
      <c r="D1278" s="63" t="s">
        <v>62</v>
      </c>
      <c r="E1278" s="66"/>
      <c r="F1278" s="67">
        <v>3.0000000000000001E-3</v>
      </c>
      <c r="G1278" s="67">
        <v>2E-3</v>
      </c>
      <c r="H1278" s="63"/>
    </row>
    <row r="1279" spans="1:8" x14ac:dyDescent="0.25">
      <c r="A1279" s="63"/>
      <c r="B1279" s="63">
        <v>17</v>
      </c>
      <c r="C1279" s="63" t="s">
        <v>4217</v>
      </c>
      <c r="D1279" s="63" t="s">
        <v>62</v>
      </c>
      <c r="E1279" s="66"/>
      <c r="F1279" s="67">
        <v>3.0000000000000001E-3</v>
      </c>
      <c r="G1279" s="67">
        <v>2E-3</v>
      </c>
      <c r="H1279" s="63"/>
    </row>
    <row r="1280" spans="1:8" x14ac:dyDescent="0.25">
      <c r="A1280" s="63"/>
      <c r="B1280" s="63">
        <v>18</v>
      </c>
      <c r="C1280" s="63" t="s">
        <v>4217</v>
      </c>
      <c r="D1280" s="63" t="s">
        <v>62</v>
      </c>
      <c r="E1280" s="66"/>
      <c r="F1280" s="67">
        <v>3.0000000000000001E-3</v>
      </c>
      <c r="G1280" s="67">
        <v>2E-3</v>
      </c>
      <c r="H1280" s="63"/>
    </row>
    <row r="1281" spans="1:8" x14ac:dyDescent="0.25">
      <c r="A1281" s="63"/>
      <c r="B1281" s="63">
        <v>19</v>
      </c>
      <c r="C1281" s="63" t="s">
        <v>4217</v>
      </c>
      <c r="D1281" s="63" t="s">
        <v>62</v>
      </c>
      <c r="E1281" s="66"/>
      <c r="F1281" s="67">
        <v>3.0000000000000001E-3</v>
      </c>
      <c r="G1281" s="67">
        <v>2E-3</v>
      </c>
      <c r="H1281" s="63"/>
    </row>
    <row r="1282" spans="1:8" x14ac:dyDescent="0.25">
      <c r="A1282" s="63"/>
      <c r="B1282" s="63">
        <v>20</v>
      </c>
      <c r="C1282" s="63" t="s">
        <v>4217</v>
      </c>
      <c r="D1282" s="63" t="s">
        <v>62</v>
      </c>
      <c r="E1282" s="66"/>
      <c r="F1282" s="67">
        <v>3.0000000000000001E-3</v>
      </c>
      <c r="G1282" s="67">
        <v>2E-3</v>
      </c>
      <c r="H1282" s="63"/>
    </row>
    <row r="1283" spans="1:8" x14ac:dyDescent="0.25">
      <c r="A1283" s="63"/>
      <c r="B1283" s="63">
        <v>21</v>
      </c>
      <c r="C1283" s="63" t="s">
        <v>4217</v>
      </c>
      <c r="D1283" s="63" t="s">
        <v>62</v>
      </c>
      <c r="E1283" s="66"/>
      <c r="F1283" s="67">
        <v>3.0000000000000001E-3</v>
      </c>
      <c r="G1283" s="67">
        <v>2E-3</v>
      </c>
      <c r="H1283" s="63"/>
    </row>
    <row r="1284" spans="1:8" x14ac:dyDescent="0.25">
      <c r="A1284" s="63"/>
      <c r="B1284" s="63">
        <v>22</v>
      </c>
      <c r="C1284" s="63" t="s">
        <v>4217</v>
      </c>
      <c r="D1284" s="63" t="s">
        <v>62</v>
      </c>
      <c r="E1284" s="66"/>
      <c r="F1284" s="67">
        <v>3.0000000000000001E-3</v>
      </c>
      <c r="G1284" s="67">
        <v>2E-3</v>
      </c>
      <c r="H1284" s="63"/>
    </row>
    <row r="1285" spans="1:8" x14ac:dyDescent="0.25">
      <c r="A1285" s="63"/>
      <c r="B1285" s="63">
        <v>23</v>
      </c>
      <c r="C1285" s="63" t="s">
        <v>4217</v>
      </c>
      <c r="D1285" s="63" t="s">
        <v>62</v>
      </c>
      <c r="E1285" s="66"/>
      <c r="F1285" s="67">
        <v>3.0000000000000001E-3</v>
      </c>
      <c r="G1285" s="67">
        <v>2E-3</v>
      </c>
      <c r="H1285" s="63"/>
    </row>
    <row r="1286" spans="1:8" x14ac:dyDescent="0.25">
      <c r="A1286" s="63"/>
      <c r="B1286" s="63">
        <v>24</v>
      </c>
      <c r="C1286" s="63" t="s">
        <v>4217</v>
      </c>
      <c r="D1286" s="63" t="s">
        <v>62</v>
      </c>
      <c r="E1286" s="66"/>
      <c r="F1286" s="67">
        <v>3.0000000000000001E-3</v>
      </c>
      <c r="G1286" s="67">
        <v>2E-3</v>
      </c>
      <c r="H1286" s="63"/>
    </row>
    <row r="1287" spans="1:8" x14ac:dyDescent="0.25">
      <c r="A1287" s="63"/>
      <c r="B1287" s="63">
        <v>25</v>
      </c>
      <c r="C1287" s="63" t="s">
        <v>4217</v>
      </c>
      <c r="D1287" s="63" t="s">
        <v>62</v>
      </c>
      <c r="E1287" s="66"/>
      <c r="F1287" s="67">
        <v>3.0000000000000001E-3</v>
      </c>
      <c r="G1287" s="67">
        <v>2E-3</v>
      </c>
      <c r="H1287" s="63"/>
    </row>
    <row r="1288" spans="1:8" x14ac:dyDescent="0.25">
      <c r="A1288" s="63"/>
      <c r="B1288" s="63">
        <v>26</v>
      </c>
      <c r="C1288" s="63" t="s">
        <v>4217</v>
      </c>
      <c r="D1288" s="63" t="s">
        <v>62</v>
      </c>
      <c r="E1288" s="66"/>
      <c r="F1288" s="67">
        <v>3.0000000000000001E-3</v>
      </c>
      <c r="G1288" s="67">
        <v>2E-3</v>
      </c>
      <c r="H1288" s="63"/>
    </row>
    <row r="1289" spans="1:8" x14ac:dyDescent="0.25">
      <c r="A1289" s="63"/>
      <c r="B1289" s="63">
        <v>27</v>
      </c>
      <c r="C1289" s="63" t="s">
        <v>4217</v>
      </c>
      <c r="D1289" s="63" t="s">
        <v>62</v>
      </c>
      <c r="E1289" s="66"/>
      <c r="F1289" s="67">
        <v>3.0000000000000001E-3</v>
      </c>
      <c r="G1289" s="67">
        <v>2E-3</v>
      </c>
      <c r="H1289" s="63"/>
    </row>
    <row r="1290" spans="1:8" x14ac:dyDescent="0.25">
      <c r="A1290" s="63"/>
      <c r="B1290" s="63">
        <v>28</v>
      </c>
      <c r="C1290" s="63" t="s">
        <v>4217</v>
      </c>
      <c r="D1290" s="63" t="s">
        <v>62</v>
      </c>
      <c r="E1290" s="66"/>
      <c r="F1290" s="67">
        <v>3.0000000000000001E-3</v>
      </c>
      <c r="G1290" s="67">
        <v>2E-3</v>
      </c>
      <c r="H1290" s="63"/>
    </row>
    <row r="1291" spans="1:8" x14ac:dyDescent="0.25">
      <c r="A1291" s="63"/>
      <c r="B1291" s="63">
        <v>29</v>
      </c>
      <c r="C1291" s="63" t="s">
        <v>4217</v>
      </c>
      <c r="D1291" s="63" t="s">
        <v>62</v>
      </c>
      <c r="E1291" s="66"/>
      <c r="F1291" s="67">
        <v>3.0000000000000001E-3</v>
      </c>
      <c r="G1291" s="67">
        <v>2E-3</v>
      </c>
      <c r="H1291" s="63"/>
    </row>
    <row r="1292" spans="1:8" x14ac:dyDescent="0.25">
      <c r="A1292" s="63"/>
      <c r="B1292" s="63">
        <v>30</v>
      </c>
      <c r="C1292" s="63" t="s">
        <v>4217</v>
      </c>
      <c r="D1292" s="63" t="s">
        <v>62</v>
      </c>
      <c r="E1292" s="66"/>
      <c r="F1292" s="67">
        <v>3.0000000000000001E-3</v>
      </c>
      <c r="G1292" s="67">
        <v>2E-3</v>
      </c>
      <c r="H1292" s="63"/>
    </row>
    <row r="1293" spans="1:8" x14ac:dyDescent="0.25">
      <c r="A1293" s="63"/>
      <c r="B1293" s="63">
        <v>0</v>
      </c>
      <c r="C1293" s="63" t="s">
        <v>4217</v>
      </c>
      <c r="D1293" s="63" t="s">
        <v>62</v>
      </c>
      <c r="E1293" s="66">
        <v>3.0428788910505911</v>
      </c>
      <c r="F1293" s="67">
        <v>3.0000000000000001E-3</v>
      </c>
      <c r="G1293" s="67">
        <v>2E-3</v>
      </c>
      <c r="H1293" s="63"/>
    </row>
    <row r="1294" spans="1:8" x14ac:dyDescent="0.25">
      <c r="A1294" s="63"/>
      <c r="B1294" s="63">
        <v>0.25</v>
      </c>
      <c r="C1294" s="63" t="s">
        <v>4217</v>
      </c>
      <c r="D1294" s="63" t="s">
        <v>64</v>
      </c>
      <c r="E1294" s="66">
        <v>25.790014652542062</v>
      </c>
      <c r="F1294" s="67">
        <v>3.0000000000000001E-3</v>
      </c>
      <c r="G1294" s="67">
        <v>2E-3</v>
      </c>
      <c r="H1294" s="63"/>
    </row>
    <row r="1295" spans="1:8" x14ac:dyDescent="0.25">
      <c r="A1295" s="63"/>
      <c r="B1295" s="63">
        <v>0.5</v>
      </c>
      <c r="C1295" s="63" t="s">
        <v>4217</v>
      </c>
      <c r="D1295" s="63" t="s">
        <v>64</v>
      </c>
      <c r="E1295" s="66">
        <v>26.70838693218316</v>
      </c>
      <c r="F1295" s="67">
        <v>3.0000000000000001E-3</v>
      </c>
      <c r="G1295" s="67">
        <v>2E-3</v>
      </c>
      <c r="H1295" s="63"/>
    </row>
    <row r="1296" spans="1:8" x14ac:dyDescent="0.25">
      <c r="A1296" s="63"/>
      <c r="B1296" s="63">
        <v>0.75</v>
      </c>
      <c r="C1296" s="63" t="s">
        <v>4217</v>
      </c>
      <c r="D1296" s="63" t="s">
        <v>64</v>
      </c>
      <c r="E1296" s="66">
        <v>29.101681121498284</v>
      </c>
      <c r="F1296" s="67">
        <v>3.0000000000000001E-3</v>
      </c>
      <c r="G1296" s="67">
        <v>2E-3</v>
      </c>
      <c r="H1296" s="63"/>
    </row>
    <row r="1297" spans="1:8" x14ac:dyDescent="0.25">
      <c r="A1297" s="63"/>
      <c r="B1297" s="63">
        <v>1</v>
      </c>
      <c r="C1297" s="63" t="s">
        <v>4217</v>
      </c>
      <c r="D1297" s="63" t="s">
        <v>64</v>
      </c>
      <c r="E1297" s="66">
        <v>29.351878322630331</v>
      </c>
      <c r="F1297" s="67">
        <v>3.0000000000000001E-3</v>
      </c>
      <c r="G1297" s="67">
        <v>2E-3</v>
      </c>
      <c r="H1297" s="63"/>
    </row>
    <row r="1298" spans="1:8" x14ac:dyDescent="0.25">
      <c r="A1298" s="63"/>
      <c r="B1298" s="63">
        <v>2</v>
      </c>
      <c r="C1298" s="63" t="s">
        <v>4217</v>
      </c>
      <c r="D1298" s="63" t="s">
        <v>64</v>
      </c>
      <c r="E1298" s="66">
        <v>31.774947586450565</v>
      </c>
      <c r="F1298" s="67">
        <v>3.0000000000000001E-3</v>
      </c>
      <c r="G1298" s="67">
        <v>2E-3</v>
      </c>
      <c r="H1298" s="63"/>
    </row>
    <row r="1299" spans="1:8" x14ac:dyDescent="0.25">
      <c r="A1299" s="63"/>
      <c r="B1299" s="63">
        <v>3</v>
      </c>
      <c r="C1299" s="63" t="s">
        <v>4217</v>
      </c>
      <c r="D1299" s="63" t="s">
        <v>64</v>
      </c>
      <c r="E1299" s="66">
        <v>34.799865787701847</v>
      </c>
      <c r="F1299" s="67">
        <v>3.0000000000000001E-3</v>
      </c>
      <c r="G1299" s="67">
        <v>2E-3</v>
      </c>
      <c r="H1299" s="63"/>
    </row>
    <row r="1300" spans="1:8" x14ac:dyDescent="0.25">
      <c r="A1300" s="63"/>
      <c r="B1300" s="63">
        <v>4</v>
      </c>
      <c r="C1300" s="63" t="s">
        <v>4217</v>
      </c>
      <c r="D1300" s="63" t="s">
        <v>64</v>
      </c>
      <c r="E1300" s="66">
        <v>38.28857102689453</v>
      </c>
      <c r="F1300" s="67">
        <v>3.0000000000000001E-3</v>
      </c>
      <c r="G1300" s="67">
        <v>2E-3</v>
      </c>
      <c r="H1300" s="63"/>
    </row>
    <row r="1301" spans="1:8" x14ac:dyDescent="0.25">
      <c r="A1301" s="63"/>
      <c r="B1301" s="63">
        <v>5</v>
      </c>
      <c r="C1301" s="63" t="s">
        <v>4217</v>
      </c>
      <c r="D1301" s="63" t="s">
        <v>64</v>
      </c>
      <c r="E1301" s="66">
        <v>41.508575010079298</v>
      </c>
      <c r="F1301" s="67">
        <v>3.0000000000000001E-3</v>
      </c>
      <c r="G1301" s="67">
        <v>2E-3</v>
      </c>
      <c r="H1301" s="63"/>
    </row>
    <row r="1302" spans="1:8" x14ac:dyDescent="0.25">
      <c r="A1302" s="63"/>
      <c r="B1302" s="63">
        <v>6</v>
      </c>
      <c r="C1302" s="63" t="s">
        <v>4217</v>
      </c>
      <c r="D1302" s="63" t="s">
        <v>64</v>
      </c>
      <c r="E1302" s="66">
        <v>46.730645133485858</v>
      </c>
      <c r="F1302" s="67">
        <v>3.0000000000000001E-3</v>
      </c>
      <c r="G1302" s="67">
        <v>2E-3</v>
      </c>
      <c r="H1302" s="63"/>
    </row>
    <row r="1303" spans="1:8" x14ac:dyDescent="0.25">
      <c r="A1303" s="63"/>
      <c r="B1303" s="63">
        <v>7</v>
      </c>
      <c r="C1303" s="63" t="s">
        <v>4217</v>
      </c>
      <c r="D1303" s="63" t="s">
        <v>64</v>
      </c>
      <c r="E1303" s="66">
        <v>49.629782294147901</v>
      </c>
      <c r="F1303" s="67">
        <v>3.0000000000000001E-3</v>
      </c>
      <c r="G1303" s="67">
        <v>2E-3</v>
      </c>
      <c r="H1303" s="63"/>
    </row>
    <row r="1304" spans="1:8" x14ac:dyDescent="0.25">
      <c r="A1304" s="63"/>
      <c r="B1304" s="63">
        <v>8</v>
      </c>
      <c r="C1304" s="63" t="s">
        <v>4217</v>
      </c>
      <c r="D1304" s="63" t="s">
        <v>64</v>
      </c>
      <c r="E1304" s="66">
        <v>52.773045315487778</v>
      </c>
      <c r="F1304" s="67">
        <v>3.0000000000000001E-3</v>
      </c>
      <c r="G1304" s="67">
        <v>2E-3</v>
      </c>
      <c r="H1304" s="63"/>
    </row>
    <row r="1305" spans="1:8" x14ac:dyDescent="0.25">
      <c r="A1305" s="63"/>
      <c r="B1305" s="63">
        <v>9</v>
      </c>
      <c r="C1305" s="63" t="s">
        <v>4217</v>
      </c>
      <c r="D1305" s="63" t="s">
        <v>64</v>
      </c>
      <c r="E1305" s="66">
        <v>56.749319363703371</v>
      </c>
      <c r="F1305" s="67">
        <v>3.0000000000000001E-3</v>
      </c>
      <c r="G1305" s="67">
        <v>2E-3</v>
      </c>
      <c r="H1305" s="63"/>
    </row>
    <row r="1306" spans="1:8" x14ac:dyDescent="0.25">
      <c r="A1306" s="63"/>
      <c r="B1306" s="63">
        <v>10</v>
      </c>
      <c r="C1306" s="63" t="s">
        <v>4217</v>
      </c>
      <c r="D1306" s="63" t="s">
        <v>64</v>
      </c>
      <c r="E1306" s="66">
        <v>60.187288918753246</v>
      </c>
      <c r="F1306" s="67">
        <v>3.0000000000000001E-3</v>
      </c>
      <c r="G1306" s="67">
        <v>2E-3</v>
      </c>
      <c r="H1306" s="63"/>
    </row>
    <row r="1307" spans="1:8" x14ac:dyDescent="0.25">
      <c r="A1307" s="63"/>
      <c r="B1307" s="63">
        <v>11</v>
      </c>
      <c r="C1307" s="63" t="s">
        <v>4217</v>
      </c>
      <c r="D1307" s="63" t="s">
        <v>64</v>
      </c>
      <c r="E1307" s="66"/>
      <c r="F1307" s="67">
        <v>3.0000000000000001E-3</v>
      </c>
      <c r="G1307" s="67">
        <v>2E-3</v>
      </c>
      <c r="H1307" s="63"/>
    </row>
    <row r="1308" spans="1:8" x14ac:dyDescent="0.25">
      <c r="A1308" s="63"/>
      <c r="B1308" s="63">
        <v>12</v>
      </c>
      <c r="C1308" s="63" t="s">
        <v>4217</v>
      </c>
      <c r="D1308" s="63" t="s">
        <v>64</v>
      </c>
      <c r="E1308" s="66"/>
      <c r="F1308" s="67">
        <v>3.0000000000000001E-3</v>
      </c>
      <c r="G1308" s="67">
        <v>2E-3</v>
      </c>
      <c r="H1308" s="63"/>
    </row>
    <row r="1309" spans="1:8" x14ac:dyDescent="0.25">
      <c r="A1309" s="63"/>
      <c r="B1309" s="63">
        <v>13</v>
      </c>
      <c r="C1309" s="63" t="s">
        <v>4217</v>
      </c>
      <c r="D1309" s="63" t="s">
        <v>64</v>
      </c>
      <c r="E1309" s="66"/>
      <c r="F1309" s="67">
        <v>3.0000000000000001E-3</v>
      </c>
      <c r="G1309" s="67">
        <v>2E-3</v>
      </c>
      <c r="H1309" s="63"/>
    </row>
    <row r="1310" spans="1:8" x14ac:dyDescent="0.25">
      <c r="A1310" s="63"/>
      <c r="B1310" s="63">
        <v>14</v>
      </c>
      <c r="C1310" s="63" t="s">
        <v>4217</v>
      </c>
      <c r="D1310" s="63" t="s">
        <v>64</v>
      </c>
      <c r="E1310" s="66"/>
      <c r="F1310" s="67">
        <v>3.0000000000000001E-3</v>
      </c>
      <c r="G1310" s="67">
        <v>2E-3</v>
      </c>
      <c r="H1310" s="63"/>
    </row>
    <row r="1311" spans="1:8" x14ac:dyDescent="0.25">
      <c r="A1311" s="63"/>
      <c r="B1311" s="63">
        <v>15</v>
      </c>
      <c r="C1311" s="63" t="s">
        <v>4217</v>
      </c>
      <c r="D1311" s="63" t="s">
        <v>64</v>
      </c>
      <c r="E1311" s="66"/>
      <c r="F1311" s="67">
        <v>3.0000000000000001E-3</v>
      </c>
      <c r="G1311" s="67">
        <v>2E-3</v>
      </c>
      <c r="H1311" s="63"/>
    </row>
    <row r="1312" spans="1:8" x14ac:dyDescent="0.25">
      <c r="A1312" s="63"/>
      <c r="B1312" s="63">
        <v>16</v>
      </c>
      <c r="C1312" s="63" t="s">
        <v>4217</v>
      </c>
      <c r="D1312" s="63" t="s">
        <v>64</v>
      </c>
      <c r="E1312" s="66"/>
      <c r="F1312" s="67">
        <v>3.0000000000000001E-3</v>
      </c>
      <c r="G1312" s="67">
        <v>2E-3</v>
      </c>
      <c r="H1312" s="63"/>
    </row>
    <row r="1313" spans="1:8" x14ac:dyDescent="0.25">
      <c r="A1313" s="63"/>
      <c r="B1313" s="63">
        <v>17</v>
      </c>
      <c r="C1313" s="63" t="s">
        <v>4217</v>
      </c>
      <c r="D1313" s="63" t="s">
        <v>64</v>
      </c>
      <c r="E1313" s="66"/>
      <c r="F1313" s="67">
        <v>3.0000000000000001E-3</v>
      </c>
      <c r="G1313" s="67">
        <v>2E-3</v>
      </c>
      <c r="H1313" s="63"/>
    </row>
    <row r="1314" spans="1:8" x14ac:dyDescent="0.25">
      <c r="A1314" s="63"/>
      <c r="B1314" s="63">
        <v>18</v>
      </c>
      <c r="C1314" s="63" t="s">
        <v>4217</v>
      </c>
      <c r="D1314" s="63" t="s">
        <v>64</v>
      </c>
      <c r="E1314" s="66"/>
      <c r="F1314" s="67">
        <v>3.0000000000000001E-3</v>
      </c>
      <c r="G1314" s="67">
        <v>2E-3</v>
      </c>
      <c r="H1314" s="63"/>
    </row>
    <row r="1315" spans="1:8" x14ac:dyDescent="0.25">
      <c r="A1315" s="63"/>
      <c r="B1315" s="63">
        <v>19</v>
      </c>
      <c r="C1315" s="63" t="s">
        <v>4217</v>
      </c>
      <c r="D1315" s="63" t="s">
        <v>64</v>
      </c>
      <c r="E1315" s="66"/>
      <c r="F1315" s="67">
        <v>3.0000000000000001E-3</v>
      </c>
      <c r="G1315" s="67">
        <v>2E-3</v>
      </c>
      <c r="H1315" s="63"/>
    </row>
    <row r="1316" spans="1:8" x14ac:dyDescent="0.25">
      <c r="A1316" s="63"/>
      <c r="B1316" s="63">
        <v>20</v>
      </c>
      <c r="C1316" s="63" t="s">
        <v>4217</v>
      </c>
      <c r="D1316" s="63" t="s">
        <v>64</v>
      </c>
      <c r="E1316" s="66"/>
      <c r="F1316" s="67">
        <v>3.0000000000000001E-3</v>
      </c>
      <c r="G1316" s="67">
        <v>2E-3</v>
      </c>
      <c r="H1316" s="63"/>
    </row>
    <row r="1317" spans="1:8" x14ac:dyDescent="0.25">
      <c r="A1317" s="63"/>
      <c r="B1317" s="63">
        <v>21</v>
      </c>
      <c r="C1317" s="63" t="s">
        <v>4217</v>
      </c>
      <c r="D1317" s="63" t="s">
        <v>64</v>
      </c>
      <c r="E1317" s="66"/>
      <c r="F1317" s="67">
        <v>3.0000000000000001E-3</v>
      </c>
      <c r="G1317" s="67">
        <v>2E-3</v>
      </c>
      <c r="H1317" s="63"/>
    </row>
    <row r="1318" spans="1:8" x14ac:dyDescent="0.25">
      <c r="A1318" s="63"/>
      <c r="B1318" s="63">
        <v>22</v>
      </c>
      <c r="C1318" s="63" t="s">
        <v>4217</v>
      </c>
      <c r="D1318" s="63" t="s">
        <v>64</v>
      </c>
      <c r="E1318" s="66"/>
      <c r="F1318" s="67">
        <v>3.0000000000000001E-3</v>
      </c>
      <c r="G1318" s="67">
        <v>2E-3</v>
      </c>
      <c r="H1318" s="63"/>
    </row>
    <row r="1319" spans="1:8" x14ac:dyDescent="0.25">
      <c r="A1319" s="63"/>
      <c r="B1319" s="63">
        <v>23</v>
      </c>
      <c r="C1319" s="63" t="s">
        <v>4217</v>
      </c>
      <c r="D1319" s="63" t="s">
        <v>64</v>
      </c>
      <c r="E1319" s="66"/>
      <c r="F1319" s="67">
        <v>3.0000000000000001E-3</v>
      </c>
      <c r="G1319" s="67">
        <v>2E-3</v>
      </c>
      <c r="H1319" s="63"/>
    </row>
    <row r="1320" spans="1:8" x14ac:dyDescent="0.25">
      <c r="A1320" s="63"/>
      <c r="B1320" s="63">
        <v>24</v>
      </c>
      <c r="C1320" s="63" t="s">
        <v>4217</v>
      </c>
      <c r="D1320" s="63" t="s">
        <v>64</v>
      </c>
      <c r="E1320" s="66"/>
      <c r="F1320" s="67">
        <v>3.0000000000000001E-3</v>
      </c>
      <c r="G1320" s="67">
        <v>2E-3</v>
      </c>
      <c r="H1320" s="63"/>
    </row>
    <row r="1321" spans="1:8" x14ac:dyDescent="0.25">
      <c r="A1321" s="63"/>
      <c r="B1321" s="63">
        <v>25</v>
      </c>
      <c r="C1321" s="63" t="s">
        <v>4217</v>
      </c>
      <c r="D1321" s="63" t="s">
        <v>64</v>
      </c>
      <c r="E1321" s="66"/>
      <c r="F1321" s="67">
        <v>3.0000000000000001E-3</v>
      </c>
      <c r="G1321" s="67">
        <v>2E-3</v>
      </c>
      <c r="H1321" s="63"/>
    </row>
    <row r="1322" spans="1:8" x14ac:dyDescent="0.25">
      <c r="A1322" s="63"/>
      <c r="B1322" s="63">
        <v>26</v>
      </c>
      <c r="C1322" s="63" t="s">
        <v>4217</v>
      </c>
      <c r="D1322" s="63" t="s">
        <v>64</v>
      </c>
      <c r="E1322" s="66"/>
      <c r="F1322" s="67">
        <v>3.0000000000000001E-3</v>
      </c>
      <c r="G1322" s="67">
        <v>2E-3</v>
      </c>
      <c r="H1322" s="63"/>
    </row>
    <row r="1323" spans="1:8" x14ac:dyDescent="0.25">
      <c r="A1323" s="63"/>
      <c r="B1323" s="63">
        <v>27</v>
      </c>
      <c r="C1323" s="63" t="s">
        <v>4217</v>
      </c>
      <c r="D1323" s="63" t="s">
        <v>64</v>
      </c>
      <c r="E1323" s="66"/>
      <c r="F1323" s="67">
        <v>3.0000000000000001E-3</v>
      </c>
      <c r="G1323" s="67">
        <v>2E-3</v>
      </c>
      <c r="H1323" s="63"/>
    </row>
    <row r="1324" spans="1:8" x14ac:dyDescent="0.25">
      <c r="A1324" s="63"/>
      <c r="B1324" s="63">
        <v>28</v>
      </c>
      <c r="C1324" s="63" t="s">
        <v>4217</v>
      </c>
      <c r="D1324" s="63" t="s">
        <v>64</v>
      </c>
      <c r="E1324" s="66"/>
      <c r="F1324" s="67">
        <v>3.0000000000000001E-3</v>
      </c>
      <c r="G1324" s="67">
        <v>2E-3</v>
      </c>
      <c r="H1324" s="63"/>
    </row>
    <row r="1325" spans="1:8" x14ac:dyDescent="0.25">
      <c r="A1325" s="63"/>
      <c r="B1325" s="63">
        <v>29</v>
      </c>
      <c r="C1325" s="63" t="s">
        <v>4217</v>
      </c>
      <c r="D1325" s="63" t="s">
        <v>64</v>
      </c>
      <c r="E1325" s="66"/>
      <c r="F1325" s="67">
        <v>3.0000000000000001E-3</v>
      </c>
      <c r="G1325" s="67">
        <v>2E-3</v>
      </c>
      <c r="H1325" s="63"/>
    </row>
    <row r="1326" spans="1:8" x14ac:dyDescent="0.25">
      <c r="A1326" s="63"/>
      <c r="B1326" s="63">
        <v>30</v>
      </c>
      <c r="C1326" s="63" t="s">
        <v>4217</v>
      </c>
      <c r="D1326" s="63" t="s">
        <v>64</v>
      </c>
      <c r="E1326" s="66"/>
      <c r="F1326" s="67">
        <v>3.0000000000000001E-3</v>
      </c>
      <c r="G1326" s="67">
        <v>2E-3</v>
      </c>
      <c r="H1326" s="63"/>
    </row>
    <row r="1327" spans="1:8" x14ac:dyDescent="0.25">
      <c r="A1327" s="63"/>
      <c r="B1327" s="63">
        <v>0</v>
      </c>
      <c r="C1327" s="63" t="s">
        <v>4217</v>
      </c>
      <c r="D1327" s="63" t="s">
        <v>64</v>
      </c>
      <c r="E1327" s="66">
        <v>3.0428788910505911</v>
      </c>
      <c r="F1327" s="67">
        <v>3.0000000000000001E-3</v>
      </c>
      <c r="G1327" s="67">
        <v>2E-3</v>
      </c>
      <c r="H1327" s="63"/>
    </row>
    <row r="1328" spans="1:8" x14ac:dyDescent="0.25">
      <c r="A1328" s="63"/>
      <c r="B1328" s="63">
        <v>0.25</v>
      </c>
      <c r="C1328" s="63" t="s">
        <v>4217</v>
      </c>
      <c r="D1328" s="63" t="s">
        <v>77</v>
      </c>
      <c r="E1328" s="66">
        <v>37.805832567895507</v>
      </c>
      <c r="F1328" s="67">
        <v>3.0000000000000001E-3</v>
      </c>
      <c r="G1328" s="67">
        <v>2E-3</v>
      </c>
      <c r="H1328" s="63"/>
    </row>
    <row r="1329" spans="1:8" x14ac:dyDescent="0.25">
      <c r="A1329" s="63"/>
      <c r="B1329" s="63">
        <v>0.5</v>
      </c>
      <c r="C1329" s="63" t="s">
        <v>4217</v>
      </c>
      <c r="D1329" s="63" t="s">
        <v>77</v>
      </c>
      <c r="E1329" s="66">
        <v>39.372205384609224</v>
      </c>
      <c r="F1329" s="67">
        <v>3.0000000000000001E-3</v>
      </c>
      <c r="G1329" s="67">
        <v>2E-3</v>
      </c>
      <c r="H1329" s="63"/>
    </row>
    <row r="1330" spans="1:8" x14ac:dyDescent="0.25">
      <c r="A1330" s="63"/>
      <c r="B1330" s="63">
        <v>0.75</v>
      </c>
      <c r="C1330" s="63" t="s">
        <v>4217</v>
      </c>
      <c r="D1330" s="63" t="s">
        <v>77</v>
      </c>
      <c r="E1330" s="66">
        <v>41.954009946473661</v>
      </c>
      <c r="F1330" s="67">
        <v>3.0000000000000001E-3</v>
      </c>
      <c r="G1330" s="67">
        <v>2E-3</v>
      </c>
      <c r="H1330" s="63"/>
    </row>
    <row r="1331" spans="1:8" x14ac:dyDescent="0.25">
      <c r="A1331" s="63"/>
      <c r="B1331" s="63">
        <v>1</v>
      </c>
      <c r="C1331" s="63" t="s">
        <v>4217</v>
      </c>
      <c r="D1331" s="63" t="s">
        <v>77</v>
      </c>
      <c r="E1331" s="66">
        <v>42.765400727434375</v>
      </c>
      <c r="F1331" s="67">
        <v>3.0000000000000001E-3</v>
      </c>
      <c r="G1331" s="67">
        <v>2E-3</v>
      </c>
      <c r="H1331" s="63"/>
    </row>
    <row r="1332" spans="1:8" x14ac:dyDescent="0.25">
      <c r="A1332" s="63"/>
      <c r="B1332" s="63">
        <v>2</v>
      </c>
      <c r="C1332" s="63" t="s">
        <v>4217</v>
      </c>
      <c r="D1332" s="63" t="s">
        <v>77</v>
      </c>
      <c r="E1332" s="66">
        <v>45.367254324781861</v>
      </c>
      <c r="F1332" s="67">
        <v>3.0000000000000001E-3</v>
      </c>
      <c r="G1332" s="67">
        <v>2E-3</v>
      </c>
      <c r="H1332" s="63"/>
    </row>
    <row r="1333" spans="1:8" x14ac:dyDescent="0.25">
      <c r="A1333" s="63"/>
      <c r="B1333" s="63">
        <v>3</v>
      </c>
      <c r="C1333" s="63" t="s">
        <v>4217</v>
      </c>
      <c r="D1333" s="63" t="s">
        <v>77</v>
      </c>
      <c r="E1333" s="66">
        <v>49.734450249044727</v>
      </c>
      <c r="F1333" s="67">
        <v>3.0000000000000001E-3</v>
      </c>
      <c r="G1333" s="67">
        <v>2E-3</v>
      </c>
      <c r="H1333" s="63"/>
    </row>
    <row r="1334" spans="1:8" x14ac:dyDescent="0.25">
      <c r="A1334" s="63"/>
      <c r="B1334" s="63">
        <v>4</v>
      </c>
      <c r="C1334" s="63" t="s">
        <v>4217</v>
      </c>
      <c r="D1334" s="63" t="s">
        <v>77</v>
      </c>
      <c r="E1334" s="66">
        <v>54.717582674418672</v>
      </c>
      <c r="F1334" s="67">
        <v>3.0000000000000001E-3</v>
      </c>
      <c r="G1334" s="67">
        <v>2E-3</v>
      </c>
      <c r="H1334" s="63"/>
    </row>
    <row r="1335" spans="1:8" x14ac:dyDescent="0.25">
      <c r="A1335" s="63"/>
      <c r="B1335" s="63">
        <v>5</v>
      </c>
      <c r="C1335" s="63" t="s">
        <v>4217</v>
      </c>
      <c r="D1335" s="63" t="s">
        <v>77</v>
      </c>
      <c r="E1335" s="66">
        <v>59.512837475744206</v>
      </c>
      <c r="F1335" s="67">
        <v>3.0000000000000001E-3</v>
      </c>
      <c r="G1335" s="67">
        <v>2E-3</v>
      </c>
      <c r="H1335" s="63"/>
    </row>
    <row r="1336" spans="1:8" x14ac:dyDescent="0.25">
      <c r="A1336" s="63"/>
      <c r="B1336" s="63">
        <v>6</v>
      </c>
      <c r="C1336" s="63" t="s">
        <v>4217</v>
      </c>
      <c r="D1336" s="63" t="s">
        <v>77</v>
      </c>
      <c r="E1336" s="66">
        <v>64.787617757202327</v>
      </c>
      <c r="F1336" s="67">
        <v>3.0000000000000001E-3</v>
      </c>
      <c r="G1336" s="67">
        <v>2E-3</v>
      </c>
      <c r="H1336" s="63"/>
    </row>
    <row r="1337" spans="1:8" x14ac:dyDescent="0.25">
      <c r="A1337" s="63"/>
      <c r="B1337" s="63">
        <v>7</v>
      </c>
      <c r="C1337" s="63" t="s">
        <v>4217</v>
      </c>
      <c r="D1337" s="63" t="s">
        <v>77</v>
      </c>
      <c r="E1337" s="66">
        <v>70.226598549201981</v>
      </c>
      <c r="F1337" s="67">
        <v>3.0000000000000001E-3</v>
      </c>
      <c r="G1337" s="67">
        <v>2E-3</v>
      </c>
      <c r="H1337" s="63"/>
    </row>
    <row r="1338" spans="1:8" x14ac:dyDescent="0.25">
      <c r="A1338" s="63"/>
      <c r="B1338" s="63">
        <v>8</v>
      </c>
      <c r="C1338" s="63" t="s">
        <v>4217</v>
      </c>
      <c r="D1338" s="63" t="s">
        <v>77</v>
      </c>
      <c r="E1338" s="66">
        <v>76.098072315003037</v>
      </c>
      <c r="F1338" s="67">
        <v>3.0000000000000001E-3</v>
      </c>
      <c r="G1338" s="67">
        <v>2E-3</v>
      </c>
      <c r="H1338" s="63"/>
    </row>
    <row r="1339" spans="1:8" x14ac:dyDescent="0.25">
      <c r="A1339" s="63"/>
      <c r="B1339" s="63">
        <v>9</v>
      </c>
      <c r="C1339" s="63" t="s">
        <v>4217</v>
      </c>
      <c r="D1339" s="63" t="s">
        <v>77</v>
      </c>
      <c r="E1339" s="66">
        <v>82.253154909341504</v>
      </c>
      <c r="F1339" s="67">
        <v>3.0000000000000001E-3</v>
      </c>
      <c r="G1339" s="67">
        <v>2E-3</v>
      </c>
      <c r="H1339" s="63"/>
    </row>
    <row r="1340" spans="1:8" x14ac:dyDescent="0.25">
      <c r="A1340" s="63"/>
      <c r="B1340" s="63">
        <v>10</v>
      </c>
      <c r="C1340" s="63" t="s">
        <v>4217</v>
      </c>
      <c r="D1340" s="63" t="s">
        <v>77</v>
      </c>
      <c r="E1340" s="66">
        <v>89.04634969754251</v>
      </c>
      <c r="F1340" s="67">
        <v>3.0000000000000001E-3</v>
      </c>
      <c r="G1340" s="67">
        <v>2E-3</v>
      </c>
      <c r="H1340" s="63"/>
    </row>
    <row r="1341" spans="1:8" x14ac:dyDescent="0.25">
      <c r="A1341" s="63"/>
      <c r="B1341" s="63">
        <v>11</v>
      </c>
      <c r="C1341" s="63" t="s">
        <v>4217</v>
      </c>
      <c r="D1341" s="63" t="s">
        <v>77</v>
      </c>
      <c r="E1341" s="66"/>
      <c r="F1341" s="67">
        <v>3.0000000000000001E-3</v>
      </c>
      <c r="G1341" s="67">
        <v>2E-3</v>
      </c>
      <c r="H1341" s="63"/>
    </row>
    <row r="1342" spans="1:8" x14ac:dyDescent="0.25">
      <c r="A1342" s="63"/>
      <c r="B1342" s="63">
        <v>12</v>
      </c>
      <c r="C1342" s="63" t="s">
        <v>4217</v>
      </c>
      <c r="D1342" s="63" t="s">
        <v>77</v>
      </c>
      <c r="E1342" s="66"/>
      <c r="F1342" s="67">
        <v>3.0000000000000001E-3</v>
      </c>
      <c r="G1342" s="67">
        <v>2E-3</v>
      </c>
      <c r="H1342" s="63"/>
    </row>
    <row r="1343" spans="1:8" x14ac:dyDescent="0.25">
      <c r="A1343" s="63"/>
      <c r="B1343" s="63">
        <v>13</v>
      </c>
      <c r="C1343" s="63" t="s">
        <v>4217</v>
      </c>
      <c r="D1343" s="63" t="s">
        <v>77</v>
      </c>
      <c r="E1343" s="66"/>
      <c r="F1343" s="67">
        <v>3.0000000000000001E-3</v>
      </c>
      <c r="G1343" s="67">
        <v>2E-3</v>
      </c>
      <c r="H1343" s="63"/>
    </row>
    <row r="1344" spans="1:8" x14ac:dyDescent="0.25">
      <c r="A1344" s="63"/>
      <c r="B1344" s="63">
        <v>14</v>
      </c>
      <c r="C1344" s="63" t="s">
        <v>4217</v>
      </c>
      <c r="D1344" s="63" t="s">
        <v>77</v>
      </c>
      <c r="E1344" s="66"/>
      <c r="F1344" s="67">
        <v>3.0000000000000001E-3</v>
      </c>
      <c r="G1344" s="67">
        <v>2E-3</v>
      </c>
      <c r="H1344" s="63"/>
    </row>
    <row r="1345" spans="1:8" x14ac:dyDescent="0.25">
      <c r="A1345" s="63"/>
      <c r="B1345" s="63">
        <v>15</v>
      </c>
      <c r="C1345" s="63" t="s">
        <v>4217</v>
      </c>
      <c r="D1345" s="63" t="s">
        <v>77</v>
      </c>
      <c r="E1345" s="66"/>
      <c r="F1345" s="67">
        <v>3.0000000000000001E-3</v>
      </c>
      <c r="G1345" s="67">
        <v>2E-3</v>
      </c>
      <c r="H1345" s="63"/>
    </row>
    <row r="1346" spans="1:8" x14ac:dyDescent="0.25">
      <c r="A1346" s="63"/>
      <c r="B1346" s="63">
        <v>16</v>
      </c>
      <c r="C1346" s="63" t="s">
        <v>4217</v>
      </c>
      <c r="D1346" s="63" t="s">
        <v>77</v>
      </c>
      <c r="E1346" s="66"/>
      <c r="F1346" s="67">
        <v>3.0000000000000001E-3</v>
      </c>
      <c r="G1346" s="67">
        <v>2E-3</v>
      </c>
      <c r="H1346" s="63"/>
    </row>
    <row r="1347" spans="1:8" x14ac:dyDescent="0.25">
      <c r="A1347" s="63"/>
      <c r="B1347" s="63">
        <v>17</v>
      </c>
      <c r="C1347" s="63" t="s">
        <v>4217</v>
      </c>
      <c r="D1347" s="63" t="s">
        <v>77</v>
      </c>
      <c r="E1347" s="66"/>
      <c r="F1347" s="67">
        <v>3.0000000000000001E-3</v>
      </c>
      <c r="G1347" s="67">
        <v>2E-3</v>
      </c>
      <c r="H1347" s="63"/>
    </row>
    <row r="1348" spans="1:8" x14ac:dyDescent="0.25">
      <c r="A1348" s="63"/>
      <c r="B1348" s="63">
        <v>18</v>
      </c>
      <c r="C1348" s="63" t="s">
        <v>4217</v>
      </c>
      <c r="D1348" s="63" t="s">
        <v>77</v>
      </c>
      <c r="E1348" s="66"/>
      <c r="F1348" s="67">
        <v>3.0000000000000001E-3</v>
      </c>
      <c r="G1348" s="67">
        <v>2E-3</v>
      </c>
      <c r="H1348" s="63"/>
    </row>
    <row r="1349" spans="1:8" x14ac:dyDescent="0.25">
      <c r="A1349" s="63"/>
      <c r="B1349" s="63">
        <v>19</v>
      </c>
      <c r="C1349" s="63" t="s">
        <v>4217</v>
      </c>
      <c r="D1349" s="63" t="s">
        <v>77</v>
      </c>
      <c r="E1349" s="66"/>
      <c r="F1349" s="67">
        <v>3.0000000000000001E-3</v>
      </c>
      <c r="G1349" s="67">
        <v>2E-3</v>
      </c>
      <c r="H1349" s="63"/>
    </row>
    <row r="1350" spans="1:8" x14ac:dyDescent="0.25">
      <c r="A1350" s="63"/>
      <c r="B1350" s="63">
        <v>20</v>
      </c>
      <c r="C1350" s="63" t="s">
        <v>4217</v>
      </c>
      <c r="D1350" s="63" t="s">
        <v>77</v>
      </c>
      <c r="E1350" s="66"/>
      <c r="F1350" s="67">
        <v>3.0000000000000001E-3</v>
      </c>
      <c r="G1350" s="67">
        <v>2E-3</v>
      </c>
      <c r="H1350" s="63"/>
    </row>
    <row r="1351" spans="1:8" x14ac:dyDescent="0.25">
      <c r="A1351" s="63"/>
      <c r="B1351" s="63">
        <v>21</v>
      </c>
      <c r="C1351" s="63" t="s">
        <v>4217</v>
      </c>
      <c r="D1351" s="63" t="s">
        <v>77</v>
      </c>
      <c r="E1351" s="66"/>
      <c r="F1351" s="67">
        <v>3.0000000000000001E-3</v>
      </c>
      <c r="G1351" s="67">
        <v>2E-3</v>
      </c>
      <c r="H1351" s="63"/>
    </row>
    <row r="1352" spans="1:8" x14ac:dyDescent="0.25">
      <c r="A1352" s="63"/>
      <c r="B1352" s="63">
        <v>22</v>
      </c>
      <c r="C1352" s="63" t="s">
        <v>4217</v>
      </c>
      <c r="D1352" s="63" t="s">
        <v>77</v>
      </c>
      <c r="E1352" s="66"/>
      <c r="F1352" s="67">
        <v>3.0000000000000001E-3</v>
      </c>
      <c r="G1352" s="67">
        <v>2E-3</v>
      </c>
      <c r="H1352" s="63"/>
    </row>
    <row r="1353" spans="1:8" x14ac:dyDescent="0.25">
      <c r="A1353" s="63"/>
      <c r="B1353" s="63">
        <v>23</v>
      </c>
      <c r="C1353" s="63" t="s">
        <v>4217</v>
      </c>
      <c r="D1353" s="63" t="s">
        <v>77</v>
      </c>
      <c r="E1353" s="66"/>
      <c r="F1353" s="67">
        <v>3.0000000000000001E-3</v>
      </c>
      <c r="G1353" s="67">
        <v>2E-3</v>
      </c>
      <c r="H1353" s="63"/>
    </row>
    <row r="1354" spans="1:8" x14ac:dyDescent="0.25">
      <c r="A1354" s="63"/>
      <c r="B1354" s="63">
        <v>24</v>
      </c>
      <c r="C1354" s="63" t="s">
        <v>4217</v>
      </c>
      <c r="D1354" s="63" t="s">
        <v>77</v>
      </c>
      <c r="E1354" s="66"/>
      <c r="F1354" s="67">
        <v>3.0000000000000001E-3</v>
      </c>
      <c r="G1354" s="67">
        <v>2E-3</v>
      </c>
      <c r="H1354" s="63"/>
    </row>
    <row r="1355" spans="1:8" x14ac:dyDescent="0.25">
      <c r="A1355" s="63"/>
      <c r="B1355" s="63">
        <v>25</v>
      </c>
      <c r="C1355" s="63" t="s">
        <v>4217</v>
      </c>
      <c r="D1355" s="63" t="s">
        <v>77</v>
      </c>
      <c r="E1355" s="66"/>
      <c r="F1355" s="67">
        <v>3.0000000000000001E-3</v>
      </c>
      <c r="G1355" s="67">
        <v>2E-3</v>
      </c>
      <c r="H1355" s="63"/>
    </row>
    <row r="1356" spans="1:8" x14ac:dyDescent="0.25">
      <c r="A1356" s="63"/>
      <c r="B1356" s="63">
        <v>26</v>
      </c>
      <c r="C1356" s="63" t="s">
        <v>4217</v>
      </c>
      <c r="D1356" s="63" t="s">
        <v>77</v>
      </c>
      <c r="E1356" s="66"/>
      <c r="F1356" s="67">
        <v>3.0000000000000001E-3</v>
      </c>
      <c r="G1356" s="67">
        <v>2E-3</v>
      </c>
      <c r="H1356" s="63"/>
    </row>
    <row r="1357" spans="1:8" x14ac:dyDescent="0.25">
      <c r="A1357" s="63"/>
      <c r="B1357" s="63">
        <v>27</v>
      </c>
      <c r="C1357" s="63" t="s">
        <v>4217</v>
      </c>
      <c r="D1357" s="63" t="s">
        <v>77</v>
      </c>
      <c r="E1357" s="66"/>
      <c r="F1357" s="67">
        <v>3.0000000000000001E-3</v>
      </c>
      <c r="G1357" s="67">
        <v>2E-3</v>
      </c>
      <c r="H1357" s="63"/>
    </row>
    <row r="1358" spans="1:8" x14ac:dyDescent="0.25">
      <c r="A1358" s="63"/>
      <c r="B1358" s="63">
        <v>28</v>
      </c>
      <c r="C1358" s="63" t="s">
        <v>4217</v>
      </c>
      <c r="D1358" s="63" t="s">
        <v>77</v>
      </c>
      <c r="E1358" s="66"/>
      <c r="F1358" s="67">
        <v>3.0000000000000001E-3</v>
      </c>
      <c r="G1358" s="67">
        <v>2E-3</v>
      </c>
      <c r="H1358" s="63"/>
    </row>
    <row r="1359" spans="1:8" x14ac:dyDescent="0.25">
      <c r="A1359" s="63"/>
      <c r="B1359" s="63">
        <v>29</v>
      </c>
      <c r="C1359" s="63" t="s">
        <v>4217</v>
      </c>
      <c r="D1359" s="63" t="s">
        <v>77</v>
      </c>
      <c r="E1359" s="66"/>
      <c r="F1359" s="67">
        <v>3.0000000000000001E-3</v>
      </c>
      <c r="G1359" s="67">
        <v>2E-3</v>
      </c>
      <c r="H1359" s="63"/>
    </row>
    <row r="1360" spans="1:8" x14ac:dyDescent="0.25">
      <c r="A1360" s="63"/>
      <c r="B1360" s="63">
        <v>30</v>
      </c>
      <c r="C1360" s="63" t="s">
        <v>4217</v>
      </c>
      <c r="D1360" s="63" t="s">
        <v>77</v>
      </c>
      <c r="E1360" s="66"/>
      <c r="F1360" s="67">
        <v>3.0000000000000001E-3</v>
      </c>
      <c r="G1360" s="67">
        <v>2E-3</v>
      </c>
      <c r="H1360" s="63"/>
    </row>
    <row r="1361" spans="1:8" x14ac:dyDescent="0.25">
      <c r="A1361" s="63"/>
      <c r="B1361" s="63">
        <v>0</v>
      </c>
      <c r="C1361" s="63" t="s">
        <v>4217</v>
      </c>
      <c r="D1361" s="63" t="s">
        <v>77</v>
      </c>
      <c r="E1361" s="66">
        <v>3.0428788910505911</v>
      </c>
      <c r="F1361" s="67">
        <v>3.0000000000000001E-3</v>
      </c>
      <c r="G1361" s="67">
        <v>2E-3</v>
      </c>
      <c r="H1361" s="63"/>
    </row>
    <row r="1362" spans="1:8" x14ac:dyDescent="0.25">
      <c r="A1362" s="63"/>
      <c r="B1362" s="63">
        <v>0.25</v>
      </c>
      <c r="C1362" s="63" t="s">
        <v>4079</v>
      </c>
      <c r="D1362" s="63" t="s">
        <v>21</v>
      </c>
      <c r="E1362" s="66">
        <v>13.679359634076365</v>
      </c>
      <c r="F1362" s="67">
        <v>3.0000000000000001E-3</v>
      </c>
      <c r="G1362" s="67">
        <v>2E-3</v>
      </c>
      <c r="H1362" s="63"/>
    </row>
    <row r="1363" spans="1:8" x14ac:dyDescent="0.25">
      <c r="A1363" s="63"/>
      <c r="B1363" s="63">
        <v>0.5</v>
      </c>
      <c r="C1363" s="63" t="s">
        <v>4079</v>
      </c>
      <c r="D1363" s="63" t="s">
        <v>21</v>
      </c>
      <c r="E1363" s="66">
        <v>15.170570396333657</v>
      </c>
      <c r="F1363" s="67">
        <v>3.0000000000000001E-3</v>
      </c>
      <c r="G1363" s="67">
        <v>2E-3</v>
      </c>
      <c r="H1363" s="63"/>
    </row>
    <row r="1364" spans="1:8" x14ac:dyDescent="0.25">
      <c r="A1364" s="63"/>
      <c r="B1364" s="63">
        <v>0.75</v>
      </c>
      <c r="C1364" s="63" t="s">
        <v>4079</v>
      </c>
      <c r="D1364" s="63" t="s">
        <v>21</v>
      </c>
      <c r="E1364" s="66">
        <v>15.704788139201618</v>
      </c>
      <c r="F1364" s="67">
        <v>3.0000000000000001E-3</v>
      </c>
      <c r="G1364" s="67">
        <v>2E-3</v>
      </c>
      <c r="H1364" s="63"/>
    </row>
    <row r="1365" spans="1:8" x14ac:dyDescent="0.25">
      <c r="A1365" s="63"/>
      <c r="B1365" s="63">
        <v>1</v>
      </c>
      <c r="C1365" s="63" t="s">
        <v>4079</v>
      </c>
      <c r="D1365" s="63" t="s">
        <v>21</v>
      </c>
      <c r="E1365" s="66">
        <v>17.318925261435076</v>
      </c>
      <c r="F1365" s="67">
        <v>3.0000000000000001E-3</v>
      </c>
      <c r="G1365" s="67">
        <v>2E-3</v>
      </c>
      <c r="H1365" s="63"/>
    </row>
    <row r="1366" spans="1:8" x14ac:dyDescent="0.25">
      <c r="A1366" s="63"/>
      <c r="B1366" s="63">
        <v>2</v>
      </c>
      <c r="C1366" s="63" t="s">
        <v>4079</v>
      </c>
      <c r="D1366" s="63" t="s">
        <v>21</v>
      </c>
      <c r="E1366" s="66">
        <v>20.481697611770748</v>
      </c>
      <c r="F1366" s="67">
        <v>3.0000000000000001E-3</v>
      </c>
      <c r="G1366" s="67">
        <v>2E-3</v>
      </c>
      <c r="H1366" s="63"/>
    </row>
    <row r="1367" spans="1:8" x14ac:dyDescent="0.25">
      <c r="A1367" s="63"/>
      <c r="B1367" s="63">
        <v>3</v>
      </c>
      <c r="C1367" s="63" t="s">
        <v>4079</v>
      </c>
      <c r="D1367" s="63" t="s">
        <v>21</v>
      </c>
      <c r="E1367" s="66">
        <v>25.841167971780745</v>
      </c>
      <c r="F1367" s="67">
        <v>3.0000000000000001E-3</v>
      </c>
      <c r="G1367" s="67">
        <v>2E-3</v>
      </c>
      <c r="H1367" s="63"/>
    </row>
    <row r="1368" spans="1:8" x14ac:dyDescent="0.25">
      <c r="A1368" s="63"/>
      <c r="B1368" s="63">
        <v>4</v>
      </c>
      <c r="C1368" s="63" t="s">
        <v>4079</v>
      </c>
      <c r="D1368" s="63" t="s">
        <v>21</v>
      </c>
      <c r="E1368" s="66">
        <v>31.764335679170156</v>
      </c>
      <c r="F1368" s="67">
        <v>3.0000000000000001E-3</v>
      </c>
      <c r="G1368" s="67">
        <v>2E-3</v>
      </c>
      <c r="H1368" s="63"/>
    </row>
    <row r="1369" spans="1:8" x14ac:dyDescent="0.25">
      <c r="A1369" s="63"/>
      <c r="B1369" s="63">
        <v>5</v>
      </c>
      <c r="C1369" s="63" t="s">
        <v>4079</v>
      </c>
      <c r="D1369" s="63" t="s">
        <v>21</v>
      </c>
      <c r="E1369" s="66">
        <v>37.542107513624302</v>
      </c>
      <c r="F1369" s="67">
        <v>3.0000000000000001E-3</v>
      </c>
      <c r="G1369" s="67">
        <v>2E-3</v>
      </c>
      <c r="H1369" s="63"/>
    </row>
    <row r="1370" spans="1:8" x14ac:dyDescent="0.25">
      <c r="A1370" s="63"/>
      <c r="B1370" s="63">
        <v>6</v>
      </c>
      <c r="C1370" s="63" t="s">
        <v>4079</v>
      </c>
      <c r="D1370" s="63" t="s">
        <v>21</v>
      </c>
      <c r="E1370" s="66">
        <v>43.059756145467752</v>
      </c>
      <c r="F1370" s="67">
        <v>3.0000000000000001E-3</v>
      </c>
      <c r="G1370" s="67">
        <v>2E-3</v>
      </c>
      <c r="H1370" s="63"/>
    </row>
    <row r="1371" spans="1:8" x14ac:dyDescent="0.25">
      <c r="A1371" s="63"/>
      <c r="B1371" s="63">
        <v>7</v>
      </c>
      <c r="C1371" s="63" t="s">
        <v>4079</v>
      </c>
      <c r="D1371" s="63" t="s">
        <v>21</v>
      </c>
      <c r="E1371" s="66">
        <v>49.060640943211155</v>
      </c>
      <c r="F1371" s="67">
        <v>3.0000000000000001E-3</v>
      </c>
      <c r="G1371" s="67">
        <v>2E-3</v>
      </c>
      <c r="H1371" s="63"/>
    </row>
    <row r="1372" spans="1:8" x14ac:dyDescent="0.25">
      <c r="A1372" s="63"/>
      <c r="B1372" s="63">
        <v>8</v>
      </c>
      <c r="C1372" s="63" t="s">
        <v>4079</v>
      </c>
      <c r="D1372" s="63" t="s">
        <v>21</v>
      </c>
      <c r="E1372" s="66">
        <v>54.761167496194368</v>
      </c>
      <c r="F1372" s="67">
        <v>3.0000000000000001E-3</v>
      </c>
      <c r="G1372" s="67">
        <v>2E-3</v>
      </c>
      <c r="H1372" s="63"/>
    </row>
    <row r="1373" spans="1:8" x14ac:dyDescent="0.25">
      <c r="A1373" s="63"/>
      <c r="B1373" s="63">
        <v>9</v>
      </c>
      <c r="C1373" s="63" t="s">
        <v>4079</v>
      </c>
      <c r="D1373" s="63" t="s">
        <v>21</v>
      </c>
      <c r="E1373" s="66">
        <v>60.56706656564387</v>
      </c>
      <c r="F1373" s="67">
        <v>3.0000000000000001E-3</v>
      </c>
      <c r="G1373" s="67">
        <v>2E-3</v>
      </c>
      <c r="H1373" s="63"/>
    </row>
    <row r="1374" spans="1:8" x14ac:dyDescent="0.25">
      <c r="A1374" s="63"/>
      <c r="B1374" s="63">
        <v>10</v>
      </c>
      <c r="C1374" s="63" t="s">
        <v>4079</v>
      </c>
      <c r="D1374" s="63" t="s">
        <v>21</v>
      </c>
      <c r="E1374" s="66">
        <v>66.283951904397099</v>
      </c>
      <c r="F1374" s="67">
        <v>3.0000000000000001E-3</v>
      </c>
      <c r="G1374" s="67">
        <v>2E-3</v>
      </c>
      <c r="H1374" s="63"/>
    </row>
    <row r="1375" spans="1:8" x14ac:dyDescent="0.25">
      <c r="A1375" s="63"/>
      <c r="B1375" s="63">
        <v>11</v>
      </c>
      <c r="C1375" s="63" t="s">
        <v>4079</v>
      </c>
      <c r="D1375" s="63" t="s">
        <v>21</v>
      </c>
      <c r="E1375" s="66"/>
      <c r="F1375" s="67">
        <v>3.0000000000000001E-3</v>
      </c>
      <c r="G1375" s="67">
        <v>2E-3</v>
      </c>
      <c r="H1375" s="63"/>
    </row>
    <row r="1376" spans="1:8" x14ac:dyDescent="0.25">
      <c r="A1376" s="63"/>
      <c r="B1376" s="63">
        <v>12</v>
      </c>
      <c r="C1376" s="63" t="s">
        <v>4079</v>
      </c>
      <c r="D1376" s="63" t="s">
        <v>21</v>
      </c>
      <c r="E1376" s="66"/>
      <c r="F1376" s="67">
        <v>3.0000000000000001E-3</v>
      </c>
      <c r="G1376" s="67">
        <v>2E-3</v>
      </c>
      <c r="H1376" s="63"/>
    </row>
    <row r="1377" spans="1:8" x14ac:dyDescent="0.25">
      <c r="A1377" s="63"/>
      <c r="B1377" s="63">
        <v>13</v>
      </c>
      <c r="C1377" s="63" t="s">
        <v>4079</v>
      </c>
      <c r="D1377" s="63" t="s">
        <v>21</v>
      </c>
      <c r="E1377" s="66"/>
      <c r="F1377" s="67">
        <v>3.0000000000000001E-3</v>
      </c>
      <c r="G1377" s="67">
        <v>2E-3</v>
      </c>
      <c r="H1377" s="63"/>
    </row>
    <row r="1378" spans="1:8" x14ac:dyDescent="0.25">
      <c r="A1378" s="63"/>
      <c r="B1378" s="63">
        <v>14</v>
      </c>
      <c r="C1378" s="63" t="s">
        <v>4079</v>
      </c>
      <c r="D1378" s="63" t="s">
        <v>21</v>
      </c>
      <c r="E1378" s="66"/>
      <c r="F1378" s="67">
        <v>3.0000000000000001E-3</v>
      </c>
      <c r="G1378" s="67">
        <v>2E-3</v>
      </c>
      <c r="H1378" s="63"/>
    </row>
    <row r="1379" spans="1:8" x14ac:dyDescent="0.25">
      <c r="A1379" s="63"/>
      <c r="B1379" s="63">
        <v>15</v>
      </c>
      <c r="C1379" s="63" t="s">
        <v>4079</v>
      </c>
      <c r="D1379" s="63" t="s">
        <v>21</v>
      </c>
      <c r="E1379" s="66"/>
      <c r="F1379" s="67">
        <v>3.0000000000000001E-3</v>
      </c>
      <c r="G1379" s="67">
        <v>2E-3</v>
      </c>
      <c r="H1379" s="63"/>
    </row>
    <row r="1380" spans="1:8" x14ac:dyDescent="0.25">
      <c r="A1380" s="63"/>
      <c r="B1380" s="63">
        <v>16</v>
      </c>
      <c r="C1380" s="63" t="s">
        <v>4079</v>
      </c>
      <c r="D1380" s="63" t="s">
        <v>21</v>
      </c>
      <c r="E1380" s="66"/>
      <c r="F1380" s="67">
        <v>3.0000000000000001E-3</v>
      </c>
      <c r="G1380" s="67">
        <v>2E-3</v>
      </c>
      <c r="H1380" s="63"/>
    </row>
    <row r="1381" spans="1:8" x14ac:dyDescent="0.25">
      <c r="A1381" s="63"/>
      <c r="B1381" s="63">
        <v>17</v>
      </c>
      <c r="C1381" s="63" t="s">
        <v>4079</v>
      </c>
      <c r="D1381" s="63" t="s">
        <v>21</v>
      </c>
      <c r="E1381" s="66"/>
      <c r="F1381" s="67">
        <v>3.0000000000000001E-3</v>
      </c>
      <c r="G1381" s="67">
        <v>2E-3</v>
      </c>
      <c r="H1381" s="63"/>
    </row>
    <row r="1382" spans="1:8" x14ac:dyDescent="0.25">
      <c r="A1382" s="63"/>
      <c r="B1382" s="63">
        <v>18</v>
      </c>
      <c r="C1382" s="63" t="s">
        <v>4079</v>
      </c>
      <c r="D1382" s="63" t="s">
        <v>21</v>
      </c>
      <c r="E1382" s="66"/>
      <c r="F1382" s="67">
        <v>3.0000000000000001E-3</v>
      </c>
      <c r="G1382" s="67">
        <v>2E-3</v>
      </c>
      <c r="H1382" s="63"/>
    </row>
    <row r="1383" spans="1:8" x14ac:dyDescent="0.25">
      <c r="A1383" s="63"/>
      <c r="B1383" s="63">
        <v>19</v>
      </c>
      <c r="C1383" s="63" t="s">
        <v>4079</v>
      </c>
      <c r="D1383" s="63" t="s">
        <v>21</v>
      </c>
      <c r="E1383" s="66"/>
      <c r="F1383" s="67">
        <v>3.0000000000000001E-3</v>
      </c>
      <c r="G1383" s="67">
        <v>2E-3</v>
      </c>
      <c r="H1383" s="63"/>
    </row>
    <row r="1384" spans="1:8" x14ac:dyDescent="0.25">
      <c r="A1384" s="63"/>
      <c r="B1384" s="63">
        <v>20</v>
      </c>
      <c r="C1384" s="63" t="s">
        <v>4079</v>
      </c>
      <c r="D1384" s="63" t="s">
        <v>21</v>
      </c>
      <c r="E1384" s="66"/>
      <c r="F1384" s="67">
        <v>3.0000000000000001E-3</v>
      </c>
      <c r="G1384" s="67">
        <v>2E-3</v>
      </c>
      <c r="H1384" s="63"/>
    </row>
    <row r="1385" spans="1:8" x14ac:dyDescent="0.25">
      <c r="A1385" s="63"/>
      <c r="B1385" s="63">
        <v>21</v>
      </c>
      <c r="C1385" s="63" t="s">
        <v>4079</v>
      </c>
      <c r="D1385" s="63" t="s">
        <v>21</v>
      </c>
      <c r="E1385" s="66"/>
      <c r="F1385" s="67">
        <v>3.0000000000000001E-3</v>
      </c>
      <c r="G1385" s="67">
        <v>2E-3</v>
      </c>
      <c r="H1385" s="63"/>
    </row>
    <row r="1386" spans="1:8" x14ac:dyDescent="0.25">
      <c r="A1386" s="63"/>
      <c r="B1386" s="63">
        <v>22</v>
      </c>
      <c r="C1386" s="63" t="s">
        <v>4079</v>
      </c>
      <c r="D1386" s="63" t="s">
        <v>21</v>
      </c>
      <c r="E1386" s="66"/>
      <c r="F1386" s="67">
        <v>3.0000000000000001E-3</v>
      </c>
      <c r="G1386" s="67">
        <v>2E-3</v>
      </c>
      <c r="H1386" s="63"/>
    </row>
    <row r="1387" spans="1:8" x14ac:dyDescent="0.25">
      <c r="A1387" s="63"/>
      <c r="B1387" s="63">
        <v>23</v>
      </c>
      <c r="C1387" s="63" t="s">
        <v>4079</v>
      </c>
      <c r="D1387" s="63" t="s">
        <v>21</v>
      </c>
      <c r="E1387" s="66"/>
      <c r="F1387" s="67">
        <v>3.0000000000000001E-3</v>
      </c>
      <c r="G1387" s="67">
        <v>2E-3</v>
      </c>
      <c r="H1387" s="63"/>
    </row>
    <row r="1388" spans="1:8" x14ac:dyDescent="0.25">
      <c r="A1388" s="63"/>
      <c r="B1388" s="63">
        <v>24</v>
      </c>
      <c r="C1388" s="63" t="s">
        <v>4079</v>
      </c>
      <c r="D1388" s="63" t="s">
        <v>21</v>
      </c>
      <c r="E1388" s="66"/>
      <c r="F1388" s="67">
        <v>3.0000000000000001E-3</v>
      </c>
      <c r="G1388" s="67">
        <v>2E-3</v>
      </c>
      <c r="H1388" s="63"/>
    </row>
    <row r="1389" spans="1:8" x14ac:dyDescent="0.25">
      <c r="A1389" s="63"/>
      <c r="B1389" s="63">
        <v>25</v>
      </c>
      <c r="C1389" s="63" t="s">
        <v>4079</v>
      </c>
      <c r="D1389" s="63" t="s">
        <v>21</v>
      </c>
      <c r="E1389" s="66"/>
      <c r="F1389" s="67">
        <v>3.0000000000000001E-3</v>
      </c>
      <c r="G1389" s="67">
        <v>2E-3</v>
      </c>
      <c r="H1389" s="63"/>
    </row>
    <row r="1390" spans="1:8" x14ac:dyDescent="0.25">
      <c r="A1390" s="63"/>
      <c r="B1390" s="63">
        <v>26</v>
      </c>
      <c r="C1390" s="63" t="s">
        <v>4079</v>
      </c>
      <c r="D1390" s="63" t="s">
        <v>21</v>
      </c>
      <c r="E1390" s="66"/>
      <c r="F1390" s="67">
        <v>3.0000000000000001E-3</v>
      </c>
      <c r="G1390" s="67">
        <v>2E-3</v>
      </c>
      <c r="H1390" s="63"/>
    </row>
    <row r="1391" spans="1:8" x14ac:dyDescent="0.25">
      <c r="A1391" s="63"/>
      <c r="B1391" s="63">
        <v>27</v>
      </c>
      <c r="C1391" s="63" t="s">
        <v>4079</v>
      </c>
      <c r="D1391" s="63" t="s">
        <v>21</v>
      </c>
      <c r="E1391" s="66"/>
      <c r="F1391" s="67">
        <v>3.0000000000000001E-3</v>
      </c>
      <c r="G1391" s="67">
        <v>2E-3</v>
      </c>
      <c r="H1391" s="63"/>
    </row>
    <row r="1392" spans="1:8" x14ac:dyDescent="0.25">
      <c r="A1392" s="63"/>
      <c r="B1392" s="63">
        <v>28</v>
      </c>
      <c r="C1392" s="63" t="s">
        <v>4079</v>
      </c>
      <c r="D1392" s="63" t="s">
        <v>21</v>
      </c>
      <c r="E1392" s="66"/>
      <c r="F1392" s="67">
        <v>3.0000000000000001E-3</v>
      </c>
      <c r="G1392" s="67">
        <v>2E-3</v>
      </c>
      <c r="H1392" s="63"/>
    </row>
    <row r="1393" spans="1:8" x14ac:dyDescent="0.25">
      <c r="A1393" s="63"/>
      <c r="B1393" s="63">
        <v>29</v>
      </c>
      <c r="C1393" s="63" t="s">
        <v>4079</v>
      </c>
      <c r="D1393" s="63" t="s">
        <v>21</v>
      </c>
      <c r="E1393" s="66"/>
      <c r="F1393" s="67">
        <v>3.0000000000000001E-3</v>
      </c>
      <c r="G1393" s="67">
        <v>2E-3</v>
      </c>
      <c r="H1393" s="63"/>
    </row>
    <row r="1394" spans="1:8" x14ac:dyDescent="0.25">
      <c r="A1394" s="63"/>
      <c r="B1394" s="63">
        <v>30</v>
      </c>
      <c r="C1394" s="63" t="s">
        <v>4079</v>
      </c>
      <c r="D1394" s="63" t="s">
        <v>21</v>
      </c>
      <c r="E1394" s="66"/>
      <c r="F1394" s="67">
        <v>3.0000000000000001E-3</v>
      </c>
      <c r="G1394" s="67">
        <v>2E-3</v>
      </c>
      <c r="H1394" s="63"/>
    </row>
    <row r="1395" spans="1:8" x14ac:dyDescent="0.25">
      <c r="A1395" s="63"/>
      <c r="B1395" s="63">
        <v>0</v>
      </c>
      <c r="C1395" s="63" t="s">
        <v>4079</v>
      </c>
      <c r="D1395" s="63" t="s">
        <v>21</v>
      </c>
      <c r="E1395" s="66">
        <v>3.0428788910505911</v>
      </c>
      <c r="F1395" s="67">
        <v>3.0000000000000001E-3</v>
      </c>
      <c r="G1395" s="67">
        <v>2E-3</v>
      </c>
      <c r="H1395" s="63"/>
    </row>
    <row r="1396" spans="1:8" x14ac:dyDescent="0.25">
      <c r="A1396" s="63"/>
      <c r="B1396" s="63">
        <v>0.25</v>
      </c>
      <c r="C1396" s="63" t="s">
        <v>4079</v>
      </c>
      <c r="D1396" s="63" t="s">
        <v>62</v>
      </c>
      <c r="E1396" s="66">
        <v>26.118073918823253</v>
      </c>
      <c r="F1396" s="67">
        <v>3.0000000000000001E-3</v>
      </c>
      <c r="G1396" s="67">
        <v>2E-3</v>
      </c>
      <c r="H1396" s="63"/>
    </row>
    <row r="1397" spans="1:8" x14ac:dyDescent="0.25">
      <c r="A1397" s="63"/>
      <c r="B1397" s="63">
        <v>0.5</v>
      </c>
      <c r="C1397" s="63" t="s">
        <v>4079</v>
      </c>
      <c r="D1397" s="63" t="s">
        <v>62</v>
      </c>
      <c r="E1397" s="66">
        <v>27.018935032738966</v>
      </c>
      <c r="F1397" s="67">
        <v>3.0000000000000001E-3</v>
      </c>
      <c r="G1397" s="67">
        <v>2E-3</v>
      </c>
      <c r="H1397" s="63"/>
    </row>
    <row r="1398" spans="1:8" x14ac:dyDescent="0.25">
      <c r="A1398" s="63"/>
      <c r="B1398" s="63">
        <v>0.75</v>
      </c>
      <c r="C1398" s="63" t="s">
        <v>4079</v>
      </c>
      <c r="D1398" s="63" t="s">
        <v>62</v>
      </c>
      <c r="E1398" s="66">
        <v>29.233496655672415</v>
      </c>
      <c r="F1398" s="67">
        <v>3.0000000000000001E-3</v>
      </c>
      <c r="G1398" s="67">
        <v>2E-3</v>
      </c>
      <c r="H1398" s="63"/>
    </row>
    <row r="1399" spans="1:8" x14ac:dyDescent="0.25">
      <c r="A1399" s="63"/>
      <c r="B1399" s="63">
        <v>1</v>
      </c>
      <c r="C1399" s="63" t="s">
        <v>4079</v>
      </c>
      <c r="D1399" s="63" t="s">
        <v>62</v>
      </c>
      <c r="E1399" s="66">
        <v>29.915869247956095</v>
      </c>
      <c r="F1399" s="67">
        <v>3.0000000000000001E-3</v>
      </c>
      <c r="G1399" s="67">
        <v>2E-3</v>
      </c>
      <c r="H1399" s="63"/>
    </row>
    <row r="1400" spans="1:8" x14ac:dyDescent="0.25">
      <c r="A1400" s="63"/>
      <c r="B1400" s="63">
        <v>2</v>
      </c>
      <c r="C1400" s="63" t="s">
        <v>4079</v>
      </c>
      <c r="D1400" s="63" t="s">
        <v>62</v>
      </c>
      <c r="E1400" s="66">
        <v>32.362199363352872</v>
      </c>
      <c r="F1400" s="67">
        <v>3.0000000000000001E-3</v>
      </c>
      <c r="G1400" s="67">
        <v>2E-3</v>
      </c>
      <c r="H1400" s="63"/>
    </row>
    <row r="1401" spans="1:8" x14ac:dyDescent="0.25">
      <c r="A1401" s="63"/>
      <c r="B1401" s="63">
        <v>3</v>
      </c>
      <c r="C1401" s="63" t="s">
        <v>4079</v>
      </c>
      <c r="D1401" s="63" t="s">
        <v>62</v>
      </c>
      <c r="E1401" s="66">
        <v>35.319290018891536</v>
      </c>
      <c r="F1401" s="67">
        <v>3.0000000000000001E-3</v>
      </c>
      <c r="G1401" s="67">
        <v>2E-3</v>
      </c>
      <c r="H1401" s="63"/>
    </row>
    <row r="1402" spans="1:8" x14ac:dyDescent="0.25">
      <c r="A1402" s="63"/>
      <c r="B1402" s="63">
        <v>4</v>
      </c>
      <c r="C1402" s="63" t="s">
        <v>4079</v>
      </c>
      <c r="D1402" s="63" t="s">
        <v>62</v>
      </c>
      <c r="E1402" s="66">
        <v>38.866068520442738</v>
      </c>
      <c r="F1402" s="67">
        <v>3.0000000000000001E-3</v>
      </c>
      <c r="G1402" s="67">
        <v>2E-3</v>
      </c>
      <c r="H1402" s="63"/>
    </row>
    <row r="1403" spans="1:8" x14ac:dyDescent="0.25">
      <c r="A1403" s="63"/>
      <c r="B1403" s="63">
        <v>5</v>
      </c>
      <c r="C1403" s="63" t="s">
        <v>4079</v>
      </c>
      <c r="D1403" s="63" t="s">
        <v>62</v>
      </c>
      <c r="E1403" s="66">
        <v>42.295123575006713</v>
      </c>
      <c r="F1403" s="67">
        <v>3.0000000000000001E-3</v>
      </c>
      <c r="G1403" s="67">
        <v>2E-3</v>
      </c>
      <c r="H1403" s="63"/>
    </row>
    <row r="1404" spans="1:8" x14ac:dyDescent="0.25">
      <c r="A1404" s="63"/>
      <c r="B1404" s="63">
        <v>6</v>
      </c>
      <c r="C1404" s="63" t="s">
        <v>4079</v>
      </c>
      <c r="D1404" s="63" t="s">
        <v>62</v>
      </c>
      <c r="E1404" s="66">
        <v>46.125805918060735</v>
      </c>
      <c r="F1404" s="67">
        <v>3.0000000000000001E-3</v>
      </c>
      <c r="G1404" s="67">
        <v>2E-3</v>
      </c>
      <c r="H1404" s="63"/>
    </row>
    <row r="1405" spans="1:8" x14ac:dyDescent="0.25">
      <c r="A1405" s="63"/>
      <c r="B1405" s="63">
        <v>7</v>
      </c>
      <c r="C1405" s="63" t="s">
        <v>4079</v>
      </c>
      <c r="D1405" s="63" t="s">
        <v>62</v>
      </c>
      <c r="E1405" s="66">
        <v>50.02963556407235</v>
      </c>
      <c r="F1405" s="67">
        <v>3.0000000000000001E-3</v>
      </c>
      <c r="G1405" s="67">
        <v>2E-3</v>
      </c>
      <c r="H1405" s="63"/>
    </row>
    <row r="1406" spans="1:8" x14ac:dyDescent="0.25">
      <c r="A1406" s="63"/>
      <c r="B1406" s="63">
        <v>8</v>
      </c>
      <c r="C1406" s="63" t="s">
        <v>4079</v>
      </c>
      <c r="D1406" s="63" t="s">
        <v>62</v>
      </c>
      <c r="E1406" s="66">
        <v>54.232391814971237</v>
      </c>
      <c r="F1406" s="67">
        <v>3.0000000000000001E-3</v>
      </c>
      <c r="G1406" s="67">
        <v>2E-3</v>
      </c>
      <c r="H1406" s="63"/>
    </row>
    <row r="1407" spans="1:8" x14ac:dyDescent="0.25">
      <c r="A1407" s="63"/>
      <c r="B1407" s="63">
        <v>9</v>
      </c>
      <c r="C1407" s="63" t="s">
        <v>4079</v>
      </c>
      <c r="D1407" s="63" t="s">
        <v>62</v>
      </c>
      <c r="E1407" s="66">
        <v>58.13951963530036</v>
      </c>
      <c r="F1407" s="67">
        <v>3.0000000000000001E-3</v>
      </c>
      <c r="G1407" s="67">
        <v>2E-3</v>
      </c>
      <c r="H1407" s="63"/>
    </row>
    <row r="1408" spans="1:8" x14ac:dyDescent="0.25">
      <c r="A1408" s="63"/>
      <c r="B1408" s="63">
        <v>10</v>
      </c>
      <c r="C1408" s="63" t="s">
        <v>4079</v>
      </c>
      <c r="D1408" s="63" t="s">
        <v>62</v>
      </c>
      <c r="E1408" s="66">
        <v>62.203070038163574</v>
      </c>
      <c r="F1408" s="67">
        <v>3.0000000000000001E-3</v>
      </c>
      <c r="G1408" s="67">
        <v>2E-3</v>
      </c>
      <c r="H1408" s="63"/>
    </row>
    <row r="1409" spans="1:8" x14ac:dyDescent="0.25">
      <c r="A1409" s="63"/>
      <c r="B1409" s="63">
        <v>11</v>
      </c>
      <c r="C1409" s="63" t="s">
        <v>4079</v>
      </c>
      <c r="D1409" s="63" t="s">
        <v>62</v>
      </c>
      <c r="E1409" s="66"/>
      <c r="F1409" s="67">
        <v>3.0000000000000001E-3</v>
      </c>
      <c r="G1409" s="67">
        <v>2E-3</v>
      </c>
      <c r="H1409" s="63"/>
    </row>
    <row r="1410" spans="1:8" x14ac:dyDescent="0.25">
      <c r="A1410" s="63"/>
      <c r="B1410" s="63">
        <v>12</v>
      </c>
      <c r="C1410" s="63" t="s">
        <v>4079</v>
      </c>
      <c r="D1410" s="63" t="s">
        <v>62</v>
      </c>
      <c r="E1410" s="66"/>
      <c r="F1410" s="67">
        <v>3.0000000000000001E-3</v>
      </c>
      <c r="G1410" s="67">
        <v>2E-3</v>
      </c>
      <c r="H1410" s="63"/>
    </row>
    <row r="1411" spans="1:8" x14ac:dyDescent="0.25">
      <c r="A1411" s="63"/>
      <c r="B1411" s="63">
        <v>13</v>
      </c>
      <c r="C1411" s="63" t="s">
        <v>4079</v>
      </c>
      <c r="D1411" s="63" t="s">
        <v>62</v>
      </c>
      <c r="E1411" s="66"/>
      <c r="F1411" s="67">
        <v>3.0000000000000001E-3</v>
      </c>
      <c r="G1411" s="67">
        <v>2E-3</v>
      </c>
      <c r="H1411" s="63"/>
    </row>
    <row r="1412" spans="1:8" x14ac:dyDescent="0.25">
      <c r="A1412" s="63"/>
      <c r="B1412" s="63">
        <v>14</v>
      </c>
      <c r="C1412" s="63" t="s">
        <v>4079</v>
      </c>
      <c r="D1412" s="63" t="s">
        <v>62</v>
      </c>
      <c r="E1412" s="66"/>
      <c r="F1412" s="67">
        <v>3.0000000000000001E-3</v>
      </c>
      <c r="G1412" s="67">
        <v>2E-3</v>
      </c>
      <c r="H1412" s="63"/>
    </row>
    <row r="1413" spans="1:8" x14ac:dyDescent="0.25">
      <c r="A1413" s="63"/>
      <c r="B1413" s="63">
        <v>15</v>
      </c>
      <c r="C1413" s="63" t="s">
        <v>4079</v>
      </c>
      <c r="D1413" s="63" t="s">
        <v>62</v>
      </c>
      <c r="E1413" s="66"/>
      <c r="F1413" s="67">
        <v>3.0000000000000001E-3</v>
      </c>
      <c r="G1413" s="67">
        <v>2E-3</v>
      </c>
      <c r="H1413" s="63"/>
    </row>
    <row r="1414" spans="1:8" x14ac:dyDescent="0.25">
      <c r="A1414" s="63"/>
      <c r="B1414" s="63">
        <v>16</v>
      </c>
      <c r="C1414" s="63" t="s">
        <v>4079</v>
      </c>
      <c r="D1414" s="63" t="s">
        <v>62</v>
      </c>
      <c r="E1414" s="66"/>
      <c r="F1414" s="67">
        <v>3.0000000000000001E-3</v>
      </c>
      <c r="G1414" s="67">
        <v>2E-3</v>
      </c>
      <c r="H1414" s="63"/>
    </row>
    <row r="1415" spans="1:8" x14ac:dyDescent="0.25">
      <c r="A1415" s="63"/>
      <c r="B1415" s="63">
        <v>17</v>
      </c>
      <c r="C1415" s="63" t="s">
        <v>4079</v>
      </c>
      <c r="D1415" s="63" t="s">
        <v>62</v>
      </c>
      <c r="E1415" s="66"/>
      <c r="F1415" s="67">
        <v>3.0000000000000001E-3</v>
      </c>
      <c r="G1415" s="67">
        <v>2E-3</v>
      </c>
      <c r="H1415" s="63"/>
    </row>
    <row r="1416" spans="1:8" x14ac:dyDescent="0.25">
      <c r="A1416" s="63"/>
      <c r="B1416" s="63">
        <v>18</v>
      </c>
      <c r="C1416" s="63" t="s">
        <v>4079</v>
      </c>
      <c r="D1416" s="63" t="s">
        <v>62</v>
      </c>
      <c r="E1416" s="66"/>
      <c r="F1416" s="67">
        <v>3.0000000000000001E-3</v>
      </c>
      <c r="G1416" s="67">
        <v>2E-3</v>
      </c>
      <c r="H1416" s="63"/>
    </row>
    <row r="1417" spans="1:8" x14ac:dyDescent="0.25">
      <c r="A1417" s="63"/>
      <c r="B1417" s="63">
        <v>19</v>
      </c>
      <c r="C1417" s="63" t="s">
        <v>4079</v>
      </c>
      <c r="D1417" s="63" t="s">
        <v>62</v>
      </c>
      <c r="E1417" s="66"/>
      <c r="F1417" s="67">
        <v>3.0000000000000001E-3</v>
      </c>
      <c r="G1417" s="67">
        <v>2E-3</v>
      </c>
      <c r="H1417" s="63"/>
    </row>
    <row r="1418" spans="1:8" x14ac:dyDescent="0.25">
      <c r="A1418" s="63"/>
      <c r="B1418" s="63">
        <v>20</v>
      </c>
      <c r="C1418" s="63" t="s">
        <v>4079</v>
      </c>
      <c r="D1418" s="63" t="s">
        <v>62</v>
      </c>
      <c r="E1418" s="66"/>
      <c r="F1418" s="67">
        <v>3.0000000000000001E-3</v>
      </c>
      <c r="G1418" s="67">
        <v>2E-3</v>
      </c>
      <c r="H1418" s="63"/>
    </row>
    <row r="1419" spans="1:8" x14ac:dyDescent="0.25">
      <c r="A1419" s="63"/>
      <c r="B1419" s="63">
        <v>21</v>
      </c>
      <c r="C1419" s="63" t="s">
        <v>4079</v>
      </c>
      <c r="D1419" s="63" t="s">
        <v>62</v>
      </c>
      <c r="E1419" s="66"/>
      <c r="F1419" s="67">
        <v>3.0000000000000001E-3</v>
      </c>
      <c r="G1419" s="67">
        <v>2E-3</v>
      </c>
      <c r="H1419" s="63"/>
    </row>
    <row r="1420" spans="1:8" x14ac:dyDescent="0.25">
      <c r="A1420" s="63"/>
      <c r="B1420" s="63">
        <v>22</v>
      </c>
      <c r="C1420" s="63" t="s">
        <v>4079</v>
      </c>
      <c r="D1420" s="63" t="s">
        <v>62</v>
      </c>
      <c r="E1420" s="66"/>
      <c r="F1420" s="67">
        <v>3.0000000000000001E-3</v>
      </c>
      <c r="G1420" s="67">
        <v>2E-3</v>
      </c>
      <c r="H1420" s="63"/>
    </row>
    <row r="1421" spans="1:8" x14ac:dyDescent="0.25">
      <c r="A1421" s="63"/>
      <c r="B1421" s="63">
        <v>23</v>
      </c>
      <c r="C1421" s="63" t="s">
        <v>4079</v>
      </c>
      <c r="D1421" s="63" t="s">
        <v>62</v>
      </c>
      <c r="E1421" s="66"/>
      <c r="F1421" s="67">
        <v>3.0000000000000001E-3</v>
      </c>
      <c r="G1421" s="67">
        <v>2E-3</v>
      </c>
      <c r="H1421" s="63"/>
    </row>
    <row r="1422" spans="1:8" x14ac:dyDescent="0.25">
      <c r="A1422" s="63"/>
      <c r="B1422" s="63">
        <v>24</v>
      </c>
      <c r="C1422" s="63" t="s">
        <v>4079</v>
      </c>
      <c r="D1422" s="63" t="s">
        <v>62</v>
      </c>
      <c r="E1422" s="66"/>
      <c r="F1422" s="67">
        <v>3.0000000000000001E-3</v>
      </c>
      <c r="G1422" s="67">
        <v>2E-3</v>
      </c>
      <c r="H1422" s="63"/>
    </row>
    <row r="1423" spans="1:8" x14ac:dyDescent="0.25">
      <c r="A1423" s="63"/>
      <c r="B1423" s="63">
        <v>25</v>
      </c>
      <c r="C1423" s="63" t="s">
        <v>4079</v>
      </c>
      <c r="D1423" s="63" t="s">
        <v>62</v>
      </c>
      <c r="E1423" s="66"/>
      <c r="F1423" s="67">
        <v>3.0000000000000001E-3</v>
      </c>
      <c r="G1423" s="67">
        <v>2E-3</v>
      </c>
      <c r="H1423" s="63"/>
    </row>
    <row r="1424" spans="1:8" x14ac:dyDescent="0.25">
      <c r="A1424" s="63"/>
      <c r="B1424" s="63">
        <v>26</v>
      </c>
      <c r="C1424" s="63" t="s">
        <v>4079</v>
      </c>
      <c r="D1424" s="63" t="s">
        <v>62</v>
      </c>
      <c r="E1424" s="66"/>
      <c r="F1424" s="67">
        <v>3.0000000000000001E-3</v>
      </c>
      <c r="G1424" s="67">
        <v>2E-3</v>
      </c>
      <c r="H1424" s="63"/>
    </row>
    <row r="1425" spans="1:8" x14ac:dyDescent="0.25">
      <c r="A1425" s="63"/>
      <c r="B1425" s="63">
        <v>27</v>
      </c>
      <c r="C1425" s="63" t="s">
        <v>4079</v>
      </c>
      <c r="D1425" s="63" t="s">
        <v>62</v>
      </c>
      <c r="E1425" s="66"/>
      <c r="F1425" s="67">
        <v>3.0000000000000001E-3</v>
      </c>
      <c r="G1425" s="67">
        <v>2E-3</v>
      </c>
      <c r="H1425" s="63"/>
    </row>
    <row r="1426" spans="1:8" x14ac:dyDescent="0.25">
      <c r="A1426" s="63"/>
      <c r="B1426" s="63">
        <v>28</v>
      </c>
      <c r="C1426" s="63" t="s">
        <v>4079</v>
      </c>
      <c r="D1426" s="63" t="s">
        <v>62</v>
      </c>
      <c r="E1426" s="66"/>
      <c r="F1426" s="67">
        <v>3.0000000000000001E-3</v>
      </c>
      <c r="G1426" s="67">
        <v>2E-3</v>
      </c>
      <c r="H1426" s="63"/>
    </row>
    <row r="1427" spans="1:8" x14ac:dyDescent="0.25">
      <c r="A1427" s="63"/>
      <c r="B1427" s="63">
        <v>29</v>
      </c>
      <c r="C1427" s="63" t="s">
        <v>4079</v>
      </c>
      <c r="D1427" s="63" t="s">
        <v>62</v>
      </c>
      <c r="E1427" s="66"/>
      <c r="F1427" s="67">
        <v>3.0000000000000001E-3</v>
      </c>
      <c r="G1427" s="67">
        <v>2E-3</v>
      </c>
      <c r="H1427" s="63"/>
    </row>
    <row r="1428" spans="1:8" x14ac:dyDescent="0.25">
      <c r="A1428" s="63"/>
      <c r="B1428" s="63">
        <v>30</v>
      </c>
      <c r="C1428" s="63" t="s">
        <v>4079</v>
      </c>
      <c r="D1428" s="63" t="s">
        <v>62</v>
      </c>
      <c r="E1428" s="66"/>
      <c r="F1428" s="67">
        <v>3.0000000000000001E-3</v>
      </c>
      <c r="G1428" s="67">
        <v>2E-3</v>
      </c>
      <c r="H1428" s="63"/>
    </row>
    <row r="1429" spans="1:8" x14ac:dyDescent="0.25">
      <c r="A1429" s="63"/>
      <c r="B1429" s="63">
        <v>0</v>
      </c>
      <c r="C1429" s="63" t="s">
        <v>4079</v>
      </c>
      <c r="D1429" s="63" t="s">
        <v>62</v>
      </c>
      <c r="E1429" s="66">
        <v>3.0428788910505911</v>
      </c>
      <c r="F1429" s="67">
        <v>3.0000000000000001E-3</v>
      </c>
      <c r="G1429" s="67">
        <v>2E-3</v>
      </c>
      <c r="H1429" s="63"/>
    </row>
    <row r="1430" spans="1:8" x14ac:dyDescent="0.25">
      <c r="A1430" s="63"/>
      <c r="B1430" s="63">
        <v>0.25</v>
      </c>
      <c r="C1430" s="63" t="s">
        <v>4079</v>
      </c>
      <c r="D1430" s="63" t="s">
        <v>64</v>
      </c>
      <c r="E1430" s="66">
        <v>26.945869944786573</v>
      </c>
      <c r="F1430" s="67">
        <v>3.0000000000000001E-3</v>
      </c>
      <c r="G1430" s="67">
        <v>2E-3</v>
      </c>
      <c r="H1430" s="63"/>
    </row>
    <row r="1431" spans="1:8" x14ac:dyDescent="0.25">
      <c r="A1431" s="63"/>
      <c r="B1431" s="63">
        <v>0.5</v>
      </c>
      <c r="C1431" s="63" t="s">
        <v>4079</v>
      </c>
      <c r="D1431" s="63" t="s">
        <v>64</v>
      </c>
      <c r="E1431" s="66">
        <v>27.872426176460309</v>
      </c>
      <c r="F1431" s="67">
        <v>3.0000000000000001E-3</v>
      </c>
      <c r="G1431" s="67">
        <v>2E-3</v>
      </c>
      <c r="H1431" s="63"/>
    </row>
    <row r="1432" spans="1:8" x14ac:dyDescent="0.25">
      <c r="A1432" s="63"/>
      <c r="B1432" s="63">
        <v>0.75</v>
      </c>
      <c r="C1432" s="63" t="s">
        <v>4079</v>
      </c>
      <c r="D1432" s="63" t="s">
        <v>64</v>
      </c>
      <c r="E1432" s="66">
        <v>30.114764737466444</v>
      </c>
      <c r="F1432" s="67">
        <v>3.0000000000000001E-3</v>
      </c>
      <c r="G1432" s="67">
        <v>2E-3</v>
      </c>
      <c r="H1432" s="63"/>
    </row>
    <row r="1433" spans="1:8" x14ac:dyDescent="0.25">
      <c r="A1433" s="63"/>
      <c r="B1433" s="63">
        <v>1</v>
      </c>
      <c r="C1433" s="63" t="s">
        <v>4079</v>
      </c>
      <c r="D1433" s="63" t="s">
        <v>64</v>
      </c>
      <c r="E1433" s="66">
        <v>30.389103773795448</v>
      </c>
      <c r="F1433" s="67">
        <v>3.0000000000000001E-3</v>
      </c>
      <c r="G1433" s="67">
        <v>2E-3</v>
      </c>
      <c r="H1433" s="63"/>
    </row>
    <row r="1434" spans="1:8" x14ac:dyDescent="0.25">
      <c r="A1434" s="63"/>
      <c r="B1434" s="63">
        <v>2</v>
      </c>
      <c r="C1434" s="63" t="s">
        <v>4079</v>
      </c>
      <c r="D1434" s="63" t="s">
        <v>64</v>
      </c>
      <c r="E1434" s="66">
        <v>32.851592628213609</v>
      </c>
      <c r="F1434" s="67">
        <v>3.0000000000000001E-3</v>
      </c>
      <c r="G1434" s="67">
        <v>2E-3</v>
      </c>
      <c r="H1434" s="63"/>
    </row>
    <row r="1435" spans="1:8" x14ac:dyDescent="0.25">
      <c r="A1435" s="63"/>
      <c r="B1435" s="63">
        <v>3</v>
      </c>
      <c r="C1435" s="63" t="s">
        <v>4079</v>
      </c>
      <c r="D1435" s="63" t="s">
        <v>64</v>
      </c>
      <c r="E1435" s="66">
        <v>35.974003563148294</v>
      </c>
      <c r="F1435" s="67">
        <v>3.0000000000000001E-3</v>
      </c>
      <c r="G1435" s="67">
        <v>2E-3</v>
      </c>
      <c r="H1435" s="63"/>
    </row>
    <row r="1436" spans="1:8" x14ac:dyDescent="0.25">
      <c r="A1436" s="63"/>
      <c r="B1436" s="63">
        <v>4</v>
      </c>
      <c r="C1436" s="63" t="s">
        <v>4079</v>
      </c>
      <c r="D1436" s="63" t="s">
        <v>64</v>
      </c>
      <c r="E1436" s="66">
        <v>39.583028800026455</v>
      </c>
      <c r="F1436" s="67">
        <v>3.0000000000000001E-3</v>
      </c>
      <c r="G1436" s="67">
        <v>2E-3</v>
      </c>
      <c r="H1436" s="63"/>
    </row>
    <row r="1437" spans="1:8" x14ac:dyDescent="0.25">
      <c r="A1437" s="63"/>
      <c r="B1437" s="63">
        <v>5</v>
      </c>
      <c r="C1437" s="63" t="s">
        <v>4079</v>
      </c>
      <c r="D1437" s="63" t="s">
        <v>64</v>
      </c>
      <c r="E1437" s="66">
        <v>42.917947459820233</v>
      </c>
      <c r="F1437" s="67">
        <v>3.0000000000000001E-3</v>
      </c>
      <c r="G1437" s="67">
        <v>2E-3</v>
      </c>
      <c r="H1437" s="63"/>
    </row>
    <row r="1438" spans="1:8" x14ac:dyDescent="0.25">
      <c r="A1438" s="63"/>
      <c r="B1438" s="63">
        <v>6</v>
      </c>
      <c r="C1438" s="63" t="s">
        <v>4079</v>
      </c>
      <c r="D1438" s="63" t="s">
        <v>64</v>
      </c>
      <c r="E1438" s="66">
        <v>48.456144425509514</v>
      </c>
      <c r="F1438" s="67">
        <v>3.0000000000000001E-3</v>
      </c>
      <c r="G1438" s="67">
        <v>2E-3</v>
      </c>
      <c r="H1438" s="63"/>
    </row>
    <row r="1439" spans="1:8" x14ac:dyDescent="0.25">
      <c r="A1439" s="63"/>
      <c r="B1439" s="63">
        <v>7</v>
      </c>
      <c r="C1439" s="63" t="s">
        <v>4079</v>
      </c>
      <c r="D1439" s="63" t="s">
        <v>64</v>
      </c>
      <c r="E1439" s="66">
        <v>51.441147415963158</v>
      </c>
      <c r="F1439" s="67">
        <v>3.0000000000000001E-3</v>
      </c>
      <c r="G1439" s="67">
        <v>2E-3</v>
      </c>
      <c r="H1439" s="63"/>
    </row>
    <row r="1440" spans="1:8" x14ac:dyDescent="0.25">
      <c r="A1440" s="63"/>
      <c r="B1440" s="63">
        <v>8</v>
      </c>
      <c r="C1440" s="63" t="s">
        <v>4079</v>
      </c>
      <c r="D1440" s="63" t="s">
        <v>64</v>
      </c>
      <c r="E1440" s="66">
        <v>54.652150956017358</v>
      </c>
      <c r="F1440" s="67">
        <v>3.0000000000000001E-3</v>
      </c>
      <c r="G1440" s="67">
        <v>2E-3</v>
      </c>
      <c r="H1440" s="63"/>
    </row>
    <row r="1441" spans="1:8" x14ac:dyDescent="0.25">
      <c r="A1441" s="63"/>
      <c r="B1441" s="63">
        <v>9</v>
      </c>
      <c r="C1441" s="63" t="s">
        <v>4079</v>
      </c>
      <c r="D1441" s="63" t="s">
        <v>64</v>
      </c>
      <c r="E1441" s="66">
        <v>58.808410228839165</v>
      </c>
      <c r="F1441" s="67">
        <v>3.0000000000000001E-3</v>
      </c>
      <c r="G1441" s="67">
        <v>2E-3</v>
      </c>
      <c r="H1441" s="63"/>
    </row>
    <row r="1442" spans="1:8" x14ac:dyDescent="0.25">
      <c r="A1442" s="63"/>
      <c r="B1442" s="63">
        <v>10</v>
      </c>
      <c r="C1442" s="63" t="s">
        <v>4079</v>
      </c>
      <c r="D1442" s="63" t="s">
        <v>64</v>
      </c>
      <c r="E1442" s="66">
        <v>62.34918511933521</v>
      </c>
      <c r="F1442" s="67">
        <v>3.0000000000000001E-3</v>
      </c>
      <c r="G1442" s="67">
        <v>2E-3</v>
      </c>
      <c r="H1442" s="63"/>
    </row>
    <row r="1443" spans="1:8" x14ac:dyDescent="0.25">
      <c r="A1443" s="63"/>
      <c r="B1443" s="63">
        <v>11</v>
      </c>
      <c r="C1443" s="63" t="s">
        <v>4079</v>
      </c>
      <c r="D1443" s="63" t="s">
        <v>64</v>
      </c>
      <c r="E1443" s="66"/>
      <c r="F1443" s="67">
        <v>3.0000000000000001E-3</v>
      </c>
      <c r="G1443" s="67">
        <v>2E-3</v>
      </c>
      <c r="H1443" s="63"/>
    </row>
    <row r="1444" spans="1:8" x14ac:dyDescent="0.25">
      <c r="A1444" s="63"/>
      <c r="B1444" s="63">
        <v>12</v>
      </c>
      <c r="C1444" s="63" t="s">
        <v>4079</v>
      </c>
      <c r="D1444" s="63" t="s">
        <v>64</v>
      </c>
      <c r="E1444" s="66"/>
      <c r="F1444" s="67">
        <v>3.0000000000000001E-3</v>
      </c>
      <c r="G1444" s="67">
        <v>2E-3</v>
      </c>
      <c r="H1444" s="63"/>
    </row>
    <row r="1445" spans="1:8" x14ac:dyDescent="0.25">
      <c r="A1445" s="63"/>
      <c r="B1445" s="63">
        <v>13</v>
      </c>
      <c r="C1445" s="63" t="s">
        <v>4079</v>
      </c>
      <c r="D1445" s="63" t="s">
        <v>64</v>
      </c>
      <c r="E1445" s="66"/>
      <c r="F1445" s="67">
        <v>3.0000000000000001E-3</v>
      </c>
      <c r="G1445" s="67">
        <v>2E-3</v>
      </c>
      <c r="H1445" s="63"/>
    </row>
    <row r="1446" spans="1:8" x14ac:dyDescent="0.25">
      <c r="A1446" s="63"/>
      <c r="B1446" s="63">
        <v>14</v>
      </c>
      <c r="C1446" s="63" t="s">
        <v>4079</v>
      </c>
      <c r="D1446" s="63" t="s">
        <v>64</v>
      </c>
      <c r="E1446" s="66"/>
      <c r="F1446" s="67">
        <v>3.0000000000000001E-3</v>
      </c>
      <c r="G1446" s="67">
        <v>2E-3</v>
      </c>
      <c r="H1446" s="63"/>
    </row>
    <row r="1447" spans="1:8" x14ac:dyDescent="0.25">
      <c r="A1447" s="63"/>
      <c r="B1447" s="63">
        <v>15</v>
      </c>
      <c r="C1447" s="63" t="s">
        <v>4079</v>
      </c>
      <c r="D1447" s="63" t="s">
        <v>64</v>
      </c>
      <c r="E1447" s="66"/>
      <c r="F1447" s="67">
        <v>3.0000000000000001E-3</v>
      </c>
      <c r="G1447" s="67">
        <v>2E-3</v>
      </c>
      <c r="H1447" s="63"/>
    </row>
    <row r="1448" spans="1:8" x14ac:dyDescent="0.25">
      <c r="A1448" s="63"/>
      <c r="B1448" s="63">
        <v>16</v>
      </c>
      <c r="C1448" s="63" t="s">
        <v>4079</v>
      </c>
      <c r="D1448" s="63" t="s">
        <v>64</v>
      </c>
      <c r="E1448" s="66"/>
      <c r="F1448" s="67">
        <v>3.0000000000000001E-3</v>
      </c>
      <c r="G1448" s="67">
        <v>2E-3</v>
      </c>
      <c r="H1448" s="63"/>
    </row>
    <row r="1449" spans="1:8" x14ac:dyDescent="0.25">
      <c r="A1449" s="63"/>
      <c r="B1449" s="63">
        <v>17</v>
      </c>
      <c r="C1449" s="63" t="s">
        <v>4079</v>
      </c>
      <c r="D1449" s="63" t="s">
        <v>64</v>
      </c>
      <c r="E1449" s="66"/>
      <c r="F1449" s="67">
        <v>3.0000000000000001E-3</v>
      </c>
      <c r="G1449" s="67">
        <v>2E-3</v>
      </c>
      <c r="H1449" s="63"/>
    </row>
    <row r="1450" spans="1:8" x14ac:dyDescent="0.25">
      <c r="A1450" s="63"/>
      <c r="B1450" s="63">
        <v>18</v>
      </c>
      <c r="C1450" s="63" t="s">
        <v>4079</v>
      </c>
      <c r="D1450" s="63" t="s">
        <v>64</v>
      </c>
      <c r="E1450" s="66"/>
      <c r="F1450" s="67">
        <v>3.0000000000000001E-3</v>
      </c>
      <c r="G1450" s="67">
        <v>2E-3</v>
      </c>
      <c r="H1450" s="63"/>
    </row>
    <row r="1451" spans="1:8" x14ac:dyDescent="0.25">
      <c r="A1451" s="63"/>
      <c r="B1451" s="63">
        <v>19</v>
      </c>
      <c r="C1451" s="63" t="s">
        <v>4079</v>
      </c>
      <c r="D1451" s="63" t="s">
        <v>64</v>
      </c>
      <c r="E1451" s="66"/>
      <c r="F1451" s="67">
        <v>3.0000000000000001E-3</v>
      </c>
      <c r="G1451" s="67">
        <v>2E-3</v>
      </c>
      <c r="H1451" s="63"/>
    </row>
    <row r="1452" spans="1:8" x14ac:dyDescent="0.25">
      <c r="A1452" s="63"/>
      <c r="B1452" s="63">
        <v>20</v>
      </c>
      <c r="C1452" s="63" t="s">
        <v>4079</v>
      </c>
      <c r="D1452" s="63" t="s">
        <v>64</v>
      </c>
      <c r="E1452" s="66"/>
      <c r="F1452" s="67">
        <v>3.0000000000000001E-3</v>
      </c>
      <c r="G1452" s="67">
        <v>2E-3</v>
      </c>
      <c r="H1452" s="63"/>
    </row>
    <row r="1453" spans="1:8" x14ac:dyDescent="0.25">
      <c r="A1453" s="63"/>
      <c r="B1453" s="63">
        <v>21</v>
      </c>
      <c r="C1453" s="63" t="s">
        <v>4079</v>
      </c>
      <c r="D1453" s="63" t="s">
        <v>64</v>
      </c>
      <c r="E1453" s="66"/>
      <c r="F1453" s="67">
        <v>3.0000000000000001E-3</v>
      </c>
      <c r="G1453" s="67">
        <v>2E-3</v>
      </c>
      <c r="H1453" s="63"/>
    </row>
    <row r="1454" spans="1:8" x14ac:dyDescent="0.25">
      <c r="A1454" s="63"/>
      <c r="B1454" s="63">
        <v>22</v>
      </c>
      <c r="C1454" s="63" t="s">
        <v>4079</v>
      </c>
      <c r="D1454" s="63" t="s">
        <v>64</v>
      </c>
      <c r="E1454" s="66"/>
      <c r="F1454" s="67">
        <v>3.0000000000000001E-3</v>
      </c>
      <c r="G1454" s="67">
        <v>2E-3</v>
      </c>
      <c r="H1454" s="63"/>
    </row>
    <row r="1455" spans="1:8" x14ac:dyDescent="0.25">
      <c r="A1455" s="63"/>
      <c r="B1455" s="63">
        <v>23</v>
      </c>
      <c r="C1455" s="63" t="s">
        <v>4079</v>
      </c>
      <c r="D1455" s="63" t="s">
        <v>64</v>
      </c>
      <c r="E1455" s="66"/>
      <c r="F1455" s="67">
        <v>3.0000000000000001E-3</v>
      </c>
      <c r="G1455" s="67">
        <v>2E-3</v>
      </c>
      <c r="H1455" s="63"/>
    </row>
    <row r="1456" spans="1:8" x14ac:dyDescent="0.25">
      <c r="A1456" s="63"/>
      <c r="B1456" s="63">
        <v>24</v>
      </c>
      <c r="C1456" s="63" t="s">
        <v>4079</v>
      </c>
      <c r="D1456" s="63" t="s">
        <v>64</v>
      </c>
      <c r="E1456" s="66"/>
      <c r="F1456" s="67">
        <v>3.0000000000000001E-3</v>
      </c>
      <c r="G1456" s="67">
        <v>2E-3</v>
      </c>
      <c r="H1456" s="63"/>
    </row>
    <row r="1457" spans="1:8" x14ac:dyDescent="0.25">
      <c r="A1457" s="63"/>
      <c r="B1457" s="63">
        <v>25</v>
      </c>
      <c r="C1457" s="63" t="s">
        <v>4079</v>
      </c>
      <c r="D1457" s="63" t="s">
        <v>64</v>
      </c>
      <c r="E1457" s="66"/>
      <c r="F1457" s="67">
        <v>3.0000000000000001E-3</v>
      </c>
      <c r="G1457" s="67">
        <v>2E-3</v>
      </c>
      <c r="H1457" s="63"/>
    </row>
    <row r="1458" spans="1:8" x14ac:dyDescent="0.25">
      <c r="A1458" s="63"/>
      <c r="B1458" s="63">
        <v>26</v>
      </c>
      <c r="C1458" s="63" t="s">
        <v>4079</v>
      </c>
      <c r="D1458" s="63" t="s">
        <v>64</v>
      </c>
      <c r="E1458" s="66"/>
      <c r="F1458" s="67">
        <v>3.0000000000000001E-3</v>
      </c>
      <c r="G1458" s="67">
        <v>2E-3</v>
      </c>
      <c r="H1458" s="63"/>
    </row>
    <row r="1459" spans="1:8" x14ac:dyDescent="0.25">
      <c r="A1459" s="63"/>
      <c r="B1459" s="63">
        <v>27</v>
      </c>
      <c r="C1459" s="63" t="s">
        <v>4079</v>
      </c>
      <c r="D1459" s="63" t="s">
        <v>64</v>
      </c>
      <c r="E1459" s="66"/>
      <c r="F1459" s="67">
        <v>3.0000000000000001E-3</v>
      </c>
      <c r="G1459" s="67">
        <v>2E-3</v>
      </c>
      <c r="H1459" s="63"/>
    </row>
    <row r="1460" spans="1:8" x14ac:dyDescent="0.25">
      <c r="A1460" s="63"/>
      <c r="B1460" s="63">
        <v>28</v>
      </c>
      <c r="C1460" s="63" t="s">
        <v>4079</v>
      </c>
      <c r="D1460" s="63" t="s">
        <v>64</v>
      </c>
      <c r="E1460" s="66"/>
      <c r="F1460" s="67">
        <v>3.0000000000000001E-3</v>
      </c>
      <c r="G1460" s="67">
        <v>2E-3</v>
      </c>
      <c r="H1460" s="63"/>
    </row>
    <row r="1461" spans="1:8" x14ac:dyDescent="0.25">
      <c r="A1461" s="63"/>
      <c r="B1461" s="63">
        <v>29</v>
      </c>
      <c r="C1461" s="63" t="s">
        <v>4079</v>
      </c>
      <c r="D1461" s="63" t="s">
        <v>64</v>
      </c>
      <c r="E1461" s="66"/>
      <c r="F1461" s="67">
        <v>3.0000000000000001E-3</v>
      </c>
      <c r="G1461" s="67">
        <v>2E-3</v>
      </c>
      <c r="H1461" s="63"/>
    </row>
    <row r="1462" spans="1:8" x14ac:dyDescent="0.25">
      <c r="A1462" s="63"/>
      <c r="B1462" s="63">
        <v>30</v>
      </c>
      <c r="C1462" s="63" t="s">
        <v>4079</v>
      </c>
      <c r="D1462" s="63" t="s">
        <v>64</v>
      </c>
      <c r="E1462" s="66"/>
      <c r="F1462" s="67">
        <v>3.0000000000000001E-3</v>
      </c>
      <c r="G1462" s="67">
        <v>2E-3</v>
      </c>
      <c r="H1462" s="63"/>
    </row>
    <row r="1463" spans="1:8" x14ac:dyDescent="0.25">
      <c r="A1463" s="63"/>
      <c r="B1463" s="63">
        <v>0</v>
      </c>
      <c r="C1463" s="63" t="s">
        <v>4079</v>
      </c>
      <c r="D1463" s="63" t="s">
        <v>64</v>
      </c>
      <c r="E1463" s="66">
        <v>3.0428788910505911</v>
      </c>
      <c r="F1463" s="67">
        <v>3.0000000000000001E-3</v>
      </c>
      <c r="G1463" s="67">
        <v>2E-3</v>
      </c>
      <c r="H1463" s="63"/>
    </row>
    <row r="1464" spans="1:8" x14ac:dyDescent="0.25">
      <c r="A1464" s="63"/>
      <c r="B1464" s="63">
        <v>0.25</v>
      </c>
      <c r="C1464" s="63" t="s">
        <v>4079</v>
      </c>
      <c r="D1464" s="63" t="s">
        <v>77</v>
      </c>
      <c r="E1464" s="66">
        <v>41.207080732056241</v>
      </c>
      <c r="F1464" s="67">
        <v>3.0000000000000001E-3</v>
      </c>
      <c r="G1464" s="67">
        <v>2E-3</v>
      </c>
      <c r="H1464" s="63"/>
    </row>
    <row r="1465" spans="1:8" x14ac:dyDescent="0.25">
      <c r="A1465" s="63"/>
      <c r="B1465" s="63">
        <v>0.5</v>
      </c>
      <c r="C1465" s="63" t="s">
        <v>4079</v>
      </c>
      <c r="D1465" s="63" t="s">
        <v>77</v>
      </c>
      <c r="E1465" s="66">
        <v>42.157262509433366</v>
      </c>
      <c r="F1465" s="67">
        <v>3.0000000000000001E-3</v>
      </c>
      <c r="G1465" s="67">
        <v>2E-3</v>
      </c>
      <c r="H1465" s="63"/>
    </row>
    <row r="1466" spans="1:8" x14ac:dyDescent="0.25">
      <c r="A1466" s="63"/>
      <c r="B1466" s="63">
        <v>0.75</v>
      </c>
      <c r="C1466" s="63" t="s">
        <v>4079</v>
      </c>
      <c r="D1466" s="63" t="s">
        <v>77</v>
      </c>
      <c r="E1466" s="66">
        <v>44.562650125658905</v>
      </c>
      <c r="F1466" s="67">
        <v>3.0000000000000001E-3</v>
      </c>
      <c r="G1466" s="67">
        <v>2E-3</v>
      </c>
      <c r="H1466" s="63"/>
    </row>
    <row r="1467" spans="1:8" x14ac:dyDescent="0.25">
      <c r="A1467" s="63"/>
      <c r="B1467" s="63">
        <v>1</v>
      </c>
      <c r="C1467" s="63" t="s">
        <v>4079</v>
      </c>
      <c r="D1467" s="63" t="s">
        <v>77</v>
      </c>
      <c r="E1467" s="66">
        <v>44.774343906619599</v>
      </c>
      <c r="F1467" s="67">
        <v>3.0000000000000001E-3</v>
      </c>
      <c r="G1467" s="67">
        <v>2E-3</v>
      </c>
      <c r="H1467" s="63"/>
    </row>
    <row r="1468" spans="1:8" x14ac:dyDescent="0.25">
      <c r="A1468" s="63"/>
      <c r="B1468" s="63">
        <v>2</v>
      </c>
      <c r="C1468" s="63" t="s">
        <v>4079</v>
      </c>
      <c r="D1468" s="63" t="s">
        <v>77</v>
      </c>
      <c r="E1468" s="66">
        <v>47.410026125961608</v>
      </c>
      <c r="F1468" s="67">
        <v>3.0000000000000001E-3</v>
      </c>
      <c r="G1468" s="67">
        <v>2E-3</v>
      </c>
      <c r="H1468" s="63"/>
    </row>
    <row r="1469" spans="1:8" x14ac:dyDescent="0.25">
      <c r="A1469" s="63"/>
      <c r="B1469" s="63">
        <v>3</v>
      </c>
      <c r="C1469" s="63" t="s">
        <v>4079</v>
      </c>
      <c r="D1469" s="63" t="s">
        <v>77</v>
      </c>
      <c r="E1469" s="66">
        <v>51.970197263128114</v>
      </c>
      <c r="F1469" s="67">
        <v>3.0000000000000001E-3</v>
      </c>
      <c r="G1469" s="67">
        <v>2E-3</v>
      </c>
      <c r="H1469" s="63"/>
    </row>
    <row r="1470" spans="1:8" x14ac:dyDescent="0.25">
      <c r="A1470" s="63"/>
      <c r="B1470" s="63">
        <v>4</v>
      </c>
      <c r="C1470" s="63" t="s">
        <v>4079</v>
      </c>
      <c r="D1470" s="63" t="s">
        <v>77</v>
      </c>
      <c r="E1470" s="66">
        <v>57.180133523400194</v>
      </c>
      <c r="F1470" s="67">
        <v>3.0000000000000001E-3</v>
      </c>
      <c r="G1470" s="67">
        <v>2E-3</v>
      </c>
      <c r="H1470" s="63"/>
    </row>
    <row r="1471" spans="1:8" x14ac:dyDescent="0.25">
      <c r="A1471" s="63"/>
      <c r="B1471" s="63">
        <v>5</v>
      </c>
      <c r="C1471" s="63" t="s">
        <v>4079</v>
      </c>
      <c r="D1471" s="63" t="s">
        <v>77</v>
      </c>
      <c r="E1471" s="66">
        <v>62.205497742174821</v>
      </c>
      <c r="F1471" s="67">
        <v>3.0000000000000001E-3</v>
      </c>
      <c r="G1471" s="67">
        <v>2E-3</v>
      </c>
      <c r="H1471" s="63"/>
    </row>
    <row r="1472" spans="1:8" x14ac:dyDescent="0.25">
      <c r="A1472" s="63"/>
      <c r="B1472" s="63">
        <v>6</v>
      </c>
      <c r="C1472" s="63" t="s">
        <v>4079</v>
      </c>
      <c r="D1472" s="63" t="s">
        <v>77</v>
      </c>
      <c r="E1472" s="66">
        <v>67.764075150980162</v>
      </c>
      <c r="F1472" s="67">
        <v>3.0000000000000001E-3</v>
      </c>
      <c r="G1472" s="67">
        <v>2E-3</v>
      </c>
      <c r="H1472" s="63"/>
    </row>
    <row r="1473" spans="1:8" x14ac:dyDescent="0.25">
      <c r="A1473" s="63"/>
      <c r="B1473" s="63">
        <v>7</v>
      </c>
      <c r="C1473" s="63" t="s">
        <v>4079</v>
      </c>
      <c r="D1473" s="63" t="s">
        <v>77</v>
      </c>
      <c r="E1473" s="66">
        <v>75.345852790378046</v>
      </c>
      <c r="F1473" s="67">
        <v>3.0000000000000001E-3</v>
      </c>
      <c r="G1473" s="67">
        <v>2E-3</v>
      </c>
      <c r="H1473" s="63"/>
    </row>
    <row r="1474" spans="1:8" x14ac:dyDescent="0.25">
      <c r="A1474" s="63"/>
      <c r="B1474" s="63">
        <v>8</v>
      </c>
      <c r="C1474" s="63" t="s">
        <v>4079</v>
      </c>
      <c r="D1474" s="63" t="s">
        <v>77</v>
      </c>
      <c r="E1474" s="66">
        <v>81.372396625232085</v>
      </c>
      <c r="F1474" s="67">
        <v>3.0000000000000001E-3</v>
      </c>
      <c r="G1474" s="67">
        <v>2E-3</v>
      </c>
      <c r="H1474" s="63"/>
    </row>
    <row r="1475" spans="1:8" x14ac:dyDescent="0.25">
      <c r="A1475" s="63"/>
      <c r="B1475" s="63">
        <v>9</v>
      </c>
      <c r="C1475" s="63" t="s">
        <v>4079</v>
      </c>
      <c r="D1475" s="63" t="s">
        <v>77</v>
      </c>
      <c r="E1475" s="66">
        <v>88.045224250123979</v>
      </c>
      <c r="F1475" s="67">
        <v>3.0000000000000001E-3</v>
      </c>
      <c r="G1475" s="67">
        <v>2E-3</v>
      </c>
      <c r="H1475" s="63"/>
    </row>
    <row r="1476" spans="1:8" x14ac:dyDescent="0.25">
      <c r="A1476" s="63"/>
      <c r="B1476" s="63">
        <v>10</v>
      </c>
      <c r="C1476" s="63" t="s">
        <v>4079</v>
      </c>
      <c r="D1476" s="63" t="s">
        <v>77</v>
      </c>
      <c r="E1476" s="66">
        <v>94.96907033416484</v>
      </c>
      <c r="F1476" s="67">
        <v>3.0000000000000001E-3</v>
      </c>
      <c r="G1476" s="67">
        <v>2E-3</v>
      </c>
      <c r="H1476" s="63"/>
    </row>
    <row r="1477" spans="1:8" x14ac:dyDescent="0.25">
      <c r="A1477" s="63"/>
      <c r="B1477" s="63">
        <v>11</v>
      </c>
      <c r="C1477" s="63" t="s">
        <v>4079</v>
      </c>
      <c r="D1477" s="63" t="s">
        <v>77</v>
      </c>
      <c r="E1477" s="66"/>
      <c r="F1477" s="67">
        <v>3.0000000000000001E-3</v>
      </c>
      <c r="G1477" s="67">
        <v>2E-3</v>
      </c>
      <c r="H1477" s="63"/>
    </row>
    <row r="1478" spans="1:8" x14ac:dyDescent="0.25">
      <c r="A1478" s="63"/>
      <c r="B1478" s="63">
        <v>12</v>
      </c>
      <c r="C1478" s="63" t="s">
        <v>4079</v>
      </c>
      <c r="D1478" s="63" t="s">
        <v>77</v>
      </c>
      <c r="E1478" s="66"/>
      <c r="F1478" s="67">
        <v>3.0000000000000001E-3</v>
      </c>
      <c r="G1478" s="67">
        <v>2E-3</v>
      </c>
      <c r="H1478" s="63"/>
    </row>
    <row r="1479" spans="1:8" x14ac:dyDescent="0.25">
      <c r="A1479" s="63"/>
      <c r="B1479" s="63">
        <v>13</v>
      </c>
      <c r="C1479" s="63" t="s">
        <v>4079</v>
      </c>
      <c r="D1479" s="63" t="s">
        <v>77</v>
      </c>
      <c r="E1479" s="66"/>
      <c r="F1479" s="67">
        <v>3.0000000000000001E-3</v>
      </c>
      <c r="G1479" s="67">
        <v>2E-3</v>
      </c>
      <c r="H1479" s="63"/>
    </row>
    <row r="1480" spans="1:8" x14ac:dyDescent="0.25">
      <c r="A1480" s="63"/>
      <c r="B1480" s="63">
        <v>14</v>
      </c>
      <c r="C1480" s="63" t="s">
        <v>4079</v>
      </c>
      <c r="D1480" s="63" t="s">
        <v>77</v>
      </c>
      <c r="E1480" s="66"/>
      <c r="F1480" s="67">
        <v>3.0000000000000001E-3</v>
      </c>
      <c r="G1480" s="67">
        <v>2E-3</v>
      </c>
      <c r="H1480" s="63"/>
    </row>
    <row r="1481" spans="1:8" x14ac:dyDescent="0.25">
      <c r="A1481" s="63"/>
      <c r="B1481" s="63">
        <v>15</v>
      </c>
      <c r="C1481" s="63" t="s">
        <v>4079</v>
      </c>
      <c r="D1481" s="63" t="s">
        <v>77</v>
      </c>
      <c r="E1481" s="66"/>
      <c r="F1481" s="67">
        <v>3.0000000000000001E-3</v>
      </c>
      <c r="G1481" s="67">
        <v>2E-3</v>
      </c>
      <c r="H1481" s="63"/>
    </row>
    <row r="1482" spans="1:8" x14ac:dyDescent="0.25">
      <c r="A1482" s="63"/>
      <c r="B1482" s="63">
        <v>16</v>
      </c>
      <c r="C1482" s="63" t="s">
        <v>4079</v>
      </c>
      <c r="D1482" s="63" t="s">
        <v>77</v>
      </c>
      <c r="E1482" s="66"/>
      <c r="F1482" s="67">
        <v>3.0000000000000001E-3</v>
      </c>
      <c r="G1482" s="67">
        <v>2E-3</v>
      </c>
      <c r="H1482" s="63"/>
    </row>
    <row r="1483" spans="1:8" x14ac:dyDescent="0.25">
      <c r="A1483" s="63"/>
      <c r="B1483" s="63">
        <v>17</v>
      </c>
      <c r="C1483" s="63" t="s">
        <v>4079</v>
      </c>
      <c r="D1483" s="63" t="s">
        <v>77</v>
      </c>
      <c r="E1483" s="66"/>
      <c r="F1483" s="67">
        <v>3.0000000000000001E-3</v>
      </c>
      <c r="G1483" s="67">
        <v>2E-3</v>
      </c>
      <c r="H1483" s="63"/>
    </row>
    <row r="1484" spans="1:8" x14ac:dyDescent="0.25">
      <c r="A1484" s="63"/>
      <c r="B1484" s="63">
        <v>18</v>
      </c>
      <c r="C1484" s="63" t="s">
        <v>4079</v>
      </c>
      <c r="D1484" s="63" t="s">
        <v>77</v>
      </c>
      <c r="E1484" s="66"/>
      <c r="F1484" s="67">
        <v>3.0000000000000001E-3</v>
      </c>
      <c r="G1484" s="67">
        <v>2E-3</v>
      </c>
      <c r="H1484" s="63"/>
    </row>
    <row r="1485" spans="1:8" x14ac:dyDescent="0.25">
      <c r="A1485" s="63"/>
      <c r="B1485" s="63">
        <v>19</v>
      </c>
      <c r="C1485" s="63" t="s">
        <v>4079</v>
      </c>
      <c r="D1485" s="63" t="s">
        <v>77</v>
      </c>
      <c r="E1485" s="66"/>
      <c r="F1485" s="67">
        <v>3.0000000000000001E-3</v>
      </c>
      <c r="G1485" s="67">
        <v>2E-3</v>
      </c>
      <c r="H1485" s="63"/>
    </row>
    <row r="1486" spans="1:8" x14ac:dyDescent="0.25">
      <c r="A1486" s="63"/>
      <c r="B1486" s="63">
        <v>20</v>
      </c>
      <c r="C1486" s="63" t="s">
        <v>4079</v>
      </c>
      <c r="D1486" s="63" t="s">
        <v>77</v>
      </c>
      <c r="E1486" s="66"/>
      <c r="F1486" s="67">
        <v>3.0000000000000001E-3</v>
      </c>
      <c r="G1486" s="67">
        <v>2E-3</v>
      </c>
      <c r="H1486" s="63"/>
    </row>
    <row r="1487" spans="1:8" x14ac:dyDescent="0.25">
      <c r="A1487" s="63"/>
      <c r="B1487" s="63">
        <v>21</v>
      </c>
      <c r="C1487" s="63" t="s">
        <v>4079</v>
      </c>
      <c r="D1487" s="63" t="s">
        <v>77</v>
      </c>
      <c r="E1487" s="66"/>
      <c r="F1487" s="67">
        <v>3.0000000000000001E-3</v>
      </c>
      <c r="G1487" s="67">
        <v>2E-3</v>
      </c>
      <c r="H1487" s="63"/>
    </row>
    <row r="1488" spans="1:8" x14ac:dyDescent="0.25">
      <c r="A1488" s="63"/>
      <c r="B1488" s="63">
        <v>22</v>
      </c>
      <c r="C1488" s="63" t="s">
        <v>4079</v>
      </c>
      <c r="D1488" s="63" t="s">
        <v>77</v>
      </c>
      <c r="E1488" s="66"/>
      <c r="F1488" s="67">
        <v>3.0000000000000001E-3</v>
      </c>
      <c r="G1488" s="67">
        <v>2E-3</v>
      </c>
      <c r="H1488" s="63"/>
    </row>
    <row r="1489" spans="1:8" x14ac:dyDescent="0.25">
      <c r="A1489" s="63"/>
      <c r="B1489" s="63">
        <v>23</v>
      </c>
      <c r="C1489" s="63" t="s">
        <v>4079</v>
      </c>
      <c r="D1489" s="63" t="s">
        <v>77</v>
      </c>
      <c r="E1489" s="66"/>
      <c r="F1489" s="67">
        <v>3.0000000000000001E-3</v>
      </c>
      <c r="G1489" s="67">
        <v>2E-3</v>
      </c>
      <c r="H1489" s="63"/>
    </row>
    <row r="1490" spans="1:8" x14ac:dyDescent="0.25">
      <c r="A1490" s="63"/>
      <c r="B1490" s="63">
        <v>24</v>
      </c>
      <c r="C1490" s="63" t="s">
        <v>4079</v>
      </c>
      <c r="D1490" s="63" t="s">
        <v>77</v>
      </c>
      <c r="E1490" s="66"/>
      <c r="F1490" s="67">
        <v>3.0000000000000001E-3</v>
      </c>
      <c r="G1490" s="67">
        <v>2E-3</v>
      </c>
      <c r="H1490" s="63"/>
    </row>
    <row r="1491" spans="1:8" x14ac:dyDescent="0.25">
      <c r="A1491" s="63"/>
      <c r="B1491" s="63">
        <v>25</v>
      </c>
      <c r="C1491" s="63" t="s">
        <v>4079</v>
      </c>
      <c r="D1491" s="63" t="s">
        <v>77</v>
      </c>
      <c r="E1491" s="66"/>
      <c r="F1491" s="67">
        <v>3.0000000000000001E-3</v>
      </c>
      <c r="G1491" s="67">
        <v>2E-3</v>
      </c>
      <c r="H1491" s="63"/>
    </row>
    <row r="1492" spans="1:8" x14ac:dyDescent="0.25">
      <c r="A1492" s="63"/>
      <c r="B1492" s="63">
        <v>26</v>
      </c>
      <c r="C1492" s="63" t="s">
        <v>4079</v>
      </c>
      <c r="D1492" s="63" t="s">
        <v>77</v>
      </c>
      <c r="E1492" s="66"/>
      <c r="F1492" s="67">
        <v>3.0000000000000001E-3</v>
      </c>
      <c r="G1492" s="67">
        <v>2E-3</v>
      </c>
      <c r="H1492" s="63"/>
    </row>
    <row r="1493" spans="1:8" x14ac:dyDescent="0.25">
      <c r="A1493" s="63"/>
      <c r="B1493" s="63">
        <v>27</v>
      </c>
      <c r="C1493" s="63" t="s">
        <v>4079</v>
      </c>
      <c r="D1493" s="63" t="s">
        <v>77</v>
      </c>
      <c r="E1493" s="66"/>
      <c r="F1493" s="67">
        <v>3.0000000000000001E-3</v>
      </c>
      <c r="G1493" s="67">
        <v>2E-3</v>
      </c>
      <c r="H1493" s="63"/>
    </row>
    <row r="1494" spans="1:8" x14ac:dyDescent="0.25">
      <c r="A1494" s="63"/>
      <c r="B1494" s="63">
        <v>28</v>
      </c>
      <c r="C1494" s="63" t="s">
        <v>4079</v>
      </c>
      <c r="D1494" s="63" t="s">
        <v>77</v>
      </c>
      <c r="E1494" s="66"/>
      <c r="F1494" s="67">
        <v>3.0000000000000001E-3</v>
      </c>
      <c r="G1494" s="67">
        <v>2E-3</v>
      </c>
      <c r="H1494" s="63"/>
    </row>
    <row r="1495" spans="1:8" x14ac:dyDescent="0.25">
      <c r="A1495" s="63"/>
      <c r="B1495" s="63">
        <v>29</v>
      </c>
      <c r="C1495" s="63" t="s">
        <v>4079</v>
      </c>
      <c r="D1495" s="63" t="s">
        <v>77</v>
      </c>
      <c r="E1495" s="66"/>
      <c r="F1495" s="67">
        <v>3.0000000000000001E-3</v>
      </c>
      <c r="G1495" s="67">
        <v>2E-3</v>
      </c>
      <c r="H1495" s="63"/>
    </row>
    <row r="1496" spans="1:8" x14ac:dyDescent="0.25">
      <c r="A1496" s="63"/>
      <c r="B1496" s="63">
        <v>30</v>
      </c>
      <c r="C1496" s="63" t="s">
        <v>4079</v>
      </c>
      <c r="D1496" s="63" t="s">
        <v>77</v>
      </c>
      <c r="E1496" s="66"/>
      <c r="F1496" s="67">
        <v>3.0000000000000001E-3</v>
      </c>
      <c r="G1496" s="67">
        <v>2E-3</v>
      </c>
      <c r="H1496" s="63"/>
    </row>
    <row r="1497" spans="1:8" x14ac:dyDescent="0.25">
      <c r="A1497" s="63"/>
      <c r="B1497" s="63">
        <v>0</v>
      </c>
      <c r="C1497" s="63" t="s">
        <v>4079</v>
      </c>
      <c r="D1497" s="63" t="s">
        <v>77</v>
      </c>
      <c r="E1497" s="66">
        <v>3.0428788910505911</v>
      </c>
      <c r="F1497" s="67">
        <v>3.0000000000000001E-3</v>
      </c>
      <c r="G1497" s="67">
        <v>2E-3</v>
      </c>
      <c r="H1497" s="63"/>
    </row>
    <row r="1498" spans="1:8" x14ac:dyDescent="0.25">
      <c r="A1498" s="63"/>
      <c r="B1498" s="63">
        <v>0.25</v>
      </c>
      <c r="C1498" s="63" t="s">
        <v>3647</v>
      </c>
      <c r="D1498" s="63" t="s">
        <v>21</v>
      </c>
      <c r="E1498" s="66">
        <v>31.764536767072471</v>
      </c>
      <c r="F1498" s="67">
        <v>3.0000000000000001E-3</v>
      </c>
      <c r="G1498" s="67">
        <v>2E-3</v>
      </c>
      <c r="H1498" s="63"/>
    </row>
    <row r="1499" spans="1:8" x14ac:dyDescent="0.25">
      <c r="A1499" s="63"/>
      <c r="B1499" s="63">
        <v>0.5</v>
      </c>
      <c r="C1499" s="63" t="s">
        <v>3647</v>
      </c>
      <c r="D1499" s="63" t="s">
        <v>21</v>
      </c>
      <c r="E1499" s="66">
        <v>32.275410941890478</v>
      </c>
      <c r="F1499" s="67">
        <v>3.0000000000000001E-3</v>
      </c>
      <c r="G1499" s="67">
        <v>2E-3</v>
      </c>
      <c r="H1499" s="63"/>
    </row>
    <row r="1500" spans="1:8" x14ac:dyDescent="0.25">
      <c r="A1500" s="63"/>
      <c r="B1500" s="63">
        <v>0.75</v>
      </c>
      <c r="C1500" s="63" t="s">
        <v>3647</v>
      </c>
      <c r="D1500" s="63" t="s">
        <v>21</v>
      </c>
      <c r="E1500" s="66">
        <v>32.611289747662475</v>
      </c>
      <c r="F1500" s="67">
        <v>3.0000000000000001E-3</v>
      </c>
      <c r="G1500" s="67">
        <v>2E-3</v>
      </c>
      <c r="H1500" s="63"/>
    </row>
    <row r="1501" spans="1:8" x14ac:dyDescent="0.25">
      <c r="A1501" s="63"/>
      <c r="B1501" s="63">
        <v>1</v>
      </c>
      <c r="C1501" s="63" t="s">
        <v>3647</v>
      </c>
      <c r="D1501" s="63" t="s">
        <v>21</v>
      </c>
      <c r="E1501" s="66">
        <v>33.053608915846262</v>
      </c>
      <c r="F1501" s="67">
        <v>3.0000000000000001E-3</v>
      </c>
      <c r="G1501" s="67">
        <v>2E-3</v>
      </c>
      <c r="H1501" s="63"/>
    </row>
    <row r="1502" spans="1:8" x14ac:dyDescent="0.25">
      <c r="A1502" s="63"/>
      <c r="B1502" s="63">
        <v>2</v>
      </c>
      <c r="C1502" s="63" t="s">
        <v>3647</v>
      </c>
      <c r="D1502" s="63" t="s">
        <v>21</v>
      </c>
      <c r="E1502" s="66">
        <v>46.788995495092166</v>
      </c>
      <c r="F1502" s="67">
        <v>3.0000000000000001E-3</v>
      </c>
      <c r="G1502" s="67">
        <v>2E-3</v>
      </c>
      <c r="H1502" s="63"/>
    </row>
    <row r="1503" spans="1:8" x14ac:dyDescent="0.25">
      <c r="A1503" s="63"/>
      <c r="B1503" s="63">
        <v>3</v>
      </c>
      <c r="C1503" s="63" t="s">
        <v>3647</v>
      </c>
      <c r="D1503" s="63" t="s">
        <v>21</v>
      </c>
      <c r="E1503" s="66">
        <v>61.625628228118671</v>
      </c>
      <c r="F1503" s="67">
        <v>3.0000000000000001E-3</v>
      </c>
      <c r="G1503" s="67">
        <v>2E-3</v>
      </c>
      <c r="H1503" s="63"/>
    </row>
    <row r="1504" spans="1:8" x14ac:dyDescent="0.25">
      <c r="A1504" s="63"/>
      <c r="B1504" s="63">
        <v>4</v>
      </c>
      <c r="C1504" s="63" t="s">
        <v>3647</v>
      </c>
      <c r="D1504" s="63" t="s">
        <v>21</v>
      </c>
      <c r="E1504" s="66">
        <v>76.73176111582147</v>
      </c>
      <c r="F1504" s="67">
        <v>3.0000000000000001E-3</v>
      </c>
      <c r="G1504" s="67">
        <v>2E-3</v>
      </c>
      <c r="H1504" s="63"/>
    </row>
    <row r="1505" spans="1:8" x14ac:dyDescent="0.25">
      <c r="A1505" s="63"/>
      <c r="B1505" s="63">
        <v>5</v>
      </c>
      <c r="C1505" s="63" t="s">
        <v>3647</v>
      </c>
      <c r="D1505" s="63" t="s">
        <v>21</v>
      </c>
      <c r="E1505" s="66">
        <v>92.24123817473226</v>
      </c>
      <c r="F1505" s="67">
        <v>3.0000000000000001E-3</v>
      </c>
      <c r="G1505" s="67">
        <v>2E-3</v>
      </c>
      <c r="H1505" s="63"/>
    </row>
    <row r="1506" spans="1:8" x14ac:dyDescent="0.25">
      <c r="A1506" s="63"/>
      <c r="B1506" s="63">
        <v>6</v>
      </c>
      <c r="C1506" s="63" t="s">
        <v>3647</v>
      </c>
      <c r="D1506" s="63" t="s">
        <v>21</v>
      </c>
      <c r="E1506" s="66">
        <v>107.33230307972931</v>
      </c>
      <c r="F1506" s="67">
        <v>3.0000000000000001E-3</v>
      </c>
      <c r="G1506" s="67">
        <v>2E-3</v>
      </c>
      <c r="H1506" s="63"/>
    </row>
    <row r="1507" spans="1:8" x14ac:dyDescent="0.25">
      <c r="A1507" s="63"/>
      <c r="B1507" s="63">
        <v>7</v>
      </c>
      <c r="C1507" s="63" t="s">
        <v>3647</v>
      </c>
      <c r="D1507" s="63" t="s">
        <v>21</v>
      </c>
      <c r="E1507" s="66">
        <v>122.56344509712353</v>
      </c>
      <c r="F1507" s="67">
        <v>3.0000000000000001E-3</v>
      </c>
      <c r="G1507" s="67">
        <v>2E-3</v>
      </c>
      <c r="H1507" s="63"/>
    </row>
    <row r="1508" spans="1:8" x14ac:dyDescent="0.25">
      <c r="A1508" s="63"/>
      <c r="B1508" s="63">
        <v>8</v>
      </c>
      <c r="C1508" s="63" t="s">
        <v>3647</v>
      </c>
      <c r="D1508" s="63" t="s">
        <v>21</v>
      </c>
      <c r="E1508" s="66">
        <v>137.94867193815469</v>
      </c>
      <c r="F1508" s="67">
        <v>3.0000000000000001E-3</v>
      </c>
      <c r="G1508" s="67">
        <v>2E-3</v>
      </c>
      <c r="H1508" s="63"/>
    </row>
    <row r="1509" spans="1:8" x14ac:dyDescent="0.25">
      <c r="A1509" s="63"/>
      <c r="B1509" s="63">
        <v>9</v>
      </c>
      <c r="C1509" s="63" t="s">
        <v>3647</v>
      </c>
      <c r="D1509" s="63" t="s">
        <v>21</v>
      </c>
      <c r="E1509" s="66">
        <v>153.5033920851865</v>
      </c>
      <c r="F1509" s="67">
        <v>3.0000000000000001E-3</v>
      </c>
      <c r="G1509" s="67">
        <v>2E-3</v>
      </c>
      <c r="H1509" s="63"/>
    </row>
    <row r="1510" spans="1:8" x14ac:dyDescent="0.25">
      <c r="A1510" s="63"/>
      <c r="B1510" s="63">
        <v>10</v>
      </c>
      <c r="C1510" s="63" t="s">
        <v>3647</v>
      </c>
      <c r="D1510" s="63" t="s">
        <v>21</v>
      </c>
      <c r="E1510" s="66">
        <v>168.27771662473259</v>
      </c>
      <c r="F1510" s="67">
        <v>3.0000000000000001E-3</v>
      </c>
      <c r="G1510" s="67">
        <v>2E-3</v>
      </c>
      <c r="H1510" s="63"/>
    </row>
    <row r="1511" spans="1:8" x14ac:dyDescent="0.25">
      <c r="A1511" s="63"/>
      <c r="B1511" s="63">
        <v>11</v>
      </c>
      <c r="C1511" s="63" t="s">
        <v>3647</v>
      </c>
      <c r="D1511" s="63" t="s">
        <v>21</v>
      </c>
      <c r="E1511" s="66"/>
      <c r="F1511" s="67">
        <v>3.0000000000000001E-3</v>
      </c>
      <c r="G1511" s="67">
        <v>2E-3</v>
      </c>
      <c r="H1511" s="63"/>
    </row>
    <row r="1512" spans="1:8" x14ac:dyDescent="0.25">
      <c r="A1512" s="63"/>
      <c r="B1512" s="63">
        <v>12</v>
      </c>
      <c r="C1512" s="63" t="s">
        <v>3647</v>
      </c>
      <c r="D1512" s="63" t="s">
        <v>21</v>
      </c>
      <c r="E1512" s="66"/>
      <c r="F1512" s="67">
        <v>3.0000000000000001E-3</v>
      </c>
      <c r="G1512" s="67">
        <v>2E-3</v>
      </c>
      <c r="H1512" s="63"/>
    </row>
    <row r="1513" spans="1:8" x14ac:dyDescent="0.25">
      <c r="A1513" s="63"/>
      <c r="B1513" s="63">
        <v>13</v>
      </c>
      <c r="C1513" s="63" t="s">
        <v>3647</v>
      </c>
      <c r="D1513" s="63" t="s">
        <v>21</v>
      </c>
      <c r="E1513" s="66"/>
      <c r="F1513" s="67">
        <v>3.0000000000000001E-3</v>
      </c>
      <c r="G1513" s="67">
        <v>2E-3</v>
      </c>
      <c r="H1513" s="63"/>
    </row>
    <row r="1514" spans="1:8" x14ac:dyDescent="0.25">
      <c r="A1514" s="63"/>
      <c r="B1514" s="63">
        <v>14</v>
      </c>
      <c r="C1514" s="63" t="s">
        <v>3647</v>
      </c>
      <c r="D1514" s="63" t="s">
        <v>21</v>
      </c>
      <c r="E1514" s="66"/>
      <c r="F1514" s="67">
        <v>3.0000000000000001E-3</v>
      </c>
      <c r="G1514" s="67">
        <v>2E-3</v>
      </c>
      <c r="H1514" s="63"/>
    </row>
    <row r="1515" spans="1:8" x14ac:dyDescent="0.25">
      <c r="A1515" s="63"/>
      <c r="B1515" s="63">
        <v>15</v>
      </c>
      <c r="C1515" s="63" t="s">
        <v>3647</v>
      </c>
      <c r="D1515" s="63" t="s">
        <v>21</v>
      </c>
      <c r="E1515" s="66"/>
      <c r="F1515" s="67">
        <v>3.0000000000000001E-3</v>
      </c>
      <c r="G1515" s="67">
        <v>2E-3</v>
      </c>
      <c r="H1515" s="63"/>
    </row>
    <row r="1516" spans="1:8" x14ac:dyDescent="0.25">
      <c r="A1516" s="63"/>
      <c r="B1516" s="63">
        <v>16</v>
      </c>
      <c r="C1516" s="63" t="s">
        <v>3647</v>
      </c>
      <c r="D1516" s="63" t="s">
        <v>21</v>
      </c>
      <c r="E1516" s="66"/>
      <c r="F1516" s="67">
        <v>3.0000000000000001E-3</v>
      </c>
      <c r="G1516" s="67">
        <v>2E-3</v>
      </c>
      <c r="H1516" s="63"/>
    </row>
    <row r="1517" spans="1:8" x14ac:dyDescent="0.25">
      <c r="A1517" s="63"/>
      <c r="B1517" s="63">
        <v>17</v>
      </c>
      <c r="C1517" s="63" t="s">
        <v>3647</v>
      </c>
      <c r="D1517" s="63" t="s">
        <v>21</v>
      </c>
      <c r="E1517" s="66"/>
      <c r="F1517" s="67">
        <v>3.0000000000000001E-3</v>
      </c>
      <c r="G1517" s="67">
        <v>2E-3</v>
      </c>
      <c r="H1517" s="63"/>
    </row>
    <row r="1518" spans="1:8" x14ac:dyDescent="0.25">
      <c r="A1518" s="63"/>
      <c r="B1518" s="63">
        <v>18</v>
      </c>
      <c r="C1518" s="63" t="s">
        <v>3647</v>
      </c>
      <c r="D1518" s="63" t="s">
        <v>21</v>
      </c>
      <c r="E1518" s="66"/>
      <c r="F1518" s="67">
        <v>3.0000000000000001E-3</v>
      </c>
      <c r="G1518" s="67">
        <v>2E-3</v>
      </c>
      <c r="H1518" s="63"/>
    </row>
    <row r="1519" spans="1:8" x14ac:dyDescent="0.25">
      <c r="A1519" s="63"/>
      <c r="B1519" s="63">
        <v>19</v>
      </c>
      <c r="C1519" s="63" t="s">
        <v>3647</v>
      </c>
      <c r="D1519" s="63" t="s">
        <v>21</v>
      </c>
      <c r="E1519" s="66"/>
      <c r="F1519" s="67">
        <v>3.0000000000000001E-3</v>
      </c>
      <c r="G1519" s="67">
        <v>2E-3</v>
      </c>
      <c r="H1519" s="63"/>
    </row>
    <row r="1520" spans="1:8" x14ac:dyDescent="0.25">
      <c r="A1520" s="63"/>
      <c r="B1520" s="63">
        <v>20</v>
      </c>
      <c r="C1520" s="63" t="s">
        <v>3647</v>
      </c>
      <c r="D1520" s="63" t="s">
        <v>21</v>
      </c>
      <c r="E1520" s="66"/>
      <c r="F1520" s="67">
        <v>3.0000000000000001E-3</v>
      </c>
      <c r="G1520" s="67">
        <v>2E-3</v>
      </c>
      <c r="H1520" s="63"/>
    </row>
    <row r="1521" spans="1:8" x14ac:dyDescent="0.25">
      <c r="A1521" s="63"/>
      <c r="B1521" s="63">
        <v>21</v>
      </c>
      <c r="C1521" s="63" t="s">
        <v>3647</v>
      </c>
      <c r="D1521" s="63" t="s">
        <v>21</v>
      </c>
      <c r="E1521" s="66"/>
      <c r="F1521" s="67">
        <v>3.0000000000000001E-3</v>
      </c>
      <c r="G1521" s="67">
        <v>2E-3</v>
      </c>
      <c r="H1521" s="63"/>
    </row>
    <row r="1522" spans="1:8" x14ac:dyDescent="0.25">
      <c r="A1522" s="63"/>
      <c r="B1522" s="63">
        <v>22</v>
      </c>
      <c r="C1522" s="63" t="s">
        <v>3647</v>
      </c>
      <c r="D1522" s="63" t="s">
        <v>21</v>
      </c>
      <c r="E1522" s="66"/>
      <c r="F1522" s="67">
        <v>3.0000000000000001E-3</v>
      </c>
      <c r="G1522" s="67">
        <v>2E-3</v>
      </c>
      <c r="H1522" s="63"/>
    </row>
    <row r="1523" spans="1:8" x14ac:dyDescent="0.25">
      <c r="A1523" s="63"/>
      <c r="B1523" s="63">
        <v>23</v>
      </c>
      <c r="C1523" s="63" t="s">
        <v>3647</v>
      </c>
      <c r="D1523" s="63" t="s">
        <v>21</v>
      </c>
      <c r="E1523" s="66"/>
      <c r="F1523" s="67">
        <v>3.0000000000000001E-3</v>
      </c>
      <c r="G1523" s="67">
        <v>2E-3</v>
      </c>
      <c r="H1523" s="63"/>
    </row>
    <row r="1524" spans="1:8" x14ac:dyDescent="0.25">
      <c r="A1524" s="63"/>
      <c r="B1524" s="63">
        <v>24</v>
      </c>
      <c r="C1524" s="63" t="s">
        <v>3647</v>
      </c>
      <c r="D1524" s="63" t="s">
        <v>21</v>
      </c>
      <c r="E1524" s="66"/>
      <c r="F1524" s="67">
        <v>3.0000000000000001E-3</v>
      </c>
      <c r="G1524" s="67">
        <v>2E-3</v>
      </c>
      <c r="H1524" s="63"/>
    </row>
    <row r="1525" spans="1:8" x14ac:dyDescent="0.25">
      <c r="A1525" s="63"/>
      <c r="B1525" s="63">
        <v>25</v>
      </c>
      <c r="C1525" s="63" t="s">
        <v>3647</v>
      </c>
      <c r="D1525" s="63" t="s">
        <v>21</v>
      </c>
      <c r="E1525" s="66"/>
      <c r="F1525" s="67">
        <v>3.0000000000000001E-3</v>
      </c>
      <c r="G1525" s="67">
        <v>2E-3</v>
      </c>
      <c r="H1525" s="63"/>
    </row>
    <row r="1526" spans="1:8" x14ac:dyDescent="0.25">
      <c r="A1526" s="63"/>
      <c r="B1526" s="63">
        <v>26</v>
      </c>
      <c r="C1526" s="63" t="s">
        <v>3647</v>
      </c>
      <c r="D1526" s="63" t="s">
        <v>21</v>
      </c>
      <c r="E1526" s="66"/>
      <c r="F1526" s="67">
        <v>3.0000000000000001E-3</v>
      </c>
      <c r="G1526" s="67">
        <v>2E-3</v>
      </c>
      <c r="H1526" s="63"/>
    </row>
    <row r="1527" spans="1:8" x14ac:dyDescent="0.25">
      <c r="A1527" s="63"/>
      <c r="B1527" s="63">
        <v>27</v>
      </c>
      <c r="C1527" s="63" t="s">
        <v>3647</v>
      </c>
      <c r="D1527" s="63" t="s">
        <v>21</v>
      </c>
      <c r="E1527" s="66"/>
      <c r="F1527" s="67">
        <v>3.0000000000000001E-3</v>
      </c>
      <c r="G1527" s="67">
        <v>2E-3</v>
      </c>
      <c r="H1527" s="63"/>
    </row>
    <row r="1528" spans="1:8" x14ac:dyDescent="0.25">
      <c r="A1528" s="63"/>
      <c r="B1528" s="63">
        <v>28</v>
      </c>
      <c r="C1528" s="63" t="s">
        <v>3647</v>
      </c>
      <c r="D1528" s="63" t="s">
        <v>21</v>
      </c>
      <c r="E1528" s="66"/>
      <c r="F1528" s="67">
        <v>3.0000000000000001E-3</v>
      </c>
      <c r="G1528" s="67">
        <v>2E-3</v>
      </c>
      <c r="H1528" s="63"/>
    </row>
    <row r="1529" spans="1:8" x14ac:dyDescent="0.25">
      <c r="A1529" s="63"/>
      <c r="B1529" s="63">
        <v>29</v>
      </c>
      <c r="C1529" s="63" t="s">
        <v>3647</v>
      </c>
      <c r="D1529" s="63" t="s">
        <v>21</v>
      </c>
      <c r="E1529" s="66"/>
      <c r="F1529" s="67">
        <v>3.0000000000000001E-3</v>
      </c>
      <c r="G1529" s="67">
        <v>2E-3</v>
      </c>
      <c r="H1529" s="63"/>
    </row>
    <row r="1530" spans="1:8" x14ac:dyDescent="0.25">
      <c r="A1530" s="63"/>
      <c r="B1530" s="63">
        <v>30</v>
      </c>
      <c r="C1530" s="63" t="s">
        <v>3647</v>
      </c>
      <c r="D1530" s="63" t="s">
        <v>21</v>
      </c>
      <c r="E1530" s="66"/>
      <c r="F1530" s="67">
        <v>3.0000000000000001E-3</v>
      </c>
      <c r="G1530" s="67">
        <v>2E-3</v>
      </c>
      <c r="H1530" s="63"/>
    </row>
    <row r="1531" spans="1:8" x14ac:dyDescent="0.25">
      <c r="A1531" s="63"/>
      <c r="B1531" s="63">
        <v>0</v>
      </c>
      <c r="C1531" s="63" t="s">
        <v>3647</v>
      </c>
      <c r="D1531" s="63" t="s">
        <v>21</v>
      </c>
      <c r="E1531" s="66">
        <v>3.0428788910505911</v>
      </c>
      <c r="F1531" s="67">
        <v>3.0000000000000001E-3</v>
      </c>
      <c r="G1531" s="67">
        <v>2E-3</v>
      </c>
      <c r="H1531" s="63"/>
    </row>
    <row r="1532" spans="1:8" x14ac:dyDescent="0.25">
      <c r="A1532" s="63"/>
      <c r="B1532" s="63">
        <v>0.25</v>
      </c>
      <c r="C1532" s="63" t="s">
        <v>3647</v>
      </c>
      <c r="D1532" s="63" t="s">
        <v>62</v>
      </c>
      <c r="E1532" s="66">
        <v>40.602560691666717</v>
      </c>
      <c r="F1532" s="67">
        <v>3.0000000000000001E-3</v>
      </c>
      <c r="G1532" s="67">
        <v>2E-3</v>
      </c>
      <c r="H1532" s="63"/>
    </row>
    <row r="1533" spans="1:8" x14ac:dyDescent="0.25">
      <c r="A1533" s="63"/>
      <c r="B1533" s="63">
        <v>0.5</v>
      </c>
      <c r="C1533" s="63" t="s">
        <v>3647</v>
      </c>
      <c r="D1533" s="63" t="s">
        <v>62</v>
      </c>
      <c r="E1533" s="66">
        <v>41.337902182578553</v>
      </c>
      <c r="F1533" s="67">
        <v>3.0000000000000001E-3</v>
      </c>
      <c r="G1533" s="67">
        <v>2E-3</v>
      </c>
      <c r="H1533" s="63"/>
    </row>
    <row r="1534" spans="1:8" x14ac:dyDescent="0.25">
      <c r="A1534" s="63"/>
      <c r="B1534" s="63">
        <v>0.75</v>
      </c>
      <c r="C1534" s="63" t="s">
        <v>3647</v>
      </c>
      <c r="D1534" s="63" t="s">
        <v>62</v>
      </c>
      <c r="E1534" s="66">
        <v>41.922426272497702</v>
      </c>
      <c r="F1534" s="67">
        <v>3.0000000000000001E-3</v>
      </c>
      <c r="G1534" s="67">
        <v>2E-3</v>
      </c>
      <c r="H1534" s="63"/>
    </row>
    <row r="1535" spans="1:8" x14ac:dyDescent="0.25">
      <c r="A1535" s="63"/>
      <c r="B1535" s="63">
        <v>1</v>
      </c>
      <c r="C1535" s="63" t="s">
        <v>3647</v>
      </c>
      <c r="D1535" s="63" t="s">
        <v>62</v>
      </c>
      <c r="E1535" s="66">
        <v>43.263064758956361</v>
      </c>
      <c r="F1535" s="67">
        <v>3.0000000000000001E-3</v>
      </c>
      <c r="G1535" s="67">
        <v>2E-3</v>
      </c>
      <c r="H1535" s="63"/>
    </row>
    <row r="1536" spans="1:8" x14ac:dyDescent="0.25">
      <c r="A1536" s="63"/>
      <c r="B1536" s="63">
        <v>2</v>
      </c>
      <c r="C1536" s="63" t="s">
        <v>3647</v>
      </c>
      <c r="D1536" s="63" t="s">
        <v>62</v>
      </c>
      <c r="E1536" s="66">
        <v>55.75461934852062</v>
      </c>
      <c r="F1536" s="67">
        <v>3.0000000000000001E-3</v>
      </c>
      <c r="G1536" s="67">
        <v>2E-3</v>
      </c>
      <c r="H1536" s="63"/>
    </row>
    <row r="1537" spans="1:8" x14ac:dyDescent="0.25">
      <c r="A1537" s="63"/>
      <c r="B1537" s="63">
        <v>3</v>
      </c>
      <c r="C1537" s="63" t="s">
        <v>3647</v>
      </c>
      <c r="D1537" s="63" t="s">
        <v>62</v>
      </c>
      <c r="E1537" s="66">
        <v>69.492484433824174</v>
      </c>
      <c r="F1537" s="67">
        <v>3.0000000000000001E-3</v>
      </c>
      <c r="G1537" s="67">
        <v>2E-3</v>
      </c>
      <c r="H1537" s="63"/>
    </row>
    <row r="1538" spans="1:8" x14ac:dyDescent="0.25">
      <c r="A1538" s="63"/>
      <c r="B1538" s="63">
        <v>4</v>
      </c>
      <c r="C1538" s="63" t="s">
        <v>3647</v>
      </c>
      <c r="D1538" s="63" t="s">
        <v>62</v>
      </c>
      <c r="E1538" s="66">
        <v>83.525205579843359</v>
      </c>
      <c r="F1538" s="67">
        <v>3.0000000000000001E-3</v>
      </c>
      <c r="G1538" s="67">
        <v>2E-3</v>
      </c>
      <c r="H1538" s="63"/>
    </row>
    <row r="1539" spans="1:8" x14ac:dyDescent="0.25">
      <c r="A1539" s="63"/>
      <c r="B1539" s="63">
        <v>5</v>
      </c>
      <c r="C1539" s="63" t="s">
        <v>3647</v>
      </c>
      <c r="D1539" s="63" t="s">
        <v>62</v>
      </c>
      <c r="E1539" s="66">
        <v>97.945183270645757</v>
      </c>
      <c r="F1539" s="67">
        <v>3.0000000000000001E-3</v>
      </c>
      <c r="G1539" s="67">
        <v>2E-3</v>
      </c>
      <c r="H1539" s="63"/>
    </row>
    <row r="1540" spans="1:8" x14ac:dyDescent="0.25">
      <c r="A1540" s="63"/>
      <c r="B1540" s="63">
        <v>6</v>
      </c>
      <c r="C1540" s="63" t="s">
        <v>3647</v>
      </c>
      <c r="D1540" s="63" t="s">
        <v>62</v>
      </c>
      <c r="E1540" s="66">
        <v>112.59605535517113</v>
      </c>
      <c r="F1540" s="67">
        <v>3.0000000000000001E-3</v>
      </c>
      <c r="G1540" s="67">
        <v>2E-3</v>
      </c>
      <c r="H1540" s="63"/>
    </row>
    <row r="1541" spans="1:8" x14ac:dyDescent="0.25">
      <c r="A1541" s="63"/>
      <c r="B1541" s="63">
        <v>7</v>
      </c>
      <c r="C1541" s="63" t="s">
        <v>3647</v>
      </c>
      <c r="D1541" s="63" t="s">
        <v>62</v>
      </c>
      <c r="E1541" s="66">
        <v>127.50752162234275</v>
      </c>
      <c r="F1541" s="67">
        <v>3.0000000000000001E-3</v>
      </c>
      <c r="G1541" s="67">
        <v>2E-3</v>
      </c>
      <c r="H1541" s="63"/>
    </row>
    <row r="1542" spans="1:8" x14ac:dyDescent="0.25">
      <c r="A1542" s="63"/>
      <c r="B1542" s="63">
        <v>8</v>
      </c>
      <c r="C1542" s="63" t="s">
        <v>3647</v>
      </c>
      <c r="D1542" s="63" t="s">
        <v>62</v>
      </c>
      <c r="E1542" s="66">
        <v>142.71320299088848</v>
      </c>
      <c r="F1542" s="67">
        <v>3.0000000000000001E-3</v>
      </c>
      <c r="G1542" s="67">
        <v>2E-3</v>
      </c>
      <c r="H1542" s="63"/>
    </row>
    <row r="1543" spans="1:8" x14ac:dyDescent="0.25">
      <c r="A1543" s="63"/>
      <c r="B1543" s="63">
        <v>9</v>
      </c>
      <c r="C1543" s="63" t="s">
        <v>3647</v>
      </c>
      <c r="D1543" s="63" t="s">
        <v>62</v>
      </c>
      <c r="E1543" s="66">
        <v>157.47806495650832</v>
      </c>
      <c r="F1543" s="67">
        <v>3.0000000000000001E-3</v>
      </c>
      <c r="G1543" s="67">
        <v>2E-3</v>
      </c>
      <c r="H1543" s="63"/>
    </row>
    <row r="1544" spans="1:8" x14ac:dyDescent="0.25">
      <c r="A1544" s="63"/>
      <c r="B1544" s="63">
        <v>10</v>
      </c>
      <c r="C1544" s="63" t="s">
        <v>3647</v>
      </c>
      <c r="D1544" s="63" t="s">
        <v>62</v>
      </c>
      <c r="E1544" s="66">
        <v>172.08654402523811</v>
      </c>
      <c r="F1544" s="67">
        <v>3.0000000000000001E-3</v>
      </c>
      <c r="G1544" s="67">
        <v>2E-3</v>
      </c>
      <c r="H1544" s="63"/>
    </row>
    <row r="1545" spans="1:8" x14ac:dyDescent="0.25">
      <c r="A1545" s="63"/>
      <c r="B1545" s="63">
        <v>11</v>
      </c>
      <c r="C1545" s="63" t="s">
        <v>3647</v>
      </c>
      <c r="D1545" s="63" t="s">
        <v>62</v>
      </c>
      <c r="E1545" s="66"/>
      <c r="F1545" s="67">
        <v>3.0000000000000001E-3</v>
      </c>
      <c r="G1545" s="67">
        <v>2E-3</v>
      </c>
      <c r="H1545" s="63"/>
    </row>
    <row r="1546" spans="1:8" x14ac:dyDescent="0.25">
      <c r="A1546" s="63"/>
      <c r="B1546" s="63">
        <v>12</v>
      </c>
      <c r="C1546" s="63" t="s">
        <v>3647</v>
      </c>
      <c r="D1546" s="63" t="s">
        <v>62</v>
      </c>
      <c r="E1546" s="66"/>
      <c r="F1546" s="67">
        <v>3.0000000000000001E-3</v>
      </c>
      <c r="G1546" s="67">
        <v>2E-3</v>
      </c>
      <c r="H1546" s="63"/>
    </row>
    <row r="1547" spans="1:8" x14ac:dyDescent="0.25">
      <c r="A1547" s="63"/>
      <c r="B1547" s="63">
        <v>13</v>
      </c>
      <c r="C1547" s="63" t="s">
        <v>3647</v>
      </c>
      <c r="D1547" s="63" t="s">
        <v>62</v>
      </c>
      <c r="E1547" s="66"/>
      <c r="F1547" s="67">
        <v>3.0000000000000001E-3</v>
      </c>
      <c r="G1547" s="67">
        <v>2E-3</v>
      </c>
      <c r="H1547" s="63"/>
    </row>
    <row r="1548" spans="1:8" x14ac:dyDescent="0.25">
      <c r="A1548" s="63"/>
      <c r="B1548" s="63">
        <v>14</v>
      </c>
      <c r="C1548" s="63" t="s">
        <v>3647</v>
      </c>
      <c r="D1548" s="63" t="s">
        <v>62</v>
      </c>
      <c r="E1548" s="66"/>
      <c r="F1548" s="67">
        <v>3.0000000000000001E-3</v>
      </c>
      <c r="G1548" s="67">
        <v>2E-3</v>
      </c>
      <c r="H1548" s="63"/>
    </row>
    <row r="1549" spans="1:8" x14ac:dyDescent="0.25">
      <c r="A1549" s="63"/>
      <c r="B1549" s="63">
        <v>15</v>
      </c>
      <c r="C1549" s="63" t="s">
        <v>3647</v>
      </c>
      <c r="D1549" s="63" t="s">
        <v>62</v>
      </c>
      <c r="E1549" s="66"/>
      <c r="F1549" s="67">
        <v>3.0000000000000001E-3</v>
      </c>
      <c r="G1549" s="67">
        <v>2E-3</v>
      </c>
      <c r="H1549" s="63"/>
    </row>
    <row r="1550" spans="1:8" x14ac:dyDescent="0.25">
      <c r="A1550" s="63"/>
      <c r="B1550" s="63">
        <v>16</v>
      </c>
      <c r="C1550" s="63" t="s">
        <v>3647</v>
      </c>
      <c r="D1550" s="63" t="s">
        <v>62</v>
      </c>
      <c r="E1550" s="66"/>
      <c r="F1550" s="67">
        <v>3.0000000000000001E-3</v>
      </c>
      <c r="G1550" s="67">
        <v>2E-3</v>
      </c>
      <c r="H1550" s="63"/>
    </row>
    <row r="1551" spans="1:8" x14ac:dyDescent="0.25">
      <c r="A1551" s="63"/>
      <c r="B1551" s="63">
        <v>17</v>
      </c>
      <c r="C1551" s="63" t="s">
        <v>3647</v>
      </c>
      <c r="D1551" s="63" t="s">
        <v>62</v>
      </c>
      <c r="E1551" s="66"/>
      <c r="F1551" s="67">
        <v>3.0000000000000001E-3</v>
      </c>
      <c r="G1551" s="67">
        <v>2E-3</v>
      </c>
      <c r="H1551" s="63"/>
    </row>
    <row r="1552" spans="1:8" x14ac:dyDescent="0.25">
      <c r="A1552" s="63"/>
      <c r="B1552" s="63">
        <v>18</v>
      </c>
      <c r="C1552" s="63" t="s">
        <v>3647</v>
      </c>
      <c r="D1552" s="63" t="s">
        <v>62</v>
      </c>
      <c r="E1552" s="66"/>
      <c r="F1552" s="67">
        <v>3.0000000000000001E-3</v>
      </c>
      <c r="G1552" s="67">
        <v>2E-3</v>
      </c>
      <c r="H1552" s="63"/>
    </row>
    <row r="1553" spans="1:8" x14ac:dyDescent="0.25">
      <c r="A1553" s="63"/>
      <c r="B1553" s="63">
        <v>19</v>
      </c>
      <c r="C1553" s="63" t="s">
        <v>3647</v>
      </c>
      <c r="D1553" s="63" t="s">
        <v>62</v>
      </c>
      <c r="E1553" s="66"/>
      <c r="F1553" s="67">
        <v>3.0000000000000001E-3</v>
      </c>
      <c r="G1553" s="67">
        <v>2E-3</v>
      </c>
      <c r="H1553" s="63"/>
    </row>
    <row r="1554" spans="1:8" x14ac:dyDescent="0.25">
      <c r="A1554" s="63"/>
      <c r="B1554" s="63">
        <v>20</v>
      </c>
      <c r="C1554" s="63" t="s">
        <v>3647</v>
      </c>
      <c r="D1554" s="63" t="s">
        <v>62</v>
      </c>
      <c r="E1554" s="66"/>
      <c r="F1554" s="67">
        <v>3.0000000000000001E-3</v>
      </c>
      <c r="G1554" s="67">
        <v>2E-3</v>
      </c>
      <c r="H1554" s="63"/>
    </row>
    <row r="1555" spans="1:8" x14ac:dyDescent="0.25">
      <c r="A1555" s="63"/>
      <c r="B1555" s="63">
        <v>21</v>
      </c>
      <c r="C1555" s="63" t="s">
        <v>3647</v>
      </c>
      <c r="D1555" s="63" t="s">
        <v>62</v>
      </c>
      <c r="E1555" s="66"/>
      <c r="F1555" s="67">
        <v>3.0000000000000001E-3</v>
      </c>
      <c r="G1555" s="67">
        <v>2E-3</v>
      </c>
      <c r="H1555" s="63"/>
    </row>
    <row r="1556" spans="1:8" x14ac:dyDescent="0.25">
      <c r="A1556" s="63"/>
      <c r="B1556" s="63">
        <v>22</v>
      </c>
      <c r="C1556" s="63" t="s">
        <v>3647</v>
      </c>
      <c r="D1556" s="63" t="s">
        <v>62</v>
      </c>
      <c r="E1556" s="66"/>
      <c r="F1556" s="67">
        <v>3.0000000000000001E-3</v>
      </c>
      <c r="G1556" s="67">
        <v>2E-3</v>
      </c>
      <c r="H1556" s="63"/>
    </row>
    <row r="1557" spans="1:8" x14ac:dyDescent="0.25">
      <c r="A1557" s="63"/>
      <c r="B1557" s="63">
        <v>23</v>
      </c>
      <c r="C1557" s="63" t="s">
        <v>3647</v>
      </c>
      <c r="D1557" s="63" t="s">
        <v>62</v>
      </c>
      <c r="E1557" s="66"/>
      <c r="F1557" s="67">
        <v>3.0000000000000001E-3</v>
      </c>
      <c r="G1557" s="67">
        <v>2E-3</v>
      </c>
      <c r="H1557" s="63"/>
    </row>
    <row r="1558" spans="1:8" x14ac:dyDescent="0.25">
      <c r="A1558" s="63"/>
      <c r="B1558" s="63">
        <v>24</v>
      </c>
      <c r="C1558" s="63" t="s">
        <v>3647</v>
      </c>
      <c r="D1558" s="63" t="s">
        <v>62</v>
      </c>
      <c r="E1558" s="66"/>
      <c r="F1558" s="67">
        <v>3.0000000000000001E-3</v>
      </c>
      <c r="G1558" s="67">
        <v>2E-3</v>
      </c>
      <c r="H1558" s="63"/>
    </row>
    <row r="1559" spans="1:8" x14ac:dyDescent="0.25">
      <c r="A1559" s="63"/>
      <c r="B1559" s="63">
        <v>25</v>
      </c>
      <c r="C1559" s="63" t="s">
        <v>3647</v>
      </c>
      <c r="D1559" s="63" t="s">
        <v>62</v>
      </c>
      <c r="E1559" s="66"/>
      <c r="F1559" s="67">
        <v>3.0000000000000001E-3</v>
      </c>
      <c r="G1559" s="67">
        <v>2E-3</v>
      </c>
      <c r="H1559" s="63"/>
    </row>
    <row r="1560" spans="1:8" x14ac:dyDescent="0.25">
      <c r="A1560" s="63"/>
      <c r="B1560" s="63">
        <v>26</v>
      </c>
      <c r="C1560" s="63" t="s">
        <v>3647</v>
      </c>
      <c r="D1560" s="63" t="s">
        <v>62</v>
      </c>
      <c r="E1560" s="66"/>
      <c r="F1560" s="67">
        <v>3.0000000000000001E-3</v>
      </c>
      <c r="G1560" s="67">
        <v>2E-3</v>
      </c>
      <c r="H1560" s="63"/>
    </row>
    <row r="1561" spans="1:8" x14ac:dyDescent="0.25">
      <c r="A1561" s="63"/>
      <c r="B1561" s="63">
        <v>27</v>
      </c>
      <c r="C1561" s="63" t="s">
        <v>3647</v>
      </c>
      <c r="D1561" s="63" t="s">
        <v>62</v>
      </c>
      <c r="E1561" s="66"/>
      <c r="F1561" s="67">
        <v>3.0000000000000001E-3</v>
      </c>
      <c r="G1561" s="67">
        <v>2E-3</v>
      </c>
      <c r="H1561" s="63"/>
    </row>
    <row r="1562" spans="1:8" x14ac:dyDescent="0.25">
      <c r="A1562" s="63"/>
      <c r="B1562" s="63">
        <v>28</v>
      </c>
      <c r="C1562" s="63" t="s">
        <v>3647</v>
      </c>
      <c r="D1562" s="63" t="s">
        <v>62</v>
      </c>
      <c r="E1562" s="66"/>
      <c r="F1562" s="67">
        <v>3.0000000000000001E-3</v>
      </c>
      <c r="G1562" s="67">
        <v>2E-3</v>
      </c>
      <c r="H1562" s="63"/>
    </row>
    <row r="1563" spans="1:8" x14ac:dyDescent="0.25">
      <c r="A1563" s="63"/>
      <c r="B1563" s="63">
        <v>29</v>
      </c>
      <c r="C1563" s="63" t="s">
        <v>3647</v>
      </c>
      <c r="D1563" s="63" t="s">
        <v>62</v>
      </c>
      <c r="E1563" s="66"/>
      <c r="F1563" s="67">
        <v>3.0000000000000001E-3</v>
      </c>
      <c r="G1563" s="67">
        <v>2E-3</v>
      </c>
      <c r="H1563" s="63"/>
    </row>
    <row r="1564" spans="1:8" x14ac:dyDescent="0.25">
      <c r="A1564" s="63"/>
      <c r="B1564" s="63">
        <v>30</v>
      </c>
      <c r="C1564" s="63" t="s">
        <v>3647</v>
      </c>
      <c r="D1564" s="63" t="s">
        <v>62</v>
      </c>
      <c r="E1564" s="66"/>
      <c r="F1564" s="67">
        <v>3.0000000000000001E-3</v>
      </c>
      <c r="G1564" s="67">
        <v>2E-3</v>
      </c>
      <c r="H1564" s="63"/>
    </row>
    <row r="1565" spans="1:8" x14ac:dyDescent="0.25">
      <c r="A1565" s="63"/>
      <c r="B1565" s="63">
        <v>0</v>
      </c>
      <c r="C1565" s="63" t="s">
        <v>3647</v>
      </c>
      <c r="D1565" s="63" t="s">
        <v>62</v>
      </c>
      <c r="E1565" s="66">
        <v>3.0428788910505911</v>
      </c>
      <c r="F1565" s="67">
        <v>3.0000000000000001E-3</v>
      </c>
      <c r="G1565" s="67">
        <v>2E-3</v>
      </c>
      <c r="H1565" s="63"/>
    </row>
    <row r="1566" spans="1:8" x14ac:dyDescent="0.25">
      <c r="A1566" s="63"/>
      <c r="B1566" s="63">
        <v>0.25</v>
      </c>
      <c r="C1566" s="63" t="s">
        <v>3647</v>
      </c>
      <c r="D1566" s="63" t="s">
        <v>64</v>
      </c>
      <c r="E1566" s="66">
        <v>41.80917465828572</v>
      </c>
      <c r="F1566" s="67">
        <v>3.0000000000000001E-3</v>
      </c>
      <c r="G1566" s="67">
        <v>2E-3</v>
      </c>
      <c r="H1566" s="63"/>
    </row>
    <row r="1567" spans="1:8" x14ac:dyDescent="0.25">
      <c r="A1567" s="63"/>
      <c r="B1567" s="63">
        <v>0.5</v>
      </c>
      <c r="C1567" s="63" t="s">
        <v>3647</v>
      </c>
      <c r="D1567" s="63" t="s">
        <v>64</v>
      </c>
      <c r="E1567" s="66">
        <v>42.581834106928035</v>
      </c>
      <c r="F1567" s="67">
        <v>3.0000000000000001E-3</v>
      </c>
      <c r="G1567" s="67">
        <v>2E-3</v>
      </c>
      <c r="H1567" s="63"/>
    </row>
    <row r="1568" spans="1:8" x14ac:dyDescent="0.25">
      <c r="A1568" s="63"/>
      <c r="B1568" s="63">
        <v>0.75</v>
      </c>
      <c r="C1568" s="63" t="s">
        <v>3647</v>
      </c>
      <c r="D1568" s="63" t="s">
        <v>64</v>
      </c>
      <c r="E1568" s="66">
        <v>43.204830318218818</v>
      </c>
      <c r="F1568" s="67">
        <v>3.0000000000000001E-3</v>
      </c>
      <c r="G1568" s="67">
        <v>2E-3</v>
      </c>
      <c r="H1568" s="63"/>
    </row>
    <row r="1569" spans="1:8" x14ac:dyDescent="0.25">
      <c r="A1569" s="63"/>
      <c r="B1569" s="63">
        <v>1</v>
      </c>
      <c r="C1569" s="63" t="s">
        <v>3647</v>
      </c>
      <c r="D1569" s="63" t="s">
        <v>64</v>
      </c>
      <c r="E1569" s="66">
        <v>43.937039134489808</v>
      </c>
      <c r="F1569" s="67">
        <v>3.0000000000000001E-3</v>
      </c>
      <c r="G1569" s="67">
        <v>2E-3</v>
      </c>
      <c r="H1569" s="63"/>
    </row>
    <row r="1570" spans="1:8" x14ac:dyDescent="0.25">
      <c r="A1570" s="63"/>
      <c r="B1570" s="63">
        <v>2</v>
      </c>
      <c r="C1570" s="63" t="s">
        <v>3647</v>
      </c>
      <c r="D1570" s="63" t="s">
        <v>64</v>
      </c>
      <c r="E1570" s="66">
        <v>56.449438292369535</v>
      </c>
      <c r="F1570" s="67">
        <v>3.0000000000000001E-3</v>
      </c>
      <c r="G1570" s="67">
        <v>2E-3</v>
      </c>
      <c r="H1570" s="63"/>
    </row>
    <row r="1571" spans="1:8" x14ac:dyDescent="0.25">
      <c r="A1571" s="63"/>
      <c r="B1571" s="63">
        <v>3</v>
      </c>
      <c r="C1571" s="63" t="s">
        <v>3647</v>
      </c>
      <c r="D1571" s="63" t="s">
        <v>64</v>
      </c>
      <c r="E1571" s="66">
        <v>70.430566679669582</v>
      </c>
      <c r="F1571" s="67">
        <v>3.0000000000000001E-3</v>
      </c>
      <c r="G1571" s="67">
        <v>2E-3</v>
      </c>
      <c r="H1571" s="63"/>
    </row>
    <row r="1572" spans="1:8" x14ac:dyDescent="0.25">
      <c r="A1572" s="63"/>
      <c r="B1572" s="63">
        <v>4</v>
      </c>
      <c r="C1572" s="63" t="s">
        <v>3647</v>
      </c>
      <c r="D1572" s="63" t="s">
        <v>64</v>
      </c>
      <c r="E1572" s="66">
        <v>84.552270400940742</v>
      </c>
      <c r="F1572" s="67">
        <v>3.0000000000000001E-3</v>
      </c>
      <c r="G1572" s="67">
        <v>2E-3</v>
      </c>
      <c r="H1572" s="63"/>
    </row>
    <row r="1573" spans="1:8" x14ac:dyDescent="0.25">
      <c r="A1573" s="63"/>
      <c r="B1573" s="63">
        <v>5</v>
      </c>
      <c r="C1573" s="63" t="s">
        <v>3647</v>
      </c>
      <c r="D1573" s="63" t="s">
        <v>64</v>
      </c>
      <c r="E1573" s="66">
        <v>98.828606989580109</v>
      </c>
      <c r="F1573" s="67">
        <v>3.0000000000000001E-3</v>
      </c>
      <c r="G1573" s="67">
        <v>2E-3</v>
      </c>
      <c r="H1573" s="63"/>
    </row>
    <row r="1574" spans="1:8" x14ac:dyDescent="0.25">
      <c r="A1574" s="63"/>
      <c r="B1574" s="63">
        <v>6</v>
      </c>
      <c r="C1574" s="63" t="s">
        <v>3647</v>
      </c>
      <c r="D1574" s="63" t="s">
        <v>64</v>
      </c>
      <c r="E1574" s="66">
        <v>116.02195929387918</v>
      </c>
      <c r="F1574" s="67">
        <v>3.0000000000000001E-3</v>
      </c>
      <c r="G1574" s="67">
        <v>2E-3</v>
      </c>
      <c r="H1574" s="63"/>
    </row>
    <row r="1575" spans="1:8" x14ac:dyDescent="0.25">
      <c r="A1575" s="63"/>
      <c r="B1575" s="63">
        <v>7</v>
      </c>
      <c r="C1575" s="63" t="s">
        <v>3647</v>
      </c>
      <c r="D1575" s="63" t="s">
        <v>64</v>
      </c>
      <c r="E1575" s="66">
        <v>129.55985023513998</v>
      </c>
      <c r="F1575" s="67">
        <v>3.0000000000000001E-3</v>
      </c>
      <c r="G1575" s="67">
        <v>2E-3</v>
      </c>
      <c r="H1575" s="63"/>
    </row>
    <row r="1576" spans="1:8" x14ac:dyDescent="0.25">
      <c r="A1576" s="63"/>
      <c r="B1576" s="63">
        <v>8</v>
      </c>
      <c r="C1576" s="63" t="s">
        <v>3647</v>
      </c>
      <c r="D1576" s="63" t="s">
        <v>64</v>
      </c>
      <c r="E1576" s="66">
        <v>143.28306262629101</v>
      </c>
      <c r="F1576" s="67">
        <v>3.0000000000000001E-3</v>
      </c>
      <c r="G1576" s="67">
        <v>2E-3</v>
      </c>
      <c r="H1576" s="63"/>
    </row>
    <row r="1577" spans="1:8" x14ac:dyDescent="0.25">
      <c r="A1577" s="63"/>
      <c r="B1577" s="63">
        <v>9</v>
      </c>
      <c r="C1577" s="63" t="s">
        <v>3647</v>
      </c>
      <c r="D1577" s="63" t="s">
        <v>64</v>
      </c>
      <c r="E1577" s="66">
        <v>158.41577094084755</v>
      </c>
      <c r="F1577" s="67">
        <v>3.0000000000000001E-3</v>
      </c>
      <c r="G1577" s="67">
        <v>2E-3</v>
      </c>
      <c r="H1577" s="63"/>
    </row>
    <row r="1578" spans="1:8" x14ac:dyDescent="0.25">
      <c r="A1578" s="63"/>
      <c r="B1578" s="63">
        <v>10</v>
      </c>
      <c r="C1578" s="63" t="s">
        <v>3647</v>
      </c>
      <c r="D1578" s="63" t="s">
        <v>64</v>
      </c>
      <c r="E1578" s="66">
        <v>172.24069536724858</v>
      </c>
      <c r="F1578" s="67">
        <v>3.0000000000000001E-3</v>
      </c>
      <c r="G1578" s="67">
        <v>2E-3</v>
      </c>
      <c r="H1578" s="63"/>
    </row>
    <row r="1579" spans="1:8" x14ac:dyDescent="0.25">
      <c r="A1579" s="63"/>
      <c r="B1579" s="63">
        <v>11</v>
      </c>
      <c r="C1579" s="63" t="s">
        <v>3647</v>
      </c>
      <c r="D1579" s="63" t="s">
        <v>64</v>
      </c>
      <c r="E1579" s="66"/>
      <c r="F1579" s="67">
        <v>3.0000000000000001E-3</v>
      </c>
      <c r="G1579" s="67">
        <v>2E-3</v>
      </c>
      <c r="H1579" s="63"/>
    </row>
    <row r="1580" spans="1:8" x14ac:dyDescent="0.25">
      <c r="A1580" s="63"/>
      <c r="B1580" s="63">
        <v>12</v>
      </c>
      <c r="C1580" s="63" t="s">
        <v>3647</v>
      </c>
      <c r="D1580" s="63" t="s">
        <v>64</v>
      </c>
      <c r="E1580" s="66"/>
      <c r="F1580" s="67">
        <v>3.0000000000000001E-3</v>
      </c>
      <c r="G1580" s="67">
        <v>2E-3</v>
      </c>
      <c r="H1580" s="63"/>
    </row>
    <row r="1581" spans="1:8" x14ac:dyDescent="0.25">
      <c r="A1581" s="63"/>
      <c r="B1581" s="63">
        <v>13</v>
      </c>
      <c r="C1581" s="63" t="s">
        <v>3647</v>
      </c>
      <c r="D1581" s="63" t="s">
        <v>64</v>
      </c>
      <c r="E1581" s="66"/>
      <c r="F1581" s="67">
        <v>3.0000000000000001E-3</v>
      </c>
      <c r="G1581" s="67">
        <v>2E-3</v>
      </c>
      <c r="H1581" s="63"/>
    </row>
    <row r="1582" spans="1:8" x14ac:dyDescent="0.25">
      <c r="A1582" s="63"/>
      <c r="B1582" s="63">
        <v>14</v>
      </c>
      <c r="C1582" s="63" t="s">
        <v>3647</v>
      </c>
      <c r="D1582" s="63" t="s">
        <v>64</v>
      </c>
      <c r="E1582" s="66"/>
      <c r="F1582" s="67">
        <v>3.0000000000000001E-3</v>
      </c>
      <c r="G1582" s="67">
        <v>2E-3</v>
      </c>
      <c r="H1582" s="63"/>
    </row>
    <row r="1583" spans="1:8" x14ac:dyDescent="0.25">
      <c r="A1583" s="63"/>
      <c r="B1583" s="63">
        <v>15</v>
      </c>
      <c r="C1583" s="63" t="s">
        <v>3647</v>
      </c>
      <c r="D1583" s="63" t="s">
        <v>64</v>
      </c>
      <c r="E1583" s="66"/>
      <c r="F1583" s="67">
        <v>3.0000000000000001E-3</v>
      </c>
      <c r="G1583" s="67">
        <v>2E-3</v>
      </c>
      <c r="H1583" s="63"/>
    </row>
    <row r="1584" spans="1:8" x14ac:dyDescent="0.25">
      <c r="A1584" s="63"/>
      <c r="B1584" s="63">
        <v>16</v>
      </c>
      <c r="C1584" s="63" t="s">
        <v>3647</v>
      </c>
      <c r="D1584" s="63" t="s">
        <v>64</v>
      </c>
      <c r="E1584" s="66"/>
      <c r="F1584" s="67">
        <v>3.0000000000000001E-3</v>
      </c>
      <c r="G1584" s="67">
        <v>2E-3</v>
      </c>
      <c r="H1584" s="63"/>
    </row>
    <row r="1585" spans="1:8" x14ac:dyDescent="0.25">
      <c r="A1585" s="63"/>
      <c r="B1585" s="63">
        <v>17</v>
      </c>
      <c r="C1585" s="63" t="s">
        <v>3647</v>
      </c>
      <c r="D1585" s="63" t="s">
        <v>64</v>
      </c>
      <c r="E1585" s="66"/>
      <c r="F1585" s="67">
        <v>3.0000000000000001E-3</v>
      </c>
      <c r="G1585" s="67">
        <v>2E-3</v>
      </c>
      <c r="H1585" s="63"/>
    </row>
    <row r="1586" spans="1:8" x14ac:dyDescent="0.25">
      <c r="A1586" s="63"/>
      <c r="B1586" s="63">
        <v>18</v>
      </c>
      <c r="C1586" s="63" t="s">
        <v>3647</v>
      </c>
      <c r="D1586" s="63" t="s">
        <v>64</v>
      </c>
      <c r="E1586" s="66"/>
      <c r="F1586" s="67">
        <v>3.0000000000000001E-3</v>
      </c>
      <c r="G1586" s="67">
        <v>2E-3</v>
      </c>
      <c r="H1586" s="63"/>
    </row>
    <row r="1587" spans="1:8" x14ac:dyDescent="0.25">
      <c r="A1587" s="63"/>
      <c r="B1587" s="63">
        <v>19</v>
      </c>
      <c r="C1587" s="63" t="s">
        <v>3647</v>
      </c>
      <c r="D1587" s="63" t="s">
        <v>64</v>
      </c>
      <c r="E1587" s="66"/>
      <c r="F1587" s="67">
        <v>3.0000000000000001E-3</v>
      </c>
      <c r="G1587" s="67">
        <v>2E-3</v>
      </c>
      <c r="H1587" s="63"/>
    </row>
    <row r="1588" spans="1:8" x14ac:dyDescent="0.25">
      <c r="A1588" s="63"/>
      <c r="B1588" s="63">
        <v>20</v>
      </c>
      <c r="C1588" s="63" t="s">
        <v>3647</v>
      </c>
      <c r="D1588" s="63" t="s">
        <v>64</v>
      </c>
      <c r="E1588" s="66"/>
      <c r="F1588" s="67">
        <v>3.0000000000000001E-3</v>
      </c>
      <c r="G1588" s="67">
        <v>2E-3</v>
      </c>
      <c r="H1588" s="63"/>
    </row>
    <row r="1589" spans="1:8" x14ac:dyDescent="0.25">
      <c r="A1589" s="63"/>
      <c r="B1589" s="63">
        <v>21</v>
      </c>
      <c r="C1589" s="63" t="s">
        <v>3647</v>
      </c>
      <c r="D1589" s="63" t="s">
        <v>64</v>
      </c>
      <c r="E1589" s="66"/>
      <c r="F1589" s="67">
        <v>3.0000000000000001E-3</v>
      </c>
      <c r="G1589" s="67">
        <v>2E-3</v>
      </c>
      <c r="H1589" s="63"/>
    </row>
    <row r="1590" spans="1:8" x14ac:dyDescent="0.25">
      <c r="A1590" s="63"/>
      <c r="B1590" s="63">
        <v>22</v>
      </c>
      <c r="C1590" s="63" t="s">
        <v>3647</v>
      </c>
      <c r="D1590" s="63" t="s">
        <v>64</v>
      </c>
      <c r="E1590" s="66"/>
      <c r="F1590" s="67">
        <v>3.0000000000000001E-3</v>
      </c>
      <c r="G1590" s="67">
        <v>2E-3</v>
      </c>
      <c r="H1590" s="63"/>
    </row>
    <row r="1591" spans="1:8" x14ac:dyDescent="0.25">
      <c r="A1591" s="63"/>
      <c r="B1591" s="63">
        <v>23</v>
      </c>
      <c r="C1591" s="63" t="s">
        <v>3647</v>
      </c>
      <c r="D1591" s="63" t="s">
        <v>64</v>
      </c>
      <c r="E1591" s="66"/>
      <c r="F1591" s="67">
        <v>3.0000000000000001E-3</v>
      </c>
      <c r="G1591" s="67">
        <v>2E-3</v>
      </c>
      <c r="H1591" s="63"/>
    </row>
    <row r="1592" spans="1:8" x14ac:dyDescent="0.25">
      <c r="A1592" s="63"/>
      <c r="B1592" s="63">
        <v>24</v>
      </c>
      <c r="C1592" s="63" t="s">
        <v>3647</v>
      </c>
      <c r="D1592" s="63" t="s">
        <v>64</v>
      </c>
      <c r="E1592" s="66"/>
      <c r="F1592" s="67">
        <v>3.0000000000000001E-3</v>
      </c>
      <c r="G1592" s="67">
        <v>2E-3</v>
      </c>
      <c r="H1592" s="63"/>
    </row>
    <row r="1593" spans="1:8" x14ac:dyDescent="0.25">
      <c r="A1593" s="63"/>
      <c r="B1593" s="63">
        <v>25</v>
      </c>
      <c r="C1593" s="63" t="s">
        <v>3647</v>
      </c>
      <c r="D1593" s="63" t="s">
        <v>64</v>
      </c>
      <c r="E1593" s="66"/>
      <c r="F1593" s="67">
        <v>3.0000000000000001E-3</v>
      </c>
      <c r="G1593" s="67">
        <v>2E-3</v>
      </c>
      <c r="H1593" s="63"/>
    </row>
    <row r="1594" spans="1:8" x14ac:dyDescent="0.25">
      <c r="A1594" s="63"/>
      <c r="B1594" s="63">
        <v>26</v>
      </c>
      <c r="C1594" s="63" t="s">
        <v>3647</v>
      </c>
      <c r="D1594" s="63" t="s">
        <v>64</v>
      </c>
      <c r="E1594" s="66"/>
      <c r="F1594" s="67">
        <v>3.0000000000000001E-3</v>
      </c>
      <c r="G1594" s="67">
        <v>2E-3</v>
      </c>
      <c r="H1594" s="63"/>
    </row>
    <row r="1595" spans="1:8" x14ac:dyDescent="0.25">
      <c r="A1595" s="63"/>
      <c r="B1595" s="63">
        <v>27</v>
      </c>
      <c r="C1595" s="63" t="s">
        <v>3647</v>
      </c>
      <c r="D1595" s="63" t="s">
        <v>64</v>
      </c>
      <c r="E1595" s="66"/>
      <c r="F1595" s="67">
        <v>3.0000000000000001E-3</v>
      </c>
      <c r="G1595" s="67">
        <v>2E-3</v>
      </c>
      <c r="H1595" s="63"/>
    </row>
    <row r="1596" spans="1:8" x14ac:dyDescent="0.25">
      <c r="A1596" s="63"/>
      <c r="B1596" s="63">
        <v>28</v>
      </c>
      <c r="C1596" s="63" t="s">
        <v>3647</v>
      </c>
      <c r="D1596" s="63" t="s">
        <v>64</v>
      </c>
      <c r="E1596" s="66"/>
      <c r="F1596" s="67">
        <v>3.0000000000000001E-3</v>
      </c>
      <c r="G1596" s="67">
        <v>2E-3</v>
      </c>
      <c r="H1596" s="63"/>
    </row>
    <row r="1597" spans="1:8" x14ac:dyDescent="0.25">
      <c r="A1597" s="63"/>
      <c r="B1597" s="63">
        <v>29</v>
      </c>
      <c r="C1597" s="63" t="s">
        <v>3647</v>
      </c>
      <c r="D1597" s="63" t="s">
        <v>64</v>
      </c>
      <c r="E1597" s="66"/>
      <c r="F1597" s="67">
        <v>3.0000000000000001E-3</v>
      </c>
      <c r="G1597" s="67">
        <v>2E-3</v>
      </c>
      <c r="H1597" s="63"/>
    </row>
    <row r="1598" spans="1:8" x14ac:dyDescent="0.25">
      <c r="A1598" s="63"/>
      <c r="B1598" s="63">
        <v>30</v>
      </c>
      <c r="C1598" s="63" t="s">
        <v>3647</v>
      </c>
      <c r="D1598" s="63" t="s">
        <v>64</v>
      </c>
      <c r="E1598" s="66"/>
      <c r="F1598" s="67">
        <v>3.0000000000000001E-3</v>
      </c>
      <c r="G1598" s="67">
        <v>2E-3</v>
      </c>
      <c r="H1598" s="63"/>
    </row>
    <row r="1599" spans="1:8" x14ac:dyDescent="0.25">
      <c r="A1599" s="63"/>
      <c r="B1599" s="63">
        <v>0</v>
      </c>
      <c r="C1599" s="63" t="s">
        <v>3647</v>
      </c>
      <c r="D1599" s="63" t="s">
        <v>64</v>
      </c>
      <c r="E1599" s="66">
        <v>3.0428788910505911</v>
      </c>
      <c r="F1599" s="67">
        <v>3.0000000000000001E-3</v>
      </c>
      <c r="G1599" s="67">
        <v>2E-3</v>
      </c>
      <c r="H1599" s="63"/>
    </row>
    <row r="1600" spans="1:8" x14ac:dyDescent="0.25">
      <c r="A1600" s="63"/>
      <c r="B1600" s="63">
        <v>0.25</v>
      </c>
      <c r="C1600" s="63" t="s">
        <v>3647</v>
      </c>
      <c r="D1600" s="63" t="s">
        <v>77</v>
      </c>
      <c r="E1600" s="66">
        <v>67.340970807759987</v>
      </c>
      <c r="F1600" s="67">
        <v>3.0000000000000001E-3</v>
      </c>
      <c r="G1600" s="67">
        <v>2E-3</v>
      </c>
      <c r="H1600" s="63"/>
    </row>
    <row r="1601" spans="1:8" x14ac:dyDescent="0.25">
      <c r="A1601" s="63"/>
      <c r="B1601" s="63">
        <v>0.5</v>
      </c>
      <c r="C1601" s="63" t="s">
        <v>3647</v>
      </c>
      <c r="D1601" s="63" t="s">
        <v>77</v>
      </c>
      <c r="E1601" s="66">
        <v>68.997682634100997</v>
      </c>
      <c r="F1601" s="67">
        <v>3.0000000000000001E-3</v>
      </c>
      <c r="G1601" s="67">
        <v>2E-3</v>
      </c>
      <c r="H1601" s="63"/>
    </row>
    <row r="1602" spans="1:8" x14ac:dyDescent="0.25">
      <c r="A1602" s="63"/>
      <c r="B1602" s="63">
        <v>0.75</v>
      </c>
      <c r="C1602" s="63" t="s">
        <v>3647</v>
      </c>
      <c r="D1602" s="63" t="s">
        <v>77</v>
      </c>
      <c r="E1602" s="66">
        <v>70.663837256667662</v>
      </c>
      <c r="F1602" s="67">
        <v>3.0000000000000001E-3</v>
      </c>
      <c r="G1602" s="67">
        <v>2E-3</v>
      </c>
      <c r="H1602" s="63"/>
    </row>
    <row r="1603" spans="1:8" x14ac:dyDescent="0.25">
      <c r="A1603" s="63"/>
      <c r="B1603" s="63">
        <v>1</v>
      </c>
      <c r="C1603" s="63" t="s">
        <v>3647</v>
      </c>
      <c r="D1603" s="63" t="s">
        <v>77</v>
      </c>
      <c r="E1603" s="66">
        <v>81.21851964057339</v>
      </c>
      <c r="F1603" s="67">
        <v>3.0000000000000001E-3</v>
      </c>
      <c r="G1603" s="67">
        <v>2E-3</v>
      </c>
      <c r="H1603" s="63"/>
    </row>
    <row r="1604" spans="1:8" x14ac:dyDescent="0.25">
      <c r="A1604" s="63"/>
      <c r="B1604" s="63">
        <v>2</v>
      </c>
      <c r="C1604" s="63" t="s">
        <v>3647</v>
      </c>
      <c r="D1604" s="63" t="s">
        <v>77</v>
      </c>
      <c r="E1604" s="66">
        <v>100.30252752612124</v>
      </c>
      <c r="F1604" s="67">
        <v>3.0000000000000001E-3</v>
      </c>
      <c r="G1604" s="67">
        <v>2E-3</v>
      </c>
      <c r="H1604" s="63"/>
    </row>
    <row r="1605" spans="1:8" x14ac:dyDescent="0.25">
      <c r="A1605" s="63"/>
      <c r="B1605" s="63">
        <v>3</v>
      </c>
      <c r="C1605" s="63" t="s">
        <v>3647</v>
      </c>
      <c r="D1605" s="63" t="s">
        <v>77</v>
      </c>
      <c r="E1605" s="66">
        <v>111.49644277873338</v>
      </c>
      <c r="F1605" s="67">
        <v>3.0000000000000001E-3</v>
      </c>
      <c r="G1605" s="67">
        <v>2E-3</v>
      </c>
      <c r="H1605" s="63"/>
    </row>
    <row r="1606" spans="1:8" x14ac:dyDescent="0.25">
      <c r="A1606" s="63"/>
      <c r="B1606" s="63">
        <v>4</v>
      </c>
      <c r="C1606" s="63" t="s">
        <v>3647</v>
      </c>
      <c r="D1606" s="63" t="s">
        <v>77</v>
      </c>
      <c r="E1606" s="66">
        <v>126.21707956070082</v>
      </c>
      <c r="F1606" s="67">
        <v>3.0000000000000001E-3</v>
      </c>
      <c r="G1606" s="67">
        <v>2E-3</v>
      </c>
      <c r="H1606" s="63"/>
    </row>
    <row r="1607" spans="1:8" x14ac:dyDescent="0.25">
      <c r="A1607" s="63"/>
      <c r="B1607" s="63">
        <v>5</v>
      </c>
      <c r="C1607" s="63" t="s">
        <v>3647</v>
      </c>
      <c r="D1607" s="63" t="s">
        <v>77</v>
      </c>
      <c r="E1607" s="66">
        <v>136.369253141771</v>
      </c>
      <c r="F1607" s="67">
        <v>3.0000000000000001E-3</v>
      </c>
      <c r="G1607" s="67">
        <v>2E-3</v>
      </c>
      <c r="H1607" s="63"/>
    </row>
    <row r="1608" spans="1:8" x14ac:dyDescent="0.25">
      <c r="A1608" s="63"/>
      <c r="B1608" s="63">
        <v>6</v>
      </c>
      <c r="C1608" s="63" t="s">
        <v>3647</v>
      </c>
      <c r="D1608" s="63" t="s">
        <v>77</v>
      </c>
      <c r="E1608" s="66">
        <v>148.095375330948</v>
      </c>
      <c r="F1608" s="67">
        <v>3.0000000000000001E-3</v>
      </c>
      <c r="G1608" s="67">
        <v>2E-3</v>
      </c>
      <c r="H1608" s="63"/>
    </row>
    <row r="1609" spans="1:8" x14ac:dyDescent="0.25">
      <c r="A1609" s="63"/>
      <c r="B1609" s="63">
        <v>7</v>
      </c>
      <c r="C1609" s="63" t="s">
        <v>3647</v>
      </c>
      <c r="D1609" s="63" t="s">
        <v>77</v>
      </c>
      <c r="E1609" s="66">
        <v>162.98937223904278</v>
      </c>
      <c r="F1609" s="67">
        <v>3.0000000000000001E-3</v>
      </c>
      <c r="G1609" s="67">
        <v>2E-3</v>
      </c>
      <c r="H1609" s="63"/>
    </row>
    <row r="1610" spans="1:8" x14ac:dyDescent="0.25">
      <c r="A1610" s="63"/>
      <c r="B1610" s="63">
        <v>8</v>
      </c>
      <c r="C1610" s="63" t="s">
        <v>3647</v>
      </c>
      <c r="D1610" s="63" t="s">
        <v>77</v>
      </c>
      <c r="E1610" s="66">
        <v>177.34307807489924</v>
      </c>
      <c r="F1610" s="67">
        <v>3.0000000000000001E-3</v>
      </c>
      <c r="G1610" s="67">
        <v>2E-3</v>
      </c>
      <c r="H1610" s="63"/>
    </row>
    <row r="1611" spans="1:8" x14ac:dyDescent="0.25">
      <c r="A1611" s="63"/>
      <c r="B1611" s="63">
        <v>9</v>
      </c>
      <c r="C1611" s="63" t="s">
        <v>3647</v>
      </c>
      <c r="D1611" s="63" t="s">
        <v>77</v>
      </c>
      <c r="E1611" s="66">
        <v>190.42490150738919</v>
      </c>
      <c r="F1611" s="67">
        <v>3.0000000000000001E-3</v>
      </c>
      <c r="G1611" s="67">
        <v>2E-3</v>
      </c>
      <c r="H1611" s="63"/>
    </row>
    <row r="1612" spans="1:8" x14ac:dyDescent="0.25">
      <c r="A1612" s="63"/>
      <c r="B1612" s="63">
        <v>10</v>
      </c>
      <c r="C1612" s="63" t="s">
        <v>3647</v>
      </c>
      <c r="D1612" s="63" t="s">
        <v>77</v>
      </c>
      <c r="E1612" s="66">
        <v>209.27433166496726</v>
      </c>
      <c r="F1612" s="67">
        <v>3.0000000000000001E-3</v>
      </c>
      <c r="G1612" s="67">
        <v>2E-3</v>
      </c>
      <c r="H1612" s="63"/>
    </row>
    <row r="1613" spans="1:8" x14ac:dyDescent="0.25">
      <c r="A1613" s="63"/>
      <c r="B1613" s="63">
        <v>11</v>
      </c>
      <c r="C1613" s="63" t="s">
        <v>3647</v>
      </c>
      <c r="D1613" s="63" t="s">
        <v>77</v>
      </c>
      <c r="E1613" s="66"/>
      <c r="F1613" s="67">
        <v>3.0000000000000001E-3</v>
      </c>
      <c r="G1613" s="67">
        <v>2E-3</v>
      </c>
      <c r="H1613" s="63"/>
    </row>
    <row r="1614" spans="1:8" x14ac:dyDescent="0.25">
      <c r="A1614" s="63"/>
      <c r="B1614" s="63">
        <v>12</v>
      </c>
      <c r="C1614" s="63" t="s">
        <v>3647</v>
      </c>
      <c r="D1614" s="63" t="s">
        <v>77</v>
      </c>
      <c r="E1614" s="66"/>
      <c r="F1614" s="67">
        <v>3.0000000000000001E-3</v>
      </c>
      <c r="G1614" s="67">
        <v>2E-3</v>
      </c>
      <c r="H1614" s="63"/>
    </row>
    <row r="1615" spans="1:8" x14ac:dyDescent="0.25">
      <c r="A1615" s="63"/>
      <c r="B1615" s="63">
        <v>13</v>
      </c>
      <c r="C1615" s="63" t="s">
        <v>3647</v>
      </c>
      <c r="D1615" s="63" t="s">
        <v>77</v>
      </c>
      <c r="E1615" s="66"/>
      <c r="F1615" s="67">
        <v>3.0000000000000001E-3</v>
      </c>
      <c r="G1615" s="67">
        <v>2E-3</v>
      </c>
      <c r="H1615" s="63"/>
    </row>
    <row r="1616" spans="1:8" x14ac:dyDescent="0.25">
      <c r="A1616" s="63"/>
      <c r="B1616" s="63">
        <v>14</v>
      </c>
      <c r="C1616" s="63" t="s">
        <v>3647</v>
      </c>
      <c r="D1616" s="63" t="s">
        <v>77</v>
      </c>
      <c r="E1616" s="66"/>
      <c r="F1616" s="67">
        <v>3.0000000000000001E-3</v>
      </c>
      <c r="G1616" s="67">
        <v>2E-3</v>
      </c>
      <c r="H1616" s="63"/>
    </row>
    <row r="1617" spans="1:8" x14ac:dyDescent="0.25">
      <c r="A1617" s="63"/>
      <c r="B1617" s="63">
        <v>15</v>
      </c>
      <c r="C1617" s="63" t="s">
        <v>3647</v>
      </c>
      <c r="D1617" s="63" t="s">
        <v>77</v>
      </c>
      <c r="E1617" s="66"/>
      <c r="F1617" s="67">
        <v>3.0000000000000001E-3</v>
      </c>
      <c r="G1617" s="67">
        <v>2E-3</v>
      </c>
      <c r="H1617" s="63"/>
    </row>
    <row r="1618" spans="1:8" x14ac:dyDescent="0.25">
      <c r="A1618" s="63"/>
      <c r="B1618" s="63">
        <v>16</v>
      </c>
      <c r="C1618" s="63" t="s">
        <v>3647</v>
      </c>
      <c r="D1618" s="63" t="s">
        <v>77</v>
      </c>
      <c r="E1618" s="66"/>
      <c r="F1618" s="67">
        <v>3.0000000000000001E-3</v>
      </c>
      <c r="G1618" s="67">
        <v>2E-3</v>
      </c>
      <c r="H1618" s="63"/>
    </row>
    <row r="1619" spans="1:8" x14ac:dyDescent="0.25">
      <c r="A1619" s="63"/>
      <c r="B1619" s="63">
        <v>17</v>
      </c>
      <c r="C1619" s="63" t="s">
        <v>3647</v>
      </c>
      <c r="D1619" s="63" t="s">
        <v>77</v>
      </c>
      <c r="E1619" s="66"/>
      <c r="F1619" s="67">
        <v>3.0000000000000001E-3</v>
      </c>
      <c r="G1619" s="67">
        <v>2E-3</v>
      </c>
      <c r="H1619" s="63"/>
    </row>
    <row r="1620" spans="1:8" x14ac:dyDescent="0.25">
      <c r="A1620" s="63"/>
      <c r="B1620" s="63">
        <v>18</v>
      </c>
      <c r="C1620" s="63" t="s">
        <v>3647</v>
      </c>
      <c r="D1620" s="63" t="s">
        <v>77</v>
      </c>
      <c r="E1620" s="66"/>
      <c r="F1620" s="67">
        <v>3.0000000000000001E-3</v>
      </c>
      <c r="G1620" s="67">
        <v>2E-3</v>
      </c>
      <c r="H1620" s="63"/>
    </row>
    <row r="1621" spans="1:8" x14ac:dyDescent="0.25">
      <c r="A1621" s="63"/>
      <c r="B1621" s="63">
        <v>19</v>
      </c>
      <c r="C1621" s="63" t="s">
        <v>3647</v>
      </c>
      <c r="D1621" s="63" t="s">
        <v>77</v>
      </c>
      <c r="E1621" s="66"/>
      <c r="F1621" s="67">
        <v>3.0000000000000001E-3</v>
      </c>
      <c r="G1621" s="67">
        <v>2E-3</v>
      </c>
      <c r="H1621" s="63"/>
    </row>
    <row r="1622" spans="1:8" x14ac:dyDescent="0.25">
      <c r="A1622" s="63"/>
      <c r="B1622" s="63">
        <v>20</v>
      </c>
      <c r="C1622" s="63" t="s">
        <v>3647</v>
      </c>
      <c r="D1622" s="63" t="s">
        <v>77</v>
      </c>
      <c r="E1622" s="66"/>
      <c r="F1622" s="67">
        <v>3.0000000000000001E-3</v>
      </c>
      <c r="G1622" s="67">
        <v>2E-3</v>
      </c>
      <c r="H1622" s="63"/>
    </row>
    <row r="1623" spans="1:8" x14ac:dyDescent="0.25">
      <c r="A1623" s="63"/>
      <c r="B1623" s="63">
        <v>21</v>
      </c>
      <c r="C1623" s="63" t="s">
        <v>3647</v>
      </c>
      <c r="D1623" s="63" t="s">
        <v>77</v>
      </c>
      <c r="E1623" s="66"/>
      <c r="F1623" s="67">
        <v>3.0000000000000001E-3</v>
      </c>
      <c r="G1623" s="67">
        <v>2E-3</v>
      </c>
      <c r="H1623" s="63"/>
    </row>
    <row r="1624" spans="1:8" x14ac:dyDescent="0.25">
      <c r="A1624" s="63"/>
      <c r="B1624" s="63">
        <v>22</v>
      </c>
      <c r="C1624" s="63" t="s">
        <v>3647</v>
      </c>
      <c r="D1624" s="63" t="s">
        <v>77</v>
      </c>
      <c r="E1624" s="66"/>
      <c r="F1624" s="67">
        <v>3.0000000000000001E-3</v>
      </c>
      <c r="G1624" s="67">
        <v>2E-3</v>
      </c>
      <c r="H1624" s="63"/>
    </row>
    <row r="1625" spans="1:8" x14ac:dyDescent="0.25">
      <c r="A1625" s="63"/>
      <c r="B1625" s="63">
        <v>23</v>
      </c>
      <c r="C1625" s="63" t="s">
        <v>3647</v>
      </c>
      <c r="D1625" s="63" t="s">
        <v>77</v>
      </c>
      <c r="E1625" s="66"/>
      <c r="F1625" s="67">
        <v>3.0000000000000001E-3</v>
      </c>
      <c r="G1625" s="67">
        <v>2E-3</v>
      </c>
      <c r="H1625" s="63"/>
    </row>
    <row r="1626" spans="1:8" x14ac:dyDescent="0.25">
      <c r="A1626" s="63"/>
      <c r="B1626" s="63">
        <v>24</v>
      </c>
      <c r="C1626" s="63" t="s">
        <v>3647</v>
      </c>
      <c r="D1626" s="63" t="s">
        <v>77</v>
      </c>
      <c r="E1626" s="66"/>
      <c r="F1626" s="67">
        <v>3.0000000000000001E-3</v>
      </c>
      <c r="G1626" s="67">
        <v>2E-3</v>
      </c>
      <c r="H1626" s="63"/>
    </row>
    <row r="1627" spans="1:8" x14ac:dyDescent="0.25">
      <c r="A1627" s="63"/>
      <c r="B1627" s="63">
        <v>25</v>
      </c>
      <c r="C1627" s="63" t="s">
        <v>3647</v>
      </c>
      <c r="D1627" s="63" t="s">
        <v>77</v>
      </c>
      <c r="E1627" s="66"/>
      <c r="F1627" s="67">
        <v>3.0000000000000001E-3</v>
      </c>
      <c r="G1627" s="67">
        <v>2E-3</v>
      </c>
      <c r="H1627" s="63"/>
    </row>
    <row r="1628" spans="1:8" x14ac:dyDescent="0.25">
      <c r="A1628" s="63"/>
      <c r="B1628" s="63">
        <v>26</v>
      </c>
      <c r="C1628" s="63" t="s">
        <v>3647</v>
      </c>
      <c r="D1628" s="63" t="s">
        <v>77</v>
      </c>
      <c r="E1628" s="66"/>
      <c r="F1628" s="67">
        <v>3.0000000000000001E-3</v>
      </c>
      <c r="G1628" s="67">
        <v>2E-3</v>
      </c>
      <c r="H1628" s="63"/>
    </row>
    <row r="1629" spans="1:8" x14ac:dyDescent="0.25">
      <c r="A1629" s="63"/>
      <c r="B1629" s="63">
        <v>27</v>
      </c>
      <c r="C1629" s="63" t="s">
        <v>3647</v>
      </c>
      <c r="D1629" s="63" t="s">
        <v>77</v>
      </c>
      <c r="E1629" s="66"/>
      <c r="F1629" s="67">
        <v>3.0000000000000001E-3</v>
      </c>
      <c r="G1629" s="67">
        <v>2E-3</v>
      </c>
      <c r="H1629" s="63"/>
    </row>
    <row r="1630" spans="1:8" x14ac:dyDescent="0.25">
      <c r="A1630" s="63"/>
      <c r="B1630" s="63">
        <v>28</v>
      </c>
      <c r="C1630" s="63" t="s">
        <v>3647</v>
      </c>
      <c r="D1630" s="63" t="s">
        <v>77</v>
      </c>
      <c r="E1630" s="66"/>
      <c r="F1630" s="67">
        <v>3.0000000000000001E-3</v>
      </c>
      <c r="G1630" s="67">
        <v>2E-3</v>
      </c>
      <c r="H1630" s="63"/>
    </row>
    <row r="1631" spans="1:8" x14ac:dyDescent="0.25">
      <c r="A1631" s="63"/>
      <c r="B1631" s="63">
        <v>29</v>
      </c>
      <c r="C1631" s="63" t="s">
        <v>3647</v>
      </c>
      <c r="D1631" s="63" t="s">
        <v>77</v>
      </c>
      <c r="E1631" s="66"/>
      <c r="F1631" s="67">
        <v>3.0000000000000001E-3</v>
      </c>
      <c r="G1631" s="67">
        <v>2E-3</v>
      </c>
      <c r="H1631" s="63"/>
    </row>
    <row r="1632" spans="1:8" x14ac:dyDescent="0.25">
      <c r="A1632" s="63"/>
      <c r="B1632" s="63">
        <v>30</v>
      </c>
      <c r="C1632" s="63" t="s">
        <v>3647</v>
      </c>
      <c r="D1632" s="63" t="s">
        <v>77</v>
      </c>
      <c r="E1632" s="66"/>
      <c r="F1632" s="67">
        <v>3.0000000000000001E-3</v>
      </c>
      <c r="G1632" s="67">
        <v>2E-3</v>
      </c>
      <c r="H1632" s="63"/>
    </row>
    <row r="1633" spans="1:8" x14ac:dyDescent="0.25">
      <c r="A1633" s="63"/>
      <c r="B1633" s="63">
        <v>0</v>
      </c>
      <c r="C1633" s="63" t="s">
        <v>3647</v>
      </c>
      <c r="D1633" s="63" t="s">
        <v>77</v>
      </c>
      <c r="E1633" s="66">
        <v>3.0428788910505911</v>
      </c>
      <c r="F1633" s="67">
        <v>3.0000000000000001E-3</v>
      </c>
      <c r="G1633" s="67">
        <v>2E-3</v>
      </c>
      <c r="H1633" s="63"/>
    </row>
    <row r="1634" spans="1:8" x14ac:dyDescent="0.25">
      <c r="A1634" s="63"/>
      <c r="B1634" s="63">
        <v>0.25</v>
      </c>
      <c r="C1634" s="63" t="s">
        <v>3573</v>
      </c>
      <c r="D1634" s="63" t="s">
        <v>21</v>
      </c>
      <c r="E1634" s="66">
        <v>22.140468937181417</v>
      </c>
      <c r="F1634" s="67">
        <v>3.0000000000000001E-3</v>
      </c>
      <c r="G1634" s="67">
        <v>2E-3</v>
      </c>
      <c r="H1634" s="63"/>
    </row>
    <row r="1635" spans="1:8" x14ac:dyDescent="0.25">
      <c r="A1635" s="63"/>
      <c r="B1635" s="63">
        <v>0.5</v>
      </c>
      <c r="C1635" s="63" t="s">
        <v>3573</v>
      </c>
      <c r="D1635" s="63" t="s">
        <v>21</v>
      </c>
      <c r="E1635" s="66">
        <v>22.495222432025844</v>
      </c>
      <c r="F1635" s="67">
        <v>3.0000000000000001E-3</v>
      </c>
      <c r="G1635" s="67">
        <v>2E-3</v>
      </c>
      <c r="H1635" s="63"/>
    </row>
    <row r="1636" spans="1:8" x14ac:dyDescent="0.25">
      <c r="A1636" s="63"/>
      <c r="B1636" s="63">
        <v>0.75</v>
      </c>
      <c r="C1636" s="63" t="s">
        <v>3573</v>
      </c>
      <c r="D1636" s="63" t="s">
        <v>21</v>
      </c>
      <c r="E1636" s="66">
        <v>22.729253360613264</v>
      </c>
      <c r="F1636" s="67">
        <v>3.0000000000000001E-3</v>
      </c>
      <c r="G1636" s="67">
        <v>2E-3</v>
      </c>
      <c r="H1636" s="63"/>
    </row>
    <row r="1637" spans="1:8" x14ac:dyDescent="0.25">
      <c r="A1637" s="63"/>
      <c r="B1637" s="63">
        <v>1</v>
      </c>
      <c r="C1637" s="63" t="s">
        <v>3573</v>
      </c>
      <c r="D1637" s="63" t="s">
        <v>21</v>
      </c>
      <c r="E1637" s="66">
        <v>23.036750252014947</v>
      </c>
      <c r="F1637" s="67">
        <v>3.0000000000000001E-3</v>
      </c>
      <c r="G1637" s="67">
        <v>2E-3</v>
      </c>
      <c r="H1637" s="63"/>
    </row>
    <row r="1638" spans="1:8" x14ac:dyDescent="0.25">
      <c r="A1638" s="63"/>
      <c r="B1638" s="63">
        <v>2</v>
      </c>
      <c r="C1638" s="63" t="s">
        <v>3573</v>
      </c>
      <c r="D1638" s="63" t="s">
        <v>21</v>
      </c>
      <c r="E1638" s="66">
        <v>32.528605120647242</v>
      </c>
      <c r="F1638" s="67">
        <v>3.0000000000000001E-3</v>
      </c>
      <c r="G1638" s="67">
        <v>2E-3</v>
      </c>
      <c r="H1638" s="63"/>
    </row>
    <row r="1639" spans="1:8" x14ac:dyDescent="0.25">
      <c r="A1639" s="63"/>
      <c r="B1639" s="63">
        <v>3</v>
      </c>
      <c r="C1639" s="63" t="s">
        <v>3573</v>
      </c>
      <c r="D1639" s="63" t="s">
        <v>21</v>
      </c>
      <c r="E1639" s="66">
        <v>42.794884125418676</v>
      </c>
      <c r="F1639" s="67">
        <v>3.0000000000000001E-3</v>
      </c>
      <c r="G1639" s="67">
        <v>2E-3</v>
      </c>
      <c r="H1639" s="63"/>
    </row>
    <row r="1640" spans="1:8" x14ac:dyDescent="0.25">
      <c r="A1640" s="63"/>
      <c r="B1640" s="63">
        <v>4</v>
      </c>
      <c r="C1640" s="63" t="s">
        <v>3573</v>
      </c>
      <c r="D1640" s="63" t="s">
        <v>21</v>
      </c>
      <c r="E1640" s="66">
        <v>53.253963540845533</v>
      </c>
      <c r="F1640" s="67">
        <v>3.0000000000000001E-3</v>
      </c>
      <c r="G1640" s="67">
        <v>2E-3</v>
      </c>
      <c r="H1640" s="63"/>
    </row>
    <row r="1641" spans="1:8" x14ac:dyDescent="0.25">
      <c r="A1641" s="63"/>
      <c r="B1641" s="63">
        <v>5</v>
      </c>
      <c r="C1641" s="63" t="s">
        <v>3573</v>
      </c>
      <c r="D1641" s="63" t="s">
        <v>21</v>
      </c>
      <c r="E1641" s="66">
        <v>64.001595376354601</v>
      </c>
      <c r="F1641" s="67">
        <v>3.0000000000000001E-3</v>
      </c>
      <c r="G1641" s="67">
        <v>2E-3</v>
      </c>
      <c r="H1641" s="63"/>
    </row>
    <row r="1642" spans="1:8" x14ac:dyDescent="0.25">
      <c r="A1642" s="63"/>
      <c r="B1642" s="63">
        <v>6</v>
      </c>
      <c r="C1642" s="63" t="s">
        <v>3573</v>
      </c>
      <c r="D1642" s="63" t="s">
        <v>21</v>
      </c>
      <c r="E1642" s="66">
        <v>74.449895156953758</v>
      </c>
      <c r="F1642" s="67">
        <v>3.0000000000000001E-3</v>
      </c>
      <c r="G1642" s="67">
        <v>2E-3</v>
      </c>
      <c r="H1642" s="63"/>
    </row>
    <row r="1643" spans="1:8" x14ac:dyDescent="0.25">
      <c r="A1643" s="63"/>
      <c r="B1643" s="63">
        <v>7</v>
      </c>
      <c r="C1643" s="63" t="s">
        <v>3573</v>
      </c>
      <c r="D1643" s="63" t="s">
        <v>21</v>
      </c>
      <c r="E1643" s="66">
        <v>84.998406103761923</v>
      </c>
      <c r="F1643" s="67">
        <v>3.0000000000000001E-3</v>
      </c>
      <c r="G1643" s="67">
        <v>2E-3</v>
      </c>
      <c r="H1643" s="63"/>
    </row>
    <row r="1644" spans="1:8" x14ac:dyDescent="0.25">
      <c r="A1644" s="63"/>
      <c r="B1644" s="63">
        <v>8</v>
      </c>
      <c r="C1644" s="63" t="s">
        <v>3573</v>
      </c>
      <c r="D1644" s="63" t="s">
        <v>21</v>
      </c>
      <c r="E1644" s="66">
        <v>95.657149333399929</v>
      </c>
      <c r="F1644" s="67">
        <v>3.0000000000000001E-3</v>
      </c>
      <c r="G1644" s="67">
        <v>2E-3</v>
      </c>
      <c r="H1644" s="63"/>
    </row>
    <row r="1645" spans="1:8" x14ac:dyDescent="0.25">
      <c r="A1645" s="63"/>
      <c r="B1645" s="63">
        <v>9</v>
      </c>
      <c r="C1645" s="63" t="s">
        <v>3573</v>
      </c>
      <c r="D1645" s="63" t="s">
        <v>21</v>
      </c>
      <c r="E1645" s="66">
        <v>106.43714807415071</v>
      </c>
      <c r="F1645" s="67">
        <v>3.0000000000000001E-3</v>
      </c>
      <c r="G1645" s="67">
        <v>2E-3</v>
      </c>
      <c r="H1645" s="63"/>
    </row>
    <row r="1646" spans="1:8" x14ac:dyDescent="0.25">
      <c r="A1646" s="63"/>
      <c r="B1646" s="63">
        <v>10</v>
      </c>
      <c r="C1646" s="63" t="s">
        <v>3573</v>
      </c>
      <c r="D1646" s="63" t="s">
        <v>21</v>
      </c>
      <c r="E1646" s="66">
        <v>116.65885179730634</v>
      </c>
      <c r="F1646" s="67">
        <v>3.0000000000000001E-3</v>
      </c>
      <c r="G1646" s="67">
        <v>2E-3</v>
      </c>
      <c r="H1646" s="63"/>
    </row>
    <row r="1647" spans="1:8" x14ac:dyDescent="0.25">
      <c r="A1647" s="63"/>
      <c r="B1647" s="63">
        <v>11</v>
      </c>
      <c r="C1647" s="63" t="s">
        <v>3573</v>
      </c>
      <c r="D1647" s="63" t="s">
        <v>21</v>
      </c>
      <c r="E1647" s="66"/>
      <c r="F1647" s="67">
        <v>3.0000000000000001E-3</v>
      </c>
      <c r="G1647" s="67">
        <v>2E-3</v>
      </c>
      <c r="H1647" s="63"/>
    </row>
    <row r="1648" spans="1:8" x14ac:dyDescent="0.25">
      <c r="A1648" s="63"/>
      <c r="B1648" s="63">
        <v>12</v>
      </c>
      <c r="C1648" s="63" t="s">
        <v>3573</v>
      </c>
      <c r="D1648" s="63" t="s">
        <v>21</v>
      </c>
      <c r="E1648" s="66"/>
      <c r="F1648" s="67">
        <v>3.0000000000000001E-3</v>
      </c>
      <c r="G1648" s="67">
        <v>2E-3</v>
      </c>
      <c r="H1648" s="63"/>
    </row>
    <row r="1649" spans="1:8" x14ac:dyDescent="0.25">
      <c r="A1649" s="63"/>
      <c r="B1649" s="63">
        <v>13</v>
      </c>
      <c r="C1649" s="63" t="s">
        <v>3573</v>
      </c>
      <c r="D1649" s="63" t="s">
        <v>21</v>
      </c>
      <c r="E1649" s="66"/>
      <c r="F1649" s="67">
        <v>3.0000000000000001E-3</v>
      </c>
      <c r="G1649" s="67">
        <v>2E-3</v>
      </c>
      <c r="H1649" s="63"/>
    </row>
    <row r="1650" spans="1:8" x14ac:dyDescent="0.25">
      <c r="A1650" s="63"/>
      <c r="B1650" s="63">
        <v>14</v>
      </c>
      <c r="C1650" s="63" t="s">
        <v>3573</v>
      </c>
      <c r="D1650" s="63" t="s">
        <v>21</v>
      </c>
      <c r="E1650" s="66"/>
      <c r="F1650" s="67">
        <v>3.0000000000000001E-3</v>
      </c>
      <c r="G1650" s="67">
        <v>2E-3</v>
      </c>
      <c r="H1650" s="63"/>
    </row>
    <row r="1651" spans="1:8" x14ac:dyDescent="0.25">
      <c r="A1651" s="63"/>
      <c r="B1651" s="63">
        <v>15</v>
      </c>
      <c r="C1651" s="63" t="s">
        <v>3573</v>
      </c>
      <c r="D1651" s="63" t="s">
        <v>21</v>
      </c>
      <c r="E1651" s="66"/>
      <c r="F1651" s="67">
        <v>3.0000000000000001E-3</v>
      </c>
      <c r="G1651" s="67">
        <v>2E-3</v>
      </c>
      <c r="H1651" s="63"/>
    </row>
    <row r="1652" spans="1:8" x14ac:dyDescent="0.25">
      <c r="A1652" s="63"/>
      <c r="B1652" s="63">
        <v>16</v>
      </c>
      <c r="C1652" s="63" t="s">
        <v>3573</v>
      </c>
      <c r="D1652" s="63" t="s">
        <v>21</v>
      </c>
      <c r="E1652" s="66"/>
      <c r="F1652" s="67">
        <v>3.0000000000000001E-3</v>
      </c>
      <c r="G1652" s="67">
        <v>2E-3</v>
      </c>
      <c r="H1652" s="63"/>
    </row>
    <row r="1653" spans="1:8" x14ac:dyDescent="0.25">
      <c r="A1653" s="63"/>
      <c r="B1653" s="63">
        <v>17</v>
      </c>
      <c r="C1653" s="63" t="s">
        <v>3573</v>
      </c>
      <c r="D1653" s="63" t="s">
        <v>21</v>
      </c>
      <c r="E1653" s="66"/>
      <c r="F1653" s="67">
        <v>3.0000000000000001E-3</v>
      </c>
      <c r="G1653" s="67">
        <v>2E-3</v>
      </c>
      <c r="H1653" s="63"/>
    </row>
    <row r="1654" spans="1:8" x14ac:dyDescent="0.25">
      <c r="A1654" s="63"/>
      <c r="B1654" s="63">
        <v>18</v>
      </c>
      <c r="C1654" s="63" t="s">
        <v>3573</v>
      </c>
      <c r="D1654" s="63" t="s">
        <v>21</v>
      </c>
      <c r="E1654" s="66"/>
      <c r="F1654" s="67">
        <v>3.0000000000000001E-3</v>
      </c>
      <c r="G1654" s="67">
        <v>2E-3</v>
      </c>
      <c r="H1654" s="63"/>
    </row>
    <row r="1655" spans="1:8" x14ac:dyDescent="0.25">
      <c r="A1655" s="63"/>
      <c r="B1655" s="63">
        <v>19</v>
      </c>
      <c r="C1655" s="63" t="s">
        <v>3573</v>
      </c>
      <c r="D1655" s="63" t="s">
        <v>21</v>
      </c>
      <c r="E1655" s="66"/>
      <c r="F1655" s="67">
        <v>3.0000000000000001E-3</v>
      </c>
      <c r="G1655" s="67">
        <v>2E-3</v>
      </c>
      <c r="H1655" s="63"/>
    </row>
    <row r="1656" spans="1:8" x14ac:dyDescent="0.25">
      <c r="A1656" s="63"/>
      <c r="B1656" s="63">
        <v>20</v>
      </c>
      <c r="C1656" s="63" t="s">
        <v>3573</v>
      </c>
      <c r="D1656" s="63" t="s">
        <v>21</v>
      </c>
      <c r="E1656" s="66"/>
      <c r="F1656" s="67">
        <v>3.0000000000000001E-3</v>
      </c>
      <c r="G1656" s="67">
        <v>2E-3</v>
      </c>
      <c r="H1656" s="63"/>
    </row>
    <row r="1657" spans="1:8" x14ac:dyDescent="0.25">
      <c r="A1657" s="63"/>
      <c r="B1657" s="63">
        <v>21</v>
      </c>
      <c r="C1657" s="63" t="s">
        <v>3573</v>
      </c>
      <c r="D1657" s="63" t="s">
        <v>21</v>
      </c>
      <c r="E1657" s="66"/>
      <c r="F1657" s="67">
        <v>3.0000000000000001E-3</v>
      </c>
      <c r="G1657" s="67">
        <v>2E-3</v>
      </c>
      <c r="H1657" s="63"/>
    </row>
    <row r="1658" spans="1:8" x14ac:dyDescent="0.25">
      <c r="A1658" s="63"/>
      <c r="B1658" s="63">
        <v>22</v>
      </c>
      <c r="C1658" s="63" t="s">
        <v>3573</v>
      </c>
      <c r="D1658" s="63" t="s">
        <v>21</v>
      </c>
      <c r="E1658" s="66"/>
      <c r="F1658" s="67">
        <v>3.0000000000000001E-3</v>
      </c>
      <c r="G1658" s="67">
        <v>2E-3</v>
      </c>
      <c r="H1658" s="63"/>
    </row>
    <row r="1659" spans="1:8" x14ac:dyDescent="0.25">
      <c r="A1659" s="63"/>
      <c r="B1659" s="63">
        <v>23</v>
      </c>
      <c r="C1659" s="63" t="s">
        <v>3573</v>
      </c>
      <c r="D1659" s="63" t="s">
        <v>21</v>
      </c>
      <c r="E1659" s="66"/>
      <c r="F1659" s="67">
        <v>3.0000000000000001E-3</v>
      </c>
      <c r="G1659" s="67">
        <v>2E-3</v>
      </c>
      <c r="H1659" s="63"/>
    </row>
    <row r="1660" spans="1:8" x14ac:dyDescent="0.25">
      <c r="A1660" s="63"/>
      <c r="B1660" s="63">
        <v>24</v>
      </c>
      <c r="C1660" s="63" t="s">
        <v>3573</v>
      </c>
      <c r="D1660" s="63" t="s">
        <v>21</v>
      </c>
      <c r="E1660" s="66"/>
      <c r="F1660" s="67">
        <v>3.0000000000000001E-3</v>
      </c>
      <c r="G1660" s="67">
        <v>2E-3</v>
      </c>
      <c r="H1660" s="63"/>
    </row>
    <row r="1661" spans="1:8" x14ac:dyDescent="0.25">
      <c r="A1661" s="63"/>
      <c r="B1661" s="63">
        <v>25</v>
      </c>
      <c r="C1661" s="63" t="s">
        <v>3573</v>
      </c>
      <c r="D1661" s="63" t="s">
        <v>21</v>
      </c>
      <c r="E1661" s="66"/>
      <c r="F1661" s="67">
        <v>3.0000000000000001E-3</v>
      </c>
      <c r="G1661" s="67">
        <v>2E-3</v>
      </c>
      <c r="H1661" s="63"/>
    </row>
    <row r="1662" spans="1:8" x14ac:dyDescent="0.25">
      <c r="A1662" s="63"/>
      <c r="B1662" s="63">
        <v>26</v>
      </c>
      <c r="C1662" s="63" t="s">
        <v>3573</v>
      </c>
      <c r="D1662" s="63" t="s">
        <v>21</v>
      </c>
      <c r="E1662" s="66"/>
      <c r="F1662" s="67">
        <v>3.0000000000000001E-3</v>
      </c>
      <c r="G1662" s="67">
        <v>2E-3</v>
      </c>
      <c r="H1662" s="63"/>
    </row>
    <row r="1663" spans="1:8" x14ac:dyDescent="0.25">
      <c r="A1663" s="63"/>
      <c r="B1663" s="63">
        <v>27</v>
      </c>
      <c r="C1663" s="63" t="s">
        <v>3573</v>
      </c>
      <c r="D1663" s="63" t="s">
        <v>21</v>
      </c>
      <c r="E1663" s="66"/>
      <c r="F1663" s="67">
        <v>3.0000000000000001E-3</v>
      </c>
      <c r="G1663" s="67">
        <v>2E-3</v>
      </c>
      <c r="H1663" s="63"/>
    </row>
    <row r="1664" spans="1:8" x14ac:dyDescent="0.25">
      <c r="A1664" s="63"/>
      <c r="B1664" s="63">
        <v>28</v>
      </c>
      <c r="C1664" s="63" t="s">
        <v>3573</v>
      </c>
      <c r="D1664" s="63" t="s">
        <v>21</v>
      </c>
      <c r="E1664" s="66"/>
      <c r="F1664" s="67">
        <v>3.0000000000000001E-3</v>
      </c>
      <c r="G1664" s="67">
        <v>2E-3</v>
      </c>
      <c r="H1664" s="63"/>
    </row>
    <row r="1665" spans="1:8" x14ac:dyDescent="0.25">
      <c r="A1665" s="63"/>
      <c r="B1665" s="63">
        <v>29</v>
      </c>
      <c r="C1665" s="63" t="s">
        <v>3573</v>
      </c>
      <c r="D1665" s="63" t="s">
        <v>21</v>
      </c>
      <c r="E1665" s="66"/>
      <c r="F1665" s="67">
        <v>3.0000000000000001E-3</v>
      </c>
      <c r="G1665" s="67">
        <v>2E-3</v>
      </c>
      <c r="H1665" s="63"/>
    </row>
    <row r="1666" spans="1:8" x14ac:dyDescent="0.25">
      <c r="A1666" s="63"/>
      <c r="B1666" s="63">
        <v>30</v>
      </c>
      <c r="C1666" s="63" t="s">
        <v>3573</v>
      </c>
      <c r="D1666" s="63" t="s">
        <v>21</v>
      </c>
      <c r="E1666" s="66"/>
      <c r="F1666" s="67">
        <v>3.0000000000000001E-3</v>
      </c>
      <c r="G1666" s="67">
        <v>2E-3</v>
      </c>
      <c r="H1666" s="63"/>
    </row>
    <row r="1667" spans="1:8" x14ac:dyDescent="0.25">
      <c r="A1667" s="63"/>
      <c r="B1667" s="63">
        <v>0</v>
      </c>
      <c r="C1667" s="63" t="s">
        <v>3573</v>
      </c>
      <c r="D1667" s="63" t="s">
        <v>21</v>
      </c>
      <c r="E1667" s="66">
        <v>3.0428788910505911</v>
      </c>
      <c r="F1667" s="67">
        <v>3.0000000000000001E-3</v>
      </c>
      <c r="G1667" s="67">
        <v>2E-3</v>
      </c>
      <c r="H1667" s="63"/>
    </row>
    <row r="1668" spans="1:8" x14ac:dyDescent="0.25">
      <c r="A1668" s="63"/>
      <c r="B1668" s="63">
        <v>0.25</v>
      </c>
      <c r="C1668" s="63" t="s">
        <v>3573</v>
      </c>
      <c r="D1668" s="63" t="s">
        <v>62</v>
      </c>
      <c r="E1668" s="66">
        <v>28.302535685488309</v>
      </c>
      <c r="F1668" s="67">
        <v>3.0000000000000001E-3</v>
      </c>
      <c r="G1668" s="67">
        <v>2E-3</v>
      </c>
      <c r="H1668" s="63"/>
    </row>
    <row r="1669" spans="1:8" x14ac:dyDescent="0.25">
      <c r="A1669" s="63"/>
      <c r="B1669" s="63">
        <v>0.5</v>
      </c>
      <c r="C1669" s="63" t="s">
        <v>3573</v>
      </c>
      <c r="D1669" s="63" t="s">
        <v>62</v>
      </c>
      <c r="E1669" s="66">
        <v>28.818767183626335</v>
      </c>
      <c r="F1669" s="67">
        <v>3.0000000000000001E-3</v>
      </c>
      <c r="G1669" s="67">
        <v>2E-3</v>
      </c>
      <c r="H1669" s="63"/>
    </row>
    <row r="1670" spans="1:8" x14ac:dyDescent="0.25">
      <c r="A1670" s="63"/>
      <c r="B1670" s="63">
        <v>0.75</v>
      </c>
      <c r="C1670" s="63" t="s">
        <v>3573</v>
      </c>
      <c r="D1670" s="63" t="s">
        <v>62</v>
      </c>
      <c r="E1670" s="66">
        <v>29.231200498285997</v>
      </c>
      <c r="F1670" s="67">
        <v>3.0000000000000001E-3</v>
      </c>
      <c r="G1670" s="67">
        <v>2E-3</v>
      </c>
      <c r="H1670" s="63"/>
    </row>
    <row r="1671" spans="1:8" x14ac:dyDescent="0.25">
      <c r="A1671" s="63"/>
      <c r="B1671" s="63">
        <v>1</v>
      </c>
      <c r="C1671" s="63" t="s">
        <v>3573</v>
      </c>
      <c r="D1671" s="63" t="s">
        <v>62</v>
      </c>
      <c r="E1671" s="66">
        <v>30.182100101114941</v>
      </c>
      <c r="F1671" s="67">
        <v>3.0000000000000001E-3</v>
      </c>
      <c r="G1671" s="67">
        <v>2E-3</v>
      </c>
      <c r="H1671" s="63"/>
    </row>
    <row r="1672" spans="1:8" x14ac:dyDescent="0.25">
      <c r="A1672" s="63"/>
      <c r="B1672" s="63">
        <v>2</v>
      </c>
      <c r="C1672" s="63" t="s">
        <v>3573</v>
      </c>
      <c r="D1672" s="63" t="s">
        <v>62</v>
      </c>
      <c r="E1672" s="66">
        <v>38.81199576650107</v>
      </c>
      <c r="F1672" s="67">
        <v>3.0000000000000001E-3</v>
      </c>
      <c r="G1672" s="67">
        <v>2E-3</v>
      </c>
      <c r="H1672" s="63"/>
    </row>
    <row r="1673" spans="1:8" x14ac:dyDescent="0.25">
      <c r="A1673" s="63"/>
      <c r="B1673" s="63">
        <v>3</v>
      </c>
      <c r="C1673" s="63" t="s">
        <v>3573</v>
      </c>
      <c r="D1673" s="63" t="s">
        <v>62</v>
      </c>
      <c r="E1673" s="66">
        <v>48.321212204963729</v>
      </c>
      <c r="F1673" s="67">
        <v>3.0000000000000001E-3</v>
      </c>
      <c r="G1673" s="67">
        <v>2E-3</v>
      </c>
      <c r="H1673" s="63"/>
    </row>
    <row r="1674" spans="1:8" x14ac:dyDescent="0.25">
      <c r="A1674" s="63"/>
      <c r="B1674" s="63">
        <v>4</v>
      </c>
      <c r="C1674" s="63" t="s">
        <v>3573</v>
      </c>
      <c r="D1674" s="63" t="s">
        <v>62</v>
      </c>
      <c r="E1674" s="66">
        <v>58.041368669262333</v>
      </c>
      <c r="F1674" s="67">
        <v>3.0000000000000001E-3</v>
      </c>
      <c r="G1674" s="67">
        <v>2E-3</v>
      </c>
      <c r="H1674" s="63"/>
    </row>
    <row r="1675" spans="1:8" x14ac:dyDescent="0.25">
      <c r="A1675" s="63"/>
      <c r="B1675" s="63">
        <v>5</v>
      </c>
      <c r="C1675" s="63" t="s">
        <v>3573</v>
      </c>
      <c r="D1675" s="63" t="s">
        <v>62</v>
      </c>
      <c r="E1675" s="66">
        <v>68.038568465698873</v>
      </c>
      <c r="F1675" s="67">
        <v>3.0000000000000001E-3</v>
      </c>
      <c r="G1675" s="67">
        <v>2E-3</v>
      </c>
      <c r="H1675" s="63"/>
    </row>
    <row r="1676" spans="1:8" x14ac:dyDescent="0.25">
      <c r="A1676" s="63"/>
      <c r="B1676" s="63">
        <v>6</v>
      </c>
      <c r="C1676" s="63" t="s">
        <v>3573</v>
      </c>
      <c r="D1676" s="63" t="s">
        <v>62</v>
      </c>
      <c r="E1676" s="66">
        <v>78.200950111404822</v>
      </c>
      <c r="F1676" s="67">
        <v>3.0000000000000001E-3</v>
      </c>
      <c r="G1676" s="67">
        <v>2E-3</v>
      </c>
      <c r="H1676" s="63"/>
    </row>
    <row r="1677" spans="1:8" x14ac:dyDescent="0.25">
      <c r="A1677" s="63"/>
      <c r="B1677" s="63">
        <v>7</v>
      </c>
      <c r="C1677" s="63" t="s">
        <v>3573</v>
      </c>
      <c r="D1677" s="63" t="s">
        <v>62</v>
      </c>
      <c r="E1677" s="66">
        <v>88.549760835375878</v>
      </c>
      <c r="F1677" s="67">
        <v>3.0000000000000001E-3</v>
      </c>
      <c r="G1677" s="67">
        <v>2E-3</v>
      </c>
      <c r="H1677" s="63"/>
    </row>
    <row r="1678" spans="1:8" x14ac:dyDescent="0.25">
      <c r="A1678" s="63"/>
      <c r="B1678" s="63">
        <v>8</v>
      </c>
      <c r="C1678" s="63" t="s">
        <v>3573</v>
      </c>
      <c r="D1678" s="63" t="s">
        <v>62</v>
      </c>
      <c r="E1678" s="66">
        <v>99.109053042869988</v>
      </c>
      <c r="F1678" s="67">
        <v>3.0000000000000001E-3</v>
      </c>
      <c r="G1678" s="67">
        <v>2E-3</v>
      </c>
      <c r="H1678" s="63"/>
    </row>
    <row r="1679" spans="1:8" x14ac:dyDescent="0.25">
      <c r="A1679" s="63"/>
      <c r="B1679" s="63">
        <v>9</v>
      </c>
      <c r="C1679" s="63" t="s">
        <v>3573</v>
      </c>
      <c r="D1679" s="63" t="s">
        <v>62</v>
      </c>
      <c r="E1679" s="66">
        <v>109.35298304951097</v>
      </c>
      <c r="F1679" s="67">
        <v>3.0000000000000001E-3</v>
      </c>
      <c r="G1679" s="67">
        <v>2E-3</v>
      </c>
      <c r="H1679" s="63"/>
    </row>
    <row r="1680" spans="1:8" x14ac:dyDescent="0.25">
      <c r="A1680" s="63"/>
      <c r="B1680" s="63">
        <v>10</v>
      </c>
      <c r="C1680" s="63" t="s">
        <v>3573</v>
      </c>
      <c r="D1680" s="63" t="s">
        <v>62</v>
      </c>
      <c r="E1680" s="66">
        <v>119.48503673171672</v>
      </c>
      <c r="F1680" s="67">
        <v>3.0000000000000001E-3</v>
      </c>
      <c r="G1680" s="67">
        <v>2E-3</v>
      </c>
      <c r="H1680" s="63"/>
    </row>
    <row r="1681" spans="1:8" x14ac:dyDescent="0.25">
      <c r="A1681" s="63"/>
      <c r="B1681" s="63">
        <v>11</v>
      </c>
      <c r="C1681" s="63" t="s">
        <v>3573</v>
      </c>
      <c r="D1681" s="63" t="s">
        <v>62</v>
      </c>
      <c r="E1681" s="66"/>
      <c r="F1681" s="67">
        <v>3.0000000000000001E-3</v>
      </c>
      <c r="G1681" s="67">
        <v>2E-3</v>
      </c>
      <c r="H1681" s="63"/>
    </row>
    <row r="1682" spans="1:8" x14ac:dyDescent="0.25">
      <c r="A1682" s="63"/>
      <c r="B1682" s="63">
        <v>12</v>
      </c>
      <c r="C1682" s="63" t="s">
        <v>3573</v>
      </c>
      <c r="D1682" s="63" t="s">
        <v>62</v>
      </c>
      <c r="E1682" s="66"/>
      <c r="F1682" s="67">
        <v>3.0000000000000001E-3</v>
      </c>
      <c r="G1682" s="67">
        <v>2E-3</v>
      </c>
      <c r="H1682" s="63"/>
    </row>
    <row r="1683" spans="1:8" x14ac:dyDescent="0.25">
      <c r="A1683" s="63"/>
      <c r="B1683" s="63">
        <v>13</v>
      </c>
      <c r="C1683" s="63" t="s">
        <v>3573</v>
      </c>
      <c r="D1683" s="63" t="s">
        <v>62</v>
      </c>
      <c r="E1683" s="66"/>
      <c r="F1683" s="67">
        <v>3.0000000000000001E-3</v>
      </c>
      <c r="G1683" s="67">
        <v>2E-3</v>
      </c>
      <c r="H1683" s="63"/>
    </row>
    <row r="1684" spans="1:8" x14ac:dyDescent="0.25">
      <c r="A1684" s="63"/>
      <c r="B1684" s="63">
        <v>14</v>
      </c>
      <c r="C1684" s="63" t="s">
        <v>3573</v>
      </c>
      <c r="D1684" s="63" t="s">
        <v>62</v>
      </c>
      <c r="E1684" s="66"/>
      <c r="F1684" s="67">
        <v>3.0000000000000001E-3</v>
      </c>
      <c r="G1684" s="67">
        <v>2E-3</v>
      </c>
      <c r="H1684" s="63"/>
    </row>
    <row r="1685" spans="1:8" x14ac:dyDescent="0.25">
      <c r="A1685" s="63"/>
      <c r="B1685" s="63">
        <v>15</v>
      </c>
      <c r="C1685" s="63" t="s">
        <v>3573</v>
      </c>
      <c r="D1685" s="63" t="s">
        <v>62</v>
      </c>
      <c r="E1685" s="66"/>
      <c r="F1685" s="67">
        <v>3.0000000000000001E-3</v>
      </c>
      <c r="G1685" s="67">
        <v>2E-3</v>
      </c>
      <c r="H1685" s="63"/>
    </row>
    <row r="1686" spans="1:8" x14ac:dyDescent="0.25">
      <c r="A1686" s="63"/>
      <c r="B1686" s="63">
        <v>16</v>
      </c>
      <c r="C1686" s="63" t="s">
        <v>3573</v>
      </c>
      <c r="D1686" s="63" t="s">
        <v>62</v>
      </c>
      <c r="E1686" s="66"/>
      <c r="F1686" s="67">
        <v>3.0000000000000001E-3</v>
      </c>
      <c r="G1686" s="67">
        <v>2E-3</v>
      </c>
      <c r="H1686" s="63"/>
    </row>
    <row r="1687" spans="1:8" x14ac:dyDescent="0.25">
      <c r="A1687" s="63"/>
      <c r="B1687" s="63">
        <v>17</v>
      </c>
      <c r="C1687" s="63" t="s">
        <v>3573</v>
      </c>
      <c r="D1687" s="63" t="s">
        <v>62</v>
      </c>
      <c r="E1687" s="66"/>
      <c r="F1687" s="67">
        <v>3.0000000000000001E-3</v>
      </c>
      <c r="G1687" s="67">
        <v>2E-3</v>
      </c>
      <c r="H1687" s="63"/>
    </row>
    <row r="1688" spans="1:8" x14ac:dyDescent="0.25">
      <c r="A1688" s="63"/>
      <c r="B1688" s="63">
        <v>18</v>
      </c>
      <c r="C1688" s="63" t="s">
        <v>3573</v>
      </c>
      <c r="D1688" s="63" t="s">
        <v>62</v>
      </c>
      <c r="E1688" s="66"/>
      <c r="F1688" s="67">
        <v>3.0000000000000001E-3</v>
      </c>
      <c r="G1688" s="67">
        <v>2E-3</v>
      </c>
      <c r="H1688" s="63"/>
    </row>
    <row r="1689" spans="1:8" x14ac:dyDescent="0.25">
      <c r="A1689" s="63"/>
      <c r="B1689" s="63">
        <v>19</v>
      </c>
      <c r="C1689" s="63" t="s">
        <v>3573</v>
      </c>
      <c r="D1689" s="63" t="s">
        <v>62</v>
      </c>
      <c r="E1689" s="66"/>
      <c r="F1689" s="67">
        <v>3.0000000000000001E-3</v>
      </c>
      <c r="G1689" s="67">
        <v>2E-3</v>
      </c>
      <c r="H1689" s="63"/>
    </row>
    <row r="1690" spans="1:8" x14ac:dyDescent="0.25">
      <c r="A1690" s="63"/>
      <c r="B1690" s="63">
        <v>20</v>
      </c>
      <c r="C1690" s="63" t="s">
        <v>3573</v>
      </c>
      <c r="D1690" s="63" t="s">
        <v>62</v>
      </c>
      <c r="E1690" s="66"/>
      <c r="F1690" s="67">
        <v>3.0000000000000001E-3</v>
      </c>
      <c r="G1690" s="67">
        <v>2E-3</v>
      </c>
      <c r="H1690" s="63"/>
    </row>
    <row r="1691" spans="1:8" x14ac:dyDescent="0.25">
      <c r="A1691" s="63"/>
      <c r="B1691" s="63">
        <v>21</v>
      </c>
      <c r="C1691" s="63" t="s">
        <v>3573</v>
      </c>
      <c r="D1691" s="63" t="s">
        <v>62</v>
      </c>
      <c r="E1691" s="66"/>
      <c r="F1691" s="67">
        <v>3.0000000000000001E-3</v>
      </c>
      <c r="G1691" s="67">
        <v>2E-3</v>
      </c>
      <c r="H1691" s="63"/>
    </row>
    <row r="1692" spans="1:8" x14ac:dyDescent="0.25">
      <c r="A1692" s="63"/>
      <c r="B1692" s="63">
        <v>22</v>
      </c>
      <c r="C1692" s="63" t="s">
        <v>3573</v>
      </c>
      <c r="D1692" s="63" t="s">
        <v>62</v>
      </c>
      <c r="E1692" s="66"/>
      <c r="F1692" s="67">
        <v>3.0000000000000001E-3</v>
      </c>
      <c r="G1692" s="67">
        <v>2E-3</v>
      </c>
      <c r="H1692" s="63"/>
    </row>
    <row r="1693" spans="1:8" x14ac:dyDescent="0.25">
      <c r="A1693" s="63"/>
      <c r="B1693" s="63">
        <v>23</v>
      </c>
      <c r="C1693" s="63" t="s">
        <v>3573</v>
      </c>
      <c r="D1693" s="63" t="s">
        <v>62</v>
      </c>
      <c r="E1693" s="66"/>
      <c r="F1693" s="67">
        <v>3.0000000000000001E-3</v>
      </c>
      <c r="G1693" s="67">
        <v>2E-3</v>
      </c>
      <c r="H1693" s="63"/>
    </row>
    <row r="1694" spans="1:8" x14ac:dyDescent="0.25">
      <c r="A1694" s="63"/>
      <c r="B1694" s="63">
        <v>24</v>
      </c>
      <c r="C1694" s="63" t="s">
        <v>3573</v>
      </c>
      <c r="D1694" s="63" t="s">
        <v>62</v>
      </c>
      <c r="E1694" s="66"/>
      <c r="F1694" s="67">
        <v>3.0000000000000001E-3</v>
      </c>
      <c r="G1694" s="67">
        <v>2E-3</v>
      </c>
      <c r="H1694" s="63"/>
    </row>
    <row r="1695" spans="1:8" x14ac:dyDescent="0.25">
      <c r="A1695" s="63"/>
      <c r="B1695" s="63">
        <v>25</v>
      </c>
      <c r="C1695" s="63" t="s">
        <v>3573</v>
      </c>
      <c r="D1695" s="63" t="s">
        <v>62</v>
      </c>
      <c r="E1695" s="66"/>
      <c r="F1695" s="67">
        <v>3.0000000000000001E-3</v>
      </c>
      <c r="G1695" s="67">
        <v>2E-3</v>
      </c>
      <c r="H1695" s="63"/>
    </row>
    <row r="1696" spans="1:8" x14ac:dyDescent="0.25">
      <c r="A1696" s="63"/>
      <c r="B1696" s="63">
        <v>26</v>
      </c>
      <c r="C1696" s="63" t="s">
        <v>3573</v>
      </c>
      <c r="D1696" s="63" t="s">
        <v>62</v>
      </c>
      <c r="E1696" s="66"/>
      <c r="F1696" s="67">
        <v>3.0000000000000001E-3</v>
      </c>
      <c r="G1696" s="67">
        <v>2E-3</v>
      </c>
      <c r="H1696" s="63"/>
    </row>
    <row r="1697" spans="1:8" x14ac:dyDescent="0.25">
      <c r="A1697" s="63"/>
      <c r="B1697" s="63">
        <v>27</v>
      </c>
      <c r="C1697" s="63" t="s">
        <v>3573</v>
      </c>
      <c r="D1697" s="63" t="s">
        <v>62</v>
      </c>
      <c r="E1697" s="66"/>
      <c r="F1697" s="67">
        <v>3.0000000000000001E-3</v>
      </c>
      <c r="G1697" s="67">
        <v>2E-3</v>
      </c>
      <c r="H1697" s="63"/>
    </row>
    <row r="1698" spans="1:8" x14ac:dyDescent="0.25">
      <c r="A1698" s="63"/>
      <c r="B1698" s="63">
        <v>28</v>
      </c>
      <c r="C1698" s="63" t="s">
        <v>3573</v>
      </c>
      <c r="D1698" s="63" t="s">
        <v>62</v>
      </c>
      <c r="E1698" s="66"/>
      <c r="F1698" s="67">
        <v>3.0000000000000001E-3</v>
      </c>
      <c r="G1698" s="67">
        <v>2E-3</v>
      </c>
      <c r="H1698" s="63"/>
    </row>
    <row r="1699" spans="1:8" x14ac:dyDescent="0.25">
      <c r="A1699" s="63"/>
      <c r="B1699" s="63">
        <v>29</v>
      </c>
      <c r="C1699" s="63" t="s">
        <v>3573</v>
      </c>
      <c r="D1699" s="63" t="s">
        <v>62</v>
      </c>
      <c r="E1699" s="66"/>
      <c r="F1699" s="67">
        <v>3.0000000000000001E-3</v>
      </c>
      <c r="G1699" s="67">
        <v>2E-3</v>
      </c>
      <c r="H1699" s="63"/>
    </row>
    <row r="1700" spans="1:8" x14ac:dyDescent="0.25">
      <c r="A1700" s="63"/>
      <c r="B1700" s="63">
        <v>30</v>
      </c>
      <c r="C1700" s="63" t="s">
        <v>3573</v>
      </c>
      <c r="D1700" s="63" t="s">
        <v>62</v>
      </c>
      <c r="E1700" s="66"/>
      <c r="F1700" s="67">
        <v>3.0000000000000001E-3</v>
      </c>
      <c r="G1700" s="67">
        <v>2E-3</v>
      </c>
      <c r="H1700" s="63"/>
    </row>
    <row r="1701" spans="1:8" x14ac:dyDescent="0.25">
      <c r="A1701" s="63"/>
      <c r="B1701" s="63">
        <v>0</v>
      </c>
      <c r="C1701" s="63" t="s">
        <v>3573</v>
      </c>
      <c r="D1701" s="63" t="s">
        <v>62</v>
      </c>
      <c r="E1701" s="66">
        <v>3.0428788910505911</v>
      </c>
      <c r="F1701" s="67">
        <v>3.0000000000000001E-3</v>
      </c>
      <c r="G1701" s="67">
        <v>2E-3</v>
      </c>
      <c r="H1701" s="63"/>
    </row>
    <row r="1702" spans="1:8" x14ac:dyDescent="0.25">
      <c r="A1702" s="63"/>
      <c r="B1702" s="63">
        <v>0.25</v>
      </c>
      <c r="C1702" s="63" t="s">
        <v>3573</v>
      </c>
      <c r="D1702" s="63" t="s">
        <v>64</v>
      </c>
      <c r="E1702" s="66">
        <v>29.165747317207547</v>
      </c>
      <c r="F1702" s="67">
        <v>3.0000000000000001E-3</v>
      </c>
      <c r="G1702" s="67">
        <v>2E-3</v>
      </c>
      <c r="H1702" s="63"/>
    </row>
    <row r="1703" spans="1:8" x14ac:dyDescent="0.25">
      <c r="A1703" s="63"/>
      <c r="B1703" s="63">
        <v>0.5</v>
      </c>
      <c r="C1703" s="63" t="s">
        <v>3573</v>
      </c>
      <c r="D1703" s="63" t="s">
        <v>64</v>
      </c>
      <c r="E1703" s="66">
        <v>29.708676082305956</v>
      </c>
      <c r="F1703" s="67">
        <v>3.0000000000000001E-3</v>
      </c>
      <c r="G1703" s="67">
        <v>2E-3</v>
      </c>
      <c r="H1703" s="63"/>
    </row>
    <row r="1704" spans="1:8" x14ac:dyDescent="0.25">
      <c r="A1704" s="63"/>
      <c r="B1704" s="63">
        <v>0.75</v>
      </c>
      <c r="C1704" s="63" t="s">
        <v>3573</v>
      </c>
      <c r="D1704" s="63" t="s">
        <v>64</v>
      </c>
      <c r="E1704" s="66">
        <v>30.148632352594877</v>
      </c>
      <c r="F1704" s="67">
        <v>3.0000000000000001E-3</v>
      </c>
      <c r="G1704" s="67">
        <v>2E-3</v>
      </c>
      <c r="H1704" s="63"/>
    </row>
    <row r="1705" spans="1:8" x14ac:dyDescent="0.25">
      <c r="A1705" s="63"/>
      <c r="B1705" s="63">
        <v>1</v>
      </c>
      <c r="C1705" s="63" t="s">
        <v>3573</v>
      </c>
      <c r="D1705" s="63" t="s">
        <v>64</v>
      </c>
      <c r="E1705" s="66">
        <v>30.664261369371562</v>
      </c>
      <c r="F1705" s="67">
        <v>3.0000000000000001E-3</v>
      </c>
      <c r="G1705" s="67">
        <v>2E-3</v>
      </c>
      <c r="H1705" s="63"/>
    </row>
    <row r="1706" spans="1:8" x14ac:dyDescent="0.25">
      <c r="A1706" s="63"/>
      <c r="B1706" s="63">
        <v>2</v>
      </c>
      <c r="C1706" s="63" t="s">
        <v>3573</v>
      </c>
      <c r="D1706" s="63" t="s">
        <v>64</v>
      </c>
      <c r="E1706" s="66">
        <v>39.309069238930583</v>
      </c>
      <c r="F1706" s="67">
        <v>3.0000000000000001E-3</v>
      </c>
      <c r="G1706" s="67">
        <v>2E-3</v>
      </c>
      <c r="H1706" s="63"/>
    </row>
    <row r="1707" spans="1:8" x14ac:dyDescent="0.25">
      <c r="A1707" s="63"/>
      <c r="B1707" s="63">
        <v>3</v>
      </c>
      <c r="C1707" s="63" t="s">
        <v>3573</v>
      </c>
      <c r="D1707" s="63" t="s">
        <v>64</v>
      </c>
      <c r="E1707" s="66">
        <v>48.992316243641525</v>
      </c>
      <c r="F1707" s="67">
        <v>3.0000000000000001E-3</v>
      </c>
      <c r="G1707" s="67">
        <v>2E-3</v>
      </c>
      <c r="H1707" s="63"/>
    </row>
    <row r="1708" spans="1:8" x14ac:dyDescent="0.25">
      <c r="A1708" s="63"/>
      <c r="B1708" s="63">
        <v>4</v>
      </c>
      <c r="C1708" s="63" t="s">
        <v>3573</v>
      </c>
      <c r="D1708" s="63" t="s">
        <v>64</v>
      </c>
      <c r="E1708" s="66">
        <v>58.776130842275407</v>
      </c>
      <c r="F1708" s="67">
        <v>3.0000000000000001E-3</v>
      </c>
      <c r="G1708" s="67">
        <v>2E-3</v>
      </c>
      <c r="H1708" s="63"/>
    </row>
    <row r="1709" spans="1:8" x14ac:dyDescent="0.25">
      <c r="A1709" s="63"/>
      <c r="B1709" s="63">
        <v>5</v>
      </c>
      <c r="C1709" s="63" t="s">
        <v>3573</v>
      </c>
      <c r="D1709" s="63" t="s">
        <v>64</v>
      </c>
      <c r="E1709" s="66">
        <v>68.670569794224505</v>
      </c>
      <c r="F1709" s="67">
        <v>3.0000000000000001E-3</v>
      </c>
      <c r="G1709" s="67">
        <v>2E-3</v>
      </c>
      <c r="H1709" s="63"/>
    </row>
    <row r="1710" spans="1:8" x14ac:dyDescent="0.25">
      <c r="A1710" s="63"/>
      <c r="B1710" s="63">
        <v>6</v>
      </c>
      <c r="C1710" s="63" t="s">
        <v>3573</v>
      </c>
      <c r="D1710" s="63" t="s">
        <v>64</v>
      </c>
      <c r="E1710" s="66">
        <v>80.651841789156563</v>
      </c>
      <c r="F1710" s="67">
        <v>3.0000000000000001E-3</v>
      </c>
      <c r="G1710" s="67">
        <v>2E-3</v>
      </c>
      <c r="H1710" s="63"/>
    </row>
    <row r="1711" spans="1:8" x14ac:dyDescent="0.25">
      <c r="A1711" s="63"/>
      <c r="B1711" s="63">
        <v>7</v>
      </c>
      <c r="C1711" s="63" t="s">
        <v>3573</v>
      </c>
      <c r="D1711" s="63" t="s">
        <v>64</v>
      </c>
      <c r="E1711" s="66">
        <v>90.017996724971027</v>
      </c>
      <c r="F1711" s="67">
        <v>3.0000000000000001E-3</v>
      </c>
      <c r="G1711" s="67">
        <v>2E-3</v>
      </c>
      <c r="H1711" s="63"/>
    </row>
    <row r="1712" spans="1:8" x14ac:dyDescent="0.25">
      <c r="A1712" s="63"/>
      <c r="B1712" s="63">
        <v>8</v>
      </c>
      <c r="C1712" s="63" t="s">
        <v>3573</v>
      </c>
      <c r="D1712" s="63" t="s">
        <v>64</v>
      </c>
      <c r="E1712" s="66">
        <v>99.51673062603696</v>
      </c>
      <c r="F1712" s="67">
        <v>3.0000000000000001E-3</v>
      </c>
      <c r="G1712" s="67">
        <v>2E-3</v>
      </c>
      <c r="H1712" s="63"/>
    </row>
    <row r="1713" spans="1:8" x14ac:dyDescent="0.25">
      <c r="A1713" s="63"/>
      <c r="B1713" s="63">
        <v>9</v>
      </c>
      <c r="C1713" s="63" t="s">
        <v>3573</v>
      </c>
      <c r="D1713" s="63" t="s">
        <v>64</v>
      </c>
      <c r="E1713" s="66">
        <v>110.02381791070727</v>
      </c>
      <c r="F1713" s="67">
        <v>3.0000000000000001E-3</v>
      </c>
      <c r="G1713" s="67">
        <v>2E-3</v>
      </c>
      <c r="H1713" s="63"/>
    </row>
    <row r="1714" spans="1:8" x14ac:dyDescent="0.25">
      <c r="A1714" s="63"/>
      <c r="B1714" s="63">
        <v>10</v>
      </c>
      <c r="C1714" s="63" t="s">
        <v>3573</v>
      </c>
      <c r="D1714" s="63" t="s">
        <v>64</v>
      </c>
      <c r="E1714" s="66">
        <v>119.595316601791</v>
      </c>
      <c r="F1714" s="67">
        <v>3.0000000000000001E-3</v>
      </c>
      <c r="G1714" s="67">
        <v>2E-3</v>
      </c>
      <c r="H1714" s="63"/>
    </row>
    <row r="1715" spans="1:8" x14ac:dyDescent="0.25">
      <c r="A1715" s="63"/>
      <c r="B1715" s="63">
        <v>11</v>
      </c>
      <c r="C1715" s="63" t="s">
        <v>3573</v>
      </c>
      <c r="D1715" s="63" t="s">
        <v>64</v>
      </c>
      <c r="E1715" s="66"/>
      <c r="F1715" s="67">
        <v>3.0000000000000001E-3</v>
      </c>
      <c r="G1715" s="67">
        <v>2E-3</v>
      </c>
      <c r="H1715" s="63"/>
    </row>
    <row r="1716" spans="1:8" x14ac:dyDescent="0.25">
      <c r="A1716" s="63"/>
      <c r="B1716" s="63">
        <v>12</v>
      </c>
      <c r="C1716" s="63" t="s">
        <v>3573</v>
      </c>
      <c r="D1716" s="63" t="s">
        <v>64</v>
      </c>
      <c r="E1716" s="66"/>
      <c r="F1716" s="67">
        <v>3.0000000000000001E-3</v>
      </c>
      <c r="G1716" s="67">
        <v>2E-3</v>
      </c>
      <c r="H1716" s="63"/>
    </row>
    <row r="1717" spans="1:8" x14ac:dyDescent="0.25">
      <c r="A1717" s="63"/>
      <c r="B1717" s="63">
        <v>13</v>
      </c>
      <c r="C1717" s="63" t="s">
        <v>3573</v>
      </c>
      <c r="D1717" s="63" t="s">
        <v>64</v>
      </c>
      <c r="E1717" s="66"/>
      <c r="F1717" s="67">
        <v>3.0000000000000001E-3</v>
      </c>
      <c r="G1717" s="67">
        <v>2E-3</v>
      </c>
      <c r="H1717" s="63"/>
    </row>
    <row r="1718" spans="1:8" x14ac:dyDescent="0.25">
      <c r="A1718" s="63"/>
      <c r="B1718" s="63">
        <v>14</v>
      </c>
      <c r="C1718" s="63" t="s">
        <v>3573</v>
      </c>
      <c r="D1718" s="63" t="s">
        <v>64</v>
      </c>
      <c r="E1718" s="66"/>
      <c r="F1718" s="67">
        <v>3.0000000000000001E-3</v>
      </c>
      <c r="G1718" s="67">
        <v>2E-3</v>
      </c>
      <c r="H1718" s="63"/>
    </row>
    <row r="1719" spans="1:8" x14ac:dyDescent="0.25">
      <c r="A1719" s="63"/>
      <c r="B1719" s="63">
        <v>15</v>
      </c>
      <c r="C1719" s="63" t="s">
        <v>3573</v>
      </c>
      <c r="D1719" s="63" t="s">
        <v>64</v>
      </c>
      <c r="E1719" s="66"/>
      <c r="F1719" s="67">
        <v>3.0000000000000001E-3</v>
      </c>
      <c r="G1719" s="67">
        <v>2E-3</v>
      </c>
      <c r="H1719" s="63"/>
    </row>
    <row r="1720" spans="1:8" x14ac:dyDescent="0.25">
      <c r="A1720" s="63"/>
      <c r="B1720" s="63">
        <v>16</v>
      </c>
      <c r="C1720" s="63" t="s">
        <v>3573</v>
      </c>
      <c r="D1720" s="63" t="s">
        <v>64</v>
      </c>
      <c r="E1720" s="66"/>
      <c r="F1720" s="67">
        <v>3.0000000000000001E-3</v>
      </c>
      <c r="G1720" s="67">
        <v>2E-3</v>
      </c>
      <c r="H1720" s="63"/>
    </row>
    <row r="1721" spans="1:8" x14ac:dyDescent="0.25">
      <c r="A1721" s="63"/>
      <c r="B1721" s="63">
        <v>17</v>
      </c>
      <c r="C1721" s="63" t="s">
        <v>3573</v>
      </c>
      <c r="D1721" s="63" t="s">
        <v>64</v>
      </c>
      <c r="E1721" s="66"/>
      <c r="F1721" s="67">
        <v>3.0000000000000001E-3</v>
      </c>
      <c r="G1721" s="67">
        <v>2E-3</v>
      </c>
      <c r="H1721" s="63"/>
    </row>
    <row r="1722" spans="1:8" x14ac:dyDescent="0.25">
      <c r="A1722" s="63"/>
      <c r="B1722" s="63">
        <v>18</v>
      </c>
      <c r="C1722" s="63" t="s">
        <v>3573</v>
      </c>
      <c r="D1722" s="63" t="s">
        <v>64</v>
      </c>
      <c r="E1722" s="66"/>
      <c r="F1722" s="67">
        <v>3.0000000000000001E-3</v>
      </c>
      <c r="G1722" s="67">
        <v>2E-3</v>
      </c>
      <c r="H1722" s="63"/>
    </row>
    <row r="1723" spans="1:8" x14ac:dyDescent="0.25">
      <c r="A1723" s="63"/>
      <c r="B1723" s="63">
        <v>19</v>
      </c>
      <c r="C1723" s="63" t="s">
        <v>3573</v>
      </c>
      <c r="D1723" s="63" t="s">
        <v>64</v>
      </c>
      <c r="E1723" s="66"/>
      <c r="F1723" s="67">
        <v>3.0000000000000001E-3</v>
      </c>
      <c r="G1723" s="67">
        <v>2E-3</v>
      </c>
      <c r="H1723" s="63"/>
    </row>
    <row r="1724" spans="1:8" x14ac:dyDescent="0.25">
      <c r="A1724" s="63"/>
      <c r="B1724" s="63">
        <v>20</v>
      </c>
      <c r="C1724" s="63" t="s">
        <v>3573</v>
      </c>
      <c r="D1724" s="63" t="s">
        <v>64</v>
      </c>
      <c r="E1724" s="66"/>
      <c r="F1724" s="67">
        <v>3.0000000000000001E-3</v>
      </c>
      <c r="G1724" s="67">
        <v>2E-3</v>
      </c>
      <c r="H1724" s="63"/>
    </row>
    <row r="1725" spans="1:8" x14ac:dyDescent="0.25">
      <c r="A1725" s="63"/>
      <c r="B1725" s="63">
        <v>21</v>
      </c>
      <c r="C1725" s="63" t="s">
        <v>3573</v>
      </c>
      <c r="D1725" s="63" t="s">
        <v>64</v>
      </c>
      <c r="E1725" s="66"/>
      <c r="F1725" s="67">
        <v>3.0000000000000001E-3</v>
      </c>
      <c r="G1725" s="67">
        <v>2E-3</v>
      </c>
      <c r="H1725" s="63"/>
    </row>
    <row r="1726" spans="1:8" x14ac:dyDescent="0.25">
      <c r="A1726" s="63"/>
      <c r="B1726" s="63">
        <v>22</v>
      </c>
      <c r="C1726" s="63" t="s">
        <v>3573</v>
      </c>
      <c r="D1726" s="63" t="s">
        <v>64</v>
      </c>
      <c r="E1726" s="66"/>
      <c r="F1726" s="67">
        <v>3.0000000000000001E-3</v>
      </c>
      <c r="G1726" s="67">
        <v>2E-3</v>
      </c>
      <c r="H1726" s="63"/>
    </row>
    <row r="1727" spans="1:8" x14ac:dyDescent="0.25">
      <c r="A1727" s="63"/>
      <c r="B1727" s="63">
        <v>23</v>
      </c>
      <c r="C1727" s="63" t="s">
        <v>3573</v>
      </c>
      <c r="D1727" s="63" t="s">
        <v>64</v>
      </c>
      <c r="E1727" s="66"/>
      <c r="F1727" s="67">
        <v>3.0000000000000001E-3</v>
      </c>
      <c r="G1727" s="67">
        <v>2E-3</v>
      </c>
      <c r="H1727" s="63"/>
    </row>
    <row r="1728" spans="1:8" x14ac:dyDescent="0.25">
      <c r="A1728" s="63"/>
      <c r="B1728" s="63">
        <v>24</v>
      </c>
      <c r="C1728" s="63" t="s">
        <v>3573</v>
      </c>
      <c r="D1728" s="63" t="s">
        <v>64</v>
      </c>
      <c r="E1728" s="66"/>
      <c r="F1728" s="67">
        <v>3.0000000000000001E-3</v>
      </c>
      <c r="G1728" s="67">
        <v>2E-3</v>
      </c>
      <c r="H1728" s="63"/>
    </row>
    <row r="1729" spans="1:8" x14ac:dyDescent="0.25">
      <c r="A1729" s="63"/>
      <c r="B1729" s="63">
        <v>25</v>
      </c>
      <c r="C1729" s="63" t="s">
        <v>3573</v>
      </c>
      <c r="D1729" s="63" t="s">
        <v>64</v>
      </c>
      <c r="E1729" s="66"/>
      <c r="F1729" s="67">
        <v>3.0000000000000001E-3</v>
      </c>
      <c r="G1729" s="67">
        <v>2E-3</v>
      </c>
      <c r="H1729" s="63"/>
    </row>
    <row r="1730" spans="1:8" x14ac:dyDescent="0.25">
      <c r="A1730" s="63"/>
      <c r="B1730" s="63">
        <v>26</v>
      </c>
      <c r="C1730" s="63" t="s">
        <v>3573</v>
      </c>
      <c r="D1730" s="63" t="s">
        <v>64</v>
      </c>
      <c r="E1730" s="66"/>
      <c r="F1730" s="67">
        <v>3.0000000000000001E-3</v>
      </c>
      <c r="G1730" s="67">
        <v>2E-3</v>
      </c>
      <c r="H1730" s="63"/>
    </row>
    <row r="1731" spans="1:8" x14ac:dyDescent="0.25">
      <c r="A1731" s="63"/>
      <c r="B1731" s="63">
        <v>27</v>
      </c>
      <c r="C1731" s="63" t="s">
        <v>3573</v>
      </c>
      <c r="D1731" s="63" t="s">
        <v>64</v>
      </c>
      <c r="E1731" s="66"/>
      <c r="F1731" s="67">
        <v>3.0000000000000001E-3</v>
      </c>
      <c r="G1731" s="67">
        <v>2E-3</v>
      </c>
      <c r="H1731" s="63"/>
    </row>
    <row r="1732" spans="1:8" x14ac:dyDescent="0.25">
      <c r="A1732" s="63"/>
      <c r="B1732" s="63">
        <v>28</v>
      </c>
      <c r="C1732" s="63" t="s">
        <v>3573</v>
      </c>
      <c r="D1732" s="63" t="s">
        <v>64</v>
      </c>
      <c r="E1732" s="66"/>
      <c r="F1732" s="67">
        <v>3.0000000000000001E-3</v>
      </c>
      <c r="G1732" s="67">
        <v>2E-3</v>
      </c>
      <c r="H1732" s="63"/>
    </row>
    <row r="1733" spans="1:8" x14ac:dyDescent="0.25">
      <c r="A1733" s="63"/>
      <c r="B1733" s="63">
        <v>29</v>
      </c>
      <c r="C1733" s="63" t="s">
        <v>3573</v>
      </c>
      <c r="D1733" s="63" t="s">
        <v>64</v>
      </c>
      <c r="E1733" s="66"/>
      <c r="F1733" s="67">
        <v>3.0000000000000001E-3</v>
      </c>
      <c r="G1733" s="67">
        <v>2E-3</v>
      </c>
      <c r="H1733" s="63"/>
    </row>
    <row r="1734" spans="1:8" x14ac:dyDescent="0.25">
      <c r="A1734" s="63"/>
      <c r="B1734" s="63">
        <v>30</v>
      </c>
      <c r="C1734" s="63" t="s">
        <v>3573</v>
      </c>
      <c r="D1734" s="63" t="s">
        <v>64</v>
      </c>
      <c r="E1734" s="66"/>
      <c r="F1734" s="67">
        <v>3.0000000000000001E-3</v>
      </c>
      <c r="G1734" s="67">
        <v>2E-3</v>
      </c>
      <c r="H1734" s="63"/>
    </row>
    <row r="1735" spans="1:8" x14ac:dyDescent="0.25">
      <c r="A1735" s="63"/>
      <c r="B1735" s="63">
        <v>0</v>
      </c>
      <c r="C1735" s="63" t="s">
        <v>3573</v>
      </c>
      <c r="D1735" s="63" t="s">
        <v>64</v>
      </c>
      <c r="E1735" s="66">
        <v>3.0428788910505911</v>
      </c>
      <c r="F1735" s="67">
        <v>3.0000000000000001E-3</v>
      </c>
      <c r="G1735" s="67">
        <v>2E-3</v>
      </c>
      <c r="H1735" s="63"/>
    </row>
    <row r="1736" spans="1:8" x14ac:dyDescent="0.25">
      <c r="A1736" s="63"/>
      <c r="B1736" s="63">
        <v>0.25</v>
      </c>
      <c r="C1736" s="63" t="s">
        <v>3573</v>
      </c>
      <c r="D1736" s="63" t="s">
        <v>77</v>
      </c>
      <c r="E1736" s="66">
        <v>49.365095147237867</v>
      </c>
      <c r="F1736" s="67">
        <v>3.0000000000000001E-3</v>
      </c>
      <c r="G1736" s="67">
        <v>2E-3</v>
      </c>
      <c r="H1736" s="63"/>
    </row>
    <row r="1737" spans="1:8" x14ac:dyDescent="0.25">
      <c r="A1737" s="63"/>
      <c r="B1737" s="63">
        <v>0.5</v>
      </c>
      <c r="C1737" s="63" t="s">
        <v>3573</v>
      </c>
      <c r="D1737" s="63" t="s">
        <v>77</v>
      </c>
      <c r="E1737" s="66">
        <v>50.770888721957412</v>
      </c>
      <c r="F1737" s="67">
        <v>3.0000000000000001E-3</v>
      </c>
      <c r="G1737" s="67">
        <v>2E-3</v>
      </c>
      <c r="H1737" s="63"/>
    </row>
    <row r="1738" spans="1:8" x14ac:dyDescent="0.25">
      <c r="A1738" s="63"/>
      <c r="B1738" s="63">
        <v>0.75</v>
      </c>
      <c r="C1738" s="63" t="s">
        <v>3573</v>
      </c>
      <c r="D1738" s="63" t="s">
        <v>77</v>
      </c>
      <c r="E1738" s="66">
        <v>52.200434315108524</v>
      </c>
      <c r="F1738" s="67">
        <v>3.0000000000000001E-3</v>
      </c>
      <c r="G1738" s="67">
        <v>2E-3</v>
      </c>
      <c r="H1738" s="63"/>
    </row>
    <row r="1739" spans="1:8" x14ac:dyDescent="0.25">
      <c r="A1739" s="63"/>
      <c r="B1739" s="63">
        <v>1</v>
      </c>
      <c r="C1739" s="63" t="s">
        <v>3573</v>
      </c>
      <c r="D1739" s="63" t="s">
        <v>77</v>
      </c>
      <c r="E1739" s="66">
        <v>52.412128096069225</v>
      </c>
      <c r="F1739" s="67">
        <v>3.0000000000000001E-3</v>
      </c>
      <c r="G1739" s="67">
        <v>2E-3</v>
      </c>
      <c r="H1739" s="63"/>
    </row>
    <row r="1740" spans="1:8" x14ac:dyDescent="0.25">
      <c r="A1740" s="63"/>
      <c r="B1740" s="63">
        <v>2</v>
      </c>
      <c r="C1740" s="63" t="s">
        <v>3573</v>
      </c>
      <c r="D1740" s="63" t="s">
        <v>77</v>
      </c>
      <c r="E1740" s="66">
        <v>59.043428948049694</v>
      </c>
      <c r="F1740" s="67">
        <v>3.0000000000000001E-3</v>
      </c>
      <c r="G1740" s="67">
        <v>2E-3</v>
      </c>
      <c r="H1740" s="63"/>
    </row>
    <row r="1741" spans="1:8" x14ac:dyDescent="0.25">
      <c r="A1741" s="63"/>
      <c r="B1741" s="63">
        <v>3</v>
      </c>
      <c r="C1741" s="63" t="s">
        <v>3573</v>
      </c>
      <c r="D1741" s="63" t="s">
        <v>77</v>
      </c>
      <c r="E1741" s="66">
        <v>71.670593717854672</v>
      </c>
      <c r="F1741" s="67">
        <v>3.0000000000000001E-3</v>
      </c>
      <c r="G1741" s="67">
        <v>2E-3</v>
      </c>
      <c r="H1741" s="63"/>
    </row>
    <row r="1742" spans="1:8" x14ac:dyDescent="0.25">
      <c r="A1742" s="63"/>
      <c r="B1742" s="63">
        <v>4</v>
      </c>
      <c r="C1742" s="63" t="s">
        <v>3573</v>
      </c>
      <c r="D1742" s="63" t="s">
        <v>77</v>
      </c>
      <c r="E1742" s="66">
        <v>81.082684339640124</v>
      </c>
      <c r="F1742" s="67">
        <v>3.0000000000000001E-3</v>
      </c>
      <c r="G1742" s="67">
        <v>2E-3</v>
      </c>
      <c r="H1742" s="63"/>
    </row>
    <row r="1743" spans="1:8" x14ac:dyDescent="0.25">
      <c r="A1743" s="63"/>
      <c r="B1743" s="63">
        <v>5</v>
      </c>
      <c r="C1743" s="63" t="s">
        <v>3573</v>
      </c>
      <c r="D1743" s="63" t="s">
        <v>77</v>
      </c>
      <c r="E1743" s="66">
        <v>89.394521523604197</v>
      </c>
      <c r="F1743" s="67">
        <v>3.0000000000000001E-3</v>
      </c>
      <c r="G1743" s="67">
        <v>2E-3</v>
      </c>
      <c r="H1743" s="63"/>
    </row>
    <row r="1744" spans="1:8" x14ac:dyDescent="0.25">
      <c r="A1744" s="63"/>
      <c r="B1744" s="63">
        <v>6</v>
      </c>
      <c r="C1744" s="63" t="s">
        <v>3573</v>
      </c>
      <c r="D1744" s="63" t="s">
        <v>77</v>
      </c>
      <c r="E1744" s="66">
        <v>100.59499627651029</v>
      </c>
      <c r="F1744" s="67">
        <v>3.0000000000000001E-3</v>
      </c>
      <c r="G1744" s="67">
        <v>2E-3</v>
      </c>
      <c r="H1744" s="63"/>
    </row>
    <row r="1745" spans="1:8" x14ac:dyDescent="0.25">
      <c r="A1745" s="63"/>
      <c r="B1745" s="63">
        <v>7</v>
      </c>
      <c r="C1745" s="63" t="s">
        <v>3573</v>
      </c>
      <c r="D1745" s="63" t="s">
        <v>77</v>
      </c>
      <c r="E1745" s="66">
        <v>111.57005612744882</v>
      </c>
      <c r="F1745" s="67">
        <v>3.0000000000000001E-3</v>
      </c>
      <c r="G1745" s="67">
        <v>2E-3</v>
      </c>
      <c r="H1745" s="63"/>
    </row>
    <row r="1746" spans="1:8" x14ac:dyDescent="0.25">
      <c r="A1746" s="63"/>
      <c r="B1746" s="63">
        <v>8</v>
      </c>
      <c r="C1746" s="63" t="s">
        <v>3573</v>
      </c>
      <c r="D1746" s="63" t="s">
        <v>77</v>
      </c>
      <c r="E1746" s="66">
        <v>112.69702639136246</v>
      </c>
      <c r="F1746" s="67">
        <v>3.0000000000000001E-3</v>
      </c>
      <c r="G1746" s="67">
        <v>2E-3</v>
      </c>
      <c r="H1746" s="63"/>
    </row>
    <row r="1747" spans="1:8" x14ac:dyDescent="0.25">
      <c r="A1747" s="63"/>
      <c r="B1747" s="63">
        <v>9</v>
      </c>
      <c r="C1747" s="63" t="s">
        <v>3573</v>
      </c>
      <c r="D1747" s="63" t="s">
        <v>77</v>
      </c>
      <c r="E1747" s="66">
        <v>136.54753079098907</v>
      </c>
      <c r="F1747" s="67">
        <v>3.0000000000000001E-3</v>
      </c>
      <c r="G1747" s="67">
        <v>2E-3</v>
      </c>
      <c r="H1747" s="63"/>
    </row>
    <row r="1748" spans="1:8" x14ac:dyDescent="0.25">
      <c r="A1748" s="63"/>
      <c r="B1748" s="63">
        <v>10</v>
      </c>
      <c r="C1748" s="63" t="s">
        <v>3573</v>
      </c>
      <c r="D1748" s="63" t="s">
        <v>77</v>
      </c>
      <c r="E1748" s="66">
        <v>157.12119388919811</v>
      </c>
      <c r="F1748" s="67">
        <v>3.0000000000000001E-3</v>
      </c>
      <c r="G1748" s="67">
        <v>2E-3</v>
      </c>
      <c r="H1748" s="63"/>
    </row>
    <row r="1749" spans="1:8" x14ac:dyDescent="0.25">
      <c r="A1749" s="63"/>
      <c r="B1749" s="63">
        <v>11</v>
      </c>
      <c r="C1749" s="63" t="s">
        <v>3573</v>
      </c>
      <c r="D1749" s="63" t="s">
        <v>77</v>
      </c>
      <c r="E1749" s="66"/>
      <c r="F1749" s="67">
        <v>3.0000000000000001E-3</v>
      </c>
      <c r="G1749" s="67">
        <v>2E-3</v>
      </c>
      <c r="H1749" s="63"/>
    </row>
    <row r="1750" spans="1:8" x14ac:dyDescent="0.25">
      <c r="A1750" s="63"/>
      <c r="B1750" s="63">
        <v>12</v>
      </c>
      <c r="C1750" s="63" t="s">
        <v>3573</v>
      </c>
      <c r="D1750" s="63" t="s">
        <v>77</v>
      </c>
      <c r="E1750" s="66"/>
      <c r="F1750" s="67">
        <v>3.0000000000000001E-3</v>
      </c>
      <c r="G1750" s="67">
        <v>2E-3</v>
      </c>
      <c r="H1750" s="63"/>
    </row>
    <row r="1751" spans="1:8" x14ac:dyDescent="0.25">
      <c r="A1751" s="63"/>
      <c r="B1751" s="63">
        <v>13</v>
      </c>
      <c r="C1751" s="63" t="s">
        <v>3573</v>
      </c>
      <c r="D1751" s="63" t="s">
        <v>77</v>
      </c>
      <c r="E1751" s="66"/>
      <c r="F1751" s="67">
        <v>3.0000000000000001E-3</v>
      </c>
      <c r="G1751" s="67">
        <v>2E-3</v>
      </c>
      <c r="H1751" s="63"/>
    </row>
    <row r="1752" spans="1:8" x14ac:dyDescent="0.25">
      <c r="A1752" s="63"/>
      <c r="B1752" s="63">
        <v>14</v>
      </c>
      <c r="C1752" s="63" t="s">
        <v>3573</v>
      </c>
      <c r="D1752" s="63" t="s">
        <v>77</v>
      </c>
      <c r="E1752" s="66"/>
      <c r="F1752" s="67">
        <v>3.0000000000000001E-3</v>
      </c>
      <c r="G1752" s="67">
        <v>2E-3</v>
      </c>
      <c r="H1752" s="63"/>
    </row>
    <row r="1753" spans="1:8" x14ac:dyDescent="0.25">
      <c r="A1753" s="63"/>
      <c r="B1753" s="63">
        <v>15</v>
      </c>
      <c r="C1753" s="63" t="s">
        <v>3573</v>
      </c>
      <c r="D1753" s="63" t="s">
        <v>77</v>
      </c>
      <c r="E1753" s="66"/>
      <c r="F1753" s="67">
        <v>3.0000000000000001E-3</v>
      </c>
      <c r="G1753" s="67">
        <v>2E-3</v>
      </c>
      <c r="H1753" s="63"/>
    </row>
    <row r="1754" spans="1:8" x14ac:dyDescent="0.25">
      <c r="A1754" s="63"/>
      <c r="B1754" s="63">
        <v>16</v>
      </c>
      <c r="C1754" s="63" t="s">
        <v>3573</v>
      </c>
      <c r="D1754" s="63" t="s">
        <v>77</v>
      </c>
      <c r="E1754" s="66"/>
      <c r="F1754" s="67">
        <v>3.0000000000000001E-3</v>
      </c>
      <c r="G1754" s="67">
        <v>2E-3</v>
      </c>
      <c r="H1754" s="63"/>
    </row>
    <row r="1755" spans="1:8" x14ac:dyDescent="0.25">
      <c r="A1755" s="63"/>
      <c r="B1755" s="63">
        <v>17</v>
      </c>
      <c r="C1755" s="63" t="s">
        <v>3573</v>
      </c>
      <c r="D1755" s="63" t="s">
        <v>77</v>
      </c>
      <c r="E1755" s="66"/>
      <c r="F1755" s="67">
        <v>3.0000000000000001E-3</v>
      </c>
      <c r="G1755" s="67">
        <v>2E-3</v>
      </c>
      <c r="H1755" s="63"/>
    </row>
    <row r="1756" spans="1:8" x14ac:dyDescent="0.25">
      <c r="A1756" s="63"/>
      <c r="B1756" s="63">
        <v>18</v>
      </c>
      <c r="C1756" s="63" t="s">
        <v>3573</v>
      </c>
      <c r="D1756" s="63" t="s">
        <v>77</v>
      </c>
      <c r="E1756" s="66"/>
      <c r="F1756" s="67">
        <v>3.0000000000000001E-3</v>
      </c>
      <c r="G1756" s="67">
        <v>2E-3</v>
      </c>
      <c r="H1756" s="63"/>
    </row>
    <row r="1757" spans="1:8" x14ac:dyDescent="0.25">
      <c r="A1757" s="63"/>
      <c r="B1757" s="63">
        <v>19</v>
      </c>
      <c r="C1757" s="63" t="s">
        <v>3573</v>
      </c>
      <c r="D1757" s="63" t="s">
        <v>77</v>
      </c>
      <c r="E1757" s="66"/>
      <c r="F1757" s="67">
        <v>3.0000000000000001E-3</v>
      </c>
      <c r="G1757" s="67">
        <v>2E-3</v>
      </c>
      <c r="H1757" s="63"/>
    </row>
    <row r="1758" spans="1:8" x14ac:dyDescent="0.25">
      <c r="A1758" s="63"/>
      <c r="B1758" s="63">
        <v>20</v>
      </c>
      <c r="C1758" s="63" t="s">
        <v>3573</v>
      </c>
      <c r="D1758" s="63" t="s">
        <v>77</v>
      </c>
      <c r="E1758" s="66"/>
      <c r="F1758" s="67">
        <v>3.0000000000000001E-3</v>
      </c>
      <c r="G1758" s="67">
        <v>2E-3</v>
      </c>
      <c r="H1758" s="63"/>
    </row>
    <row r="1759" spans="1:8" x14ac:dyDescent="0.25">
      <c r="A1759" s="63"/>
      <c r="B1759" s="63">
        <v>21</v>
      </c>
      <c r="C1759" s="63" t="s">
        <v>3573</v>
      </c>
      <c r="D1759" s="63" t="s">
        <v>77</v>
      </c>
      <c r="E1759" s="66"/>
      <c r="F1759" s="67">
        <v>3.0000000000000001E-3</v>
      </c>
      <c r="G1759" s="67">
        <v>2E-3</v>
      </c>
      <c r="H1759" s="63"/>
    </row>
    <row r="1760" spans="1:8" x14ac:dyDescent="0.25">
      <c r="A1760" s="63"/>
      <c r="B1760" s="63">
        <v>22</v>
      </c>
      <c r="C1760" s="63" t="s">
        <v>3573</v>
      </c>
      <c r="D1760" s="63" t="s">
        <v>77</v>
      </c>
      <c r="E1760" s="66"/>
      <c r="F1760" s="67">
        <v>3.0000000000000001E-3</v>
      </c>
      <c r="G1760" s="67">
        <v>2E-3</v>
      </c>
      <c r="H1760" s="63"/>
    </row>
    <row r="1761" spans="1:8" x14ac:dyDescent="0.25">
      <c r="A1761" s="63"/>
      <c r="B1761" s="63">
        <v>23</v>
      </c>
      <c r="C1761" s="63" t="s">
        <v>3573</v>
      </c>
      <c r="D1761" s="63" t="s">
        <v>77</v>
      </c>
      <c r="E1761" s="66"/>
      <c r="F1761" s="67">
        <v>3.0000000000000001E-3</v>
      </c>
      <c r="G1761" s="67">
        <v>2E-3</v>
      </c>
      <c r="H1761" s="63"/>
    </row>
    <row r="1762" spans="1:8" x14ac:dyDescent="0.25">
      <c r="A1762" s="63"/>
      <c r="B1762" s="63">
        <v>24</v>
      </c>
      <c r="C1762" s="63" t="s">
        <v>3573</v>
      </c>
      <c r="D1762" s="63" t="s">
        <v>77</v>
      </c>
      <c r="E1762" s="66"/>
      <c r="F1762" s="67">
        <v>3.0000000000000001E-3</v>
      </c>
      <c r="G1762" s="67">
        <v>2E-3</v>
      </c>
      <c r="H1762" s="63"/>
    </row>
    <row r="1763" spans="1:8" x14ac:dyDescent="0.25">
      <c r="A1763" s="63"/>
      <c r="B1763" s="63">
        <v>25</v>
      </c>
      <c r="C1763" s="63" t="s">
        <v>3573</v>
      </c>
      <c r="D1763" s="63" t="s">
        <v>77</v>
      </c>
      <c r="E1763" s="66"/>
      <c r="F1763" s="67">
        <v>3.0000000000000001E-3</v>
      </c>
      <c r="G1763" s="67">
        <v>2E-3</v>
      </c>
      <c r="H1763" s="63"/>
    </row>
    <row r="1764" spans="1:8" x14ac:dyDescent="0.25">
      <c r="A1764" s="63"/>
      <c r="B1764" s="63">
        <v>26</v>
      </c>
      <c r="C1764" s="63" t="s">
        <v>3573</v>
      </c>
      <c r="D1764" s="63" t="s">
        <v>77</v>
      </c>
      <c r="E1764" s="66"/>
      <c r="F1764" s="67">
        <v>3.0000000000000001E-3</v>
      </c>
      <c r="G1764" s="67">
        <v>2E-3</v>
      </c>
      <c r="H1764" s="63"/>
    </row>
    <row r="1765" spans="1:8" x14ac:dyDescent="0.25">
      <c r="A1765" s="63"/>
      <c r="B1765" s="63">
        <v>27</v>
      </c>
      <c r="C1765" s="63" t="s">
        <v>3573</v>
      </c>
      <c r="D1765" s="63" t="s">
        <v>77</v>
      </c>
      <c r="E1765" s="66"/>
      <c r="F1765" s="67">
        <v>3.0000000000000001E-3</v>
      </c>
      <c r="G1765" s="67">
        <v>2E-3</v>
      </c>
      <c r="H1765" s="63"/>
    </row>
    <row r="1766" spans="1:8" x14ac:dyDescent="0.25">
      <c r="A1766" s="63"/>
      <c r="B1766" s="63">
        <v>28</v>
      </c>
      <c r="C1766" s="63" t="s">
        <v>3573</v>
      </c>
      <c r="D1766" s="63" t="s">
        <v>77</v>
      </c>
      <c r="E1766" s="66"/>
      <c r="F1766" s="67">
        <v>3.0000000000000001E-3</v>
      </c>
      <c r="G1766" s="67">
        <v>2E-3</v>
      </c>
      <c r="H1766" s="63"/>
    </row>
    <row r="1767" spans="1:8" x14ac:dyDescent="0.25">
      <c r="A1767" s="63"/>
      <c r="B1767" s="63">
        <v>29</v>
      </c>
      <c r="C1767" s="63" t="s">
        <v>3573</v>
      </c>
      <c r="D1767" s="63" t="s">
        <v>77</v>
      </c>
      <c r="E1767" s="66"/>
      <c r="F1767" s="67">
        <v>3.0000000000000001E-3</v>
      </c>
      <c r="G1767" s="67">
        <v>2E-3</v>
      </c>
      <c r="H1767" s="63"/>
    </row>
    <row r="1768" spans="1:8" x14ac:dyDescent="0.25">
      <c r="A1768" s="63"/>
      <c r="B1768" s="63">
        <v>30</v>
      </c>
      <c r="C1768" s="63" t="s">
        <v>3573</v>
      </c>
      <c r="D1768" s="63" t="s">
        <v>77</v>
      </c>
      <c r="E1768" s="66"/>
      <c r="F1768" s="67">
        <v>3.0000000000000001E-3</v>
      </c>
      <c r="G1768" s="67">
        <v>2E-3</v>
      </c>
      <c r="H1768" s="63"/>
    </row>
    <row r="1769" spans="1:8" x14ac:dyDescent="0.25">
      <c r="A1769" s="63"/>
      <c r="B1769" s="63">
        <v>0</v>
      </c>
      <c r="C1769" s="63" t="s">
        <v>3573</v>
      </c>
      <c r="D1769" s="63" t="s">
        <v>77</v>
      </c>
      <c r="E1769" s="66">
        <v>3.0428788910505911</v>
      </c>
      <c r="F1769" s="67">
        <v>3.0000000000000001E-3</v>
      </c>
      <c r="G1769" s="67">
        <v>2E-3</v>
      </c>
      <c r="H1769" s="63"/>
    </row>
    <row r="1770" spans="1:8" x14ac:dyDescent="0.25">
      <c r="A1770" s="63"/>
      <c r="B1770" s="63">
        <v>0.25</v>
      </c>
      <c r="C1770" s="63" t="s">
        <v>3557</v>
      </c>
      <c r="D1770" s="63" t="s">
        <v>21</v>
      </c>
      <c r="E1770" s="66">
        <v>30.779537697391756</v>
      </c>
      <c r="F1770" s="67">
        <v>3.0000000000000001E-3</v>
      </c>
      <c r="G1770" s="67">
        <v>2E-3</v>
      </c>
      <c r="H1770" s="63"/>
    </row>
    <row r="1771" spans="1:8" x14ac:dyDescent="0.25">
      <c r="A1771" s="63"/>
      <c r="B1771" s="63">
        <v>0.5</v>
      </c>
      <c r="C1771" s="63" t="s">
        <v>3557</v>
      </c>
      <c r="D1771" s="63" t="s">
        <v>21</v>
      </c>
      <c r="E1771" s="66">
        <v>31.220071039207543</v>
      </c>
      <c r="F1771" s="67">
        <v>3.0000000000000001E-3</v>
      </c>
      <c r="G1771" s="67">
        <v>2E-3</v>
      </c>
      <c r="H1771" s="63"/>
    </row>
    <row r="1772" spans="1:8" x14ac:dyDescent="0.25">
      <c r="A1772" s="63"/>
      <c r="B1772" s="63">
        <v>0.75</v>
      </c>
      <c r="C1772" s="63" t="s">
        <v>3557</v>
      </c>
      <c r="D1772" s="63" t="s">
        <v>21</v>
      </c>
      <c r="E1772" s="66">
        <v>31.51691079084026</v>
      </c>
      <c r="F1772" s="67">
        <v>3.0000000000000001E-3</v>
      </c>
      <c r="G1772" s="67">
        <v>2E-3</v>
      </c>
      <c r="H1772" s="63"/>
    </row>
    <row r="1773" spans="1:8" x14ac:dyDescent="0.25">
      <c r="A1773" s="63"/>
      <c r="B1773" s="63">
        <v>1</v>
      </c>
      <c r="C1773" s="63" t="s">
        <v>3557</v>
      </c>
      <c r="D1773" s="63" t="s">
        <v>21</v>
      </c>
      <c r="E1773" s="66">
        <v>32.517372179526149</v>
      </c>
      <c r="F1773" s="67">
        <v>3.0000000000000001E-3</v>
      </c>
      <c r="G1773" s="67">
        <v>2E-3</v>
      </c>
      <c r="H1773" s="63"/>
    </row>
    <row r="1774" spans="1:8" x14ac:dyDescent="0.25">
      <c r="A1774" s="63"/>
      <c r="B1774" s="63">
        <v>2</v>
      </c>
      <c r="C1774" s="63" t="s">
        <v>3557</v>
      </c>
      <c r="D1774" s="63" t="s">
        <v>21</v>
      </c>
      <c r="E1774" s="66">
        <v>44.116455955149917</v>
      </c>
      <c r="F1774" s="67">
        <v>3.0000000000000001E-3</v>
      </c>
      <c r="G1774" s="67">
        <v>2E-3</v>
      </c>
      <c r="H1774" s="63"/>
    </row>
    <row r="1775" spans="1:8" x14ac:dyDescent="0.25">
      <c r="A1775" s="63"/>
      <c r="B1775" s="63">
        <v>3</v>
      </c>
      <c r="C1775" s="63" t="s">
        <v>3557</v>
      </c>
      <c r="D1775" s="63" t="s">
        <v>21</v>
      </c>
      <c r="E1775" s="66">
        <v>56.753210024104519</v>
      </c>
      <c r="F1775" s="67">
        <v>3.0000000000000001E-3</v>
      </c>
      <c r="G1775" s="67">
        <v>2E-3</v>
      </c>
      <c r="H1775" s="63"/>
    </row>
    <row r="1776" spans="1:8" x14ac:dyDescent="0.25">
      <c r="A1776" s="63"/>
      <c r="B1776" s="63">
        <v>4</v>
      </c>
      <c r="C1776" s="63" t="s">
        <v>3557</v>
      </c>
      <c r="D1776" s="63" t="s">
        <v>21</v>
      </c>
      <c r="E1776" s="66">
        <v>70.289534853573102</v>
      </c>
      <c r="F1776" s="67">
        <v>3.0000000000000001E-3</v>
      </c>
      <c r="G1776" s="67">
        <v>2E-3</v>
      </c>
      <c r="H1776" s="63"/>
    </row>
    <row r="1777" spans="1:8" x14ac:dyDescent="0.25">
      <c r="A1777" s="63"/>
      <c r="B1777" s="63">
        <v>5</v>
      </c>
      <c r="C1777" s="63" t="s">
        <v>3557</v>
      </c>
      <c r="D1777" s="63" t="s">
        <v>21</v>
      </c>
      <c r="E1777" s="66">
        <v>83.634546107669067</v>
      </c>
      <c r="F1777" s="67">
        <v>3.0000000000000001E-3</v>
      </c>
      <c r="G1777" s="67">
        <v>2E-3</v>
      </c>
      <c r="H1777" s="63"/>
    </row>
    <row r="1778" spans="1:8" x14ac:dyDescent="0.25">
      <c r="A1778" s="63"/>
      <c r="B1778" s="63">
        <v>6</v>
      </c>
      <c r="C1778" s="63" t="s">
        <v>3557</v>
      </c>
      <c r="D1778" s="63" t="s">
        <v>21</v>
      </c>
      <c r="E1778" s="66">
        <v>96.539123515540069</v>
      </c>
      <c r="F1778" s="67">
        <v>3.0000000000000001E-3</v>
      </c>
      <c r="G1778" s="67">
        <v>2E-3</v>
      </c>
      <c r="H1778" s="63"/>
    </row>
    <row r="1779" spans="1:8" x14ac:dyDescent="0.25">
      <c r="A1779" s="63"/>
      <c r="B1779" s="63">
        <v>7</v>
      </c>
      <c r="C1779" s="63" t="s">
        <v>3557</v>
      </c>
      <c r="D1779" s="63" t="s">
        <v>21</v>
      </c>
      <c r="E1779" s="66">
        <v>110.20703690257861</v>
      </c>
      <c r="F1779" s="67">
        <v>3.0000000000000001E-3</v>
      </c>
      <c r="G1779" s="67">
        <v>2E-3</v>
      </c>
      <c r="H1779" s="63"/>
    </row>
    <row r="1780" spans="1:8" x14ac:dyDescent="0.25">
      <c r="A1780" s="63"/>
      <c r="B1780" s="63">
        <v>8</v>
      </c>
      <c r="C1780" s="63" t="s">
        <v>3557</v>
      </c>
      <c r="D1780" s="63" t="s">
        <v>21</v>
      </c>
      <c r="E1780" s="66">
        <v>123.4212584536434</v>
      </c>
      <c r="F1780" s="67">
        <v>3.0000000000000001E-3</v>
      </c>
      <c r="G1780" s="67">
        <v>2E-3</v>
      </c>
      <c r="H1780" s="63"/>
    </row>
    <row r="1781" spans="1:8" x14ac:dyDescent="0.25">
      <c r="A1781" s="63"/>
      <c r="B1781" s="63">
        <v>9</v>
      </c>
      <c r="C1781" s="63" t="s">
        <v>3557</v>
      </c>
      <c r="D1781" s="63" t="s">
        <v>21</v>
      </c>
      <c r="E1781" s="66">
        <v>136.81389401102467</v>
      </c>
      <c r="F1781" s="67">
        <v>3.0000000000000001E-3</v>
      </c>
      <c r="G1781" s="67">
        <v>2E-3</v>
      </c>
      <c r="H1781" s="63"/>
    </row>
    <row r="1782" spans="1:8" x14ac:dyDescent="0.25">
      <c r="A1782" s="63"/>
      <c r="B1782" s="63">
        <v>10</v>
      </c>
      <c r="C1782" s="63" t="s">
        <v>3557</v>
      </c>
      <c r="D1782" s="63" t="s">
        <v>21</v>
      </c>
      <c r="E1782" s="66">
        <v>150.0009468950652</v>
      </c>
      <c r="F1782" s="67">
        <v>3.0000000000000001E-3</v>
      </c>
      <c r="G1782" s="67">
        <v>2E-3</v>
      </c>
      <c r="H1782" s="63"/>
    </row>
    <row r="1783" spans="1:8" x14ac:dyDescent="0.25">
      <c r="A1783" s="63"/>
      <c r="B1783" s="63">
        <v>11</v>
      </c>
      <c r="C1783" s="63" t="s">
        <v>3557</v>
      </c>
      <c r="D1783" s="63" t="s">
        <v>21</v>
      </c>
      <c r="E1783" s="66"/>
      <c r="F1783" s="67">
        <v>3.0000000000000001E-3</v>
      </c>
      <c r="G1783" s="67">
        <v>2E-3</v>
      </c>
      <c r="H1783" s="63"/>
    </row>
    <row r="1784" spans="1:8" x14ac:dyDescent="0.25">
      <c r="A1784" s="63"/>
      <c r="B1784" s="63">
        <v>12</v>
      </c>
      <c r="C1784" s="63" t="s">
        <v>3557</v>
      </c>
      <c r="D1784" s="63" t="s">
        <v>21</v>
      </c>
      <c r="E1784" s="66"/>
      <c r="F1784" s="67">
        <v>3.0000000000000001E-3</v>
      </c>
      <c r="G1784" s="67">
        <v>2E-3</v>
      </c>
      <c r="H1784" s="63"/>
    </row>
    <row r="1785" spans="1:8" x14ac:dyDescent="0.25">
      <c r="A1785" s="63"/>
      <c r="B1785" s="63">
        <v>13</v>
      </c>
      <c r="C1785" s="63" t="s">
        <v>3557</v>
      </c>
      <c r="D1785" s="63" t="s">
        <v>21</v>
      </c>
      <c r="E1785" s="66"/>
      <c r="F1785" s="67">
        <v>3.0000000000000001E-3</v>
      </c>
      <c r="G1785" s="67">
        <v>2E-3</v>
      </c>
      <c r="H1785" s="63"/>
    </row>
    <row r="1786" spans="1:8" x14ac:dyDescent="0.25">
      <c r="A1786" s="63"/>
      <c r="B1786" s="63">
        <v>14</v>
      </c>
      <c r="C1786" s="63" t="s">
        <v>3557</v>
      </c>
      <c r="D1786" s="63" t="s">
        <v>21</v>
      </c>
      <c r="E1786" s="66"/>
      <c r="F1786" s="67">
        <v>3.0000000000000001E-3</v>
      </c>
      <c r="G1786" s="67">
        <v>2E-3</v>
      </c>
      <c r="H1786" s="63"/>
    </row>
    <row r="1787" spans="1:8" x14ac:dyDescent="0.25">
      <c r="A1787" s="63"/>
      <c r="B1787" s="63">
        <v>15</v>
      </c>
      <c r="C1787" s="63" t="s">
        <v>3557</v>
      </c>
      <c r="D1787" s="63" t="s">
        <v>21</v>
      </c>
      <c r="E1787" s="66"/>
      <c r="F1787" s="67">
        <v>3.0000000000000001E-3</v>
      </c>
      <c r="G1787" s="67">
        <v>2E-3</v>
      </c>
      <c r="H1787" s="63"/>
    </row>
    <row r="1788" spans="1:8" x14ac:dyDescent="0.25">
      <c r="A1788" s="63"/>
      <c r="B1788" s="63">
        <v>16</v>
      </c>
      <c r="C1788" s="63" t="s">
        <v>3557</v>
      </c>
      <c r="D1788" s="63" t="s">
        <v>21</v>
      </c>
      <c r="E1788" s="66"/>
      <c r="F1788" s="67">
        <v>3.0000000000000001E-3</v>
      </c>
      <c r="G1788" s="67">
        <v>2E-3</v>
      </c>
      <c r="H1788" s="63"/>
    </row>
    <row r="1789" spans="1:8" x14ac:dyDescent="0.25">
      <c r="A1789" s="63"/>
      <c r="B1789" s="63">
        <v>17</v>
      </c>
      <c r="C1789" s="63" t="s">
        <v>3557</v>
      </c>
      <c r="D1789" s="63" t="s">
        <v>21</v>
      </c>
      <c r="E1789" s="66"/>
      <c r="F1789" s="67">
        <v>3.0000000000000001E-3</v>
      </c>
      <c r="G1789" s="67">
        <v>2E-3</v>
      </c>
      <c r="H1789" s="63"/>
    </row>
    <row r="1790" spans="1:8" x14ac:dyDescent="0.25">
      <c r="A1790" s="63"/>
      <c r="B1790" s="63">
        <v>18</v>
      </c>
      <c r="C1790" s="63" t="s">
        <v>3557</v>
      </c>
      <c r="D1790" s="63" t="s">
        <v>21</v>
      </c>
      <c r="E1790" s="66"/>
      <c r="F1790" s="67">
        <v>3.0000000000000001E-3</v>
      </c>
      <c r="G1790" s="67">
        <v>2E-3</v>
      </c>
      <c r="H1790" s="63"/>
    </row>
    <row r="1791" spans="1:8" x14ac:dyDescent="0.25">
      <c r="A1791" s="63"/>
      <c r="B1791" s="63">
        <v>19</v>
      </c>
      <c r="C1791" s="63" t="s">
        <v>3557</v>
      </c>
      <c r="D1791" s="63" t="s">
        <v>21</v>
      </c>
      <c r="E1791" s="66"/>
      <c r="F1791" s="67">
        <v>3.0000000000000001E-3</v>
      </c>
      <c r="G1791" s="67">
        <v>2E-3</v>
      </c>
      <c r="H1791" s="63"/>
    </row>
    <row r="1792" spans="1:8" x14ac:dyDescent="0.25">
      <c r="A1792" s="63"/>
      <c r="B1792" s="63">
        <v>20</v>
      </c>
      <c r="C1792" s="63" t="s">
        <v>3557</v>
      </c>
      <c r="D1792" s="63" t="s">
        <v>21</v>
      </c>
      <c r="E1792" s="66"/>
      <c r="F1792" s="67">
        <v>3.0000000000000001E-3</v>
      </c>
      <c r="G1792" s="67">
        <v>2E-3</v>
      </c>
      <c r="H1792" s="63"/>
    </row>
    <row r="1793" spans="1:8" x14ac:dyDescent="0.25">
      <c r="A1793" s="63"/>
      <c r="B1793" s="63">
        <v>21</v>
      </c>
      <c r="C1793" s="63" t="s">
        <v>3557</v>
      </c>
      <c r="D1793" s="63" t="s">
        <v>21</v>
      </c>
      <c r="E1793" s="66"/>
      <c r="F1793" s="67">
        <v>3.0000000000000001E-3</v>
      </c>
      <c r="G1793" s="67">
        <v>2E-3</v>
      </c>
      <c r="H1793" s="63"/>
    </row>
    <row r="1794" spans="1:8" x14ac:dyDescent="0.25">
      <c r="A1794" s="63"/>
      <c r="B1794" s="63">
        <v>22</v>
      </c>
      <c r="C1794" s="63" t="s">
        <v>3557</v>
      </c>
      <c r="D1794" s="63" t="s">
        <v>21</v>
      </c>
      <c r="E1794" s="66"/>
      <c r="F1794" s="67">
        <v>3.0000000000000001E-3</v>
      </c>
      <c r="G1794" s="67">
        <v>2E-3</v>
      </c>
      <c r="H1794" s="63"/>
    </row>
    <row r="1795" spans="1:8" x14ac:dyDescent="0.25">
      <c r="A1795" s="63"/>
      <c r="B1795" s="63">
        <v>23</v>
      </c>
      <c r="C1795" s="63" t="s">
        <v>3557</v>
      </c>
      <c r="D1795" s="63" t="s">
        <v>21</v>
      </c>
      <c r="E1795" s="66"/>
      <c r="F1795" s="67">
        <v>3.0000000000000001E-3</v>
      </c>
      <c r="G1795" s="67">
        <v>2E-3</v>
      </c>
      <c r="H1795" s="63"/>
    </row>
    <row r="1796" spans="1:8" x14ac:dyDescent="0.25">
      <c r="A1796" s="63"/>
      <c r="B1796" s="63">
        <v>24</v>
      </c>
      <c r="C1796" s="63" t="s">
        <v>3557</v>
      </c>
      <c r="D1796" s="63" t="s">
        <v>21</v>
      </c>
      <c r="E1796" s="66"/>
      <c r="F1796" s="67">
        <v>3.0000000000000001E-3</v>
      </c>
      <c r="G1796" s="67">
        <v>2E-3</v>
      </c>
      <c r="H1796" s="63"/>
    </row>
    <row r="1797" spans="1:8" x14ac:dyDescent="0.25">
      <c r="A1797" s="63"/>
      <c r="B1797" s="63">
        <v>25</v>
      </c>
      <c r="C1797" s="63" t="s">
        <v>3557</v>
      </c>
      <c r="D1797" s="63" t="s">
        <v>21</v>
      </c>
      <c r="E1797" s="66"/>
      <c r="F1797" s="67">
        <v>3.0000000000000001E-3</v>
      </c>
      <c r="G1797" s="67">
        <v>2E-3</v>
      </c>
      <c r="H1797" s="63"/>
    </row>
    <row r="1798" spans="1:8" x14ac:dyDescent="0.25">
      <c r="A1798" s="63"/>
      <c r="B1798" s="63">
        <v>26</v>
      </c>
      <c r="C1798" s="63" t="s">
        <v>3557</v>
      </c>
      <c r="D1798" s="63" t="s">
        <v>21</v>
      </c>
      <c r="E1798" s="66"/>
      <c r="F1798" s="67">
        <v>3.0000000000000001E-3</v>
      </c>
      <c r="G1798" s="67">
        <v>2E-3</v>
      </c>
      <c r="H1798" s="63"/>
    </row>
    <row r="1799" spans="1:8" x14ac:dyDescent="0.25">
      <c r="A1799" s="63"/>
      <c r="B1799" s="63">
        <v>27</v>
      </c>
      <c r="C1799" s="63" t="s">
        <v>3557</v>
      </c>
      <c r="D1799" s="63" t="s">
        <v>21</v>
      </c>
      <c r="E1799" s="66"/>
      <c r="F1799" s="67">
        <v>3.0000000000000001E-3</v>
      </c>
      <c r="G1799" s="67">
        <v>2E-3</v>
      </c>
      <c r="H1799" s="63"/>
    </row>
    <row r="1800" spans="1:8" x14ac:dyDescent="0.25">
      <c r="A1800" s="63"/>
      <c r="B1800" s="63">
        <v>28</v>
      </c>
      <c r="C1800" s="63" t="s">
        <v>3557</v>
      </c>
      <c r="D1800" s="63" t="s">
        <v>21</v>
      </c>
      <c r="E1800" s="66"/>
      <c r="F1800" s="67">
        <v>3.0000000000000001E-3</v>
      </c>
      <c r="G1800" s="67">
        <v>2E-3</v>
      </c>
      <c r="H1800" s="63"/>
    </row>
    <row r="1801" spans="1:8" x14ac:dyDescent="0.25">
      <c r="A1801" s="63"/>
      <c r="B1801" s="63">
        <v>29</v>
      </c>
      <c r="C1801" s="63" t="s">
        <v>3557</v>
      </c>
      <c r="D1801" s="63" t="s">
        <v>21</v>
      </c>
      <c r="E1801" s="66"/>
      <c r="F1801" s="67">
        <v>3.0000000000000001E-3</v>
      </c>
      <c r="G1801" s="67">
        <v>2E-3</v>
      </c>
      <c r="H1801" s="63"/>
    </row>
    <row r="1802" spans="1:8" x14ac:dyDescent="0.25">
      <c r="A1802" s="63"/>
      <c r="B1802" s="63">
        <v>30</v>
      </c>
      <c r="C1802" s="63" t="s">
        <v>3557</v>
      </c>
      <c r="D1802" s="63" t="s">
        <v>21</v>
      </c>
      <c r="E1802" s="66"/>
      <c r="F1802" s="67">
        <v>3.0000000000000001E-3</v>
      </c>
      <c r="G1802" s="67">
        <v>2E-3</v>
      </c>
      <c r="H1802" s="63"/>
    </row>
    <row r="1803" spans="1:8" x14ac:dyDescent="0.25">
      <c r="A1803" s="63"/>
      <c r="B1803" s="63">
        <v>0</v>
      </c>
      <c r="C1803" s="63" t="s">
        <v>3557</v>
      </c>
      <c r="D1803" s="63" t="s">
        <v>21</v>
      </c>
      <c r="E1803" s="66">
        <v>3.0428788910505911</v>
      </c>
      <c r="F1803" s="67">
        <v>3.0000000000000001E-3</v>
      </c>
      <c r="G1803" s="67">
        <v>2E-3</v>
      </c>
      <c r="H1803" s="63"/>
    </row>
    <row r="1804" spans="1:8" x14ac:dyDescent="0.25">
      <c r="A1804" s="63"/>
      <c r="B1804" s="63">
        <v>0.25</v>
      </c>
      <c r="C1804" s="63" t="s">
        <v>3557</v>
      </c>
      <c r="D1804" s="63" t="s">
        <v>62</v>
      </c>
      <c r="E1804" s="66">
        <v>36.120119300237285</v>
      </c>
      <c r="F1804" s="67">
        <v>3.0000000000000001E-3</v>
      </c>
      <c r="G1804" s="67">
        <v>2E-3</v>
      </c>
      <c r="H1804" s="63"/>
    </row>
    <row r="1805" spans="1:8" x14ac:dyDescent="0.25">
      <c r="A1805" s="63"/>
      <c r="B1805" s="63">
        <v>0.5</v>
      </c>
      <c r="C1805" s="63" t="s">
        <v>3557</v>
      </c>
      <c r="D1805" s="63" t="s">
        <v>62</v>
      </c>
      <c r="E1805" s="66">
        <v>36.804661228968868</v>
      </c>
      <c r="F1805" s="67">
        <v>3.0000000000000001E-3</v>
      </c>
      <c r="G1805" s="67">
        <v>2E-3</v>
      </c>
      <c r="H1805" s="63"/>
    </row>
    <row r="1806" spans="1:8" x14ac:dyDescent="0.25">
      <c r="A1806" s="63"/>
      <c r="B1806" s="63">
        <v>0.75</v>
      </c>
      <c r="C1806" s="63" t="s">
        <v>3557</v>
      </c>
      <c r="D1806" s="63" t="s">
        <v>62</v>
      </c>
      <c r="E1806" s="66">
        <v>37.367740392890973</v>
      </c>
      <c r="F1806" s="67">
        <v>3.0000000000000001E-3</v>
      </c>
      <c r="G1806" s="67">
        <v>2E-3</v>
      </c>
      <c r="H1806" s="63"/>
    </row>
    <row r="1807" spans="1:8" x14ac:dyDescent="0.25">
      <c r="A1807" s="63"/>
      <c r="B1807" s="63">
        <v>1</v>
      </c>
      <c r="C1807" s="63" t="s">
        <v>3557</v>
      </c>
      <c r="D1807" s="63" t="s">
        <v>62</v>
      </c>
      <c r="E1807" s="66">
        <v>38.704354011429167</v>
      </c>
      <c r="F1807" s="67">
        <v>3.0000000000000001E-3</v>
      </c>
      <c r="G1807" s="67">
        <v>2E-3</v>
      </c>
      <c r="H1807" s="63"/>
    </row>
    <row r="1808" spans="1:8" x14ac:dyDescent="0.25">
      <c r="A1808" s="63"/>
      <c r="B1808" s="63">
        <v>2</v>
      </c>
      <c r="C1808" s="63" t="s">
        <v>3557</v>
      </c>
      <c r="D1808" s="63" t="s">
        <v>62</v>
      </c>
      <c r="E1808" s="66">
        <v>49.220941639429668</v>
      </c>
      <c r="F1808" s="67">
        <v>3.0000000000000001E-3</v>
      </c>
      <c r="G1808" s="67">
        <v>2E-3</v>
      </c>
      <c r="H1808" s="63"/>
    </row>
    <row r="1809" spans="1:8" x14ac:dyDescent="0.25">
      <c r="A1809" s="63"/>
      <c r="B1809" s="63">
        <v>3</v>
      </c>
      <c r="C1809" s="63" t="s">
        <v>3557</v>
      </c>
      <c r="D1809" s="63" t="s">
        <v>62</v>
      </c>
      <c r="E1809" s="66">
        <v>60.937557870028357</v>
      </c>
      <c r="F1809" s="67">
        <v>3.0000000000000001E-3</v>
      </c>
      <c r="G1809" s="67">
        <v>2E-3</v>
      </c>
      <c r="H1809" s="63"/>
    </row>
    <row r="1810" spans="1:8" x14ac:dyDescent="0.25">
      <c r="A1810" s="63"/>
      <c r="B1810" s="63">
        <v>4</v>
      </c>
      <c r="C1810" s="63" t="s">
        <v>3557</v>
      </c>
      <c r="D1810" s="63" t="s">
        <v>62</v>
      </c>
      <c r="E1810" s="66">
        <v>72.964548901380283</v>
      </c>
      <c r="F1810" s="67">
        <v>3.0000000000000001E-3</v>
      </c>
      <c r="G1810" s="67">
        <v>2E-3</v>
      </c>
      <c r="H1810" s="63"/>
    </row>
    <row r="1811" spans="1:8" x14ac:dyDescent="0.25">
      <c r="A1811" s="63"/>
      <c r="B1811" s="63">
        <v>5</v>
      </c>
      <c r="C1811" s="63" t="s">
        <v>3557</v>
      </c>
      <c r="D1811" s="63" t="s">
        <v>62</v>
      </c>
      <c r="E1811" s="66">
        <v>85.399178400925152</v>
      </c>
      <c r="F1811" s="67">
        <v>3.0000000000000001E-3</v>
      </c>
      <c r="G1811" s="67">
        <v>2E-3</v>
      </c>
      <c r="H1811" s="63"/>
    </row>
    <row r="1812" spans="1:8" x14ac:dyDescent="0.25">
      <c r="A1812" s="63"/>
      <c r="B1812" s="63">
        <v>6</v>
      </c>
      <c r="C1812" s="63" t="s">
        <v>3557</v>
      </c>
      <c r="D1812" s="63" t="s">
        <v>62</v>
      </c>
      <c r="E1812" s="66">
        <v>98.076854630704631</v>
      </c>
      <c r="F1812" s="67">
        <v>3.0000000000000001E-3</v>
      </c>
      <c r="G1812" s="67">
        <v>2E-3</v>
      </c>
      <c r="H1812" s="63"/>
    </row>
    <row r="1813" spans="1:8" x14ac:dyDescent="0.25">
      <c r="A1813" s="63"/>
      <c r="B1813" s="63">
        <v>7</v>
      </c>
      <c r="C1813" s="63" t="s">
        <v>3557</v>
      </c>
      <c r="D1813" s="63" t="s">
        <v>62</v>
      </c>
      <c r="E1813" s="66">
        <v>111.02884052642762</v>
      </c>
      <c r="F1813" s="67">
        <v>3.0000000000000001E-3</v>
      </c>
      <c r="G1813" s="67">
        <v>2E-3</v>
      </c>
      <c r="H1813" s="63"/>
    </row>
    <row r="1814" spans="1:8" x14ac:dyDescent="0.25">
      <c r="A1814" s="63"/>
      <c r="B1814" s="63">
        <v>8</v>
      </c>
      <c r="C1814" s="63" t="s">
        <v>3557</v>
      </c>
      <c r="D1814" s="63" t="s">
        <v>62</v>
      </c>
      <c r="E1814" s="66">
        <v>124.29052652886016</v>
      </c>
      <c r="F1814" s="67">
        <v>3.0000000000000001E-3</v>
      </c>
      <c r="G1814" s="67">
        <v>2E-3</v>
      </c>
      <c r="H1814" s="63"/>
    </row>
    <row r="1815" spans="1:8" x14ac:dyDescent="0.25">
      <c r="A1815" s="63"/>
      <c r="B1815" s="63">
        <v>9</v>
      </c>
      <c r="C1815" s="63" t="s">
        <v>3557</v>
      </c>
      <c r="D1815" s="63" t="s">
        <v>62</v>
      </c>
      <c r="E1815" s="66">
        <v>137.08819210716018</v>
      </c>
      <c r="F1815" s="67">
        <v>3.0000000000000001E-3</v>
      </c>
      <c r="G1815" s="67">
        <v>2E-3</v>
      </c>
      <c r="H1815" s="63"/>
    </row>
    <row r="1816" spans="1:8" x14ac:dyDescent="0.25">
      <c r="A1816" s="63"/>
      <c r="B1816" s="63">
        <v>10</v>
      </c>
      <c r="C1816" s="63" t="s">
        <v>3557</v>
      </c>
      <c r="D1816" s="63" t="s">
        <v>62</v>
      </c>
      <c r="E1816" s="66">
        <v>149.72124410978648</v>
      </c>
      <c r="F1816" s="67">
        <v>3.0000000000000001E-3</v>
      </c>
      <c r="G1816" s="67">
        <v>2E-3</v>
      </c>
      <c r="H1816" s="63"/>
    </row>
    <row r="1817" spans="1:8" x14ac:dyDescent="0.25">
      <c r="A1817" s="63"/>
      <c r="B1817" s="63">
        <v>11</v>
      </c>
      <c r="C1817" s="63" t="s">
        <v>3557</v>
      </c>
      <c r="D1817" s="63" t="s">
        <v>62</v>
      </c>
      <c r="E1817" s="66"/>
      <c r="F1817" s="67">
        <v>3.0000000000000001E-3</v>
      </c>
      <c r="G1817" s="67">
        <v>2E-3</v>
      </c>
      <c r="H1817" s="63"/>
    </row>
    <row r="1818" spans="1:8" x14ac:dyDescent="0.25">
      <c r="A1818" s="63"/>
      <c r="B1818" s="63">
        <v>12</v>
      </c>
      <c r="C1818" s="63" t="s">
        <v>3557</v>
      </c>
      <c r="D1818" s="63" t="s">
        <v>62</v>
      </c>
      <c r="E1818" s="66"/>
      <c r="F1818" s="67">
        <v>3.0000000000000001E-3</v>
      </c>
      <c r="G1818" s="67">
        <v>2E-3</v>
      </c>
      <c r="H1818" s="63"/>
    </row>
    <row r="1819" spans="1:8" x14ac:dyDescent="0.25">
      <c r="A1819" s="63"/>
      <c r="B1819" s="63">
        <v>13</v>
      </c>
      <c r="C1819" s="63" t="s">
        <v>3557</v>
      </c>
      <c r="D1819" s="63" t="s">
        <v>62</v>
      </c>
      <c r="E1819" s="66"/>
      <c r="F1819" s="67">
        <v>3.0000000000000001E-3</v>
      </c>
      <c r="G1819" s="67">
        <v>2E-3</v>
      </c>
      <c r="H1819" s="63"/>
    </row>
    <row r="1820" spans="1:8" x14ac:dyDescent="0.25">
      <c r="A1820" s="63"/>
      <c r="B1820" s="63">
        <v>14</v>
      </c>
      <c r="C1820" s="63" t="s">
        <v>3557</v>
      </c>
      <c r="D1820" s="63" t="s">
        <v>62</v>
      </c>
      <c r="E1820" s="66"/>
      <c r="F1820" s="67">
        <v>3.0000000000000001E-3</v>
      </c>
      <c r="G1820" s="67">
        <v>2E-3</v>
      </c>
      <c r="H1820" s="63"/>
    </row>
    <row r="1821" spans="1:8" x14ac:dyDescent="0.25">
      <c r="A1821" s="63"/>
      <c r="B1821" s="63">
        <v>15</v>
      </c>
      <c r="C1821" s="63" t="s">
        <v>3557</v>
      </c>
      <c r="D1821" s="63" t="s">
        <v>62</v>
      </c>
      <c r="E1821" s="66"/>
      <c r="F1821" s="67">
        <v>3.0000000000000001E-3</v>
      </c>
      <c r="G1821" s="67">
        <v>2E-3</v>
      </c>
      <c r="H1821" s="63"/>
    </row>
    <row r="1822" spans="1:8" x14ac:dyDescent="0.25">
      <c r="A1822" s="63"/>
      <c r="B1822" s="63">
        <v>16</v>
      </c>
      <c r="C1822" s="63" t="s">
        <v>3557</v>
      </c>
      <c r="D1822" s="63" t="s">
        <v>62</v>
      </c>
      <c r="E1822" s="66"/>
      <c r="F1822" s="67">
        <v>3.0000000000000001E-3</v>
      </c>
      <c r="G1822" s="67">
        <v>2E-3</v>
      </c>
      <c r="H1822" s="63"/>
    </row>
    <row r="1823" spans="1:8" x14ac:dyDescent="0.25">
      <c r="A1823" s="63"/>
      <c r="B1823" s="63">
        <v>17</v>
      </c>
      <c r="C1823" s="63" t="s">
        <v>3557</v>
      </c>
      <c r="D1823" s="63" t="s">
        <v>62</v>
      </c>
      <c r="E1823" s="66"/>
      <c r="F1823" s="67">
        <v>3.0000000000000001E-3</v>
      </c>
      <c r="G1823" s="67">
        <v>2E-3</v>
      </c>
      <c r="H1823" s="63"/>
    </row>
    <row r="1824" spans="1:8" x14ac:dyDescent="0.25">
      <c r="A1824" s="63"/>
      <c r="B1824" s="63">
        <v>18</v>
      </c>
      <c r="C1824" s="63" t="s">
        <v>3557</v>
      </c>
      <c r="D1824" s="63" t="s">
        <v>62</v>
      </c>
      <c r="E1824" s="66"/>
      <c r="F1824" s="67">
        <v>3.0000000000000001E-3</v>
      </c>
      <c r="G1824" s="67">
        <v>2E-3</v>
      </c>
      <c r="H1824" s="63"/>
    </row>
    <row r="1825" spans="1:8" x14ac:dyDescent="0.25">
      <c r="A1825" s="63"/>
      <c r="B1825" s="63">
        <v>19</v>
      </c>
      <c r="C1825" s="63" t="s">
        <v>3557</v>
      </c>
      <c r="D1825" s="63" t="s">
        <v>62</v>
      </c>
      <c r="E1825" s="66"/>
      <c r="F1825" s="67">
        <v>3.0000000000000001E-3</v>
      </c>
      <c r="G1825" s="67">
        <v>2E-3</v>
      </c>
      <c r="H1825" s="63"/>
    </row>
    <row r="1826" spans="1:8" x14ac:dyDescent="0.25">
      <c r="A1826" s="63"/>
      <c r="B1826" s="63">
        <v>20</v>
      </c>
      <c r="C1826" s="63" t="s">
        <v>3557</v>
      </c>
      <c r="D1826" s="63" t="s">
        <v>62</v>
      </c>
      <c r="E1826" s="66"/>
      <c r="F1826" s="67">
        <v>3.0000000000000001E-3</v>
      </c>
      <c r="G1826" s="67">
        <v>2E-3</v>
      </c>
      <c r="H1826" s="63"/>
    </row>
    <row r="1827" spans="1:8" x14ac:dyDescent="0.25">
      <c r="A1827" s="63"/>
      <c r="B1827" s="63">
        <v>21</v>
      </c>
      <c r="C1827" s="63" t="s">
        <v>3557</v>
      </c>
      <c r="D1827" s="63" t="s">
        <v>62</v>
      </c>
      <c r="E1827" s="66"/>
      <c r="F1827" s="67">
        <v>3.0000000000000001E-3</v>
      </c>
      <c r="G1827" s="67">
        <v>2E-3</v>
      </c>
      <c r="H1827" s="63"/>
    </row>
    <row r="1828" spans="1:8" x14ac:dyDescent="0.25">
      <c r="A1828" s="63"/>
      <c r="B1828" s="63">
        <v>22</v>
      </c>
      <c r="C1828" s="63" t="s">
        <v>3557</v>
      </c>
      <c r="D1828" s="63" t="s">
        <v>62</v>
      </c>
      <c r="E1828" s="66"/>
      <c r="F1828" s="67">
        <v>3.0000000000000001E-3</v>
      </c>
      <c r="G1828" s="67">
        <v>2E-3</v>
      </c>
      <c r="H1828" s="63"/>
    </row>
    <row r="1829" spans="1:8" x14ac:dyDescent="0.25">
      <c r="A1829" s="63"/>
      <c r="B1829" s="63">
        <v>23</v>
      </c>
      <c r="C1829" s="63" t="s">
        <v>3557</v>
      </c>
      <c r="D1829" s="63" t="s">
        <v>62</v>
      </c>
      <c r="E1829" s="66"/>
      <c r="F1829" s="67">
        <v>3.0000000000000001E-3</v>
      </c>
      <c r="G1829" s="67">
        <v>2E-3</v>
      </c>
      <c r="H1829" s="63"/>
    </row>
    <row r="1830" spans="1:8" x14ac:dyDescent="0.25">
      <c r="A1830" s="63"/>
      <c r="B1830" s="63">
        <v>24</v>
      </c>
      <c r="C1830" s="63" t="s">
        <v>3557</v>
      </c>
      <c r="D1830" s="63" t="s">
        <v>62</v>
      </c>
      <c r="E1830" s="66"/>
      <c r="F1830" s="67">
        <v>3.0000000000000001E-3</v>
      </c>
      <c r="G1830" s="67">
        <v>2E-3</v>
      </c>
      <c r="H1830" s="63"/>
    </row>
    <row r="1831" spans="1:8" x14ac:dyDescent="0.25">
      <c r="A1831" s="63"/>
      <c r="B1831" s="63">
        <v>25</v>
      </c>
      <c r="C1831" s="63" t="s">
        <v>3557</v>
      </c>
      <c r="D1831" s="63" t="s">
        <v>62</v>
      </c>
      <c r="E1831" s="66"/>
      <c r="F1831" s="67">
        <v>3.0000000000000001E-3</v>
      </c>
      <c r="G1831" s="67">
        <v>2E-3</v>
      </c>
      <c r="H1831" s="63"/>
    </row>
    <row r="1832" spans="1:8" x14ac:dyDescent="0.25">
      <c r="A1832" s="63"/>
      <c r="B1832" s="63">
        <v>26</v>
      </c>
      <c r="C1832" s="63" t="s">
        <v>3557</v>
      </c>
      <c r="D1832" s="63" t="s">
        <v>62</v>
      </c>
      <c r="E1832" s="66"/>
      <c r="F1832" s="67">
        <v>3.0000000000000001E-3</v>
      </c>
      <c r="G1832" s="67">
        <v>2E-3</v>
      </c>
      <c r="H1832" s="63"/>
    </row>
    <row r="1833" spans="1:8" x14ac:dyDescent="0.25">
      <c r="A1833" s="63"/>
      <c r="B1833" s="63">
        <v>27</v>
      </c>
      <c r="C1833" s="63" t="s">
        <v>3557</v>
      </c>
      <c r="D1833" s="63" t="s">
        <v>62</v>
      </c>
      <c r="E1833" s="66"/>
      <c r="F1833" s="67">
        <v>3.0000000000000001E-3</v>
      </c>
      <c r="G1833" s="67">
        <v>2E-3</v>
      </c>
      <c r="H1833" s="63"/>
    </row>
    <row r="1834" spans="1:8" x14ac:dyDescent="0.25">
      <c r="A1834" s="63"/>
      <c r="B1834" s="63">
        <v>28</v>
      </c>
      <c r="C1834" s="63" t="s">
        <v>3557</v>
      </c>
      <c r="D1834" s="63" t="s">
        <v>62</v>
      </c>
      <c r="E1834" s="66"/>
      <c r="F1834" s="67">
        <v>3.0000000000000001E-3</v>
      </c>
      <c r="G1834" s="67">
        <v>2E-3</v>
      </c>
      <c r="H1834" s="63"/>
    </row>
    <row r="1835" spans="1:8" x14ac:dyDescent="0.25">
      <c r="A1835" s="63"/>
      <c r="B1835" s="63">
        <v>29</v>
      </c>
      <c r="C1835" s="63" t="s">
        <v>3557</v>
      </c>
      <c r="D1835" s="63" t="s">
        <v>62</v>
      </c>
      <c r="E1835" s="66"/>
      <c r="F1835" s="67">
        <v>3.0000000000000001E-3</v>
      </c>
      <c r="G1835" s="67">
        <v>2E-3</v>
      </c>
      <c r="H1835" s="63"/>
    </row>
    <row r="1836" spans="1:8" x14ac:dyDescent="0.25">
      <c r="A1836" s="63"/>
      <c r="B1836" s="63">
        <v>30</v>
      </c>
      <c r="C1836" s="63" t="s">
        <v>3557</v>
      </c>
      <c r="D1836" s="63" t="s">
        <v>62</v>
      </c>
      <c r="E1836" s="66"/>
      <c r="F1836" s="67">
        <v>3.0000000000000001E-3</v>
      </c>
      <c r="G1836" s="67">
        <v>2E-3</v>
      </c>
      <c r="H1836" s="63"/>
    </row>
    <row r="1837" spans="1:8" x14ac:dyDescent="0.25">
      <c r="A1837" s="63"/>
      <c r="B1837" s="63">
        <v>0</v>
      </c>
      <c r="C1837" s="63" t="s">
        <v>3557</v>
      </c>
      <c r="D1837" s="63" t="s">
        <v>62</v>
      </c>
      <c r="E1837" s="66">
        <v>3.0428788910505911</v>
      </c>
      <c r="F1837" s="67">
        <v>3.0000000000000001E-3</v>
      </c>
      <c r="G1837" s="67">
        <v>2E-3</v>
      </c>
      <c r="H1837" s="63"/>
    </row>
    <row r="1838" spans="1:8" x14ac:dyDescent="0.25">
      <c r="A1838" s="63"/>
      <c r="B1838" s="63">
        <v>0.25</v>
      </c>
      <c r="C1838" s="63" t="s">
        <v>3557</v>
      </c>
      <c r="D1838" s="63" t="s">
        <v>64</v>
      </c>
      <c r="E1838" s="66">
        <v>37.390239265099389</v>
      </c>
      <c r="F1838" s="67">
        <v>3.0000000000000001E-3</v>
      </c>
      <c r="G1838" s="67">
        <v>2E-3</v>
      </c>
      <c r="H1838" s="63"/>
    </row>
    <row r="1839" spans="1:8" x14ac:dyDescent="0.25">
      <c r="A1839" s="63"/>
      <c r="B1839" s="63">
        <v>0.5</v>
      </c>
      <c r="C1839" s="63" t="s">
        <v>3557</v>
      </c>
      <c r="D1839" s="63" t="s">
        <v>64</v>
      </c>
      <c r="E1839" s="66">
        <v>38.114063254599913</v>
      </c>
      <c r="F1839" s="67">
        <v>3.0000000000000001E-3</v>
      </c>
      <c r="G1839" s="67">
        <v>2E-3</v>
      </c>
      <c r="H1839" s="63"/>
    </row>
    <row r="1840" spans="1:8" x14ac:dyDescent="0.25">
      <c r="A1840" s="63"/>
      <c r="B1840" s="63">
        <v>0.75</v>
      </c>
      <c r="C1840" s="63" t="s">
        <v>3557</v>
      </c>
      <c r="D1840" s="63" t="s">
        <v>64</v>
      </c>
      <c r="E1840" s="66">
        <v>38.717639388386893</v>
      </c>
      <c r="F1840" s="67">
        <v>3.0000000000000001E-3</v>
      </c>
      <c r="G1840" s="67">
        <v>2E-3</v>
      </c>
      <c r="H1840" s="63"/>
    </row>
    <row r="1841" spans="1:8" x14ac:dyDescent="0.25">
      <c r="A1841" s="63"/>
      <c r="B1841" s="63">
        <v>1</v>
      </c>
      <c r="C1841" s="63" t="s">
        <v>3557</v>
      </c>
      <c r="D1841" s="63" t="s">
        <v>64</v>
      </c>
      <c r="E1841" s="66">
        <v>39.413800722517003</v>
      </c>
      <c r="F1841" s="67">
        <v>3.0000000000000001E-3</v>
      </c>
      <c r="G1841" s="67">
        <v>2E-3</v>
      </c>
      <c r="H1841" s="63"/>
    </row>
    <row r="1842" spans="1:8" x14ac:dyDescent="0.25">
      <c r="A1842" s="63"/>
      <c r="B1842" s="63">
        <v>2</v>
      </c>
      <c r="C1842" s="63" t="s">
        <v>3557</v>
      </c>
      <c r="D1842" s="63" t="s">
        <v>64</v>
      </c>
      <c r="E1842" s="66">
        <v>49.952330001375891</v>
      </c>
      <c r="F1842" s="67">
        <v>3.0000000000000001E-3</v>
      </c>
      <c r="G1842" s="67">
        <v>2E-3</v>
      </c>
      <c r="H1842" s="63"/>
    </row>
    <row r="1843" spans="1:8" x14ac:dyDescent="0.25">
      <c r="A1843" s="63"/>
      <c r="B1843" s="63">
        <v>3</v>
      </c>
      <c r="C1843" s="63" t="s">
        <v>3557</v>
      </c>
      <c r="D1843" s="63" t="s">
        <v>64</v>
      </c>
      <c r="E1843" s="66">
        <v>61.925012865655091</v>
      </c>
      <c r="F1843" s="67">
        <v>3.0000000000000001E-3</v>
      </c>
      <c r="G1843" s="67">
        <v>2E-3</v>
      </c>
      <c r="H1843" s="63"/>
    </row>
    <row r="1844" spans="1:8" x14ac:dyDescent="0.25">
      <c r="A1844" s="63"/>
      <c r="B1844" s="63">
        <v>4</v>
      </c>
      <c r="C1844" s="63" t="s">
        <v>3557</v>
      </c>
      <c r="D1844" s="63" t="s">
        <v>64</v>
      </c>
      <c r="E1844" s="66">
        <v>74.045669765693347</v>
      </c>
      <c r="F1844" s="67">
        <v>3.0000000000000001E-3</v>
      </c>
      <c r="G1844" s="67">
        <v>2E-3</v>
      </c>
      <c r="H1844" s="63"/>
    </row>
    <row r="1845" spans="1:8" x14ac:dyDescent="0.25">
      <c r="A1845" s="63"/>
      <c r="B1845" s="63">
        <v>5</v>
      </c>
      <c r="C1845" s="63" t="s">
        <v>3557</v>
      </c>
      <c r="D1845" s="63" t="s">
        <v>64</v>
      </c>
      <c r="E1845" s="66">
        <v>86.329098105066564</v>
      </c>
      <c r="F1845" s="67">
        <v>3.0000000000000001E-3</v>
      </c>
      <c r="G1845" s="67">
        <v>2E-3</v>
      </c>
      <c r="H1845" s="63"/>
    </row>
    <row r="1846" spans="1:8" x14ac:dyDescent="0.25">
      <c r="A1846" s="63"/>
      <c r="B1846" s="63">
        <v>6</v>
      </c>
      <c r="C1846" s="63" t="s">
        <v>3557</v>
      </c>
      <c r="D1846" s="63" t="s">
        <v>64</v>
      </c>
      <c r="E1846" s="66">
        <v>101.6830693030289</v>
      </c>
      <c r="F1846" s="67">
        <v>3.0000000000000001E-3</v>
      </c>
      <c r="G1846" s="67">
        <v>2E-3</v>
      </c>
      <c r="H1846" s="63"/>
    </row>
    <row r="1847" spans="1:8" x14ac:dyDescent="0.25">
      <c r="A1847" s="63"/>
      <c r="B1847" s="63">
        <v>7</v>
      </c>
      <c r="C1847" s="63" t="s">
        <v>3557</v>
      </c>
      <c r="D1847" s="63" t="s">
        <v>64</v>
      </c>
      <c r="E1847" s="66">
        <v>113.18918643463523</v>
      </c>
      <c r="F1847" s="67">
        <v>3.0000000000000001E-3</v>
      </c>
      <c r="G1847" s="67">
        <v>2E-3</v>
      </c>
      <c r="H1847" s="63"/>
    </row>
    <row r="1848" spans="1:8" x14ac:dyDescent="0.25">
      <c r="A1848" s="63"/>
      <c r="B1848" s="63">
        <v>8</v>
      </c>
      <c r="C1848" s="63" t="s">
        <v>3557</v>
      </c>
      <c r="D1848" s="63" t="s">
        <v>64</v>
      </c>
      <c r="E1848" s="66">
        <v>124.8903787766523</v>
      </c>
      <c r="F1848" s="67">
        <v>3.0000000000000001E-3</v>
      </c>
      <c r="G1848" s="67">
        <v>2E-3</v>
      </c>
      <c r="H1848" s="63"/>
    </row>
    <row r="1849" spans="1:8" x14ac:dyDescent="0.25">
      <c r="A1849" s="63"/>
      <c r="B1849" s="63">
        <v>9</v>
      </c>
      <c r="C1849" s="63" t="s">
        <v>3557</v>
      </c>
      <c r="D1849" s="63" t="s">
        <v>64</v>
      </c>
      <c r="E1849" s="66">
        <v>138.07525103804363</v>
      </c>
      <c r="F1849" s="67">
        <v>3.0000000000000001E-3</v>
      </c>
      <c r="G1849" s="67">
        <v>2E-3</v>
      </c>
      <c r="H1849" s="63"/>
    </row>
    <row r="1850" spans="1:8" x14ac:dyDescent="0.25">
      <c r="A1850" s="63"/>
      <c r="B1850" s="63">
        <v>10</v>
      </c>
      <c r="C1850" s="63" t="s">
        <v>3557</v>
      </c>
      <c r="D1850" s="63" t="s">
        <v>64</v>
      </c>
      <c r="E1850" s="66">
        <v>149.88350868032381</v>
      </c>
      <c r="F1850" s="67">
        <v>3.0000000000000001E-3</v>
      </c>
      <c r="G1850" s="67">
        <v>2E-3</v>
      </c>
      <c r="H1850" s="63"/>
    </row>
    <row r="1851" spans="1:8" x14ac:dyDescent="0.25">
      <c r="A1851" s="63"/>
      <c r="B1851" s="63">
        <v>11</v>
      </c>
      <c r="C1851" s="63" t="s">
        <v>3557</v>
      </c>
      <c r="D1851" s="63" t="s">
        <v>64</v>
      </c>
      <c r="E1851" s="66"/>
      <c r="F1851" s="67">
        <v>3.0000000000000001E-3</v>
      </c>
      <c r="G1851" s="67">
        <v>2E-3</v>
      </c>
      <c r="H1851" s="63"/>
    </row>
    <row r="1852" spans="1:8" x14ac:dyDescent="0.25">
      <c r="A1852" s="63"/>
      <c r="B1852" s="63">
        <v>12</v>
      </c>
      <c r="C1852" s="63" t="s">
        <v>3557</v>
      </c>
      <c r="D1852" s="63" t="s">
        <v>64</v>
      </c>
      <c r="E1852" s="66"/>
      <c r="F1852" s="67">
        <v>3.0000000000000001E-3</v>
      </c>
      <c r="G1852" s="67">
        <v>2E-3</v>
      </c>
      <c r="H1852" s="63"/>
    </row>
    <row r="1853" spans="1:8" x14ac:dyDescent="0.25">
      <c r="A1853" s="63"/>
      <c r="B1853" s="63">
        <v>13</v>
      </c>
      <c r="C1853" s="63" t="s">
        <v>3557</v>
      </c>
      <c r="D1853" s="63" t="s">
        <v>64</v>
      </c>
      <c r="E1853" s="66"/>
      <c r="F1853" s="67">
        <v>3.0000000000000001E-3</v>
      </c>
      <c r="G1853" s="67">
        <v>2E-3</v>
      </c>
      <c r="H1853" s="63"/>
    </row>
    <row r="1854" spans="1:8" x14ac:dyDescent="0.25">
      <c r="A1854" s="63"/>
      <c r="B1854" s="63">
        <v>14</v>
      </c>
      <c r="C1854" s="63" t="s">
        <v>3557</v>
      </c>
      <c r="D1854" s="63" t="s">
        <v>64</v>
      </c>
      <c r="E1854" s="66"/>
      <c r="F1854" s="67">
        <v>3.0000000000000001E-3</v>
      </c>
      <c r="G1854" s="67">
        <v>2E-3</v>
      </c>
      <c r="H1854" s="63"/>
    </row>
    <row r="1855" spans="1:8" x14ac:dyDescent="0.25">
      <c r="A1855" s="63"/>
      <c r="B1855" s="63">
        <v>15</v>
      </c>
      <c r="C1855" s="63" t="s">
        <v>3557</v>
      </c>
      <c r="D1855" s="63" t="s">
        <v>64</v>
      </c>
      <c r="E1855" s="66"/>
      <c r="F1855" s="67">
        <v>3.0000000000000001E-3</v>
      </c>
      <c r="G1855" s="67">
        <v>2E-3</v>
      </c>
      <c r="H1855" s="63"/>
    </row>
    <row r="1856" spans="1:8" x14ac:dyDescent="0.25">
      <c r="A1856" s="63"/>
      <c r="B1856" s="63">
        <v>16</v>
      </c>
      <c r="C1856" s="63" t="s">
        <v>3557</v>
      </c>
      <c r="D1856" s="63" t="s">
        <v>64</v>
      </c>
      <c r="E1856" s="66"/>
      <c r="F1856" s="67">
        <v>3.0000000000000001E-3</v>
      </c>
      <c r="G1856" s="67">
        <v>2E-3</v>
      </c>
      <c r="H1856" s="63"/>
    </row>
    <row r="1857" spans="1:8" x14ac:dyDescent="0.25">
      <c r="A1857" s="63"/>
      <c r="B1857" s="63">
        <v>17</v>
      </c>
      <c r="C1857" s="63" t="s">
        <v>3557</v>
      </c>
      <c r="D1857" s="63" t="s">
        <v>64</v>
      </c>
      <c r="E1857" s="66"/>
      <c r="F1857" s="67">
        <v>3.0000000000000001E-3</v>
      </c>
      <c r="G1857" s="67">
        <v>2E-3</v>
      </c>
      <c r="H1857" s="63"/>
    </row>
    <row r="1858" spans="1:8" x14ac:dyDescent="0.25">
      <c r="A1858" s="63"/>
      <c r="B1858" s="63">
        <v>18</v>
      </c>
      <c r="C1858" s="63" t="s">
        <v>3557</v>
      </c>
      <c r="D1858" s="63" t="s">
        <v>64</v>
      </c>
      <c r="E1858" s="66"/>
      <c r="F1858" s="67">
        <v>3.0000000000000001E-3</v>
      </c>
      <c r="G1858" s="67">
        <v>2E-3</v>
      </c>
      <c r="H1858" s="63"/>
    </row>
    <row r="1859" spans="1:8" x14ac:dyDescent="0.25">
      <c r="A1859" s="63"/>
      <c r="B1859" s="63">
        <v>19</v>
      </c>
      <c r="C1859" s="63" t="s">
        <v>3557</v>
      </c>
      <c r="D1859" s="63" t="s">
        <v>64</v>
      </c>
      <c r="E1859" s="66"/>
      <c r="F1859" s="67">
        <v>3.0000000000000001E-3</v>
      </c>
      <c r="G1859" s="67">
        <v>2E-3</v>
      </c>
      <c r="H1859" s="63"/>
    </row>
    <row r="1860" spans="1:8" x14ac:dyDescent="0.25">
      <c r="A1860" s="63"/>
      <c r="B1860" s="63">
        <v>20</v>
      </c>
      <c r="C1860" s="63" t="s">
        <v>3557</v>
      </c>
      <c r="D1860" s="63" t="s">
        <v>64</v>
      </c>
      <c r="E1860" s="66"/>
      <c r="F1860" s="67">
        <v>3.0000000000000001E-3</v>
      </c>
      <c r="G1860" s="67">
        <v>2E-3</v>
      </c>
      <c r="H1860" s="63"/>
    </row>
    <row r="1861" spans="1:8" x14ac:dyDescent="0.25">
      <c r="A1861" s="63"/>
      <c r="B1861" s="63">
        <v>21</v>
      </c>
      <c r="C1861" s="63" t="s">
        <v>3557</v>
      </c>
      <c r="D1861" s="63" t="s">
        <v>64</v>
      </c>
      <c r="E1861" s="66"/>
      <c r="F1861" s="67">
        <v>3.0000000000000001E-3</v>
      </c>
      <c r="G1861" s="67">
        <v>2E-3</v>
      </c>
      <c r="H1861" s="63"/>
    </row>
    <row r="1862" spans="1:8" x14ac:dyDescent="0.25">
      <c r="A1862" s="63"/>
      <c r="B1862" s="63">
        <v>22</v>
      </c>
      <c r="C1862" s="63" t="s">
        <v>3557</v>
      </c>
      <c r="D1862" s="63" t="s">
        <v>64</v>
      </c>
      <c r="E1862" s="66"/>
      <c r="F1862" s="67">
        <v>3.0000000000000001E-3</v>
      </c>
      <c r="G1862" s="67">
        <v>2E-3</v>
      </c>
      <c r="H1862" s="63"/>
    </row>
    <row r="1863" spans="1:8" x14ac:dyDescent="0.25">
      <c r="A1863" s="63"/>
      <c r="B1863" s="63">
        <v>23</v>
      </c>
      <c r="C1863" s="63" t="s">
        <v>3557</v>
      </c>
      <c r="D1863" s="63" t="s">
        <v>64</v>
      </c>
      <c r="E1863" s="66"/>
      <c r="F1863" s="67">
        <v>3.0000000000000001E-3</v>
      </c>
      <c r="G1863" s="67">
        <v>2E-3</v>
      </c>
      <c r="H1863" s="63"/>
    </row>
    <row r="1864" spans="1:8" x14ac:dyDescent="0.25">
      <c r="A1864" s="63"/>
      <c r="B1864" s="63">
        <v>24</v>
      </c>
      <c r="C1864" s="63" t="s">
        <v>3557</v>
      </c>
      <c r="D1864" s="63" t="s">
        <v>64</v>
      </c>
      <c r="E1864" s="66"/>
      <c r="F1864" s="67">
        <v>3.0000000000000001E-3</v>
      </c>
      <c r="G1864" s="67">
        <v>2E-3</v>
      </c>
      <c r="H1864" s="63"/>
    </row>
    <row r="1865" spans="1:8" x14ac:dyDescent="0.25">
      <c r="A1865" s="63"/>
      <c r="B1865" s="63">
        <v>25</v>
      </c>
      <c r="C1865" s="63" t="s">
        <v>3557</v>
      </c>
      <c r="D1865" s="63" t="s">
        <v>64</v>
      </c>
      <c r="E1865" s="66"/>
      <c r="F1865" s="67">
        <v>3.0000000000000001E-3</v>
      </c>
      <c r="G1865" s="67">
        <v>2E-3</v>
      </c>
      <c r="H1865" s="63"/>
    </row>
    <row r="1866" spans="1:8" x14ac:dyDescent="0.25">
      <c r="A1866" s="63"/>
      <c r="B1866" s="63">
        <v>26</v>
      </c>
      <c r="C1866" s="63" t="s">
        <v>3557</v>
      </c>
      <c r="D1866" s="63" t="s">
        <v>64</v>
      </c>
      <c r="E1866" s="66"/>
      <c r="F1866" s="67">
        <v>3.0000000000000001E-3</v>
      </c>
      <c r="G1866" s="67">
        <v>2E-3</v>
      </c>
      <c r="H1866" s="63"/>
    </row>
    <row r="1867" spans="1:8" x14ac:dyDescent="0.25">
      <c r="A1867" s="63"/>
      <c r="B1867" s="63">
        <v>27</v>
      </c>
      <c r="C1867" s="63" t="s">
        <v>3557</v>
      </c>
      <c r="D1867" s="63" t="s">
        <v>64</v>
      </c>
      <c r="E1867" s="66"/>
      <c r="F1867" s="67">
        <v>3.0000000000000001E-3</v>
      </c>
      <c r="G1867" s="67">
        <v>2E-3</v>
      </c>
      <c r="H1867" s="63"/>
    </row>
    <row r="1868" spans="1:8" x14ac:dyDescent="0.25">
      <c r="A1868" s="63"/>
      <c r="B1868" s="63">
        <v>28</v>
      </c>
      <c r="C1868" s="63" t="s">
        <v>3557</v>
      </c>
      <c r="D1868" s="63" t="s">
        <v>64</v>
      </c>
      <c r="E1868" s="66"/>
      <c r="F1868" s="67">
        <v>3.0000000000000001E-3</v>
      </c>
      <c r="G1868" s="67">
        <v>2E-3</v>
      </c>
      <c r="H1868" s="63"/>
    </row>
    <row r="1869" spans="1:8" x14ac:dyDescent="0.25">
      <c r="A1869" s="63"/>
      <c r="B1869" s="63">
        <v>29</v>
      </c>
      <c r="C1869" s="63" t="s">
        <v>3557</v>
      </c>
      <c r="D1869" s="63" t="s">
        <v>64</v>
      </c>
      <c r="E1869" s="66"/>
      <c r="F1869" s="67">
        <v>3.0000000000000001E-3</v>
      </c>
      <c r="G1869" s="67">
        <v>2E-3</v>
      </c>
      <c r="H1869" s="63"/>
    </row>
    <row r="1870" spans="1:8" x14ac:dyDescent="0.25">
      <c r="A1870" s="63"/>
      <c r="B1870" s="63">
        <v>30</v>
      </c>
      <c r="C1870" s="63" t="s">
        <v>3557</v>
      </c>
      <c r="D1870" s="63" t="s">
        <v>64</v>
      </c>
      <c r="E1870" s="66"/>
      <c r="F1870" s="67">
        <v>3.0000000000000001E-3</v>
      </c>
      <c r="G1870" s="67">
        <v>2E-3</v>
      </c>
      <c r="H1870" s="63"/>
    </row>
    <row r="1871" spans="1:8" x14ac:dyDescent="0.25">
      <c r="A1871" s="63"/>
      <c r="B1871" s="63">
        <v>0</v>
      </c>
      <c r="C1871" s="63" t="s">
        <v>3557</v>
      </c>
      <c r="D1871" s="63" t="s">
        <v>64</v>
      </c>
      <c r="E1871" s="66">
        <v>3.0428788910505911</v>
      </c>
      <c r="F1871" s="67">
        <v>3.0000000000000001E-3</v>
      </c>
      <c r="G1871" s="67">
        <v>2E-3</v>
      </c>
      <c r="H1871" s="63"/>
    </row>
    <row r="1872" spans="1:8" x14ac:dyDescent="0.25">
      <c r="A1872" s="63"/>
      <c r="B1872" s="63">
        <v>0.25</v>
      </c>
      <c r="C1872" s="63" t="s">
        <v>3557</v>
      </c>
      <c r="D1872" s="63" t="s">
        <v>77</v>
      </c>
      <c r="E1872" s="66">
        <v>49.77590767518263</v>
      </c>
      <c r="F1872" s="67">
        <v>3.0000000000000001E-3</v>
      </c>
      <c r="G1872" s="67">
        <v>2E-3</v>
      </c>
      <c r="H1872" s="63"/>
    </row>
    <row r="1873" spans="1:8" x14ac:dyDescent="0.25">
      <c r="A1873" s="63"/>
      <c r="B1873" s="63">
        <v>0.5</v>
      </c>
      <c r="C1873" s="63" t="s">
        <v>3557</v>
      </c>
      <c r="D1873" s="63" t="s">
        <v>77</v>
      </c>
      <c r="E1873" s="66">
        <v>51.577692441153197</v>
      </c>
      <c r="F1873" s="67">
        <v>3.0000000000000001E-3</v>
      </c>
      <c r="G1873" s="67">
        <v>2E-3</v>
      </c>
      <c r="H1873" s="63"/>
    </row>
    <row r="1874" spans="1:8" x14ac:dyDescent="0.25">
      <c r="A1874" s="63"/>
      <c r="B1874" s="63">
        <v>0.75</v>
      </c>
      <c r="C1874" s="63" t="s">
        <v>3557</v>
      </c>
      <c r="D1874" s="63" t="s">
        <v>77</v>
      </c>
      <c r="E1874" s="66">
        <v>53.023942399602873</v>
      </c>
      <c r="F1874" s="67">
        <v>3.0000000000000001E-3</v>
      </c>
      <c r="G1874" s="67">
        <v>2E-3</v>
      </c>
      <c r="H1874" s="63"/>
    </row>
    <row r="1875" spans="1:8" x14ac:dyDescent="0.25">
      <c r="A1875" s="63"/>
      <c r="B1875" s="63">
        <v>1</v>
      </c>
      <c r="C1875" s="63" t="s">
        <v>3557</v>
      </c>
      <c r="D1875" s="63" t="s">
        <v>77</v>
      </c>
      <c r="E1875" s="66">
        <v>53.362170653318003</v>
      </c>
      <c r="F1875" s="67">
        <v>3.0000000000000001E-3</v>
      </c>
      <c r="G1875" s="67">
        <v>2E-3</v>
      </c>
      <c r="H1875" s="63"/>
    </row>
    <row r="1876" spans="1:8" x14ac:dyDescent="0.25">
      <c r="A1876" s="63"/>
      <c r="B1876" s="63">
        <v>2</v>
      </c>
      <c r="C1876" s="63" t="s">
        <v>3557</v>
      </c>
      <c r="D1876" s="63" t="s">
        <v>77</v>
      </c>
      <c r="E1876" s="66">
        <v>60.127506009791624</v>
      </c>
      <c r="F1876" s="67">
        <v>3.0000000000000001E-3</v>
      </c>
      <c r="G1876" s="67">
        <v>2E-3</v>
      </c>
      <c r="H1876" s="63"/>
    </row>
    <row r="1877" spans="1:8" x14ac:dyDescent="0.25">
      <c r="A1877" s="63"/>
      <c r="B1877" s="63">
        <v>3</v>
      </c>
      <c r="C1877" s="63" t="s">
        <v>3557</v>
      </c>
      <c r="D1877" s="63" t="s">
        <v>77</v>
      </c>
      <c r="E1877" s="66">
        <v>72.863078485770799</v>
      </c>
      <c r="F1877" s="67">
        <v>3.0000000000000001E-3</v>
      </c>
      <c r="G1877" s="67">
        <v>2E-3</v>
      </c>
      <c r="H1877" s="63"/>
    </row>
    <row r="1878" spans="1:8" x14ac:dyDescent="0.25">
      <c r="A1878" s="63"/>
      <c r="B1878" s="63">
        <v>4</v>
      </c>
      <c r="C1878" s="63" t="s">
        <v>3557</v>
      </c>
      <c r="D1878" s="63" t="s">
        <v>77</v>
      </c>
      <c r="E1878" s="66">
        <v>85.04546387049389</v>
      </c>
      <c r="F1878" s="67">
        <v>3.0000000000000001E-3</v>
      </c>
      <c r="G1878" s="67">
        <v>2E-3</v>
      </c>
      <c r="H1878" s="63"/>
    </row>
    <row r="1879" spans="1:8" x14ac:dyDescent="0.25">
      <c r="A1879" s="63"/>
      <c r="B1879" s="63">
        <v>5</v>
      </c>
      <c r="C1879" s="63" t="s">
        <v>3557</v>
      </c>
      <c r="D1879" s="63" t="s">
        <v>77</v>
      </c>
      <c r="E1879" s="66">
        <v>103.8296654132198</v>
      </c>
      <c r="F1879" s="67">
        <v>3.0000000000000001E-3</v>
      </c>
      <c r="G1879" s="67">
        <v>2E-3</v>
      </c>
      <c r="H1879" s="63"/>
    </row>
    <row r="1880" spans="1:8" x14ac:dyDescent="0.25">
      <c r="A1880" s="63"/>
      <c r="B1880" s="63">
        <v>6</v>
      </c>
      <c r="C1880" s="63" t="s">
        <v>3557</v>
      </c>
      <c r="D1880" s="63" t="s">
        <v>77</v>
      </c>
      <c r="E1880" s="66">
        <v>118.46770652358066</v>
      </c>
      <c r="F1880" s="67">
        <v>3.0000000000000001E-3</v>
      </c>
      <c r="G1880" s="67">
        <v>2E-3</v>
      </c>
      <c r="H1880" s="63"/>
    </row>
    <row r="1881" spans="1:8" x14ac:dyDescent="0.25">
      <c r="A1881" s="63"/>
      <c r="B1881" s="63">
        <v>7</v>
      </c>
      <c r="C1881" s="63" t="s">
        <v>3557</v>
      </c>
      <c r="D1881" s="63" t="s">
        <v>77</v>
      </c>
      <c r="E1881" s="66">
        <v>133.40366924423441</v>
      </c>
      <c r="F1881" s="67">
        <v>3.0000000000000001E-3</v>
      </c>
      <c r="G1881" s="67">
        <v>2E-3</v>
      </c>
      <c r="H1881" s="63"/>
    </row>
    <row r="1882" spans="1:8" x14ac:dyDescent="0.25">
      <c r="A1882" s="63"/>
      <c r="B1882" s="63">
        <v>8</v>
      </c>
      <c r="C1882" s="63" t="s">
        <v>3557</v>
      </c>
      <c r="D1882" s="63" t="s">
        <v>77</v>
      </c>
      <c r="E1882" s="66">
        <v>150.22852935101852</v>
      </c>
      <c r="F1882" s="67">
        <v>3.0000000000000001E-3</v>
      </c>
      <c r="G1882" s="67">
        <v>2E-3</v>
      </c>
      <c r="H1882" s="63"/>
    </row>
    <row r="1883" spans="1:8" x14ac:dyDescent="0.25">
      <c r="A1883" s="63"/>
      <c r="B1883" s="63">
        <v>9</v>
      </c>
      <c r="C1883" s="63" t="s">
        <v>3557</v>
      </c>
      <c r="D1883" s="63" t="s">
        <v>77</v>
      </c>
      <c r="E1883" s="66">
        <v>166.00880935292977</v>
      </c>
      <c r="F1883" s="67">
        <v>3.0000000000000001E-3</v>
      </c>
      <c r="G1883" s="67">
        <v>2E-3</v>
      </c>
      <c r="H1883" s="63"/>
    </row>
    <row r="1884" spans="1:8" x14ac:dyDescent="0.25">
      <c r="A1884" s="63"/>
      <c r="B1884" s="63">
        <v>10</v>
      </c>
      <c r="C1884" s="63" t="s">
        <v>3557</v>
      </c>
      <c r="D1884" s="63" t="s">
        <v>77</v>
      </c>
      <c r="E1884" s="66">
        <v>181.80625539974244</v>
      </c>
      <c r="F1884" s="67">
        <v>3.0000000000000001E-3</v>
      </c>
      <c r="G1884" s="67">
        <v>2E-3</v>
      </c>
      <c r="H1884" s="63"/>
    </row>
    <row r="1885" spans="1:8" x14ac:dyDescent="0.25">
      <c r="A1885" s="63"/>
      <c r="B1885" s="63">
        <v>11</v>
      </c>
      <c r="C1885" s="63" t="s">
        <v>3557</v>
      </c>
      <c r="D1885" s="63" t="s">
        <v>77</v>
      </c>
      <c r="E1885" s="66"/>
      <c r="F1885" s="67">
        <v>3.0000000000000001E-3</v>
      </c>
      <c r="G1885" s="67">
        <v>2E-3</v>
      </c>
      <c r="H1885" s="63"/>
    </row>
    <row r="1886" spans="1:8" x14ac:dyDescent="0.25">
      <c r="A1886" s="63"/>
      <c r="B1886" s="63">
        <v>12</v>
      </c>
      <c r="C1886" s="63" t="s">
        <v>3557</v>
      </c>
      <c r="D1886" s="63" t="s">
        <v>77</v>
      </c>
      <c r="E1886" s="66"/>
      <c r="F1886" s="67">
        <v>3.0000000000000001E-3</v>
      </c>
      <c r="G1886" s="67">
        <v>2E-3</v>
      </c>
      <c r="H1886" s="63"/>
    </row>
    <row r="1887" spans="1:8" x14ac:dyDescent="0.25">
      <c r="A1887" s="63"/>
      <c r="B1887" s="63">
        <v>13</v>
      </c>
      <c r="C1887" s="63" t="s">
        <v>3557</v>
      </c>
      <c r="D1887" s="63" t="s">
        <v>77</v>
      </c>
      <c r="E1887" s="66"/>
      <c r="F1887" s="67">
        <v>3.0000000000000001E-3</v>
      </c>
      <c r="G1887" s="67">
        <v>2E-3</v>
      </c>
      <c r="H1887" s="63"/>
    </row>
    <row r="1888" spans="1:8" x14ac:dyDescent="0.25">
      <c r="A1888" s="63"/>
      <c r="B1888" s="63">
        <v>14</v>
      </c>
      <c r="C1888" s="63" t="s">
        <v>3557</v>
      </c>
      <c r="D1888" s="63" t="s">
        <v>77</v>
      </c>
      <c r="E1888" s="66"/>
      <c r="F1888" s="67">
        <v>3.0000000000000001E-3</v>
      </c>
      <c r="G1888" s="67">
        <v>2E-3</v>
      </c>
      <c r="H1888" s="63"/>
    </row>
    <row r="1889" spans="1:8" x14ac:dyDescent="0.25">
      <c r="A1889" s="63"/>
      <c r="B1889" s="63">
        <v>15</v>
      </c>
      <c r="C1889" s="63" t="s">
        <v>3557</v>
      </c>
      <c r="D1889" s="63" t="s">
        <v>77</v>
      </c>
      <c r="E1889" s="66"/>
      <c r="F1889" s="67">
        <v>3.0000000000000001E-3</v>
      </c>
      <c r="G1889" s="67">
        <v>2E-3</v>
      </c>
      <c r="H1889" s="63"/>
    </row>
    <row r="1890" spans="1:8" x14ac:dyDescent="0.25">
      <c r="A1890" s="63"/>
      <c r="B1890" s="63">
        <v>16</v>
      </c>
      <c r="C1890" s="63" t="s">
        <v>3557</v>
      </c>
      <c r="D1890" s="63" t="s">
        <v>77</v>
      </c>
      <c r="E1890" s="66"/>
      <c r="F1890" s="67">
        <v>3.0000000000000001E-3</v>
      </c>
      <c r="G1890" s="67">
        <v>2E-3</v>
      </c>
      <c r="H1890" s="63"/>
    </row>
    <row r="1891" spans="1:8" x14ac:dyDescent="0.25">
      <c r="A1891" s="63"/>
      <c r="B1891" s="63">
        <v>17</v>
      </c>
      <c r="C1891" s="63" t="s">
        <v>3557</v>
      </c>
      <c r="D1891" s="63" t="s">
        <v>77</v>
      </c>
      <c r="E1891" s="66"/>
      <c r="F1891" s="67">
        <v>3.0000000000000001E-3</v>
      </c>
      <c r="G1891" s="67">
        <v>2E-3</v>
      </c>
      <c r="H1891" s="63"/>
    </row>
    <row r="1892" spans="1:8" x14ac:dyDescent="0.25">
      <c r="A1892" s="63"/>
      <c r="B1892" s="63">
        <v>18</v>
      </c>
      <c r="C1892" s="63" t="s">
        <v>3557</v>
      </c>
      <c r="D1892" s="63" t="s">
        <v>77</v>
      </c>
      <c r="E1892" s="66"/>
      <c r="F1892" s="67">
        <v>3.0000000000000001E-3</v>
      </c>
      <c r="G1892" s="67">
        <v>2E-3</v>
      </c>
      <c r="H1892" s="63"/>
    </row>
    <row r="1893" spans="1:8" x14ac:dyDescent="0.25">
      <c r="A1893" s="63"/>
      <c r="B1893" s="63">
        <v>19</v>
      </c>
      <c r="C1893" s="63" t="s">
        <v>3557</v>
      </c>
      <c r="D1893" s="63" t="s">
        <v>77</v>
      </c>
      <c r="E1893" s="66"/>
      <c r="F1893" s="67">
        <v>3.0000000000000001E-3</v>
      </c>
      <c r="G1893" s="67">
        <v>2E-3</v>
      </c>
      <c r="H1893" s="63"/>
    </row>
    <row r="1894" spans="1:8" x14ac:dyDescent="0.25">
      <c r="A1894" s="63"/>
      <c r="B1894" s="63">
        <v>20</v>
      </c>
      <c r="C1894" s="63" t="s">
        <v>3557</v>
      </c>
      <c r="D1894" s="63" t="s">
        <v>77</v>
      </c>
      <c r="E1894" s="66"/>
      <c r="F1894" s="67">
        <v>3.0000000000000001E-3</v>
      </c>
      <c r="G1894" s="67">
        <v>2E-3</v>
      </c>
      <c r="H1894" s="63"/>
    </row>
    <row r="1895" spans="1:8" x14ac:dyDescent="0.25">
      <c r="A1895" s="63"/>
      <c r="B1895" s="63">
        <v>21</v>
      </c>
      <c r="C1895" s="63" t="s">
        <v>3557</v>
      </c>
      <c r="D1895" s="63" t="s">
        <v>77</v>
      </c>
      <c r="E1895" s="66"/>
      <c r="F1895" s="67">
        <v>3.0000000000000001E-3</v>
      </c>
      <c r="G1895" s="67">
        <v>2E-3</v>
      </c>
      <c r="H1895" s="63"/>
    </row>
    <row r="1896" spans="1:8" x14ac:dyDescent="0.25">
      <c r="A1896" s="63"/>
      <c r="B1896" s="63">
        <v>22</v>
      </c>
      <c r="C1896" s="63" t="s">
        <v>3557</v>
      </c>
      <c r="D1896" s="63" t="s">
        <v>77</v>
      </c>
      <c r="E1896" s="66"/>
      <c r="F1896" s="67">
        <v>3.0000000000000001E-3</v>
      </c>
      <c r="G1896" s="67">
        <v>2E-3</v>
      </c>
      <c r="H1896" s="63"/>
    </row>
    <row r="1897" spans="1:8" x14ac:dyDescent="0.25">
      <c r="A1897" s="63"/>
      <c r="B1897" s="63">
        <v>23</v>
      </c>
      <c r="C1897" s="63" t="s">
        <v>3557</v>
      </c>
      <c r="D1897" s="63" t="s">
        <v>77</v>
      </c>
      <c r="E1897" s="66"/>
      <c r="F1897" s="67">
        <v>3.0000000000000001E-3</v>
      </c>
      <c r="G1897" s="67">
        <v>2E-3</v>
      </c>
      <c r="H1897" s="63"/>
    </row>
    <row r="1898" spans="1:8" x14ac:dyDescent="0.25">
      <c r="A1898" s="63"/>
      <c r="B1898" s="63">
        <v>24</v>
      </c>
      <c r="C1898" s="63" t="s">
        <v>3557</v>
      </c>
      <c r="D1898" s="63" t="s">
        <v>77</v>
      </c>
      <c r="E1898" s="66"/>
      <c r="F1898" s="67">
        <v>3.0000000000000001E-3</v>
      </c>
      <c r="G1898" s="67">
        <v>2E-3</v>
      </c>
      <c r="H1898" s="63"/>
    </row>
    <row r="1899" spans="1:8" x14ac:dyDescent="0.25">
      <c r="A1899" s="63"/>
      <c r="B1899" s="63">
        <v>25</v>
      </c>
      <c r="C1899" s="63" t="s">
        <v>3557</v>
      </c>
      <c r="D1899" s="63" t="s">
        <v>77</v>
      </c>
      <c r="E1899" s="66"/>
      <c r="F1899" s="67">
        <v>3.0000000000000001E-3</v>
      </c>
      <c r="G1899" s="67">
        <v>2E-3</v>
      </c>
      <c r="H1899" s="63"/>
    </row>
    <row r="1900" spans="1:8" x14ac:dyDescent="0.25">
      <c r="A1900" s="63"/>
      <c r="B1900" s="63">
        <v>26</v>
      </c>
      <c r="C1900" s="63" t="s">
        <v>3557</v>
      </c>
      <c r="D1900" s="63" t="s">
        <v>77</v>
      </c>
      <c r="E1900" s="66"/>
      <c r="F1900" s="67">
        <v>3.0000000000000001E-3</v>
      </c>
      <c r="G1900" s="67">
        <v>2E-3</v>
      </c>
      <c r="H1900" s="63"/>
    </row>
    <row r="1901" spans="1:8" x14ac:dyDescent="0.25">
      <c r="A1901" s="63"/>
      <c r="B1901" s="63">
        <v>27</v>
      </c>
      <c r="C1901" s="63" t="s">
        <v>3557</v>
      </c>
      <c r="D1901" s="63" t="s">
        <v>77</v>
      </c>
      <c r="E1901" s="66"/>
      <c r="F1901" s="67">
        <v>3.0000000000000001E-3</v>
      </c>
      <c r="G1901" s="67">
        <v>2E-3</v>
      </c>
      <c r="H1901" s="63"/>
    </row>
    <row r="1902" spans="1:8" x14ac:dyDescent="0.25">
      <c r="A1902" s="63"/>
      <c r="B1902" s="63">
        <v>28</v>
      </c>
      <c r="C1902" s="63" t="s">
        <v>3557</v>
      </c>
      <c r="D1902" s="63" t="s">
        <v>77</v>
      </c>
      <c r="E1902" s="66"/>
      <c r="F1902" s="67">
        <v>3.0000000000000001E-3</v>
      </c>
      <c r="G1902" s="67">
        <v>2E-3</v>
      </c>
      <c r="H1902" s="63"/>
    </row>
    <row r="1903" spans="1:8" x14ac:dyDescent="0.25">
      <c r="A1903" s="63"/>
      <c r="B1903" s="63">
        <v>29</v>
      </c>
      <c r="C1903" s="63" t="s">
        <v>3557</v>
      </c>
      <c r="D1903" s="63" t="s">
        <v>77</v>
      </c>
      <c r="E1903" s="66"/>
      <c r="F1903" s="67">
        <v>3.0000000000000001E-3</v>
      </c>
      <c r="G1903" s="67">
        <v>2E-3</v>
      </c>
      <c r="H1903" s="63"/>
    </row>
    <row r="1904" spans="1:8" x14ac:dyDescent="0.25">
      <c r="A1904" s="63"/>
      <c r="B1904" s="63">
        <v>30</v>
      </c>
      <c r="C1904" s="63" t="s">
        <v>3557</v>
      </c>
      <c r="D1904" s="63" t="s">
        <v>77</v>
      </c>
      <c r="E1904" s="66"/>
      <c r="F1904" s="67">
        <v>3.0000000000000001E-3</v>
      </c>
      <c r="G1904" s="67">
        <v>2E-3</v>
      </c>
      <c r="H1904" s="63"/>
    </row>
    <row r="1905" spans="1:8" x14ac:dyDescent="0.25">
      <c r="A1905" s="63"/>
      <c r="B1905" s="63">
        <v>0</v>
      </c>
      <c r="C1905" s="63" t="s">
        <v>3557</v>
      </c>
      <c r="D1905" s="63" t="s">
        <v>77</v>
      </c>
      <c r="E1905" s="66">
        <v>3.0428788910505911</v>
      </c>
      <c r="F1905" s="67">
        <v>3.0000000000000001E-3</v>
      </c>
      <c r="G1905" s="67">
        <v>2E-3</v>
      </c>
      <c r="H1905" s="63"/>
    </row>
    <row r="1906" spans="1:8" x14ac:dyDescent="0.25">
      <c r="A1906" s="63"/>
      <c r="B1906" s="63">
        <v>0.25</v>
      </c>
      <c r="C1906" s="63" t="s">
        <v>3417</v>
      </c>
      <c r="D1906" s="63" t="s">
        <v>21</v>
      </c>
      <c r="E1906" s="66">
        <v>22.221417269370267</v>
      </c>
      <c r="F1906" s="67">
        <v>3.0000000000000001E-3</v>
      </c>
      <c r="G1906" s="67">
        <v>2E-3</v>
      </c>
      <c r="H1906" s="63"/>
    </row>
    <row r="1907" spans="1:8" x14ac:dyDescent="0.25">
      <c r="A1907" s="63"/>
      <c r="B1907" s="63">
        <v>0.5</v>
      </c>
      <c r="C1907" s="63" t="s">
        <v>3417</v>
      </c>
      <c r="D1907" s="63" t="s">
        <v>21</v>
      </c>
      <c r="E1907" s="66">
        <v>22.577761719342078</v>
      </c>
      <c r="F1907" s="67">
        <v>3.0000000000000001E-3</v>
      </c>
      <c r="G1907" s="67">
        <v>2E-3</v>
      </c>
      <c r="H1907" s="63"/>
    </row>
    <row r="1908" spans="1:8" x14ac:dyDescent="0.25">
      <c r="A1908" s="63"/>
      <c r="B1908" s="63">
        <v>0.75</v>
      </c>
      <c r="C1908" s="63" t="s">
        <v>3417</v>
      </c>
      <c r="D1908" s="63" t="s">
        <v>21</v>
      </c>
      <c r="E1908" s="66">
        <v>22.812666522307268</v>
      </c>
      <c r="F1908" s="67">
        <v>3.0000000000000001E-3</v>
      </c>
      <c r="G1908" s="67">
        <v>2E-3</v>
      </c>
      <c r="H1908" s="63"/>
    </row>
    <row r="1909" spans="1:8" x14ac:dyDescent="0.25">
      <c r="A1909" s="63"/>
      <c r="B1909" s="63">
        <v>1</v>
      </c>
      <c r="C1909" s="63" t="s">
        <v>3417</v>
      </c>
      <c r="D1909" s="63" t="s">
        <v>21</v>
      </c>
      <c r="E1909" s="66">
        <v>23.121465471690385</v>
      </c>
      <c r="F1909" s="67">
        <v>3.0000000000000001E-3</v>
      </c>
      <c r="G1909" s="67">
        <v>2E-3</v>
      </c>
      <c r="H1909" s="63"/>
    </row>
    <row r="1910" spans="1:8" x14ac:dyDescent="0.25">
      <c r="A1910" s="63"/>
      <c r="B1910" s="63">
        <v>2</v>
      </c>
      <c r="C1910" s="63" t="s">
        <v>3417</v>
      </c>
      <c r="D1910" s="63" t="s">
        <v>21</v>
      </c>
      <c r="E1910" s="66">
        <v>32.666066636301139</v>
      </c>
      <c r="F1910" s="67">
        <v>3.0000000000000001E-3</v>
      </c>
      <c r="G1910" s="67">
        <v>2E-3</v>
      </c>
      <c r="H1910" s="63"/>
    </row>
    <row r="1911" spans="1:8" x14ac:dyDescent="0.25">
      <c r="A1911" s="63"/>
      <c r="B1911" s="63">
        <v>3</v>
      </c>
      <c r="C1911" s="63" t="s">
        <v>3417</v>
      </c>
      <c r="D1911" s="63" t="s">
        <v>21</v>
      </c>
      <c r="E1911" s="66">
        <v>42.986418666425109</v>
      </c>
      <c r="F1911" s="67">
        <v>3.0000000000000001E-3</v>
      </c>
      <c r="G1911" s="67">
        <v>2E-3</v>
      </c>
      <c r="H1911" s="63"/>
    </row>
    <row r="1912" spans="1:8" x14ac:dyDescent="0.25">
      <c r="A1912" s="63"/>
      <c r="B1912" s="63">
        <v>4</v>
      </c>
      <c r="C1912" s="63" t="s">
        <v>3417</v>
      </c>
      <c r="D1912" s="63" t="s">
        <v>21</v>
      </c>
      <c r="E1912" s="66">
        <v>53.499185506383171</v>
      </c>
      <c r="F1912" s="67">
        <v>3.0000000000000001E-3</v>
      </c>
      <c r="G1912" s="67">
        <v>2E-3</v>
      </c>
      <c r="H1912" s="63"/>
    </row>
    <row r="1913" spans="1:8" x14ac:dyDescent="0.25">
      <c r="A1913" s="63"/>
      <c r="B1913" s="63">
        <v>5</v>
      </c>
      <c r="C1913" s="63" t="s">
        <v>3417</v>
      </c>
      <c r="D1913" s="63" t="s">
        <v>21</v>
      </c>
      <c r="E1913" s="66">
        <v>64.299927661583226</v>
      </c>
      <c r="F1913" s="67">
        <v>3.0000000000000001E-3</v>
      </c>
      <c r="G1913" s="67">
        <v>2E-3</v>
      </c>
      <c r="H1913" s="63"/>
    </row>
    <row r="1914" spans="1:8" x14ac:dyDescent="0.25">
      <c r="A1914" s="63"/>
      <c r="B1914" s="63">
        <v>6</v>
      </c>
      <c r="C1914" s="63" t="s">
        <v>3417</v>
      </c>
      <c r="D1914" s="63" t="s">
        <v>21</v>
      </c>
      <c r="E1914" s="66">
        <v>74.8019364259833</v>
      </c>
      <c r="F1914" s="67">
        <v>3.0000000000000001E-3</v>
      </c>
      <c r="G1914" s="67">
        <v>2E-3</v>
      </c>
      <c r="H1914" s="63"/>
    </row>
    <row r="1915" spans="1:8" x14ac:dyDescent="0.25">
      <c r="A1915" s="63"/>
      <c r="B1915" s="63">
        <v>7</v>
      </c>
      <c r="C1915" s="63" t="s">
        <v>3417</v>
      </c>
      <c r="D1915" s="63" t="s">
        <v>21</v>
      </c>
      <c r="E1915" s="66">
        <v>85.403955934259841</v>
      </c>
      <c r="F1915" s="67">
        <v>3.0000000000000001E-3</v>
      </c>
      <c r="G1915" s="67">
        <v>2E-3</v>
      </c>
      <c r="H1915" s="63"/>
    </row>
    <row r="1916" spans="1:8" x14ac:dyDescent="0.25">
      <c r="A1916" s="63"/>
      <c r="B1916" s="63">
        <v>8</v>
      </c>
      <c r="C1916" s="63" t="s">
        <v>3417</v>
      </c>
      <c r="D1916" s="63" t="s">
        <v>21</v>
      </c>
      <c r="E1916" s="66">
        <v>96.115987260800651</v>
      </c>
      <c r="F1916" s="67">
        <v>3.0000000000000001E-3</v>
      </c>
      <c r="G1916" s="67">
        <v>2E-3</v>
      </c>
      <c r="H1916" s="63"/>
    </row>
    <row r="1917" spans="1:8" x14ac:dyDescent="0.25">
      <c r="A1917" s="63"/>
      <c r="B1917" s="63">
        <v>9</v>
      </c>
      <c r="C1917" s="63" t="s">
        <v>3417</v>
      </c>
      <c r="D1917" s="63" t="s">
        <v>21</v>
      </c>
      <c r="E1917" s="66">
        <v>106.949031587432</v>
      </c>
      <c r="F1917" s="67">
        <v>3.0000000000000001E-3</v>
      </c>
      <c r="G1917" s="67">
        <v>2E-3</v>
      </c>
      <c r="H1917" s="63"/>
    </row>
    <row r="1918" spans="1:8" x14ac:dyDescent="0.25">
      <c r="A1918" s="63"/>
      <c r="B1918" s="63">
        <v>10</v>
      </c>
      <c r="C1918" s="63" t="s">
        <v>3417</v>
      </c>
      <c r="D1918" s="63" t="s">
        <v>21</v>
      </c>
      <c r="E1918" s="66">
        <v>117.22489748650338</v>
      </c>
      <c r="F1918" s="67">
        <v>3.0000000000000001E-3</v>
      </c>
      <c r="G1918" s="67">
        <v>2E-3</v>
      </c>
      <c r="H1918" s="63"/>
    </row>
    <row r="1919" spans="1:8" x14ac:dyDescent="0.25">
      <c r="A1919" s="63"/>
      <c r="B1919" s="63">
        <v>11</v>
      </c>
      <c r="C1919" s="63" t="s">
        <v>3417</v>
      </c>
      <c r="D1919" s="63" t="s">
        <v>21</v>
      </c>
      <c r="E1919" s="66"/>
      <c r="F1919" s="67">
        <v>3.0000000000000001E-3</v>
      </c>
      <c r="G1919" s="67">
        <v>2E-3</v>
      </c>
      <c r="H1919" s="63"/>
    </row>
    <row r="1920" spans="1:8" x14ac:dyDescent="0.25">
      <c r="A1920" s="63"/>
      <c r="B1920" s="63">
        <v>12</v>
      </c>
      <c r="C1920" s="63" t="s">
        <v>3417</v>
      </c>
      <c r="D1920" s="63" t="s">
        <v>21</v>
      </c>
      <c r="E1920" s="66"/>
      <c r="F1920" s="67">
        <v>3.0000000000000001E-3</v>
      </c>
      <c r="G1920" s="67">
        <v>2E-3</v>
      </c>
      <c r="H1920" s="63"/>
    </row>
    <row r="1921" spans="1:8" x14ac:dyDescent="0.25">
      <c r="A1921" s="63"/>
      <c r="B1921" s="63">
        <v>13</v>
      </c>
      <c r="C1921" s="63" t="s">
        <v>3417</v>
      </c>
      <c r="D1921" s="63" t="s">
        <v>21</v>
      </c>
      <c r="E1921" s="66"/>
      <c r="F1921" s="67">
        <v>3.0000000000000001E-3</v>
      </c>
      <c r="G1921" s="67">
        <v>2E-3</v>
      </c>
      <c r="H1921" s="63"/>
    </row>
    <row r="1922" spans="1:8" x14ac:dyDescent="0.25">
      <c r="A1922" s="63"/>
      <c r="B1922" s="63">
        <v>14</v>
      </c>
      <c r="C1922" s="63" t="s">
        <v>3417</v>
      </c>
      <c r="D1922" s="63" t="s">
        <v>21</v>
      </c>
      <c r="E1922" s="66"/>
      <c r="F1922" s="67">
        <v>3.0000000000000001E-3</v>
      </c>
      <c r="G1922" s="67">
        <v>2E-3</v>
      </c>
      <c r="H1922" s="63"/>
    </row>
    <row r="1923" spans="1:8" x14ac:dyDescent="0.25">
      <c r="A1923" s="63"/>
      <c r="B1923" s="63">
        <v>15</v>
      </c>
      <c r="C1923" s="63" t="s">
        <v>3417</v>
      </c>
      <c r="D1923" s="63" t="s">
        <v>21</v>
      </c>
      <c r="E1923" s="66"/>
      <c r="F1923" s="67">
        <v>3.0000000000000001E-3</v>
      </c>
      <c r="G1923" s="67">
        <v>2E-3</v>
      </c>
      <c r="H1923" s="63"/>
    </row>
    <row r="1924" spans="1:8" x14ac:dyDescent="0.25">
      <c r="A1924" s="63"/>
      <c r="B1924" s="63">
        <v>16</v>
      </c>
      <c r="C1924" s="63" t="s">
        <v>3417</v>
      </c>
      <c r="D1924" s="63" t="s">
        <v>21</v>
      </c>
      <c r="E1924" s="66"/>
      <c r="F1924" s="67">
        <v>3.0000000000000001E-3</v>
      </c>
      <c r="G1924" s="67">
        <v>2E-3</v>
      </c>
      <c r="H1924" s="63"/>
    </row>
    <row r="1925" spans="1:8" x14ac:dyDescent="0.25">
      <c r="A1925" s="63"/>
      <c r="B1925" s="63">
        <v>17</v>
      </c>
      <c r="C1925" s="63" t="s">
        <v>3417</v>
      </c>
      <c r="D1925" s="63" t="s">
        <v>21</v>
      </c>
      <c r="E1925" s="66"/>
      <c r="F1925" s="67">
        <v>3.0000000000000001E-3</v>
      </c>
      <c r="G1925" s="67">
        <v>2E-3</v>
      </c>
      <c r="H1925" s="63"/>
    </row>
    <row r="1926" spans="1:8" x14ac:dyDescent="0.25">
      <c r="A1926" s="63"/>
      <c r="B1926" s="63">
        <v>18</v>
      </c>
      <c r="C1926" s="63" t="s">
        <v>3417</v>
      </c>
      <c r="D1926" s="63" t="s">
        <v>21</v>
      </c>
      <c r="E1926" s="66"/>
      <c r="F1926" s="67">
        <v>3.0000000000000001E-3</v>
      </c>
      <c r="G1926" s="67">
        <v>2E-3</v>
      </c>
      <c r="H1926" s="63"/>
    </row>
    <row r="1927" spans="1:8" x14ac:dyDescent="0.25">
      <c r="A1927" s="63"/>
      <c r="B1927" s="63">
        <v>19</v>
      </c>
      <c r="C1927" s="63" t="s">
        <v>3417</v>
      </c>
      <c r="D1927" s="63" t="s">
        <v>21</v>
      </c>
      <c r="E1927" s="66"/>
      <c r="F1927" s="67">
        <v>3.0000000000000001E-3</v>
      </c>
      <c r="G1927" s="67">
        <v>2E-3</v>
      </c>
      <c r="H1927" s="63"/>
    </row>
    <row r="1928" spans="1:8" x14ac:dyDescent="0.25">
      <c r="A1928" s="63"/>
      <c r="B1928" s="63">
        <v>20</v>
      </c>
      <c r="C1928" s="63" t="s">
        <v>3417</v>
      </c>
      <c r="D1928" s="63" t="s">
        <v>21</v>
      </c>
      <c r="E1928" s="66"/>
      <c r="F1928" s="67">
        <v>3.0000000000000001E-3</v>
      </c>
      <c r="G1928" s="67">
        <v>2E-3</v>
      </c>
      <c r="H1928" s="63"/>
    </row>
    <row r="1929" spans="1:8" x14ac:dyDescent="0.25">
      <c r="A1929" s="63"/>
      <c r="B1929" s="63">
        <v>21</v>
      </c>
      <c r="C1929" s="63" t="s">
        <v>3417</v>
      </c>
      <c r="D1929" s="63" t="s">
        <v>21</v>
      </c>
      <c r="E1929" s="66"/>
      <c r="F1929" s="67">
        <v>3.0000000000000001E-3</v>
      </c>
      <c r="G1929" s="67">
        <v>2E-3</v>
      </c>
      <c r="H1929" s="63"/>
    </row>
    <row r="1930" spans="1:8" x14ac:dyDescent="0.25">
      <c r="A1930" s="63"/>
      <c r="B1930" s="63">
        <v>22</v>
      </c>
      <c r="C1930" s="63" t="s">
        <v>3417</v>
      </c>
      <c r="D1930" s="63" t="s">
        <v>21</v>
      </c>
      <c r="E1930" s="66"/>
      <c r="F1930" s="67">
        <v>3.0000000000000001E-3</v>
      </c>
      <c r="G1930" s="67">
        <v>2E-3</v>
      </c>
      <c r="H1930" s="63"/>
    </row>
    <row r="1931" spans="1:8" x14ac:dyDescent="0.25">
      <c r="A1931" s="63"/>
      <c r="B1931" s="63">
        <v>23</v>
      </c>
      <c r="C1931" s="63" t="s">
        <v>3417</v>
      </c>
      <c r="D1931" s="63" t="s">
        <v>21</v>
      </c>
      <c r="E1931" s="66"/>
      <c r="F1931" s="67">
        <v>3.0000000000000001E-3</v>
      </c>
      <c r="G1931" s="67">
        <v>2E-3</v>
      </c>
      <c r="H1931" s="63"/>
    </row>
    <row r="1932" spans="1:8" x14ac:dyDescent="0.25">
      <c r="A1932" s="63"/>
      <c r="B1932" s="63">
        <v>24</v>
      </c>
      <c r="C1932" s="63" t="s">
        <v>3417</v>
      </c>
      <c r="D1932" s="63" t="s">
        <v>21</v>
      </c>
      <c r="E1932" s="66"/>
      <c r="F1932" s="67">
        <v>3.0000000000000001E-3</v>
      </c>
      <c r="G1932" s="67">
        <v>2E-3</v>
      </c>
      <c r="H1932" s="63"/>
    </row>
    <row r="1933" spans="1:8" x14ac:dyDescent="0.25">
      <c r="A1933" s="63"/>
      <c r="B1933" s="63">
        <v>25</v>
      </c>
      <c r="C1933" s="63" t="s">
        <v>3417</v>
      </c>
      <c r="D1933" s="63" t="s">
        <v>21</v>
      </c>
      <c r="E1933" s="66"/>
      <c r="F1933" s="67">
        <v>3.0000000000000001E-3</v>
      </c>
      <c r="G1933" s="67">
        <v>2E-3</v>
      </c>
      <c r="H1933" s="63"/>
    </row>
    <row r="1934" spans="1:8" x14ac:dyDescent="0.25">
      <c r="A1934" s="63"/>
      <c r="B1934" s="63">
        <v>26</v>
      </c>
      <c r="C1934" s="63" t="s">
        <v>3417</v>
      </c>
      <c r="D1934" s="63" t="s">
        <v>21</v>
      </c>
      <c r="E1934" s="66"/>
      <c r="F1934" s="67">
        <v>3.0000000000000001E-3</v>
      </c>
      <c r="G1934" s="67">
        <v>2E-3</v>
      </c>
      <c r="H1934" s="63"/>
    </row>
    <row r="1935" spans="1:8" x14ac:dyDescent="0.25">
      <c r="A1935" s="63"/>
      <c r="B1935" s="63">
        <v>27</v>
      </c>
      <c r="C1935" s="63" t="s">
        <v>3417</v>
      </c>
      <c r="D1935" s="63" t="s">
        <v>21</v>
      </c>
      <c r="E1935" s="66"/>
      <c r="F1935" s="67">
        <v>3.0000000000000001E-3</v>
      </c>
      <c r="G1935" s="67">
        <v>2E-3</v>
      </c>
      <c r="H1935" s="63"/>
    </row>
    <row r="1936" spans="1:8" x14ac:dyDescent="0.25">
      <c r="A1936" s="63"/>
      <c r="B1936" s="63">
        <v>28</v>
      </c>
      <c r="C1936" s="63" t="s">
        <v>3417</v>
      </c>
      <c r="D1936" s="63" t="s">
        <v>21</v>
      </c>
      <c r="E1936" s="66"/>
      <c r="F1936" s="67">
        <v>3.0000000000000001E-3</v>
      </c>
      <c r="G1936" s="67">
        <v>2E-3</v>
      </c>
      <c r="H1936" s="63"/>
    </row>
    <row r="1937" spans="1:8" x14ac:dyDescent="0.25">
      <c r="A1937" s="63"/>
      <c r="B1937" s="63">
        <v>29</v>
      </c>
      <c r="C1937" s="63" t="s">
        <v>3417</v>
      </c>
      <c r="D1937" s="63" t="s">
        <v>21</v>
      </c>
      <c r="E1937" s="66"/>
      <c r="F1937" s="67">
        <v>3.0000000000000001E-3</v>
      </c>
      <c r="G1937" s="67">
        <v>2E-3</v>
      </c>
      <c r="H1937" s="63"/>
    </row>
    <row r="1938" spans="1:8" x14ac:dyDescent="0.25">
      <c r="A1938" s="63"/>
      <c r="B1938" s="63">
        <v>30</v>
      </c>
      <c r="C1938" s="63" t="s">
        <v>3417</v>
      </c>
      <c r="D1938" s="63" t="s">
        <v>21</v>
      </c>
      <c r="E1938" s="66"/>
      <c r="F1938" s="67">
        <v>3.0000000000000001E-3</v>
      </c>
      <c r="G1938" s="67">
        <v>2E-3</v>
      </c>
      <c r="H1938" s="63"/>
    </row>
    <row r="1939" spans="1:8" x14ac:dyDescent="0.25">
      <c r="A1939" s="63"/>
      <c r="B1939" s="63">
        <v>0</v>
      </c>
      <c r="C1939" s="63" t="s">
        <v>3417</v>
      </c>
      <c r="D1939" s="63" t="s">
        <v>21</v>
      </c>
      <c r="E1939" s="66">
        <v>3.0428788910505911</v>
      </c>
      <c r="F1939" s="67">
        <v>3.0000000000000001E-3</v>
      </c>
      <c r="G1939" s="67">
        <v>2E-3</v>
      </c>
      <c r="H1939" s="63"/>
    </row>
    <row r="1940" spans="1:8" x14ac:dyDescent="0.25">
      <c r="A1940" s="63"/>
      <c r="B1940" s="63">
        <v>0.25</v>
      </c>
      <c r="C1940" s="63" t="s">
        <v>3417</v>
      </c>
      <c r="D1940" s="63" t="s">
        <v>62</v>
      </c>
      <c r="E1940" s="66">
        <v>28.403524857829389</v>
      </c>
      <c r="F1940" s="67">
        <v>3.0000000000000001E-3</v>
      </c>
      <c r="G1940" s="67">
        <v>2E-3</v>
      </c>
      <c r="H1940" s="63"/>
    </row>
    <row r="1941" spans="1:8" x14ac:dyDescent="0.25">
      <c r="A1941" s="63"/>
      <c r="B1941" s="63">
        <v>0.5</v>
      </c>
      <c r="C1941" s="63" t="s">
        <v>3417</v>
      </c>
      <c r="D1941" s="63" t="s">
        <v>62</v>
      </c>
      <c r="E1941" s="66">
        <v>28.92080496803354</v>
      </c>
      <c r="F1941" s="67">
        <v>3.0000000000000001E-3</v>
      </c>
      <c r="G1941" s="67">
        <v>2E-3</v>
      </c>
      <c r="H1941" s="63"/>
    </row>
    <row r="1942" spans="1:8" x14ac:dyDescent="0.25">
      <c r="A1942" s="63"/>
      <c r="B1942" s="63">
        <v>0.75</v>
      </c>
      <c r="C1942" s="63" t="s">
        <v>3417</v>
      </c>
      <c r="D1942" s="63" t="s">
        <v>62</v>
      </c>
      <c r="E1942" s="66">
        <v>29.333627376516958</v>
      </c>
      <c r="F1942" s="67">
        <v>3.0000000000000001E-3</v>
      </c>
      <c r="G1942" s="67">
        <v>2E-3</v>
      </c>
      <c r="H1942" s="63"/>
    </row>
    <row r="1943" spans="1:8" x14ac:dyDescent="0.25">
      <c r="A1943" s="63"/>
      <c r="B1943" s="63">
        <v>1</v>
      </c>
      <c r="C1943" s="63" t="s">
        <v>3417</v>
      </c>
      <c r="D1943" s="63" t="s">
        <v>62</v>
      </c>
      <c r="E1943" s="66">
        <v>30.284359409358924</v>
      </c>
      <c r="F1943" s="67">
        <v>3.0000000000000001E-3</v>
      </c>
      <c r="G1943" s="67">
        <v>2E-3</v>
      </c>
      <c r="H1943" s="63"/>
    </row>
    <row r="1944" spans="1:8" x14ac:dyDescent="0.25">
      <c r="A1944" s="63"/>
      <c r="B1944" s="63">
        <v>2</v>
      </c>
      <c r="C1944" s="63" t="s">
        <v>3417</v>
      </c>
      <c r="D1944" s="63" t="s">
        <v>62</v>
      </c>
      <c r="E1944" s="66">
        <v>38.961884648474317</v>
      </c>
      <c r="F1944" s="67">
        <v>3.0000000000000001E-3</v>
      </c>
      <c r="G1944" s="67">
        <v>2E-3</v>
      </c>
      <c r="H1944" s="63"/>
    </row>
    <row r="1945" spans="1:8" x14ac:dyDescent="0.25">
      <c r="A1945" s="63"/>
      <c r="B1945" s="63">
        <v>3</v>
      </c>
      <c r="C1945" s="63" t="s">
        <v>3417</v>
      </c>
      <c r="D1945" s="63" t="s">
        <v>62</v>
      </c>
      <c r="E1945" s="66">
        <v>48.51957336294808</v>
      </c>
      <c r="F1945" s="67">
        <v>3.0000000000000001E-3</v>
      </c>
      <c r="G1945" s="67">
        <v>2E-3</v>
      </c>
      <c r="H1945" s="63"/>
    </row>
    <row r="1946" spans="1:8" x14ac:dyDescent="0.25">
      <c r="A1946" s="63"/>
      <c r="B1946" s="63">
        <v>4</v>
      </c>
      <c r="C1946" s="63" t="s">
        <v>3417</v>
      </c>
      <c r="D1946" s="63" t="s">
        <v>62</v>
      </c>
      <c r="E1946" s="66">
        <v>58.287780223206148</v>
      </c>
      <c r="F1946" s="67">
        <v>3.0000000000000001E-3</v>
      </c>
      <c r="G1946" s="67">
        <v>2E-3</v>
      </c>
      <c r="H1946" s="63"/>
    </row>
    <row r="1947" spans="1:8" x14ac:dyDescent="0.25">
      <c r="A1947" s="63"/>
      <c r="B1947" s="63">
        <v>5</v>
      </c>
      <c r="C1947" s="63" t="s">
        <v>3417</v>
      </c>
      <c r="D1947" s="63" t="s">
        <v>62</v>
      </c>
      <c r="E1947" s="66">
        <v>68.332476328937858</v>
      </c>
      <c r="F1947" s="67">
        <v>3.0000000000000001E-3</v>
      </c>
      <c r="G1947" s="67">
        <v>2E-3</v>
      </c>
      <c r="H1947" s="63"/>
    </row>
    <row r="1948" spans="1:8" x14ac:dyDescent="0.25">
      <c r="A1948" s="63"/>
      <c r="B1948" s="63">
        <v>6</v>
      </c>
      <c r="C1948" s="63" t="s">
        <v>3417</v>
      </c>
      <c r="D1948" s="63" t="s">
        <v>62</v>
      </c>
      <c r="E1948" s="66">
        <v>78.542023920240439</v>
      </c>
      <c r="F1948" s="67">
        <v>3.0000000000000001E-3</v>
      </c>
      <c r="G1948" s="67">
        <v>2E-3</v>
      </c>
      <c r="H1948" s="63"/>
    </row>
    <row r="1949" spans="1:8" x14ac:dyDescent="0.25">
      <c r="A1949" s="63"/>
      <c r="B1949" s="63">
        <v>7</v>
      </c>
      <c r="C1949" s="63" t="s">
        <v>3417</v>
      </c>
      <c r="D1949" s="63" t="s">
        <v>62</v>
      </c>
      <c r="E1949" s="66">
        <v>88.937627731651602</v>
      </c>
      <c r="F1949" s="67">
        <v>3.0000000000000001E-3</v>
      </c>
      <c r="G1949" s="67">
        <v>2E-3</v>
      </c>
      <c r="H1949" s="63"/>
    </row>
    <row r="1950" spans="1:8" x14ac:dyDescent="0.25">
      <c r="A1950" s="63"/>
      <c r="B1950" s="63">
        <v>8</v>
      </c>
      <c r="C1950" s="63" t="s">
        <v>3417</v>
      </c>
      <c r="D1950" s="63" t="s">
        <v>62</v>
      </c>
      <c r="E1950" s="66">
        <v>99.543292063618765</v>
      </c>
      <c r="F1950" s="67">
        <v>3.0000000000000001E-3</v>
      </c>
      <c r="G1950" s="67">
        <v>2E-3</v>
      </c>
      <c r="H1950" s="63"/>
    </row>
    <row r="1951" spans="1:8" x14ac:dyDescent="0.25">
      <c r="A1951" s="63"/>
      <c r="B1951" s="63">
        <v>9</v>
      </c>
      <c r="C1951" s="63" t="s">
        <v>3417</v>
      </c>
      <c r="D1951" s="63" t="s">
        <v>62</v>
      </c>
      <c r="E1951" s="66">
        <v>109.83422491913444</v>
      </c>
      <c r="F1951" s="67">
        <v>3.0000000000000001E-3</v>
      </c>
      <c r="G1951" s="67">
        <v>2E-3</v>
      </c>
      <c r="H1951" s="63"/>
    </row>
    <row r="1952" spans="1:8" x14ac:dyDescent="0.25">
      <c r="A1952" s="63"/>
      <c r="B1952" s="63">
        <v>10</v>
      </c>
      <c r="C1952" s="63" t="s">
        <v>3417</v>
      </c>
      <c r="D1952" s="63" t="s">
        <v>62</v>
      </c>
      <c r="E1952" s="66">
        <v>120.01350520286388</v>
      </c>
      <c r="F1952" s="67">
        <v>3.0000000000000001E-3</v>
      </c>
      <c r="G1952" s="67">
        <v>2E-3</v>
      </c>
      <c r="H1952" s="63"/>
    </row>
    <row r="1953" spans="1:8" x14ac:dyDescent="0.25">
      <c r="A1953" s="63"/>
      <c r="B1953" s="63">
        <v>11</v>
      </c>
      <c r="C1953" s="63" t="s">
        <v>3417</v>
      </c>
      <c r="D1953" s="63" t="s">
        <v>62</v>
      </c>
      <c r="E1953" s="66"/>
      <c r="F1953" s="67">
        <v>3.0000000000000001E-3</v>
      </c>
      <c r="G1953" s="67">
        <v>2E-3</v>
      </c>
      <c r="H1953" s="63"/>
    </row>
    <row r="1954" spans="1:8" x14ac:dyDescent="0.25">
      <c r="A1954" s="63"/>
      <c r="B1954" s="63">
        <v>12</v>
      </c>
      <c r="C1954" s="63" t="s">
        <v>3417</v>
      </c>
      <c r="D1954" s="63" t="s">
        <v>62</v>
      </c>
      <c r="E1954" s="66"/>
      <c r="F1954" s="67">
        <v>3.0000000000000001E-3</v>
      </c>
      <c r="G1954" s="67">
        <v>2E-3</v>
      </c>
      <c r="H1954" s="63"/>
    </row>
    <row r="1955" spans="1:8" x14ac:dyDescent="0.25">
      <c r="A1955" s="63"/>
      <c r="B1955" s="63">
        <v>13</v>
      </c>
      <c r="C1955" s="63" t="s">
        <v>3417</v>
      </c>
      <c r="D1955" s="63" t="s">
        <v>62</v>
      </c>
      <c r="E1955" s="66"/>
      <c r="F1955" s="67">
        <v>3.0000000000000001E-3</v>
      </c>
      <c r="G1955" s="67">
        <v>2E-3</v>
      </c>
      <c r="H1955" s="63"/>
    </row>
    <row r="1956" spans="1:8" x14ac:dyDescent="0.25">
      <c r="A1956" s="63"/>
      <c r="B1956" s="63">
        <v>14</v>
      </c>
      <c r="C1956" s="63" t="s">
        <v>3417</v>
      </c>
      <c r="D1956" s="63" t="s">
        <v>62</v>
      </c>
      <c r="E1956" s="66"/>
      <c r="F1956" s="67">
        <v>3.0000000000000001E-3</v>
      </c>
      <c r="G1956" s="67">
        <v>2E-3</v>
      </c>
      <c r="H1956" s="63"/>
    </row>
    <row r="1957" spans="1:8" x14ac:dyDescent="0.25">
      <c r="A1957" s="63"/>
      <c r="B1957" s="63">
        <v>15</v>
      </c>
      <c r="C1957" s="63" t="s">
        <v>3417</v>
      </c>
      <c r="D1957" s="63" t="s">
        <v>62</v>
      </c>
      <c r="E1957" s="66"/>
      <c r="F1957" s="67">
        <v>3.0000000000000001E-3</v>
      </c>
      <c r="G1957" s="67">
        <v>2E-3</v>
      </c>
      <c r="H1957" s="63"/>
    </row>
    <row r="1958" spans="1:8" x14ac:dyDescent="0.25">
      <c r="A1958" s="63"/>
      <c r="B1958" s="63">
        <v>16</v>
      </c>
      <c r="C1958" s="63" t="s">
        <v>3417</v>
      </c>
      <c r="D1958" s="63" t="s">
        <v>62</v>
      </c>
      <c r="E1958" s="66"/>
      <c r="F1958" s="67">
        <v>3.0000000000000001E-3</v>
      </c>
      <c r="G1958" s="67">
        <v>2E-3</v>
      </c>
      <c r="H1958" s="63"/>
    </row>
    <row r="1959" spans="1:8" x14ac:dyDescent="0.25">
      <c r="A1959" s="63"/>
      <c r="B1959" s="63">
        <v>17</v>
      </c>
      <c r="C1959" s="63" t="s">
        <v>3417</v>
      </c>
      <c r="D1959" s="63" t="s">
        <v>62</v>
      </c>
      <c r="E1959" s="66"/>
      <c r="F1959" s="67">
        <v>3.0000000000000001E-3</v>
      </c>
      <c r="G1959" s="67">
        <v>2E-3</v>
      </c>
      <c r="H1959" s="63"/>
    </row>
    <row r="1960" spans="1:8" x14ac:dyDescent="0.25">
      <c r="A1960" s="63"/>
      <c r="B1960" s="63">
        <v>18</v>
      </c>
      <c r="C1960" s="63" t="s">
        <v>3417</v>
      </c>
      <c r="D1960" s="63" t="s">
        <v>62</v>
      </c>
      <c r="E1960" s="66"/>
      <c r="F1960" s="67">
        <v>3.0000000000000001E-3</v>
      </c>
      <c r="G1960" s="67">
        <v>2E-3</v>
      </c>
      <c r="H1960" s="63"/>
    </row>
    <row r="1961" spans="1:8" x14ac:dyDescent="0.25">
      <c r="A1961" s="63"/>
      <c r="B1961" s="63">
        <v>19</v>
      </c>
      <c r="C1961" s="63" t="s">
        <v>3417</v>
      </c>
      <c r="D1961" s="63" t="s">
        <v>62</v>
      </c>
      <c r="E1961" s="66"/>
      <c r="F1961" s="67">
        <v>3.0000000000000001E-3</v>
      </c>
      <c r="G1961" s="67">
        <v>2E-3</v>
      </c>
      <c r="H1961" s="63"/>
    </row>
    <row r="1962" spans="1:8" x14ac:dyDescent="0.25">
      <c r="A1962" s="63"/>
      <c r="B1962" s="63">
        <v>20</v>
      </c>
      <c r="C1962" s="63" t="s">
        <v>3417</v>
      </c>
      <c r="D1962" s="63" t="s">
        <v>62</v>
      </c>
      <c r="E1962" s="66"/>
      <c r="F1962" s="67">
        <v>3.0000000000000001E-3</v>
      </c>
      <c r="G1962" s="67">
        <v>2E-3</v>
      </c>
      <c r="H1962" s="63"/>
    </row>
    <row r="1963" spans="1:8" x14ac:dyDescent="0.25">
      <c r="A1963" s="63"/>
      <c r="B1963" s="63">
        <v>21</v>
      </c>
      <c r="C1963" s="63" t="s">
        <v>3417</v>
      </c>
      <c r="D1963" s="63" t="s">
        <v>62</v>
      </c>
      <c r="E1963" s="66"/>
      <c r="F1963" s="67">
        <v>3.0000000000000001E-3</v>
      </c>
      <c r="G1963" s="67">
        <v>2E-3</v>
      </c>
      <c r="H1963" s="63"/>
    </row>
    <row r="1964" spans="1:8" x14ac:dyDescent="0.25">
      <c r="A1964" s="63"/>
      <c r="B1964" s="63">
        <v>22</v>
      </c>
      <c r="C1964" s="63" t="s">
        <v>3417</v>
      </c>
      <c r="D1964" s="63" t="s">
        <v>62</v>
      </c>
      <c r="E1964" s="66"/>
      <c r="F1964" s="67">
        <v>3.0000000000000001E-3</v>
      </c>
      <c r="G1964" s="67">
        <v>2E-3</v>
      </c>
      <c r="H1964" s="63"/>
    </row>
    <row r="1965" spans="1:8" x14ac:dyDescent="0.25">
      <c r="A1965" s="63"/>
      <c r="B1965" s="63">
        <v>23</v>
      </c>
      <c r="C1965" s="63" t="s">
        <v>3417</v>
      </c>
      <c r="D1965" s="63" t="s">
        <v>62</v>
      </c>
      <c r="E1965" s="66"/>
      <c r="F1965" s="67">
        <v>3.0000000000000001E-3</v>
      </c>
      <c r="G1965" s="67">
        <v>2E-3</v>
      </c>
      <c r="H1965" s="63"/>
    </row>
    <row r="1966" spans="1:8" x14ac:dyDescent="0.25">
      <c r="A1966" s="63"/>
      <c r="B1966" s="63">
        <v>24</v>
      </c>
      <c r="C1966" s="63" t="s">
        <v>3417</v>
      </c>
      <c r="D1966" s="63" t="s">
        <v>62</v>
      </c>
      <c r="E1966" s="66"/>
      <c r="F1966" s="67">
        <v>3.0000000000000001E-3</v>
      </c>
      <c r="G1966" s="67">
        <v>2E-3</v>
      </c>
      <c r="H1966" s="63"/>
    </row>
    <row r="1967" spans="1:8" x14ac:dyDescent="0.25">
      <c r="A1967" s="63"/>
      <c r="B1967" s="63">
        <v>25</v>
      </c>
      <c r="C1967" s="63" t="s">
        <v>3417</v>
      </c>
      <c r="D1967" s="63" t="s">
        <v>62</v>
      </c>
      <c r="E1967" s="66"/>
      <c r="F1967" s="67">
        <v>3.0000000000000001E-3</v>
      </c>
      <c r="G1967" s="67">
        <v>2E-3</v>
      </c>
      <c r="H1967" s="63"/>
    </row>
    <row r="1968" spans="1:8" x14ac:dyDescent="0.25">
      <c r="A1968" s="63"/>
      <c r="B1968" s="63">
        <v>26</v>
      </c>
      <c r="C1968" s="63" t="s">
        <v>3417</v>
      </c>
      <c r="D1968" s="63" t="s">
        <v>62</v>
      </c>
      <c r="E1968" s="66"/>
      <c r="F1968" s="67">
        <v>3.0000000000000001E-3</v>
      </c>
      <c r="G1968" s="67">
        <v>2E-3</v>
      </c>
      <c r="H1968" s="63"/>
    </row>
    <row r="1969" spans="1:8" x14ac:dyDescent="0.25">
      <c r="A1969" s="63"/>
      <c r="B1969" s="63">
        <v>27</v>
      </c>
      <c r="C1969" s="63" t="s">
        <v>3417</v>
      </c>
      <c r="D1969" s="63" t="s">
        <v>62</v>
      </c>
      <c r="E1969" s="66"/>
      <c r="F1969" s="67">
        <v>3.0000000000000001E-3</v>
      </c>
      <c r="G1969" s="67">
        <v>2E-3</v>
      </c>
      <c r="H1969" s="63"/>
    </row>
    <row r="1970" spans="1:8" x14ac:dyDescent="0.25">
      <c r="A1970" s="63"/>
      <c r="B1970" s="63">
        <v>28</v>
      </c>
      <c r="C1970" s="63" t="s">
        <v>3417</v>
      </c>
      <c r="D1970" s="63" t="s">
        <v>62</v>
      </c>
      <c r="E1970" s="66"/>
      <c r="F1970" s="67">
        <v>3.0000000000000001E-3</v>
      </c>
      <c r="G1970" s="67">
        <v>2E-3</v>
      </c>
      <c r="H1970" s="63"/>
    </row>
    <row r="1971" spans="1:8" x14ac:dyDescent="0.25">
      <c r="A1971" s="63"/>
      <c r="B1971" s="63">
        <v>29</v>
      </c>
      <c r="C1971" s="63" t="s">
        <v>3417</v>
      </c>
      <c r="D1971" s="63" t="s">
        <v>62</v>
      </c>
      <c r="E1971" s="66"/>
      <c r="F1971" s="67">
        <v>3.0000000000000001E-3</v>
      </c>
      <c r="G1971" s="67">
        <v>2E-3</v>
      </c>
      <c r="H1971" s="63"/>
    </row>
    <row r="1972" spans="1:8" x14ac:dyDescent="0.25">
      <c r="A1972" s="63"/>
      <c r="B1972" s="63">
        <v>30</v>
      </c>
      <c r="C1972" s="63" t="s">
        <v>3417</v>
      </c>
      <c r="D1972" s="63" t="s">
        <v>62</v>
      </c>
      <c r="E1972" s="66"/>
      <c r="F1972" s="67">
        <v>3.0000000000000001E-3</v>
      </c>
      <c r="G1972" s="67">
        <v>2E-3</v>
      </c>
      <c r="H1972" s="63"/>
    </row>
    <row r="1973" spans="1:8" x14ac:dyDescent="0.25">
      <c r="A1973" s="63"/>
      <c r="B1973" s="63">
        <v>0</v>
      </c>
      <c r="C1973" s="63" t="s">
        <v>3417</v>
      </c>
      <c r="D1973" s="63" t="s">
        <v>62</v>
      </c>
      <c r="E1973" s="66">
        <v>3.0428788910505911</v>
      </c>
      <c r="F1973" s="67">
        <v>3.0000000000000001E-3</v>
      </c>
      <c r="G1973" s="67">
        <v>2E-3</v>
      </c>
      <c r="H1973" s="63"/>
    </row>
    <row r="1974" spans="1:8" x14ac:dyDescent="0.25">
      <c r="A1974" s="63"/>
      <c r="B1974" s="63">
        <v>0.25</v>
      </c>
      <c r="C1974" s="63" t="s">
        <v>3417</v>
      </c>
      <c r="D1974" s="63" t="s">
        <v>64</v>
      </c>
      <c r="E1974" s="66">
        <v>29.265010066285189</v>
      </c>
      <c r="F1974" s="67">
        <v>3.0000000000000001E-3</v>
      </c>
      <c r="G1974" s="67">
        <v>2E-3</v>
      </c>
      <c r="H1974" s="63"/>
    </row>
    <row r="1975" spans="1:8" x14ac:dyDescent="0.25">
      <c r="A1975" s="63"/>
      <c r="B1975" s="63">
        <v>0.5</v>
      </c>
      <c r="C1975" s="63" t="s">
        <v>3417</v>
      </c>
      <c r="D1975" s="63" t="s">
        <v>64</v>
      </c>
      <c r="E1975" s="66">
        <v>29.808934048915802</v>
      </c>
      <c r="F1975" s="67">
        <v>3.0000000000000001E-3</v>
      </c>
      <c r="G1975" s="67">
        <v>2E-3</v>
      </c>
      <c r="H1975" s="63"/>
    </row>
    <row r="1976" spans="1:8" x14ac:dyDescent="0.25">
      <c r="A1976" s="63"/>
      <c r="B1976" s="63">
        <v>0.75</v>
      </c>
      <c r="C1976" s="63" t="s">
        <v>3417</v>
      </c>
      <c r="D1976" s="63" t="s">
        <v>64</v>
      </c>
      <c r="E1976" s="66">
        <v>30.249224367117225</v>
      </c>
      <c r="F1976" s="67">
        <v>3.0000000000000001E-3</v>
      </c>
      <c r="G1976" s="67">
        <v>2E-3</v>
      </c>
      <c r="H1976" s="63"/>
    </row>
    <row r="1977" spans="1:8" x14ac:dyDescent="0.25">
      <c r="A1977" s="63"/>
      <c r="B1977" s="63">
        <v>1</v>
      </c>
      <c r="C1977" s="63" t="s">
        <v>3417</v>
      </c>
      <c r="D1977" s="63" t="s">
        <v>64</v>
      </c>
      <c r="E1977" s="66">
        <v>30.765556355079035</v>
      </c>
      <c r="F1977" s="67">
        <v>3.0000000000000001E-3</v>
      </c>
      <c r="G1977" s="67">
        <v>2E-3</v>
      </c>
      <c r="H1977" s="63"/>
    </row>
    <row r="1978" spans="1:8" x14ac:dyDescent="0.25">
      <c r="A1978" s="63"/>
      <c r="B1978" s="63">
        <v>2</v>
      </c>
      <c r="C1978" s="63" t="s">
        <v>3417</v>
      </c>
      <c r="D1978" s="63" t="s">
        <v>64</v>
      </c>
      <c r="E1978" s="66">
        <v>39.457963973958975</v>
      </c>
      <c r="F1978" s="67">
        <v>3.0000000000000001E-3</v>
      </c>
      <c r="G1978" s="67">
        <v>2E-3</v>
      </c>
      <c r="H1978" s="63"/>
    </row>
    <row r="1979" spans="1:8" x14ac:dyDescent="0.25">
      <c r="A1979" s="63"/>
      <c r="B1979" s="63">
        <v>3</v>
      </c>
      <c r="C1979" s="63" t="s">
        <v>3417</v>
      </c>
      <c r="D1979" s="63" t="s">
        <v>64</v>
      </c>
      <c r="E1979" s="66">
        <v>49.189335193548523</v>
      </c>
      <c r="F1979" s="67">
        <v>3.0000000000000001E-3</v>
      </c>
      <c r="G1979" s="67">
        <v>2E-3</v>
      </c>
      <c r="H1979" s="63"/>
    </row>
    <row r="1980" spans="1:8" x14ac:dyDescent="0.25">
      <c r="A1980" s="63"/>
      <c r="B1980" s="63">
        <v>4</v>
      </c>
      <c r="C1980" s="63" t="s">
        <v>3417</v>
      </c>
      <c r="D1980" s="63" t="s">
        <v>64</v>
      </c>
      <c r="E1980" s="66">
        <v>59.021072871873201</v>
      </c>
      <c r="F1980" s="67">
        <v>3.0000000000000001E-3</v>
      </c>
      <c r="G1980" s="67">
        <v>2E-3</v>
      </c>
      <c r="H1980" s="63"/>
    </row>
    <row r="1981" spans="1:8" x14ac:dyDescent="0.25">
      <c r="A1981" s="63"/>
      <c r="B1981" s="63">
        <v>5</v>
      </c>
      <c r="C1981" s="63" t="s">
        <v>3417</v>
      </c>
      <c r="D1981" s="63" t="s">
        <v>64</v>
      </c>
      <c r="E1981" s="66">
        <v>68.963213654806424</v>
      </c>
      <c r="F1981" s="67">
        <v>3.0000000000000001E-3</v>
      </c>
      <c r="G1981" s="67">
        <v>2E-3</v>
      </c>
      <c r="H1981" s="63"/>
    </row>
    <row r="1982" spans="1:8" x14ac:dyDescent="0.25">
      <c r="A1982" s="63"/>
      <c r="B1982" s="63">
        <v>6</v>
      </c>
      <c r="C1982" s="63" t="s">
        <v>3417</v>
      </c>
      <c r="D1982" s="63" t="s">
        <v>64</v>
      </c>
      <c r="E1982" s="66">
        <v>80.988013814636687</v>
      </c>
      <c r="F1982" s="67">
        <v>3.0000000000000001E-3</v>
      </c>
      <c r="G1982" s="67">
        <v>2E-3</v>
      </c>
      <c r="H1982" s="63"/>
    </row>
    <row r="1983" spans="1:8" x14ac:dyDescent="0.25">
      <c r="A1983" s="63"/>
      <c r="B1983" s="63">
        <v>7</v>
      </c>
      <c r="C1983" s="63" t="s">
        <v>3417</v>
      </c>
      <c r="D1983" s="63" t="s">
        <v>64</v>
      </c>
      <c r="E1983" s="66">
        <v>90.402927149467544</v>
      </c>
      <c r="F1983" s="67">
        <v>3.0000000000000001E-3</v>
      </c>
      <c r="G1983" s="67">
        <v>2E-3</v>
      </c>
      <c r="H1983" s="63"/>
    </row>
    <row r="1984" spans="1:8" x14ac:dyDescent="0.25">
      <c r="A1984" s="63"/>
      <c r="B1984" s="63">
        <v>8</v>
      </c>
      <c r="C1984" s="63" t="s">
        <v>3417</v>
      </c>
      <c r="D1984" s="63" t="s">
        <v>64</v>
      </c>
      <c r="E1984" s="66">
        <v>99.950154291619398</v>
      </c>
      <c r="F1984" s="67">
        <v>3.0000000000000001E-3</v>
      </c>
      <c r="G1984" s="67">
        <v>2E-3</v>
      </c>
      <c r="H1984" s="63"/>
    </row>
    <row r="1985" spans="1:8" x14ac:dyDescent="0.25">
      <c r="A1985" s="63"/>
      <c r="B1985" s="63">
        <v>9</v>
      </c>
      <c r="C1985" s="63" t="s">
        <v>3417</v>
      </c>
      <c r="D1985" s="63" t="s">
        <v>64</v>
      </c>
      <c r="E1985" s="66">
        <v>110.50371811060836</v>
      </c>
      <c r="F1985" s="67">
        <v>3.0000000000000001E-3</v>
      </c>
      <c r="G1985" s="67">
        <v>2E-3</v>
      </c>
      <c r="H1985" s="63"/>
    </row>
    <row r="1986" spans="1:8" x14ac:dyDescent="0.25">
      <c r="A1986" s="63"/>
      <c r="B1986" s="63">
        <v>10</v>
      </c>
      <c r="C1986" s="63" t="s">
        <v>3417</v>
      </c>
      <c r="D1986" s="63" t="s">
        <v>64</v>
      </c>
      <c r="E1986" s="66">
        <v>120.12356451319805</v>
      </c>
      <c r="F1986" s="67">
        <v>3.0000000000000001E-3</v>
      </c>
      <c r="G1986" s="67">
        <v>2E-3</v>
      </c>
      <c r="H1986" s="63"/>
    </row>
    <row r="1987" spans="1:8" x14ac:dyDescent="0.25">
      <c r="A1987" s="63"/>
      <c r="B1987" s="63">
        <v>11</v>
      </c>
      <c r="C1987" s="63" t="s">
        <v>3417</v>
      </c>
      <c r="D1987" s="63" t="s">
        <v>64</v>
      </c>
      <c r="E1987" s="66"/>
      <c r="F1987" s="67">
        <v>3.0000000000000001E-3</v>
      </c>
      <c r="G1987" s="67">
        <v>2E-3</v>
      </c>
      <c r="H1987" s="63"/>
    </row>
    <row r="1988" spans="1:8" x14ac:dyDescent="0.25">
      <c r="A1988" s="63"/>
      <c r="B1988" s="63">
        <v>12</v>
      </c>
      <c r="C1988" s="63" t="s">
        <v>3417</v>
      </c>
      <c r="D1988" s="63" t="s">
        <v>64</v>
      </c>
      <c r="E1988" s="66"/>
      <c r="F1988" s="67">
        <v>3.0000000000000001E-3</v>
      </c>
      <c r="G1988" s="67">
        <v>2E-3</v>
      </c>
      <c r="H1988" s="63"/>
    </row>
    <row r="1989" spans="1:8" x14ac:dyDescent="0.25">
      <c r="A1989" s="63"/>
      <c r="B1989" s="63">
        <v>13</v>
      </c>
      <c r="C1989" s="63" t="s">
        <v>3417</v>
      </c>
      <c r="D1989" s="63" t="s">
        <v>64</v>
      </c>
      <c r="E1989" s="66"/>
      <c r="F1989" s="67">
        <v>3.0000000000000001E-3</v>
      </c>
      <c r="G1989" s="67">
        <v>2E-3</v>
      </c>
      <c r="H1989" s="63"/>
    </row>
    <row r="1990" spans="1:8" x14ac:dyDescent="0.25">
      <c r="A1990" s="63"/>
      <c r="B1990" s="63">
        <v>14</v>
      </c>
      <c r="C1990" s="63" t="s">
        <v>3417</v>
      </c>
      <c r="D1990" s="63" t="s">
        <v>64</v>
      </c>
      <c r="E1990" s="66"/>
      <c r="F1990" s="67">
        <v>3.0000000000000001E-3</v>
      </c>
      <c r="G1990" s="67">
        <v>2E-3</v>
      </c>
      <c r="H1990" s="63"/>
    </row>
    <row r="1991" spans="1:8" x14ac:dyDescent="0.25">
      <c r="A1991" s="63"/>
      <c r="B1991" s="63">
        <v>15</v>
      </c>
      <c r="C1991" s="63" t="s">
        <v>3417</v>
      </c>
      <c r="D1991" s="63" t="s">
        <v>64</v>
      </c>
      <c r="E1991" s="66"/>
      <c r="F1991" s="67">
        <v>3.0000000000000001E-3</v>
      </c>
      <c r="G1991" s="67">
        <v>2E-3</v>
      </c>
      <c r="H1991" s="63"/>
    </row>
    <row r="1992" spans="1:8" x14ac:dyDescent="0.25">
      <c r="A1992" s="63"/>
      <c r="B1992" s="63">
        <v>16</v>
      </c>
      <c r="C1992" s="63" t="s">
        <v>3417</v>
      </c>
      <c r="D1992" s="63" t="s">
        <v>64</v>
      </c>
      <c r="E1992" s="66"/>
      <c r="F1992" s="67">
        <v>3.0000000000000001E-3</v>
      </c>
      <c r="G1992" s="67">
        <v>2E-3</v>
      </c>
      <c r="H1992" s="63"/>
    </row>
    <row r="1993" spans="1:8" x14ac:dyDescent="0.25">
      <c r="A1993" s="63"/>
      <c r="B1993" s="63">
        <v>17</v>
      </c>
      <c r="C1993" s="63" t="s">
        <v>3417</v>
      </c>
      <c r="D1993" s="63" t="s">
        <v>64</v>
      </c>
      <c r="E1993" s="66"/>
      <c r="F1993" s="67">
        <v>3.0000000000000001E-3</v>
      </c>
      <c r="G1993" s="67">
        <v>2E-3</v>
      </c>
      <c r="H1993" s="63"/>
    </row>
    <row r="1994" spans="1:8" x14ac:dyDescent="0.25">
      <c r="A1994" s="63"/>
      <c r="B1994" s="63">
        <v>18</v>
      </c>
      <c r="C1994" s="63" t="s">
        <v>3417</v>
      </c>
      <c r="D1994" s="63" t="s">
        <v>64</v>
      </c>
      <c r="E1994" s="66"/>
      <c r="F1994" s="67">
        <v>3.0000000000000001E-3</v>
      </c>
      <c r="G1994" s="67">
        <v>2E-3</v>
      </c>
      <c r="H1994" s="63"/>
    </row>
    <row r="1995" spans="1:8" x14ac:dyDescent="0.25">
      <c r="A1995" s="63"/>
      <c r="B1995" s="63">
        <v>19</v>
      </c>
      <c r="C1995" s="63" t="s">
        <v>3417</v>
      </c>
      <c r="D1995" s="63" t="s">
        <v>64</v>
      </c>
      <c r="E1995" s="66"/>
      <c r="F1995" s="67">
        <v>3.0000000000000001E-3</v>
      </c>
      <c r="G1995" s="67">
        <v>2E-3</v>
      </c>
      <c r="H1995" s="63"/>
    </row>
    <row r="1996" spans="1:8" x14ac:dyDescent="0.25">
      <c r="A1996" s="63"/>
      <c r="B1996" s="63">
        <v>20</v>
      </c>
      <c r="C1996" s="63" t="s">
        <v>3417</v>
      </c>
      <c r="D1996" s="63" t="s">
        <v>64</v>
      </c>
      <c r="E1996" s="66"/>
      <c r="F1996" s="67">
        <v>3.0000000000000001E-3</v>
      </c>
      <c r="G1996" s="67">
        <v>2E-3</v>
      </c>
      <c r="H1996" s="63"/>
    </row>
    <row r="1997" spans="1:8" x14ac:dyDescent="0.25">
      <c r="A1997" s="63"/>
      <c r="B1997" s="63">
        <v>21</v>
      </c>
      <c r="C1997" s="63" t="s">
        <v>3417</v>
      </c>
      <c r="D1997" s="63" t="s">
        <v>64</v>
      </c>
      <c r="E1997" s="66"/>
      <c r="F1997" s="67">
        <v>3.0000000000000001E-3</v>
      </c>
      <c r="G1997" s="67">
        <v>2E-3</v>
      </c>
      <c r="H1997" s="63"/>
    </row>
    <row r="1998" spans="1:8" x14ac:dyDescent="0.25">
      <c r="A1998" s="63"/>
      <c r="B1998" s="63">
        <v>22</v>
      </c>
      <c r="C1998" s="63" t="s">
        <v>3417</v>
      </c>
      <c r="D1998" s="63" t="s">
        <v>64</v>
      </c>
      <c r="E1998" s="66"/>
      <c r="F1998" s="67">
        <v>3.0000000000000001E-3</v>
      </c>
      <c r="G1998" s="67">
        <v>2E-3</v>
      </c>
      <c r="H1998" s="63"/>
    </row>
    <row r="1999" spans="1:8" x14ac:dyDescent="0.25">
      <c r="A1999" s="63"/>
      <c r="B1999" s="63">
        <v>23</v>
      </c>
      <c r="C1999" s="63" t="s">
        <v>3417</v>
      </c>
      <c r="D1999" s="63" t="s">
        <v>64</v>
      </c>
      <c r="E1999" s="66"/>
      <c r="F1999" s="67">
        <v>3.0000000000000001E-3</v>
      </c>
      <c r="G1999" s="67">
        <v>2E-3</v>
      </c>
      <c r="H1999" s="63"/>
    </row>
    <row r="2000" spans="1:8" x14ac:dyDescent="0.25">
      <c r="A2000" s="63"/>
      <c r="B2000" s="63">
        <v>24</v>
      </c>
      <c r="C2000" s="63" t="s">
        <v>3417</v>
      </c>
      <c r="D2000" s="63" t="s">
        <v>64</v>
      </c>
      <c r="E2000" s="66"/>
      <c r="F2000" s="67">
        <v>3.0000000000000001E-3</v>
      </c>
      <c r="G2000" s="67">
        <v>2E-3</v>
      </c>
      <c r="H2000" s="63"/>
    </row>
    <row r="2001" spans="1:8" x14ac:dyDescent="0.25">
      <c r="A2001" s="63"/>
      <c r="B2001" s="63">
        <v>25</v>
      </c>
      <c r="C2001" s="63" t="s">
        <v>3417</v>
      </c>
      <c r="D2001" s="63" t="s">
        <v>64</v>
      </c>
      <c r="E2001" s="66"/>
      <c r="F2001" s="67">
        <v>3.0000000000000001E-3</v>
      </c>
      <c r="G2001" s="67">
        <v>2E-3</v>
      </c>
      <c r="H2001" s="63"/>
    </row>
    <row r="2002" spans="1:8" x14ac:dyDescent="0.25">
      <c r="A2002" s="63"/>
      <c r="B2002" s="63">
        <v>26</v>
      </c>
      <c r="C2002" s="63" t="s">
        <v>3417</v>
      </c>
      <c r="D2002" s="63" t="s">
        <v>64</v>
      </c>
      <c r="E2002" s="66"/>
      <c r="F2002" s="67">
        <v>3.0000000000000001E-3</v>
      </c>
      <c r="G2002" s="67">
        <v>2E-3</v>
      </c>
      <c r="H2002" s="63"/>
    </row>
    <row r="2003" spans="1:8" x14ac:dyDescent="0.25">
      <c r="A2003" s="63"/>
      <c r="B2003" s="63">
        <v>27</v>
      </c>
      <c r="C2003" s="63" t="s">
        <v>3417</v>
      </c>
      <c r="D2003" s="63" t="s">
        <v>64</v>
      </c>
      <c r="E2003" s="66"/>
      <c r="F2003" s="67">
        <v>3.0000000000000001E-3</v>
      </c>
      <c r="G2003" s="67">
        <v>2E-3</v>
      </c>
      <c r="H2003" s="63"/>
    </row>
    <row r="2004" spans="1:8" x14ac:dyDescent="0.25">
      <c r="A2004" s="63"/>
      <c r="B2004" s="63">
        <v>28</v>
      </c>
      <c r="C2004" s="63" t="s">
        <v>3417</v>
      </c>
      <c r="D2004" s="63" t="s">
        <v>64</v>
      </c>
      <c r="E2004" s="66"/>
      <c r="F2004" s="67">
        <v>3.0000000000000001E-3</v>
      </c>
      <c r="G2004" s="67">
        <v>2E-3</v>
      </c>
      <c r="H2004" s="63"/>
    </row>
    <row r="2005" spans="1:8" x14ac:dyDescent="0.25">
      <c r="A2005" s="63"/>
      <c r="B2005" s="63">
        <v>29</v>
      </c>
      <c r="C2005" s="63" t="s">
        <v>3417</v>
      </c>
      <c r="D2005" s="63" t="s">
        <v>64</v>
      </c>
      <c r="E2005" s="66"/>
      <c r="F2005" s="67">
        <v>3.0000000000000001E-3</v>
      </c>
      <c r="G2005" s="67">
        <v>2E-3</v>
      </c>
      <c r="H2005" s="63"/>
    </row>
    <row r="2006" spans="1:8" x14ac:dyDescent="0.25">
      <c r="A2006" s="63"/>
      <c r="B2006" s="63">
        <v>30</v>
      </c>
      <c r="C2006" s="63" t="s">
        <v>3417</v>
      </c>
      <c r="D2006" s="63" t="s">
        <v>64</v>
      </c>
      <c r="E2006" s="66"/>
      <c r="F2006" s="67">
        <v>3.0000000000000001E-3</v>
      </c>
      <c r="G2006" s="67">
        <v>2E-3</v>
      </c>
      <c r="H2006" s="63"/>
    </row>
    <row r="2007" spans="1:8" x14ac:dyDescent="0.25">
      <c r="A2007" s="63"/>
      <c r="B2007" s="63">
        <v>0</v>
      </c>
      <c r="C2007" s="63" t="s">
        <v>3417</v>
      </c>
      <c r="D2007" s="63" t="s">
        <v>64</v>
      </c>
      <c r="E2007" s="66">
        <v>3.0428788910505911</v>
      </c>
      <c r="F2007" s="67">
        <v>3.0000000000000001E-3</v>
      </c>
      <c r="G2007" s="67">
        <v>2E-3</v>
      </c>
      <c r="H2007" s="63"/>
    </row>
    <row r="2008" spans="1:8" x14ac:dyDescent="0.25">
      <c r="A2008" s="63"/>
      <c r="B2008" s="63">
        <v>0.25</v>
      </c>
      <c r="C2008" s="63" t="s">
        <v>3417</v>
      </c>
      <c r="D2008" s="63" t="s">
        <v>77</v>
      </c>
      <c r="E2008" s="66">
        <v>49.365095147237867</v>
      </c>
      <c r="F2008" s="67">
        <v>3.0000000000000001E-3</v>
      </c>
      <c r="G2008" s="67">
        <v>2E-3</v>
      </c>
      <c r="H2008" s="63"/>
    </row>
    <row r="2009" spans="1:8" x14ac:dyDescent="0.25">
      <c r="A2009" s="63"/>
      <c r="B2009" s="63">
        <v>0.5</v>
      </c>
      <c r="C2009" s="63" t="s">
        <v>3417</v>
      </c>
      <c r="D2009" s="63" t="s">
        <v>77</v>
      </c>
      <c r="E2009" s="66">
        <v>50.770888721957412</v>
      </c>
      <c r="F2009" s="67">
        <v>3.0000000000000001E-3</v>
      </c>
      <c r="G2009" s="67">
        <v>2E-3</v>
      </c>
      <c r="H2009" s="63"/>
    </row>
    <row r="2010" spans="1:8" x14ac:dyDescent="0.25">
      <c r="A2010" s="63"/>
      <c r="B2010" s="63">
        <v>0.75</v>
      </c>
      <c r="C2010" s="63" t="s">
        <v>3417</v>
      </c>
      <c r="D2010" s="63" t="s">
        <v>77</v>
      </c>
      <c r="E2010" s="66">
        <v>52.200434315108524</v>
      </c>
      <c r="F2010" s="67">
        <v>3.0000000000000001E-3</v>
      </c>
      <c r="G2010" s="67">
        <v>2E-3</v>
      </c>
      <c r="H2010" s="63"/>
    </row>
    <row r="2011" spans="1:8" x14ac:dyDescent="0.25">
      <c r="A2011" s="63"/>
      <c r="B2011" s="63">
        <v>1</v>
      </c>
      <c r="C2011" s="63" t="s">
        <v>3417</v>
      </c>
      <c r="D2011" s="63" t="s">
        <v>77</v>
      </c>
      <c r="E2011" s="66">
        <v>52.412128096069225</v>
      </c>
      <c r="F2011" s="67">
        <v>3.0000000000000001E-3</v>
      </c>
      <c r="G2011" s="67">
        <v>2E-3</v>
      </c>
      <c r="H2011" s="63"/>
    </row>
    <row r="2012" spans="1:8" x14ac:dyDescent="0.25">
      <c r="A2012" s="63"/>
      <c r="B2012" s="63">
        <v>2</v>
      </c>
      <c r="C2012" s="63" t="s">
        <v>3417</v>
      </c>
      <c r="D2012" s="63" t="s">
        <v>77</v>
      </c>
      <c r="E2012" s="66">
        <v>59.043428948049694</v>
      </c>
      <c r="F2012" s="67">
        <v>3.0000000000000001E-3</v>
      </c>
      <c r="G2012" s="67">
        <v>2E-3</v>
      </c>
      <c r="H2012" s="63"/>
    </row>
    <row r="2013" spans="1:8" x14ac:dyDescent="0.25">
      <c r="A2013" s="63"/>
      <c r="B2013" s="63">
        <v>3</v>
      </c>
      <c r="C2013" s="63" t="s">
        <v>3417</v>
      </c>
      <c r="D2013" s="63" t="s">
        <v>77</v>
      </c>
      <c r="E2013" s="66">
        <v>71.670593717854672</v>
      </c>
      <c r="F2013" s="67">
        <v>3.0000000000000001E-3</v>
      </c>
      <c r="G2013" s="67">
        <v>2E-3</v>
      </c>
      <c r="H2013" s="63"/>
    </row>
    <row r="2014" spans="1:8" x14ac:dyDescent="0.25">
      <c r="A2014" s="63"/>
      <c r="B2014" s="63">
        <v>4</v>
      </c>
      <c r="C2014" s="63" t="s">
        <v>3417</v>
      </c>
      <c r="D2014" s="63" t="s">
        <v>77</v>
      </c>
      <c r="E2014" s="66">
        <v>81.082684339640124</v>
      </c>
      <c r="F2014" s="67">
        <v>3.0000000000000001E-3</v>
      </c>
      <c r="G2014" s="67">
        <v>2E-3</v>
      </c>
      <c r="H2014" s="63"/>
    </row>
    <row r="2015" spans="1:8" x14ac:dyDescent="0.25">
      <c r="A2015" s="63"/>
      <c r="B2015" s="63">
        <v>5</v>
      </c>
      <c r="C2015" s="63" t="s">
        <v>3417</v>
      </c>
      <c r="D2015" s="63" t="s">
        <v>77</v>
      </c>
      <c r="E2015" s="66">
        <v>89.394521523604197</v>
      </c>
      <c r="F2015" s="67">
        <v>3.0000000000000001E-3</v>
      </c>
      <c r="G2015" s="67">
        <v>2E-3</v>
      </c>
      <c r="H2015" s="63"/>
    </row>
    <row r="2016" spans="1:8" x14ac:dyDescent="0.25">
      <c r="A2016" s="63"/>
      <c r="B2016" s="63">
        <v>6</v>
      </c>
      <c r="C2016" s="63" t="s">
        <v>3417</v>
      </c>
      <c r="D2016" s="63" t="s">
        <v>77</v>
      </c>
      <c r="E2016" s="66">
        <v>100.64015972511829</v>
      </c>
      <c r="F2016" s="67">
        <v>3.0000000000000001E-3</v>
      </c>
      <c r="G2016" s="67">
        <v>2E-3</v>
      </c>
      <c r="H2016" s="63"/>
    </row>
    <row r="2017" spans="1:8" x14ac:dyDescent="0.25">
      <c r="A2017" s="63"/>
      <c r="B2017" s="63">
        <v>7</v>
      </c>
      <c r="C2017" s="63" t="s">
        <v>3417</v>
      </c>
      <c r="D2017" s="63" t="s">
        <v>77</v>
      </c>
      <c r="E2017" s="66">
        <v>111.62134673584954</v>
      </c>
      <c r="F2017" s="67">
        <v>3.0000000000000001E-3</v>
      </c>
      <c r="G2017" s="67">
        <v>2E-3</v>
      </c>
      <c r="H2017" s="63"/>
    </row>
    <row r="2018" spans="1:8" x14ac:dyDescent="0.25">
      <c r="A2018" s="63"/>
      <c r="B2018" s="63">
        <v>8</v>
      </c>
      <c r="C2018" s="63" t="s">
        <v>3417</v>
      </c>
      <c r="D2018" s="63" t="s">
        <v>77</v>
      </c>
      <c r="E2018" s="66">
        <v>124.72674901989339</v>
      </c>
      <c r="F2018" s="67">
        <v>3.0000000000000001E-3</v>
      </c>
      <c r="G2018" s="67">
        <v>2E-3</v>
      </c>
      <c r="H2018" s="63"/>
    </row>
    <row r="2019" spans="1:8" x14ac:dyDescent="0.25">
      <c r="A2019" s="63"/>
      <c r="B2019" s="63">
        <v>9</v>
      </c>
      <c r="C2019" s="63" t="s">
        <v>3417</v>
      </c>
      <c r="D2019" s="63" t="s">
        <v>77</v>
      </c>
      <c r="E2019" s="66">
        <v>144.13642656805314</v>
      </c>
      <c r="F2019" s="67">
        <v>3.0000000000000001E-3</v>
      </c>
      <c r="G2019" s="67">
        <v>2E-3</v>
      </c>
      <c r="H2019" s="63"/>
    </row>
    <row r="2020" spans="1:8" x14ac:dyDescent="0.25">
      <c r="A2020" s="63"/>
      <c r="B2020" s="63">
        <v>10</v>
      </c>
      <c r="C2020" s="63" t="s">
        <v>3417</v>
      </c>
      <c r="D2020" s="63" t="s">
        <v>77</v>
      </c>
      <c r="E2020" s="66">
        <v>157.75463032016435</v>
      </c>
      <c r="F2020" s="67">
        <v>3.0000000000000001E-3</v>
      </c>
      <c r="G2020" s="67">
        <v>2E-3</v>
      </c>
      <c r="H2020" s="63"/>
    </row>
    <row r="2021" spans="1:8" x14ac:dyDescent="0.25">
      <c r="A2021" s="63"/>
      <c r="B2021" s="63">
        <v>11</v>
      </c>
      <c r="C2021" s="63" t="s">
        <v>3417</v>
      </c>
      <c r="D2021" s="63" t="s">
        <v>77</v>
      </c>
      <c r="E2021" s="66"/>
      <c r="F2021" s="67">
        <v>3.0000000000000001E-3</v>
      </c>
      <c r="G2021" s="67">
        <v>2E-3</v>
      </c>
      <c r="H2021" s="63"/>
    </row>
    <row r="2022" spans="1:8" x14ac:dyDescent="0.25">
      <c r="A2022" s="63"/>
      <c r="B2022" s="63">
        <v>12</v>
      </c>
      <c r="C2022" s="63" t="s">
        <v>3417</v>
      </c>
      <c r="D2022" s="63" t="s">
        <v>77</v>
      </c>
      <c r="E2022" s="66"/>
      <c r="F2022" s="67">
        <v>3.0000000000000001E-3</v>
      </c>
      <c r="G2022" s="67">
        <v>2E-3</v>
      </c>
      <c r="H2022" s="63"/>
    </row>
    <row r="2023" spans="1:8" x14ac:dyDescent="0.25">
      <c r="A2023" s="63"/>
      <c r="B2023" s="63">
        <v>13</v>
      </c>
      <c r="C2023" s="63" t="s">
        <v>3417</v>
      </c>
      <c r="D2023" s="63" t="s">
        <v>77</v>
      </c>
      <c r="E2023" s="66"/>
      <c r="F2023" s="67">
        <v>3.0000000000000001E-3</v>
      </c>
      <c r="G2023" s="67">
        <v>2E-3</v>
      </c>
      <c r="H2023" s="63"/>
    </row>
    <row r="2024" spans="1:8" x14ac:dyDescent="0.25">
      <c r="A2024" s="63"/>
      <c r="B2024" s="63">
        <v>14</v>
      </c>
      <c r="C2024" s="63" t="s">
        <v>3417</v>
      </c>
      <c r="D2024" s="63" t="s">
        <v>77</v>
      </c>
      <c r="E2024" s="66"/>
      <c r="F2024" s="67">
        <v>3.0000000000000001E-3</v>
      </c>
      <c r="G2024" s="67">
        <v>2E-3</v>
      </c>
      <c r="H2024" s="63"/>
    </row>
    <row r="2025" spans="1:8" x14ac:dyDescent="0.25">
      <c r="A2025" s="63"/>
      <c r="B2025" s="63">
        <v>15</v>
      </c>
      <c r="C2025" s="63" t="s">
        <v>3417</v>
      </c>
      <c r="D2025" s="63" t="s">
        <v>77</v>
      </c>
      <c r="E2025" s="66"/>
      <c r="F2025" s="67">
        <v>3.0000000000000001E-3</v>
      </c>
      <c r="G2025" s="67">
        <v>2E-3</v>
      </c>
      <c r="H2025" s="63"/>
    </row>
    <row r="2026" spans="1:8" x14ac:dyDescent="0.25">
      <c r="A2026" s="63"/>
      <c r="B2026" s="63">
        <v>16</v>
      </c>
      <c r="C2026" s="63" t="s">
        <v>3417</v>
      </c>
      <c r="D2026" s="63" t="s">
        <v>77</v>
      </c>
      <c r="E2026" s="66"/>
      <c r="F2026" s="67">
        <v>3.0000000000000001E-3</v>
      </c>
      <c r="G2026" s="67">
        <v>2E-3</v>
      </c>
      <c r="H2026" s="63"/>
    </row>
    <row r="2027" spans="1:8" x14ac:dyDescent="0.25">
      <c r="A2027" s="63"/>
      <c r="B2027" s="63">
        <v>17</v>
      </c>
      <c r="C2027" s="63" t="s">
        <v>3417</v>
      </c>
      <c r="D2027" s="63" t="s">
        <v>77</v>
      </c>
      <c r="E2027" s="66"/>
      <c r="F2027" s="67">
        <v>3.0000000000000001E-3</v>
      </c>
      <c r="G2027" s="67">
        <v>2E-3</v>
      </c>
      <c r="H2027" s="63"/>
    </row>
    <row r="2028" spans="1:8" x14ac:dyDescent="0.25">
      <c r="A2028" s="63"/>
      <c r="B2028" s="63">
        <v>18</v>
      </c>
      <c r="C2028" s="63" t="s">
        <v>3417</v>
      </c>
      <c r="D2028" s="63" t="s">
        <v>77</v>
      </c>
      <c r="E2028" s="66"/>
      <c r="F2028" s="67">
        <v>3.0000000000000001E-3</v>
      </c>
      <c r="G2028" s="67">
        <v>2E-3</v>
      </c>
      <c r="H2028" s="63"/>
    </row>
    <row r="2029" spans="1:8" x14ac:dyDescent="0.25">
      <c r="A2029" s="63"/>
      <c r="B2029" s="63">
        <v>19</v>
      </c>
      <c r="C2029" s="63" t="s">
        <v>3417</v>
      </c>
      <c r="D2029" s="63" t="s">
        <v>77</v>
      </c>
      <c r="E2029" s="66"/>
      <c r="F2029" s="67">
        <v>3.0000000000000001E-3</v>
      </c>
      <c r="G2029" s="67">
        <v>2E-3</v>
      </c>
      <c r="H2029" s="63"/>
    </row>
    <row r="2030" spans="1:8" x14ac:dyDescent="0.25">
      <c r="A2030" s="63"/>
      <c r="B2030" s="63">
        <v>20</v>
      </c>
      <c r="C2030" s="63" t="s">
        <v>3417</v>
      </c>
      <c r="D2030" s="63" t="s">
        <v>77</v>
      </c>
      <c r="E2030" s="66"/>
      <c r="F2030" s="67">
        <v>3.0000000000000001E-3</v>
      </c>
      <c r="G2030" s="67">
        <v>2E-3</v>
      </c>
      <c r="H2030" s="63"/>
    </row>
    <row r="2031" spans="1:8" x14ac:dyDescent="0.25">
      <c r="A2031" s="63"/>
      <c r="B2031" s="63">
        <v>21</v>
      </c>
      <c r="C2031" s="63" t="s">
        <v>3417</v>
      </c>
      <c r="D2031" s="63" t="s">
        <v>77</v>
      </c>
      <c r="E2031" s="66"/>
      <c r="F2031" s="67">
        <v>3.0000000000000001E-3</v>
      </c>
      <c r="G2031" s="67">
        <v>2E-3</v>
      </c>
      <c r="H2031" s="63"/>
    </row>
    <row r="2032" spans="1:8" x14ac:dyDescent="0.25">
      <c r="A2032" s="63"/>
      <c r="B2032" s="63">
        <v>22</v>
      </c>
      <c r="C2032" s="63" t="s">
        <v>3417</v>
      </c>
      <c r="D2032" s="63" t="s">
        <v>77</v>
      </c>
      <c r="E2032" s="66"/>
      <c r="F2032" s="67">
        <v>3.0000000000000001E-3</v>
      </c>
      <c r="G2032" s="67">
        <v>2E-3</v>
      </c>
      <c r="H2032" s="63"/>
    </row>
    <row r="2033" spans="1:8" x14ac:dyDescent="0.25">
      <c r="A2033" s="63"/>
      <c r="B2033" s="63">
        <v>23</v>
      </c>
      <c r="C2033" s="63" t="s">
        <v>3417</v>
      </c>
      <c r="D2033" s="63" t="s">
        <v>77</v>
      </c>
      <c r="E2033" s="66"/>
      <c r="F2033" s="67">
        <v>3.0000000000000001E-3</v>
      </c>
      <c r="G2033" s="67">
        <v>2E-3</v>
      </c>
      <c r="H2033" s="63"/>
    </row>
    <row r="2034" spans="1:8" x14ac:dyDescent="0.25">
      <c r="A2034" s="63"/>
      <c r="B2034" s="63">
        <v>24</v>
      </c>
      <c r="C2034" s="63" t="s">
        <v>3417</v>
      </c>
      <c r="D2034" s="63" t="s">
        <v>77</v>
      </c>
      <c r="E2034" s="66"/>
      <c r="F2034" s="67">
        <v>3.0000000000000001E-3</v>
      </c>
      <c r="G2034" s="67">
        <v>2E-3</v>
      </c>
      <c r="H2034" s="63"/>
    </row>
    <row r="2035" spans="1:8" x14ac:dyDescent="0.25">
      <c r="A2035" s="63"/>
      <c r="B2035" s="63">
        <v>25</v>
      </c>
      <c r="C2035" s="63" t="s">
        <v>3417</v>
      </c>
      <c r="D2035" s="63" t="s">
        <v>77</v>
      </c>
      <c r="E2035" s="66"/>
      <c r="F2035" s="67">
        <v>3.0000000000000001E-3</v>
      </c>
      <c r="G2035" s="67">
        <v>2E-3</v>
      </c>
      <c r="H2035" s="63"/>
    </row>
    <row r="2036" spans="1:8" x14ac:dyDescent="0.25">
      <c r="A2036" s="63"/>
      <c r="B2036" s="63">
        <v>26</v>
      </c>
      <c r="C2036" s="63" t="s">
        <v>3417</v>
      </c>
      <c r="D2036" s="63" t="s">
        <v>77</v>
      </c>
      <c r="E2036" s="66"/>
      <c r="F2036" s="67">
        <v>3.0000000000000001E-3</v>
      </c>
      <c r="G2036" s="67">
        <v>2E-3</v>
      </c>
      <c r="H2036" s="63"/>
    </row>
    <row r="2037" spans="1:8" x14ac:dyDescent="0.25">
      <c r="A2037" s="63"/>
      <c r="B2037" s="63">
        <v>27</v>
      </c>
      <c r="C2037" s="63" t="s">
        <v>3417</v>
      </c>
      <c r="D2037" s="63" t="s">
        <v>77</v>
      </c>
      <c r="E2037" s="66"/>
      <c r="F2037" s="67">
        <v>3.0000000000000001E-3</v>
      </c>
      <c r="G2037" s="67">
        <v>2E-3</v>
      </c>
      <c r="H2037" s="63"/>
    </row>
    <row r="2038" spans="1:8" x14ac:dyDescent="0.25">
      <c r="A2038" s="63"/>
      <c r="B2038" s="63">
        <v>28</v>
      </c>
      <c r="C2038" s="63" t="s">
        <v>3417</v>
      </c>
      <c r="D2038" s="63" t="s">
        <v>77</v>
      </c>
      <c r="E2038" s="66"/>
      <c r="F2038" s="67">
        <v>3.0000000000000001E-3</v>
      </c>
      <c r="G2038" s="67">
        <v>2E-3</v>
      </c>
      <c r="H2038" s="63"/>
    </row>
    <row r="2039" spans="1:8" x14ac:dyDescent="0.25">
      <c r="A2039" s="63"/>
      <c r="B2039" s="63">
        <v>29</v>
      </c>
      <c r="C2039" s="63" t="s">
        <v>3417</v>
      </c>
      <c r="D2039" s="63" t="s">
        <v>77</v>
      </c>
      <c r="E2039" s="66"/>
      <c r="F2039" s="67">
        <v>3.0000000000000001E-3</v>
      </c>
      <c r="G2039" s="67">
        <v>2E-3</v>
      </c>
      <c r="H2039" s="63"/>
    </row>
    <row r="2040" spans="1:8" x14ac:dyDescent="0.25">
      <c r="A2040" s="63"/>
      <c r="B2040" s="63">
        <v>30</v>
      </c>
      <c r="C2040" s="63" t="s">
        <v>3417</v>
      </c>
      <c r="D2040" s="63" t="s">
        <v>77</v>
      </c>
      <c r="E2040" s="66"/>
      <c r="F2040" s="67">
        <v>3.0000000000000001E-3</v>
      </c>
      <c r="G2040" s="67">
        <v>2E-3</v>
      </c>
      <c r="H2040" s="63"/>
    </row>
    <row r="2041" spans="1:8" x14ac:dyDescent="0.25">
      <c r="A2041" s="63"/>
      <c r="B2041" s="63">
        <v>0</v>
      </c>
      <c r="C2041" s="63" t="s">
        <v>3417</v>
      </c>
      <c r="D2041" s="63" t="s">
        <v>77</v>
      </c>
      <c r="E2041" s="66">
        <v>3.0428788910505911</v>
      </c>
      <c r="F2041" s="67">
        <v>3.0000000000000001E-3</v>
      </c>
      <c r="G2041" s="67">
        <v>2E-3</v>
      </c>
      <c r="H2041" s="63"/>
    </row>
    <row r="2042" spans="1:8" x14ac:dyDescent="0.25">
      <c r="A2042" s="63"/>
      <c r="B2042" s="63">
        <v>0.25</v>
      </c>
      <c r="C2042" s="63" t="s">
        <v>3902</v>
      </c>
      <c r="D2042" s="63" t="s">
        <v>21</v>
      </c>
      <c r="E2042" s="66">
        <v>28.498039192895266</v>
      </c>
      <c r="F2042" s="67">
        <v>3.0000000000000001E-3</v>
      </c>
      <c r="G2042" s="67">
        <v>2E-3</v>
      </c>
      <c r="H2042" s="63"/>
    </row>
    <row r="2043" spans="1:8" x14ac:dyDescent="0.25">
      <c r="A2043" s="63"/>
      <c r="B2043" s="63">
        <v>0.5</v>
      </c>
      <c r="C2043" s="63" t="s">
        <v>3902</v>
      </c>
      <c r="D2043" s="63" t="s">
        <v>21</v>
      </c>
      <c r="E2043" s="66">
        <v>28.968520724049363</v>
      </c>
      <c r="F2043" s="67">
        <v>3.0000000000000001E-3</v>
      </c>
      <c r="G2043" s="67">
        <v>2E-3</v>
      </c>
      <c r="H2043" s="63"/>
    </row>
    <row r="2044" spans="1:8" x14ac:dyDescent="0.25">
      <c r="A2044" s="63"/>
      <c r="B2044" s="63">
        <v>0.75</v>
      </c>
      <c r="C2044" s="63" t="s">
        <v>3902</v>
      </c>
      <c r="D2044" s="63" t="s">
        <v>21</v>
      </c>
      <c r="E2044" s="66">
        <v>29.270612559326153</v>
      </c>
      <c r="F2044" s="67">
        <v>3.0000000000000001E-3</v>
      </c>
      <c r="G2044" s="67">
        <v>2E-3</v>
      </c>
      <c r="H2044" s="63"/>
    </row>
    <row r="2045" spans="1:8" x14ac:dyDescent="0.25">
      <c r="A2045" s="63"/>
      <c r="B2045" s="63">
        <v>1</v>
      </c>
      <c r="C2045" s="63" t="s">
        <v>3902</v>
      </c>
      <c r="D2045" s="63" t="s">
        <v>21</v>
      </c>
      <c r="E2045" s="66">
        <v>29.674791705047774</v>
      </c>
      <c r="F2045" s="67">
        <v>3.0000000000000001E-3</v>
      </c>
      <c r="G2045" s="67">
        <v>2E-3</v>
      </c>
      <c r="H2045" s="63"/>
    </row>
    <row r="2046" spans="1:8" x14ac:dyDescent="0.25">
      <c r="A2046" s="63"/>
      <c r="B2046" s="63">
        <v>2</v>
      </c>
      <c r="C2046" s="63" t="s">
        <v>3902</v>
      </c>
      <c r="D2046" s="63" t="s">
        <v>21</v>
      </c>
      <c r="E2046" s="66">
        <v>42.743094317999102</v>
      </c>
      <c r="F2046" s="67">
        <v>3.0000000000000001E-3</v>
      </c>
      <c r="G2046" s="67">
        <v>2E-3</v>
      </c>
      <c r="H2046" s="63"/>
    </row>
    <row r="2047" spans="1:8" x14ac:dyDescent="0.25">
      <c r="A2047" s="63"/>
      <c r="B2047" s="63">
        <v>3</v>
      </c>
      <c r="C2047" s="63" t="s">
        <v>3902</v>
      </c>
      <c r="D2047" s="63" t="s">
        <v>21</v>
      </c>
      <c r="E2047" s="66">
        <v>56.737235852631443</v>
      </c>
      <c r="F2047" s="67">
        <v>3.0000000000000001E-3</v>
      </c>
      <c r="G2047" s="67">
        <v>2E-3</v>
      </c>
      <c r="H2047" s="63"/>
    </row>
    <row r="2048" spans="1:8" x14ac:dyDescent="0.25">
      <c r="A2048" s="63"/>
      <c r="B2048" s="63">
        <v>4</v>
      </c>
      <c r="C2048" s="63" t="s">
        <v>3902</v>
      </c>
      <c r="D2048" s="63" t="s">
        <v>21</v>
      </c>
      <c r="E2048" s="66">
        <v>70.928112500177477</v>
      </c>
      <c r="F2048" s="67">
        <v>3.0000000000000001E-3</v>
      </c>
      <c r="G2048" s="67">
        <v>2E-3</v>
      </c>
      <c r="H2048" s="63"/>
    </row>
    <row r="2049" spans="1:8" x14ac:dyDescent="0.25">
      <c r="A2049" s="63"/>
      <c r="B2049" s="63">
        <v>5</v>
      </c>
      <c r="C2049" s="63" t="s">
        <v>3902</v>
      </c>
      <c r="D2049" s="63" t="s">
        <v>21</v>
      </c>
      <c r="E2049" s="66">
        <v>85.413430392705351</v>
      </c>
      <c r="F2049" s="67">
        <v>3.0000000000000001E-3</v>
      </c>
      <c r="G2049" s="67">
        <v>2E-3</v>
      </c>
      <c r="H2049" s="63"/>
    </row>
    <row r="2050" spans="1:8" x14ac:dyDescent="0.25">
      <c r="A2050" s="63"/>
      <c r="B2050" s="63">
        <v>6</v>
      </c>
      <c r="C2050" s="63" t="s">
        <v>3902</v>
      </c>
      <c r="D2050" s="63" t="s">
        <v>21</v>
      </c>
      <c r="E2050" s="66">
        <v>99.593307412876158</v>
      </c>
      <c r="F2050" s="67">
        <v>3.0000000000000001E-3</v>
      </c>
      <c r="G2050" s="67">
        <v>2E-3</v>
      </c>
      <c r="H2050" s="63"/>
    </row>
    <row r="2051" spans="1:8" x14ac:dyDescent="0.25">
      <c r="A2051" s="63"/>
      <c r="B2051" s="63">
        <v>7</v>
      </c>
      <c r="C2051" s="63" t="s">
        <v>3902</v>
      </c>
      <c r="D2051" s="63" t="s">
        <v>21</v>
      </c>
      <c r="E2051" s="66">
        <v>113.87544072509698</v>
      </c>
      <c r="F2051" s="67">
        <v>3.0000000000000001E-3</v>
      </c>
      <c r="G2051" s="67">
        <v>2E-3</v>
      </c>
      <c r="H2051" s="63"/>
    </row>
    <row r="2052" spans="1:8" x14ac:dyDescent="0.25">
      <c r="A2052" s="63"/>
      <c r="B2052" s="63">
        <v>8</v>
      </c>
      <c r="C2052" s="63" t="s">
        <v>3902</v>
      </c>
      <c r="D2052" s="63" t="s">
        <v>21</v>
      </c>
      <c r="E2052" s="66">
        <v>128.2700559585727</v>
      </c>
      <c r="F2052" s="67">
        <v>3.0000000000000001E-3</v>
      </c>
      <c r="G2052" s="67">
        <v>2E-3</v>
      </c>
      <c r="H2052" s="63"/>
    </row>
    <row r="2053" spans="1:8" x14ac:dyDescent="0.25">
      <c r="A2053" s="63"/>
      <c r="B2053" s="63">
        <v>9</v>
      </c>
      <c r="C2053" s="63" t="s">
        <v>3902</v>
      </c>
      <c r="D2053" s="63" t="s">
        <v>21</v>
      </c>
      <c r="E2053" s="66">
        <v>142.78840130542901</v>
      </c>
      <c r="F2053" s="67">
        <v>3.0000000000000001E-3</v>
      </c>
      <c r="G2053" s="67">
        <v>2E-3</v>
      </c>
      <c r="H2053" s="63"/>
    </row>
    <row r="2054" spans="1:8" x14ac:dyDescent="0.25">
      <c r="A2054" s="63"/>
      <c r="B2054" s="63">
        <v>10</v>
      </c>
      <c r="C2054" s="63" t="s">
        <v>3902</v>
      </c>
      <c r="D2054" s="63" t="s">
        <v>21</v>
      </c>
      <c r="E2054" s="66">
        <v>156.73705785882069</v>
      </c>
      <c r="F2054" s="67">
        <v>3.0000000000000001E-3</v>
      </c>
      <c r="G2054" s="67">
        <v>2E-3</v>
      </c>
      <c r="H2054" s="63"/>
    </row>
    <row r="2055" spans="1:8" x14ac:dyDescent="0.25">
      <c r="A2055" s="63"/>
      <c r="B2055" s="63">
        <v>11</v>
      </c>
      <c r="C2055" s="63" t="s">
        <v>3902</v>
      </c>
      <c r="D2055" s="63" t="s">
        <v>21</v>
      </c>
      <c r="E2055" s="66"/>
      <c r="F2055" s="67">
        <v>3.0000000000000001E-3</v>
      </c>
      <c r="G2055" s="67">
        <v>2E-3</v>
      </c>
      <c r="H2055" s="63"/>
    </row>
    <row r="2056" spans="1:8" x14ac:dyDescent="0.25">
      <c r="A2056" s="63"/>
      <c r="B2056" s="63">
        <v>12</v>
      </c>
      <c r="C2056" s="63" t="s">
        <v>3902</v>
      </c>
      <c r="D2056" s="63" t="s">
        <v>21</v>
      </c>
      <c r="E2056" s="66"/>
      <c r="F2056" s="67">
        <v>3.0000000000000001E-3</v>
      </c>
      <c r="G2056" s="67">
        <v>2E-3</v>
      </c>
      <c r="H2056" s="63"/>
    </row>
    <row r="2057" spans="1:8" x14ac:dyDescent="0.25">
      <c r="A2057" s="63"/>
      <c r="B2057" s="63">
        <v>13</v>
      </c>
      <c r="C2057" s="63" t="s">
        <v>3902</v>
      </c>
      <c r="D2057" s="63" t="s">
        <v>21</v>
      </c>
      <c r="E2057" s="66"/>
      <c r="F2057" s="67">
        <v>3.0000000000000001E-3</v>
      </c>
      <c r="G2057" s="67">
        <v>2E-3</v>
      </c>
      <c r="H2057" s="63"/>
    </row>
    <row r="2058" spans="1:8" x14ac:dyDescent="0.25">
      <c r="A2058" s="63"/>
      <c r="B2058" s="63">
        <v>14</v>
      </c>
      <c r="C2058" s="63" t="s">
        <v>3902</v>
      </c>
      <c r="D2058" s="63" t="s">
        <v>21</v>
      </c>
      <c r="E2058" s="66"/>
      <c r="F2058" s="67">
        <v>3.0000000000000001E-3</v>
      </c>
      <c r="G2058" s="67">
        <v>2E-3</v>
      </c>
      <c r="H2058" s="63"/>
    </row>
    <row r="2059" spans="1:8" x14ac:dyDescent="0.25">
      <c r="A2059" s="63"/>
      <c r="B2059" s="63">
        <v>15</v>
      </c>
      <c r="C2059" s="63" t="s">
        <v>3902</v>
      </c>
      <c r="D2059" s="63" t="s">
        <v>21</v>
      </c>
      <c r="E2059" s="66"/>
      <c r="F2059" s="67">
        <v>3.0000000000000001E-3</v>
      </c>
      <c r="G2059" s="67">
        <v>2E-3</v>
      </c>
      <c r="H2059" s="63"/>
    </row>
    <row r="2060" spans="1:8" x14ac:dyDescent="0.25">
      <c r="A2060" s="63"/>
      <c r="B2060" s="63">
        <v>16</v>
      </c>
      <c r="C2060" s="63" t="s">
        <v>3902</v>
      </c>
      <c r="D2060" s="63" t="s">
        <v>21</v>
      </c>
      <c r="E2060" s="66"/>
      <c r="F2060" s="67">
        <v>3.0000000000000001E-3</v>
      </c>
      <c r="G2060" s="67">
        <v>2E-3</v>
      </c>
      <c r="H2060" s="63"/>
    </row>
    <row r="2061" spans="1:8" x14ac:dyDescent="0.25">
      <c r="A2061" s="63"/>
      <c r="B2061" s="63">
        <v>17</v>
      </c>
      <c r="C2061" s="63" t="s">
        <v>3902</v>
      </c>
      <c r="D2061" s="63" t="s">
        <v>21</v>
      </c>
      <c r="E2061" s="66"/>
      <c r="F2061" s="67">
        <v>3.0000000000000001E-3</v>
      </c>
      <c r="G2061" s="67">
        <v>2E-3</v>
      </c>
      <c r="H2061" s="63"/>
    </row>
    <row r="2062" spans="1:8" x14ac:dyDescent="0.25">
      <c r="A2062" s="63"/>
      <c r="B2062" s="63">
        <v>18</v>
      </c>
      <c r="C2062" s="63" t="s">
        <v>3902</v>
      </c>
      <c r="D2062" s="63" t="s">
        <v>21</v>
      </c>
      <c r="E2062" s="66"/>
      <c r="F2062" s="67">
        <v>3.0000000000000001E-3</v>
      </c>
      <c r="G2062" s="67">
        <v>2E-3</v>
      </c>
      <c r="H2062" s="63"/>
    </row>
    <row r="2063" spans="1:8" x14ac:dyDescent="0.25">
      <c r="A2063" s="63"/>
      <c r="B2063" s="63">
        <v>19</v>
      </c>
      <c r="C2063" s="63" t="s">
        <v>3902</v>
      </c>
      <c r="D2063" s="63" t="s">
        <v>21</v>
      </c>
      <c r="E2063" s="66"/>
      <c r="F2063" s="67">
        <v>3.0000000000000001E-3</v>
      </c>
      <c r="G2063" s="67">
        <v>2E-3</v>
      </c>
      <c r="H2063" s="63"/>
    </row>
    <row r="2064" spans="1:8" x14ac:dyDescent="0.25">
      <c r="A2064" s="63"/>
      <c r="B2064" s="63">
        <v>20</v>
      </c>
      <c r="C2064" s="63" t="s">
        <v>3902</v>
      </c>
      <c r="D2064" s="63" t="s">
        <v>21</v>
      </c>
      <c r="E2064" s="66"/>
      <c r="F2064" s="67">
        <v>3.0000000000000001E-3</v>
      </c>
      <c r="G2064" s="67">
        <v>2E-3</v>
      </c>
      <c r="H2064" s="63"/>
    </row>
    <row r="2065" spans="1:8" x14ac:dyDescent="0.25">
      <c r="A2065" s="63"/>
      <c r="B2065" s="63">
        <v>21</v>
      </c>
      <c r="C2065" s="63" t="s">
        <v>3902</v>
      </c>
      <c r="D2065" s="63" t="s">
        <v>21</v>
      </c>
      <c r="E2065" s="66"/>
      <c r="F2065" s="67">
        <v>3.0000000000000001E-3</v>
      </c>
      <c r="G2065" s="67">
        <v>2E-3</v>
      </c>
      <c r="H2065" s="63"/>
    </row>
    <row r="2066" spans="1:8" x14ac:dyDescent="0.25">
      <c r="A2066" s="63"/>
      <c r="B2066" s="63">
        <v>22</v>
      </c>
      <c r="C2066" s="63" t="s">
        <v>3902</v>
      </c>
      <c r="D2066" s="63" t="s">
        <v>21</v>
      </c>
      <c r="E2066" s="66"/>
      <c r="F2066" s="67">
        <v>3.0000000000000001E-3</v>
      </c>
      <c r="G2066" s="67">
        <v>2E-3</v>
      </c>
      <c r="H2066" s="63"/>
    </row>
    <row r="2067" spans="1:8" x14ac:dyDescent="0.25">
      <c r="A2067" s="63"/>
      <c r="B2067" s="63">
        <v>23</v>
      </c>
      <c r="C2067" s="63" t="s">
        <v>3902</v>
      </c>
      <c r="D2067" s="63" t="s">
        <v>21</v>
      </c>
      <c r="E2067" s="66"/>
      <c r="F2067" s="67">
        <v>3.0000000000000001E-3</v>
      </c>
      <c r="G2067" s="67">
        <v>2E-3</v>
      </c>
      <c r="H2067" s="63"/>
    </row>
    <row r="2068" spans="1:8" x14ac:dyDescent="0.25">
      <c r="A2068" s="63"/>
      <c r="B2068" s="63">
        <v>24</v>
      </c>
      <c r="C2068" s="63" t="s">
        <v>3902</v>
      </c>
      <c r="D2068" s="63" t="s">
        <v>21</v>
      </c>
      <c r="E2068" s="66"/>
      <c r="F2068" s="67">
        <v>3.0000000000000001E-3</v>
      </c>
      <c r="G2068" s="67">
        <v>2E-3</v>
      </c>
      <c r="H2068" s="63"/>
    </row>
    <row r="2069" spans="1:8" x14ac:dyDescent="0.25">
      <c r="A2069" s="63"/>
      <c r="B2069" s="63">
        <v>25</v>
      </c>
      <c r="C2069" s="63" t="s">
        <v>3902</v>
      </c>
      <c r="D2069" s="63" t="s">
        <v>21</v>
      </c>
      <c r="E2069" s="66"/>
      <c r="F2069" s="67">
        <v>3.0000000000000001E-3</v>
      </c>
      <c r="G2069" s="67">
        <v>2E-3</v>
      </c>
      <c r="H2069" s="63"/>
    </row>
    <row r="2070" spans="1:8" x14ac:dyDescent="0.25">
      <c r="A2070" s="63"/>
      <c r="B2070" s="63">
        <v>26</v>
      </c>
      <c r="C2070" s="63" t="s">
        <v>3902</v>
      </c>
      <c r="D2070" s="63" t="s">
        <v>21</v>
      </c>
      <c r="E2070" s="66"/>
      <c r="F2070" s="67">
        <v>3.0000000000000001E-3</v>
      </c>
      <c r="G2070" s="67">
        <v>2E-3</v>
      </c>
      <c r="H2070" s="63"/>
    </row>
    <row r="2071" spans="1:8" x14ac:dyDescent="0.25">
      <c r="A2071" s="63"/>
      <c r="B2071" s="63">
        <v>27</v>
      </c>
      <c r="C2071" s="63" t="s">
        <v>3902</v>
      </c>
      <c r="D2071" s="63" t="s">
        <v>21</v>
      </c>
      <c r="E2071" s="66"/>
      <c r="F2071" s="67">
        <v>3.0000000000000001E-3</v>
      </c>
      <c r="G2071" s="67">
        <v>2E-3</v>
      </c>
      <c r="H2071" s="63"/>
    </row>
    <row r="2072" spans="1:8" x14ac:dyDescent="0.25">
      <c r="A2072" s="63"/>
      <c r="B2072" s="63">
        <v>28</v>
      </c>
      <c r="C2072" s="63" t="s">
        <v>3902</v>
      </c>
      <c r="D2072" s="63" t="s">
        <v>21</v>
      </c>
      <c r="E2072" s="66"/>
      <c r="F2072" s="67">
        <v>3.0000000000000001E-3</v>
      </c>
      <c r="G2072" s="67">
        <v>2E-3</v>
      </c>
      <c r="H2072" s="63"/>
    </row>
    <row r="2073" spans="1:8" x14ac:dyDescent="0.25">
      <c r="A2073" s="63"/>
      <c r="B2073" s="63">
        <v>29</v>
      </c>
      <c r="C2073" s="63" t="s">
        <v>3902</v>
      </c>
      <c r="D2073" s="63" t="s">
        <v>21</v>
      </c>
      <c r="E2073" s="66"/>
      <c r="F2073" s="67">
        <v>3.0000000000000001E-3</v>
      </c>
      <c r="G2073" s="67">
        <v>2E-3</v>
      </c>
      <c r="H2073" s="63"/>
    </row>
    <row r="2074" spans="1:8" x14ac:dyDescent="0.25">
      <c r="A2074" s="63"/>
      <c r="B2074" s="63">
        <v>30</v>
      </c>
      <c r="C2074" s="63" t="s">
        <v>3902</v>
      </c>
      <c r="D2074" s="63" t="s">
        <v>21</v>
      </c>
      <c r="E2074" s="66"/>
      <c r="F2074" s="67">
        <v>3.0000000000000001E-3</v>
      </c>
      <c r="G2074" s="67">
        <v>2E-3</v>
      </c>
      <c r="H2074" s="63"/>
    </row>
    <row r="2075" spans="1:8" x14ac:dyDescent="0.25">
      <c r="A2075" s="63"/>
      <c r="B2075" s="63">
        <v>0</v>
      </c>
      <c r="C2075" s="63" t="s">
        <v>3902</v>
      </c>
      <c r="D2075" s="63" t="s">
        <v>21</v>
      </c>
      <c r="E2075" s="66">
        <v>3.0428788910505911</v>
      </c>
      <c r="F2075" s="67">
        <v>3.0000000000000001E-3</v>
      </c>
      <c r="G2075" s="67">
        <v>2E-3</v>
      </c>
      <c r="H2075" s="63"/>
    </row>
    <row r="2076" spans="1:8" x14ac:dyDescent="0.25">
      <c r="A2076" s="63"/>
      <c r="B2076" s="63">
        <v>0.25</v>
      </c>
      <c r="C2076" s="63" t="s">
        <v>3902</v>
      </c>
      <c r="D2076" s="63" t="s">
        <v>62</v>
      </c>
      <c r="E2076" s="66">
        <v>36.419774735903836</v>
      </c>
      <c r="F2076" s="67">
        <v>3.0000000000000001E-3</v>
      </c>
      <c r="G2076" s="67">
        <v>2E-3</v>
      </c>
      <c r="H2076" s="63"/>
    </row>
    <row r="2077" spans="1:8" x14ac:dyDescent="0.25">
      <c r="A2077" s="63"/>
      <c r="B2077" s="63">
        <v>0.5</v>
      </c>
      <c r="C2077" s="63" t="s">
        <v>3902</v>
      </c>
      <c r="D2077" s="63" t="s">
        <v>62</v>
      </c>
      <c r="E2077" s="66">
        <v>37.046104528592352</v>
      </c>
      <c r="F2077" s="67">
        <v>3.0000000000000001E-3</v>
      </c>
      <c r="G2077" s="67">
        <v>2E-3</v>
      </c>
      <c r="H2077" s="63"/>
    </row>
    <row r="2078" spans="1:8" x14ac:dyDescent="0.25">
      <c r="A2078" s="63"/>
      <c r="B2078" s="63">
        <v>0.75</v>
      </c>
      <c r="C2078" s="63" t="s">
        <v>3902</v>
      </c>
      <c r="D2078" s="63" t="s">
        <v>62</v>
      </c>
      <c r="E2078" s="66">
        <v>37.525033241755018</v>
      </c>
      <c r="F2078" s="67">
        <v>3.0000000000000001E-3</v>
      </c>
      <c r="G2078" s="67">
        <v>2E-3</v>
      </c>
      <c r="H2078" s="63"/>
    </row>
    <row r="2079" spans="1:8" x14ac:dyDescent="0.25">
      <c r="A2079" s="63"/>
      <c r="B2079" s="63">
        <v>1</v>
      </c>
      <c r="C2079" s="63" t="s">
        <v>3902</v>
      </c>
      <c r="D2079" s="63" t="s">
        <v>62</v>
      </c>
      <c r="E2079" s="66">
        <v>38.578308090472248</v>
      </c>
      <c r="F2079" s="67">
        <v>3.0000000000000001E-3</v>
      </c>
      <c r="G2079" s="67">
        <v>2E-3</v>
      </c>
      <c r="H2079" s="63"/>
    </row>
    <row r="2080" spans="1:8" x14ac:dyDescent="0.25">
      <c r="A2080" s="63"/>
      <c r="B2080" s="63">
        <v>2</v>
      </c>
      <c r="C2080" s="63" t="s">
        <v>3902</v>
      </c>
      <c r="D2080" s="63" t="s">
        <v>62</v>
      </c>
      <c r="E2080" s="66">
        <v>50.488766214783325</v>
      </c>
      <c r="F2080" s="67">
        <v>3.0000000000000001E-3</v>
      </c>
      <c r="G2080" s="67">
        <v>2E-3</v>
      </c>
      <c r="H2080" s="63"/>
    </row>
    <row r="2081" spans="1:8" x14ac:dyDescent="0.25">
      <c r="A2081" s="63"/>
      <c r="B2081" s="63">
        <v>3</v>
      </c>
      <c r="C2081" s="63" t="s">
        <v>3902</v>
      </c>
      <c r="D2081" s="63" t="s">
        <v>62</v>
      </c>
      <c r="E2081" s="66">
        <v>63.420944131387692</v>
      </c>
      <c r="F2081" s="67">
        <v>3.0000000000000001E-3</v>
      </c>
      <c r="G2081" s="67">
        <v>2E-3</v>
      </c>
      <c r="H2081" s="63"/>
    </row>
    <row r="2082" spans="1:8" x14ac:dyDescent="0.25">
      <c r="A2082" s="63"/>
      <c r="B2082" s="63">
        <v>4</v>
      </c>
      <c r="C2082" s="63" t="s">
        <v>3902</v>
      </c>
      <c r="D2082" s="63" t="s">
        <v>62</v>
      </c>
      <c r="E2082" s="66">
        <v>76.56836697231445</v>
      </c>
      <c r="F2082" s="67">
        <v>3.0000000000000001E-3</v>
      </c>
      <c r="G2082" s="67">
        <v>2E-3</v>
      </c>
      <c r="H2082" s="63"/>
    </row>
    <row r="2083" spans="1:8" x14ac:dyDescent="0.25">
      <c r="A2083" s="63"/>
      <c r="B2083" s="63">
        <v>5</v>
      </c>
      <c r="C2083" s="63" t="s">
        <v>3902</v>
      </c>
      <c r="D2083" s="63" t="s">
        <v>62</v>
      </c>
      <c r="E2083" s="66">
        <v>89.998487090933011</v>
      </c>
      <c r="F2083" s="67">
        <v>3.0000000000000001E-3</v>
      </c>
      <c r="G2083" s="67">
        <v>2E-3</v>
      </c>
      <c r="H2083" s="63"/>
    </row>
    <row r="2084" spans="1:8" x14ac:dyDescent="0.25">
      <c r="A2084" s="63"/>
      <c r="B2084" s="63">
        <v>6</v>
      </c>
      <c r="C2084" s="63" t="s">
        <v>3902</v>
      </c>
      <c r="D2084" s="63" t="s">
        <v>62</v>
      </c>
      <c r="E2084" s="66">
        <v>103.59716011696931</v>
      </c>
      <c r="F2084" s="67">
        <v>3.0000000000000001E-3</v>
      </c>
      <c r="G2084" s="67">
        <v>2E-3</v>
      </c>
      <c r="H2084" s="63"/>
    </row>
    <row r="2085" spans="1:8" x14ac:dyDescent="0.25">
      <c r="A2085" s="63"/>
      <c r="B2085" s="63">
        <v>7</v>
      </c>
      <c r="C2085" s="63" t="s">
        <v>3902</v>
      </c>
      <c r="D2085" s="63" t="s">
        <v>62</v>
      </c>
      <c r="E2085" s="66">
        <v>117.38606689633737</v>
      </c>
      <c r="F2085" s="67">
        <v>3.0000000000000001E-3</v>
      </c>
      <c r="G2085" s="67">
        <v>2E-3</v>
      </c>
      <c r="H2085" s="63"/>
    </row>
    <row r="2086" spans="1:8" x14ac:dyDescent="0.25">
      <c r="A2086" s="63"/>
      <c r="B2086" s="63">
        <v>8</v>
      </c>
      <c r="C2086" s="63" t="s">
        <v>3902</v>
      </c>
      <c r="D2086" s="63" t="s">
        <v>62</v>
      </c>
      <c r="E2086" s="66">
        <v>131.38975069970851</v>
      </c>
      <c r="F2086" s="67">
        <v>3.0000000000000001E-3</v>
      </c>
      <c r="G2086" s="67">
        <v>2E-3</v>
      </c>
      <c r="H2086" s="63"/>
    </row>
    <row r="2087" spans="1:8" x14ac:dyDescent="0.25">
      <c r="A2087" s="63"/>
      <c r="B2087" s="63">
        <v>9</v>
      </c>
      <c r="C2087" s="63" t="s">
        <v>3902</v>
      </c>
      <c r="D2087" s="63" t="s">
        <v>62</v>
      </c>
      <c r="E2087" s="66">
        <v>145.07163633894382</v>
      </c>
      <c r="F2087" s="67">
        <v>3.0000000000000001E-3</v>
      </c>
      <c r="G2087" s="67">
        <v>2E-3</v>
      </c>
      <c r="H2087" s="63"/>
    </row>
    <row r="2088" spans="1:8" x14ac:dyDescent="0.25">
      <c r="A2088" s="63"/>
      <c r="B2088" s="63">
        <v>10</v>
      </c>
      <c r="C2088" s="63" t="s">
        <v>3902</v>
      </c>
      <c r="D2088" s="63" t="s">
        <v>62</v>
      </c>
      <c r="E2088" s="66">
        <v>158.63936246344934</v>
      </c>
      <c r="F2088" s="67">
        <v>3.0000000000000001E-3</v>
      </c>
      <c r="G2088" s="67">
        <v>2E-3</v>
      </c>
      <c r="H2088" s="63"/>
    </row>
    <row r="2089" spans="1:8" x14ac:dyDescent="0.25">
      <c r="A2089" s="63"/>
      <c r="B2089" s="63">
        <v>11</v>
      </c>
      <c r="C2089" s="63" t="s">
        <v>3902</v>
      </c>
      <c r="D2089" s="63" t="s">
        <v>62</v>
      </c>
      <c r="E2089" s="66"/>
      <c r="F2089" s="67">
        <v>3.0000000000000001E-3</v>
      </c>
      <c r="G2089" s="67">
        <v>2E-3</v>
      </c>
      <c r="H2089" s="63"/>
    </row>
    <row r="2090" spans="1:8" x14ac:dyDescent="0.25">
      <c r="A2090" s="63"/>
      <c r="B2090" s="63">
        <v>12</v>
      </c>
      <c r="C2090" s="63" t="s">
        <v>3902</v>
      </c>
      <c r="D2090" s="63" t="s">
        <v>62</v>
      </c>
      <c r="E2090" s="66"/>
      <c r="F2090" s="67">
        <v>3.0000000000000001E-3</v>
      </c>
      <c r="G2090" s="67">
        <v>2E-3</v>
      </c>
      <c r="H2090" s="63"/>
    </row>
    <row r="2091" spans="1:8" x14ac:dyDescent="0.25">
      <c r="A2091" s="63"/>
      <c r="B2091" s="63">
        <v>13</v>
      </c>
      <c r="C2091" s="63" t="s">
        <v>3902</v>
      </c>
      <c r="D2091" s="63" t="s">
        <v>62</v>
      </c>
      <c r="E2091" s="66"/>
      <c r="F2091" s="67">
        <v>3.0000000000000001E-3</v>
      </c>
      <c r="G2091" s="67">
        <v>2E-3</v>
      </c>
      <c r="H2091" s="63"/>
    </row>
    <row r="2092" spans="1:8" x14ac:dyDescent="0.25">
      <c r="A2092" s="63"/>
      <c r="B2092" s="63">
        <v>14</v>
      </c>
      <c r="C2092" s="63" t="s">
        <v>3902</v>
      </c>
      <c r="D2092" s="63" t="s">
        <v>62</v>
      </c>
      <c r="E2092" s="66"/>
      <c r="F2092" s="67">
        <v>3.0000000000000001E-3</v>
      </c>
      <c r="G2092" s="67">
        <v>2E-3</v>
      </c>
      <c r="H2092" s="63"/>
    </row>
    <row r="2093" spans="1:8" x14ac:dyDescent="0.25">
      <c r="A2093" s="63"/>
      <c r="B2093" s="63">
        <v>15</v>
      </c>
      <c r="C2093" s="63" t="s">
        <v>3902</v>
      </c>
      <c r="D2093" s="63" t="s">
        <v>62</v>
      </c>
      <c r="E2093" s="66"/>
      <c r="F2093" s="67">
        <v>3.0000000000000001E-3</v>
      </c>
      <c r="G2093" s="67">
        <v>2E-3</v>
      </c>
      <c r="H2093" s="63"/>
    </row>
    <row r="2094" spans="1:8" x14ac:dyDescent="0.25">
      <c r="A2094" s="63"/>
      <c r="B2094" s="63">
        <v>16</v>
      </c>
      <c r="C2094" s="63" t="s">
        <v>3902</v>
      </c>
      <c r="D2094" s="63" t="s">
        <v>62</v>
      </c>
      <c r="E2094" s="66"/>
      <c r="F2094" s="67">
        <v>3.0000000000000001E-3</v>
      </c>
      <c r="G2094" s="67">
        <v>2E-3</v>
      </c>
      <c r="H2094" s="63"/>
    </row>
    <row r="2095" spans="1:8" x14ac:dyDescent="0.25">
      <c r="A2095" s="63"/>
      <c r="B2095" s="63">
        <v>17</v>
      </c>
      <c r="C2095" s="63" t="s">
        <v>3902</v>
      </c>
      <c r="D2095" s="63" t="s">
        <v>62</v>
      </c>
      <c r="E2095" s="66"/>
      <c r="F2095" s="67">
        <v>3.0000000000000001E-3</v>
      </c>
      <c r="G2095" s="67">
        <v>2E-3</v>
      </c>
      <c r="H2095" s="63"/>
    </row>
    <row r="2096" spans="1:8" x14ac:dyDescent="0.25">
      <c r="A2096" s="63"/>
      <c r="B2096" s="63">
        <v>18</v>
      </c>
      <c r="C2096" s="63" t="s">
        <v>3902</v>
      </c>
      <c r="D2096" s="63" t="s">
        <v>62</v>
      </c>
      <c r="E2096" s="66"/>
      <c r="F2096" s="67">
        <v>3.0000000000000001E-3</v>
      </c>
      <c r="G2096" s="67">
        <v>2E-3</v>
      </c>
      <c r="H2096" s="63"/>
    </row>
    <row r="2097" spans="1:8" x14ac:dyDescent="0.25">
      <c r="A2097" s="63"/>
      <c r="B2097" s="63">
        <v>19</v>
      </c>
      <c r="C2097" s="63" t="s">
        <v>3902</v>
      </c>
      <c r="D2097" s="63" t="s">
        <v>62</v>
      </c>
      <c r="E2097" s="66"/>
      <c r="F2097" s="67">
        <v>3.0000000000000001E-3</v>
      </c>
      <c r="G2097" s="67">
        <v>2E-3</v>
      </c>
      <c r="H2097" s="63"/>
    </row>
    <row r="2098" spans="1:8" x14ac:dyDescent="0.25">
      <c r="A2098" s="63"/>
      <c r="B2098" s="63">
        <v>20</v>
      </c>
      <c r="C2098" s="63" t="s">
        <v>3902</v>
      </c>
      <c r="D2098" s="63" t="s">
        <v>62</v>
      </c>
      <c r="E2098" s="66"/>
      <c r="F2098" s="67">
        <v>3.0000000000000001E-3</v>
      </c>
      <c r="G2098" s="67">
        <v>2E-3</v>
      </c>
      <c r="H2098" s="63"/>
    </row>
    <row r="2099" spans="1:8" x14ac:dyDescent="0.25">
      <c r="A2099" s="63"/>
      <c r="B2099" s="63">
        <v>21</v>
      </c>
      <c r="C2099" s="63" t="s">
        <v>3902</v>
      </c>
      <c r="D2099" s="63" t="s">
        <v>62</v>
      </c>
      <c r="E2099" s="66"/>
      <c r="F2099" s="67">
        <v>3.0000000000000001E-3</v>
      </c>
      <c r="G2099" s="67">
        <v>2E-3</v>
      </c>
      <c r="H2099" s="63"/>
    </row>
    <row r="2100" spans="1:8" x14ac:dyDescent="0.25">
      <c r="A2100" s="63"/>
      <c r="B2100" s="63">
        <v>22</v>
      </c>
      <c r="C2100" s="63" t="s">
        <v>3902</v>
      </c>
      <c r="D2100" s="63" t="s">
        <v>62</v>
      </c>
      <c r="E2100" s="66"/>
      <c r="F2100" s="67">
        <v>3.0000000000000001E-3</v>
      </c>
      <c r="G2100" s="67">
        <v>2E-3</v>
      </c>
      <c r="H2100" s="63"/>
    </row>
    <row r="2101" spans="1:8" x14ac:dyDescent="0.25">
      <c r="A2101" s="63"/>
      <c r="B2101" s="63">
        <v>23</v>
      </c>
      <c r="C2101" s="63" t="s">
        <v>3902</v>
      </c>
      <c r="D2101" s="63" t="s">
        <v>62</v>
      </c>
      <c r="E2101" s="66"/>
      <c r="F2101" s="67">
        <v>3.0000000000000001E-3</v>
      </c>
      <c r="G2101" s="67">
        <v>2E-3</v>
      </c>
      <c r="H2101" s="63"/>
    </row>
    <row r="2102" spans="1:8" x14ac:dyDescent="0.25">
      <c r="A2102" s="63"/>
      <c r="B2102" s="63">
        <v>24</v>
      </c>
      <c r="C2102" s="63" t="s">
        <v>3902</v>
      </c>
      <c r="D2102" s="63" t="s">
        <v>62</v>
      </c>
      <c r="E2102" s="66"/>
      <c r="F2102" s="67">
        <v>3.0000000000000001E-3</v>
      </c>
      <c r="G2102" s="67">
        <v>2E-3</v>
      </c>
      <c r="H2102" s="63"/>
    </row>
    <row r="2103" spans="1:8" x14ac:dyDescent="0.25">
      <c r="A2103" s="63"/>
      <c r="B2103" s="63">
        <v>25</v>
      </c>
      <c r="C2103" s="63" t="s">
        <v>3902</v>
      </c>
      <c r="D2103" s="63" t="s">
        <v>62</v>
      </c>
      <c r="E2103" s="66"/>
      <c r="F2103" s="67">
        <v>3.0000000000000001E-3</v>
      </c>
      <c r="G2103" s="67">
        <v>2E-3</v>
      </c>
      <c r="H2103" s="63"/>
    </row>
    <row r="2104" spans="1:8" x14ac:dyDescent="0.25">
      <c r="A2104" s="63"/>
      <c r="B2104" s="63">
        <v>26</v>
      </c>
      <c r="C2104" s="63" t="s">
        <v>3902</v>
      </c>
      <c r="D2104" s="63" t="s">
        <v>62</v>
      </c>
      <c r="E2104" s="66"/>
      <c r="F2104" s="67">
        <v>3.0000000000000001E-3</v>
      </c>
      <c r="G2104" s="67">
        <v>2E-3</v>
      </c>
      <c r="H2104" s="63"/>
    </row>
    <row r="2105" spans="1:8" x14ac:dyDescent="0.25">
      <c r="A2105" s="63"/>
      <c r="B2105" s="63">
        <v>27</v>
      </c>
      <c r="C2105" s="63" t="s">
        <v>3902</v>
      </c>
      <c r="D2105" s="63" t="s">
        <v>62</v>
      </c>
      <c r="E2105" s="66"/>
      <c r="F2105" s="67">
        <v>3.0000000000000001E-3</v>
      </c>
      <c r="G2105" s="67">
        <v>2E-3</v>
      </c>
      <c r="H2105" s="63"/>
    </row>
    <row r="2106" spans="1:8" x14ac:dyDescent="0.25">
      <c r="A2106" s="63"/>
      <c r="B2106" s="63">
        <v>28</v>
      </c>
      <c r="C2106" s="63" t="s">
        <v>3902</v>
      </c>
      <c r="D2106" s="63" t="s">
        <v>62</v>
      </c>
      <c r="E2106" s="66"/>
      <c r="F2106" s="67">
        <v>3.0000000000000001E-3</v>
      </c>
      <c r="G2106" s="67">
        <v>2E-3</v>
      </c>
      <c r="H2106" s="63"/>
    </row>
    <row r="2107" spans="1:8" x14ac:dyDescent="0.25">
      <c r="A2107" s="63"/>
      <c r="B2107" s="63">
        <v>29</v>
      </c>
      <c r="C2107" s="63" t="s">
        <v>3902</v>
      </c>
      <c r="D2107" s="63" t="s">
        <v>62</v>
      </c>
      <c r="E2107" s="66"/>
      <c r="F2107" s="67">
        <v>3.0000000000000001E-3</v>
      </c>
      <c r="G2107" s="67">
        <v>2E-3</v>
      </c>
      <c r="H2107" s="63"/>
    </row>
    <row r="2108" spans="1:8" x14ac:dyDescent="0.25">
      <c r="A2108" s="63"/>
      <c r="B2108" s="63">
        <v>30</v>
      </c>
      <c r="C2108" s="63" t="s">
        <v>3902</v>
      </c>
      <c r="D2108" s="63" t="s">
        <v>62</v>
      </c>
      <c r="E2108" s="66"/>
      <c r="F2108" s="67">
        <v>3.0000000000000001E-3</v>
      </c>
      <c r="G2108" s="67">
        <v>2E-3</v>
      </c>
      <c r="H2108" s="63"/>
    </row>
    <row r="2109" spans="1:8" x14ac:dyDescent="0.25">
      <c r="A2109" s="63"/>
      <c r="B2109" s="63">
        <v>0</v>
      </c>
      <c r="C2109" s="63" t="s">
        <v>3902</v>
      </c>
      <c r="D2109" s="63" t="s">
        <v>62</v>
      </c>
      <c r="E2109" s="66">
        <v>3.0428788910505911</v>
      </c>
      <c r="F2109" s="67">
        <v>3.0000000000000001E-3</v>
      </c>
      <c r="G2109" s="67">
        <v>2E-3</v>
      </c>
      <c r="H2109" s="63"/>
    </row>
    <row r="2110" spans="1:8" x14ac:dyDescent="0.25">
      <c r="A2110" s="63"/>
      <c r="B2110" s="63">
        <v>0.25</v>
      </c>
      <c r="C2110" s="63" t="s">
        <v>3902</v>
      </c>
      <c r="D2110" s="63" t="s">
        <v>64</v>
      </c>
      <c r="E2110" s="66">
        <v>37.3006029315357</v>
      </c>
      <c r="F2110" s="67">
        <v>3.0000000000000001E-3</v>
      </c>
      <c r="G2110" s="67">
        <v>2E-3</v>
      </c>
      <c r="H2110" s="63"/>
    </row>
    <row r="2111" spans="1:8" x14ac:dyDescent="0.25">
      <c r="A2111" s="63"/>
      <c r="B2111" s="63">
        <v>0.5</v>
      </c>
      <c r="C2111" s="63" t="s">
        <v>3902</v>
      </c>
      <c r="D2111" s="63" t="s">
        <v>64</v>
      </c>
      <c r="E2111" s="66">
        <v>37.954174833367482</v>
      </c>
      <c r="F2111" s="67">
        <v>3.0000000000000001E-3</v>
      </c>
      <c r="G2111" s="67">
        <v>2E-3</v>
      </c>
      <c r="H2111" s="63"/>
    </row>
    <row r="2112" spans="1:8" x14ac:dyDescent="0.25">
      <c r="A2112" s="63"/>
      <c r="B2112" s="63">
        <v>0.75</v>
      </c>
      <c r="C2112" s="63" t="s">
        <v>3902</v>
      </c>
      <c r="D2112" s="63" t="s">
        <v>64</v>
      </c>
      <c r="E2112" s="66">
        <v>38.461188195131434</v>
      </c>
      <c r="F2112" s="67">
        <v>3.0000000000000001E-3</v>
      </c>
      <c r="G2112" s="67">
        <v>2E-3</v>
      </c>
      <c r="H2112" s="63"/>
    </row>
    <row r="2113" spans="1:8" x14ac:dyDescent="0.25">
      <c r="A2113" s="63"/>
      <c r="B2113" s="63">
        <v>1</v>
      </c>
      <c r="C2113" s="63" t="s">
        <v>3902</v>
      </c>
      <c r="D2113" s="63" t="s">
        <v>64</v>
      </c>
      <c r="E2113" s="66">
        <v>39.070309384611662</v>
      </c>
      <c r="F2113" s="67">
        <v>3.0000000000000001E-3</v>
      </c>
      <c r="G2113" s="67">
        <v>2E-3</v>
      </c>
      <c r="H2113" s="63"/>
    </row>
    <row r="2114" spans="1:8" x14ac:dyDescent="0.25">
      <c r="A2114" s="63"/>
      <c r="B2114" s="63">
        <v>2</v>
      </c>
      <c r="C2114" s="63" t="s">
        <v>3902</v>
      </c>
      <c r="D2114" s="63" t="s">
        <v>64</v>
      </c>
      <c r="E2114" s="66">
        <v>50.995984043793037</v>
      </c>
      <c r="F2114" s="67">
        <v>3.0000000000000001E-3</v>
      </c>
      <c r="G2114" s="67">
        <v>2E-3</v>
      </c>
      <c r="H2114" s="63"/>
    </row>
    <row r="2115" spans="1:8" x14ac:dyDescent="0.25">
      <c r="A2115" s="63"/>
      <c r="B2115" s="63">
        <v>3</v>
      </c>
      <c r="C2115" s="63" t="s">
        <v>3902</v>
      </c>
      <c r="D2115" s="63" t="s">
        <v>64</v>
      </c>
      <c r="E2115" s="66">
        <v>64.105744170854834</v>
      </c>
      <c r="F2115" s="67">
        <v>3.0000000000000001E-3</v>
      </c>
      <c r="G2115" s="67">
        <v>2E-3</v>
      </c>
      <c r="H2115" s="63"/>
    </row>
    <row r="2116" spans="1:8" x14ac:dyDescent="0.25">
      <c r="A2116" s="63"/>
      <c r="B2116" s="63">
        <v>4</v>
      </c>
      <c r="C2116" s="63" t="s">
        <v>3902</v>
      </c>
      <c r="D2116" s="63" t="s">
        <v>64</v>
      </c>
      <c r="E2116" s="66">
        <v>77.318124291715549</v>
      </c>
      <c r="F2116" s="67">
        <v>3.0000000000000001E-3</v>
      </c>
      <c r="G2116" s="67">
        <v>2E-3</v>
      </c>
      <c r="H2116" s="63"/>
    </row>
    <row r="2117" spans="1:8" x14ac:dyDescent="0.25">
      <c r="A2117" s="63"/>
      <c r="B2117" s="63">
        <v>5</v>
      </c>
      <c r="C2117" s="63" t="s">
        <v>3902</v>
      </c>
      <c r="D2117" s="63" t="s">
        <v>64</v>
      </c>
      <c r="E2117" s="66">
        <v>90.643386405755081</v>
      </c>
      <c r="F2117" s="67">
        <v>3.0000000000000001E-3</v>
      </c>
      <c r="G2117" s="67">
        <v>2E-3</v>
      </c>
      <c r="H2117" s="63"/>
    </row>
    <row r="2118" spans="1:8" x14ac:dyDescent="0.25">
      <c r="A2118" s="63"/>
      <c r="B2118" s="63">
        <v>6</v>
      </c>
      <c r="C2118" s="63" t="s">
        <v>3902</v>
      </c>
      <c r="D2118" s="63" t="s">
        <v>64</v>
      </c>
      <c r="E2118" s="66">
        <v>106.09806999222619</v>
      </c>
      <c r="F2118" s="67">
        <v>3.0000000000000001E-3</v>
      </c>
      <c r="G2118" s="67">
        <v>2E-3</v>
      </c>
      <c r="H2118" s="63"/>
    </row>
    <row r="2119" spans="1:8" x14ac:dyDescent="0.25">
      <c r="A2119" s="63"/>
      <c r="B2119" s="63">
        <v>7</v>
      </c>
      <c r="C2119" s="63" t="s">
        <v>3902</v>
      </c>
      <c r="D2119" s="63" t="s">
        <v>64</v>
      </c>
      <c r="E2119" s="66">
        <v>118.88426678367934</v>
      </c>
      <c r="F2119" s="67">
        <v>3.0000000000000001E-3</v>
      </c>
      <c r="G2119" s="67">
        <v>2E-3</v>
      </c>
      <c r="H2119" s="63"/>
    </row>
    <row r="2120" spans="1:8" x14ac:dyDescent="0.25">
      <c r="A2120" s="63"/>
      <c r="B2120" s="63">
        <v>8</v>
      </c>
      <c r="C2120" s="63" t="s">
        <v>3902</v>
      </c>
      <c r="D2120" s="63" t="s">
        <v>64</v>
      </c>
      <c r="E2120" s="66">
        <v>131.80574823355238</v>
      </c>
      <c r="F2120" s="67">
        <v>3.0000000000000001E-3</v>
      </c>
      <c r="G2120" s="67">
        <v>2E-3</v>
      </c>
      <c r="H2120" s="63"/>
    </row>
    <row r="2121" spans="1:8" x14ac:dyDescent="0.25">
      <c r="A2121" s="63"/>
      <c r="B2121" s="63">
        <v>9</v>
      </c>
      <c r="C2121" s="63" t="s">
        <v>3902</v>
      </c>
      <c r="D2121" s="63" t="s">
        <v>64</v>
      </c>
      <c r="E2121" s="66">
        <v>145.75616170751147</v>
      </c>
      <c r="F2121" s="67">
        <v>3.0000000000000001E-3</v>
      </c>
      <c r="G2121" s="67">
        <v>2E-3</v>
      </c>
      <c r="H2121" s="63"/>
    </row>
    <row r="2122" spans="1:8" x14ac:dyDescent="0.25">
      <c r="A2122" s="63"/>
      <c r="B2122" s="63">
        <v>10</v>
      </c>
      <c r="C2122" s="63" t="s">
        <v>3902</v>
      </c>
      <c r="D2122" s="63" t="s">
        <v>64</v>
      </c>
      <c r="E2122" s="66">
        <v>158.75189294311699</v>
      </c>
      <c r="F2122" s="67">
        <v>3.0000000000000001E-3</v>
      </c>
      <c r="G2122" s="67">
        <v>2E-3</v>
      </c>
      <c r="H2122" s="63"/>
    </row>
    <row r="2123" spans="1:8" x14ac:dyDescent="0.25">
      <c r="A2123" s="63"/>
      <c r="B2123" s="63">
        <v>11</v>
      </c>
      <c r="C2123" s="63" t="s">
        <v>3902</v>
      </c>
      <c r="D2123" s="63" t="s">
        <v>64</v>
      </c>
      <c r="E2123" s="66"/>
      <c r="F2123" s="67">
        <v>3.0000000000000001E-3</v>
      </c>
      <c r="G2123" s="67">
        <v>2E-3</v>
      </c>
      <c r="H2123" s="63"/>
    </row>
    <row r="2124" spans="1:8" x14ac:dyDescent="0.25">
      <c r="A2124" s="63"/>
      <c r="B2124" s="63">
        <v>12</v>
      </c>
      <c r="C2124" s="63" t="s">
        <v>3902</v>
      </c>
      <c r="D2124" s="63" t="s">
        <v>64</v>
      </c>
      <c r="E2124" s="66"/>
      <c r="F2124" s="67">
        <v>3.0000000000000001E-3</v>
      </c>
      <c r="G2124" s="67">
        <v>2E-3</v>
      </c>
      <c r="H2124" s="63"/>
    </row>
    <row r="2125" spans="1:8" x14ac:dyDescent="0.25">
      <c r="A2125" s="63"/>
      <c r="B2125" s="63">
        <v>13</v>
      </c>
      <c r="C2125" s="63" t="s">
        <v>3902</v>
      </c>
      <c r="D2125" s="63" t="s">
        <v>64</v>
      </c>
      <c r="E2125" s="66"/>
      <c r="F2125" s="67">
        <v>3.0000000000000001E-3</v>
      </c>
      <c r="G2125" s="67">
        <v>2E-3</v>
      </c>
      <c r="H2125" s="63"/>
    </row>
    <row r="2126" spans="1:8" x14ac:dyDescent="0.25">
      <c r="A2126" s="63"/>
      <c r="B2126" s="63">
        <v>14</v>
      </c>
      <c r="C2126" s="63" t="s">
        <v>3902</v>
      </c>
      <c r="D2126" s="63" t="s">
        <v>64</v>
      </c>
      <c r="E2126" s="66"/>
      <c r="F2126" s="67">
        <v>3.0000000000000001E-3</v>
      </c>
      <c r="G2126" s="67">
        <v>2E-3</v>
      </c>
      <c r="H2126" s="63"/>
    </row>
    <row r="2127" spans="1:8" x14ac:dyDescent="0.25">
      <c r="A2127" s="63"/>
      <c r="B2127" s="63">
        <v>15</v>
      </c>
      <c r="C2127" s="63" t="s">
        <v>3902</v>
      </c>
      <c r="D2127" s="63" t="s">
        <v>64</v>
      </c>
      <c r="E2127" s="66"/>
      <c r="F2127" s="67">
        <v>3.0000000000000001E-3</v>
      </c>
      <c r="G2127" s="67">
        <v>2E-3</v>
      </c>
      <c r="H2127" s="63"/>
    </row>
    <row r="2128" spans="1:8" x14ac:dyDescent="0.25">
      <c r="A2128" s="63"/>
      <c r="B2128" s="63">
        <v>16</v>
      </c>
      <c r="C2128" s="63" t="s">
        <v>3902</v>
      </c>
      <c r="D2128" s="63" t="s">
        <v>64</v>
      </c>
      <c r="E2128" s="66"/>
      <c r="F2128" s="67">
        <v>3.0000000000000001E-3</v>
      </c>
      <c r="G2128" s="67">
        <v>2E-3</v>
      </c>
      <c r="H2128" s="63"/>
    </row>
    <row r="2129" spans="1:8" x14ac:dyDescent="0.25">
      <c r="A2129" s="63"/>
      <c r="B2129" s="63">
        <v>17</v>
      </c>
      <c r="C2129" s="63" t="s">
        <v>3902</v>
      </c>
      <c r="D2129" s="63" t="s">
        <v>64</v>
      </c>
      <c r="E2129" s="66"/>
      <c r="F2129" s="67">
        <v>3.0000000000000001E-3</v>
      </c>
      <c r="G2129" s="67">
        <v>2E-3</v>
      </c>
      <c r="H2129" s="63"/>
    </row>
    <row r="2130" spans="1:8" x14ac:dyDescent="0.25">
      <c r="A2130" s="63"/>
      <c r="B2130" s="63">
        <v>18</v>
      </c>
      <c r="C2130" s="63" t="s">
        <v>3902</v>
      </c>
      <c r="D2130" s="63" t="s">
        <v>64</v>
      </c>
      <c r="E2130" s="66"/>
      <c r="F2130" s="67">
        <v>3.0000000000000001E-3</v>
      </c>
      <c r="G2130" s="67">
        <v>2E-3</v>
      </c>
      <c r="H2130" s="63"/>
    </row>
    <row r="2131" spans="1:8" x14ac:dyDescent="0.25">
      <c r="A2131" s="63"/>
      <c r="B2131" s="63">
        <v>19</v>
      </c>
      <c r="C2131" s="63" t="s">
        <v>3902</v>
      </c>
      <c r="D2131" s="63" t="s">
        <v>64</v>
      </c>
      <c r="E2131" s="66"/>
      <c r="F2131" s="67">
        <v>3.0000000000000001E-3</v>
      </c>
      <c r="G2131" s="67">
        <v>2E-3</v>
      </c>
      <c r="H2131" s="63"/>
    </row>
    <row r="2132" spans="1:8" x14ac:dyDescent="0.25">
      <c r="A2132" s="63"/>
      <c r="B2132" s="63">
        <v>20</v>
      </c>
      <c r="C2132" s="63" t="s">
        <v>3902</v>
      </c>
      <c r="D2132" s="63" t="s">
        <v>64</v>
      </c>
      <c r="E2132" s="66"/>
      <c r="F2132" s="67">
        <v>3.0000000000000001E-3</v>
      </c>
      <c r="G2132" s="67">
        <v>2E-3</v>
      </c>
      <c r="H2132" s="63"/>
    </row>
    <row r="2133" spans="1:8" x14ac:dyDescent="0.25">
      <c r="A2133" s="63"/>
      <c r="B2133" s="63">
        <v>21</v>
      </c>
      <c r="C2133" s="63" t="s">
        <v>3902</v>
      </c>
      <c r="D2133" s="63" t="s">
        <v>64</v>
      </c>
      <c r="E2133" s="66"/>
      <c r="F2133" s="67">
        <v>3.0000000000000001E-3</v>
      </c>
      <c r="G2133" s="67">
        <v>2E-3</v>
      </c>
      <c r="H2133" s="63"/>
    </row>
    <row r="2134" spans="1:8" x14ac:dyDescent="0.25">
      <c r="A2134" s="63"/>
      <c r="B2134" s="63">
        <v>22</v>
      </c>
      <c r="C2134" s="63" t="s">
        <v>3902</v>
      </c>
      <c r="D2134" s="63" t="s">
        <v>64</v>
      </c>
      <c r="E2134" s="66"/>
      <c r="F2134" s="67">
        <v>3.0000000000000001E-3</v>
      </c>
      <c r="G2134" s="67">
        <v>2E-3</v>
      </c>
      <c r="H2134" s="63"/>
    </row>
    <row r="2135" spans="1:8" x14ac:dyDescent="0.25">
      <c r="A2135" s="63"/>
      <c r="B2135" s="63">
        <v>23</v>
      </c>
      <c r="C2135" s="63" t="s">
        <v>3902</v>
      </c>
      <c r="D2135" s="63" t="s">
        <v>64</v>
      </c>
      <c r="E2135" s="66"/>
      <c r="F2135" s="67">
        <v>3.0000000000000001E-3</v>
      </c>
      <c r="G2135" s="67">
        <v>2E-3</v>
      </c>
      <c r="H2135" s="63"/>
    </row>
    <row r="2136" spans="1:8" x14ac:dyDescent="0.25">
      <c r="A2136" s="63"/>
      <c r="B2136" s="63">
        <v>24</v>
      </c>
      <c r="C2136" s="63" t="s">
        <v>3902</v>
      </c>
      <c r="D2136" s="63" t="s">
        <v>64</v>
      </c>
      <c r="E2136" s="66"/>
      <c r="F2136" s="67">
        <v>3.0000000000000001E-3</v>
      </c>
      <c r="G2136" s="67">
        <v>2E-3</v>
      </c>
      <c r="H2136" s="63"/>
    </row>
    <row r="2137" spans="1:8" x14ac:dyDescent="0.25">
      <c r="A2137" s="63"/>
      <c r="B2137" s="63">
        <v>25</v>
      </c>
      <c r="C2137" s="63" t="s">
        <v>3902</v>
      </c>
      <c r="D2137" s="63" t="s">
        <v>64</v>
      </c>
      <c r="E2137" s="66"/>
      <c r="F2137" s="67">
        <v>3.0000000000000001E-3</v>
      </c>
      <c r="G2137" s="67">
        <v>2E-3</v>
      </c>
      <c r="H2137" s="63"/>
    </row>
    <row r="2138" spans="1:8" x14ac:dyDescent="0.25">
      <c r="A2138" s="63"/>
      <c r="B2138" s="63">
        <v>26</v>
      </c>
      <c r="C2138" s="63" t="s">
        <v>3902</v>
      </c>
      <c r="D2138" s="63" t="s">
        <v>64</v>
      </c>
      <c r="E2138" s="66"/>
      <c r="F2138" s="67">
        <v>3.0000000000000001E-3</v>
      </c>
      <c r="G2138" s="67">
        <v>2E-3</v>
      </c>
      <c r="H2138" s="63"/>
    </row>
    <row r="2139" spans="1:8" x14ac:dyDescent="0.25">
      <c r="A2139" s="63"/>
      <c r="B2139" s="63">
        <v>27</v>
      </c>
      <c r="C2139" s="63" t="s">
        <v>3902</v>
      </c>
      <c r="D2139" s="63" t="s">
        <v>64</v>
      </c>
      <c r="E2139" s="66"/>
      <c r="F2139" s="67">
        <v>3.0000000000000001E-3</v>
      </c>
      <c r="G2139" s="67">
        <v>2E-3</v>
      </c>
      <c r="H2139" s="63"/>
    </row>
    <row r="2140" spans="1:8" x14ac:dyDescent="0.25">
      <c r="A2140" s="63"/>
      <c r="B2140" s="63">
        <v>28</v>
      </c>
      <c r="C2140" s="63" t="s">
        <v>3902</v>
      </c>
      <c r="D2140" s="63" t="s">
        <v>64</v>
      </c>
      <c r="E2140" s="66"/>
      <c r="F2140" s="67">
        <v>3.0000000000000001E-3</v>
      </c>
      <c r="G2140" s="67">
        <v>2E-3</v>
      </c>
      <c r="H2140" s="63"/>
    </row>
    <row r="2141" spans="1:8" x14ac:dyDescent="0.25">
      <c r="A2141" s="63"/>
      <c r="B2141" s="63">
        <v>29</v>
      </c>
      <c r="C2141" s="63" t="s">
        <v>3902</v>
      </c>
      <c r="D2141" s="63" t="s">
        <v>64</v>
      </c>
      <c r="E2141" s="66"/>
      <c r="F2141" s="67">
        <v>3.0000000000000001E-3</v>
      </c>
      <c r="G2141" s="67">
        <v>2E-3</v>
      </c>
      <c r="H2141" s="63"/>
    </row>
    <row r="2142" spans="1:8" x14ac:dyDescent="0.25">
      <c r="A2142" s="63"/>
      <c r="B2142" s="63">
        <v>30</v>
      </c>
      <c r="C2142" s="63" t="s">
        <v>3902</v>
      </c>
      <c r="D2142" s="63" t="s">
        <v>64</v>
      </c>
      <c r="E2142" s="66"/>
      <c r="F2142" s="67">
        <v>3.0000000000000001E-3</v>
      </c>
      <c r="G2142" s="67">
        <v>2E-3</v>
      </c>
      <c r="H2142" s="63"/>
    </row>
    <row r="2143" spans="1:8" x14ac:dyDescent="0.25">
      <c r="A2143" s="63"/>
      <c r="B2143" s="63">
        <v>0</v>
      </c>
      <c r="C2143" s="63" t="s">
        <v>3902</v>
      </c>
      <c r="D2143" s="63" t="s">
        <v>64</v>
      </c>
      <c r="E2143" s="66">
        <v>3.0428788910505911</v>
      </c>
      <c r="F2143" s="67">
        <v>3.0000000000000001E-3</v>
      </c>
      <c r="G2143" s="67">
        <v>2E-3</v>
      </c>
      <c r="H2143" s="63"/>
    </row>
    <row r="2144" spans="1:8" x14ac:dyDescent="0.25">
      <c r="A2144" s="63"/>
      <c r="B2144" s="63">
        <v>0.25</v>
      </c>
      <c r="C2144" s="63" t="s">
        <v>3902</v>
      </c>
      <c r="D2144" s="63" t="s">
        <v>77</v>
      </c>
      <c r="E2144" s="66">
        <v>52.356470025188507</v>
      </c>
      <c r="F2144" s="67">
        <v>3.0000000000000001E-3</v>
      </c>
      <c r="G2144" s="67">
        <v>2E-3</v>
      </c>
      <c r="H2144" s="63"/>
    </row>
    <row r="2145" spans="1:8" x14ac:dyDescent="0.25">
      <c r="A2145" s="63"/>
      <c r="B2145" s="63">
        <v>0.5</v>
      </c>
      <c r="C2145" s="63" t="s">
        <v>3902</v>
      </c>
      <c r="D2145" s="63" t="s">
        <v>77</v>
      </c>
      <c r="E2145" s="66">
        <v>53.760206005810289</v>
      </c>
      <c r="F2145" s="67">
        <v>3.0000000000000001E-3</v>
      </c>
      <c r="G2145" s="67">
        <v>2E-3</v>
      </c>
      <c r="H2145" s="63"/>
    </row>
    <row r="2146" spans="1:8" x14ac:dyDescent="0.25">
      <c r="A2146" s="63"/>
      <c r="B2146" s="63">
        <v>0.75</v>
      </c>
      <c r="C2146" s="63" t="s">
        <v>3902</v>
      </c>
      <c r="D2146" s="63" t="s">
        <v>77</v>
      </c>
      <c r="E2146" s="66">
        <v>54.225347430867238</v>
      </c>
      <c r="F2146" s="67">
        <v>3.0000000000000001E-3</v>
      </c>
      <c r="G2146" s="67">
        <v>2E-3</v>
      </c>
      <c r="H2146" s="63"/>
    </row>
    <row r="2147" spans="1:8" x14ac:dyDescent="0.25">
      <c r="A2147" s="63"/>
      <c r="B2147" s="63">
        <v>1</v>
      </c>
      <c r="C2147" s="63" t="s">
        <v>3902</v>
      </c>
      <c r="D2147" s="63" t="s">
        <v>77</v>
      </c>
      <c r="E2147" s="66">
        <v>54.610644522460483</v>
      </c>
      <c r="F2147" s="67">
        <v>3.0000000000000001E-3</v>
      </c>
      <c r="G2147" s="67">
        <v>2E-3</v>
      </c>
      <c r="H2147" s="63"/>
    </row>
    <row r="2148" spans="1:8" x14ac:dyDescent="0.25">
      <c r="A2148" s="63"/>
      <c r="B2148" s="63">
        <v>2</v>
      </c>
      <c r="C2148" s="63" t="s">
        <v>3902</v>
      </c>
      <c r="D2148" s="63" t="s">
        <v>77</v>
      </c>
      <c r="E2148" s="66">
        <v>69.025126971275171</v>
      </c>
      <c r="F2148" s="67">
        <v>3.0000000000000001E-3</v>
      </c>
      <c r="G2148" s="67">
        <v>2E-3</v>
      </c>
      <c r="H2148" s="63"/>
    </row>
    <row r="2149" spans="1:8" x14ac:dyDescent="0.25">
      <c r="A2149" s="63"/>
      <c r="B2149" s="63">
        <v>3</v>
      </c>
      <c r="C2149" s="63" t="s">
        <v>3902</v>
      </c>
      <c r="D2149" s="63" t="s">
        <v>77</v>
      </c>
      <c r="E2149" s="66">
        <v>84.82781936027213</v>
      </c>
      <c r="F2149" s="67">
        <v>3.0000000000000001E-3</v>
      </c>
      <c r="G2149" s="67">
        <v>2E-3</v>
      </c>
      <c r="H2149" s="63"/>
    </row>
    <row r="2150" spans="1:8" x14ac:dyDescent="0.25">
      <c r="A2150" s="63"/>
      <c r="B2150" s="63">
        <v>4</v>
      </c>
      <c r="C2150" s="63" t="s">
        <v>3902</v>
      </c>
      <c r="D2150" s="63" t="s">
        <v>77</v>
      </c>
      <c r="E2150" s="66">
        <v>100.7364947991155</v>
      </c>
      <c r="F2150" s="67">
        <v>3.0000000000000001E-3</v>
      </c>
      <c r="G2150" s="67">
        <v>2E-3</v>
      </c>
      <c r="H2150" s="63"/>
    </row>
    <row r="2151" spans="1:8" x14ac:dyDescent="0.25">
      <c r="A2151" s="63"/>
      <c r="B2151" s="63">
        <v>5</v>
      </c>
      <c r="C2151" s="63" t="s">
        <v>3902</v>
      </c>
      <c r="D2151" s="63" t="s">
        <v>77</v>
      </c>
      <c r="E2151" s="66">
        <v>117.02508837332475</v>
      </c>
      <c r="F2151" s="67">
        <v>3.0000000000000001E-3</v>
      </c>
      <c r="G2151" s="67">
        <v>2E-3</v>
      </c>
      <c r="H2151" s="63"/>
    </row>
    <row r="2152" spans="1:8" x14ac:dyDescent="0.25">
      <c r="A2152" s="63"/>
      <c r="B2152" s="63">
        <v>6</v>
      </c>
      <c r="C2152" s="63" t="s">
        <v>3902</v>
      </c>
      <c r="D2152" s="63" t="s">
        <v>77</v>
      </c>
      <c r="E2152" s="66">
        <v>133.59992350616912</v>
      </c>
      <c r="F2152" s="67">
        <v>3.0000000000000001E-3</v>
      </c>
      <c r="G2152" s="67">
        <v>2E-3</v>
      </c>
      <c r="H2152" s="63"/>
    </row>
    <row r="2153" spans="1:8" x14ac:dyDescent="0.25">
      <c r="A2153" s="63"/>
      <c r="B2153" s="63">
        <v>7</v>
      </c>
      <c r="C2153" s="63" t="s">
        <v>3902</v>
      </c>
      <c r="D2153" s="63" t="s">
        <v>77</v>
      </c>
      <c r="E2153" s="66">
        <v>150.48962435351206</v>
      </c>
      <c r="F2153" s="67">
        <v>3.0000000000000001E-3</v>
      </c>
      <c r="G2153" s="67">
        <v>2E-3</v>
      </c>
      <c r="H2153" s="63"/>
    </row>
    <row r="2154" spans="1:8" x14ac:dyDescent="0.25">
      <c r="A2154" s="63"/>
      <c r="B2154" s="63">
        <v>8</v>
      </c>
      <c r="C2154" s="63" t="s">
        <v>3902</v>
      </c>
      <c r="D2154" s="63" t="s">
        <v>77</v>
      </c>
      <c r="E2154" s="66">
        <v>169.31808477390766</v>
      </c>
      <c r="F2154" s="67">
        <v>3.0000000000000001E-3</v>
      </c>
      <c r="G2154" s="67">
        <v>2E-3</v>
      </c>
      <c r="H2154" s="63"/>
    </row>
    <row r="2155" spans="1:8" x14ac:dyDescent="0.25">
      <c r="A2155" s="63"/>
      <c r="B2155" s="63">
        <v>9</v>
      </c>
      <c r="C2155" s="63" t="s">
        <v>3902</v>
      </c>
      <c r="D2155" s="63" t="s">
        <v>77</v>
      </c>
      <c r="E2155" s="66">
        <v>187.09436615045269</v>
      </c>
      <c r="F2155" s="67">
        <v>3.0000000000000001E-3</v>
      </c>
      <c r="G2155" s="67">
        <v>2E-3</v>
      </c>
      <c r="H2155" s="63"/>
    </row>
    <row r="2156" spans="1:8" x14ac:dyDescent="0.25">
      <c r="A2156" s="63"/>
      <c r="B2156" s="63">
        <v>10</v>
      </c>
      <c r="C2156" s="63" t="s">
        <v>3902</v>
      </c>
      <c r="D2156" s="63" t="s">
        <v>77</v>
      </c>
      <c r="E2156" s="66">
        <v>204.90277882222901</v>
      </c>
      <c r="F2156" s="67">
        <v>3.0000000000000001E-3</v>
      </c>
      <c r="G2156" s="67">
        <v>2E-3</v>
      </c>
      <c r="H2156" s="63"/>
    </row>
    <row r="2157" spans="1:8" x14ac:dyDescent="0.25">
      <c r="A2157" s="63"/>
      <c r="B2157" s="63">
        <v>11</v>
      </c>
      <c r="C2157" s="63" t="s">
        <v>3902</v>
      </c>
      <c r="D2157" s="63" t="s">
        <v>77</v>
      </c>
      <c r="E2157" s="66"/>
      <c r="F2157" s="67">
        <v>3.0000000000000001E-3</v>
      </c>
      <c r="G2157" s="67">
        <v>2E-3</v>
      </c>
      <c r="H2157" s="63"/>
    </row>
    <row r="2158" spans="1:8" x14ac:dyDescent="0.25">
      <c r="A2158" s="63"/>
      <c r="B2158" s="63">
        <v>12</v>
      </c>
      <c r="C2158" s="63" t="s">
        <v>3902</v>
      </c>
      <c r="D2158" s="63" t="s">
        <v>77</v>
      </c>
      <c r="E2158" s="66"/>
      <c r="F2158" s="67">
        <v>3.0000000000000001E-3</v>
      </c>
      <c r="G2158" s="67">
        <v>2E-3</v>
      </c>
      <c r="H2158" s="63"/>
    </row>
    <row r="2159" spans="1:8" x14ac:dyDescent="0.25">
      <c r="A2159" s="63"/>
      <c r="B2159" s="63">
        <v>13</v>
      </c>
      <c r="C2159" s="63" t="s">
        <v>3902</v>
      </c>
      <c r="D2159" s="63" t="s">
        <v>77</v>
      </c>
      <c r="E2159" s="66"/>
      <c r="F2159" s="67">
        <v>3.0000000000000001E-3</v>
      </c>
      <c r="G2159" s="67">
        <v>2E-3</v>
      </c>
      <c r="H2159" s="63"/>
    </row>
    <row r="2160" spans="1:8" x14ac:dyDescent="0.25">
      <c r="A2160" s="63"/>
      <c r="B2160" s="63">
        <v>14</v>
      </c>
      <c r="C2160" s="63" t="s">
        <v>3902</v>
      </c>
      <c r="D2160" s="63" t="s">
        <v>77</v>
      </c>
      <c r="E2160" s="66"/>
      <c r="F2160" s="67">
        <v>3.0000000000000001E-3</v>
      </c>
      <c r="G2160" s="67">
        <v>2E-3</v>
      </c>
      <c r="H2160" s="63"/>
    </row>
    <row r="2161" spans="1:8" x14ac:dyDescent="0.25">
      <c r="A2161" s="63"/>
      <c r="B2161" s="63">
        <v>15</v>
      </c>
      <c r="C2161" s="63" t="s">
        <v>3902</v>
      </c>
      <c r="D2161" s="63" t="s">
        <v>77</v>
      </c>
      <c r="E2161" s="66"/>
      <c r="F2161" s="67">
        <v>3.0000000000000001E-3</v>
      </c>
      <c r="G2161" s="67">
        <v>2E-3</v>
      </c>
      <c r="H2161" s="63"/>
    </row>
    <row r="2162" spans="1:8" x14ac:dyDescent="0.25">
      <c r="A2162" s="63"/>
      <c r="B2162" s="63">
        <v>16</v>
      </c>
      <c r="C2162" s="63" t="s">
        <v>3902</v>
      </c>
      <c r="D2162" s="63" t="s">
        <v>77</v>
      </c>
      <c r="E2162" s="66"/>
      <c r="F2162" s="67">
        <v>3.0000000000000001E-3</v>
      </c>
      <c r="G2162" s="67">
        <v>2E-3</v>
      </c>
      <c r="H2162" s="63"/>
    </row>
    <row r="2163" spans="1:8" x14ac:dyDescent="0.25">
      <c r="A2163" s="63"/>
      <c r="B2163" s="63">
        <v>17</v>
      </c>
      <c r="C2163" s="63" t="s">
        <v>3902</v>
      </c>
      <c r="D2163" s="63" t="s">
        <v>77</v>
      </c>
      <c r="E2163" s="66"/>
      <c r="F2163" s="67">
        <v>3.0000000000000001E-3</v>
      </c>
      <c r="G2163" s="67">
        <v>2E-3</v>
      </c>
      <c r="H2163" s="63"/>
    </row>
    <row r="2164" spans="1:8" x14ac:dyDescent="0.25">
      <c r="A2164" s="63"/>
      <c r="B2164" s="63">
        <v>18</v>
      </c>
      <c r="C2164" s="63" t="s">
        <v>3902</v>
      </c>
      <c r="D2164" s="63" t="s">
        <v>77</v>
      </c>
      <c r="E2164" s="66"/>
      <c r="F2164" s="67">
        <v>3.0000000000000001E-3</v>
      </c>
      <c r="G2164" s="67">
        <v>2E-3</v>
      </c>
      <c r="H2164" s="63"/>
    </row>
    <row r="2165" spans="1:8" x14ac:dyDescent="0.25">
      <c r="A2165" s="63"/>
      <c r="B2165" s="63">
        <v>19</v>
      </c>
      <c r="C2165" s="63" t="s">
        <v>3902</v>
      </c>
      <c r="D2165" s="63" t="s">
        <v>77</v>
      </c>
      <c r="E2165" s="66"/>
      <c r="F2165" s="67">
        <v>3.0000000000000001E-3</v>
      </c>
      <c r="G2165" s="67">
        <v>2E-3</v>
      </c>
      <c r="H2165" s="63"/>
    </row>
    <row r="2166" spans="1:8" x14ac:dyDescent="0.25">
      <c r="A2166" s="63"/>
      <c r="B2166" s="63">
        <v>20</v>
      </c>
      <c r="C2166" s="63" t="s">
        <v>3902</v>
      </c>
      <c r="D2166" s="63" t="s">
        <v>77</v>
      </c>
      <c r="E2166" s="66"/>
      <c r="F2166" s="67">
        <v>3.0000000000000001E-3</v>
      </c>
      <c r="G2166" s="67">
        <v>2E-3</v>
      </c>
      <c r="H2166" s="63"/>
    </row>
    <row r="2167" spans="1:8" x14ac:dyDescent="0.25">
      <c r="A2167" s="63"/>
      <c r="B2167" s="63">
        <v>21</v>
      </c>
      <c r="C2167" s="63" t="s">
        <v>3902</v>
      </c>
      <c r="D2167" s="63" t="s">
        <v>77</v>
      </c>
      <c r="E2167" s="66"/>
      <c r="F2167" s="67">
        <v>3.0000000000000001E-3</v>
      </c>
      <c r="G2167" s="67">
        <v>2E-3</v>
      </c>
      <c r="H2167" s="63"/>
    </row>
    <row r="2168" spans="1:8" x14ac:dyDescent="0.25">
      <c r="A2168" s="63"/>
      <c r="B2168" s="63">
        <v>22</v>
      </c>
      <c r="C2168" s="63" t="s">
        <v>3902</v>
      </c>
      <c r="D2168" s="63" t="s">
        <v>77</v>
      </c>
      <c r="E2168" s="66"/>
      <c r="F2168" s="67">
        <v>3.0000000000000001E-3</v>
      </c>
      <c r="G2168" s="67">
        <v>2E-3</v>
      </c>
      <c r="H2168" s="63"/>
    </row>
    <row r="2169" spans="1:8" x14ac:dyDescent="0.25">
      <c r="A2169" s="63"/>
      <c r="B2169" s="63">
        <v>23</v>
      </c>
      <c r="C2169" s="63" t="s">
        <v>3902</v>
      </c>
      <c r="D2169" s="63" t="s">
        <v>77</v>
      </c>
      <c r="E2169" s="66"/>
      <c r="F2169" s="67">
        <v>3.0000000000000001E-3</v>
      </c>
      <c r="G2169" s="67">
        <v>2E-3</v>
      </c>
      <c r="H2169" s="63"/>
    </row>
    <row r="2170" spans="1:8" x14ac:dyDescent="0.25">
      <c r="A2170" s="63"/>
      <c r="B2170" s="63">
        <v>24</v>
      </c>
      <c r="C2170" s="63" t="s">
        <v>3902</v>
      </c>
      <c r="D2170" s="63" t="s">
        <v>77</v>
      </c>
      <c r="E2170" s="66"/>
      <c r="F2170" s="67">
        <v>3.0000000000000001E-3</v>
      </c>
      <c r="G2170" s="67">
        <v>2E-3</v>
      </c>
      <c r="H2170" s="63"/>
    </row>
    <row r="2171" spans="1:8" x14ac:dyDescent="0.25">
      <c r="A2171" s="63"/>
      <c r="B2171" s="63">
        <v>25</v>
      </c>
      <c r="C2171" s="63" t="s">
        <v>3902</v>
      </c>
      <c r="D2171" s="63" t="s">
        <v>77</v>
      </c>
      <c r="E2171" s="66"/>
      <c r="F2171" s="67">
        <v>3.0000000000000001E-3</v>
      </c>
      <c r="G2171" s="67">
        <v>2E-3</v>
      </c>
      <c r="H2171" s="63"/>
    </row>
    <row r="2172" spans="1:8" x14ac:dyDescent="0.25">
      <c r="A2172" s="63"/>
      <c r="B2172" s="63">
        <v>26</v>
      </c>
      <c r="C2172" s="63" t="s">
        <v>3902</v>
      </c>
      <c r="D2172" s="63" t="s">
        <v>77</v>
      </c>
      <c r="E2172" s="66"/>
      <c r="F2172" s="67">
        <v>3.0000000000000001E-3</v>
      </c>
      <c r="G2172" s="67">
        <v>2E-3</v>
      </c>
      <c r="H2172" s="63"/>
    </row>
    <row r="2173" spans="1:8" x14ac:dyDescent="0.25">
      <c r="A2173" s="63"/>
      <c r="B2173" s="63">
        <v>27</v>
      </c>
      <c r="C2173" s="63" t="s">
        <v>3902</v>
      </c>
      <c r="D2173" s="63" t="s">
        <v>77</v>
      </c>
      <c r="E2173" s="66"/>
      <c r="F2173" s="67">
        <v>3.0000000000000001E-3</v>
      </c>
      <c r="G2173" s="67">
        <v>2E-3</v>
      </c>
      <c r="H2173" s="63"/>
    </row>
    <row r="2174" spans="1:8" x14ac:dyDescent="0.25">
      <c r="A2174" s="63"/>
      <c r="B2174" s="63">
        <v>28</v>
      </c>
      <c r="C2174" s="63" t="s">
        <v>3902</v>
      </c>
      <c r="D2174" s="63" t="s">
        <v>77</v>
      </c>
      <c r="E2174" s="66"/>
      <c r="F2174" s="67">
        <v>3.0000000000000001E-3</v>
      </c>
      <c r="G2174" s="67">
        <v>2E-3</v>
      </c>
      <c r="H2174" s="63"/>
    </row>
    <row r="2175" spans="1:8" x14ac:dyDescent="0.25">
      <c r="A2175" s="63"/>
      <c r="B2175" s="63">
        <v>29</v>
      </c>
      <c r="C2175" s="63" t="s">
        <v>3902</v>
      </c>
      <c r="D2175" s="63" t="s">
        <v>77</v>
      </c>
      <c r="E2175" s="66"/>
      <c r="F2175" s="67">
        <v>3.0000000000000001E-3</v>
      </c>
      <c r="G2175" s="67">
        <v>2E-3</v>
      </c>
      <c r="H2175" s="63"/>
    </row>
    <row r="2176" spans="1:8" x14ac:dyDescent="0.25">
      <c r="A2176" s="63"/>
      <c r="B2176" s="63">
        <v>30</v>
      </c>
      <c r="C2176" s="63" t="s">
        <v>3902</v>
      </c>
      <c r="D2176" s="63" t="s">
        <v>77</v>
      </c>
      <c r="E2176" s="66"/>
      <c r="F2176" s="67">
        <v>3.0000000000000001E-3</v>
      </c>
      <c r="G2176" s="67">
        <v>2E-3</v>
      </c>
      <c r="H2176" s="63"/>
    </row>
    <row r="2177" spans="1:8" x14ac:dyDescent="0.25">
      <c r="A2177" s="63"/>
      <c r="B2177" s="63">
        <v>0</v>
      </c>
      <c r="C2177" s="63" t="s">
        <v>3902</v>
      </c>
      <c r="D2177" s="63" t="s">
        <v>77</v>
      </c>
      <c r="E2177" s="66">
        <v>3.0428788910505911</v>
      </c>
      <c r="F2177" s="67">
        <v>3.0000000000000001E-3</v>
      </c>
      <c r="G2177" s="67">
        <v>2E-3</v>
      </c>
      <c r="H2177" s="63"/>
    </row>
    <row r="2178" spans="1:8" x14ac:dyDescent="0.25">
      <c r="A2178" s="63"/>
      <c r="B2178" s="63">
        <v>0.25</v>
      </c>
      <c r="C2178" s="63" t="s">
        <v>3594</v>
      </c>
      <c r="D2178" s="63" t="s">
        <v>21</v>
      </c>
      <c r="E2178" s="66">
        <v>36.414248910442588</v>
      </c>
      <c r="F2178" s="67">
        <v>3.0000000000000001E-3</v>
      </c>
      <c r="G2178" s="67">
        <v>2E-3</v>
      </c>
      <c r="H2178" s="63"/>
    </row>
    <row r="2179" spans="1:8" x14ac:dyDescent="0.25">
      <c r="A2179" s="63"/>
      <c r="B2179" s="63">
        <v>0.5</v>
      </c>
      <c r="C2179" s="63" t="s">
        <v>3594</v>
      </c>
      <c r="D2179" s="63" t="s">
        <v>21</v>
      </c>
      <c r="E2179" s="66">
        <v>36.846302167885199</v>
      </c>
      <c r="F2179" s="67">
        <v>3.0000000000000001E-3</v>
      </c>
      <c r="G2179" s="67">
        <v>2E-3</v>
      </c>
      <c r="H2179" s="63"/>
    </row>
    <row r="2180" spans="1:8" x14ac:dyDescent="0.25">
      <c r="A2180" s="63"/>
      <c r="B2180" s="63">
        <v>0.75</v>
      </c>
      <c r="C2180" s="63" t="s">
        <v>3594</v>
      </c>
      <c r="D2180" s="63" t="s">
        <v>21</v>
      </c>
      <c r="E2180" s="66">
        <v>37.143121963835526</v>
      </c>
      <c r="F2180" s="67">
        <v>3.0000000000000001E-3</v>
      </c>
      <c r="G2180" s="67">
        <v>2E-3</v>
      </c>
      <c r="H2180" s="63"/>
    </row>
    <row r="2181" spans="1:8" x14ac:dyDescent="0.25">
      <c r="A2181" s="63"/>
      <c r="B2181" s="63">
        <v>1</v>
      </c>
      <c r="C2181" s="63" t="s">
        <v>3594</v>
      </c>
      <c r="D2181" s="63" t="s">
        <v>21</v>
      </c>
      <c r="E2181" s="66">
        <v>37.522788685864185</v>
      </c>
      <c r="F2181" s="67">
        <v>3.0000000000000001E-3</v>
      </c>
      <c r="G2181" s="67">
        <v>2E-3</v>
      </c>
      <c r="H2181" s="63"/>
    </row>
    <row r="2182" spans="1:8" x14ac:dyDescent="0.25">
      <c r="A2182" s="63"/>
      <c r="B2182" s="63">
        <v>2</v>
      </c>
      <c r="C2182" s="63" t="s">
        <v>3594</v>
      </c>
      <c r="D2182" s="63" t="s">
        <v>21</v>
      </c>
      <c r="E2182" s="66">
        <v>48.492422907044407</v>
      </c>
      <c r="F2182" s="67">
        <v>3.0000000000000001E-3</v>
      </c>
      <c r="G2182" s="67">
        <v>2E-3</v>
      </c>
      <c r="H2182" s="63"/>
    </row>
    <row r="2183" spans="1:8" x14ac:dyDescent="0.25">
      <c r="A2183" s="63"/>
      <c r="B2183" s="63">
        <v>3</v>
      </c>
      <c r="C2183" s="63" t="s">
        <v>3594</v>
      </c>
      <c r="D2183" s="63" t="s">
        <v>21</v>
      </c>
      <c r="E2183" s="66">
        <v>60.549318774253891</v>
      </c>
      <c r="F2183" s="67">
        <v>3.0000000000000001E-3</v>
      </c>
      <c r="G2183" s="67">
        <v>2E-3</v>
      </c>
      <c r="H2183" s="63"/>
    </row>
    <row r="2184" spans="1:8" x14ac:dyDescent="0.25">
      <c r="A2184" s="63"/>
      <c r="B2184" s="63">
        <v>4</v>
      </c>
      <c r="C2184" s="63" t="s">
        <v>3594</v>
      </c>
      <c r="D2184" s="63" t="s">
        <v>21</v>
      </c>
      <c r="E2184" s="66">
        <v>72.924961128366149</v>
      </c>
      <c r="F2184" s="67">
        <v>3.0000000000000001E-3</v>
      </c>
      <c r="G2184" s="67">
        <v>2E-3</v>
      </c>
      <c r="H2184" s="63"/>
    </row>
    <row r="2185" spans="1:8" x14ac:dyDescent="0.25">
      <c r="A2185" s="63"/>
      <c r="B2185" s="63">
        <v>5</v>
      </c>
      <c r="C2185" s="63" t="s">
        <v>3594</v>
      </c>
      <c r="D2185" s="63" t="s">
        <v>21</v>
      </c>
      <c r="E2185" s="66">
        <v>85.777651585622053</v>
      </c>
      <c r="F2185" s="67">
        <v>3.0000000000000001E-3</v>
      </c>
      <c r="G2185" s="67">
        <v>2E-3</v>
      </c>
      <c r="H2185" s="63"/>
    </row>
    <row r="2186" spans="1:8" x14ac:dyDescent="0.25">
      <c r="A2186" s="63"/>
      <c r="B2186" s="63">
        <v>6</v>
      </c>
      <c r="C2186" s="63" t="s">
        <v>3594</v>
      </c>
      <c r="D2186" s="63" t="s">
        <v>21</v>
      </c>
      <c r="E2186" s="66">
        <v>98.135472552737582</v>
      </c>
      <c r="F2186" s="67">
        <v>3.0000000000000001E-3</v>
      </c>
      <c r="G2186" s="67">
        <v>2E-3</v>
      </c>
      <c r="H2186" s="63"/>
    </row>
    <row r="2187" spans="1:8" x14ac:dyDescent="0.25">
      <c r="A2187" s="63"/>
      <c r="B2187" s="63">
        <v>7</v>
      </c>
      <c r="C2187" s="63" t="s">
        <v>3594</v>
      </c>
      <c r="D2187" s="63" t="s">
        <v>21</v>
      </c>
      <c r="E2187" s="66">
        <v>110.6589672187262</v>
      </c>
      <c r="F2187" s="67">
        <v>3.0000000000000001E-3</v>
      </c>
      <c r="G2187" s="67">
        <v>2E-3</v>
      </c>
      <c r="H2187" s="63"/>
    </row>
    <row r="2188" spans="1:8" x14ac:dyDescent="0.25">
      <c r="A2188" s="63"/>
      <c r="B2188" s="63">
        <v>8</v>
      </c>
      <c r="C2188" s="63" t="s">
        <v>3594</v>
      </c>
      <c r="D2188" s="63" t="s">
        <v>21</v>
      </c>
      <c r="E2188" s="66">
        <v>123.36470295347523</v>
      </c>
      <c r="F2188" s="67">
        <v>3.0000000000000001E-3</v>
      </c>
      <c r="G2188" s="67">
        <v>2E-3</v>
      </c>
      <c r="H2188" s="63"/>
    </row>
    <row r="2189" spans="1:8" x14ac:dyDescent="0.25">
      <c r="A2189" s="63"/>
      <c r="B2189" s="63">
        <v>9</v>
      </c>
      <c r="C2189" s="63" t="s">
        <v>3594</v>
      </c>
      <c r="D2189" s="63" t="s">
        <v>21</v>
      </c>
      <c r="E2189" s="66">
        <v>136.2709038638607</v>
      </c>
      <c r="F2189" s="67">
        <v>3.0000000000000001E-3</v>
      </c>
      <c r="G2189" s="67">
        <v>2E-3</v>
      </c>
      <c r="H2189" s="63"/>
    </row>
    <row r="2190" spans="1:8" x14ac:dyDescent="0.25">
      <c r="A2190" s="63"/>
      <c r="B2190" s="63">
        <v>10</v>
      </c>
      <c r="C2190" s="63" t="s">
        <v>3594</v>
      </c>
      <c r="D2190" s="63" t="s">
        <v>21</v>
      </c>
      <c r="E2190" s="66">
        <v>148.2541058298516</v>
      </c>
      <c r="F2190" s="67">
        <v>3.0000000000000001E-3</v>
      </c>
      <c r="G2190" s="67">
        <v>2E-3</v>
      </c>
      <c r="H2190" s="63"/>
    </row>
    <row r="2191" spans="1:8" x14ac:dyDescent="0.25">
      <c r="A2191" s="63"/>
      <c r="B2191" s="63">
        <v>11</v>
      </c>
      <c r="C2191" s="63" t="s">
        <v>3594</v>
      </c>
      <c r="D2191" s="63" t="s">
        <v>21</v>
      </c>
      <c r="E2191" s="66"/>
      <c r="F2191" s="67">
        <v>3.0000000000000001E-3</v>
      </c>
      <c r="G2191" s="67">
        <v>2E-3</v>
      </c>
      <c r="H2191" s="63"/>
    </row>
    <row r="2192" spans="1:8" x14ac:dyDescent="0.25">
      <c r="A2192" s="63"/>
      <c r="B2192" s="63">
        <v>12</v>
      </c>
      <c r="C2192" s="63" t="s">
        <v>3594</v>
      </c>
      <c r="D2192" s="63" t="s">
        <v>21</v>
      </c>
      <c r="E2192" s="66"/>
      <c r="F2192" s="67">
        <v>3.0000000000000001E-3</v>
      </c>
      <c r="G2192" s="67">
        <v>2E-3</v>
      </c>
      <c r="H2192" s="63"/>
    </row>
    <row r="2193" spans="1:8" x14ac:dyDescent="0.25">
      <c r="A2193" s="63"/>
      <c r="B2193" s="63">
        <v>13</v>
      </c>
      <c r="C2193" s="63" t="s">
        <v>3594</v>
      </c>
      <c r="D2193" s="63" t="s">
        <v>21</v>
      </c>
      <c r="E2193" s="66"/>
      <c r="F2193" s="67">
        <v>3.0000000000000001E-3</v>
      </c>
      <c r="G2193" s="67">
        <v>2E-3</v>
      </c>
      <c r="H2193" s="63"/>
    </row>
    <row r="2194" spans="1:8" x14ac:dyDescent="0.25">
      <c r="A2194" s="63"/>
      <c r="B2194" s="63">
        <v>14</v>
      </c>
      <c r="C2194" s="63" t="s">
        <v>3594</v>
      </c>
      <c r="D2194" s="63" t="s">
        <v>21</v>
      </c>
      <c r="E2194" s="66"/>
      <c r="F2194" s="67">
        <v>3.0000000000000001E-3</v>
      </c>
      <c r="G2194" s="67">
        <v>2E-3</v>
      </c>
      <c r="H2194" s="63"/>
    </row>
    <row r="2195" spans="1:8" x14ac:dyDescent="0.25">
      <c r="A2195" s="63"/>
      <c r="B2195" s="63">
        <v>15</v>
      </c>
      <c r="C2195" s="63" t="s">
        <v>3594</v>
      </c>
      <c r="D2195" s="63" t="s">
        <v>21</v>
      </c>
      <c r="E2195" s="66"/>
      <c r="F2195" s="67">
        <v>3.0000000000000001E-3</v>
      </c>
      <c r="G2195" s="67">
        <v>2E-3</v>
      </c>
      <c r="H2195" s="63"/>
    </row>
    <row r="2196" spans="1:8" x14ac:dyDescent="0.25">
      <c r="A2196" s="63"/>
      <c r="B2196" s="63">
        <v>16</v>
      </c>
      <c r="C2196" s="63" t="s">
        <v>3594</v>
      </c>
      <c r="D2196" s="63" t="s">
        <v>21</v>
      </c>
      <c r="E2196" s="66"/>
      <c r="F2196" s="67">
        <v>3.0000000000000001E-3</v>
      </c>
      <c r="G2196" s="67">
        <v>2E-3</v>
      </c>
      <c r="H2196" s="63"/>
    </row>
    <row r="2197" spans="1:8" x14ac:dyDescent="0.25">
      <c r="A2197" s="63"/>
      <c r="B2197" s="63">
        <v>17</v>
      </c>
      <c r="C2197" s="63" t="s">
        <v>3594</v>
      </c>
      <c r="D2197" s="63" t="s">
        <v>21</v>
      </c>
      <c r="E2197" s="66"/>
      <c r="F2197" s="67">
        <v>3.0000000000000001E-3</v>
      </c>
      <c r="G2197" s="67">
        <v>2E-3</v>
      </c>
      <c r="H2197" s="63"/>
    </row>
    <row r="2198" spans="1:8" x14ac:dyDescent="0.25">
      <c r="A2198" s="63"/>
      <c r="B2198" s="63">
        <v>18</v>
      </c>
      <c r="C2198" s="63" t="s">
        <v>3594</v>
      </c>
      <c r="D2198" s="63" t="s">
        <v>21</v>
      </c>
      <c r="E2198" s="66"/>
      <c r="F2198" s="67">
        <v>3.0000000000000001E-3</v>
      </c>
      <c r="G2198" s="67">
        <v>2E-3</v>
      </c>
      <c r="H2198" s="63"/>
    </row>
    <row r="2199" spans="1:8" x14ac:dyDescent="0.25">
      <c r="A2199" s="63"/>
      <c r="B2199" s="63">
        <v>19</v>
      </c>
      <c r="C2199" s="63" t="s">
        <v>3594</v>
      </c>
      <c r="D2199" s="63" t="s">
        <v>21</v>
      </c>
      <c r="E2199" s="66"/>
      <c r="F2199" s="67">
        <v>3.0000000000000001E-3</v>
      </c>
      <c r="G2199" s="67">
        <v>2E-3</v>
      </c>
      <c r="H2199" s="63"/>
    </row>
    <row r="2200" spans="1:8" x14ac:dyDescent="0.25">
      <c r="A2200" s="63"/>
      <c r="B2200" s="63">
        <v>20</v>
      </c>
      <c r="C2200" s="63" t="s">
        <v>3594</v>
      </c>
      <c r="D2200" s="63" t="s">
        <v>21</v>
      </c>
      <c r="E2200" s="66"/>
      <c r="F2200" s="67">
        <v>3.0000000000000001E-3</v>
      </c>
      <c r="G2200" s="67">
        <v>2E-3</v>
      </c>
      <c r="H2200" s="63"/>
    </row>
    <row r="2201" spans="1:8" x14ac:dyDescent="0.25">
      <c r="A2201" s="63"/>
      <c r="B2201" s="63">
        <v>21</v>
      </c>
      <c r="C2201" s="63" t="s">
        <v>3594</v>
      </c>
      <c r="D2201" s="63" t="s">
        <v>21</v>
      </c>
      <c r="E2201" s="66"/>
      <c r="F2201" s="67">
        <v>3.0000000000000001E-3</v>
      </c>
      <c r="G2201" s="67">
        <v>2E-3</v>
      </c>
      <c r="H2201" s="63"/>
    </row>
    <row r="2202" spans="1:8" x14ac:dyDescent="0.25">
      <c r="A2202" s="63"/>
      <c r="B2202" s="63">
        <v>22</v>
      </c>
      <c r="C2202" s="63" t="s">
        <v>3594</v>
      </c>
      <c r="D2202" s="63" t="s">
        <v>21</v>
      </c>
      <c r="E2202" s="66"/>
      <c r="F2202" s="67">
        <v>3.0000000000000001E-3</v>
      </c>
      <c r="G2202" s="67">
        <v>2E-3</v>
      </c>
      <c r="H2202" s="63"/>
    </row>
    <row r="2203" spans="1:8" x14ac:dyDescent="0.25">
      <c r="A2203" s="63"/>
      <c r="B2203" s="63">
        <v>23</v>
      </c>
      <c r="C2203" s="63" t="s">
        <v>3594</v>
      </c>
      <c r="D2203" s="63" t="s">
        <v>21</v>
      </c>
      <c r="E2203" s="66"/>
      <c r="F2203" s="67">
        <v>3.0000000000000001E-3</v>
      </c>
      <c r="G2203" s="67">
        <v>2E-3</v>
      </c>
      <c r="H2203" s="63"/>
    </row>
    <row r="2204" spans="1:8" x14ac:dyDescent="0.25">
      <c r="A2204" s="63"/>
      <c r="B2204" s="63">
        <v>24</v>
      </c>
      <c r="C2204" s="63" t="s">
        <v>3594</v>
      </c>
      <c r="D2204" s="63" t="s">
        <v>21</v>
      </c>
      <c r="E2204" s="66"/>
      <c r="F2204" s="67">
        <v>3.0000000000000001E-3</v>
      </c>
      <c r="G2204" s="67">
        <v>2E-3</v>
      </c>
      <c r="H2204" s="63"/>
    </row>
    <row r="2205" spans="1:8" x14ac:dyDescent="0.25">
      <c r="A2205" s="63"/>
      <c r="B2205" s="63">
        <v>25</v>
      </c>
      <c r="C2205" s="63" t="s">
        <v>3594</v>
      </c>
      <c r="D2205" s="63" t="s">
        <v>21</v>
      </c>
      <c r="E2205" s="66"/>
      <c r="F2205" s="67">
        <v>3.0000000000000001E-3</v>
      </c>
      <c r="G2205" s="67">
        <v>2E-3</v>
      </c>
      <c r="H2205" s="63"/>
    </row>
    <row r="2206" spans="1:8" x14ac:dyDescent="0.25">
      <c r="A2206" s="63"/>
      <c r="B2206" s="63">
        <v>26</v>
      </c>
      <c r="C2206" s="63" t="s">
        <v>3594</v>
      </c>
      <c r="D2206" s="63" t="s">
        <v>21</v>
      </c>
      <c r="E2206" s="66"/>
      <c r="F2206" s="67">
        <v>3.0000000000000001E-3</v>
      </c>
      <c r="G2206" s="67">
        <v>2E-3</v>
      </c>
      <c r="H2206" s="63"/>
    </row>
    <row r="2207" spans="1:8" x14ac:dyDescent="0.25">
      <c r="A2207" s="63"/>
      <c r="B2207" s="63">
        <v>27</v>
      </c>
      <c r="C2207" s="63" t="s">
        <v>3594</v>
      </c>
      <c r="D2207" s="63" t="s">
        <v>21</v>
      </c>
      <c r="E2207" s="66"/>
      <c r="F2207" s="67">
        <v>3.0000000000000001E-3</v>
      </c>
      <c r="G2207" s="67">
        <v>2E-3</v>
      </c>
      <c r="H2207" s="63"/>
    </row>
    <row r="2208" spans="1:8" x14ac:dyDescent="0.25">
      <c r="A2208" s="63"/>
      <c r="B2208" s="63">
        <v>28</v>
      </c>
      <c r="C2208" s="63" t="s">
        <v>3594</v>
      </c>
      <c r="D2208" s="63" t="s">
        <v>21</v>
      </c>
      <c r="E2208" s="66"/>
      <c r="F2208" s="67">
        <v>3.0000000000000001E-3</v>
      </c>
      <c r="G2208" s="67">
        <v>2E-3</v>
      </c>
      <c r="H2208" s="63"/>
    </row>
    <row r="2209" spans="1:8" x14ac:dyDescent="0.25">
      <c r="A2209" s="63"/>
      <c r="B2209" s="63">
        <v>29</v>
      </c>
      <c r="C2209" s="63" t="s">
        <v>3594</v>
      </c>
      <c r="D2209" s="63" t="s">
        <v>21</v>
      </c>
      <c r="E2209" s="66"/>
      <c r="F2209" s="67">
        <v>3.0000000000000001E-3</v>
      </c>
      <c r="G2209" s="67">
        <v>2E-3</v>
      </c>
      <c r="H2209" s="63"/>
    </row>
    <row r="2210" spans="1:8" x14ac:dyDescent="0.25">
      <c r="A2210" s="63"/>
      <c r="B2210" s="63">
        <v>30</v>
      </c>
      <c r="C2210" s="63" t="s">
        <v>3594</v>
      </c>
      <c r="D2210" s="63" t="s">
        <v>21</v>
      </c>
      <c r="E2210" s="66"/>
      <c r="F2210" s="67">
        <v>3.0000000000000001E-3</v>
      </c>
      <c r="G2210" s="67">
        <v>2E-3</v>
      </c>
      <c r="H2210" s="63"/>
    </row>
    <row r="2211" spans="1:8" x14ac:dyDescent="0.25">
      <c r="A2211" s="63"/>
      <c r="B2211" s="63">
        <v>0</v>
      </c>
      <c r="C2211" s="63" t="s">
        <v>3594</v>
      </c>
      <c r="D2211" s="63" t="s">
        <v>21</v>
      </c>
      <c r="E2211" s="66">
        <v>3.0428788910505911</v>
      </c>
      <c r="F2211" s="67">
        <v>3.0000000000000001E-3</v>
      </c>
      <c r="G2211" s="67">
        <v>2E-3</v>
      </c>
      <c r="H2211" s="63"/>
    </row>
    <row r="2212" spans="1:8" x14ac:dyDescent="0.25">
      <c r="A2212" s="63"/>
      <c r="B2212" s="63">
        <v>0.25</v>
      </c>
      <c r="C2212" s="63" t="s">
        <v>3594</v>
      </c>
      <c r="D2212" s="63" t="s">
        <v>62</v>
      </c>
      <c r="E2212" s="66">
        <v>38.275444564193016</v>
      </c>
      <c r="F2212" s="67">
        <v>3.0000000000000001E-3</v>
      </c>
      <c r="G2212" s="67">
        <v>2E-3</v>
      </c>
      <c r="H2212" s="63"/>
    </row>
    <row r="2213" spans="1:8" x14ac:dyDescent="0.25">
      <c r="A2213" s="63"/>
      <c r="B2213" s="63">
        <v>0.5</v>
      </c>
      <c r="C2213" s="63" t="s">
        <v>3594</v>
      </c>
      <c r="D2213" s="63" t="s">
        <v>62</v>
      </c>
      <c r="E2213" s="66">
        <v>38.987151863347826</v>
      </c>
      <c r="F2213" s="67">
        <v>3.0000000000000001E-3</v>
      </c>
      <c r="G2213" s="67">
        <v>2E-3</v>
      </c>
      <c r="H2213" s="63"/>
    </row>
    <row r="2214" spans="1:8" x14ac:dyDescent="0.25">
      <c r="A2214" s="63"/>
      <c r="B2214" s="63">
        <v>0.75</v>
      </c>
      <c r="C2214" s="63" t="s">
        <v>3594</v>
      </c>
      <c r="D2214" s="63" t="s">
        <v>62</v>
      </c>
      <c r="E2214" s="66">
        <v>39.586317868935716</v>
      </c>
      <c r="F2214" s="67">
        <v>3.0000000000000001E-3</v>
      </c>
      <c r="G2214" s="67">
        <v>2E-3</v>
      </c>
      <c r="H2214" s="63"/>
    </row>
    <row r="2215" spans="1:8" x14ac:dyDescent="0.25">
      <c r="A2215" s="63"/>
      <c r="B2215" s="63">
        <v>1</v>
      </c>
      <c r="C2215" s="63" t="s">
        <v>3594</v>
      </c>
      <c r="D2215" s="63" t="s">
        <v>62</v>
      </c>
      <c r="E2215" s="66">
        <v>41.040263477327173</v>
      </c>
      <c r="F2215" s="67">
        <v>3.0000000000000001E-3</v>
      </c>
      <c r="G2215" s="67">
        <v>2E-3</v>
      </c>
      <c r="H2215" s="63"/>
    </row>
    <row r="2216" spans="1:8" x14ac:dyDescent="0.25">
      <c r="A2216" s="63"/>
      <c r="B2216" s="63">
        <v>2</v>
      </c>
      <c r="C2216" s="63" t="s">
        <v>3594</v>
      </c>
      <c r="D2216" s="63" t="s">
        <v>62</v>
      </c>
      <c r="E2216" s="66">
        <v>50.973067250977515</v>
      </c>
      <c r="F2216" s="67">
        <v>3.0000000000000001E-3</v>
      </c>
      <c r="G2216" s="67">
        <v>2E-3</v>
      </c>
      <c r="H2216" s="63"/>
    </row>
    <row r="2217" spans="1:8" x14ac:dyDescent="0.25">
      <c r="A2217" s="63"/>
      <c r="B2217" s="63">
        <v>3</v>
      </c>
      <c r="C2217" s="63" t="s">
        <v>3594</v>
      </c>
      <c r="D2217" s="63" t="s">
        <v>62</v>
      </c>
      <c r="E2217" s="66">
        <v>62.182416599901423</v>
      </c>
      <c r="F2217" s="67">
        <v>3.0000000000000001E-3</v>
      </c>
      <c r="G2217" s="67">
        <v>2E-3</v>
      </c>
      <c r="H2217" s="63"/>
    </row>
    <row r="2218" spans="1:8" x14ac:dyDescent="0.25">
      <c r="A2218" s="63"/>
      <c r="B2218" s="63">
        <v>4</v>
      </c>
      <c r="C2218" s="63" t="s">
        <v>3594</v>
      </c>
      <c r="D2218" s="63" t="s">
        <v>62</v>
      </c>
      <c r="E2218" s="66">
        <v>73.740501680008762</v>
      </c>
      <c r="F2218" s="67">
        <v>3.0000000000000001E-3</v>
      </c>
      <c r="G2218" s="67">
        <v>2E-3</v>
      </c>
      <c r="H2218" s="63"/>
    </row>
    <row r="2219" spans="1:8" x14ac:dyDescent="0.25">
      <c r="A2219" s="63"/>
      <c r="B2219" s="63">
        <v>5</v>
      </c>
      <c r="C2219" s="63" t="s">
        <v>3594</v>
      </c>
      <c r="D2219" s="63" t="s">
        <v>62</v>
      </c>
      <c r="E2219" s="66">
        <v>85.756607510894639</v>
      </c>
      <c r="F2219" s="67">
        <v>3.0000000000000001E-3</v>
      </c>
      <c r="G2219" s="67">
        <v>2E-3</v>
      </c>
      <c r="H2219" s="63"/>
    </row>
    <row r="2220" spans="1:8" x14ac:dyDescent="0.25">
      <c r="A2220" s="63"/>
      <c r="B2220" s="63">
        <v>6</v>
      </c>
      <c r="C2220" s="63" t="s">
        <v>3594</v>
      </c>
      <c r="D2220" s="63" t="s">
        <v>62</v>
      </c>
      <c r="E2220" s="66">
        <v>98.045799555527338</v>
      </c>
      <c r="F2220" s="67">
        <v>3.0000000000000001E-3</v>
      </c>
      <c r="G2220" s="67">
        <v>2E-3</v>
      </c>
      <c r="H2220" s="63"/>
    </row>
    <row r="2221" spans="1:8" x14ac:dyDescent="0.25">
      <c r="A2221" s="63"/>
      <c r="B2221" s="63">
        <v>7</v>
      </c>
      <c r="C2221" s="63" t="s">
        <v>3594</v>
      </c>
      <c r="D2221" s="63" t="s">
        <v>62</v>
      </c>
      <c r="E2221" s="66">
        <v>110.64320470796162</v>
      </c>
      <c r="F2221" s="67">
        <v>3.0000000000000001E-3</v>
      </c>
      <c r="G2221" s="67">
        <v>2E-3</v>
      </c>
      <c r="H2221" s="63"/>
    </row>
    <row r="2222" spans="1:8" x14ac:dyDescent="0.25">
      <c r="A2222" s="63"/>
      <c r="B2222" s="63">
        <v>8</v>
      </c>
      <c r="C2222" s="63" t="s">
        <v>3594</v>
      </c>
      <c r="D2222" s="63" t="s">
        <v>62</v>
      </c>
      <c r="E2222" s="66">
        <v>123.58858750838425</v>
      </c>
      <c r="F2222" s="67">
        <v>3.0000000000000001E-3</v>
      </c>
      <c r="G2222" s="67">
        <v>2E-3</v>
      </c>
      <c r="H2222" s="63"/>
    </row>
    <row r="2223" spans="1:8" x14ac:dyDescent="0.25">
      <c r="A2223" s="63"/>
      <c r="B2223" s="63">
        <v>9</v>
      </c>
      <c r="C2223" s="63" t="s">
        <v>3594</v>
      </c>
      <c r="D2223" s="63" t="s">
        <v>62</v>
      </c>
      <c r="E2223" s="66">
        <v>136.01259904573664</v>
      </c>
      <c r="F2223" s="67">
        <v>3.0000000000000001E-3</v>
      </c>
      <c r="G2223" s="67">
        <v>2E-3</v>
      </c>
      <c r="H2223" s="63"/>
    </row>
    <row r="2224" spans="1:8" x14ac:dyDescent="0.25">
      <c r="A2224" s="63"/>
      <c r="B2224" s="63">
        <v>10</v>
      </c>
      <c r="C2224" s="63" t="s">
        <v>3594</v>
      </c>
      <c r="D2224" s="63" t="s">
        <v>62</v>
      </c>
      <c r="E2224" s="66">
        <v>148.25165150929828</v>
      </c>
      <c r="F2224" s="67">
        <v>3.0000000000000001E-3</v>
      </c>
      <c r="G2224" s="67">
        <v>2E-3</v>
      </c>
      <c r="H2224" s="63"/>
    </row>
    <row r="2225" spans="1:8" x14ac:dyDescent="0.25">
      <c r="A2225" s="63"/>
      <c r="B2225" s="63">
        <v>11</v>
      </c>
      <c r="C2225" s="63" t="s">
        <v>3594</v>
      </c>
      <c r="D2225" s="63" t="s">
        <v>62</v>
      </c>
      <c r="E2225" s="66"/>
      <c r="F2225" s="67">
        <v>3.0000000000000001E-3</v>
      </c>
      <c r="G2225" s="67">
        <v>2E-3</v>
      </c>
      <c r="H2225" s="63"/>
    </row>
    <row r="2226" spans="1:8" x14ac:dyDescent="0.25">
      <c r="A2226" s="63"/>
      <c r="B2226" s="63">
        <v>12</v>
      </c>
      <c r="C2226" s="63" t="s">
        <v>3594</v>
      </c>
      <c r="D2226" s="63" t="s">
        <v>62</v>
      </c>
      <c r="E2226" s="66"/>
      <c r="F2226" s="67">
        <v>3.0000000000000001E-3</v>
      </c>
      <c r="G2226" s="67">
        <v>2E-3</v>
      </c>
      <c r="H2226" s="63"/>
    </row>
    <row r="2227" spans="1:8" x14ac:dyDescent="0.25">
      <c r="A2227" s="63"/>
      <c r="B2227" s="63">
        <v>13</v>
      </c>
      <c r="C2227" s="63" t="s">
        <v>3594</v>
      </c>
      <c r="D2227" s="63" t="s">
        <v>62</v>
      </c>
      <c r="E2227" s="66"/>
      <c r="F2227" s="67">
        <v>3.0000000000000001E-3</v>
      </c>
      <c r="G2227" s="67">
        <v>2E-3</v>
      </c>
      <c r="H2227" s="63"/>
    </row>
    <row r="2228" spans="1:8" x14ac:dyDescent="0.25">
      <c r="A2228" s="63"/>
      <c r="B2228" s="63">
        <v>14</v>
      </c>
      <c r="C2228" s="63" t="s">
        <v>3594</v>
      </c>
      <c r="D2228" s="63" t="s">
        <v>62</v>
      </c>
      <c r="E2228" s="66"/>
      <c r="F2228" s="67">
        <v>3.0000000000000001E-3</v>
      </c>
      <c r="G2228" s="67">
        <v>2E-3</v>
      </c>
      <c r="H2228" s="63"/>
    </row>
    <row r="2229" spans="1:8" x14ac:dyDescent="0.25">
      <c r="A2229" s="63"/>
      <c r="B2229" s="63">
        <v>15</v>
      </c>
      <c r="C2229" s="63" t="s">
        <v>3594</v>
      </c>
      <c r="D2229" s="63" t="s">
        <v>62</v>
      </c>
      <c r="E2229" s="66"/>
      <c r="F2229" s="67">
        <v>3.0000000000000001E-3</v>
      </c>
      <c r="G2229" s="67">
        <v>2E-3</v>
      </c>
      <c r="H2229" s="63"/>
    </row>
    <row r="2230" spans="1:8" x14ac:dyDescent="0.25">
      <c r="A2230" s="63"/>
      <c r="B2230" s="63">
        <v>16</v>
      </c>
      <c r="C2230" s="63" t="s">
        <v>3594</v>
      </c>
      <c r="D2230" s="63" t="s">
        <v>62</v>
      </c>
      <c r="E2230" s="66"/>
      <c r="F2230" s="67">
        <v>3.0000000000000001E-3</v>
      </c>
      <c r="G2230" s="67">
        <v>2E-3</v>
      </c>
      <c r="H2230" s="63"/>
    </row>
    <row r="2231" spans="1:8" x14ac:dyDescent="0.25">
      <c r="A2231" s="63"/>
      <c r="B2231" s="63">
        <v>17</v>
      </c>
      <c r="C2231" s="63" t="s">
        <v>3594</v>
      </c>
      <c r="D2231" s="63" t="s">
        <v>62</v>
      </c>
      <c r="E2231" s="66"/>
      <c r="F2231" s="67">
        <v>3.0000000000000001E-3</v>
      </c>
      <c r="G2231" s="67">
        <v>2E-3</v>
      </c>
      <c r="H2231" s="63"/>
    </row>
    <row r="2232" spans="1:8" x14ac:dyDescent="0.25">
      <c r="A2232" s="63"/>
      <c r="B2232" s="63">
        <v>18</v>
      </c>
      <c r="C2232" s="63" t="s">
        <v>3594</v>
      </c>
      <c r="D2232" s="63" t="s">
        <v>62</v>
      </c>
      <c r="E2232" s="66"/>
      <c r="F2232" s="67">
        <v>3.0000000000000001E-3</v>
      </c>
      <c r="G2232" s="67">
        <v>2E-3</v>
      </c>
      <c r="H2232" s="63"/>
    </row>
    <row r="2233" spans="1:8" x14ac:dyDescent="0.25">
      <c r="A2233" s="63"/>
      <c r="B2233" s="63">
        <v>19</v>
      </c>
      <c r="C2233" s="63" t="s">
        <v>3594</v>
      </c>
      <c r="D2233" s="63" t="s">
        <v>62</v>
      </c>
      <c r="E2233" s="66"/>
      <c r="F2233" s="67">
        <v>3.0000000000000001E-3</v>
      </c>
      <c r="G2233" s="67">
        <v>2E-3</v>
      </c>
      <c r="H2233" s="63"/>
    </row>
    <row r="2234" spans="1:8" x14ac:dyDescent="0.25">
      <c r="A2234" s="63"/>
      <c r="B2234" s="63">
        <v>20</v>
      </c>
      <c r="C2234" s="63" t="s">
        <v>3594</v>
      </c>
      <c r="D2234" s="63" t="s">
        <v>62</v>
      </c>
      <c r="E2234" s="66"/>
      <c r="F2234" s="67">
        <v>3.0000000000000001E-3</v>
      </c>
      <c r="G2234" s="67">
        <v>2E-3</v>
      </c>
      <c r="H2234" s="63"/>
    </row>
    <row r="2235" spans="1:8" x14ac:dyDescent="0.25">
      <c r="A2235" s="63"/>
      <c r="B2235" s="63">
        <v>21</v>
      </c>
      <c r="C2235" s="63" t="s">
        <v>3594</v>
      </c>
      <c r="D2235" s="63" t="s">
        <v>62</v>
      </c>
      <c r="E2235" s="66"/>
      <c r="F2235" s="67">
        <v>3.0000000000000001E-3</v>
      </c>
      <c r="G2235" s="67">
        <v>2E-3</v>
      </c>
      <c r="H2235" s="63"/>
    </row>
    <row r="2236" spans="1:8" x14ac:dyDescent="0.25">
      <c r="A2236" s="63"/>
      <c r="B2236" s="63">
        <v>22</v>
      </c>
      <c r="C2236" s="63" t="s">
        <v>3594</v>
      </c>
      <c r="D2236" s="63" t="s">
        <v>62</v>
      </c>
      <c r="E2236" s="66"/>
      <c r="F2236" s="67">
        <v>3.0000000000000001E-3</v>
      </c>
      <c r="G2236" s="67">
        <v>2E-3</v>
      </c>
      <c r="H2236" s="63"/>
    </row>
    <row r="2237" spans="1:8" x14ac:dyDescent="0.25">
      <c r="A2237" s="63"/>
      <c r="B2237" s="63">
        <v>23</v>
      </c>
      <c r="C2237" s="63" t="s">
        <v>3594</v>
      </c>
      <c r="D2237" s="63" t="s">
        <v>62</v>
      </c>
      <c r="E2237" s="66"/>
      <c r="F2237" s="67">
        <v>3.0000000000000001E-3</v>
      </c>
      <c r="G2237" s="67">
        <v>2E-3</v>
      </c>
      <c r="H2237" s="63"/>
    </row>
    <row r="2238" spans="1:8" x14ac:dyDescent="0.25">
      <c r="A2238" s="63"/>
      <c r="B2238" s="63">
        <v>24</v>
      </c>
      <c r="C2238" s="63" t="s">
        <v>3594</v>
      </c>
      <c r="D2238" s="63" t="s">
        <v>62</v>
      </c>
      <c r="E2238" s="66"/>
      <c r="F2238" s="67">
        <v>3.0000000000000001E-3</v>
      </c>
      <c r="G2238" s="67">
        <v>2E-3</v>
      </c>
      <c r="H2238" s="63"/>
    </row>
    <row r="2239" spans="1:8" x14ac:dyDescent="0.25">
      <c r="A2239" s="63"/>
      <c r="B2239" s="63">
        <v>25</v>
      </c>
      <c r="C2239" s="63" t="s">
        <v>3594</v>
      </c>
      <c r="D2239" s="63" t="s">
        <v>62</v>
      </c>
      <c r="E2239" s="66"/>
      <c r="F2239" s="67">
        <v>3.0000000000000001E-3</v>
      </c>
      <c r="G2239" s="67">
        <v>2E-3</v>
      </c>
      <c r="H2239" s="63"/>
    </row>
    <row r="2240" spans="1:8" x14ac:dyDescent="0.25">
      <c r="A2240" s="63"/>
      <c r="B2240" s="63">
        <v>26</v>
      </c>
      <c r="C2240" s="63" t="s">
        <v>3594</v>
      </c>
      <c r="D2240" s="63" t="s">
        <v>62</v>
      </c>
      <c r="E2240" s="66"/>
      <c r="F2240" s="67">
        <v>3.0000000000000001E-3</v>
      </c>
      <c r="G2240" s="67">
        <v>2E-3</v>
      </c>
      <c r="H2240" s="63"/>
    </row>
    <row r="2241" spans="1:8" x14ac:dyDescent="0.25">
      <c r="A2241" s="63"/>
      <c r="B2241" s="63">
        <v>27</v>
      </c>
      <c r="C2241" s="63" t="s">
        <v>3594</v>
      </c>
      <c r="D2241" s="63" t="s">
        <v>62</v>
      </c>
      <c r="E2241" s="66"/>
      <c r="F2241" s="67">
        <v>3.0000000000000001E-3</v>
      </c>
      <c r="G2241" s="67">
        <v>2E-3</v>
      </c>
      <c r="H2241" s="63"/>
    </row>
    <row r="2242" spans="1:8" x14ac:dyDescent="0.25">
      <c r="A2242" s="63"/>
      <c r="B2242" s="63">
        <v>28</v>
      </c>
      <c r="C2242" s="63" t="s">
        <v>3594</v>
      </c>
      <c r="D2242" s="63" t="s">
        <v>62</v>
      </c>
      <c r="E2242" s="66"/>
      <c r="F2242" s="67">
        <v>3.0000000000000001E-3</v>
      </c>
      <c r="G2242" s="67">
        <v>2E-3</v>
      </c>
      <c r="H2242" s="63"/>
    </row>
    <row r="2243" spans="1:8" x14ac:dyDescent="0.25">
      <c r="A2243" s="63"/>
      <c r="B2243" s="63">
        <v>29</v>
      </c>
      <c r="C2243" s="63" t="s">
        <v>3594</v>
      </c>
      <c r="D2243" s="63" t="s">
        <v>62</v>
      </c>
      <c r="E2243" s="66"/>
      <c r="F2243" s="67">
        <v>3.0000000000000001E-3</v>
      </c>
      <c r="G2243" s="67">
        <v>2E-3</v>
      </c>
      <c r="H2243" s="63"/>
    </row>
    <row r="2244" spans="1:8" x14ac:dyDescent="0.25">
      <c r="A2244" s="63"/>
      <c r="B2244" s="63">
        <v>30</v>
      </c>
      <c r="C2244" s="63" t="s">
        <v>3594</v>
      </c>
      <c r="D2244" s="63" t="s">
        <v>62</v>
      </c>
      <c r="E2244" s="66"/>
      <c r="F2244" s="67">
        <v>3.0000000000000001E-3</v>
      </c>
      <c r="G2244" s="67">
        <v>2E-3</v>
      </c>
      <c r="H2244" s="63"/>
    </row>
    <row r="2245" spans="1:8" x14ac:dyDescent="0.25">
      <c r="A2245" s="63"/>
      <c r="B2245" s="63">
        <v>0</v>
      </c>
      <c r="C2245" s="63" t="s">
        <v>3594</v>
      </c>
      <c r="D2245" s="63" t="s">
        <v>62</v>
      </c>
      <c r="E2245" s="66">
        <v>3.0428788910505911</v>
      </c>
      <c r="F2245" s="67">
        <v>3.0000000000000001E-3</v>
      </c>
      <c r="G2245" s="67">
        <v>2E-3</v>
      </c>
      <c r="H2245" s="63"/>
    </row>
    <row r="2246" spans="1:8" x14ac:dyDescent="0.25">
      <c r="A2246" s="63"/>
      <c r="B2246" s="63">
        <v>0.25</v>
      </c>
      <c r="C2246" s="63" t="s">
        <v>3594</v>
      </c>
      <c r="D2246" s="63" t="s">
        <v>64</v>
      </c>
      <c r="E2246" s="66">
        <v>43.969401070674557</v>
      </c>
      <c r="F2246" s="67">
        <v>3.0000000000000001E-3</v>
      </c>
      <c r="G2246" s="67">
        <v>2E-3</v>
      </c>
      <c r="H2246" s="63"/>
    </row>
    <row r="2247" spans="1:8" x14ac:dyDescent="0.25">
      <c r="A2247" s="63"/>
      <c r="B2247" s="63">
        <v>0.5</v>
      </c>
      <c r="C2247" s="63" t="s">
        <v>3594</v>
      </c>
      <c r="D2247" s="63" t="s">
        <v>64</v>
      </c>
      <c r="E2247" s="66">
        <v>44.725245516760751</v>
      </c>
      <c r="F2247" s="67">
        <v>3.0000000000000001E-3</v>
      </c>
      <c r="G2247" s="67">
        <v>2E-3</v>
      </c>
      <c r="H2247" s="63"/>
    </row>
    <row r="2248" spans="1:8" x14ac:dyDescent="0.25">
      <c r="A2248" s="63"/>
      <c r="B2248" s="63">
        <v>0.75</v>
      </c>
      <c r="C2248" s="63" t="s">
        <v>3594</v>
      </c>
      <c r="D2248" s="63" t="s">
        <v>64</v>
      </c>
      <c r="E2248" s="66">
        <v>45.36991373567998</v>
      </c>
      <c r="F2248" s="67">
        <v>3.0000000000000001E-3</v>
      </c>
      <c r="G2248" s="67">
        <v>2E-3</v>
      </c>
      <c r="H2248" s="63"/>
    </row>
    <row r="2249" spans="1:8" x14ac:dyDescent="0.25">
      <c r="A2249" s="63"/>
      <c r="B2249" s="63">
        <v>1</v>
      </c>
      <c r="C2249" s="63" t="s">
        <v>3594</v>
      </c>
      <c r="D2249" s="63" t="s">
        <v>64</v>
      </c>
      <c r="E2249" s="66">
        <v>46.104250035747732</v>
      </c>
      <c r="F2249" s="67">
        <v>3.0000000000000001E-3</v>
      </c>
      <c r="G2249" s="67">
        <v>2E-3</v>
      </c>
      <c r="H2249" s="63"/>
    </row>
    <row r="2250" spans="1:8" x14ac:dyDescent="0.25">
      <c r="A2250" s="63"/>
      <c r="B2250" s="63">
        <v>2</v>
      </c>
      <c r="C2250" s="63" t="s">
        <v>3594</v>
      </c>
      <c r="D2250" s="63" t="s">
        <v>64</v>
      </c>
      <c r="E2250" s="66">
        <v>56.061707349688447</v>
      </c>
      <c r="F2250" s="67">
        <v>3.0000000000000001E-3</v>
      </c>
      <c r="G2250" s="67">
        <v>2E-3</v>
      </c>
      <c r="H2250" s="63"/>
    </row>
    <row r="2251" spans="1:8" x14ac:dyDescent="0.25">
      <c r="A2251" s="63"/>
      <c r="B2251" s="63">
        <v>3</v>
      </c>
      <c r="C2251" s="63" t="s">
        <v>3594</v>
      </c>
      <c r="D2251" s="63" t="s">
        <v>64</v>
      </c>
      <c r="E2251" s="66">
        <v>67.558772017354471</v>
      </c>
      <c r="F2251" s="67">
        <v>3.0000000000000001E-3</v>
      </c>
      <c r="G2251" s="67">
        <v>2E-3</v>
      </c>
      <c r="H2251" s="63"/>
    </row>
    <row r="2252" spans="1:8" x14ac:dyDescent="0.25">
      <c r="A2252" s="63"/>
      <c r="B2252" s="63">
        <v>4</v>
      </c>
      <c r="C2252" s="63" t="s">
        <v>3594</v>
      </c>
      <c r="D2252" s="63" t="s">
        <v>64</v>
      </c>
      <c r="E2252" s="66">
        <v>79.222099646547562</v>
      </c>
      <c r="F2252" s="67">
        <v>3.0000000000000001E-3</v>
      </c>
      <c r="G2252" s="67">
        <v>2E-3</v>
      </c>
      <c r="H2252" s="63"/>
    </row>
    <row r="2253" spans="1:8" x14ac:dyDescent="0.25">
      <c r="A2253" s="63"/>
      <c r="B2253" s="63">
        <v>5</v>
      </c>
      <c r="C2253" s="63" t="s">
        <v>3594</v>
      </c>
      <c r="D2253" s="63" t="s">
        <v>64</v>
      </c>
      <c r="E2253" s="66">
        <v>91.068316533420344</v>
      </c>
      <c r="F2253" s="67">
        <v>3.0000000000000001E-3</v>
      </c>
      <c r="G2253" s="67">
        <v>2E-3</v>
      </c>
      <c r="H2253" s="63"/>
    </row>
    <row r="2254" spans="1:8" x14ac:dyDescent="0.25">
      <c r="A2254" s="63"/>
      <c r="B2254" s="63">
        <v>6</v>
      </c>
      <c r="C2254" s="63" t="s">
        <v>3594</v>
      </c>
      <c r="D2254" s="63" t="s">
        <v>64</v>
      </c>
      <c r="E2254" s="66">
        <v>106.36458157601129</v>
      </c>
      <c r="F2254" s="67">
        <v>3.0000000000000001E-3</v>
      </c>
      <c r="G2254" s="67">
        <v>2E-3</v>
      </c>
      <c r="H2254" s="63"/>
    </row>
    <row r="2255" spans="1:8" x14ac:dyDescent="0.25">
      <c r="A2255" s="63"/>
      <c r="B2255" s="63">
        <v>7</v>
      </c>
      <c r="C2255" s="63" t="s">
        <v>3594</v>
      </c>
      <c r="D2255" s="63" t="s">
        <v>64</v>
      </c>
      <c r="E2255" s="66">
        <v>117.33741508337073</v>
      </c>
      <c r="F2255" s="67">
        <v>3.0000000000000001E-3</v>
      </c>
      <c r="G2255" s="67">
        <v>2E-3</v>
      </c>
      <c r="H2255" s="63"/>
    </row>
    <row r="2256" spans="1:8" x14ac:dyDescent="0.25">
      <c r="A2256" s="63"/>
      <c r="B2256" s="63">
        <v>8</v>
      </c>
      <c r="C2256" s="63" t="s">
        <v>3594</v>
      </c>
      <c r="D2256" s="63" t="s">
        <v>64</v>
      </c>
      <c r="E2256" s="66">
        <v>128.52943422040514</v>
      </c>
      <c r="F2256" s="67">
        <v>3.0000000000000001E-3</v>
      </c>
      <c r="G2256" s="67">
        <v>2E-3</v>
      </c>
      <c r="H2256" s="63"/>
    </row>
    <row r="2257" spans="1:8" x14ac:dyDescent="0.25">
      <c r="A2257" s="63"/>
      <c r="B2257" s="63">
        <v>9</v>
      </c>
      <c r="C2257" s="63" t="s">
        <v>3594</v>
      </c>
      <c r="D2257" s="63" t="s">
        <v>64</v>
      </c>
      <c r="E2257" s="66">
        <v>141.38850944662417</v>
      </c>
      <c r="F2257" s="67">
        <v>3.0000000000000001E-3</v>
      </c>
      <c r="G2257" s="67">
        <v>2E-3</v>
      </c>
      <c r="H2257" s="63"/>
    </row>
    <row r="2258" spans="1:8" x14ac:dyDescent="0.25">
      <c r="A2258" s="63"/>
      <c r="B2258" s="63">
        <v>10</v>
      </c>
      <c r="C2258" s="63" t="s">
        <v>3594</v>
      </c>
      <c r="D2258" s="63" t="s">
        <v>64</v>
      </c>
      <c r="E2258" s="66">
        <v>152.7008266738419</v>
      </c>
      <c r="F2258" s="67">
        <v>3.0000000000000001E-3</v>
      </c>
      <c r="G2258" s="67">
        <v>2E-3</v>
      </c>
      <c r="H2258" s="63"/>
    </row>
    <row r="2259" spans="1:8" x14ac:dyDescent="0.25">
      <c r="A2259" s="63"/>
      <c r="B2259" s="63">
        <v>11</v>
      </c>
      <c r="C2259" s="63" t="s">
        <v>3594</v>
      </c>
      <c r="D2259" s="63" t="s">
        <v>64</v>
      </c>
      <c r="E2259" s="66"/>
      <c r="F2259" s="67">
        <v>3.0000000000000001E-3</v>
      </c>
      <c r="G2259" s="67">
        <v>2E-3</v>
      </c>
      <c r="H2259" s="63"/>
    </row>
    <row r="2260" spans="1:8" x14ac:dyDescent="0.25">
      <c r="A2260" s="63"/>
      <c r="B2260" s="63">
        <v>12</v>
      </c>
      <c r="C2260" s="63" t="s">
        <v>3594</v>
      </c>
      <c r="D2260" s="63" t="s">
        <v>64</v>
      </c>
      <c r="E2260" s="66"/>
      <c r="F2260" s="67">
        <v>3.0000000000000001E-3</v>
      </c>
      <c r="G2260" s="67">
        <v>2E-3</v>
      </c>
      <c r="H2260" s="63"/>
    </row>
    <row r="2261" spans="1:8" x14ac:dyDescent="0.25">
      <c r="A2261" s="63"/>
      <c r="B2261" s="63">
        <v>13</v>
      </c>
      <c r="C2261" s="63" t="s">
        <v>3594</v>
      </c>
      <c r="D2261" s="63" t="s">
        <v>64</v>
      </c>
      <c r="E2261" s="66"/>
      <c r="F2261" s="67">
        <v>3.0000000000000001E-3</v>
      </c>
      <c r="G2261" s="67">
        <v>2E-3</v>
      </c>
      <c r="H2261" s="63"/>
    </row>
    <row r="2262" spans="1:8" x14ac:dyDescent="0.25">
      <c r="A2262" s="63"/>
      <c r="B2262" s="63">
        <v>14</v>
      </c>
      <c r="C2262" s="63" t="s">
        <v>3594</v>
      </c>
      <c r="D2262" s="63" t="s">
        <v>64</v>
      </c>
      <c r="E2262" s="66"/>
      <c r="F2262" s="67">
        <v>3.0000000000000001E-3</v>
      </c>
      <c r="G2262" s="67">
        <v>2E-3</v>
      </c>
      <c r="H2262" s="63"/>
    </row>
    <row r="2263" spans="1:8" x14ac:dyDescent="0.25">
      <c r="A2263" s="63"/>
      <c r="B2263" s="63">
        <v>15</v>
      </c>
      <c r="C2263" s="63" t="s">
        <v>3594</v>
      </c>
      <c r="D2263" s="63" t="s">
        <v>64</v>
      </c>
      <c r="E2263" s="66"/>
      <c r="F2263" s="67">
        <v>3.0000000000000001E-3</v>
      </c>
      <c r="G2263" s="67">
        <v>2E-3</v>
      </c>
      <c r="H2263" s="63"/>
    </row>
    <row r="2264" spans="1:8" x14ac:dyDescent="0.25">
      <c r="A2264" s="63"/>
      <c r="B2264" s="63">
        <v>16</v>
      </c>
      <c r="C2264" s="63" t="s">
        <v>3594</v>
      </c>
      <c r="D2264" s="63" t="s">
        <v>64</v>
      </c>
      <c r="E2264" s="66"/>
      <c r="F2264" s="67">
        <v>3.0000000000000001E-3</v>
      </c>
      <c r="G2264" s="67">
        <v>2E-3</v>
      </c>
      <c r="H2264" s="63"/>
    </row>
    <row r="2265" spans="1:8" x14ac:dyDescent="0.25">
      <c r="A2265" s="63"/>
      <c r="B2265" s="63">
        <v>17</v>
      </c>
      <c r="C2265" s="63" t="s">
        <v>3594</v>
      </c>
      <c r="D2265" s="63" t="s">
        <v>64</v>
      </c>
      <c r="E2265" s="66"/>
      <c r="F2265" s="67">
        <v>3.0000000000000001E-3</v>
      </c>
      <c r="G2265" s="67">
        <v>2E-3</v>
      </c>
      <c r="H2265" s="63"/>
    </row>
    <row r="2266" spans="1:8" x14ac:dyDescent="0.25">
      <c r="A2266" s="63"/>
      <c r="B2266" s="63">
        <v>18</v>
      </c>
      <c r="C2266" s="63" t="s">
        <v>3594</v>
      </c>
      <c r="D2266" s="63" t="s">
        <v>64</v>
      </c>
      <c r="E2266" s="66"/>
      <c r="F2266" s="67">
        <v>3.0000000000000001E-3</v>
      </c>
      <c r="G2266" s="67">
        <v>2E-3</v>
      </c>
      <c r="H2266" s="63"/>
    </row>
    <row r="2267" spans="1:8" x14ac:dyDescent="0.25">
      <c r="A2267" s="63"/>
      <c r="B2267" s="63">
        <v>19</v>
      </c>
      <c r="C2267" s="63" t="s">
        <v>3594</v>
      </c>
      <c r="D2267" s="63" t="s">
        <v>64</v>
      </c>
      <c r="E2267" s="66"/>
      <c r="F2267" s="67">
        <v>3.0000000000000001E-3</v>
      </c>
      <c r="G2267" s="67">
        <v>2E-3</v>
      </c>
      <c r="H2267" s="63"/>
    </row>
    <row r="2268" spans="1:8" x14ac:dyDescent="0.25">
      <c r="A2268" s="63"/>
      <c r="B2268" s="63">
        <v>20</v>
      </c>
      <c r="C2268" s="63" t="s">
        <v>3594</v>
      </c>
      <c r="D2268" s="63" t="s">
        <v>64</v>
      </c>
      <c r="E2268" s="66"/>
      <c r="F2268" s="67">
        <v>3.0000000000000001E-3</v>
      </c>
      <c r="G2268" s="67">
        <v>2E-3</v>
      </c>
      <c r="H2268" s="63"/>
    </row>
    <row r="2269" spans="1:8" x14ac:dyDescent="0.25">
      <c r="A2269" s="63"/>
      <c r="B2269" s="63">
        <v>21</v>
      </c>
      <c r="C2269" s="63" t="s">
        <v>3594</v>
      </c>
      <c r="D2269" s="63" t="s">
        <v>64</v>
      </c>
      <c r="E2269" s="66"/>
      <c r="F2269" s="67">
        <v>3.0000000000000001E-3</v>
      </c>
      <c r="G2269" s="67">
        <v>2E-3</v>
      </c>
      <c r="H2269" s="63"/>
    </row>
    <row r="2270" spans="1:8" x14ac:dyDescent="0.25">
      <c r="A2270" s="63"/>
      <c r="B2270" s="63">
        <v>22</v>
      </c>
      <c r="C2270" s="63" t="s">
        <v>3594</v>
      </c>
      <c r="D2270" s="63" t="s">
        <v>64</v>
      </c>
      <c r="E2270" s="66"/>
      <c r="F2270" s="67">
        <v>3.0000000000000001E-3</v>
      </c>
      <c r="G2270" s="67">
        <v>2E-3</v>
      </c>
      <c r="H2270" s="63"/>
    </row>
    <row r="2271" spans="1:8" x14ac:dyDescent="0.25">
      <c r="A2271" s="63"/>
      <c r="B2271" s="63">
        <v>23</v>
      </c>
      <c r="C2271" s="63" t="s">
        <v>3594</v>
      </c>
      <c r="D2271" s="63" t="s">
        <v>64</v>
      </c>
      <c r="E2271" s="66"/>
      <c r="F2271" s="67">
        <v>3.0000000000000001E-3</v>
      </c>
      <c r="G2271" s="67">
        <v>2E-3</v>
      </c>
      <c r="H2271" s="63"/>
    </row>
    <row r="2272" spans="1:8" x14ac:dyDescent="0.25">
      <c r="A2272" s="63"/>
      <c r="B2272" s="63">
        <v>24</v>
      </c>
      <c r="C2272" s="63" t="s">
        <v>3594</v>
      </c>
      <c r="D2272" s="63" t="s">
        <v>64</v>
      </c>
      <c r="E2272" s="66"/>
      <c r="F2272" s="67">
        <v>3.0000000000000001E-3</v>
      </c>
      <c r="G2272" s="67">
        <v>2E-3</v>
      </c>
      <c r="H2272" s="63"/>
    </row>
    <row r="2273" spans="1:8" x14ac:dyDescent="0.25">
      <c r="A2273" s="63"/>
      <c r="B2273" s="63">
        <v>25</v>
      </c>
      <c r="C2273" s="63" t="s">
        <v>3594</v>
      </c>
      <c r="D2273" s="63" t="s">
        <v>64</v>
      </c>
      <c r="E2273" s="66"/>
      <c r="F2273" s="67">
        <v>3.0000000000000001E-3</v>
      </c>
      <c r="G2273" s="67">
        <v>2E-3</v>
      </c>
      <c r="H2273" s="63"/>
    </row>
    <row r="2274" spans="1:8" x14ac:dyDescent="0.25">
      <c r="A2274" s="63"/>
      <c r="B2274" s="63">
        <v>26</v>
      </c>
      <c r="C2274" s="63" t="s">
        <v>3594</v>
      </c>
      <c r="D2274" s="63" t="s">
        <v>64</v>
      </c>
      <c r="E2274" s="66"/>
      <c r="F2274" s="67">
        <v>3.0000000000000001E-3</v>
      </c>
      <c r="G2274" s="67">
        <v>2E-3</v>
      </c>
      <c r="H2274" s="63"/>
    </row>
    <row r="2275" spans="1:8" x14ac:dyDescent="0.25">
      <c r="A2275" s="63"/>
      <c r="B2275" s="63">
        <v>27</v>
      </c>
      <c r="C2275" s="63" t="s">
        <v>3594</v>
      </c>
      <c r="D2275" s="63" t="s">
        <v>64</v>
      </c>
      <c r="E2275" s="66"/>
      <c r="F2275" s="67">
        <v>3.0000000000000001E-3</v>
      </c>
      <c r="G2275" s="67">
        <v>2E-3</v>
      </c>
      <c r="H2275" s="63"/>
    </row>
    <row r="2276" spans="1:8" x14ac:dyDescent="0.25">
      <c r="A2276" s="63"/>
      <c r="B2276" s="63">
        <v>28</v>
      </c>
      <c r="C2276" s="63" t="s">
        <v>3594</v>
      </c>
      <c r="D2276" s="63" t="s">
        <v>64</v>
      </c>
      <c r="E2276" s="66"/>
      <c r="F2276" s="67">
        <v>3.0000000000000001E-3</v>
      </c>
      <c r="G2276" s="67">
        <v>2E-3</v>
      </c>
      <c r="H2276" s="63"/>
    </row>
    <row r="2277" spans="1:8" x14ac:dyDescent="0.25">
      <c r="A2277" s="63"/>
      <c r="B2277" s="63">
        <v>29</v>
      </c>
      <c r="C2277" s="63" t="s">
        <v>3594</v>
      </c>
      <c r="D2277" s="63" t="s">
        <v>64</v>
      </c>
      <c r="E2277" s="66"/>
      <c r="F2277" s="67">
        <v>3.0000000000000001E-3</v>
      </c>
      <c r="G2277" s="67">
        <v>2E-3</v>
      </c>
      <c r="H2277" s="63"/>
    </row>
    <row r="2278" spans="1:8" x14ac:dyDescent="0.25">
      <c r="A2278" s="63"/>
      <c r="B2278" s="63">
        <v>30</v>
      </c>
      <c r="C2278" s="63" t="s">
        <v>3594</v>
      </c>
      <c r="D2278" s="63" t="s">
        <v>64</v>
      </c>
      <c r="E2278" s="66"/>
      <c r="F2278" s="67">
        <v>3.0000000000000001E-3</v>
      </c>
      <c r="G2278" s="67">
        <v>2E-3</v>
      </c>
      <c r="H2278" s="63"/>
    </row>
    <row r="2279" spans="1:8" x14ac:dyDescent="0.25">
      <c r="A2279" s="63"/>
      <c r="B2279" s="63">
        <v>0</v>
      </c>
      <c r="C2279" s="63" t="s">
        <v>3594</v>
      </c>
      <c r="D2279" s="63" t="s">
        <v>64</v>
      </c>
      <c r="E2279" s="66">
        <v>3.0428788910505911</v>
      </c>
      <c r="F2279" s="67">
        <v>3.0000000000000001E-3</v>
      </c>
      <c r="G2279" s="67">
        <v>2E-3</v>
      </c>
      <c r="H2279" s="63"/>
    </row>
    <row r="2280" spans="1:8" x14ac:dyDescent="0.25">
      <c r="A2280" s="63"/>
      <c r="B2280" s="63">
        <v>0.25</v>
      </c>
      <c r="C2280" s="63" t="s">
        <v>3594</v>
      </c>
      <c r="D2280" s="63" t="s">
        <v>77</v>
      </c>
      <c r="E2280" s="66">
        <v>66.933220997741898</v>
      </c>
      <c r="F2280" s="67">
        <v>3.0000000000000001E-3</v>
      </c>
      <c r="G2280" s="67">
        <v>2E-3</v>
      </c>
      <c r="H2280" s="63"/>
    </row>
    <row r="2281" spans="1:8" x14ac:dyDescent="0.25">
      <c r="A2281" s="63"/>
      <c r="B2281" s="63">
        <v>0.5</v>
      </c>
      <c r="C2281" s="63" t="s">
        <v>3594</v>
      </c>
      <c r="D2281" s="63" t="s">
        <v>77</v>
      </c>
      <c r="E2281" s="66">
        <v>68.74102066695302</v>
      </c>
      <c r="F2281" s="67">
        <v>3.0000000000000001E-3</v>
      </c>
      <c r="G2281" s="67">
        <v>2E-3</v>
      </c>
      <c r="H2281" s="63"/>
    </row>
    <row r="2282" spans="1:8" x14ac:dyDescent="0.25">
      <c r="A2282" s="63"/>
      <c r="B2282" s="63">
        <v>0.75</v>
      </c>
      <c r="C2282" s="63" t="s">
        <v>3594</v>
      </c>
      <c r="D2282" s="63" t="s">
        <v>77</v>
      </c>
      <c r="E2282" s="66">
        <v>70.413781489323256</v>
      </c>
      <c r="F2282" s="67">
        <v>3.0000000000000001E-3</v>
      </c>
      <c r="G2282" s="67">
        <v>2E-3</v>
      </c>
      <c r="H2282" s="63"/>
    </row>
    <row r="2283" spans="1:8" x14ac:dyDescent="0.25">
      <c r="A2283" s="63"/>
      <c r="B2283" s="63">
        <v>1</v>
      </c>
      <c r="C2283" s="63" t="s">
        <v>3594</v>
      </c>
      <c r="D2283" s="63" t="s">
        <v>77</v>
      </c>
      <c r="E2283" s="66">
        <v>81.093052260918398</v>
      </c>
      <c r="F2283" s="67">
        <v>3.0000000000000001E-3</v>
      </c>
      <c r="G2283" s="67">
        <v>2E-3</v>
      </c>
      <c r="H2283" s="63"/>
    </row>
    <row r="2284" spans="1:8" x14ac:dyDescent="0.25">
      <c r="A2284" s="63"/>
      <c r="B2284" s="63">
        <v>2</v>
      </c>
      <c r="C2284" s="63" t="s">
        <v>3594</v>
      </c>
      <c r="D2284" s="63" t="s">
        <v>77</v>
      </c>
      <c r="E2284" s="66">
        <v>99.997478425686808</v>
      </c>
      <c r="F2284" s="67">
        <v>3.0000000000000001E-3</v>
      </c>
      <c r="G2284" s="67">
        <v>2E-3</v>
      </c>
      <c r="H2284" s="63"/>
    </row>
    <row r="2285" spans="1:8" x14ac:dyDescent="0.25">
      <c r="A2285" s="63"/>
      <c r="B2285" s="63">
        <v>3</v>
      </c>
      <c r="C2285" s="63" t="s">
        <v>3594</v>
      </c>
      <c r="D2285" s="63" t="s">
        <v>77</v>
      </c>
      <c r="E2285" s="66">
        <v>111.1608887682555</v>
      </c>
      <c r="F2285" s="67">
        <v>3.0000000000000001E-3</v>
      </c>
      <c r="G2285" s="67">
        <v>2E-3</v>
      </c>
      <c r="H2285" s="63"/>
    </row>
    <row r="2286" spans="1:8" x14ac:dyDescent="0.25">
      <c r="A2286" s="63"/>
      <c r="B2286" s="63">
        <v>4</v>
      </c>
      <c r="C2286" s="63" t="s">
        <v>3594</v>
      </c>
      <c r="D2286" s="63" t="s">
        <v>77</v>
      </c>
      <c r="E2286" s="66">
        <v>126.11634913115904</v>
      </c>
      <c r="F2286" s="67">
        <v>3.0000000000000001E-3</v>
      </c>
      <c r="G2286" s="67">
        <v>2E-3</v>
      </c>
      <c r="H2286" s="63"/>
    </row>
    <row r="2287" spans="1:8" x14ac:dyDescent="0.25">
      <c r="A2287" s="63"/>
      <c r="B2287" s="63">
        <v>5</v>
      </c>
      <c r="C2287" s="63" t="s">
        <v>3594</v>
      </c>
      <c r="D2287" s="63" t="s">
        <v>77</v>
      </c>
      <c r="E2287" s="66">
        <v>136.25844966927497</v>
      </c>
      <c r="F2287" s="67">
        <v>3.0000000000000001E-3</v>
      </c>
      <c r="G2287" s="67">
        <v>2E-3</v>
      </c>
      <c r="H2287" s="63"/>
    </row>
    <row r="2288" spans="1:8" x14ac:dyDescent="0.25">
      <c r="A2288" s="63"/>
      <c r="B2288" s="63">
        <v>6</v>
      </c>
      <c r="C2288" s="63" t="s">
        <v>3594</v>
      </c>
      <c r="D2288" s="63" t="s">
        <v>77</v>
      </c>
      <c r="E2288" s="66">
        <v>147.97349151120244</v>
      </c>
      <c r="F2288" s="67">
        <v>3.0000000000000001E-3</v>
      </c>
      <c r="G2288" s="67">
        <v>2E-3</v>
      </c>
      <c r="H2288" s="63"/>
    </row>
    <row r="2289" spans="1:8" x14ac:dyDescent="0.25">
      <c r="A2289" s="63"/>
      <c r="B2289" s="63">
        <v>7</v>
      </c>
      <c r="C2289" s="63" t="s">
        <v>3594</v>
      </c>
      <c r="D2289" s="63" t="s">
        <v>77</v>
      </c>
      <c r="E2289" s="66">
        <v>162.85530003732265</v>
      </c>
      <c r="F2289" s="67">
        <v>3.0000000000000001E-3</v>
      </c>
      <c r="G2289" s="67">
        <v>2E-3</v>
      </c>
      <c r="H2289" s="63"/>
    </row>
    <row r="2290" spans="1:8" x14ac:dyDescent="0.25">
      <c r="A2290" s="63"/>
      <c r="B2290" s="63">
        <v>8</v>
      </c>
      <c r="C2290" s="63" t="s">
        <v>3594</v>
      </c>
      <c r="D2290" s="63" t="s">
        <v>77</v>
      </c>
      <c r="E2290" s="66">
        <v>176.92949490586307</v>
      </c>
      <c r="F2290" s="67">
        <v>3.0000000000000001E-3</v>
      </c>
      <c r="G2290" s="67">
        <v>2E-3</v>
      </c>
      <c r="H2290" s="63"/>
    </row>
    <row r="2291" spans="1:8" x14ac:dyDescent="0.25">
      <c r="A2291" s="63"/>
      <c r="B2291" s="63">
        <v>9</v>
      </c>
      <c r="C2291" s="63" t="s">
        <v>3594</v>
      </c>
      <c r="D2291" s="63" t="s">
        <v>77</v>
      </c>
      <c r="E2291" s="66">
        <v>189.96996002144937</v>
      </c>
      <c r="F2291" s="67">
        <v>3.0000000000000001E-3</v>
      </c>
      <c r="G2291" s="67">
        <v>2E-3</v>
      </c>
      <c r="H2291" s="63"/>
    </row>
    <row r="2292" spans="1:8" x14ac:dyDescent="0.25">
      <c r="A2292" s="63"/>
      <c r="B2292" s="63">
        <v>10</v>
      </c>
      <c r="C2292" s="63" t="s">
        <v>3594</v>
      </c>
      <c r="D2292" s="63" t="s">
        <v>77</v>
      </c>
      <c r="E2292" s="66">
        <v>175.64475610771009</v>
      </c>
      <c r="F2292" s="67">
        <v>3.0000000000000001E-3</v>
      </c>
      <c r="G2292" s="67">
        <v>2E-3</v>
      </c>
      <c r="H2292" s="63"/>
    </row>
    <row r="2293" spans="1:8" x14ac:dyDescent="0.25">
      <c r="A2293" s="63"/>
      <c r="B2293" s="63">
        <v>11</v>
      </c>
      <c r="C2293" s="63" t="s">
        <v>3594</v>
      </c>
      <c r="D2293" s="63" t="s">
        <v>77</v>
      </c>
      <c r="E2293" s="66"/>
      <c r="F2293" s="67">
        <v>3.0000000000000001E-3</v>
      </c>
      <c r="G2293" s="67">
        <v>2E-3</v>
      </c>
      <c r="H2293" s="63"/>
    </row>
    <row r="2294" spans="1:8" x14ac:dyDescent="0.25">
      <c r="A2294" s="63"/>
      <c r="B2294" s="63">
        <v>12</v>
      </c>
      <c r="C2294" s="63" t="s">
        <v>3594</v>
      </c>
      <c r="D2294" s="63" t="s">
        <v>77</v>
      </c>
      <c r="E2294" s="66"/>
      <c r="F2294" s="67">
        <v>3.0000000000000001E-3</v>
      </c>
      <c r="G2294" s="67">
        <v>2E-3</v>
      </c>
      <c r="H2294" s="63"/>
    </row>
    <row r="2295" spans="1:8" x14ac:dyDescent="0.25">
      <c r="A2295" s="63"/>
      <c r="B2295" s="63">
        <v>13</v>
      </c>
      <c r="C2295" s="63" t="s">
        <v>3594</v>
      </c>
      <c r="D2295" s="63" t="s">
        <v>77</v>
      </c>
      <c r="E2295" s="66"/>
      <c r="F2295" s="67">
        <v>3.0000000000000001E-3</v>
      </c>
      <c r="G2295" s="67">
        <v>2E-3</v>
      </c>
      <c r="H2295" s="63"/>
    </row>
    <row r="2296" spans="1:8" x14ac:dyDescent="0.25">
      <c r="A2296" s="63"/>
      <c r="B2296" s="63">
        <v>14</v>
      </c>
      <c r="C2296" s="63" t="s">
        <v>3594</v>
      </c>
      <c r="D2296" s="63" t="s">
        <v>77</v>
      </c>
      <c r="E2296" s="66"/>
      <c r="F2296" s="67">
        <v>3.0000000000000001E-3</v>
      </c>
      <c r="G2296" s="67">
        <v>2E-3</v>
      </c>
      <c r="H2296" s="63"/>
    </row>
    <row r="2297" spans="1:8" x14ac:dyDescent="0.25">
      <c r="A2297" s="63"/>
      <c r="B2297" s="63">
        <v>15</v>
      </c>
      <c r="C2297" s="63" t="s">
        <v>3594</v>
      </c>
      <c r="D2297" s="63" t="s">
        <v>77</v>
      </c>
      <c r="E2297" s="66"/>
      <c r="F2297" s="67">
        <v>3.0000000000000001E-3</v>
      </c>
      <c r="G2297" s="67">
        <v>2E-3</v>
      </c>
      <c r="H2297" s="63"/>
    </row>
    <row r="2298" spans="1:8" x14ac:dyDescent="0.25">
      <c r="A2298" s="63"/>
      <c r="B2298" s="63">
        <v>16</v>
      </c>
      <c r="C2298" s="63" t="s">
        <v>3594</v>
      </c>
      <c r="D2298" s="63" t="s">
        <v>77</v>
      </c>
      <c r="E2298" s="66"/>
      <c r="F2298" s="67">
        <v>3.0000000000000001E-3</v>
      </c>
      <c r="G2298" s="67">
        <v>2E-3</v>
      </c>
      <c r="H2298" s="63"/>
    </row>
    <row r="2299" spans="1:8" x14ac:dyDescent="0.25">
      <c r="A2299" s="63"/>
      <c r="B2299" s="63">
        <v>17</v>
      </c>
      <c r="C2299" s="63" t="s">
        <v>3594</v>
      </c>
      <c r="D2299" s="63" t="s">
        <v>77</v>
      </c>
      <c r="E2299" s="66"/>
      <c r="F2299" s="67">
        <v>3.0000000000000001E-3</v>
      </c>
      <c r="G2299" s="67">
        <v>2E-3</v>
      </c>
      <c r="H2299" s="63"/>
    </row>
    <row r="2300" spans="1:8" x14ac:dyDescent="0.25">
      <c r="A2300" s="63"/>
      <c r="B2300" s="63">
        <v>18</v>
      </c>
      <c r="C2300" s="63" t="s">
        <v>3594</v>
      </c>
      <c r="D2300" s="63" t="s">
        <v>77</v>
      </c>
      <c r="E2300" s="66"/>
      <c r="F2300" s="67">
        <v>3.0000000000000001E-3</v>
      </c>
      <c r="G2300" s="67">
        <v>2E-3</v>
      </c>
      <c r="H2300" s="63"/>
    </row>
    <row r="2301" spans="1:8" x14ac:dyDescent="0.25">
      <c r="A2301" s="63"/>
      <c r="B2301" s="63">
        <v>19</v>
      </c>
      <c r="C2301" s="63" t="s">
        <v>3594</v>
      </c>
      <c r="D2301" s="63" t="s">
        <v>77</v>
      </c>
      <c r="E2301" s="66"/>
      <c r="F2301" s="67">
        <v>3.0000000000000001E-3</v>
      </c>
      <c r="G2301" s="67">
        <v>2E-3</v>
      </c>
      <c r="H2301" s="63"/>
    </row>
    <row r="2302" spans="1:8" x14ac:dyDescent="0.25">
      <c r="A2302" s="63"/>
      <c r="B2302" s="63">
        <v>20</v>
      </c>
      <c r="C2302" s="63" t="s">
        <v>3594</v>
      </c>
      <c r="D2302" s="63" t="s">
        <v>77</v>
      </c>
      <c r="E2302" s="66"/>
      <c r="F2302" s="67">
        <v>3.0000000000000001E-3</v>
      </c>
      <c r="G2302" s="67">
        <v>2E-3</v>
      </c>
      <c r="H2302" s="63"/>
    </row>
    <row r="2303" spans="1:8" x14ac:dyDescent="0.25">
      <c r="A2303" s="63"/>
      <c r="B2303" s="63">
        <v>21</v>
      </c>
      <c r="C2303" s="63" t="s">
        <v>3594</v>
      </c>
      <c r="D2303" s="63" t="s">
        <v>77</v>
      </c>
      <c r="E2303" s="66"/>
      <c r="F2303" s="67">
        <v>3.0000000000000001E-3</v>
      </c>
      <c r="G2303" s="67">
        <v>2E-3</v>
      </c>
      <c r="H2303" s="63"/>
    </row>
    <row r="2304" spans="1:8" x14ac:dyDescent="0.25">
      <c r="A2304" s="63"/>
      <c r="B2304" s="63">
        <v>22</v>
      </c>
      <c r="C2304" s="63" t="s">
        <v>3594</v>
      </c>
      <c r="D2304" s="63" t="s">
        <v>77</v>
      </c>
      <c r="E2304" s="66"/>
      <c r="F2304" s="67">
        <v>3.0000000000000001E-3</v>
      </c>
      <c r="G2304" s="67">
        <v>2E-3</v>
      </c>
      <c r="H2304" s="63"/>
    </row>
    <row r="2305" spans="1:8" x14ac:dyDescent="0.25">
      <c r="A2305" s="63"/>
      <c r="B2305" s="63">
        <v>23</v>
      </c>
      <c r="C2305" s="63" t="s">
        <v>3594</v>
      </c>
      <c r="D2305" s="63" t="s">
        <v>77</v>
      </c>
      <c r="E2305" s="66"/>
      <c r="F2305" s="67">
        <v>3.0000000000000001E-3</v>
      </c>
      <c r="G2305" s="67">
        <v>2E-3</v>
      </c>
      <c r="H2305" s="63"/>
    </row>
    <row r="2306" spans="1:8" x14ac:dyDescent="0.25">
      <c r="A2306" s="63"/>
      <c r="B2306" s="63">
        <v>24</v>
      </c>
      <c r="C2306" s="63" t="s">
        <v>3594</v>
      </c>
      <c r="D2306" s="63" t="s">
        <v>77</v>
      </c>
      <c r="E2306" s="66"/>
      <c r="F2306" s="67">
        <v>3.0000000000000001E-3</v>
      </c>
      <c r="G2306" s="67">
        <v>2E-3</v>
      </c>
      <c r="H2306" s="63"/>
    </row>
    <row r="2307" spans="1:8" x14ac:dyDescent="0.25">
      <c r="A2307" s="63"/>
      <c r="B2307" s="63">
        <v>25</v>
      </c>
      <c r="C2307" s="63" t="s">
        <v>3594</v>
      </c>
      <c r="D2307" s="63" t="s">
        <v>77</v>
      </c>
      <c r="E2307" s="66"/>
      <c r="F2307" s="67">
        <v>3.0000000000000001E-3</v>
      </c>
      <c r="G2307" s="67">
        <v>2E-3</v>
      </c>
      <c r="H2307" s="63"/>
    </row>
    <row r="2308" spans="1:8" x14ac:dyDescent="0.25">
      <c r="A2308" s="63"/>
      <c r="B2308" s="63">
        <v>26</v>
      </c>
      <c r="C2308" s="63" t="s">
        <v>3594</v>
      </c>
      <c r="D2308" s="63" t="s">
        <v>77</v>
      </c>
      <c r="E2308" s="66"/>
      <c r="F2308" s="67">
        <v>3.0000000000000001E-3</v>
      </c>
      <c r="G2308" s="67">
        <v>2E-3</v>
      </c>
      <c r="H2308" s="63"/>
    </row>
    <row r="2309" spans="1:8" x14ac:dyDescent="0.25">
      <c r="A2309" s="63"/>
      <c r="B2309" s="63">
        <v>27</v>
      </c>
      <c r="C2309" s="63" t="s">
        <v>3594</v>
      </c>
      <c r="D2309" s="63" t="s">
        <v>77</v>
      </c>
      <c r="E2309" s="66"/>
      <c r="F2309" s="67">
        <v>3.0000000000000001E-3</v>
      </c>
      <c r="G2309" s="67">
        <v>2E-3</v>
      </c>
      <c r="H2309" s="63"/>
    </row>
    <row r="2310" spans="1:8" x14ac:dyDescent="0.25">
      <c r="A2310" s="63"/>
      <c r="B2310" s="63">
        <v>28</v>
      </c>
      <c r="C2310" s="63" t="s">
        <v>3594</v>
      </c>
      <c r="D2310" s="63" t="s">
        <v>77</v>
      </c>
      <c r="E2310" s="66"/>
      <c r="F2310" s="67">
        <v>3.0000000000000001E-3</v>
      </c>
      <c r="G2310" s="67">
        <v>2E-3</v>
      </c>
      <c r="H2310" s="63"/>
    </row>
    <row r="2311" spans="1:8" x14ac:dyDescent="0.25">
      <c r="A2311" s="63"/>
      <c r="B2311" s="63">
        <v>29</v>
      </c>
      <c r="C2311" s="63" t="s">
        <v>3594</v>
      </c>
      <c r="D2311" s="63" t="s">
        <v>77</v>
      </c>
      <c r="E2311" s="66"/>
      <c r="F2311" s="67">
        <v>3.0000000000000001E-3</v>
      </c>
      <c r="G2311" s="67">
        <v>2E-3</v>
      </c>
      <c r="H2311" s="63"/>
    </row>
    <row r="2312" spans="1:8" x14ac:dyDescent="0.25">
      <c r="A2312" s="63"/>
      <c r="B2312" s="63">
        <v>30</v>
      </c>
      <c r="C2312" s="63" t="s">
        <v>3594</v>
      </c>
      <c r="D2312" s="63" t="s">
        <v>77</v>
      </c>
      <c r="E2312" s="66"/>
      <c r="F2312" s="67">
        <v>3.0000000000000001E-3</v>
      </c>
      <c r="G2312" s="67">
        <v>2E-3</v>
      </c>
      <c r="H2312" s="63"/>
    </row>
    <row r="2313" spans="1:8" x14ac:dyDescent="0.25">
      <c r="A2313" s="63"/>
      <c r="B2313" s="63">
        <v>0</v>
      </c>
      <c r="C2313" s="63" t="s">
        <v>3594</v>
      </c>
      <c r="D2313" s="63" t="s">
        <v>77</v>
      </c>
      <c r="E2313" s="66">
        <v>3.0428788910505911</v>
      </c>
      <c r="F2313" s="67">
        <v>3.0000000000000001E-3</v>
      </c>
      <c r="G2313" s="67">
        <v>2E-3</v>
      </c>
      <c r="H2313" s="63"/>
    </row>
    <row r="2314" spans="1:8" x14ac:dyDescent="0.25">
      <c r="A2314" s="63"/>
      <c r="B2314" s="63">
        <v>0.25</v>
      </c>
      <c r="C2314" s="63" t="s">
        <v>3952</v>
      </c>
      <c r="D2314" s="63" t="s">
        <v>21</v>
      </c>
      <c r="E2314" s="66">
        <v>22.029671018570404</v>
      </c>
      <c r="F2314" s="67">
        <v>3.0000000000000001E-3</v>
      </c>
      <c r="G2314" s="67">
        <v>2E-3</v>
      </c>
      <c r="H2314" s="63"/>
    </row>
    <row r="2315" spans="1:8" x14ac:dyDescent="0.25">
      <c r="A2315" s="63"/>
      <c r="B2315" s="63">
        <v>0.5</v>
      </c>
      <c r="C2315" s="63" t="s">
        <v>3952</v>
      </c>
      <c r="D2315" s="63" t="s">
        <v>21</v>
      </c>
      <c r="E2315" s="66">
        <v>22.348827735767482</v>
      </c>
      <c r="F2315" s="67">
        <v>3.0000000000000001E-3</v>
      </c>
      <c r="G2315" s="67">
        <v>2E-3</v>
      </c>
      <c r="H2315" s="63"/>
    </row>
    <row r="2316" spans="1:8" x14ac:dyDescent="0.25">
      <c r="A2316" s="63"/>
      <c r="B2316" s="63">
        <v>0.75</v>
      </c>
      <c r="C2316" s="63" t="s">
        <v>3952</v>
      </c>
      <c r="D2316" s="63" t="s">
        <v>21</v>
      </c>
      <c r="E2316" s="66">
        <v>22.57988097354675</v>
      </c>
      <c r="F2316" s="67">
        <v>3.0000000000000001E-3</v>
      </c>
      <c r="G2316" s="67">
        <v>2E-3</v>
      </c>
      <c r="H2316" s="63"/>
    </row>
    <row r="2317" spans="1:8" x14ac:dyDescent="0.25">
      <c r="A2317" s="63"/>
      <c r="B2317" s="63">
        <v>1</v>
      </c>
      <c r="C2317" s="63" t="s">
        <v>3952</v>
      </c>
      <c r="D2317" s="63" t="s">
        <v>21</v>
      </c>
      <c r="E2317" s="66">
        <v>23.245187493169556</v>
      </c>
      <c r="F2317" s="67">
        <v>3.0000000000000001E-3</v>
      </c>
      <c r="G2317" s="67">
        <v>2E-3</v>
      </c>
      <c r="H2317" s="63"/>
    </row>
    <row r="2318" spans="1:8" x14ac:dyDescent="0.25">
      <c r="A2318" s="63"/>
      <c r="B2318" s="63">
        <v>2</v>
      </c>
      <c r="C2318" s="63" t="s">
        <v>3952</v>
      </c>
      <c r="D2318" s="63" t="s">
        <v>21</v>
      </c>
      <c r="E2318" s="66">
        <v>29.04747341217541</v>
      </c>
      <c r="F2318" s="67">
        <v>3.0000000000000001E-3</v>
      </c>
      <c r="G2318" s="67">
        <v>2E-3</v>
      </c>
      <c r="H2318" s="63"/>
    </row>
    <row r="2319" spans="1:8" x14ac:dyDescent="0.25">
      <c r="A2319" s="63"/>
      <c r="B2319" s="63">
        <v>3</v>
      </c>
      <c r="C2319" s="63" t="s">
        <v>3952</v>
      </c>
      <c r="D2319" s="63" t="s">
        <v>21</v>
      </c>
      <c r="E2319" s="66">
        <v>35.796996885218697</v>
      </c>
      <c r="F2319" s="67">
        <v>3.0000000000000001E-3</v>
      </c>
      <c r="G2319" s="67">
        <v>2E-3</v>
      </c>
      <c r="H2319" s="63"/>
    </row>
    <row r="2320" spans="1:8" x14ac:dyDescent="0.25">
      <c r="A2320" s="63"/>
      <c r="B2320" s="63">
        <v>4</v>
      </c>
      <c r="C2320" s="63" t="s">
        <v>3952</v>
      </c>
      <c r="D2320" s="63" t="s">
        <v>21</v>
      </c>
      <c r="E2320" s="66">
        <v>43.245586540150029</v>
      </c>
      <c r="F2320" s="67">
        <v>3.0000000000000001E-3</v>
      </c>
      <c r="G2320" s="67">
        <v>2E-3</v>
      </c>
      <c r="H2320" s="63"/>
    </row>
    <row r="2321" spans="1:8" x14ac:dyDescent="0.25">
      <c r="A2321" s="63"/>
      <c r="B2321" s="63">
        <v>5</v>
      </c>
      <c r="C2321" s="63" t="s">
        <v>3952</v>
      </c>
      <c r="D2321" s="63" t="s">
        <v>21</v>
      </c>
      <c r="E2321" s="66">
        <v>50.792499381977308</v>
      </c>
      <c r="F2321" s="67">
        <v>3.0000000000000001E-3</v>
      </c>
      <c r="G2321" s="67">
        <v>2E-3</v>
      </c>
      <c r="H2321" s="63"/>
    </row>
    <row r="2322" spans="1:8" x14ac:dyDescent="0.25">
      <c r="A2322" s="63"/>
      <c r="B2322" s="63">
        <v>6</v>
      </c>
      <c r="C2322" s="63" t="s">
        <v>3952</v>
      </c>
      <c r="D2322" s="63" t="s">
        <v>21</v>
      </c>
      <c r="E2322" s="66">
        <v>57.843551011239057</v>
      </c>
      <c r="F2322" s="67">
        <v>3.0000000000000001E-3</v>
      </c>
      <c r="G2322" s="67">
        <v>2E-3</v>
      </c>
      <c r="H2322" s="63"/>
    </row>
    <row r="2323" spans="1:8" x14ac:dyDescent="0.25">
      <c r="A2323" s="63"/>
      <c r="B2323" s="63">
        <v>7</v>
      </c>
      <c r="C2323" s="63" t="s">
        <v>3952</v>
      </c>
      <c r="D2323" s="63" t="s">
        <v>21</v>
      </c>
      <c r="E2323" s="66">
        <v>65.440289275264959</v>
      </c>
      <c r="F2323" s="67">
        <v>3.0000000000000001E-3</v>
      </c>
      <c r="G2323" s="67">
        <v>2E-3</v>
      </c>
      <c r="H2323" s="63"/>
    </row>
    <row r="2324" spans="1:8" x14ac:dyDescent="0.25">
      <c r="A2324" s="63"/>
      <c r="B2324" s="63">
        <v>8</v>
      </c>
      <c r="C2324" s="63" t="s">
        <v>3952</v>
      </c>
      <c r="D2324" s="63" t="s">
        <v>21</v>
      </c>
      <c r="E2324" s="66">
        <v>72.839952896143416</v>
      </c>
      <c r="F2324" s="67">
        <v>3.0000000000000001E-3</v>
      </c>
      <c r="G2324" s="67">
        <v>2E-3</v>
      </c>
      <c r="H2324" s="63"/>
    </row>
    <row r="2325" spans="1:8" x14ac:dyDescent="0.25">
      <c r="A2325" s="63"/>
      <c r="B2325" s="63">
        <v>9</v>
      </c>
      <c r="C2325" s="63" t="s">
        <v>3952</v>
      </c>
      <c r="D2325" s="63" t="s">
        <v>21</v>
      </c>
      <c r="E2325" s="66">
        <v>80.440483426477286</v>
      </c>
      <c r="F2325" s="67">
        <v>3.0000000000000001E-3</v>
      </c>
      <c r="G2325" s="67">
        <v>2E-3</v>
      </c>
      <c r="H2325" s="63"/>
    </row>
    <row r="2326" spans="1:8" x14ac:dyDescent="0.25">
      <c r="A2326" s="63"/>
      <c r="B2326" s="63">
        <v>10</v>
      </c>
      <c r="C2326" s="63" t="s">
        <v>3952</v>
      </c>
      <c r="D2326" s="63" t="s">
        <v>21</v>
      </c>
      <c r="E2326" s="66">
        <v>87.495846239603594</v>
      </c>
      <c r="F2326" s="67">
        <v>3.0000000000000001E-3</v>
      </c>
      <c r="G2326" s="67">
        <v>2E-3</v>
      </c>
      <c r="H2326" s="63"/>
    </row>
    <row r="2327" spans="1:8" x14ac:dyDescent="0.25">
      <c r="A2327" s="63"/>
      <c r="B2327" s="63">
        <v>11</v>
      </c>
      <c r="C2327" s="63" t="s">
        <v>3952</v>
      </c>
      <c r="D2327" s="63" t="s">
        <v>21</v>
      </c>
      <c r="E2327" s="66"/>
      <c r="F2327" s="67">
        <v>3.0000000000000001E-3</v>
      </c>
      <c r="G2327" s="67">
        <v>2E-3</v>
      </c>
      <c r="H2327" s="63"/>
    </row>
    <row r="2328" spans="1:8" x14ac:dyDescent="0.25">
      <c r="A2328" s="63"/>
      <c r="B2328" s="63">
        <v>12</v>
      </c>
      <c r="C2328" s="63" t="s">
        <v>3952</v>
      </c>
      <c r="D2328" s="63" t="s">
        <v>21</v>
      </c>
      <c r="E2328" s="66"/>
      <c r="F2328" s="67">
        <v>3.0000000000000001E-3</v>
      </c>
      <c r="G2328" s="67">
        <v>2E-3</v>
      </c>
      <c r="H2328" s="63"/>
    </row>
    <row r="2329" spans="1:8" x14ac:dyDescent="0.25">
      <c r="A2329" s="63"/>
      <c r="B2329" s="63">
        <v>13</v>
      </c>
      <c r="C2329" s="63" t="s">
        <v>3952</v>
      </c>
      <c r="D2329" s="63" t="s">
        <v>21</v>
      </c>
      <c r="E2329" s="66"/>
      <c r="F2329" s="67">
        <v>3.0000000000000001E-3</v>
      </c>
      <c r="G2329" s="67">
        <v>2E-3</v>
      </c>
      <c r="H2329" s="63"/>
    </row>
    <row r="2330" spans="1:8" x14ac:dyDescent="0.25">
      <c r="A2330" s="63"/>
      <c r="B2330" s="63">
        <v>14</v>
      </c>
      <c r="C2330" s="63" t="s">
        <v>3952</v>
      </c>
      <c r="D2330" s="63" t="s">
        <v>21</v>
      </c>
      <c r="E2330" s="66"/>
      <c r="F2330" s="67">
        <v>3.0000000000000001E-3</v>
      </c>
      <c r="G2330" s="67">
        <v>2E-3</v>
      </c>
      <c r="H2330" s="63"/>
    </row>
    <row r="2331" spans="1:8" x14ac:dyDescent="0.25">
      <c r="A2331" s="63"/>
      <c r="B2331" s="63">
        <v>15</v>
      </c>
      <c r="C2331" s="63" t="s">
        <v>3952</v>
      </c>
      <c r="D2331" s="63" t="s">
        <v>21</v>
      </c>
      <c r="E2331" s="66"/>
      <c r="F2331" s="67">
        <v>3.0000000000000001E-3</v>
      </c>
      <c r="G2331" s="67">
        <v>2E-3</v>
      </c>
      <c r="H2331" s="63"/>
    </row>
    <row r="2332" spans="1:8" x14ac:dyDescent="0.25">
      <c r="A2332" s="63"/>
      <c r="B2332" s="63">
        <v>16</v>
      </c>
      <c r="C2332" s="63" t="s">
        <v>3952</v>
      </c>
      <c r="D2332" s="63" t="s">
        <v>21</v>
      </c>
      <c r="E2332" s="66"/>
      <c r="F2332" s="67">
        <v>3.0000000000000001E-3</v>
      </c>
      <c r="G2332" s="67">
        <v>2E-3</v>
      </c>
      <c r="H2332" s="63"/>
    </row>
    <row r="2333" spans="1:8" x14ac:dyDescent="0.25">
      <c r="A2333" s="63"/>
      <c r="B2333" s="63">
        <v>17</v>
      </c>
      <c r="C2333" s="63" t="s">
        <v>3952</v>
      </c>
      <c r="D2333" s="63" t="s">
        <v>21</v>
      </c>
      <c r="E2333" s="66"/>
      <c r="F2333" s="67">
        <v>3.0000000000000001E-3</v>
      </c>
      <c r="G2333" s="67">
        <v>2E-3</v>
      </c>
      <c r="H2333" s="63"/>
    </row>
    <row r="2334" spans="1:8" x14ac:dyDescent="0.25">
      <c r="A2334" s="63"/>
      <c r="B2334" s="63">
        <v>18</v>
      </c>
      <c r="C2334" s="63" t="s">
        <v>3952</v>
      </c>
      <c r="D2334" s="63" t="s">
        <v>21</v>
      </c>
      <c r="E2334" s="66"/>
      <c r="F2334" s="67">
        <v>3.0000000000000001E-3</v>
      </c>
      <c r="G2334" s="67">
        <v>2E-3</v>
      </c>
      <c r="H2334" s="63"/>
    </row>
    <row r="2335" spans="1:8" x14ac:dyDescent="0.25">
      <c r="A2335" s="63"/>
      <c r="B2335" s="63">
        <v>19</v>
      </c>
      <c r="C2335" s="63" t="s">
        <v>3952</v>
      </c>
      <c r="D2335" s="63" t="s">
        <v>21</v>
      </c>
      <c r="E2335" s="66"/>
      <c r="F2335" s="67">
        <v>3.0000000000000001E-3</v>
      </c>
      <c r="G2335" s="67">
        <v>2E-3</v>
      </c>
      <c r="H2335" s="63"/>
    </row>
    <row r="2336" spans="1:8" x14ac:dyDescent="0.25">
      <c r="A2336" s="63"/>
      <c r="B2336" s="63">
        <v>20</v>
      </c>
      <c r="C2336" s="63" t="s">
        <v>3952</v>
      </c>
      <c r="D2336" s="63" t="s">
        <v>21</v>
      </c>
      <c r="E2336" s="66"/>
      <c r="F2336" s="67">
        <v>3.0000000000000001E-3</v>
      </c>
      <c r="G2336" s="67">
        <v>2E-3</v>
      </c>
      <c r="H2336" s="63"/>
    </row>
    <row r="2337" spans="1:8" x14ac:dyDescent="0.25">
      <c r="A2337" s="63"/>
      <c r="B2337" s="63">
        <v>21</v>
      </c>
      <c r="C2337" s="63" t="s">
        <v>3952</v>
      </c>
      <c r="D2337" s="63" t="s">
        <v>21</v>
      </c>
      <c r="E2337" s="66"/>
      <c r="F2337" s="67">
        <v>3.0000000000000001E-3</v>
      </c>
      <c r="G2337" s="67">
        <v>2E-3</v>
      </c>
      <c r="H2337" s="63"/>
    </row>
    <row r="2338" spans="1:8" x14ac:dyDescent="0.25">
      <c r="A2338" s="63"/>
      <c r="B2338" s="63">
        <v>22</v>
      </c>
      <c r="C2338" s="63" t="s">
        <v>3952</v>
      </c>
      <c r="D2338" s="63" t="s">
        <v>21</v>
      </c>
      <c r="E2338" s="66"/>
      <c r="F2338" s="67">
        <v>3.0000000000000001E-3</v>
      </c>
      <c r="G2338" s="67">
        <v>2E-3</v>
      </c>
      <c r="H2338" s="63"/>
    </row>
    <row r="2339" spans="1:8" x14ac:dyDescent="0.25">
      <c r="A2339" s="63"/>
      <c r="B2339" s="63">
        <v>23</v>
      </c>
      <c r="C2339" s="63" t="s">
        <v>3952</v>
      </c>
      <c r="D2339" s="63" t="s">
        <v>21</v>
      </c>
      <c r="E2339" s="66"/>
      <c r="F2339" s="67">
        <v>3.0000000000000001E-3</v>
      </c>
      <c r="G2339" s="67">
        <v>2E-3</v>
      </c>
      <c r="H2339" s="63"/>
    </row>
    <row r="2340" spans="1:8" x14ac:dyDescent="0.25">
      <c r="A2340" s="63"/>
      <c r="B2340" s="63">
        <v>24</v>
      </c>
      <c r="C2340" s="63" t="s">
        <v>3952</v>
      </c>
      <c r="D2340" s="63" t="s">
        <v>21</v>
      </c>
      <c r="E2340" s="66"/>
      <c r="F2340" s="67">
        <v>3.0000000000000001E-3</v>
      </c>
      <c r="G2340" s="67">
        <v>2E-3</v>
      </c>
      <c r="H2340" s="63"/>
    </row>
    <row r="2341" spans="1:8" x14ac:dyDescent="0.25">
      <c r="A2341" s="63"/>
      <c r="B2341" s="63">
        <v>25</v>
      </c>
      <c r="C2341" s="63" t="s">
        <v>3952</v>
      </c>
      <c r="D2341" s="63" t="s">
        <v>21</v>
      </c>
      <c r="E2341" s="66"/>
      <c r="F2341" s="67">
        <v>3.0000000000000001E-3</v>
      </c>
      <c r="G2341" s="67">
        <v>2E-3</v>
      </c>
      <c r="H2341" s="63"/>
    </row>
    <row r="2342" spans="1:8" x14ac:dyDescent="0.25">
      <c r="A2342" s="63"/>
      <c r="B2342" s="63">
        <v>26</v>
      </c>
      <c r="C2342" s="63" t="s">
        <v>3952</v>
      </c>
      <c r="D2342" s="63" t="s">
        <v>21</v>
      </c>
      <c r="E2342" s="66"/>
      <c r="F2342" s="67">
        <v>3.0000000000000001E-3</v>
      </c>
      <c r="G2342" s="67">
        <v>2E-3</v>
      </c>
      <c r="H2342" s="63"/>
    </row>
    <row r="2343" spans="1:8" x14ac:dyDescent="0.25">
      <c r="A2343" s="63"/>
      <c r="B2343" s="63">
        <v>27</v>
      </c>
      <c r="C2343" s="63" t="s">
        <v>3952</v>
      </c>
      <c r="D2343" s="63" t="s">
        <v>21</v>
      </c>
      <c r="E2343" s="66"/>
      <c r="F2343" s="67">
        <v>3.0000000000000001E-3</v>
      </c>
      <c r="G2343" s="67">
        <v>2E-3</v>
      </c>
      <c r="H2343" s="63"/>
    </row>
    <row r="2344" spans="1:8" x14ac:dyDescent="0.25">
      <c r="A2344" s="63"/>
      <c r="B2344" s="63">
        <v>28</v>
      </c>
      <c r="C2344" s="63" t="s">
        <v>3952</v>
      </c>
      <c r="D2344" s="63" t="s">
        <v>21</v>
      </c>
      <c r="E2344" s="66"/>
      <c r="F2344" s="67">
        <v>3.0000000000000001E-3</v>
      </c>
      <c r="G2344" s="67">
        <v>2E-3</v>
      </c>
      <c r="H2344" s="63"/>
    </row>
    <row r="2345" spans="1:8" x14ac:dyDescent="0.25">
      <c r="A2345" s="63"/>
      <c r="B2345" s="63">
        <v>29</v>
      </c>
      <c r="C2345" s="63" t="s">
        <v>3952</v>
      </c>
      <c r="D2345" s="63" t="s">
        <v>21</v>
      </c>
      <c r="E2345" s="66"/>
      <c r="F2345" s="67">
        <v>3.0000000000000001E-3</v>
      </c>
      <c r="G2345" s="67">
        <v>2E-3</v>
      </c>
      <c r="H2345" s="63"/>
    </row>
    <row r="2346" spans="1:8" x14ac:dyDescent="0.25">
      <c r="A2346" s="63"/>
      <c r="B2346" s="63">
        <v>30</v>
      </c>
      <c r="C2346" s="63" t="s">
        <v>3952</v>
      </c>
      <c r="D2346" s="63" t="s">
        <v>21</v>
      </c>
      <c r="E2346" s="66"/>
      <c r="F2346" s="67">
        <v>3.0000000000000001E-3</v>
      </c>
      <c r="G2346" s="67">
        <v>2E-3</v>
      </c>
      <c r="H2346" s="63"/>
    </row>
    <row r="2347" spans="1:8" x14ac:dyDescent="0.25">
      <c r="A2347" s="63"/>
      <c r="B2347" s="63">
        <v>0</v>
      </c>
      <c r="C2347" s="63" t="s">
        <v>3952</v>
      </c>
      <c r="D2347" s="63" t="s">
        <v>21</v>
      </c>
      <c r="E2347" s="66">
        <v>3.0428788910505911</v>
      </c>
      <c r="F2347" s="67">
        <v>3.0000000000000001E-3</v>
      </c>
      <c r="G2347" s="67">
        <v>2E-3</v>
      </c>
      <c r="H2347" s="63"/>
    </row>
    <row r="2348" spans="1:8" x14ac:dyDescent="0.25">
      <c r="A2348" s="63"/>
      <c r="B2348" s="63">
        <v>0.25</v>
      </c>
      <c r="C2348" s="63" t="s">
        <v>3952</v>
      </c>
      <c r="D2348" s="63" t="s">
        <v>62</v>
      </c>
      <c r="E2348" s="66">
        <v>32.332337801098205</v>
      </c>
      <c r="F2348" s="67">
        <v>3.0000000000000001E-3</v>
      </c>
      <c r="G2348" s="67">
        <v>2E-3</v>
      </c>
      <c r="H2348" s="63"/>
    </row>
    <row r="2349" spans="1:8" x14ac:dyDescent="0.25">
      <c r="A2349" s="63"/>
      <c r="B2349" s="63">
        <v>0.5</v>
      </c>
      <c r="C2349" s="63" t="s">
        <v>3952</v>
      </c>
      <c r="D2349" s="63" t="s">
        <v>62</v>
      </c>
      <c r="E2349" s="66">
        <v>32.940523384695631</v>
      </c>
      <c r="F2349" s="67">
        <v>3.0000000000000001E-3</v>
      </c>
      <c r="G2349" s="67">
        <v>2E-3</v>
      </c>
      <c r="H2349" s="63"/>
    </row>
    <row r="2350" spans="1:8" x14ac:dyDescent="0.25">
      <c r="A2350" s="63"/>
      <c r="B2350" s="63">
        <v>0.75</v>
      </c>
      <c r="C2350" s="63" t="s">
        <v>3952</v>
      </c>
      <c r="D2350" s="63" t="s">
        <v>62</v>
      </c>
      <c r="E2350" s="66">
        <v>34.175484284092171</v>
      </c>
      <c r="F2350" s="67">
        <v>3.0000000000000001E-3</v>
      </c>
      <c r="G2350" s="67">
        <v>2E-3</v>
      </c>
      <c r="H2350" s="63"/>
    </row>
    <row r="2351" spans="1:8" x14ac:dyDescent="0.25">
      <c r="A2351" s="63"/>
      <c r="B2351" s="63">
        <v>1</v>
      </c>
      <c r="C2351" s="63" t="s">
        <v>3952</v>
      </c>
      <c r="D2351" s="63" t="s">
        <v>62</v>
      </c>
      <c r="E2351" s="66">
        <v>37.021521614718367</v>
      </c>
      <c r="F2351" s="67">
        <v>3.0000000000000001E-3</v>
      </c>
      <c r="G2351" s="67">
        <v>2E-3</v>
      </c>
      <c r="H2351" s="63"/>
    </row>
    <row r="2352" spans="1:8" x14ac:dyDescent="0.25">
      <c r="A2352" s="63"/>
      <c r="B2352" s="63">
        <v>2</v>
      </c>
      <c r="C2352" s="63" t="s">
        <v>3952</v>
      </c>
      <c r="D2352" s="63" t="s">
        <v>62</v>
      </c>
      <c r="E2352" s="66">
        <v>42.211273680168205</v>
      </c>
      <c r="F2352" s="67">
        <v>3.0000000000000001E-3</v>
      </c>
      <c r="G2352" s="67">
        <v>2E-3</v>
      </c>
      <c r="H2352" s="63"/>
    </row>
    <row r="2353" spans="1:8" x14ac:dyDescent="0.25">
      <c r="A2353" s="63"/>
      <c r="B2353" s="63">
        <v>3</v>
      </c>
      <c r="C2353" s="63" t="s">
        <v>3952</v>
      </c>
      <c r="D2353" s="63" t="s">
        <v>62</v>
      </c>
      <c r="E2353" s="66">
        <v>48.550171223514766</v>
      </c>
      <c r="F2353" s="67">
        <v>3.0000000000000001E-3</v>
      </c>
      <c r="G2353" s="67">
        <v>2E-3</v>
      </c>
      <c r="H2353" s="63"/>
    </row>
    <row r="2354" spans="1:8" x14ac:dyDescent="0.25">
      <c r="A2354" s="63"/>
      <c r="B2354" s="63">
        <v>4</v>
      </c>
      <c r="C2354" s="63" t="s">
        <v>3952</v>
      </c>
      <c r="D2354" s="63" t="s">
        <v>62</v>
      </c>
      <c r="E2354" s="66">
        <v>46.216732011746963</v>
      </c>
      <c r="F2354" s="67">
        <v>3.0000000000000001E-3</v>
      </c>
      <c r="G2354" s="67">
        <v>2E-3</v>
      </c>
      <c r="H2354" s="63"/>
    </row>
    <row r="2355" spans="1:8" x14ac:dyDescent="0.25">
      <c r="A2355" s="63"/>
      <c r="B2355" s="63">
        <v>5</v>
      </c>
      <c r="C2355" s="63" t="s">
        <v>3952</v>
      </c>
      <c r="D2355" s="63" t="s">
        <v>62</v>
      </c>
      <c r="E2355" s="66">
        <v>52.720231922739409</v>
      </c>
      <c r="F2355" s="67">
        <v>3.0000000000000001E-3</v>
      </c>
      <c r="G2355" s="67">
        <v>2E-3</v>
      </c>
      <c r="H2355" s="63"/>
    </row>
    <row r="2356" spans="1:8" x14ac:dyDescent="0.25">
      <c r="A2356" s="63"/>
      <c r="B2356" s="63">
        <v>6</v>
      </c>
      <c r="C2356" s="63" t="s">
        <v>3952</v>
      </c>
      <c r="D2356" s="63" t="s">
        <v>62</v>
      </c>
      <c r="E2356" s="66">
        <v>60.487973145764791</v>
      </c>
      <c r="F2356" s="67">
        <v>3.0000000000000001E-3</v>
      </c>
      <c r="G2356" s="67">
        <v>2E-3</v>
      </c>
      <c r="H2356" s="63"/>
    </row>
    <row r="2357" spans="1:8" x14ac:dyDescent="0.25">
      <c r="A2357" s="63"/>
      <c r="B2357" s="63">
        <v>7</v>
      </c>
      <c r="C2357" s="63" t="s">
        <v>3952</v>
      </c>
      <c r="D2357" s="63" t="s">
        <v>62</v>
      </c>
      <c r="E2357" s="66">
        <v>68.564545138130441</v>
      </c>
      <c r="F2357" s="67">
        <v>3.0000000000000001E-3</v>
      </c>
      <c r="G2357" s="67">
        <v>2E-3</v>
      </c>
      <c r="H2357" s="63"/>
    </row>
    <row r="2358" spans="1:8" x14ac:dyDescent="0.25">
      <c r="A2358" s="63"/>
      <c r="B2358" s="63">
        <v>8</v>
      </c>
      <c r="C2358" s="63" t="s">
        <v>3952</v>
      </c>
      <c r="D2358" s="63" t="s">
        <v>62</v>
      </c>
      <c r="E2358" s="66">
        <v>76.989792128480374</v>
      </c>
      <c r="F2358" s="67">
        <v>3.0000000000000001E-3</v>
      </c>
      <c r="G2358" s="67">
        <v>2E-3</v>
      </c>
      <c r="H2358" s="63"/>
    </row>
    <row r="2359" spans="1:8" x14ac:dyDescent="0.25">
      <c r="A2359" s="63"/>
      <c r="B2359" s="63">
        <v>9</v>
      </c>
      <c r="C2359" s="63" t="s">
        <v>3952</v>
      </c>
      <c r="D2359" s="63" t="s">
        <v>62</v>
      </c>
      <c r="E2359" s="66">
        <v>84.892623023569556</v>
      </c>
      <c r="F2359" s="67">
        <v>3.0000000000000001E-3</v>
      </c>
      <c r="G2359" s="67">
        <v>2E-3</v>
      </c>
      <c r="H2359" s="63"/>
    </row>
    <row r="2360" spans="1:8" x14ac:dyDescent="0.25">
      <c r="A2360" s="63"/>
      <c r="B2360" s="63">
        <v>10</v>
      </c>
      <c r="C2360" s="63" t="s">
        <v>3952</v>
      </c>
      <c r="D2360" s="63" t="s">
        <v>62</v>
      </c>
      <c r="E2360" s="66">
        <v>92.610124185401475</v>
      </c>
      <c r="F2360" s="67">
        <v>3.0000000000000001E-3</v>
      </c>
      <c r="G2360" s="67">
        <v>2E-3</v>
      </c>
      <c r="H2360" s="63"/>
    </row>
    <row r="2361" spans="1:8" x14ac:dyDescent="0.25">
      <c r="A2361" s="63"/>
      <c r="B2361" s="63">
        <v>11</v>
      </c>
      <c r="C2361" s="63" t="s">
        <v>3952</v>
      </c>
      <c r="D2361" s="63" t="s">
        <v>62</v>
      </c>
      <c r="E2361" s="66"/>
      <c r="F2361" s="67">
        <v>3.0000000000000001E-3</v>
      </c>
      <c r="G2361" s="67">
        <v>2E-3</v>
      </c>
      <c r="H2361" s="63"/>
    </row>
    <row r="2362" spans="1:8" x14ac:dyDescent="0.25">
      <c r="A2362" s="63"/>
      <c r="B2362" s="63">
        <v>12</v>
      </c>
      <c r="C2362" s="63" t="s">
        <v>3952</v>
      </c>
      <c r="D2362" s="63" t="s">
        <v>62</v>
      </c>
      <c r="E2362" s="66"/>
      <c r="F2362" s="67">
        <v>3.0000000000000001E-3</v>
      </c>
      <c r="G2362" s="67">
        <v>2E-3</v>
      </c>
      <c r="H2362" s="63"/>
    </row>
    <row r="2363" spans="1:8" x14ac:dyDescent="0.25">
      <c r="A2363" s="63"/>
      <c r="B2363" s="63">
        <v>13</v>
      </c>
      <c r="C2363" s="63" t="s">
        <v>3952</v>
      </c>
      <c r="D2363" s="63" t="s">
        <v>62</v>
      </c>
      <c r="E2363" s="66"/>
      <c r="F2363" s="67">
        <v>3.0000000000000001E-3</v>
      </c>
      <c r="G2363" s="67">
        <v>2E-3</v>
      </c>
      <c r="H2363" s="63"/>
    </row>
    <row r="2364" spans="1:8" x14ac:dyDescent="0.25">
      <c r="A2364" s="63"/>
      <c r="B2364" s="63">
        <v>14</v>
      </c>
      <c r="C2364" s="63" t="s">
        <v>3952</v>
      </c>
      <c r="D2364" s="63" t="s">
        <v>62</v>
      </c>
      <c r="E2364" s="66"/>
      <c r="F2364" s="67">
        <v>3.0000000000000001E-3</v>
      </c>
      <c r="G2364" s="67">
        <v>2E-3</v>
      </c>
      <c r="H2364" s="63"/>
    </row>
    <row r="2365" spans="1:8" x14ac:dyDescent="0.25">
      <c r="A2365" s="63"/>
      <c r="B2365" s="63">
        <v>15</v>
      </c>
      <c r="C2365" s="63" t="s">
        <v>3952</v>
      </c>
      <c r="D2365" s="63" t="s">
        <v>62</v>
      </c>
      <c r="E2365" s="66"/>
      <c r="F2365" s="67">
        <v>3.0000000000000001E-3</v>
      </c>
      <c r="G2365" s="67">
        <v>2E-3</v>
      </c>
      <c r="H2365" s="63"/>
    </row>
    <row r="2366" spans="1:8" x14ac:dyDescent="0.25">
      <c r="A2366" s="63"/>
      <c r="B2366" s="63">
        <v>16</v>
      </c>
      <c r="C2366" s="63" t="s">
        <v>3952</v>
      </c>
      <c r="D2366" s="63" t="s">
        <v>62</v>
      </c>
      <c r="E2366" s="66"/>
      <c r="F2366" s="67">
        <v>3.0000000000000001E-3</v>
      </c>
      <c r="G2366" s="67">
        <v>2E-3</v>
      </c>
      <c r="H2366" s="63"/>
    </row>
    <row r="2367" spans="1:8" x14ac:dyDescent="0.25">
      <c r="A2367" s="63"/>
      <c r="B2367" s="63">
        <v>17</v>
      </c>
      <c r="C2367" s="63" t="s">
        <v>3952</v>
      </c>
      <c r="D2367" s="63" t="s">
        <v>62</v>
      </c>
      <c r="E2367" s="66"/>
      <c r="F2367" s="67">
        <v>3.0000000000000001E-3</v>
      </c>
      <c r="G2367" s="67">
        <v>2E-3</v>
      </c>
      <c r="H2367" s="63"/>
    </row>
    <row r="2368" spans="1:8" x14ac:dyDescent="0.25">
      <c r="A2368" s="63"/>
      <c r="B2368" s="63">
        <v>18</v>
      </c>
      <c r="C2368" s="63" t="s">
        <v>3952</v>
      </c>
      <c r="D2368" s="63" t="s">
        <v>62</v>
      </c>
      <c r="E2368" s="66"/>
      <c r="F2368" s="67">
        <v>3.0000000000000001E-3</v>
      </c>
      <c r="G2368" s="67">
        <v>2E-3</v>
      </c>
      <c r="H2368" s="63"/>
    </row>
    <row r="2369" spans="1:8" x14ac:dyDescent="0.25">
      <c r="A2369" s="63"/>
      <c r="B2369" s="63">
        <v>19</v>
      </c>
      <c r="C2369" s="63" t="s">
        <v>3952</v>
      </c>
      <c r="D2369" s="63" t="s">
        <v>62</v>
      </c>
      <c r="E2369" s="66"/>
      <c r="F2369" s="67">
        <v>3.0000000000000001E-3</v>
      </c>
      <c r="G2369" s="67">
        <v>2E-3</v>
      </c>
      <c r="H2369" s="63"/>
    </row>
    <row r="2370" spans="1:8" x14ac:dyDescent="0.25">
      <c r="A2370" s="63"/>
      <c r="B2370" s="63">
        <v>20</v>
      </c>
      <c r="C2370" s="63" t="s">
        <v>3952</v>
      </c>
      <c r="D2370" s="63" t="s">
        <v>62</v>
      </c>
      <c r="E2370" s="66"/>
      <c r="F2370" s="67">
        <v>3.0000000000000001E-3</v>
      </c>
      <c r="G2370" s="67">
        <v>2E-3</v>
      </c>
      <c r="H2370" s="63"/>
    </row>
    <row r="2371" spans="1:8" x14ac:dyDescent="0.25">
      <c r="A2371" s="63"/>
      <c r="B2371" s="63">
        <v>21</v>
      </c>
      <c r="C2371" s="63" t="s">
        <v>3952</v>
      </c>
      <c r="D2371" s="63" t="s">
        <v>62</v>
      </c>
      <c r="E2371" s="66"/>
      <c r="F2371" s="67">
        <v>3.0000000000000001E-3</v>
      </c>
      <c r="G2371" s="67">
        <v>2E-3</v>
      </c>
      <c r="H2371" s="63"/>
    </row>
    <row r="2372" spans="1:8" x14ac:dyDescent="0.25">
      <c r="A2372" s="63"/>
      <c r="B2372" s="63">
        <v>22</v>
      </c>
      <c r="C2372" s="63" t="s">
        <v>3952</v>
      </c>
      <c r="D2372" s="63" t="s">
        <v>62</v>
      </c>
      <c r="E2372" s="66"/>
      <c r="F2372" s="67">
        <v>3.0000000000000001E-3</v>
      </c>
      <c r="G2372" s="67">
        <v>2E-3</v>
      </c>
      <c r="H2372" s="63"/>
    </row>
    <row r="2373" spans="1:8" x14ac:dyDescent="0.25">
      <c r="A2373" s="63"/>
      <c r="B2373" s="63">
        <v>23</v>
      </c>
      <c r="C2373" s="63" t="s">
        <v>3952</v>
      </c>
      <c r="D2373" s="63" t="s">
        <v>62</v>
      </c>
      <c r="E2373" s="66"/>
      <c r="F2373" s="67">
        <v>3.0000000000000001E-3</v>
      </c>
      <c r="G2373" s="67">
        <v>2E-3</v>
      </c>
      <c r="H2373" s="63"/>
    </row>
    <row r="2374" spans="1:8" x14ac:dyDescent="0.25">
      <c r="A2374" s="63"/>
      <c r="B2374" s="63">
        <v>24</v>
      </c>
      <c r="C2374" s="63" t="s">
        <v>3952</v>
      </c>
      <c r="D2374" s="63" t="s">
        <v>62</v>
      </c>
      <c r="E2374" s="66"/>
      <c r="F2374" s="67">
        <v>3.0000000000000001E-3</v>
      </c>
      <c r="G2374" s="67">
        <v>2E-3</v>
      </c>
      <c r="H2374" s="63"/>
    </row>
    <row r="2375" spans="1:8" x14ac:dyDescent="0.25">
      <c r="A2375" s="63"/>
      <c r="B2375" s="63">
        <v>25</v>
      </c>
      <c r="C2375" s="63" t="s">
        <v>3952</v>
      </c>
      <c r="D2375" s="63" t="s">
        <v>62</v>
      </c>
      <c r="E2375" s="66"/>
      <c r="F2375" s="67">
        <v>3.0000000000000001E-3</v>
      </c>
      <c r="G2375" s="67">
        <v>2E-3</v>
      </c>
      <c r="H2375" s="63"/>
    </row>
    <row r="2376" spans="1:8" x14ac:dyDescent="0.25">
      <c r="A2376" s="63"/>
      <c r="B2376" s="63">
        <v>26</v>
      </c>
      <c r="C2376" s="63" t="s">
        <v>3952</v>
      </c>
      <c r="D2376" s="63" t="s">
        <v>62</v>
      </c>
      <c r="E2376" s="66"/>
      <c r="F2376" s="67">
        <v>3.0000000000000001E-3</v>
      </c>
      <c r="G2376" s="67">
        <v>2E-3</v>
      </c>
      <c r="H2376" s="63"/>
    </row>
    <row r="2377" spans="1:8" x14ac:dyDescent="0.25">
      <c r="A2377" s="63"/>
      <c r="B2377" s="63">
        <v>27</v>
      </c>
      <c r="C2377" s="63" t="s">
        <v>3952</v>
      </c>
      <c r="D2377" s="63" t="s">
        <v>62</v>
      </c>
      <c r="E2377" s="66"/>
      <c r="F2377" s="67">
        <v>3.0000000000000001E-3</v>
      </c>
      <c r="G2377" s="67">
        <v>2E-3</v>
      </c>
      <c r="H2377" s="63"/>
    </row>
    <row r="2378" spans="1:8" x14ac:dyDescent="0.25">
      <c r="A2378" s="63"/>
      <c r="B2378" s="63">
        <v>28</v>
      </c>
      <c r="C2378" s="63" t="s">
        <v>3952</v>
      </c>
      <c r="D2378" s="63" t="s">
        <v>62</v>
      </c>
      <c r="E2378" s="66"/>
      <c r="F2378" s="67">
        <v>3.0000000000000001E-3</v>
      </c>
      <c r="G2378" s="67">
        <v>2E-3</v>
      </c>
      <c r="H2378" s="63"/>
    </row>
    <row r="2379" spans="1:8" x14ac:dyDescent="0.25">
      <c r="A2379" s="63"/>
      <c r="B2379" s="63">
        <v>29</v>
      </c>
      <c r="C2379" s="63" t="s">
        <v>3952</v>
      </c>
      <c r="D2379" s="63" t="s">
        <v>62</v>
      </c>
      <c r="E2379" s="66"/>
      <c r="F2379" s="67">
        <v>3.0000000000000001E-3</v>
      </c>
      <c r="G2379" s="67">
        <v>2E-3</v>
      </c>
      <c r="H2379" s="63"/>
    </row>
    <row r="2380" spans="1:8" x14ac:dyDescent="0.25">
      <c r="A2380" s="63"/>
      <c r="B2380" s="63">
        <v>30</v>
      </c>
      <c r="C2380" s="63" t="s">
        <v>3952</v>
      </c>
      <c r="D2380" s="63" t="s">
        <v>62</v>
      </c>
      <c r="E2380" s="66"/>
      <c r="F2380" s="67">
        <v>3.0000000000000001E-3</v>
      </c>
      <c r="G2380" s="67">
        <v>2E-3</v>
      </c>
      <c r="H2380" s="63"/>
    </row>
    <row r="2381" spans="1:8" x14ac:dyDescent="0.25">
      <c r="A2381" s="63"/>
      <c r="B2381" s="63">
        <v>0</v>
      </c>
      <c r="C2381" s="63" t="s">
        <v>3952</v>
      </c>
      <c r="D2381" s="63" t="s">
        <v>62</v>
      </c>
      <c r="E2381" s="66">
        <v>3.0428788910505911</v>
      </c>
      <c r="F2381" s="67">
        <v>3.0000000000000001E-3</v>
      </c>
      <c r="G2381" s="67">
        <v>2E-3</v>
      </c>
      <c r="H2381" s="63"/>
    </row>
    <row r="2382" spans="1:8" x14ac:dyDescent="0.25">
      <c r="A2382" s="63"/>
      <c r="B2382" s="63">
        <v>0.25</v>
      </c>
      <c r="C2382" s="63" t="s">
        <v>3952</v>
      </c>
      <c r="D2382" s="63" t="s">
        <v>64</v>
      </c>
      <c r="E2382" s="66">
        <v>33.781331501009838</v>
      </c>
      <c r="F2382" s="67">
        <v>3.0000000000000001E-3</v>
      </c>
      <c r="G2382" s="67">
        <v>2E-3</v>
      </c>
      <c r="H2382" s="63"/>
    </row>
    <row r="2383" spans="1:8" x14ac:dyDescent="0.25">
      <c r="A2383" s="63"/>
      <c r="B2383" s="63">
        <v>0.5</v>
      </c>
      <c r="C2383" s="63" t="s">
        <v>3952</v>
      </c>
      <c r="D2383" s="63" t="s">
        <v>64</v>
      </c>
      <c r="E2383" s="66">
        <v>34.433939146946329</v>
      </c>
      <c r="F2383" s="67">
        <v>3.0000000000000001E-3</v>
      </c>
      <c r="G2383" s="67">
        <v>2E-3</v>
      </c>
      <c r="H2383" s="63"/>
    </row>
    <row r="2384" spans="1:8" x14ac:dyDescent="0.25">
      <c r="A2384" s="63"/>
      <c r="B2384" s="63">
        <v>0.75</v>
      </c>
      <c r="C2384" s="63" t="s">
        <v>3952</v>
      </c>
      <c r="D2384" s="63" t="s">
        <v>64</v>
      </c>
      <c r="E2384" s="66">
        <v>35.715304560924992</v>
      </c>
      <c r="F2384" s="67">
        <v>3.0000000000000001E-3</v>
      </c>
      <c r="G2384" s="67">
        <v>2E-3</v>
      </c>
      <c r="H2384" s="63"/>
    </row>
    <row r="2385" spans="1:8" x14ac:dyDescent="0.25">
      <c r="A2385" s="63"/>
      <c r="B2385" s="63">
        <v>1</v>
      </c>
      <c r="C2385" s="63" t="s">
        <v>3952</v>
      </c>
      <c r="D2385" s="63" t="s">
        <v>64</v>
      </c>
      <c r="E2385" s="66">
        <v>37.841932313349979</v>
      </c>
      <c r="F2385" s="67">
        <v>3.0000000000000001E-3</v>
      </c>
      <c r="G2385" s="67">
        <v>2E-3</v>
      </c>
      <c r="H2385" s="63"/>
    </row>
    <row r="2386" spans="1:8" x14ac:dyDescent="0.25">
      <c r="A2386" s="63"/>
      <c r="B2386" s="63">
        <v>2</v>
      </c>
      <c r="C2386" s="63" t="s">
        <v>3952</v>
      </c>
      <c r="D2386" s="63" t="s">
        <v>64</v>
      </c>
      <c r="E2386" s="66">
        <v>43.06110671091858</v>
      </c>
      <c r="F2386" s="67">
        <v>3.0000000000000001E-3</v>
      </c>
      <c r="G2386" s="67">
        <v>2E-3</v>
      </c>
      <c r="H2386" s="63"/>
    </row>
    <row r="2387" spans="1:8" x14ac:dyDescent="0.25">
      <c r="A2387" s="63"/>
      <c r="B2387" s="63">
        <v>3</v>
      </c>
      <c r="C2387" s="63" t="s">
        <v>3952</v>
      </c>
      <c r="D2387" s="63" t="s">
        <v>64</v>
      </c>
      <c r="E2387" s="66">
        <v>49.693262350914033</v>
      </c>
      <c r="F2387" s="67">
        <v>3.0000000000000001E-3</v>
      </c>
      <c r="G2387" s="67">
        <v>2E-3</v>
      </c>
      <c r="H2387" s="63"/>
    </row>
    <row r="2388" spans="1:8" x14ac:dyDescent="0.25">
      <c r="A2388" s="63"/>
      <c r="B2388" s="63">
        <v>4</v>
      </c>
      <c r="C2388" s="63" t="s">
        <v>3952</v>
      </c>
      <c r="D2388" s="63" t="s">
        <v>64</v>
      </c>
      <c r="E2388" s="66">
        <v>56.492014144744225</v>
      </c>
      <c r="F2388" s="67">
        <v>3.0000000000000001E-3</v>
      </c>
      <c r="G2388" s="67">
        <v>2E-3</v>
      </c>
      <c r="H2388" s="63"/>
    </row>
    <row r="2389" spans="1:8" x14ac:dyDescent="0.25">
      <c r="A2389" s="63"/>
      <c r="B2389" s="63">
        <v>5</v>
      </c>
      <c r="C2389" s="63" t="s">
        <v>3952</v>
      </c>
      <c r="D2389" s="63" t="s">
        <v>64</v>
      </c>
      <c r="E2389" s="66">
        <v>63.55714504062793</v>
      </c>
      <c r="F2389" s="67">
        <v>3.0000000000000001E-3</v>
      </c>
      <c r="G2389" s="67">
        <v>2E-3</v>
      </c>
      <c r="H2389" s="63"/>
    </row>
    <row r="2390" spans="1:8" x14ac:dyDescent="0.25">
      <c r="A2390" s="63"/>
      <c r="B2390" s="63">
        <v>6</v>
      </c>
      <c r="C2390" s="63" t="s">
        <v>3952</v>
      </c>
      <c r="D2390" s="63" t="s">
        <v>64</v>
      </c>
      <c r="E2390" s="66">
        <v>75.267967413979164</v>
      </c>
      <c r="F2390" s="67">
        <v>3.0000000000000001E-3</v>
      </c>
      <c r="G2390" s="67">
        <v>2E-3</v>
      </c>
      <c r="H2390" s="63"/>
    </row>
    <row r="2391" spans="1:8" x14ac:dyDescent="0.25">
      <c r="A2391" s="63"/>
      <c r="B2391" s="63">
        <v>7</v>
      </c>
      <c r="C2391" s="63" t="s">
        <v>3952</v>
      </c>
      <c r="D2391" s="63" t="s">
        <v>64</v>
      </c>
      <c r="E2391" s="66">
        <v>82.646694060645473</v>
      </c>
      <c r="F2391" s="67">
        <v>3.0000000000000001E-3</v>
      </c>
      <c r="G2391" s="67">
        <v>2E-3</v>
      </c>
      <c r="H2391" s="63"/>
    </row>
    <row r="2392" spans="1:8" x14ac:dyDescent="0.25">
      <c r="A2392" s="63"/>
      <c r="B2392" s="63">
        <v>8</v>
      </c>
      <c r="C2392" s="63" t="s">
        <v>3952</v>
      </c>
      <c r="D2392" s="63" t="s">
        <v>64</v>
      </c>
      <c r="E2392" s="66">
        <v>90.24504558674569</v>
      </c>
      <c r="F2392" s="67">
        <v>3.0000000000000001E-3</v>
      </c>
      <c r="G2392" s="67">
        <v>2E-3</v>
      </c>
      <c r="H2392" s="63"/>
    </row>
    <row r="2393" spans="1:8" x14ac:dyDescent="0.25">
      <c r="A2393" s="63"/>
      <c r="B2393" s="63">
        <v>9</v>
      </c>
      <c r="C2393" s="63" t="s">
        <v>3952</v>
      </c>
      <c r="D2393" s="63" t="s">
        <v>64</v>
      </c>
      <c r="E2393" s="66">
        <v>99.513793995796377</v>
      </c>
      <c r="F2393" s="67">
        <v>3.0000000000000001E-3</v>
      </c>
      <c r="G2393" s="67">
        <v>2E-3</v>
      </c>
      <c r="H2393" s="63"/>
    </row>
    <row r="2394" spans="1:8" x14ac:dyDescent="0.25">
      <c r="A2394" s="63"/>
      <c r="B2394" s="63">
        <v>10</v>
      </c>
      <c r="C2394" s="63" t="s">
        <v>3952</v>
      </c>
      <c r="D2394" s="63" t="s">
        <v>64</v>
      </c>
      <c r="E2394" s="66">
        <v>107.2326846904169</v>
      </c>
      <c r="F2394" s="67">
        <v>3.0000000000000001E-3</v>
      </c>
      <c r="G2394" s="67">
        <v>2E-3</v>
      </c>
      <c r="H2394" s="63"/>
    </row>
    <row r="2395" spans="1:8" x14ac:dyDescent="0.25">
      <c r="A2395" s="63"/>
      <c r="B2395" s="63">
        <v>11</v>
      </c>
      <c r="C2395" s="63" t="s">
        <v>3952</v>
      </c>
      <c r="D2395" s="63" t="s">
        <v>64</v>
      </c>
      <c r="E2395" s="66"/>
      <c r="F2395" s="67">
        <v>3.0000000000000001E-3</v>
      </c>
      <c r="G2395" s="67">
        <v>2E-3</v>
      </c>
      <c r="H2395" s="63"/>
    </row>
    <row r="2396" spans="1:8" x14ac:dyDescent="0.25">
      <c r="A2396" s="63"/>
      <c r="B2396" s="63">
        <v>12</v>
      </c>
      <c r="C2396" s="63" t="s">
        <v>3952</v>
      </c>
      <c r="D2396" s="63" t="s">
        <v>64</v>
      </c>
      <c r="E2396" s="66"/>
      <c r="F2396" s="67">
        <v>3.0000000000000001E-3</v>
      </c>
      <c r="G2396" s="67">
        <v>2E-3</v>
      </c>
      <c r="H2396" s="63"/>
    </row>
    <row r="2397" spans="1:8" x14ac:dyDescent="0.25">
      <c r="A2397" s="63"/>
      <c r="B2397" s="63">
        <v>13</v>
      </c>
      <c r="C2397" s="63" t="s">
        <v>3952</v>
      </c>
      <c r="D2397" s="63" t="s">
        <v>64</v>
      </c>
      <c r="E2397" s="66"/>
      <c r="F2397" s="67">
        <v>3.0000000000000001E-3</v>
      </c>
      <c r="G2397" s="67">
        <v>2E-3</v>
      </c>
      <c r="H2397" s="63"/>
    </row>
    <row r="2398" spans="1:8" x14ac:dyDescent="0.25">
      <c r="A2398" s="63"/>
      <c r="B2398" s="63">
        <v>14</v>
      </c>
      <c r="C2398" s="63" t="s">
        <v>3952</v>
      </c>
      <c r="D2398" s="63" t="s">
        <v>64</v>
      </c>
      <c r="E2398" s="66"/>
      <c r="F2398" s="67">
        <v>3.0000000000000001E-3</v>
      </c>
      <c r="G2398" s="67">
        <v>2E-3</v>
      </c>
      <c r="H2398" s="63"/>
    </row>
    <row r="2399" spans="1:8" x14ac:dyDescent="0.25">
      <c r="A2399" s="63"/>
      <c r="B2399" s="63">
        <v>15</v>
      </c>
      <c r="C2399" s="63" t="s">
        <v>3952</v>
      </c>
      <c r="D2399" s="63" t="s">
        <v>64</v>
      </c>
      <c r="E2399" s="66"/>
      <c r="F2399" s="67">
        <v>3.0000000000000001E-3</v>
      </c>
      <c r="G2399" s="67">
        <v>2E-3</v>
      </c>
      <c r="H2399" s="63"/>
    </row>
    <row r="2400" spans="1:8" x14ac:dyDescent="0.25">
      <c r="A2400" s="63"/>
      <c r="B2400" s="63">
        <v>16</v>
      </c>
      <c r="C2400" s="63" t="s">
        <v>3952</v>
      </c>
      <c r="D2400" s="63" t="s">
        <v>64</v>
      </c>
      <c r="E2400" s="66"/>
      <c r="F2400" s="67">
        <v>3.0000000000000001E-3</v>
      </c>
      <c r="G2400" s="67">
        <v>2E-3</v>
      </c>
      <c r="H2400" s="63"/>
    </row>
    <row r="2401" spans="1:8" x14ac:dyDescent="0.25">
      <c r="A2401" s="63"/>
      <c r="B2401" s="63">
        <v>17</v>
      </c>
      <c r="C2401" s="63" t="s">
        <v>3952</v>
      </c>
      <c r="D2401" s="63" t="s">
        <v>64</v>
      </c>
      <c r="E2401" s="66"/>
      <c r="F2401" s="67">
        <v>3.0000000000000001E-3</v>
      </c>
      <c r="G2401" s="67">
        <v>2E-3</v>
      </c>
      <c r="H2401" s="63"/>
    </row>
    <row r="2402" spans="1:8" x14ac:dyDescent="0.25">
      <c r="A2402" s="63"/>
      <c r="B2402" s="63">
        <v>18</v>
      </c>
      <c r="C2402" s="63" t="s">
        <v>3952</v>
      </c>
      <c r="D2402" s="63" t="s">
        <v>64</v>
      </c>
      <c r="E2402" s="66"/>
      <c r="F2402" s="67">
        <v>3.0000000000000001E-3</v>
      </c>
      <c r="G2402" s="67">
        <v>2E-3</v>
      </c>
      <c r="H2402" s="63"/>
    </row>
    <row r="2403" spans="1:8" x14ac:dyDescent="0.25">
      <c r="A2403" s="63"/>
      <c r="B2403" s="63">
        <v>19</v>
      </c>
      <c r="C2403" s="63" t="s">
        <v>3952</v>
      </c>
      <c r="D2403" s="63" t="s">
        <v>64</v>
      </c>
      <c r="E2403" s="66"/>
      <c r="F2403" s="67">
        <v>3.0000000000000001E-3</v>
      </c>
      <c r="G2403" s="67">
        <v>2E-3</v>
      </c>
      <c r="H2403" s="63"/>
    </row>
    <row r="2404" spans="1:8" x14ac:dyDescent="0.25">
      <c r="A2404" s="63"/>
      <c r="B2404" s="63">
        <v>20</v>
      </c>
      <c r="C2404" s="63" t="s">
        <v>3952</v>
      </c>
      <c r="D2404" s="63" t="s">
        <v>64</v>
      </c>
      <c r="E2404" s="66"/>
      <c r="F2404" s="67">
        <v>3.0000000000000001E-3</v>
      </c>
      <c r="G2404" s="67">
        <v>2E-3</v>
      </c>
      <c r="H2404" s="63"/>
    </row>
    <row r="2405" spans="1:8" x14ac:dyDescent="0.25">
      <c r="A2405" s="63"/>
      <c r="B2405" s="63">
        <v>21</v>
      </c>
      <c r="C2405" s="63" t="s">
        <v>3952</v>
      </c>
      <c r="D2405" s="63" t="s">
        <v>64</v>
      </c>
      <c r="E2405" s="66"/>
      <c r="F2405" s="67">
        <v>3.0000000000000001E-3</v>
      </c>
      <c r="G2405" s="67">
        <v>2E-3</v>
      </c>
      <c r="H2405" s="63"/>
    </row>
    <row r="2406" spans="1:8" x14ac:dyDescent="0.25">
      <c r="A2406" s="63"/>
      <c r="B2406" s="63">
        <v>22</v>
      </c>
      <c r="C2406" s="63" t="s">
        <v>3952</v>
      </c>
      <c r="D2406" s="63" t="s">
        <v>64</v>
      </c>
      <c r="E2406" s="66"/>
      <c r="F2406" s="67">
        <v>3.0000000000000001E-3</v>
      </c>
      <c r="G2406" s="67">
        <v>2E-3</v>
      </c>
      <c r="H2406" s="63"/>
    </row>
    <row r="2407" spans="1:8" x14ac:dyDescent="0.25">
      <c r="A2407" s="63"/>
      <c r="B2407" s="63">
        <v>23</v>
      </c>
      <c r="C2407" s="63" t="s">
        <v>3952</v>
      </c>
      <c r="D2407" s="63" t="s">
        <v>64</v>
      </c>
      <c r="E2407" s="66"/>
      <c r="F2407" s="67">
        <v>3.0000000000000001E-3</v>
      </c>
      <c r="G2407" s="67">
        <v>2E-3</v>
      </c>
      <c r="H2407" s="63"/>
    </row>
    <row r="2408" spans="1:8" x14ac:dyDescent="0.25">
      <c r="A2408" s="63"/>
      <c r="B2408" s="63">
        <v>24</v>
      </c>
      <c r="C2408" s="63" t="s">
        <v>3952</v>
      </c>
      <c r="D2408" s="63" t="s">
        <v>64</v>
      </c>
      <c r="E2408" s="66"/>
      <c r="F2408" s="67">
        <v>3.0000000000000001E-3</v>
      </c>
      <c r="G2408" s="67">
        <v>2E-3</v>
      </c>
      <c r="H2408" s="63"/>
    </row>
    <row r="2409" spans="1:8" x14ac:dyDescent="0.25">
      <c r="A2409" s="63"/>
      <c r="B2409" s="63">
        <v>25</v>
      </c>
      <c r="C2409" s="63" t="s">
        <v>3952</v>
      </c>
      <c r="D2409" s="63" t="s">
        <v>64</v>
      </c>
      <c r="E2409" s="66"/>
      <c r="F2409" s="67">
        <v>3.0000000000000001E-3</v>
      </c>
      <c r="G2409" s="67">
        <v>2E-3</v>
      </c>
      <c r="H2409" s="63"/>
    </row>
    <row r="2410" spans="1:8" x14ac:dyDescent="0.25">
      <c r="A2410" s="63"/>
      <c r="B2410" s="63">
        <v>26</v>
      </c>
      <c r="C2410" s="63" t="s">
        <v>3952</v>
      </c>
      <c r="D2410" s="63" t="s">
        <v>64</v>
      </c>
      <c r="E2410" s="66"/>
      <c r="F2410" s="67">
        <v>3.0000000000000001E-3</v>
      </c>
      <c r="G2410" s="67">
        <v>2E-3</v>
      </c>
      <c r="H2410" s="63"/>
    </row>
    <row r="2411" spans="1:8" x14ac:dyDescent="0.25">
      <c r="A2411" s="63"/>
      <c r="B2411" s="63">
        <v>27</v>
      </c>
      <c r="C2411" s="63" t="s">
        <v>3952</v>
      </c>
      <c r="D2411" s="63" t="s">
        <v>64</v>
      </c>
      <c r="E2411" s="66"/>
      <c r="F2411" s="67">
        <v>3.0000000000000001E-3</v>
      </c>
      <c r="G2411" s="67">
        <v>2E-3</v>
      </c>
      <c r="H2411" s="63"/>
    </row>
    <row r="2412" spans="1:8" x14ac:dyDescent="0.25">
      <c r="A2412" s="63"/>
      <c r="B2412" s="63">
        <v>28</v>
      </c>
      <c r="C2412" s="63" t="s">
        <v>3952</v>
      </c>
      <c r="D2412" s="63" t="s">
        <v>64</v>
      </c>
      <c r="E2412" s="66"/>
      <c r="F2412" s="67">
        <v>3.0000000000000001E-3</v>
      </c>
      <c r="G2412" s="67">
        <v>2E-3</v>
      </c>
      <c r="H2412" s="63"/>
    </row>
    <row r="2413" spans="1:8" x14ac:dyDescent="0.25">
      <c r="A2413" s="63"/>
      <c r="B2413" s="63">
        <v>29</v>
      </c>
      <c r="C2413" s="63" t="s">
        <v>3952</v>
      </c>
      <c r="D2413" s="63" t="s">
        <v>64</v>
      </c>
      <c r="E2413" s="66"/>
      <c r="F2413" s="67">
        <v>3.0000000000000001E-3</v>
      </c>
      <c r="G2413" s="67">
        <v>2E-3</v>
      </c>
      <c r="H2413" s="63"/>
    </row>
    <row r="2414" spans="1:8" x14ac:dyDescent="0.25">
      <c r="A2414" s="63"/>
      <c r="B2414" s="63">
        <v>30</v>
      </c>
      <c r="C2414" s="63" t="s">
        <v>3952</v>
      </c>
      <c r="D2414" s="63" t="s">
        <v>64</v>
      </c>
      <c r="E2414" s="66"/>
      <c r="F2414" s="67">
        <v>3.0000000000000001E-3</v>
      </c>
      <c r="G2414" s="67">
        <v>2E-3</v>
      </c>
      <c r="H2414" s="63"/>
    </row>
    <row r="2415" spans="1:8" x14ac:dyDescent="0.25">
      <c r="A2415" s="63"/>
      <c r="B2415" s="63">
        <v>0</v>
      </c>
      <c r="C2415" s="63" t="s">
        <v>3952</v>
      </c>
      <c r="D2415" s="63" t="s">
        <v>64</v>
      </c>
      <c r="E2415" s="66">
        <v>3.0428788910505911</v>
      </c>
      <c r="F2415" s="67">
        <v>3.0000000000000001E-3</v>
      </c>
      <c r="G2415" s="67">
        <v>2E-3</v>
      </c>
      <c r="H2415" s="63"/>
    </row>
    <row r="2416" spans="1:8" x14ac:dyDescent="0.25">
      <c r="A2416" s="63"/>
      <c r="B2416" s="63">
        <v>0.25</v>
      </c>
      <c r="C2416" s="63" t="s">
        <v>3952</v>
      </c>
      <c r="D2416" s="63" t="s">
        <v>77</v>
      </c>
      <c r="E2416" s="66">
        <v>49.365095147237867</v>
      </c>
      <c r="F2416" s="67">
        <v>3.0000000000000001E-3</v>
      </c>
      <c r="G2416" s="67">
        <v>2E-3</v>
      </c>
      <c r="H2416" s="63"/>
    </row>
    <row r="2417" spans="1:8" x14ac:dyDescent="0.25">
      <c r="A2417" s="63"/>
      <c r="B2417" s="63">
        <v>0.5</v>
      </c>
      <c r="C2417" s="63" t="s">
        <v>3952</v>
      </c>
      <c r="D2417" s="63" t="s">
        <v>77</v>
      </c>
      <c r="E2417" s="66">
        <v>50.770888721957412</v>
      </c>
      <c r="F2417" s="67">
        <v>3.0000000000000001E-3</v>
      </c>
      <c r="G2417" s="67">
        <v>2E-3</v>
      </c>
      <c r="H2417" s="63"/>
    </row>
    <row r="2418" spans="1:8" x14ac:dyDescent="0.25">
      <c r="A2418" s="63"/>
      <c r="B2418" s="63">
        <v>0.75</v>
      </c>
      <c r="C2418" s="63" t="s">
        <v>3952</v>
      </c>
      <c r="D2418" s="63" t="s">
        <v>77</v>
      </c>
      <c r="E2418" s="66">
        <v>52.200434315108524</v>
      </c>
      <c r="F2418" s="67">
        <v>3.0000000000000001E-3</v>
      </c>
      <c r="G2418" s="67">
        <v>2E-3</v>
      </c>
      <c r="H2418" s="63"/>
    </row>
    <row r="2419" spans="1:8" x14ac:dyDescent="0.25">
      <c r="A2419" s="63"/>
      <c r="B2419" s="63">
        <v>1</v>
      </c>
      <c r="C2419" s="63" t="s">
        <v>3952</v>
      </c>
      <c r="D2419" s="63" t="s">
        <v>77</v>
      </c>
      <c r="E2419" s="66">
        <v>52.724840228616593</v>
      </c>
      <c r="F2419" s="67">
        <v>3.0000000000000001E-3</v>
      </c>
      <c r="G2419" s="67">
        <v>2E-3</v>
      </c>
      <c r="H2419" s="63"/>
    </row>
    <row r="2420" spans="1:8" x14ac:dyDescent="0.25">
      <c r="A2420" s="63"/>
      <c r="B2420" s="63">
        <v>2</v>
      </c>
      <c r="C2420" s="63" t="s">
        <v>3952</v>
      </c>
      <c r="D2420" s="63" t="s">
        <v>77</v>
      </c>
      <c r="E2420" s="66">
        <v>59.472638024172305</v>
      </c>
      <c r="F2420" s="67">
        <v>3.0000000000000001E-3</v>
      </c>
      <c r="G2420" s="67">
        <v>2E-3</v>
      </c>
      <c r="H2420" s="63"/>
    </row>
    <row r="2421" spans="1:8" x14ac:dyDescent="0.25">
      <c r="A2421" s="63"/>
      <c r="B2421" s="63">
        <v>3</v>
      </c>
      <c r="C2421" s="63" t="s">
        <v>3952</v>
      </c>
      <c r="D2421" s="63" t="s">
        <v>77</v>
      </c>
      <c r="E2421" s="66">
        <v>72.142723701589546</v>
      </c>
      <c r="F2421" s="67">
        <v>3.0000000000000001E-3</v>
      </c>
      <c r="G2421" s="67">
        <v>2E-3</v>
      </c>
      <c r="H2421" s="63"/>
    </row>
    <row r="2422" spans="1:8" x14ac:dyDescent="0.25">
      <c r="A2422" s="63"/>
      <c r="B2422" s="63">
        <v>4</v>
      </c>
      <c r="C2422" s="63" t="s">
        <v>3952</v>
      </c>
      <c r="D2422" s="63" t="s">
        <v>77</v>
      </c>
      <c r="E2422" s="66">
        <v>81.509458318176925</v>
      </c>
      <c r="F2422" s="67">
        <v>3.0000000000000001E-3</v>
      </c>
      <c r="G2422" s="67">
        <v>2E-3</v>
      </c>
      <c r="H2422" s="63"/>
    </row>
    <row r="2423" spans="1:8" x14ac:dyDescent="0.25">
      <c r="A2423" s="63"/>
      <c r="B2423" s="63">
        <v>5</v>
      </c>
      <c r="C2423" s="63" t="s">
        <v>3952</v>
      </c>
      <c r="D2423" s="63" t="s">
        <v>77</v>
      </c>
      <c r="E2423" s="66">
        <v>89.863972899994664</v>
      </c>
      <c r="F2423" s="67">
        <v>3.0000000000000001E-3</v>
      </c>
      <c r="G2423" s="67">
        <v>2E-3</v>
      </c>
      <c r="H2423" s="63"/>
    </row>
    <row r="2424" spans="1:8" x14ac:dyDescent="0.25">
      <c r="A2424" s="63"/>
      <c r="B2424" s="63">
        <v>6</v>
      </c>
      <c r="C2424" s="63" t="s">
        <v>3952</v>
      </c>
      <c r="D2424" s="63" t="s">
        <v>77</v>
      </c>
      <c r="E2424" s="66">
        <v>98.618648314994076</v>
      </c>
      <c r="F2424" s="67">
        <v>3.0000000000000001E-3</v>
      </c>
      <c r="G2424" s="67">
        <v>2E-3</v>
      </c>
      <c r="H2424" s="63"/>
    </row>
    <row r="2425" spans="1:8" x14ac:dyDescent="0.25">
      <c r="A2425" s="63"/>
      <c r="B2425" s="63">
        <v>7</v>
      </c>
      <c r="C2425" s="63" t="s">
        <v>3952</v>
      </c>
      <c r="D2425" s="63" t="s">
        <v>77</v>
      </c>
      <c r="E2425" s="66">
        <v>108.72378502149357</v>
      </c>
      <c r="F2425" s="67">
        <v>3.0000000000000001E-3</v>
      </c>
      <c r="G2425" s="67">
        <v>2E-3</v>
      </c>
      <c r="H2425" s="63"/>
    </row>
    <row r="2426" spans="1:8" x14ac:dyDescent="0.25">
      <c r="A2426" s="63"/>
      <c r="B2426" s="63">
        <v>8</v>
      </c>
      <c r="C2426" s="63" t="s">
        <v>3952</v>
      </c>
      <c r="D2426" s="63" t="s">
        <v>77</v>
      </c>
      <c r="E2426" s="66">
        <v>120.36692993447016</v>
      </c>
      <c r="F2426" s="67">
        <v>3.0000000000000001E-3</v>
      </c>
      <c r="G2426" s="67">
        <v>2E-3</v>
      </c>
      <c r="H2426" s="63"/>
    </row>
    <row r="2427" spans="1:8" x14ac:dyDescent="0.25">
      <c r="A2427" s="63"/>
      <c r="B2427" s="63">
        <v>9</v>
      </c>
      <c r="C2427" s="63" t="s">
        <v>3952</v>
      </c>
      <c r="D2427" s="63" t="s">
        <v>77</v>
      </c>
      <c r="E2427" s="66">
        <v>131.35112917791719</v>
      </c>
      <c r="F2427" s="67">
        <v>3.0000000000000001E-3</v>
      </c>
      <c r="G2427" s="67">
        <v>2E-3</v>
      </c>
      <c r="H2427" s="63"/>
    </row>
    <row r="2428" spans="1:8" x14ac:dyDescent="0.25">
      <c r="A2428" s="63"/>
      <c r="B2428" s="63">
        <v>10</v>
      </c>
      <c r="C2428" s="63" t="s">
        <v>3952</v>
      </c>
      <c r="D2428" s="63" t="s">
        <v>77</v>
      </c>
      <c r="E2428" s="66">
        <v>142.33181861642981</v>
      </c>
      <c r="F2428" s="67">
        <v>3.0000000000000001E-3</v>
      </c>
      <c r="G2428" s="67">
        <v>2E-3</v>
      </c>
      <c r="H2428" s="63"/>
    </row>
    <row r="2429" spans="1:8" x14ac:dyDescent="0.25">
      <c r="A2429" s="63"/>
      <c r="B2429" s="63">
        <v>11</v>
      </c>
      <c r="C2429" s="63" t="s">
        <v>3952</v>
      </c>
      <c r="D2429" s="63" t="s">
        <v>77</v>
      </c>
      <c r="E2429" s="66"/>
      <c r="F2429" s="67">
        <v>3.0000000000000001E-3</v>
      </c>
      <c r="G2429" s="67">
        <v>2E-3</v>
      </c>
      <c r="H2429" s="63"/>
    </row>
    <row r="2430" spans="1:8" x14ac:dyDescent="0.25">
      <c r="A2430" s="63"/>
      <c r="B2430" s="63">
        <v>12</v>
      </c>
      <c r="C2430" s="63" t="s">
        <v>3952</v>
      </c>
      <c r="D2430" s="63" t="s">
        <v>77</v>
      </c>
      <c r="E2430" s="66"/>
      <c r="F2430" s="67">
        <v>3.0000000000000001E-3</v>
      </c>
      <c r="G2430" s="67">
        <v>2E-3</v>
      </c>
      <c r="H2430" s="63"/>
    </row>
    <row r="2431" spans="1:8" x14ac:dyDescent="0.25">
      <c r="A2431" s="63"/>
      <c r="B2431" s="63">
        <v>13</v>
      </c>
      <c r="C2431" s="63" t="s">
        <v>3952</v>
      </c>
      <c r="D2431" s="63" t="s">
        <v>77</v>
      </c>
      <c r="E2431" s="66"/>
      <c r="F2431" s="67">
        <v>3.0000000000000001E-3</v>
      </c>
      <c r="G2431" s="67">
        <v>2E-3</v>
      </c>
      <c r="H2431" s="63"/>
    </row>
    <row r="2432" spans="1:8" x14ac:dyDescent="0.25">
      <c r="A2432" s="63"/>
      <c r="B2432" s="63">
        <v>14</v>
      </c>
      <c r="C2432" s="63" t="s">
        <v>3952</v>
      </c>
      <c r="D2432" s="63" t="s">
        <v>77</v>
      </c>
      <c r="E2432" s="66"/>
      <c r="F2432" s="67">
        <v>3.0000000000000001E-3</v>
      </c>
      <c r="G2432" s="67">
        <v>2E-3</v>
      </c>
      <c r="H2432" s="63"/>
    </row>
    <row r="2433" spans="1:8" x14ac:dyDescent="0.25">
      <c r="A2433" s="63"/>
      <c r="B2433" s="63">
        <v>15</v>
      </c>
      <c r="C2433" s="63" t="s">
        <v>3952</v>
      </c>
      <c r="D2433" s="63" t="s">
        <v>77</v>
      </c>
      <c r="E2433" s="66"/>
      <c r="F2433" s="67">
        <v>3.0000000000000001E-3</v>
      </c>
      <c r="G2433" s="67">
        <v>2E-3</v>
      </c>
      <c r="H2433" s="63"/>
    </row>
    <row r="2434" spans="1:8" x14ac:dyDescent="0.25">
      <c r="A2434" s="63"/>
      <c r="B2434" s="63">
        <v>16</v>
      </c>
      <c r="C2434" s="63" t="s">
        <v>3952</v>
      </c>
      <c r="D2434" s="63" t="s">
        <v>77</v>
      </c>
      <c r="E2434" s="66"/>
      <c r="F2434" s="67">
        <v>3.0000000000000001E-3</v>
      </c>
      <c r="G2434" s="67">
        <v>2E-3</v>
      </c>
      <c r="H2434" s="63"/>
    </row>
    <row r="2435" spans="1:8" x14ac:dyDescent="0.25">
      <c r="A2435" s="63"/>
      <c r="B2435" s="63">
        <v>17</v>
      </c>
      <c r="C2435" s="63" t="s">
        <v>3952</v>
      </c>
      <c r="D2435" s="63" t="s">
        <v>77</v>
      </c>
      <c r="E2435" s="66"/>
      <c r="F2435" s="67">
        <v>3.0000000000000001E-3</v>
      </c>
      <c r="G2435" s="67">
        <v>2E-3</v>
      </c>
      <c r="H2435" s="63"/>
    </row>
    <row r="2436" spans="1:8" x14ac:dyDescent="0.25">
      <c r="A2436" s="63"/>
      <c r="B2436" s="63">
        <v>18</v>
      </c>
      <c r="C2436" s="63" t="s">
        <v>3952</v>
      </c>
      <c r="D2436" s="63" t="s">
        <v>77</v>
      </c>
      <c r="E2436" s="66"/>
      <c r="F2436" s="67">
        <v>3.0000000000000001E-3</v>
      </c>
      <c r="G2436" s="67">
        <v>2E-3</v>
      </c>
      <c r="H2436" s="63"/>
    </row>
    <row r="2437" spans="1:8" x14ac:dyDescent="0.25">
      <c r="A2437" s="63"/>
      <c r="B2437" s="63">
        <v>19</v>
      </c>
      <c r="C2437" s="63" t="s">
        <v>3952</v>
      </c>
      <c r="D2437" s="63" t="s">
        <v>77</v>
      </c>
      <c r="E2437" s="66"/>
      <c r="F2437" s="67">
        <v>3.0000000000000001E-3</v>
      </c>
      <c r="G2437" s="67">
        <v>2E-3</v>
      </c>
      <c r="H2437" s="63"/>
    </row>
    <row r="2438" spans="1:8" x14ac:dyDescent="0.25">
      <c r="A2438" s="63"/>
      <c r="B2438" s="63">
        <v>20</v>
      </c>
      <c r="C2438" s="63" t="s">
        <v>3952</v>
      </c>
      <c r="D2438" s="63" t="s">
        <v>77</v>
      </c>
      <c r="E2438" s="66"/>
      <c r="F2438" s="67">
        <v>3.0000000000000001E-3</v>
      </c>
      <c r="G2438" s="67">
        <v>2E-3</v>
      </c>
      <c r="H2438" s="63"/>
    </row>
    <row r="2439" spans="1:8" x14ac:dyDescent="0.25">
      <c r="A2439" s="63"/>
      <c r="B2439" s="63">
        <v>21</v>
      </c>
      <c r="C2439" s="63" t="s">
        <v>3952</v>
      </c>
      <c r="D2439" s="63" t="s">
        <v>77</v>
      </c>
      <c r="E2439" s="66"/>
      <c r="F2439" s="67">
        <v>3.0000000000000001E-3</v>
      </c>
      <c r="G2439" s="67">
        <v>2E-3</v>
      </c>
      <c r="H2439" s="63"/>
    </row>
    <row r="2440" spans="1:8" x14ac:dyDescent="0.25">
      <c r="A2440" s="63"/>
      <c r="B2440" s="63">
        <v>22</v>
      </c>
      <c r="C2440" s="63" t="s">
        <v>3952</v>
      </c>
      <c r="D2440" s="63" t="s">
        <v>77</v>
      </c>
      <c r="E2440" s="66"/>
      <c r="F2440" s="67">
        <v>3.0000000000000001E-3</v>
      </c>
      <c r="G2440" s="67">
        <v>2E-3</v>
      </c>
      <c r="H2440" s="63"/>
    </row>
    <row r="2441" spans="1:8" x14ac:dyDescent="0.25">
      <c r="A2441" s="63"/>
      <c r="B2441" s="63">
        <v>23</v>
      </c>
      <c r="C2441" s="63" t="s">
        <v>3952</v>
      </c>
      <c r="D2441" s="63" t="s">
        <v>77</v>
      </c>
      <c r="E2441" s="66"/>
      <c r="F2441" s="67">
        <v>3.0000000000000001E-3</v>
      </c>
      <c r="G2441" s="67">
        <v>2E-3</v>
      </c>
      <c r="H2441" s="63"/>
    </row>
    <row r="2442" spans="1:8" x14ac:dyDescent="0.25">
      <c r="A2442" s="63"/>
      <c r="B2442" s="63">
        <v>24</v>
      </c>
      <c r="C2442" s="63" t="s">
        <v>3952</v>
      </c>
      <c r="D2442" s="63" t="s">
        <v>77</v>
      </c>
      <c r="E2442" s="66"/>
      <c r="F2442" s="67">
        <v>3.0000000000000001E-3</v>
      </c>
      <c r="G2442" s="67">
        <v>2E-3</v>
      </c>
      <c r="H2442" s="63"/>
    </row>
    <row r="2443" spans="1:8" x14ac:dyDescent="0.25">
      <c r="A2443" s="63"/>
      <c r="B2443" s="63">
        <v>25</v>
      </c>
      <c r="C2443" s="63" t="s">
        <v>3952</v>
      </c>
      <c r="D2443" s="63" t="s">
        <v>77</v>
      </c>
      <c r="E2443" s="66"/>
      <c r="F2443" s="67">
        <v>3.0000000000000001E-3</v>
      </c>
      <c r="G2443" s="67">
        <v>2E-3</v>
      </c>
      <c r="H2443" s="63"/>
    </row>
    <row r="2444" spans="1:8" x14ac:dyDescent="0.25">
      <c r="A2444" s="63"/>
      <c r="B2444" s="63">
        <v>26</v>
      </c>
      <c r="C2444" s="63" t="s">
        <v>3952</v>
      </c>
      <c r="D2444" s="63" t="s">
        <v>77</v>
      </c>
      <c r="E2444" s="66"/>
      <c r="F2444" s="67">
        <v>3.0000000000000001E-3</v>
      </c>
      <c r="G2444" s="67">
        <v>2E-3</v>
      </c>
      <c r="H2444" s="63"/>
    </row>
    <row r="2445" spans="1:8" x14ac:dyDescent="0.25">
      <c r="A2445" s="63"/>
      <c r="B2445" s="63">
        <v>27</v>
      </c>
      <c r="C2445" s="63" t="s">
        <v>3952</v>
      </c>
      <c r="D2445" s="63" t="s">
        <v>77</v>
      </c>
      <c r="E2445" s="66"/>
      <c r="F2445" s="67">
        <v>3.0000000000000001E-3</v>
      </c>
      <c r="G2445" s="67">
        <v>2E-3</v>
      </c>
      <c r="H2445" s="63"/>
    </row>
    <row r="2446" spans="1:8" x14ac:dyDescent="0.25">
      <c r="A2446" s="63"/>
      <c r="B2446" s="63">
        <v>28</v>
      </c>
      <c r="C2446" s="63" t="s">
        <v>3952</v>
      </c>
      <c r="D2446" s="63" t="s">
        <v>77</v>
      </c>
      <c r="E2446" s="66"/>
      <c r="F2446" s="67">
        <v>3.0000000000000001E-3</v>
      </c>
      <c r="G2446" s="67">
        <v>2E-3</v>
      </c>
      <c r="H2446" s="63"/>
    </row>
    <row r="2447" spans="1:8" x14ac:dyDescent="0.25">
      <c r="A2447" s="63"/>
      <c r="B2447" s="63">
        <v>29</v>
      </c>
      <c r="C2447" s="63" t="s">
        <v>3952</v>
      </c>
      <c r="D2447" s="63" t="s">
        <v>77</v>
      </c>
      <c r="E2447" s="66"/>
      <c r="F2447" s="67">
        <v>3.0000000000000001E-3</v>
      </c>
      <c r="G2447" s="67">
        <v>2E-3</v>
      </c>
      <c r="H2447" s="63"/>
    </row>
    <row r="2448" spans="1:8" x14ac:dyDescent="0.25">
      <c r="A2448" s="63"/>
      <c r="B2448" s="63">
        <v>30</v>
      </c>
      <c r="C2448" s="63" t="s">
        <v>3952</v>
      </c>
      <c r="D2448" s="63" t="s">
        <v>77</v>
      </c>
      <c r="E2448" s="66"/>
      <c r="F2448" s="67">
        <v>3.0000000000000001E-3</v>
      </c>
      <c r="G2448" s="67">
        <v>2E-3</v>
      </c>
      <c r="H2448" s="63"/>
    </row>
    <row r="2449" spans="1:8" x14ac:dyDescent="0.25">
      <c r="A2449" s="63"/>
      <c r="B2449" s="63">
        <v>0</v>
      </c>
      <c r="C2449" s="63" t="s">
        <v>3952</v>
      </c>
      <c r="D2449" s="63" t="s">
        <v>77</v>
      </c>
      <c r="E2449" s="66">
        <v>3.0428788910505911</v>
      </c>
      <c r="F2449" s="67">
        <v>3.0000000000000001E-3</v>
      </c>
      <c r="G2449" s="67">
        <v>2E-3</v>
      </c>
      <c r="H2449" s="63"/>
    </row>
    <row r="2450" spans="1:8" x14ac:dyDescent="0.25">
      <c r="A2450" s="63"/>
      <c r="B2450" s="63">
        <v>0.25</v>
      </c>
      <c r="C2450" s="63" t="s">
        <v>1700</v>
      </c>
      <c r="D2450" s="63" t="s">
        <v>21</v>
      </c>
      <c r="E2450" s="66">
        <v>13.607259145888081</v>
      </c>
      <c r="F2450" s="67">
        <v>3.0000000000000001E-3</v>
      </c>
      <c r="G2450" s="67">
        <v>2E-3</v>
      </c>
      <c r="H2450" s="63"/>
    </row>
    <row r="2451" spans="1:8" x14ac:dyDescent="0.25">
      <c r="A2451" s="63"/>
      <c r="B2451" s="63">
        <v>0.5</v>
      </c>
      <c r="C2451" s="63" t="s">
        <v>1700</v>
      </c>
      <c r="D2451" s="63" t="s">
        <v>21</v>
      </c>
      <c r="E2451" s="66">
        <v>14.733295272816386</v>
      </c>
      <c r="F2451" s="67">
        <v>3.0000000000000001E-3</v>
      </c>
      <c r="G2451" s="67">
        <v>2E-3</v>
      </c>
      <c r="H2451" s="63"/>
    </row>
    <row r="2452" spans="1:8" x14ac:dyDescent="0.25">
      <c r="A2452" s="63"/>
      <c r="B2452" s="63">
        <v>0.75</v>
      </c>
      <c r="C2452" s="63" t="s">
        <v>1700</v>
      </c>
      <c r="D2452" s="63" t="s">
        <v>21</v>
      </c>
      <c r="E2452" s="66">
        <v>15.788683193475709</v>
      </c>
      <c r="F2452" s="67">
        <v>3.0000000000000001E-3</v>
      </c>
      <c r="G2452" s="67">
        <v>2E-3</v>
      </c>
      <c r="H2452" s="63"/>
    </row>
    <row r="2453" spans="1:8" x14ac:dyDescent="0.25">
      <c r="A2453" s="63"/>
      <c r="B2453" s="63">
        <v>1</v>
      </c>
      <c r="C2453" s="63" t="s">
        <v>1700</v>
      </c>
      <c r="D2453" s="63" t="s">
        <v>21</v>
      </c>
      <c r="E2453" s="66">
        <v>17.111707699516138</v>
      </c>
      <c r="F2453" s="67">
        <v>3.0000000000000001E-3</v>
      </c>
      <c r="G2453" s="67">
        <v>2E-3</v>
      </c>
      <c r="H2453" s="63"/>
    </row>
    <row r="2454" spans="1:8" x14ac:dyDescent="0.25">
      <c r="A2454" s="63"/>
      <c r="B2454" s="63">
        <v>2</v>
      </c>
      <c r="C2454" s="63" t="s">
        <v>1700</v>
      </c>
      <c r="D2454" s="63" t="s">
        <v>21</v>
      </c>
      <c r="E2454" s="66">
        <v>20.53297169020064</v>
      </c>
      <c r="F2454" s="67">
        <v>3.0000000000000001E-3</v>
      </c>
      <c r="G2454" s="67">
        <v>2E-3</v>
      </c>
      <c r="H2454" s="63"/>
    </row>
    <row r="2455" spans="1:8" x14ac:dyDescent="0.25">
      <c r="A2455" s="63"/>
      <c r="B2455" s="63">
        <v>3</v>
      </c>
      <c r="C2455" s="63" t="s">
        <v>1700</v>
      </c>
      <c r="D2455" s="63" t="s">
        <v>21</v>
      </c>
      <c r="E2455" s="66">
        <v>26.336331094847566</v>
      </c>
      <c r="F2455" s="67">
        <v>3.0000000000000001E-3</v>
      </c>
      <c r="G2455" s="67">
        <v>2E-3</v>
      </c>
      <c r="H2455" s="63"/>
    </row>
    <row r="2456" spans="1:8" x14ac:dyDescent="0.25">
      <c r="A2456" s="63"/>
      <c r="B2456" s="63">
        <v>4</v>
      </c>
      <c r="C2456" s="63" t="s">
        <v>1700</v>
      </c>
      <c r="D2456" s="63" t="s">
        <v>21</v>
      </c>
      <c r="E2456" s="66">
        <v>32.315392848576444</v>
      </c>
      <c r="F2456" s="67">
        <v>3.0000000000000001E-3</v>
      </c>
      <c r="G2456" s="67">
        <v>2E-3</v>
      </c>
      <c r="H2456" s="63"/>
    </row>
    <row r="2457" spans="1:8" x14ac:dyDescent="0.25">
      <c r="A2457" s="63"/>
      <c r="B2457" s="63">
        <v>5</v>
      </c>
      <c r="C2457" s="63" t="s">
        <v>1700</v>
      </c>
      <c r="D2457" s="63" t="s">
        <v>21</v>
      </c>
      <c r="E2457" s="66">
        <v>38.557417413791967</v>
      </c>
      <c r="F2457" s="67">
        <v>3.0000000000000001E-3</v>
      </c>
      <c r="G2457" s="67">
        <v>2E-3</v>
      </c>
      <c r="H2457" s="63"/>
    </row>
    <row r="2458" spans="1:8" x14ac:dyDescent="0.25">
      <c r="A2458" s="63"/>
      <c r="B2458" s="63">
        <v>6</v>
      </c>
      <c r="C2458" s="63" t="s">
        <v>1700</v>
      </c>
      <c r="D2458" s="63" t="s">
        <v>21</v>
      </c>
      <c r="E2458" s="66">
        <v>48.128361980460618</v>
      </c>
      <c r="F2458" s="67">
        <v>3.0000000000000001E-3</v>
      </c>
      <c r="G2458" s="67">
        <v>2E-3</v>
      </c>
      <c r="H2458" s="63"/>
    </row>
    <row r="2459" spans="1:8" x14ac:dyDescent="0.25">
      <c r="A2459" s="63"/>
      <c r="B2459" s="63">
        <v>7</v>
      </c>
      <c r="C2459" s="63" t="s">
        <v>1700</v>
      </c>
      <c r="D2459" s="63" t="s">
        <v>21</v>
      </c>
      <c r="E2459" s="66">
        <v>54.183868239231643</v>
      </c>
      <c r="F2459" s="67">
        <v>3.0000000000000001E-3</v>
      </c>
      <c r="G2459" s="67">
        <v>2E-3</v>
      </c>
      <c r="H2459" s="63"/>
    </row>
    <row r="2460" spans="1:8" x14ac:dyDescent="0.25">
      <c r="A2460" s="63"/>
      <c r="B2460" s="63">
        <v>8</v>
      </c>
      <c r="C2460" s="63" t="s">
        <v>1700</v>
      </c>
      <c r="D2460" s="63" t="s">
        <v>21</v>
      </c>
      <c r="E2460" s="66">
        <v>60.339831084023544</v>
      </c>
      <c r="F2460" s="67">
        <v>3.0000000000000001E-3</v>
      </c>
      <c r="G2460" s="67">
        <v>2E-3</v>
      </c>
      <c r="H2460" s="63"/>
    </row>
    <row r="2461" spans="1:8" x14ac:dyDescent="0.25">
      <c r="A2461" s="63"/>
      <c r="B2461" s="63">
        <v>9</v>
      </c>
      <c r="C2461" s="63" t="s">
        <v>1700</v>
      </c>
      <c r="D2461" s="63" t="s">
        <v>21</v>
      </c>
      <c r="E2461" s="66">
        <v>66.606296173438395</v>
      </c>
      <c r="F2461" s="67">
        <v>3.0000000000000001E-3</v>
      </c>
      <c r="G2461" s="67">
        <v>2E-3</v>
      </c>
      <c r="H2461" s="63"/>
    </row>
    <row r="2462" spans="1:8" x14ac:dyDescent="0.25">
      <c r="A2462" s="63"/>
      <c r="B2462" s="63">
        <v>10</v>
      </c>
      <c r="C2462" s="63" t="s">
        <v>1700</v>
      </c>
      <c r="D2462" s="63" t="s">
        <v>21</v>
      </c>
      <c r="E2462" s="66">
        <v>72.363977356539152</v>
      </c>
      <c r="F2462" s="67">
        <v>3.0000000000000001E-3</v>
      </c>
      <c r="G2462" s="67">
        <v>2E-3</v>
      </c>
      <c r="H2462" s="63"/>
    </row>
    <row r="2463" spans="1:8" x14ac:dyDescent="0.25">
      <c r="A2463" s="63"/>
      <c r="B2463" s="63">
        <v>11</v>
      </c>
      <c r="C2463" s="63" t="s">
        <v>1700</v>
      </c>
      <c r="D2463" s="63" t="s">
        <v>21</v>
      </c>
      <c r="E2463" s="66"/>
      <c r="F2463" s="67">
        <v>3.0000000000000001E-3</v>
      </c>
      <c r="G2463" s="67">
        <v>2E-3</v>
      </c>
      <c r="H2463" s="63"/>
    </row>
    <row r="2464" spans="1:8" x14ac:dyDescent="0.25">
      <c r="A2464" s="63"/>
      <c r="B2464" s="63">
        <v>12</v>
      </c>
      <c r="C2464" s="63" t="s">
        <v>1700</v>
      </c>
      <c r="D2464" s="63" t="s">
        <v>21</v>
      </c>
      <c r="E2464" s="66"/>
      <c r="F2464" s="67">
        <v>3.0000000000000001E-3</v>
      </c>
      <c r="G2464" s="67">
        <v>2E-3</v>
      </c>
      <c r="H2464" s="63"/>
    </row>
    <row r="2465" spans="1:8" x14ac:dyDescent="0.25">
      <c r="A2465" s="63"/>
      <c r="B2465" s="63">
        <v>13</v>
      </c>
      <c r="C2465" s="63" t="s">
        <v>1700</v>
      </c>
      <c r="D2465" s="63" t="s">
        <v>21</v>
      </c>
      <c r="E2465" s="66"/>
      <c r="F2465" s="67">
        <v>3.0000000000000001E-3</v>
      </c>
      <c r="G2465" s="67">
        <v>2E-3</v>
      </c>
      <c r="H2465" s="63"/>
    </row>
    <row r="2466" spans="1:8" x14ac:dyDescent="0.25">
      <c r="A2466" s="63"/>
      <c r="B2466" s="63">
        <v>14</v>
      </c>
      <c r="C2466" s="63" t="s">
        <v>1700</v>
      </c>
      <c r="D2466" s="63" t="s">
        <v>21</v>
      </c>
      <c r="E2466" s="66"/>
      <c r="F2466" s="67">
        <v>3.0000000000000001E-3</v>
      </c>
      <c r="G2466" s="67">
        <v>2E-3</v>
      </c>
      <c r="H2466" s="63"/>
    </row>
    <row r="2467" spans="1:8" x14ac:dyDescent="0.25">
      <c r="A2467" s="63"/>
      <c r="B2467" s="63">
        <v>15</v>
      </c>
      <c r="C2467" s="63" t="s">
        <v>1700</v>
      </c>
      <c r="D2467" s="63" t="s">
        <v>21</v>
      </c>
      <c r="E2467" s="66"/>
      <c r="F2467" s="67">
        <v>3.0000000000000001E-3</v>
      </c>
      <c r="G2467" s="67">
        <v>2E-3</v>
      </c>
      <c r="H2467" s="63"/>
    </row>
    <row r="2468" spans="1:8" x14ac:dyDescent="0.25">
      <c r="A2468" s="63"/>
      <c r="B2468" s="63">
        <v>16</v>
      </c>
      <c r="C2468" s="63" t="s">
        <v>1700</v>
      </c>
      <c r="D2468" s="63" t="s">
        <v>21</v>
      </c>
      <c r="E2468" s="66"/>
      <c r="F2468" s="67">
        <v>3.0000000000000001E-3</v>
      </c>
      <c r="G2468" s="67">
        <v>2E-3</v>
      </c>
      <c r="H2468" s="63"/>
    </row>
    <row r="2469" spans="1:8" x14ac:dyDescent="0.25">
      <c r="A2469" s="63"/>
      <c r="B2469" s="63">
        <v>17</v>
      </c>
      <c r="C2469" s="63" t="s">
        <v>1700</v>
      </c>
      <c r="D2469" s="63" t="s">
        <v>21</v>
      </c>
      <c r="E2469" s="66"/>
      <c r="F2469" s="67">
        <v>3.0000000000000001E-3</v>
      </c>
      <c r="G2469" s="67">
        <v>2E-3</v>
      </c>
      <c r="H2469" s="63"/>
    </row>
    <row r="2470" spans="1:8" x14ac:dyDescent="0.25">
      <c r="A2470" s="63"/>
      <c r="B2470" s="63">
        <v>18</v>
      </c>
      <c r="C2470" s="63" t="s">
        <v>1700</v>
      </c>
      <c r="D2470" s="63" t="s">
        <v>21</v>
      </c>
      <c r="E2470" s="66"/>
      <c r="F2470" s="67">
        <v>3.0000000000000001E-3</v>
      </c>
      <c r="G2470" s="67">
        <v>2E-3</v>
      </c>
      <c r="H2470" s="63"/>
    </row>
    <row r="2471" spans="1:8" x14ac:dyDescent="0.25">
      <c r="A2471" s="63"/>
      <c r="B2471" s="63">
        <v>19</v>
      </c>
      <c r="C2471" s="63" t="s">
        <v>1700</v>
      </c>
      <c r="D2471" s="63" t="s">
        <v>21</v>
      </c>
      <c r="E2471" s="66"/>
      <c r="F2471" s="67">
        <v>3.0000000000000001E-3</v>
      </c>
      <c r="G2471" s="67">
        <v>2E-3</v>
      </c>
      <c r="H2471" s="63"/>
    </row>
    <row r="2472" spans="1:8" x14ac:dyDescent="0.25">
      <c r="A2472" s="63"/>
      <c r="B2472" s="63">
        <v>20</v>
      </c>
      <c r="C2472" s="63" t="s">
        <v>1700</v>
      </c>
      <c r="D2472" s="63" t="s">
        <v>21</v>
      </c>
      <c r="E2472" s="66"/>
      <c r="F2472" s="67">
        <v>3.0000000000000001E-3</v>
      </c>
      <c r="G2472" s="67">
        <v>2E-3</v>
      </c>
      <c r="H2472" s="63"/>
    </row>
    <row r="2473" spans="1:8" x14ac:dyDescent="0.25">
      <c r="A2473" s="63"/>
      <c r="B2473" s="63">
        <v>21</v>
      </c>
      <c r="C2473" s="63" t="s">
        <v>1700</v>
      </c>
      <c r="D2473" s="63" t="s">
        <v>21</v>
      </c>
      <c r="E2473" s="66"/>
      <c r="F2473" s="67">
        <v>3.0000000000000001E-3</v>
      </c>
      <c r="G2473" s="67">
        <v>2E-3</v>
      </c>
      <c r="H2473" s="63"/>
    </row>
    <row r="2474" spans="1:8" x14ac:dyDescent="0.25">
      <c r="A2474" s="63"/>
      <c r="B2474" s="63">
        <v>22</v>
      </c>
      <c r="C2474" s="63" t="s">
        <v>1700</v>
      </c>
      <c r="D2474" s="63" t="s">
        <v>21</v>
      </c>
      <c r="E2474" s="66"/>
      <c r="F2474" s="67">
        <v>3.0000000000000001E-3</v>
      </c>
      <c r="G2474" s="67">
        <v>2E-3</v>
      </c>
      <c r="H2474" s="63"/>
    </row>
    <row r="2475" spans="1:8" x14ac:dyDescent="0.25">
      <c r="A2475" s="63"/>
      <c r="B2475" s="63">
        <v>23</v>
      </c>
      <c r="C2475" s="63" t="s">
        <v>1700</v>
      </c>
      <c r="D2475" s="63" t="s">
        <v>21</v>
      </c>
      <c r="E2475" s="66"/>
      <c r="F2475" s="67">
        <v>3.0000000000000001E-3</v>
      </c>
      <c r="G2475" s="67">
        <v>2E-3</v>
      </c>
      <c r="H2475" s="63"/>
    </row>
    <row r="2476" spans="1:8" x14ac:dyDescent="0.25">
      <c r="A2476" s="63"/>
      <c r="B2476" s="63">
        <v>24</v>
      </c>
      <c r="C2476" s="63" t="s">
        <v>1700</v>
      </c>
      <c r="D2476" s="63" t="s">
        <v>21</v>
      </c>
      <c r="E2476" s="66"/>
      <c r="F2476" s="67">
        <v>3.0000000000000001E-3</v>
      </c>
      <c r="G2476" s="67">
        <v>2E-3</v>
      </c>
      <c r="H2476" s="63"/>
    </row>
    <row r="2477" spans="1:8" x14ac:dyDescent="0.25">
      <c r="A2477" s="63"/>
      <c r="B2477" s="63">
        <v>25</v>
      </c>
      <c r="C2477" s="63" t="s">
        <v>1700</v>
      </c>
      <c r="D2477" s="63" t="s">
        <v>21</v>
      </c>
      <c r="E2477" s="66"/>
      <c r="F2477" s="67">
        <v>3.0000000000000001E-3</v>
      </c>
      <c r="G2477" s="67">
        <v>2E-3</v>
      </c>
      <c r="H2477" s="63"/>
    </row>
    <row r="2478" spans="1:8" x14ac:dyDescent="0.25">
      <c r="A2478" s="63"/>
      <c r="B2478" s="63">
        <v>26</v>
      </c>
      <c r="C2478" s="63" t="s">
        <v>1700</v>
      </c>
      <c r="D2478" s="63" t="s">
        <v>21</v>
      </c>
      <c r="E2478" s="66"/>
      <c r="F2478" s="67">
        <v>3.0000000000000001E-3</v>
      </c>
      <c r="G2478" s="67">
        <v>2E-3</v>
      </c>
      <c r="H2478" s="63"/>
    </row>
    <row r="2479" spans="1:8" x14ac:dyDescent="0.25">
      <c r="A2479" s="63"/>
      <c r="B2479" s="63">
        <v>27</v>
      </c>
      <c r="C2479" s="63" t="s">
        <v>1700</v>
      </c>
      <c r="D2479" s="63" t="s">
        <v>21</v>
      </c>
      <c r="E2479" s="66"/>
      <c r="F2479" s="67">
        <v>3.0000000000000001E-3</v>
      </c>
      <c r="G2479" s="67">
        <v>2E-3</v>
      </c>
      <c r="H2479" s="63"/>
    </row>
    <row r="2480" spans="1:8" x14ac:dyDescent="0.25">
      <c r="A2480" s="63"/>
      <c r="B2480" s="63">
        <v>28</v>
      </c>
      <c r="C2480" s="63" t="s">
        <v>1700</v>
      </c>
      <c r="D2480" s="63" t="s">
        <v>21</v>
      </c>
      <c r="E2480" s="66"/>
      <c r="F2480" s="67">
        <v>3.0000000000000001E-3</v>
      </c>
      <c r="G2480" s="67">
        <v>2E-3</v>
      </c>
      <c r="H2480" s="63"/>
    </row>
    <row r="2481" spans="1:8" x14ac:dyDescent="0.25">
      <c r="A2481" s="63"/>
      <c r="B2481" s="63">
        <v>29</v>
      </c>
      <c r="C2481" s="63" t="s">
        <v>1700</v>
      </c>
      <c r="D2481" s="63" t="s">
        <v>21</v>
      </c>
      <c r="E2481" s="66"/>
      <c r="F2481" s="67">
        <v>3.0000000000000001E-3</v>
      </c>
      <c r="G2481" s="67">
        <v>2E-3</v>
      </c>
      <c r="H2481" s="63"/>
    </row>
    <row r="2482" spans="1:8" x14ac:dyDescent="0.25">
      <c r="A2482" s="63"/>
      <c r="B2482" s="63">
        <v>30</v>
      </c>
      <c r="C2482" s="63" t="s">
        <v>1700</v>
      </c>
      <c r="D2482" s="63" t="s">
        <v>21</v>
      </c>
      <c r="E2482" s="66"/>
      <c r="F2482" s="67">
        <v>3.0000000000000001E-3</v>
      </c>
      <c r="G2482" s="67">
        <v>2E-3</v>
      </c>
      <c r="H2482" s="63"/>
    </row>
    <row r="2483" spans="1:8" x14ac:dyDescent="0.25">
      <c r="A2483" s="63"/>
      <c r="B2483" s="63">
        <v>0</v>
      </c>
      <c r="C2483" s="63" t="s">
        <v>1700</v>
      </c>
      <c r="D2483" s="63" t="s">
        <v>21</v>
      </c>
      <c r="E2483" s="66">
        <v>3.0428788910505911</v>
      </c>
      <c r="F2483" s="67">
        <v>3.0000000000000001E-3</v>
      </c>
      <c r="G2483" s="67">
        <v>2E-3</v>
      </c>
      <c r="H2483" s="63"/>
    </row>
    <row r="2484" spans="1:8" x14ac:dyDescent="0.25">
      <c r="A2484" s="63"/>
      <c r="B2484" s="63">
        <v>0.25</v>
      </c>
      <c r="C2484" s="63" t="s">
        <v>1700</v>
      </c>
      <c r="D2484" s="63" t="s">
        <v>62</v>
      </c>
      <c r="E2484" s="66">
        <v>18.830425793781675</v>
      </c>
      <c r="F2484" s="67">
        <v>3.0000000000000001E-3</v>
      </c>
      <c r="G2484" s="67">
        <v>2E-3</v>
      </c>
      <c r="H2484" s="63"/>
    </row>
    <row r="2485" spans="1:8" x14ac:dyDescent="0.25">
      <c r="A2485" s="63"/>
      <c r="B2485" s="63">
        <v>0.5</v>
      </c>
      <c r="C2485" s="63" t="s">
        <v>1700</v>
      </c>
      <c r="D2485" s="63" t="s">
        <v>62</v>
      </c>
      <c r="E2485" s="66">
        <v>20.26742485247707</v>
      </c>
      <c r="F2485" s="67">
        <v>3.0000000000000001E-3</v>
      </c>
      <c r="G2485" s="67">
        <v>2E-3</v>
      </c>
      <c r="H2485" s="63"/>
    </row>
    <row r="2486" spans="1:8" x14ac:dyDescent="0.25">
      <c r="A2486" s="63"/>
      <c r="B2486" s="63">
        <v>0.75</v>
      </c>
      <c r="C2486" s="63" t="s">
        <v>1700</v>
      </c>
      <c r="D2486" s="63" t="s">
        <v>62</v>
      </c>
      <c r="E2486" s="66">
        <v>22.358597663519866</v>
      </c>
      <c r="F2486" s="67">
        <v>3.0000000000000001E-3</v>
      </c>
      <c r="G2486" s="67">
        <v>2E-3</v>
      </c>
      <c r="H2486" s="63"/>
    </row>
    <row r="2487" spans="1:8" x14ac:dyDescent="0.25">
      <c r="A2487" s="63"/>
      <c r="B2487" s="63">
        <v>1</v>
      </c>
      <c r="C2487" s="63" t="s">
        <v>1700</v>
      </c>
      <c r="D2487" s="63" t="s">
        <v>62</v>
      </c>
      <c r="E2487" s="66">
        <v>24.596422700701293</v>
      </c>
      <c r="F2487" s="67">
        <v>3.0000000000000001E-3</v>
      </c>
      <c r="G2487" s="67">
        <v>2E-3</v>
      </c>
      <c r="H2487" s="63"/>
    </row>
    <row r="2488" spans="1:8" x14ac:dyDescent="0.25">
      <c r="A2488" s="63"/>
      <c r="B2488" s="63">
        <v>2</v>
      </c>
      <c r="C2488" s="63" t="s">
        <v>1700</v>
      </c>
      <c r="D2488" s="63" t="s">
        <v>62</v>
      </c>
      <c r="E2488" s="66">
        <v>30.062806972770321</v>
      </c>
      <c r="F2488" s="67">
        <v>3.0000000000000001E-3</v>
      </c>
      <c r="G2488" s="67">
        <v>2E-3</v>
      </c>
      <c r="H2488" s="63"/>
    </row>
    <row r="2489" spans="1:8" x14ac:dyDescent="0.25">
      <c r="A2489" s="63"/>
      <c r="B2489" s="63">
        <v>3</v>
      </c>
      <c r="C2489" s="63" t="s">
        <v>1700</v>
      </c>
      <c r="D2489" s="63" t="s">
        <v>62</v>
      </c>
      <c r="E2489" s="66">
        <v>36.258834158198169</v>
      </c>
      <c r="F2489" s="67">
        <v>3.0000000000000001E-3</v>
      </c>
      <c r="G2489" s="67">
        <v>2E-3</v>
      </c>
      <c r="H2489" s="63"/>
    </row>
    <row r="2490" spans="1:8" x14ac:dyDescent="0.25">
      <c r="A2490" s="63"/>
      <c r="B2490" s="63">
        <v>4</v>
      </c>
      <c r="C2490" s="63" t="s">
        <v>1700</v>
      </c>
      <c r="D2490" s="63" t="s">
        <v>62</v>
      </c>
      <c r="E2490" s="66">
        <v>42.662152333319682</v>
      </c>
      <c r="F2490" s="67">
        <v>3.0000000000000001E-3</v>
      </c>
      <c r="G2490" s="67">
        <v>2E-3</v>
      </c>
      <c r="H2490" s="63"/>
    </row>
    <row r="2491" spans="1:8" x14ac:dyDescent="0.25">
      <c r="A2491" s="63"/>
      <c r="B2491" s="63">
        <v>5</v>
      </c>
      <c r="C2491" s="63" t="s">
        <v>1700</v>
      </c>
      <c r="D2491" s="63" t="s">
        <v>62</v>
      </c>
      <c r="E2491" s="66">
        <v>49.337721288156033</v>
      </c>
      <c r="F2491" s="67">
        <v>3.0000000000000001E-3</v>
      </c>
      <c r="G2491" s="67">
        <v>2E-3</v>
      </c>
      <c r="H2491" s="63"/>
    </row>
    <row r="2492" spans="1:8" x14ac:dyDescent="0.25">
      <c r="A2492" s="63"/>
      <c r="B2492" s="63">
        <v>6</v>
      </c>
      <c r="C2492" s="63" t="s">
        <v>1700</v>
      </c>
      <c r="D2492" s="63" t="s">
        <v>62</v>
      </c>
      <c r="E2492" s="66">
        <v>56.175614623482943</v>
      </c>
      <c r="F2492" s="67">
        <v>3.0000000000000001E-3</v>
      </c>
      <c r="G2492" s="67">
        <v>2E-3</v>
      </c>
      <c r="H2492" s="63"/>
    </row>
    <row r="2493" spans="1:8" x14ac:dyDescent="0.25">
      <c r="A2493" s="63"/>
      <c r="B2493" s="63">
        <v>7</v>
      </c>
      <c r="C2493" s="63" t="s">
        <v>1700</v>
      </c>
      <c r="D2493" s="63" t="s">
        <v>62</v>
      </c>
      <c r="E2493" s="66">
        <v>63.196712014029359</v>
      </c>
      <c r="F2493" s="67">
        <v>3.0000000000000001E-3</v>
      </c>
      <c r="G2493" s="67">
        <v>2E-3</v>
      </c>
      <c r="H2493" s="63"/>
    </row>
    <row r="2494" spans="1:8" x14ac:dyDescent="0.25">
      <c r="A2494" s="63"/>
      <c r="B2494" s="63">
        <v>8</v>
      </c>
      <c r="C2494" s="63" t="s">
        <v>1700</v>
      </c>
      <c r="D2494" s="63" t="s">
        <v>62</v>
      </c>
      <c r="E2494" s="66">
        <v>70.424649784246597</v>
      </c>
      <c r="F2494" s="67">
        <v>3.0000000000000001E-3</v>
      </c>
      <c r="G2494" s="67">
        <v>2E-3</v>
      </c>
      <c r="H2494" s="63"/>
    </row>
    <row r="2495" spans="1:8" x14ac:dyDescent="0.25">
      <c r="A2495" s="63"/>
      <c r="B2495" s="63">
        <v>9</v>
      </c>
      <c r="C2495" s="63" t="s">
        <v>1700</v>
      </c>
      <c r="D2495" s="63" t="s">
        <v>62</v>
      </c>
      <c r="E2495" s="66">
        <v>77.342680781352584</v>
      </c>
      <c r="F2495" s="67">
        <v>3.0000000000000001E-3</v>
      </c>
      <c r="G2495" s="67">
        <v>2E-3</v>
      </c>
      <c r="H2495" s="63"/>
    </row>
    <row r="2496" spans="1:8" x14ac:dyDescent="0.25">
      <c r="A2496" s="63"/>
      <c r="B2496" s="63">
        <v>10</v>
      </c>
      <c r="C2496" s="63" t="s">
        <v>1700</v>
      </c>
      <c r="D2496" s="63" t="s">
        <v>62</v>
      </c>
      <c r="E2496" s="66">
        <v>84.743447231394711</v>
      </c>
      <c r="F2496" s="67">
        <v>3.0000000000000001E-3</v>
      </c>
      <c r="G2496" s="67">
        <v>2E-3</v>
      </c>
      <c r="H2496" s="63"/>
    </row>
    <row r="2497" spans="1:8" x14ac:dyDescent="0.25">
      <c r="A2497" s="63"/>
      <c r="B2497" s="63">
        <v>11</v>
      </c>
      <c r="C2497" s="63" t="s">
        <v>1700</v>
      </c>
      <c r="D2497" s="63" t="s">
        <v>62</v>
      </c>
      <c r="E2497" s="66"/>
      <c r="F2497" s="67">
        <v>3.0000000000000001E-3</v>
      </c>
      <c r="G2497" s="67">
        <v>2E-3</v>
      </c>
      <c r="H2497" s="63"/>
    </row>
    <row r="2498" spans="1:8" x14ac:dyDescent="0.25">
      <c r="A2498" s="63"/>
      <c r="B2498" s="63">
        <v>12</v>
      </c>
      <c r="C2498" s="63" t="s">
        <v>1700</v>
      </c>
      <c r="D2498" s="63" t="s">
        <v>62</v>
      </c>
      <c r="E2498" s="66"/>
      <c r="F2498" s="67">
        <v>3.0000000000000001E-3</v>
      </c>
      <c r="G2498" s="67">
        <v>2E-3</v>
      </c>
      <c r="H2498" s="63"/>
    </row>
    <row r="2499" spans="1:8" x14ac:dyDescent="0.25">
      <c r="A2499" s="63"/>
      <c r="B2499" s="63">
        <v>13</v>
      </c>
      <c r="C2499" s="63" t="s">
        <v>1700</v>
      </c>
      <c r="D2499" s="63" t="s">
        <v>62</v>
      </c>
      <c r="E2499" s="66"/>
      <c r="F2499" s="67">
        <v>3.0000000000000001E-3</v>
      </c>
      <c r="G2499" s="67">
        <v>2E-3</v>
      </c>
      <c r="H2499" s="63"/>
    </row>
    <row r="2500" spans="1:8" x14ac:dyDescent="0.25">
      <c r="A2500" s="63"/>
      <c r="B2500" s="63">
        <v>14</v>
      </c>
      <c r="C2500" s="63" t="s">
        <v>1700</v>
      </c>
      <c r="D2500" s="63" t="s">
        <v>62</v>
      </c>
      <c r="E2500" s="66"/>
      <c r="F2500" s="67">
        <v>3.0000000000000001E-3</v>
      </c>
      <c r="G2500" s="67">
        <v>2E-3</v>
      </c>
      <c r="H2500" s="63"/>
    </row>
    <row r="2501" spans="1:8" x14ac:dyDescent="0.25">
      <c r="A2501" s="63"/>
      <c r="B2501" s="63">
        <v>15</v>
      </c>
      <c r="C2501" s="63" t="s">
        <v>1700</v>
      </c>
      <c r="D2501" s="63" t="s">
        <v>62</v>
      </c>
      <c r="E2501" s="66"/>
      <c r="F2501" s="67">
        <v>3.0000000000000001E-3</v>
      </c>
      <c r="G2501" s="67">
        <v>2E-3</v>
      </c>
      <c r="H2501" s="63"/>
    </row>
    <row r="2502" spans="1:8" x14ac:dyDescent="0.25">
      <c r="A2502" s="63"/>
      <c r="B2502" s="63">
        <v>16</v>
      </c>
      <c r="C2502" s="63" t="s">
        <v>1700</v>
      </c>
      <c r="D2502" s="63" t="s">
        <v>62</v>
      </c>
      <c r="E2502" s="66"/>
      <c r="F2502" s="67">
        <v>3.0000000000000001E-3</v>
      </c>
      <c r="G2502" s="67">
        <v>2E-3</v>
      </c>
      <c r="H2502" s="63"/>
    </row>
    <row r="2503" spans="1:8" x14ac:dyDescent="0.25">
      <c r="A2503" s="63"/>
      <c r="B2503" s="63">
        <v>17</v>
      </c>
      <c r="C2503" s="63" t="s">
        <v>1700</v>
      </c>
      <c r="D2503" s="63" t="s">
        <v>62</v>
      </c>
      <c r="E2503" s="66"/>
      <c r="F2503" s="67">
        <v>3.0000000000000001E-3</v>
      </c>
      <c r="G2503" s="67">
        <v>2E-3</v>
      </c>
      <c r="H2503" s="63"/>
    </row>
    <row r="2504" spans="1:8" x14ac:dyDescent="0.25">
      <c r="A2504" s="63"/>
      <c r="B2504" s="63">
        <v>18</v>
      </c>
      <c r="C2504" s="63" t="s">
        <v>1700</v>
      </c>
      <c r="D2504" s="63" t="s">
        <v>62</v>
      </c>
      <c r="E2504" s="66"/>
      <c r="F2504" s="67">
        <v>3.0000000000000001E-3</v>
      </c>
      <c r="G2504" s="67">
        <v>2E-3</v>
      </c>
      <c r="H2504" s="63"/>
    </row>
    <row r="2505" spans="1:8" x14ac:dyDescent="0.25">
      <c r="A2505" s="63"/>
      <c r="B2505" s="63">
        <v>19</v>
      </c>
      <c r="C2505" s="63" t="s">
        <v>1700</v>
      </c>
      <c r="D2505" s="63" t="s">
        <v>62</v>
      </c>
      <c r="E2505" s="66"/>
      <c r="F2505" s="67">
        <v>3.0000000000000001E-3</v>
      </c>
      <c r="G2505" s="67">
        <v>2E-3</v>
      </c>
      <c r="H2505" s="63"/>
    </row>
    <row r="2506" spans="1:8" x14ac:dyDescent="0.25">
      <c r="A2506" s="63"/>
      <c r="B2506" s="63">
        <v>20</v>
      </c>
      <c r="C2506" s="63" t="s">
        <v>1700</v>
      </c>
      <c r="D2506" s="63" t="s">
        <v>62</v>
      </c>
      <c r="E2506" s="66"/>
      <c r="F2506" s="67">
        <v>3.0000000000000001E-3</v>
      </c>
      <c r="G2506" s="67">
        <v>2E-3</v>
      </c>
      <c r="H2506" s="63"/>
    </row>
    <row r="2507" spans="1:8" x14ac:dyDescent="0.25">
      <c r="A2507" s="63"/>
      <c r="B2507" s="63">
        <v>21</v>
      </c>
      <c r="C2507" s="63" t="s">
        <v>1700</v>
      </c>
      <c r="D2507" s="63" t="s">
        <v>62</v>
      </c>
      <c r="E2507" s="66"/>
      <c r="F2507" s="67">
        <v>3.0000000000000001E-3</v>
      </c>
      <c r="G2507" s="67">
        <v>2E-3</v>
      </c>
      <c r="H2507" s="63"/>
    </row>
    <row r="2508" spans="1:8" x14ac:dyDescent="0.25">
      <c r="A2508" s="63"/>
      <c r="B2508" s="63">
        <v>22</v>
      </c>
      <c r="C2508" s="63" t="s">
        <v>1700</v>
      </c>
      <c r="D2508" s="63" t="s">
        <v>62</v>
      </c>
      <c r="E2508" s="66"/>
      <c r="F2508" s="67">
        <v>3.0000000000000001E-3</v>
      </c>
      <c r="G2508" s="67">
        <v>2E-3</v>
      </c>
      <c r="H2508" s="63"/>
    </row>
    <row r="2509" spans="1:8" x14ac:dyDescent="0.25">
      <c r="A2509" s="63"/>
      <c r="B2509" s="63">
        <v>23</v>
      </c>
      <c r="C2509" s="63" t="s">
        <v>1700</v>
      </c>
      <c r="D2509" s="63" t="s">
        <v>62</v>
      </c>
      <c r="E2509" s="66"/>
      <c r="F2509" s="67">
        <v>3.0000000000000001E-3</v>
      </c>
      <c r="G2509" s="67">
        <v>2E-3</v>
      </c>
      <c r="H2509" s="63"/>
    </row>
    <row r="2510" spans="1:8" x14ac:dyDescent="0.25">
      <c r="A2510" s="63"/>
      <c r="B2510" s="63">
        <v>24</v>
      </c>
      <c r="C2510" s="63" t="s">
        <v>1700</v>
      </c>
      <c r="D2510" s="63" t="s">
        <v>62</v>
      </c>
      <c r="E2510" s="66"/>
      <c r="F2510" s="67">
        <v>3.0000000000000001E-3</v>
      </c>
      <c r="G2510" s="67">
        <v>2E-3</v>
      </c>
      <c r="H2510" s="63"/>
    </row>
    <row r="2511" spans="1:8" x14ac:dyDescent="0.25">
      <c r="A2511" s="63"/>
      <c r="B2511" s="63">
        <v>25</v>
      </c>
      <c r="C2511" s="63" t="s">
        <v>1700</v>
      </c>
      <c r="D2511" s="63" t="s">
        <v>62</v>
      </c>
      <c r="E2511" s="66"/>
      <c r="F2511" s="67">
        <v>3.0000000000000001E-3</v>
      </c>
      <c r="G2511" s="67">
        <v>2E-3</v>
      </c>
      <c r="H2511" s="63"/>
    </row>
    <row r="2512" spans="1:8" x14ac:dyDescent="0.25">
      <c r="A2512" s="63"/>
      <c r="B2512" s="63">
        <v>26</v>
      </c>
      <c r="C2512" s="63" t="s">
        <v>1700</v>
      </c>
      <c r="D2512" s="63" t="s">
        <v>62</v>
      </c>
      <c r="E2512" s="66"/>
      <c r="F2512" s="67">
        <v>3.0000000000000001E-3</v>
      </c>
      <c r="G2512" s="67">
        <v>2E-3</v>
      </c>
      <c r="H2512" s="63"/>
    </row>
    <row r="2513" spans="1:8" x14ac:dyDescent="0.25">
      <c r="A2513" s="63"/>
      <c r="B2513" s="63">
        <v>27</v>
      </c>
      <c r="C2513" s="63" t="s">
        <v>1700</v>
      </c>
      <c r="D2513" s="63" t="s">
        <v>62</v>
      </c>
      <c r="E2513" s="66"/>
      <c r="F2513" s="67">
        <v>3.0000000000000001E-3</v>
      </c>
      <c r="G2513" s="67">
        <v>2E-3</v>
      </c>
      <c r="H2513" s="63"/>
    </row>
    <row r="2514" spans="1:8" x14ac:dyDescent="0.25">
      <c r="A2514" s="63"/>
      <c r="B2514" s="63">
        <v>28</v>
      </c>
      <c r="C2514" s="63" t="s">
        <v>1700</v>
      </c>
      <c r="D2514" s="63" t="s">
        <v>62</v>
      </c>
      <c r="E2514" s="66"/>
      <c r="F2514" s="67">
        <v>3.0000000000000001E-3</v>
      </c>
      <c r="G2514" s="67">
        <v>2E-3</v>
      </c>
      <c r="H2514" s="63"/>
    </row>
    <row r="2515" spans="1:8" x14ac:dyDescent="0.25">
      <c r="A2515" s="63"/>
      <c r="B2515" s="63">
        <v>29</v>
      </c>
      <c r="C2515" s="63" t="s">
        <v>1700</v>
      </c>
      <c r="D2515" s="63" t="s">
        <v>62</v>
      </c>
      <c r="E2515" s="66"/>
      <c r="F2515" s="67">
        <v>3.0000000000000001E-3</v>
      </c>
      <c r="G2515" s="67">
        <v>2E-3</v>
      </c>
      <c r="H2515" s="63"/>
    </row>
    <row r="2516" spans="1:8" x14ac:dyDescent="0.25">
      <c r="A2516" s="63"/>
      <c r="B2516" s="63">
        <v>30</v>
      </c>
      <c r="C2516" s="63" t="s">
        <v>1700</v>
      </c>
      <c r="D2516" s="63" t="s">
        <v>62</v>
      </c>
      <c r="E2516" s="66"/>
      <c r="F2516" s="67">
        <v>3.0000000000000001E-3</v>
      </c>
      <c r="G2516" s="67">
        <v>2E-3</v>
      </c>
      <c r="H2516" s="63"/>
    </row>
    <row r="2517" spans="1:8" x14ac:dyDescent="0.25">
      <c r="A2517" s="63"/>
      <c r="B2517" s="63">
        <v>0</v>
      </c>
      <c r="C2517" s="63" t="s">
        <v>1700</v>
      </c>
      <c r="D2517" s="63" t="s">
        <v>62</v>
      </c>
      <c r="E2517" s="66">
        <v>3.0428788910505911</v>
      </c>
      <c r="F2517" s="67">
        <v>3.0000000000000001E-3</v>
      </c>
      <c r="G2517" s="67">
        <v>2E-3</v>
      </c>
      <c r="H2517" s="63"/>
    </row>
    <row r="2518" spans="1:8" x14ac:dyDescent="0.25">
      <c r="A2518" s="63"/>
      <c r="B2518" s="63">
        <v>0.25</v>
      </c>
      <c r="C2518" s="63" t="s">
        <v>1700</v>
      </c>
      <c r="D2518" s="63" t="s">
        <v>64</v>
      </c>
      <c r="E2518" s="66">
        <v>22.933916850949441</v>
      </c>
      <c r="F2518" s="67">
        <v>3.0000000000000001E-3</v>
      </c>
      <c r="G2518" s="67">
        <v>2E-3</v>
      </c>
      <c r="H2518" s="63"/>
    </row>
    <row r="2519" spans="1:8" x14ac:dyDescent="0.25">
      <c r="A2519" s="63"/>
      <c r="B2519" s="63">
        <v>0.5</v>
      </c>
      <c r="C2519" s="63" t="s">
        <v>1700</v>
      </c>
      <c r="D2519" s="63" t="s">
        <v>64</v>
      </c>
      <c r="E2519" s="66">
        <v>25.173745848546066</v>
      </c>
      <c r="F2519" s="67">
        <v>3.0000000000000001E-3</v>
      </c>
      <c r="G2519" s="67">
        <v>2E-3</v>
      </c>
      <c r="H2519" s="63"/>
    </row>
    <row r="2520" spans="1:8" x14ac:dyDescent="0.25">
      <c r="A2520" s="63"/>
      <c r="B2520" s="63">
        <v>0.75</v>
      </c>
      <c r="C2520" s="63" t="s">
        <v>1700</v>
      </c>
      <c r="D2520" s="63" t="s">
        <v>64</v>
      </c>
      <c r="E2520" s="66">
        <v>27.641690539343774</v>
      </c>
      <c r="F2520" s="67">
        <v>3.0000000000000001E-3</v>
      </c>
      <c r="G2520" s="67">
        <v>2E-3</v>
      </c>
      <c r="H2520" s="63"/>
    </row>
    <row r="2521" spans="1:8" x14ac:dyDescent="0.25">
      <c r="A2521" s="63"/>
      <c r="B2521" s="63">
        <v>1</v>
      </c>
      <c r="C2521" s="63" t="s">
        <v>1700</v>
      </c>
      <c r="D2521" s="63" t="s">
        <v>64</v>
      </c>
      <c r="E2521" s="66">
        <v>29.730378573928668</v>
      </c>
      <c r="F2521" s="67">
        <v>3.0000000000000001E-3</v>
      </c>
      <c r="G2521" s="67">
        <v>2E-3</v>
      </c>
      <c r="H2521" s="63"/>
    </row>
    <row r="2522" spans="1:8" x14ac:dyDescent="0.25">
      <c r="A2522" s="63"/>
      <c r="B2522" s="63">
        <v>2</v>
      </c>
      <c r="C2522" s="63" t="s">
        <v>1700</v>
      </c>
      <c r="D2522" s="63" t="s">
        <v>64</v>
      </c>
      <c r="E2522" s="66">
        <v>36.183590217329723</v>
      </c>
      <c r="F2522" s="67">
        <v>3.0000000000000001E-3</v>
      </c>
      <c r="G2522" s="67">
        <v>2E-3</v>
      </c>
      <c r="H2522" s="63"/>
    </row>
    <row r="2523" spans="1:8" x14ac:dyDescent="0.25">
      <c r="A2523" s="63"/>
      <c r="B2523" s="63">
        <v>3</v>
      </c>
      <c r="C2523" s="63" t="s">
        <v>1700</v>
      </c>
      <c r="D2523" s="63" t="s">
        <v>64</v>
      </c>
      <c r="E2523" s="66">
        <v>43.522810559209468</v>
      </c>
      <c r="F2523" s="67">
        <v>3.0000000000000001E-3</v>
      </c>
      <c r="G2523" s="67">
        <v>2E-3</v>
      </c>
      <c r="H2523" s="63"/>
    </row>
    <row r="2524" spans="1:8" x14ac:dyDescent="0.25">
      <c r="A2524" s="63"/>
      <c r="B2524" s="63">
        <v>4</v>
      </c>
      <c r="C2524" s="63" t="s">
        <v>1700</v>
      </c>
      <c r="D2524" s="63" t="s">
        <v>64</v>
      </c>
      <c r="E2524" s="66">
        <v>50.960858783530121</v>
      </c>
      <c r="F2524" s="67">
        <v>3.0000000000000001E-3</v>
      </c>
      <c r="G2524" s="67">
        <v>2E-3</v>
      </c>
      <c r="H2524" s="63"/>
    </row>
    <row r="2525" spans="1:8" x14ac:dyDescent="0.25">
      <c r="A2525" s="63"/>
      <c r="B2525" s="63">
        <v>5</v>
      </c>
      <c r="C2525" s="63" t="s">
        <v>1700</v>
      </c>
      <c r="D2525" s="63" t="s">
        <v>64</v>
      </c>
      <c r="E2525" s="66">
        <v>58.507617678535738</v>
      </c>
      <c r="F2525" s="67">
        <v>3.0000000000000001E-3</v>
      </c>
      <c r="G2525" s="67">
        <v>2E-3</v>
      </c>
      <c r="H2525" s="63"/>
    </row>
    <row r="2526" spans="1:8" x14ac:dyDescent="0.25">
      <c r="A2526" s="63"/>
      <c r="B2526" s="63">
        <v>6</v>
      </c>
      <c r="C2526" s="63" t="s">
        <v>1700</v>
      </c>
      <c r="D2526" s="63" t="s">
        <v>64</v>
      </c>
      <c r="E2526" s="66">
        <v>68.105109643716474</v>
      </c>
      <c r="F2526" s="67">
        <v>3.0000000000000001E-3</v>
      </c>
      <c r="G2526" s="67">
        <v>2E-3</v>
      </c>
      <c r="H2526" s="63"/>
    </row>
    <row r="2527" spans="1:8" x14ac:dyDescent="0.25">
      <c r="A2527" s="63"/>
      <c r="B2527" s="63">
        <v>7</v>
      </c>
      <c r="C2527" s="63" t="s">
        <v>1700</v>
      </c>
      <c r="D2527" s="63" t="s">
        <v>64</v>
      </c>
      <c r="E2527" s="66">
        <v>75.132723269302929</v>
      </c>
      <c r="F2527" s="67">
        <v>3.0000000000000001E-3</v>
      </c>
      <c r="G2527" s="67">
        <v>2E-3</v>
      </c>
      <c r="H2527" s="63"/>
    </row>
    <row r="2528" spans="1:8" x14ac:dyDescent="0.25">
      <c r="A2528" s="63"/>
      <c r="B2528" s="63">
        <v>8</v>
      </c>
      <c r="C2528" s="63" t="s">
        <v>1700</v>
      </c>
      <c r="D2528" s="63" t="s">
        <v>64</v>
      </c>
      <c r="E2528" s="66">
        <v>82.290622386277917</v>
      </c>
      <c r="F2528" s="67">
        <v>3.0000000000000001E-3</v>
      </c>
      <c r="G2528" s="67">
        <v>2E-3</v>
      </c>
      <c r="H2528" s="63"/>
    </row>
    <row r="2529" spans="1:8" x14ac:dyDescent="0.25">
      <c r="A2529" s="63"/>
      <c r="B2529" s="63">
        <v>9</v>
      </c>
      <c r="C2529" s="63" t="s">
        <v>1700</v>
      </c>
      <c r="D2529" s="63" t="s">
        <v>64</v>
      </c>
      <c r="E2529" s="66">
        <v>90.43943145512165</v>
      </c>
      <c r="F2529" s="67">
        <v>3.0000000000000001E-3</v>
      </c>
      <c r="G2529" s="67">
        <v>2E-3</v>
      </c>
      <c r="H2529" s="63"/>
    </row>
    <row r="2530" spans="1:8" x14ac:dyDescent="0.25">
      <c r="A2530" s="63"/>
      <c r="B2530" s="63">
        <v>10</v>
      </c>
      <c r="C2530" s="63" t="s">
        <v>1700</v>
      </c>
      <c r="D2530" s="63" t="s">
        <v>64</v>
      </c>
      <c r="E2530" s="66">
        <v>98.380048333692613</v>
      </c>
      <c r="F2530" s="67">
        <v>3.0000000000000001E-3</v>
      </c>
      <c r="G2530" s="67">
        <v>2E-3</v>
      </c>
      <c r="H2530" s="63"/>
    </row>
    <row r="2531" spans="1:8" x14ac:dyDescent="0.25">
      <c r="A2531" s="63"/>
      <c r="B2531" s="63">
        <v>11</v>
      </c>
      <c r="C2531" s="63" t="s">
        <v>1700</v>
      </c>
      <c r="D2531" s="63" t="s">
        <v>64</v>
      </c>
      <c r="E2531" s="66"/>
      <c r="F2531" s="67">
        <v>3.0000000000000001E-3</v>
      </c>
      <c r="G2531" s="67">
        <v>2E-3</v>
      </c>
      <c r="H2531" s="63"/>
    </row>
    <row r="2532" spans="1:8" x14ac:dyDescent="0.25">
      <c r="A2532" s="63"/>
      <c r="B2532" s="63">
        <v>12</v>
      </c>
      <c r="C2532" s="63" t="s">
        <v>1700</v>
      </c>
      <c r="D2532" s="63" t="s">
        <v>64</v>
      </c>
      <c r="E2532" s="66"/>
      <c r="F2532" s="67">
        <v>3.0000000000000001E-3</v>
      </c>
      <c r="G2532" s="67">
        <v>2E-3</v>
      </c>
      <c r="H2532" s="63"/>
    </row>
    <row r="2533" spans="1:8" x14ac:dyDescent="0.25">
      <c r="A2533" s="63"/>
      <c r="B2533" s="63">
        <v>13</v>
      </c>
      <c r="C2533" s="63" t="s">
        <v>1700</v>
      </c>
      <c r="D2533" s="63" t="s">
        <v>64</v>
      </c>
      <c r="E2533" s="66"/>
      <c r="F2533" s="67">
        <v>3.0000000000000001E-3</v>
      </c>
      <c r="G2533" s="67">
        <v>2E-3</v>
      </c>
      <c r="H2533" s="63"/>
    </row>
    <row r="2534" spans="1:8" x14ac:dyDescent="0.25">
      <c r="A2534" s="63"/>
      <c r="B2534" s="63">
        <v>14</v>
      </c>
      <c r="C2534" s="63" t="s">
        <v>1700</v>
      </c>
      <c r="D2534" s="63" t="s">
        <v>64</v>
      </c>
      <c r="E2534" s="66"/>
      <c r="F2534" s="67">
        <v>3.0000000000000001E-3</v>
      </c>
      <c r="G2534" s="67">
        <v>2E-3</v>
      </c>
      <c r="H2534" s="63"/>
    </row>
    <row r="2535" spans="1:8" x14ac:dyDescent="0.25">
      <c r="A2535" s="63"/>
      <c r="B2535" s="63">
        <v>15</v>
      </c>
      <c r="C2535" s="63" t="s">
        <v>1700</v>
      </c>
      <c r="D2535" s="63" t="s">
        <v>64</v>
      </c>
      <c r="E2535" s="66"/>
      <c r="F2535" s="67">
        <v>3.0000000000000001E-3</v>
      </c>
      <c r="G2535" s="67">
        <v>2E-3</v>
      </c>
      <c r="H2535" s="63"/>
    </row>
    <row r="2536" spans="1:8" x14ac:dyDescent="0.25">
      <c r="A2536" s="63"/>
      <c r="B2536" s="63">
        <v>16</v>
      </c>
      <c r="C2536" s="63" t="s">
        <v>1700</v>
      </c>
      <c r="D2536" s="63" t="s">
        <v>64</v>
      </c>
      <c r="E2536" s="66"/>
      <c r="F2536" s="67">
        <v>3.0000000000000001E-3</v>
      </c>
      <c r="G2536" s="67">
        <v>2E-3</v>
      </c>
      <c r="H2536" s="63"/>
    </row>
    <row r="2537" spans="1:8" x14ac:dyDescent="0.25">
      <c r="A2537" s="63"/>
      <c r="B2537" s="63">
        <v>17</v>
      </c>
      <c r="C2537" s="63" t="s">
        <v>1700</v>
      </c>
      <c r="D2537" s="63" t="s">
        <v>64</v>
      </c>
      <c r="E2537" s="66"/>
      <c r="F2537" s="67">
        <v>3.0000000000000001E-3</v>
      </c>
      <c r="G2537" s="67">
        <v>2E-3</v>
      </c>
      <c r="H2537" s="63"/>
    </row>
    <row r="2538" spans="1:8" x14ac:dyDescent="0.25">
      <c r="A2538" s="63"/>
      <c r="B2538" s="63">
        <v>18</v>
      </c>
      <c r="C2538" s="63" t="s">
        <v>1700</v>
      </c>
      <c r="D2538" s="63" t="s">
        <v>64</v>
      </c>
      <c r="E2538" s="66"/>
      <c r="F2538" s="67">
        <v>3.0000000000000001E-3</v>
      </c>
      <c r="G2538" s="67">
        <v>2E-3</v>
      </c>
      <c r="H2538" s="63"/>
    </row>
    <row r="2539" spans="1:8" x14ac:dyDescent="0.25">
      <c r="A2539" s="63"/>
      <c r="B2539" s="63">
        <v>19</v>
      </c>
      <c r="C2539" s="63" t="s">
        <v>1700</v>
      </c>
      <c r="D2539" s="63" t="s">
        <v>64</v>
      </c>
      <c r="E2539" s="66"/>
      <c r="F2539" s="67">
        <v>3.0000000000000001E-3</v>
      </c>
      <c r="G2539" s="67">
        <v>2E-3</v>
      </c>
      <c r="H2539" s="63"/>
    </row>
    <row r="2540" spans="1:8" x14ac:dyDescent="0.25">
      <c r="A2540" s="63"/>
      <c r="B2540" s="63">
        <v>20</v>
      </c>
      <c r="C2540" s="63" t="s">
        <v>1700</v>
      </c>
      <c r="D2540" s="63" t="s">
        <v>64</v>
      </c>
      <c r="E2540" s="66"/>
      <c r="F2540" s="67">
        <v>3.0000000000000001E-3</v>
      </c>
      <c r="G2540" s="67">
        <v>2E-3</v>
      </c>
      <c r="H2540" s="63"/>
    </row>
    <row r="2541" spans="1:8" x14ac:dyDescent="0.25">
      <c r="A2541" s="63"/>
      <c r="B2541" s="63">
        <v>21</v>
      </c>
      <c r="C2541" s="63" t="s">
        <v>1700</v>
      </c>
      <c r="D2541" s="63" t="s">
        <v>64</v>
      </c>
      <c r="E2541" s="66"/>
      <c r="F2541" s="67">
        <v>3.0000000000000001E-3</v>
      </c>
      <c r="G2541" s="67">
        <v>2E-3</v>
      </c>
      <c r="H2541" s="63"/>
    </row>
    <row r="2542" spans="1:8" x14ac:dyDescent="0.25">
      <c r="A2542" s="63"/>
      <c r="B2542" s="63">
        <v>22</v>
      </c>
      <c r="C2542" s="63" t="s">
        <v>1700</v>
      </c>
      <c r="D2542" s="63" t="s">
        <v>64</v>
      </c>
      <c r="E2542" s="66"/>
      <c r="F2542" s="67">
        <v>3.0000000000000001E-3</v>
      </c>
      <c r="G2542" s="67">
        <v>2E-3</v>
      </c>
      <c r="H2542" s="63"/>
    </row>
    <row r="2543" spans="1:8" x14ac:dyDescent="0.25">
      <c r="A2543" s="63"/>
      <c r="B2543" s="63">
        <v>23</v>
      </c>
      <c r="C2543" s="63" t="s">
        <v>1700</v>
      </c>
      <c r="D2543" s="63" t="s">
        <v>64</v>
      </c>
      <c r="E2543" s="66"/>
      <c r="F2543" s="67">
        <v>3.0000000000000001E-3</v>
      </c>
      <c r="G2543" s="67">
        <v>2E-3</v>
      </c>
      <c r="H2543" s="63"/>
    </row>
    <row r="2544" spans="1:8" x14ac:dyDescent="0.25">
      <c r="A2544" s="63"/>
      <c r="B2544" s="63">
        <v>24</v>
      </c>
      <c r="C2544" s="63" t="s">
        <v>1700</v>
      </c>
      <c r="D2544" s="63" t="s">
        <v>64</v>
      </c>
      <c r="E2544" s="66"/>
      <c r="F2544" s="67">
        <v>3.0000000000000001E-3</v>
      </c>
      <c r="G2544" s="67">
        <v>2E-3</v>
      </c>
      <c r="H2544" s="63"/>
    </row>
    <row r="2545" spans="1:8" x14ac:dyDescent="0.25">
      <c r="A2545" s="63"/>
      <c r="B2545" s="63">
        <v>25</v>
      </c>
      <c r="C2545" s="63" t="s">
        <v>1700</v>
      </c>
      <c r="D2545" s="63" t="s">
        <v>64</v>
      </c>
      <c r="E2545" s="66"/>
      <c r="F2545" s="67">
        <v>3.0000000000000001E-3</v>
      </c>
      <c r="G2545" s="67">
        <v>2E-3</v>
      </c>
      <c r="H2545" s="63"/>
    </row>
    <row r="2546" spans="1:8" x14ac:dyDescent="0.25">
      <c r="A2546" s="63"/>
      <c r="B2546" s="63">
        <v>26</v>
      </c>
      <c r="C2546" s="63" t="s">
        <v>1700</v>
      </c>
      <c r="D2546" s="63" t="s">
        <v>64</v>
      </c>
      <c r="E2546" s="66"/>
      <c r="F2546" s="67">
        <v>3.0000000000000001E-3</v>
      </c>
      <c r="G2546" s="67">
        <v>2E-3</v>
      </c>
      <c r="H2546" s="63"/>
    </row>
    <row r="2547" spans="1:8" x14ac:dyDescent="0.25">
      <c r="A2547" s="63"/>
      <c r="B2547" s="63">
        <v>27</v>
      </c>
      <c r="C2547" s="63" t="s">
        <v>1700</v>
      </c>
      <c r="D2547" s="63" t="s">
        <v>64</v>
      </c>
      <c r="E2547" s="66"/>
      <c r="F2547" s="67">
        <v>3.0000000000000001E-3</v>
      </c>
      <c r="G2547" s="67">
        <v>2E-3</v>
      </c>
      <c r="H2547" s="63"/>
    </row>
    <row r="2548" spans="1:8" x14ac:dyDescent="0.25">
      <c r="A2548" s="63"/>
      <c r="B2548" s="63">
        <v>28</v>
      </c>
      <c r="C2548" s="63" t="s">
        <v>1700</v>
      </c>
      <c r="D2548" s="63" t="s">
        <v>64</v>
      </c>
      <c r="E2548" s="66"/>
      <c r="F2548" s="67">
        <v>3.0000000000000001E-3</v>
      </c>
      <c r="G2548" s="67">
        <v>2E-3</v>
      </c>
      <c r="H2548" s="63"/>
    </row>
    <row r="2549" spans="1:8" x14ac:dyDescent="0.25">
      <c r="A2549" s="63"/>
      <c r="B2549" s="63">
        <v>29</v>
      </c>
      <c r="C2549" s="63" t="s">
        <v>1700</v>
      </c>
      <c r="D2549" s="63" t="s">
        <v>64</v>
      </c>
      <c r="E2549" s="66"/>
      <c r="F2549" s="67">
        <v>3.0000000000000001E-3</v>
      </c>
      <c r="G2549" s="67">
        <v>2E-3</v>
      </c>
      <c r="H2549" s="63"/>
    </row>
    <row r="2550" spans="1:8" x14ac:dyDescent="0.25">
      <c r="A2550" s="63"/>
      <c r="B2550" s="63">
        <v>30</v>
      </c>
      <c r="C2550" s="63" t="s">
        <v>1700</v>
      </c>
      <c r="D2550" s="63" t="s">
        <v>64</v>
      </c>
      <c r="E2550" s="66"/>
      <c r="F2550" s="67">
        <v>3.0000000000000001E-3</v>
      </c>
      <c r="G2550" s="67">
        <v>2E-3</v>
      </c>
      <c r="H2550" s="63"/>
    </row>
    <row r="2551" spans="1:8" x14ac:dyDescent="0.25">
      <c r="A2551" s="63"/>
      <c r="B2551" s="63">
        <v>0</v>
      </c>
      <c r="C2551" s="63" t="s">
        <v>1700</v>
      </c>
      <c r="D2551" s="63" t="s">
        <v>64</v>
      </c>
      <c r="E2551" s="66">
        <v>3.0428788910505911</v>
      </c>
      <c r="F2551" s="67">
        <v>3.0000000000000001E-3</v>
      </c>
      <c r="G2551" s="67">
        <v>2E-3</v>
      </c>
      <c r="H2551" s="63"/>
    </row>
    <row r="2552" spans="1:8" x14ac:dyDescent="0.25">
      <c r="A2552" s="63"/>
      <c r="B2552" s="63">
        <v>0.25</v>
      </c>
      <c r="C2552" s="63" t="s">
        <v>1700</v>
      </c>
      <c r="D2552" s="63" t="s">
        <v>77</v>
      </c>
      <c r="E2552" s="66">
        <v>29.366884448382066</v>
      </c>
      <c r="F2552" s="67">
        <v>3.0000000000000001E-3</v>
      </c>
      <c r="G2552" s="67">
        <v>2E-3</v>
      </c>
      <c r="H2552" s="63"/>
    </row>
    <row r="2553" spans="1:8" x14ac:dyDescent="0.25">
      <c r="A2553" s="63"/>
      <c r="B2553" s="63">
        <v>0.5</v>
      </c>
      <c r="C2553" s="63" t="s">
        <v>1700</v>
      </c>
      <c r="D2553" s="63" t="s">
        <v>77</v>
      </c>
      <c r="E2553" s="66">
        <v>32.307801697811804</v>
      </c>
      <c r="F2553" s="67">
        <v>3.0000000000000001E-3</v>
      </c>
      <c r="G2553" s="67">
        <v>2E-3</v>
      </c>
      <c r="H2553" s="63"/>
    </row>
    <row r="2554" spans="1:8" x14ac:dyDescent="0.25">
      <c r="A2554" s="63"/>
      <c r="B2554" s="63">
        <v>0.75</v>
      </c>
      <c r="C2554" s="63" t="s">
        <v>1700</v>
      </c>
      <c r="D2554" s="63" t="s">
        <v>77</v>
      </c>
      <c r="E2554" s="66">
        <v>35.544305701379351</v>
      </c>
      <c r="F2554" s="67">
        <v>3.0000000000000001E-3</v>
      </c>
      <c r="G2554" s="67">
        <v>2E-3</v>
      </c>
      <c r="H2554" s="63"/>
    </row>
    <row r="2555" spans="1:8" x14ac:dyDescent="0.25">
      <c r="A2555" s="63"/>
      <c r="B2555" s="63">
        <v>1</v>
      </c>
      <c r="C2555" s="63" t="s">
        <v>1700</v>
      </c>
      <c r="D2555" s="63" t="s">
        <v>77</v>
      </c>
      <c r="E2555" s="66">
        <v>37.741819770518603</v>
      </c>
      <c r="F2555" s="67">
        <v>3.0000000000000001E-3</v>
      </c>
      <c r="G2555" s="67">
        <v>2E-3</v>
      </c>
      <c r="H2555" s="63"/>
    </row>
    <row r="2556" spans="1:8" x14ac:dyDescent="0.25">
      <c r="A2556" s="63"/>
      <c r="B2556" s="63">
        <v>2</v>
      </c>
      <c r="C2556" s="63" t="s">
        <v>1700</v>
      </c>
      <c r="D2556" s="63" t="s">
        <v>77</v>
      </c>
      <c r="E2556" s="66">
        <v>45.238245687416921</v>
      </c>
      <c r="F2556" s="67">
        <v>3.0000000000000001E-3</v>
      </c>
      <c r="G2556" s="67">
        <v>2E-3</v>
      </c>
      <c r="H2556" s="63"/>
    </row>
    <row r="2557" spans="1:8" x14ac:dyDescent="0.25">
      <c r="A2557" s="63"/>
      <c r="B2557" s="63">
        <v>3</v>
      </c>
      <c r="C2557" s="63" t="s">
        <v>1700</v>
      </c>
      <c r="D2557" s="63" t="s">
        <v>77</v>
      </c>
      <c r="E2557" s="66">
        <v>58.090056414792514</v>
      </c>
      <c r="F2557" s="67">
        <v>3.0000000000000001E-3</v>
      </c>
      <c r="G2557" s="67">
        <v>2E-3</v>
      </c>
      <c r="H2557" s="63"/>
    </row>
    <row r="2558" spans="1:8" x14ac:dyDescent="0.25">
      <c r="A2558" s="63"/>
      <c r="B2558" s="63">
        <v>4</v>
      </c>
      <c r="C2558" s="63" t="s">
        <v>1700</v>
      </c>
      <c r="D2558" s="63" t="s">
        <v>77</v>
      </c>
      <c r="E2558" s="66">
        <v>67.327692243382543</v>
      </c>
      <c r="F2558" s="67">
        <v>3.0000000000000001E-3</v>
      </c>
      <c r="G2558" s="67">
        <v>2E-3</v>
      </c>
      <c r="H2558" s="63"/>
    </row>
    <row r="2559" spans="1:8" x14ac:dyDescent="0.25">
      <c r="A2559" s="63"/>
      <c r="B2559" s="63">
        <v>5</v>
      </c>
      <c r="C2559" s="63" t="s">
        <v>1700</v>
      </c>
      <c r="D2559" s="63" t="s">
        <v>77</v>
      </c>
      <c r="E2559" s="66">
        <v>76.783431486223719</v>
      </c>
      <c r="F2559" s="67">
        <v>3.0000000000000001E-3</v>
      </c>
      <c r="G2559" s="67">
        <v>2E-3</v>
      </c>
      <c r="H2559" s="63"/>
    </row>
    <row r="2560" spans="1:8" x14ac:dyDescent="0.25">
      <c r="A2560" s="63"/>
      <c r="B2560" s="63">
        <v>6</v>
      </c>
      <c r="C2560" s="63" t="s">
        <v>1700</v>
      </c>
      <c r="D2560" s="63" t="s">
        <v>77</v>
      </c>
      <c r="E2560" s="66">
        <v>86.479084484741136</v>
      </c>
      <c r="F2560" s="67">
        <v>3.0000000000000001E-3</v>
      </c>
      <c r="G2560" s="67">
        <v>2E-3</v>
      </c>
      <c r="H2560" s="63"/>
    </row>
    <row r="2561" spans="1:8" x14ac:dyDescent="0.25">
      <c r="A2561" s="63"/>
      <c r="B2561" s="63">
        <v>7</v>
      </c>
      <c r="C2561" s="63" t="s">
        <v>1700</v>
      </c>
      <c r="D2561" s="63" t="s">
        <v>77</v>
      </c>
      <c r="E2561" s="66">
        <v>96.438642614502371</v>
      </c>
      <c r="F2561" s="67">
        <v>3.0000000000000001E-3</v>
      </c>
      <c r="G2561" s="67">
        <v>2E-3</v>
      </c>
      <c r="H2561" s="63"/>
    </row>
    <row r="2562" spans="1:8" x14ac:dyDescent="0.25">
      <c r="A2562" s="63"/>
      <c r="B2562" s="63">
        <v>8</v>
      </c>
      <c r="C2562" s="63" t="s">
        <v>1700</v>
      </c>
      <c r="D2562" s="63" t="s">
        <v>77</v>
      </c>
      <c r="E2562" s="66">
        <v>106.68849638863193</v>
      </c>
      <c r="F2562" s="67">
        <v>3.0000000000000001E-3</v>
      </c>
      <c r="G2562" s="67">
        <v>2E-3</v>
      </c>
      <c r="H2562" s="63"/>
    </row>
    <row r="2563" spans="1:8" x14ac:dyDescent="0.25">
      <c r="A2563" s="63"/>
      <c r="B2563" s="63">
        <v>9</v>
      </c>
      <c r="C2563" s="63" t="s">
        <v>1700</v>
      </c>
      <c r="D2563" s="63" t="s">
        <v>77</v>
      </c>
      <c r="E2563" s="66">
        <v>117.25767537156652</v>
      </c>
      <c r="F2563" s="67">
        <v>3.0000000000000001E-3</v>
      </c>
      <c r="G2563" s="67">
        <v>2E-3</v>
      </c>
      <c r="H2563" s="63"/>
    </row>
    <row r="2564" spans="1:8" x14ac:dyDescent="0.25">
      <c r="A2564" s="63"/>
      <c r="B2564" s="63">
        <v>10</v>
      </c>
      <c r="C2564" s="63" t="s">
        <v>1700</v>
      </c>
      <c r="D2564" s="63" t="s">
        <v>77</v>
      </c>
      <c r="E2564" s="66">
        <v>128.96834733349851</v>
      </c>
      <c r="F2564" s="67">
        <v>3.0000000000000001E-3</v>
      </c>
      <c r="G2564" s="67">
        <v>2E-3</v>
      </c>
      <c r="H2564" s="63"/>
    </row>
    <row r="2565" spans="1:8" x14ac:dyDescent="0.25">
      <c r="A2565" s="63"/>
      <c r="B2565" s="63">
        <v>11</v>
      </c>
      <c r="C2565" s="63" t="s">
        <v>1700</v>
      </c>
      <c r="D2565" s="63" t="s">
        <v>77</v>
      </c>
      <c r="E2565" s="66"/>
      <c r="F2565" s="67">
        <v>3.0000000000000001E-3</v>
      </c>
      <c r="G2565" s="67">
        <v>2E-3</v>
      </c>
      <c r="H2565" s="63"/>
    </row>
    <row r="2566" spans="1:8" x14ac:dyDescent="0.25">
      <c r="A2566" s="63"/>
      <c r="B2566" s="63">
        <v>12</v>
      </c>
      <c r="C2566" s="63" t="s">
        <v>1700</v>
      </c>
      <c r="D2566" s="63" t="s">
        <v>77</v>
      </c>
      <c r="E2566" s="66"/>
      <c r="F2566" s="67">
        <v>3.0000000000000001E-3</v>
      </c>
      <c r="G2566" s="67">
        <v>2E-3</v>
      </c>
      <c r="H2566" s="63"/>
    </row>
    <row r="2567" spans="1:8" x14ac:dyDescent="0.25">
      <c r="A2567" s="63"/>
      <c r="B2567" s="63">
        <v>13</v>
      </c>
      <c r="C2567" s="63" t="s">
        <v>1700</v>
      </c>
      <c r="D2567" s="63" t="s">
        <v>77</v>
      </c>
      <c r="E2567" s="66"/>
      <c r="F2567" s="67">
        <v>3.0000000000000001E-3</v>
      </c>
      <c r="G2567" s="67">
        <v>2E-3</v>
      </c>
      <c r="H2567" s="63"/>
    </row>
    <row r="2568" spans="1:8" x14ac:dyDescent="0.25">
      <c r="A2568" s="63"/>
      <c r="B2568" s="63">
        <v>14</v>
      </c>
      <c r="C2568" s="63" t="s">
        <v>1700</v>
      </c>
      <c r="D2568" s="63" t="s">
        <v>77</v>
      </c>
      <c r="E2568" s="66"/>
      <c r="F2568" s="67">
        <v>3.0000000000000001E-3</v>
      </c>
      <c r="G2568" s="67">
        <v>2E-3</v>
      </c>
      <c r="H2568" s="63"/>
    </row>
    <row r="2569" spans="1:8" x14ac:dyDescent="0.25">
      <c r="A2569" s="63"/>
      <c r="B2569" s="63">
        <v>15</v>
      </c>
      <c r="C2569" s="63" t="s">
        <v>1700</v>
      </c>
      <c r="D2569" s="63" t="s">
        <v>77</v>
      </c>
      <c r="E2569" s="66"/>
      <c r="F2569" s="67">
        <v>3.0000000000000001E-3</v>
      </c>
      <c r="G2569" s="67">
        <v>2E-3</v>
      </c>
      <c r="H2569" s="63"/>
    </row>
    <row r="2570" spans="1:8" x14ac:dyDescent="0.25">
      <c r="A2570" s="63"/>
      <c r="B2570" s="63">
        <v>16</v>
      </c>
      <c r="C2570" s="63" t="s">
        <v>1700</v>
      </c>
      <c r="D2570" s="63" t="s">
        <v>77</v>
      </c>
      <c r="E2570" s="66"/>
      <c r="F2570" s="67">
        <v>3.0000000000000001E-3</v>
      </c>
      <c r="G2570" s="67">
        <v>2E-3</v>
      </c>
      <c r="H2570" s="63"/>
    </row>
    <row r="2571" spans="1:8" x14ac:dyDescent="0.25">
      <c r="A2571" s="63"/>
      <c r="B2571" s="63">
        <v>17</v>
      </c>
      <c r="C2571" s="63" t="s">
        <v>1700</v>
      </c>
      <c r="D2571" s="63" t="s">
        <v>77</v>
      </c>
      <c r="E2571" s="66"/>
      <c r="F2571" s="67">
        <v>3.0000000000000001E-3</v>
      </c>
      <c r="G2571" s="67">
        <v>2E-3</v>
      </c>
      <c r="H2571" s="63"/>
    </row>
    <row r="2572" spans="1:8" x14ac:dyDescent="0.25">
      <c r="A2572" s="63"/>
      <c r="B2572" s="63">
        <v>18</v>
      </c>
      <c r="C2572" s="63" t="s">
        <v>1700</v>
      </c>
      <c r="D2572" s="63" t="s">
        <v>77</v>
      </c>
      <c r="E2572" s="66"/>
      <c r="F2572" s="67">
        <v>3.0000000000000001E-3</v>
      </c>
      <c r="G2572" s="67">
        <v>2E-3</v>
      </c>
      <c r="H2572" s="63"/>
    </row>
    <row r="2573" spans="1:8" x14ac:dyDescent="0.25">
      <c r="A2573" s="63"/>
      <c r="B2573" s="63">
        <v>19</v>
      </c>
      <c r="C2573" s="63" t="s">
        <v>1700</v>
      </c>
      <c r="D2573" s="63" t="s">
        <v>77</v>
      </c>
      <c r="E2573" s="66"/>
      <c r="F2573" s="67">
        <v>3.0000000000000001E-3</v>
      </c>
      <c r="G2573" s="67">
        <v>2E-3</v>
      </c>
      <c r="H2573" s="63"/>
    </row>
    <row r="2574" spans="1:8" x14ac:dyDescent="0.25">
      <c r="A2574" s="63"/>
      <c r="B2574" s="63">
        <v>20</v>
      </c>
      <c r="C2574" s="63" t="s">
        <v>1700</v>
      </c>
      <c r="D2574" s="63" t="s">
        <v>77</v>
      </c>
      <c r="E2574" s="66"/>
      <c r="F2574" s="67">
        <v>3.0000000000000001E-3</v>
      </c>
      <c r="G2574" s="67">
        <v>2E-3</v>
      </c>
      <c r="H2574" s="63"/>
    </row>
    <row r="2575" spans="1:8" x14ac:dyDescent="0.25">
      <c r="A2575" s="63"/>
      <c r="B2575" s="63">
        <v>21</v>
      </c>
      <c r="C2575" s="63" t="s">
        <v>1700</v>
      </c>
      <c r="D2575" s="63" t="s">
        <v>77</v>
      </c>
      <c r="E2575" s="66"/>
      <c r="F2575" s="67">
        <v>3.0000000000000001E-3</v>
      </c>
      <c r="G2575" s="67">
        <v>2E-3</v>
      </c>
      <c r="H2575" s="63"/>
    </row>
    <row r="2576" spans="1:8" x14ac:dyDescent="0.25">
      <c r="A2576" s="63"/>
      <c r="B2576" s="63">
        <v>22</v>
      </c>
      <c r="C2576" s="63" t="s">
        <v>1700</v>
      </c>
      <c r="D2576" s="63" t="s">
        <v>77</v>
      </c>
      <c r="E2576" s="66"/>
      <c r="F2576" s="67">
        <v>3.0000000000000001E-3</v>
      </c>
      <c r="G2576" s="67">
        <v>2E-3</v>
      </c>
      <c r="H2576" s="63"/>
    </row>
    <row r="2577" spans="1:8" x14ac:dyDescent="0.25">
      <c r="A2577" s="63"/>
      <c r="B2577" s="63">
        <v>23</v>
      </c>
      <c r="C2577" s="63" t="s">
        <v>1700</v>
      </c>
      <c r="D2577" s="63" t="s">
        <v>77</v>
      </c>
      <c r="E2577" s="66"/>
      <c r="F2577" s="67">
        <v>3.0000000000000001E-3</v>
      </c>
      <c r="G2577" s="67">
        <v>2E-3</v>
      </c>
      <c r="H2577" s="63"/>
    </row>
    <row r="2578" spans="1:8" x14ac:dyDescent="0.25">
      <c r="A2578" s="63"/>
      <c r="B2578" s="63">
        <v>24</v>
      </c>
      <c r="C2578" s="63" t="s">
        <v>1700</v>
      </c>
      <c r="D2578" s="63" t="s">
        <v>77</v>
      </c>
      <c r="E2578" s="66"/>
      <c r="F2578" s="67">
        <v>3.0000000000000001E-3</v>
      </c>
      <c r="G2578" s="67">
        <v>2E-3</v>
      </c>
      <c r="H2578" s="63"/>
    </row>
    <row r="2579" spans="1:8" x14ac:dyDescent="0.25">
      <c r="A2579" s="63"/>
      <c r="B2579" s="63">
        <v>25</v>
      </c>
      <c r="C2579" s="63" t="s">
        <v>1700</v>
      </c>
      <c r="D2579" s="63" t="s">
        <v>77</v>
      </c>
      <c r="E2579" s="66"/>
      <c r="F2579" s="67">
        <v>3.0000000000000001E-3</v>
      </c>
      <c r="G2579" s="67">
        <v>2E-3</v>
      </c>
      <c r="H2579" s="63"/>
    </row>
    <row r="2580" spans="1:8" x14ac:dyDescent="0.25">
      <c r="A2580" s="63"/>
      <c r="B2580" s="63">
        <v>26</v>
      </c>
      <c r="C2580" s="63" t="s">
        <v>1700</v>
      </c>
      <c r="D2580" s="63" t="s">
        <v>77</v>
      </c>
      <c r="E2580" s="66"/>
      <c r="F2580" s="67">
        <v>3.0000000000000001E-3</v>
      </c>
      <c r="G2580" s="67">
        <v>2E-3</v>
      </c>
      <c r="H2580" s="63"/>
    </row>
    <row r="2581" spans="1:8" x14ac:dyDescent="0.25">
      <c r="A2581" s="63"/>
      <c r="B2581" s="63">
        <v>27</v>
      </c>
      <c r="C2581" s="63" t="s">
        <v>1700</v>
      </c>
      <c r="D2581" s="63" t="s">
        <v>77</v>
      </c>
      <c r="E2581" s="66"/>
      <c r="F2581" s="67">
        <v>3.0000000000000001E-3</v>
      </c>
      <c r="G2581" s="67">
        <v>2E-3</v>
      </c>
      <c r="H2581" s="63"/>
    </row>
    <row r="2582" spans="1:8" x14ac:dyDescent="0.25">
      <c r="A2582" s="63"/>
      <c r="B2582" s="63">
        <v>28</v>
      </c>
      <c r="C2582" s="63" t="s">
        <v>1700</v>
      </c>
      <c r="D2582" s="63" t="s">
        <v>77</v>
      </c>
      <c r="E2582" s="66"/>
      <c r="F2582" s="67">
        <v>3.0000000000000001E-3</v>
      </c>
      <c r="G2582" s="67">
        <v>2E-3</v>
      </c>
      <c r="H2582" s="63"/>
    </row>
    <row r="2583" spans="1:8" x14ac:dyDescent="0.25">
      <c r="A2583" s="63"/>
      <c r="B2583" s="63">
        <v>29</v>
      </c>
      <c r="C2583" s="63" t="s">
        <v>1700</v>
      </c>
      <c r="D2583" s="63" t="s">
        <v>77</v>
      </c>
      <c r="E2583" s="66"/>
      <c r="F2583" s="67">
        <v>3.0000000000000001E-3</v>
      </c>
      <c r="G2583" s="67">
        <v>2E-3</v>
      </c>
      <c r="H2583" s="63"/>
    </row>
    <row r="2584" spans="1:8" x14ac:dyDescent="0.25">
      <c r="A2584" s="63"/>
      <c r="B2584" s="63">
        <v>30</v>
      </c>
      <c r="C2584" s="63" t="s">
        <v>1700</v>
      </c>
      <c r="D2584" s="63" t="s">
        <v>77</v>
      </c>
      <c r="E2584" s="66"/>
      <c r="F2584" s="67">
        <v>3.0000000000000001E-3</v>
      </c>
      <c r="G2584" s="67">
        <v>2E-3</v>
      </c>
      <c r="H2584" s="63"/>
    </row>
    <row r="2585" spans="1:8" x14ac:dyDescent="0.25">
      <c r="A2585" s="63"/>
      <c r="B2585" s="63">
        <v>0</v>
      </c>
      <c r="C2585" s="63" t="s">
        <v>1700</v>
      </c>
      <c r="D2585" s="63" t="s">
        <v>77</v>
      </c>
      <c r="E2585" s="66">
        <v>3.0428788910505911</v>
      </c>
      <c r="F2585" s="67">
        <v>3.0000000000000001E-3</v>
      </c>
      <c r="G2585" s="67">
        <v>2E-3</v>
      </c>
      <c r="H2585" s="63"/>
    </row>
    <row r="2586" spans="1:8" x14ac:dyDescent="0.25">
      <c r="A2586" s="63"/>
      <c r="B2586" s="63">
        <v>0.25</v>
      </c>
      <c r="C2586" s="63" t="s">
        <v>2194</v>
      </c>
      <c r="D2586" s="63" t="s">
        <v>21</v>
      </c>
      <c r="E2586" s="66">
        <v>12.546609103965929</v>
      </c>
      <c r="F2586" s="67">
        <v>3.0000000000000001E-3</v>
      </c>
      <c r="G2586" s="67">
        <v>2E-3</v>
      </c>
      <c r="H2586" s="63"/>
    </row>
    <row r="2587" spans="1:8" x14ac:dyDescent="0.25">
      <c r="A2587" s="63"/>
      <c r="B2587" s="63">
        <v>0.5</v>
      </c>
      <c r="C2587" s="63" t="s">
        <v>2194</v>
      </c>
      <c r="D2587" s="63" t="s">
        <v>21</v>
      </c>
      <c r="E2587" s="66">
        <v>13.671817484755632</v>
      </c>
      <c r="F2587" s="67">
        <v>3.0000000000000001E-3</v>
      </c>
      <c r="G2587" s="67">
        <v>2E-3</v>
      </c>
      <c r="H2587" s="63"/>
    </row>
    <row r="2588" spans="1:8" x14ac:dyDescent="0.25">
      <c r="A2588" s="63"/>
      <c r="B2588" s="63">
        <v>0.75</v>
      </c>
      <c r="C2588" s="63" t="s">
        <v>2194</v>
      </c>
      <c r="D2588" s="63" t="s">
        <v>21</v>
      </c>
      <c r="E2588" s="66">
        <v>14.725549075118629</v>
      </c>
      <c r="F2588" s="67">
        <v>3.0000000000000001E-3</v>
      </c>
      <c r="G2588" s="67">
        <v>2E-3</v>
      </c>
      <c r="H2588" s="63"/>
    </row>
    <row r="2589" spans="1:8" x14ac:dyDescent="0.25">
      <c r="A2589" s="63"/>
      <c r="B2589" s="63">
        <v>1</v>
      </c>
      <c r="C2589" s="63" t="s">
        <v>2194</v>
      </c>
      <c r="D2589" s="63" t="s">
        <v>21</v>
      </c>
      <c r="E2589" s="66">
        <v>16.04947028126702</v>
      </c>
      <c r="F2589" s="67">
        <v>3.0000000000000001E-3</v>
      </c>
      <c r="G2589" s="67">
        <v>2E-3</v>
      </c>
      <c r="H2589" s="63"/>
    </row>
    <row r="2590" spans="1:8" x14ac:dyDescent="0.25">
      <c r="A2590" s="63"/>
      <c r="B2590" s="63">
        <v>2</v>
      </c>
      <c r="C2590" s="63" t="s">
        <v>2194</v>
      </c>
      <c r="D2590" s="63" t="s">
        <v>21</v>
      </c>
      <c r="E2590" s="66">
        <v>19.426919700303831</v>
      </c>
      <c r="F2590" s="67">
        <v>3.0000000000000001E-3</v>
      </c>
      <c r="G2590" s="67">
        <v>2E-3</v>
      </c>
      <c r="H2590" s="63"/>
    </row>
    <row r="2591" spans="1:8" x14ac:dyDescent="0.25">
      <c r="A2591" s="63"/>
      <c r="B2591" s="63">
        <v>3</v>
      </c>
      <c r="C2591" s="63" t="s">
        <v>2194</v>
      </c>
      <c r="D2591" s="63" t="s">
        <v>21</v>
      </c>
      <c r="E2591" s="66">
        <v>25.132148841816747</v>
      </c>
      <c r="F2591" s="67">
        <v>3.0000000000000001E-3</v>
      </c>
      <c r="G2591" s="67">
        <v>2E-3</v>
      </c>
      <c r="H2591" s="63"/>
    </row>
    <row r="2592" spans="1:8" x14ac:dyDescent="0.25">
      <c r="A2592" s="63"/>
      <c r="B2592" s="63">
        <v>4</v>
      </c>
      <c r="C2592" s="63" t="s">
        <v>2194</v>
      </c>
      <c r="D2592" s="63" t="s">
        <v>21</v>
      </c>
      <c r="E2592" s="66">
        <v>30.978123796102796</v>
      </c>
      <c r="F2592" s="67">
        <v>3.0000000000000001E-3</v>
      </c>
      <c r="G2592" s="67">
        <v>2E-3</v>
      </c>
      <c r="H2592" s="63"/>
    </row>
    <row r="2593" spans="1:8" x14ac:dyDescent="0.25">
      <c r="A2593" s="63"/>
      <c r="B2593" s="63">
        <v>5</v>
      </c>
      <c r="C2593" s="63" t="s">
        <v>2194</v>
      </c>
      <c r="D2593" s="63" t="s">
        <v>21</v>
      </c>
      <c r="E2593" s="66">
        <v>37.034744281454138</v>
      </c>
      <c r="F2593" s="67">
        <v>3.0000000000000001E-3</v>
      </c>
      <c r="G2593" s="67">
        <v>2E-3</v>
      </c>
      <c r="H2593" s="63"/>
    </row>
    <row r="2594" spans="1:8" x14ac:dyDescent="0.25">
      <c r="A2594" s="63"/>
      <c r="B2594" s="63">
        <v>6</v>
      </c>
      <c r="C2594" s="63" t="s">
        <v>2194</v>
      </c>
      <c r="D2594" s="63" t="s">
        <v>21</v>
      </c>
      <c r="E2594" s="66">
        <v>46.510573563141911</v>
      </c>
      <c r="F2594" s="67">
        <v>3.0000000000000001E-3</v>
      </c>
      <c r="G2594" s="67">
        <v>2E-3</v>
      </c>
      <c r="H2594" s="63"/>
    </row>
    <row r="2595" spans="1:8" x14ac:dyDescent="0.25">
      <c r="A2595" s="63"/>
      <c r="B2595" s="63">
        <v>7</v>
      </c>
      <c r="C2595" s="63" t="s">
        <v>2194</v>
      </c>
      <c r="D2595" s="63" t="s">
        <v>21</v>
      </c>
      <c r="E2595" s="66">
        <v>52.416727680788277</v>
      </c>
      <c r="F2595" s="67">
        <v>3.0000000000000001E-3</v>
      </c>
      <c r="G2595" s="67">
        <v>2E-3</v>
      </c>
      <c r="H2595" s="63"/>
    </row>
    <row r="2596" spans="1:8" x14ac:dyDescent="0.25">
      <c r="A2596" s="63"/>
      <c r="B2596" s="63">
        <v>8</v>
      </c>
      <c r="C2596" s="63" t="s">
        <v>2194</v>
      </c>
      <c r="D2596" s="63" t="s">
        <v>21</v>
      </c>
      <c r="E2596" s="66">
        <v>58.403352229944545</v>
      </c>
      <c r="F2596" s="67">
        <v>3.0000000000000001E-3</v>
      </c>
      <c r="G2596" s="67">
        <v>2E-3</v>
      </c>
      <c r="H2596" s="63"/>
    </row>
    <row r="2597" spans="1:8" x14ac:dyDescent="0.25">
      <c r="A2597" s="63"/>
      <c r="B2597" s="63">
        <v>9</v>
      </c>
      <c r="C2597" s="63" t="s">
        <v>2194</v>
      </c>
      <c r="D2597" s="63" t="s">
        <v>21</v>
      </c>
      <c r="E2597" s="66">
        <v>64.478494253761667</v>
      </c>
      <c r="F2597" s="67">
        <v>3.0000000000000001E-3</v>
      </c>
      <c r="G2597" s="67">
        <v>2E-3</v>
      </c>
      <c r="H2597" s="63"/>
    </row>
    <row r="2598" spans="1:8" x14ac:dyDescent="0.25">
      <c r="A2598" s="63"/>
      <c r="B2598" s="63">
        <v>10</v>
      </c>
      <c r="C2598" s="63" t="s">
        <v>2194</v>
      </c>
      <c r="D2598" s="63" t="s">
        <v>21</v>
      </c>
      <c r="E2598" s="66">
        <v>70.14607653353309</v>
      </c>
      <c r="F2598" s="67">
        <v>3.0000000000000001E-3</v>
      </c>
      <c r="G2598" s="67">
        <v>2E-3</v>
      </c>
      <c r="H2598" s="63"/>
    </row>
    <row r="2599" spans="1:8" x14ac:dyDescent="0.25">
      <c r="A2599" s="63"/>
      <c r="B2599" s="63">
        <v>11</v>
      </c>
      <c r="C2599" s="63" t="s">
        <v>2194</v>
      </c>
      <c r="D2599" s="63" t="s">
        <v>21</v>
      </c>
      <c r="E2599" s="66"/>
      <c r="F2599" s="67">
        <v>3.0000000000000001E-3</v>
      </c>
      <c r="G2599" s="67">
        <v>2E-3</v>
      </c>
      <c r="H2599" s="63"/>
    </row>
    <row r="2600" spans="1:8" x14ac:dyDescent="0.25">
      <c r="A2600" s="63"/>
      <c r="B2600" s="63">
        <v>12</v>
      </c>
      <c r="C2600" s="63" t="s">
        <v>2194</v>
      </c>
      <c r="D2600" s="63" t="s">
        <v>21</v>
      </c>
      <c r="E2600" s="66"/>
      <c r="F2600" s="67">
        <v>3.0000000000000001E-3</v>
      </c>
      <c r="G2600" s="67">
        <v>2E-3</v>
      </c>
      <c r="H2600" s="63"/>
    </row>
    <row r="2601" spans="1:8" x14ac:dyDescent="0.25">
      <c r="A2601" s="63"/>
      <c r="B2601" s="63">
        <v>13</v>
      </c>
      <c r="C2601" s="63" t="s">
        <v>2194</v>
      </c>
      <c r="D2601" s="63" t="s">
        <v>21</v>
      </c>
      <c r="E2601" s="66"/>
      <c r="F2601" s="67">
        <v>3.0000000000000001E-3</v>
      </c>
      <c r="G2601" s="67">
        <v>2E-3</v>
      </c>
      <c r="H2601" s="63"/>
    </row>
    <row r="2602" spans="1:8" x14ac:dyDescent="0.25">
      <c r="A2602" s="63"/>
      <c r="B2602" s="63">
        <v>14</v>
      </c>
      <c r="C2602" s="63" t="s">
        <v>2194</v>
      </c>
      <c r="D2602" s="63" t="s">
        <v>21</v>
      </c>
      <c r="E2602" s="66"/>
      <c r="F2602" s="67">
        <v>3.0000000000000001E-3</v>
      </c>
      <c r="G2602" s="67">
        <v>2E-3</v>
      </c>
      <c r="H2602" s="63"/>
    </row>
    <row r="2603" spans="1:8" x14ac:dyDescent="0.25">
      <c r="A2603" s="63"/>
      <c r="B2603" s="63">
        <v>15</v>
      </c>
      <c r="C2603" s="63" t="s">
        <v>2194</v>
      </c>
      <c r="D2603" s="63" t="s">
        <v>21</v>
      </c>
      <c r="E2603" s="66"/>
      <c r="F2603" s="67">
        <v>3.0000000000000001E-3</v>
      </c>
      <c r="G2603" s="67">
        <v>2E-3</v>
      </c>
      <c r="H2603" s="63"/>
    </row>
    <row r="2604" spans="1:8" x14ac:dyDescent="0.25">
      <c r="A2604" s="63"/>
      <c r="B2604" s="63">
        <v>16</v>
      </c>
      <c r="C2604" s="63" t="s">
        <v>2194</v>
      </c>
      <c r="D2604" s="63" t="s">
        <v>21</v>
      </c>
      <c r="E2604" s="66"/>
      <c r="F2604" s="67">
        <v>3.0000000000000001E-3</v>
      </c>
      <c r="G2604" s="67">
        <v>2E-3</v>
      </c>
      <c r="H2604" s="63"/>
    </row>
    <row r="2605" spans="1:8" x14ac:dyDescent="0.25">
      <c r="A2605" s="63"/>
      <c r="B2605" s="63">
        <v>17</v>
      </c>
      <c r="C2605" s="63" t="s">
        <v>2194</v>
      </c>
      <c r="D2605" s="63" t="s">
        <v>21</v>
      </c>
      <c r="E2605" s="66"/>
      <c r="F2605" s="67">
        <v>3.0000000000000001E-3</v>
      </c>
      <c r="G2605" s="67">
        <v>2E-3</v>
      </c>
      <c r="H2605" s="63"/>
    </row>
    <row r="2606" spans="1:8" x14ac:dyDescent="0.25">
      <c r="A2606" s="63"/>
      <c r="B2606" s="63">
        <v>18</v>
      </c>
      <c r="C2606" s="63" t="s">
        <v>2194</v>
      </c>
      <c r="D2606" s="63" t="s">
        <v>21</v>
      </c>
      <c r="E2606" s="66"/>
      <c r="F2606" s="67">
        <v>3.0000000000000001E-3</v>
      </c>
      <c r="G2606" s="67">
        <v>2E-3</v>
      </c>
      <c r="H2606" s="63"/>
    </row>
    <row r="2607" spans="1:8" x14ac:dyDescent="0.25">
      <c r="A2607" s="63"/>
      <c r="B2607" s="63">
        <v>19</v>
      </c>
      <c r="C2607" s="63" t="s">
        <v>2194</v>
      </c>
      <c r="D2607" s="63" t="s">
        <v>21</v>
      </c>
      <c r="E2607" s="66"/>
      <c r="F2607" s="67">
        <v>3.0000000000000001E-3</v>
      </c>
      <c r="G2607" s="67">
        <v>2E-3</v>
      </c>
      <c r="H2607" s="63"/>
    </row>
    <row r="2608" spans="1:8" x14ac:dyDescent="0.25">
      <c r="A2608" s="63"/>
      <c r="B2608" s="63">
        <v>20</v>
      </c>
      <c r="C2608" s="63" t="s">
        <v>2194</v>
      </c>
      <c r="D2608" s="63" t="s">
        <v>21</v>
      </c>
      <c r="E2608" s="66"/>
      <c r="F2608" s="67">
        <v>3.0000000000000001E-3</v>
      </c>
      <c r="G2608" s="67">
        <v>2E-3</v>
      </c>
      <c r="H2608" s="63"/>
    </row>
    <row r="2609" spans="1:8" x14ac:dyDescent="0.25">
      <c r="A2609" s="63"/>
      <c r="B2609" s="63">
        <v>21</v>
      </c>
      <c r="C2609" s="63" t="s">
        <v>2194</v>
      </c>
      <c r="D2609" s="63" t="s">
        <v>21</v>
      </c>
      <c r="E2609" s="66"/>
      <c r="F2609" s="67">
        <v>3.0000000000000001E-3</v>
      </c>
      <c r="G2609" s="67">
        <v>2E-3</v>
      </c>
      <c r="H2609" s="63"/>
    </row>
    <row r="2610" spans="1:8" x14ac:dyDescent="0.25">
      <c r="A2610" s="63"/>
      <c r="B2610" s="63">
        <v>22</v>
      </c>
      <c r="C2610" s="63" t="s">
        <v>2194</v>
      </c>
      <c r="D2610" s="63" t="s">
        <v>21</v>
      </c>
      <c r="E2610" s="66"/>
      <c r="F2610" s="67">
        <v>3.0000000000000001E-3</v>
      </c>
      <c r="G2610" s="67">
        <v>2E-3</v>
      </c>
      <c r="H2610" s="63"/>
    </row>
    <row r="2611" spans="1:8" x14ac:dyDescent="0.25">
      <c r="A2611" s="63"/>
      <c r="B2611" s="63">
        <v>23</v>
      </c>
      <c r="C2611" s="63" t="s">
        <v>2194</v>
      </c>
      <c r="D2611" s="63" t="s">
        <v>21</v>
      </c>
      <c r="E2611" s="66"/>
      <c r="F2611" s="67">
        <v>3.0000000000000001E-3</v>
      </c>
      <c r="G2611" s="67">
        <v>2E-3</v>
      </c>
      <c r="H2611" s="63"/>
    </row>
    <row r="2612" spans="1:8" x14ac:dyDescent="0.25">
      <c r="A2612" s="63"/>
      <c r="B2612" s="63">
        <v>24</v>
      </c>
      <c r="C2612" s="63" t="s">
        <v>2194</v>
      </c>
      <c r="D2612" s="63" t="s">
        <v>21</v>
      </c>
      <c r="E2612" s="66"/>
      <c r="F2612" s="67">
        <v>3.0000000000000001E-3</v>
      </c>
      <c r="G2612" s="67">
        <v>2E-3</v>
      </c>
      <c r="H2612" s="63"/>
    </row>
    <row r="2613" spans="1:8" x14ac:dyDescent="0.25">
      <c r="A2613" s="63"/>
      <c r="B2613" s="63">
        <v>25</v>
      </c>
      <c r="C2613" s="63" t="s">
        <v>2194</v>
      </c>
      <c r="D2613" s="63" t="s">
        <v>21</v>
      </c>
      <c r="E2613" s="66"/>
      <c r="F2613" s="67">
        <v>3.0000000000000001E-3</v>
      </c>
      <c r="G2613" s="67">
        <v>2E-3</v>
      </c>
      <c r="H2613" s="63"/>
    </row>
    <row r="2614" spans="1:8" x14ac:dyDescent="0.25">
      <c r="A2614" s="63"/>
      <c r="B2614" s="63">
        <v>26</v>
      </c>
      <c r="C2614" s="63" t="s">
        <v>2194</v>
      </c>
      <c r="D2614" s="63" t="s">
        <v>21</v>
      </c>
      <c r="E2614" s="66"/>
      <c r="F2614" s="67">
        <v>3.0000000000000001E-3</v>
      </c>
      <c r="G2614" s="67">
        <v>2E-3</v>
      </c>
      <c r="H2614" s="63"/>
    </row>
    <row r="2615" spans="1:8" x14ac:dyDescent="0.25">
      <c r="A2615" s="63"/>
      <c r="B2615" s="63">
        <v>27</v>
      </c>
      <c r="C2615" s="63" t="s">
        <v>2194</v>
      </c>
      <c r="D2615" s="63" t="s">
        <v>21</v>
      </c>
      <c r="E2615" s="66"/>
      <c r="F2615" s="67">
        <v>3.0000000000000001E-3</v>
      </c>
      <c r="G2615" s="67">
        <v>2E-3</v>
      </c>
      <c r="H2615" s="63"/>
    </row>
    <row r="2616" spans="1:8" x14ac:dyDescent="0.25">
      <c r="A2616" s="63"/>
      <c r="B2616" s="63">
        <v>28</v>
      </c>
      <c r="C2616" s="63" t="s">
        <v>2194</v>
      </c>
      <c r="D2616" s="63" t="s">
        <v>21</v>
      </c>
      <c r="E2616" s="66"/>
      <c r="F2616" s="67">
        <v>3.0000000000000001E-3</v>
      </c>
      <c r="G2616" s="67">
        <v>2E-3</v>
      </c>
      <c r="H2616" s="63"/>
    </row>
    <row r="2617" spans="1:8" x14ac:dyDescent="0.25">
      <c r="A2617" s="63"/>
      <c r="B2617" s="63">
        <v>29</v>
      </c>
      <c r="C2617" s="63" t="s">
        <v>2194</v>
      </c>
      <c r="D2617" s="63" t="s">
        <v>21</v>
      </c>
      <c r="E2617" s="66"/>
      <c r="F2617" s="67">
        <v>3.0000000000000001E-3</v>
      </c>
      <c r="G2617" s="67">
        <v>2E-3</v>
      </c>
      <c r="H2617" s="63"/>
    </row>
    <row r="2618" spans="1:8" x14ac:dyDescent="0.25">
      <c r="A2618" s="63"/>
      <c r="B2618" s="63">
        <v>30</v>
      </c>
      <c r="C2618" s="63" t="s">
        <v>2194</v>
      </c>
      <c r="D2618" s="63" t="s">
        <v>21</v>
      </c>
      <c r="E2618" s="66"/>
      <c r="F2618" s="67">
        <v>3.0000000000000001E-3</v>
      </c>
      <c r="G2618" s="67">
        <v>2E-3</v>
      </c>
      <c r="H2618" s="63"/>
    </row>
    <row r="2619" spans="1:8" x14ac:dyDescent="0.25">
      <c r="A2619" s="63"/>
      <c r="B2619" s="63">
        <v>0</v>
      </c>
      <c r="C2619" s="63" t="s">
        <v>2194</v>
      </c>
      <c r="D2619" s="63" t="s">
        <v>21</v>
      </c>
      <c r="E2619" s="66">
        <v>3.0428788910505911</v>
      </c>
      <c r="F2619" s="67">
        <v>3.0000000000000001E-3</v>
      </c>
      <c r="G2619" s="67">
        <v>2E-3</v>
      </c>
      <c r="H2619" s="63"/>
    </row>
    <row r="2620" spans="1:8" x14ac:dyDescent="0.25">
      <c r="A2620" s="63"/>
      <c r="B2620" s="63">
        <v>0.25</v>
      </c>
      <c r="C2620" s="63" t="s">
        <v>2194</v>
      </c>
      <c r="D2620" s="63" t="s">
        <v>62</v>
      </c>
      <c r="E2620" s="66">
        <v>17.362919062478753</v>
      </c>
      <c r="F2620" s="67">
        <v>3.0000000000000001E-3</v>
      </c>
      <c r="G2620" s="67">
        <v>2E-3</v>
      </c>
      <c r="H2620" s="63"/>
    </row>
    <row r="2621" spans="1:8" x14ac:dyDescent="0.25">
      <c r="A2621" s="63"/>
      <c r="B2621" s="63">
        <v>0.5</v>
      </c>
      <c r="C2621" s="63" t="s">
        <v>2194</v>
      </c>
      <c r="D2621" s="63" t="s">
        <v>62</v>
      </c>
      <c r="E2621" s="66">
        <v>18.763077462609331</v>
      </c>
      <c r="F2621" s="67">
        <v>3.0000000000000001E-3</v>
      </c>
      <c r="G2621" s="67">
        <v>2E-3</v>
      </c>
      <c r="H2621" s="63"/>
    </row>
    <row r="2622" spans="1:8" x14ac:dyDescent="0.25">
      <c r="A2622" s="63"/>
      <c r="B2622" s="63">
        <v>0.75</v>
      </c>
      <c r="C2622" s="63" t="s">
        <v>2194</v>
      </c>
      <c r="D2622" s="63" t="s">
        <v>62</v>
      </c>
      <c r="E2622" s="66">
        <v>20.822367518100933</v>
      </c>
      <c r="F2622" s="67">
        <v>3.0000000000000001E-3</v>
      </c>
      <c r="G2622" s="67">
        <v>2E-3</v>
      </c>
      <c r="H2622" s="63"/>
    </row>
    <row r="2623" spans="1:8" x14ac:dyDescent="0.25">
      <c r="A2623" s="63"/>
      <c r="B2623" s="63">
        <v>1</v>
      </c>
      <c r="C2623" s="63" t="s">
        <v>2194</v>
      </c>
      <c r="D2623" s="63" t="s">
        <v>62</v>
      </c>
      <c r="E2623" s="66">
        <v>22.932657006868226</v>
      </c>
      <c r="F2623" s="67">
        <v>3.0000000000000001E-3</v>
      </c>
      <c r="G2623" s="67">
        <v>2E-3</v>
      </c>
      <c r="H2623" s="63"/>
    </row>
    <row r="2624" spans="1:8" x14ac:dyDescent="0.25">
      <c r="A2624" s="63"/>
      <c r="B2624" s="63">
        <v>2</v>
      </c>
      <c r="C2624" s="63" t="s">
        <v>2194</v>
      </c>
      <c r="D2624" s="63" t="s">
        <v>62</v>
      </c>
      <c r="E2624" s="66">
        <v>28.394641309673208</v>
      </c>
      <c r="F2624" s="67">
        <v>3.0000000000000001E-3</v>
      </c>
      <c r="G2624" s="67">
        <v>2E-3</v>
      </c>
      <c r="H2624" s="63"/>
    </row>
    <row r="2625" spans="1:8" x14ac:dyDescent="0.25">
      <c r="A2625" s="63"/>
      <c r="B2625" s="63">
        <v>3</v>
      </c>
      <c r="C2625" s="63" t="s">
        <v>2194</v>
      </c>
      <c r="D2625" s="63" t="s">
        <v>62</v>
      </c>
      <c r="E2625" s="66">
        <v>34.481353453939484</v>
      </c>
      <c r="F2625" s="67">
        <v>3.0000000000000001E-3</v>
      </c>
      <c r="G2625" s="67">
        <v>2E-3</v>
      </c>
      <c r="H2625" s="63"/>
    </row>
    <row r="2626" spans="1:8" x14ac:dyDescent="0.25">
      <c r="A2626" s="63"/>
      <c r="B2626" s="63">
        <v>4</v>
      </c>
      <c r="C2626" s="63" t="s">
        <v>2194</v>
      </c>
      <c r="D2626" s="63" t="s">
        <v>62</v>
      </c>
      <c r="E2626" s="66">
        <v>40.733986919834194</v>
      </c>
      <c r="F2626" s="67">
        <v>3.0000000000000001E-3</v>
      </c>
      <c r="G2626" s="67">
        <v>2E-3</v>
      </c>
      <c r="H2626" s="63"/>
    </row>
    <row r="2627" spans="1:8" x14ac:dyDescent="0.25">
      <c r="A2627" s="63"/>
      <c r="B2627" s="63">
        <v>5</v>
      </c>
      <c r="C2627" s="63" t="s">
        <v>2194</v>
      </c>
      <c r="D2627" s="63" t="s">
        <v>62</v>
      </c>
      <c r="E2627" s="66">
        <v>47.204537282413121</v>
      </c>
      <c r="F2627" s="67">
        <v>3.0000000000000001E-3</v>
      </c>
      <c r="G2627" s="67">
        <v>2E-3</v>
      </c>
      <c r="H2627" s="63"/>
    </row>
    <row r="2628" spans="1:8" x14ac:dyDescent="0.25">
      <c r="A2628" s="63"/>
      <c r="B2628" s="63">
        <v>6</v>
      </c>
      <c r="C2628" s="63" t="s">
        <v>2194</v>
      </c>
      <c r="D2628" s="63" t="s">
        <v>62</v>
      </c>
      <c r="E2628" s="66">
        <v>53.805016474910374</v>
      </c>
      <c r="F2628" s="67">
        <v>3.0000000000000001E-3</v>
      </c>
      <c r="G2628" s="67">
        <v>2E-3</v>
      </c>
      <c r="H2628" s="63"/>
    </row>
    <row r="2629" spans="1:8" x14ac:dyDescent="0.25">
      <c r="A2629" s="63"/>
      <c r="B2629" s="63">
        <v>7</v>
      </c>
      <c r="C2629" s="63" t="s">
        <v>2194</v>
      </c>
      <c r="D2629" s="63" t="s">
        <v>62</v>
      </c>
      <c r="E2629" s="66">
        <v>60.552137154404392</v>
      </c>
      <c r="F2629" s="67">
        <v>3.0000000000000001E-3</v>
      </c>
      <c r="G2629" s="67">
        <v>2E-3</v>
      </c>
      <c r="H2629" s="63"/>
    </row>
    <row r="2630" spans="1:8" x14ac:dyDescent="0.25">
      <c r="A2630" s="63"/>
      <c r="B2630" s="63">
        <v>8</v>
      </c>
      <c r="C2630" s="63" t="s">
        <v>2194</v>
      </c>
      <c r="D2630" s="63" t="s">
        <v>62</v>
      </c>
      <c r="E2630" s="66">
        <v>67.464818475061875</v>
      </c>
      <c r="F2630" s="67">
        <v>3.0000000000000001E-3</v>
      </c>
      <c r="G2630" s="67">
        <v>2E-3</v>
      </c>
      <c r="H2630" s="63"/>
    </row>
    <row r="2631" spans="1:8" x14ac:dyDescent="0.25">
      <c r="A2631" s="63"/>
      <c r="B2631" s="63">
        <v>9</v>
      </c>
      <c r="C2631" s="63" t="s">
        <v>2194</v>
      </c>
      <c r="D2631" s="63" t="s">
        <v>62</v>
      </c>
      <c r="E2631" s="66">
        <v>74.129442022189522</v>
      </c>
      <c r="F2631" s="67">
        <v>3.0000000000000001E-3</v>
      </c>
      <c r="G2631" s="67">
        <v>2E-3</v>
      </c>
      <c r="H2631" s="63"/>
    </row>
    <row r="2632" spans="1:8" x14ac:dyDescent="0.25">
      <c r="A2632" s="63"/>
      <c r="B2632" s="63">
        <v>10</v>
      </c>
      <c r="C2632" s="63" t="s">
        <v>2194</v>
      </c>
      <c r="D2632" s="63" t="s">
        <v>62</v>
      </c>
      <c r="E2632" s="66">
        <v>81.304669029817305</v>
      </c>
      <c r="F2632" s="67">
        <v>3.0000000000000001E-3</v>
      </c>
      <c r="G2632" s="67">
        <v>2E-3</v>
      </c>
      <c r="H2632" s="63"/>
    </row>
    <row r="2633" spans="1:8" x14ac:dyDescent="0.25">
      <c r="A2633" s="63"/>
      <c r="B2633" s="63">
        <v>11</v>
      </c>
      <c r="C2633" s="63" t="s">
        <v>2194</v>
      </c>
      <c r="D2633" s="63" t="s">
        <v>62</v>
      </c>
      <c r="E2633" s="66"/>
      <c r="F2633" s="67">
        <v>3.0000000000000001E-3</v>
      </c>
      <c r="G2633" s="67">
        <v>2E-3</v>
      </c>
      <c r="H2633" s="63"/>
    </row>
    <row r="2634" spans="1:8" x14ac:dyDescent="0.25">
      <c r="A2634" s="63"/>
      <c r="B2634" s="63">
        <v>12</v>
      </c>
      <c r="C2634" s="63" t="s">
        <v>2194</v>
      </c>
      <c r="D2634" s="63" t="s">
        <v>62</v>
      </c>
      <c r="E2634" s="66"/>
      <c r="F2634" s="67">
        <v>3.0000000000000001E-3</v>
      </c>
      <c r="G2634" s="67">
        <v>2E-3</v>
      </c>
      <c r="H2634" s="63"/>
    </row>
    <row r="2635" spans="1:8" x14ac:dyDescent="0.25">
      <c r="A2635" s="63"/>
      <c r="B2635" s="63">
        <v>13</v>
      </c>
      <c r="C2635" s="63" t="s">
        <v>2194</v>
      </c>
      <c r="D2635" s="63" t="s">
        <v>62</v>
      </c>
      <c r="E2635" s="66"/>
      <c r="F2635" s="67">
        <v>3.0000000000000001E-3</v>
      </c>
      <c r="G2635" s="67">
        <v>2E-3</v>
      </c>
      <c r="H2635" s="63"/>
    </row>
    <row r="2636" spans="1:8" x14ac:dyDescent="0.25">
      <c r="A2636" s="63"/>
      <c r="B2636" s="63">
        <v>14</v>
      </c>
      <c r="C2636" s="63" t="s">
        <v>2194</v>
      </c>
      <c r="D2636" s="63" t="s">
        <v>62</v>
      </c>
      <c r="E2636" s="66"/>
      <c r="F2636" s="67">
        <v>3.0000000000000001E-3</v>
      </c>
      <c r="G2636" s="67">
        <v>2E-3</v>
      </c>
      <c r="H2636" s="63"/>
    </row>
    <row r="2637" spans="1:8" x14ac:dyDescent="0.25">
      <c r="A2637" s="63"/>
      <c r="B2637" s="63">
        <v>15</v>
      </c>
      <c r="C2637" s="63" t="s">
        <v>2194</v>
      </c>
      <c r="D2637" s="63" t="s">
        <v>62</v>
      </c>
      <c r="E2637" s="66"/>
      <c r="F2637" s="67">
        <v>3.0000000000000001E-3</v>
      </c>
      <c r="G2637" s="67">
        <v>2E-3</v>
      </c>
      <c r="H2637" s="63"/>
    </row>
    <row r="2638" spans="1:8" x14ac:dyDescent="0.25">
      <c r="A2638" s="63"/>
      <c r="B2638" s="63">
        <v>16</v>
      </c>
      <c r="C2638" s="63" t="s">
        <v>2194</v>
      </c>
      <c r="D2638" s="63" t="s">
        <v>62</v>
      </c>
      <c r="E2638" s="66"/>
      <c r="F2638" s="67">
        <v>3.0000000000000001E-3</v>
      </c>
      <c r="G2638" s="67">
        <v>2E-3</v>
      </c>
      <c r="H2638" s="63"/>
    </row>
    <row r="2639" spans="1:8" x14ac:dyDescent="0.25">
      <c r="A2639" s="63"/>
      <c r="B2639" s="63">
        <v>17</v>
      </c>
      <c r="C2639" s="63" t="s">
        <v>2194</v>
      </c>
      <c r="D2639" s="63" t="s">
        <v>62</v>
      </c>
      <c r="E2639" s="66"/>
      <c r="F2639" s="67">
        <v>3.0000000000000001E-3</v>
      </c>
      <c r="G2639" s="67">
        <v>2E-3</v>
      </c>
      <c r="H2639" s="63"/>
    </row>
    <row r="2640" spans="1:8" x14ac:dyDescent="0.25">
      <c r="A2640" s="63"/>
      <c r="B2640" s="63">
        <v>18</v>
      </c>
      <c r="C2640" s="63" t="s">
        <v>2194</v>
      </c>
      <c r="D2640" s="63" t="s">
        <v>62</v>
      </c>
      <c r="E2640" s="66"/>
      <c r="F2640" s="67">
        <v>3.0000000000000001E-3</v>
      </c>
      <c r="G2640" s="67">
        <v>2E-3</v>
      </c>
      <c r="H2640" s="63"/>
    </row>
    <row r="2641" spans="1:8" x14ac:dyDescent="0.25">
      <c r="A2641" s="63"/>
      <c r="B2641" s="63">
        <v>19</v>
      </c>
      <c r="C2641" s="63" t="s">
        <v>2194</v>
      </c>
      <c r="D2641" s="63" t="s">
        <v>62</v>
      </c>
      <c r="E2641" s="66"/>
      <c r="F2641" s="67">
        <v>3.0000000000000001E-3</v>
      </c>
      <c r="G2641" s="67">
        <v>2E-3</v>
      </c>
      <c r="H2641" s="63"/>
    </row>
    <row r="2642" spans="1:8" x14ac:dyDescent="0.25">
      <c r="A2642" s="63"/>
      <c r="B2642" s="63">
        <v>20</v>
      </c>
      <c r="C2642" s="63" t="s">
        <v>2194</v>
      </c>
      <c r="D2642" s="63" t="s">
        <v>62</v>
      </c>
      <c r="E2642" s="66"/>
      <c r="F2642" s="67">
        <v>3.0000000000000001E-3</v>
      </c>
      <c r="G2642" s="67">
        <v>2E-3</v>
      </c>
      <c r="H2642" s="63"/>
    </row>
    <row r="2643" spans="1:8" x14ac:dyDescent="0.25">
      <c r="A2643" s="63"/>
      <c r="B2643" s="63">
        <v>21</v>
      </c>
      <c r="C2643" s="63" t="s">
        <v>2194</v>
      </c>
      <c r="D2643" s="63" t="s">
        <v>62</v>
      </c>
      <c r="E2643" s="66"/>
      <c r="F2643" s="67">
        <v>3.0000000000000001E-3</v>
      </c>
      <c r="G2643" s="67">
        <v>2E-3</v>
      </c>
      <c r="H2643" s="63"/>
    </row>
    <row r="2644" spans="1:8" x14ac:dyDescent="0.25">
      <c r="A2644" s="63"/>
      <c r="B2644" s="63">
        <v>22</v>
      </c>
      <c r="C2644" s="63" t="s">
        <v>2194</v>
      </c>
      <c r="D2644" s="63" t="s">
        <v>62</v>
      </c>
      <c r="E2644" s="66"/>
      <c r="F2644" s="67">
        <v>3.0000000000000001E-3</v>
      </c>
      <c r="G2644" s="67">
        <v>2E-3</v>
      </c>
      <c r="H2644" s="63"/>
    </row>
    <row r="2645" spans="1:8" x14ac:dyDescent="0.25">
      <c r="A2645" s="63"/>
      <c r="B2645" s="63">
        <v>23</v>
      </c>
      <c r="C2645" s="63" t="s">
        <v>2194</v>
      </c>
      <c r="D2645" s="63" t="s">
        <v>62</v>
      </c>
      <c r="E2645" s="66"/>
      <c r="F2645" s="67">
        <v>3.0000000000000001E-3</v>
      </c>
      <c r="G2645" s="67">
        <v>2E-3</v>
      </c>
      <c r="H2645" s="63"/>
    </row>
    <row r="2646" spans="1:8" x14ac:dyDescent="0.25">
      <c r="A2646" s="63"/>
      <c r="B2646" s="63">
        <v>24</v>
      </c>
      <c r="C2646" s="63" t="s">
        <v>2194</v>
      </c>
      <c r="D2646" s="63" t="s">
        <v>62</v>
      </c>
      <c r="E2646" s="66"/>
      <c r="F2646" s="67">
        <v>3.0000000000000001E-3</v>
      </c>
      <c r="G2646" s="67">
        <v>2E-3</v>
      </c>
      <c r="H2646" s="63"/>
    </row>
    <row r="2647" spans="1:8" x14ac:dyDescent="0.25">
      <c r="A2647" s="63"/>
      <c r="B2647" s="63">
        <v>25</v>
      </c>
      <c r="C2647" s="63" t="s">
        <v>2194</v>
      </c>
      <c r="D2647" s="63" t="s">
        <v>62</v>
      </c>
      <c r="E2647" s="66"/>
      <c r="F2647" s="67">
        <v>3.0000000000000001E-3</v>
      </c>
      <c r="G2647" s="67">
        <v>2E-3</v>
      </c>
      <c r="H2647" s="63"/>
    </row>
    <row r="2648" spans="1:8" x14ac:dyDescent="0.25">
      <c r="A2648" s="63"/>
      <c r="B2648" s="63">
        <v>26</v>
      </c>
      <c r="C2648" s="63" t="s">
        <v>2194</v>
      </c>
      <c r="D2648" s="63" t="s">
        <v>62</v>
      </c>
      <c r="E2648" s="66"/>
      <c r="F2648" s="67">
        <v>3.0000000000000001E-3</v>
      </c>
      <c r="G2648" s="67">
        <v>2E-3</v>
      </c>
      <c r="H2648" s="63"/>
    </row>
    <row r="2649" spans="1:8" x14ac:dyDescent="0.25">
      <c r="A2649" s="63"/>
      <c r="B2649" s="63">
        <v>27</v>
      </c>
      <c r="C2649" s="63" t="s">
        <v>2194</v>
      </c>
      <c r="D2649" s="63" t="s">
        <v>62</v>
      </c>
      <c r="E2649" s="66"/>
      <c r="F2649" s="67">
        <v>3.0000000000000001E-3</v>
      </c>
      <c r="G2649" s="67">
        <v>2E-3</v>
      </c>
      <c r="H2649" s="63"/>
    </row>
    <row r="2650" spans="1:8" x14ac:dyDescent="0.25">
      <c r="A2650" s="63"/>
      <c r="B2650" s="63">
        <v>28</v>
      </c>
      <c r="C2650" s="63" t="s">
        <v>2194</v>
      </c>
      <c r="D2650" s="63" t="s">
        <v>62</v>
      </c>
      <c r="E2650" s="66"/>
      <c r="F2650" s="67">
        <v>3.0000000000000001E-3</v>
      </c>
      <c r="G2650" s="67">
        <v>2E-3</v>
      </c>
      <c r="H2650" s="63"/>
    </row>
    <row r="2651" spans="1:8" x14ac:dyDescent="0.25">
      <c r="A2651" s="63"/>
      <c r="B2651" s="63">
        <v>29</v>
      </c>
      <c r="C2651" s="63" t="s">
        <v>2194</v>
      </c>
      <c r="D2651" s="63" t="s">
        <v>62</v>
      </c>
      <c r="E2651" s="66"/>
      <c r="F2651" s="67">
        <v>3.0000000000000001E-3</v>
      </c>
      <c r="G2651" s="67">
        <v>2E-3</v>
      </c>
      <c r="H2651" s="63"/>
    </row>
    <row r="2652" spans="1:8" x14ac:dyDescent="0.25">
      <c r="A2652" s="63"/>
      <c r="B2652" s="63">
        <v>30</v>
      </c>
      <c r="C2652" s="63" t="s">
        <v>2194</v>
      </c>
      <c r="D2652" s="63" t="s">
        <v>62</v>
      </c>
      <c r="E2652" s="66"/>
      <c r="F2652" s="67">
        <v>3.0000000000000001E-3</v>
      </c>
      <c r="G2652" s="67">
        <v>2E-3</v>
      </c>
      <c r="H2652" s="63"/>
    </row>
    <row r="2653" spans="1:8" x14ac:dyDescent="0.25">
      <c r="A2653" s="63"/>
      <c r="B2653" s="63">
        <v>0</v>
      </c>
      <c r="C2653" s="63" t="s">
        <v>2194</v>
      </c>
      <c r="D2653" s="63" t="s">
        <v>62</v>
      </c>
      <c r="E2653" s="66">
        <v>3.0428788910505911</v>
      </c>
      <c r="F2653" s="67">
        <v>3.0000000000000001E-3</v>
      </c>
      <c r="G2653" s="67">
        <v>2E-3</v>
      </c>
      <c r="H2653" s="63"/>
    </row>
    <row r="2654" spans="1:8" x14ac:dyDescent="0.25">
      <c r="A2654" s="63"/>
      <c r="B2654" s="63">
        <v>0.25</v>
      </c>
      <c r="C2654" s="63" t="s">
        <v>2194</v>
      </c>
      <c r="D2654" s="63" t="s">
        <v>64</v>
      </c>
      <c r="E2654" s="66">
        <v>21.329668724084634</v>
      </c>
      <c r="F2654" s="67">
        <v>3.0000000000000001E-3</v>
      </c>
      <c r="G2654" s="67">
        <v>2E-3</v>
      </c>
      <c r="H2654" s="63"/>
    </row>
    <row r="2655" spans="1:8" x14ac:dyDescent="0.25">
      <c r="A2655" s="63"/>
      <c r="B2655" s="63">
        <v>0.5</v>
      </c>
      <c r="C2655" s="63" t="s">
        <v>2194</v>
      </c>
      <c r="D2655" s="63" t="s">
        <v>64</v>
      </c>
      <c r="E2655" s="66">
        <v>23.535187126233286</v>
      </c>
      <c r="F2655" s="67">
        <v>3.0000000000000001E-3</v>
      </c>
      <c r="G2655" s="67">
        <v>2E-3</v>
      </c>
      <c r="H2655" s="63"/>
    </row>
    <row r="2656" spans="1:8" x14ac:dyDescent="0.25">
      <c r="A2656" s="63"/>
      <c r="B2656" s="63">
        <v>0.75</v>
      </c>
      <c r="C2656" s="63" t="s">
        <v>2194</v>
      </c>
      <c r="D2656" s="63" t="s">
        <v>64</v>
      </c>
      <c r="E2656" s="66">
        <v>25.969348495460661</v>
      </c>
      <c r="F2656" s="67">
        <v>3.0000000000000001E-3</v>
      </c>
      <c r="G2656" s="67">
        <v>2E-3</v>
      </c>
      <c r="H2656" s="63"/>
    </row>
    <row r="2657" spans="1:8" x14ac:dyDescent="0.25">
      <c r="A2657" s="63"/>
      <c r="B2657" s="63">
        <v>1</v>
      </c>
      <c r="C2657" s="63" t="s">
        <v>2194</v>
      </c>
      <c r="D2657" s="63" t="s">
        <v>64</v>
      </c>
      <c r="E2657" s="66">
        <v>28.018652515052967</v>
      </c>
      <c r="F2657" s="67">
        <v>3.0000000000000001E-3</v>
      </c>
      <c r="G2657" s="67">
        <v>2E-3</v>
      </c>
      <c r="H2657" s="63"/>
    </row>
    <row r="2658" spans="1:8" x14ac:dyDescent="0.25">
      <c r="A2658" s="63"/>
      <c r="B2658" s="63">
        <v>2</v>
      </c>
      <c r="C2658" s="63" t="s">
        <v>2194</v>
      </c>
      <c r="D2658" s="63" t="s">
        <v>64</v>
      </c>
      <c r="E2658" s="66">
        <v>34.474261331240129</v>
      </c>
      <c r="F2658" s="67">
        <v>3.0000000000000001E-3</v>
      </c>
      <c r="G2658" s="67">
        <v>2E-3</v>
      </c>
      <c r="H2658" s="63"/>
    </row>
    <row r="2659" spans="1:8" x14ac:dyDescent="0.25">
      <c r="A2659" s="63"/>
      <c r="B2659" s="63">
        <v>3</v>
      </c>
      <c r="C2659" s="63" t="s">
        <v>2194</v>
      </c>
      <c r="D2659" s="63" t="s">
        <v>64</v>
      </c>
      <c r="E2659" s="66">
        <v>41.6797573977124</v>
      </c>
      <c r="F2659" s="67">
        <v>3.0000000000000001E-3</v>
      </c>
      <c r="G2659" s="67">
        <v>2E-3</v>
      </c>
      <c r="H2659" s="63"/>
    </row>
    <row r="2660" spans="1:8" x14ac:dyDescent="0.25">
      <c r="A2660" s="63"/>
      <c r="B2660" s="63">
        <v>4</v>
      </c>
      <c r="C2660" s="63" t="s">
        <v>2194</v>
      </c>
      <c r="D2660" s="63" t="s">
        <v>64</v>
      </c>
      <c r="E2660" s="66">
        <v>48.964357977567339</v>
      </c>
      <c r="F2660" s="67">
        <v>3.0000000000000001E-3</v>
      </c>
      <c r="G2660" s="67">
        <v>2E-3</v>
      </c>
      <c r="H2660" s="63"/>
    </row>
    <row r="2661" spans="1:8" x14ac:dyDescent="0.25">
      <c r="A2661" s="63"/>
      <c r="B2661" s="63">
        <v>5</v>
      </c>
      <c r="C2661" s="63" t="s">
        <v>2194</v>
      </c>
      <c r="D2661" s="63" t="s">
        <v>64</v>
      </c>
      <c r="E2661" s="66">
        <v>56.335973522143213</v>
      </c>
      <c r="F2661" s="67">
        <v>3.0000000000000001E-3</v>
      </c>
      <c r="G2661" s="67">
        <v>2E-3</v>
      </c>
      <c r="H2661" s="63"/>
    </row>
    <row r="2662" spans="1:8" x14ac:dyDescent="0.25">
      <c r="A2662" s="63"/>
      <c r="B2662" s="63">
        <v>6</v>
      </c>
      <c r="C2662" s="63" t="s">
        <v>2194</v>
      </c>
      <c r="D2662" s="63" t="s">
        <v>64</v>
      </c>
      <c r="E2662" s="66">
        <v>65.349051350310745</v>
      </c>
      <c r="F2662" s="67">
        <v>3.0000000000000001E-3</v>
      </c>
      <c r="G2662" s="67">
        <v>2E-3</v>
      </c>
      <c r="H2662" s="63"/>
    </row>
    <row r="2663" spans="1:8" x14ac:dyDescent="0.25">
      <c r="A2663" s="63"/>
      <c r="B2663" s="63">
        <v>7</v>
      </c>
      <c r="C2663" s="63" t="s">
        <v>2194</v>
      </c>
      <c r="D2663" s="63" t="s">
        <v>64</v>
      </c>
      <c r="E2663" s="66">
        <v>72.305128962695434</v>
      </c>
      <c r="F2663" s="67">
        <v>3.0000000000000001E-3</v>
      </c>
      <c r="G2663" s="67">
        <v>2E-3</v>
      </c>
      <c r="H2663" s="63"/>
    </row>
    <row r="2664" spans="1:8" x14ac:dyDescent="0.25">
      <c r="A2664" s="63"/>
      <c r="B2664" s="63">
        <v>8</v>
      </c>
      <c r="C2664" s="63" t="s">
        <v>2194</v>
      </c>
      <c r="D2664" s="63" t="s">
        <v>64</v>
      </c>
      <c r="E2664" s="66">
        <v>79.365490610542253</v>
      </c>
      <c r="F2664" s="67">
        <v>3.0000000000000001E-3</v>
      </c>
      <c r="G2664" s="67">
        <v>2E-3</v>
      </c>
      <c r="H2664" s="63"/>
    </row>
    <row r="2665" spans="1:8" x14ac:dyDescent="0.25">
      <c r="A2665" s="63"/>
      <c r="B2665" s="63">
        <v>9</v>
      </c>
      <c r="C2665" s="63" t="s">
        <v>2194</v>
      </c>
      <c r="D2665" s="63" t="s">
        <v>64</v>
      </c>
      <c r="E2665" s="66">
        <v>87.219003417886043</v>
      </c>
      <c r="F2665" s="67">
        <v>3.0000000000000001E-3</v>
      </c>
      <c r="G2665" s="67">
        <v>2E-3</v>
      </c>
      <c r="H2665" s="63"/>
    </row>
    <row r="2666" spans="1:8" x14ac:dyDescent="0.25">
      <c r="A2666" s="63"/>
      <c r="B2666" s="63">
        <v>10</v>
      </c>
      <c r="C2666" s="63" t="s">
        <v>2194</v>
      </c>
      <c r="D2666" s="63" t="s">
        <v>64</v>
      </c>
      <c r="E2666" s="66">
        <v>95.054924275940976</v>
      </c>
      <c r="F2666" s="67">
        <v>3.0000000000000001E-3</v>
      </c>
      <c r="G2666" s="67">
        <v>2E-3</v>
      </c>
      <c r="H2666" s="63"/>
    </row>
    <row r="2667" spans="1:8" x14ac:dyDescent="0.25">
      <c r="A2667" s="63"/>
      <c r="B2667" s="63">
        <v>11</v>
      </c>
      <c r="C2667" s="63" t="s">
        <v>2194</v>
      </c>
      <c r="D2667" s="63" t="s">
        <v>64</v>
      </c>
      <c r="E2667" s="66"/>
      <c r="F2667" s="67">
        <v>3.0000000000000001E-3</v>
      </c>
      <c r="G2667" s="67">
        <v>2E-3</v>
      </c>
      <c r="H2667" s="63"/>
    </row>
    <row r="2668" spans="1:8" x14ac:dyDescent="0.25">
      <c r="A2668" s="63"/>
      <c r="B2668" s="63">
        <v>12</v>
      </c>
      <c r="C2668" s="63" t="s">
        <v>2194</v>
      </c>
      <c r="D2668" s="63" t="s">
        <v>64</v>
      </c>
      <c r="E2668" s="66"/>
      <c r="F2668" s="67">
        <v>3.0000000000000001E-3</v>
      </c>
      <c r="G2668" s="67">
        <v>2E-3</v>
      </c>
      <c r="H2668" s="63"/>
    </row>
    <row r="2669" spans="1:8" x14ac:dyDescent="0.25">
      <c r="A2669" s="63"/>
      <c r="B2669" s="63">
        <v>13</v>
      </c>
      <c r="C2669" s="63" t="s">
        <v>2194</v>
      </c>
      <c r="D2669" s="63" t="s">
        <v>64</v>
      </c>
      <c r="E2669" s="66"/>
      <c r="F2669" s="67">
        <v>3.0000000000000001E-3</v>
      </c>
      <c r="G2669" s="67">
        <v>2E-3</v>
      </c>
      <c r="H2669" s="63"/>
    </row>
    <row r="2670" spans="1:8" x14ac:dyDescent="0.25">
      <c r="A2670" s="63"/>
      <c r="B2670" s="63">
        <v>14</v>
      </c>
      <c r="C2670" s="63" t="s">
        <v>2194</v>
      </c>
      <c r="D2670" s="63" t="s">
        <v>64</v>
      </c>
      <c r="E2670" s="66"/>
      <c r="F2670" s="67">
        <v>3.0000000000000001E-3</v>
      </c>
      <c r="G2670" s="67">
        <v>2E-3</v>
      </c>
      <c r="H2670" s="63"/>
    </row>
    <row r="2671" spans="1:8" x14ac:dyDescent="0.25">
      <c r="A2671" s="63"/>
      <c r="B2671" s="63">
        <v>15</v>
      </c>
      <c r="C2671" s="63" t="s">
        <v>2194</v>
      </c>
      <c r="D2671" s="63" t="s">
        <v>64</v>
      </c>
      <c r="E2671" s="66"/>
      <c r="F2671" s="67">
        <v>3.0000000000000001E-3</v>
      </c>
      <c r="G2671" s="67">
        <v>2E-3</v>
      </c>
      <c r="H2671" s="63"/>
    </row>
    <row r="2672" spans="1:8" x14ac:dyDescent="0.25">
      <c r="A2672" s="63"/>
      <c r="B2672" s="63">
        <v>16</v>
      </c>
      <c r="C2672" s="63" t="s">
        <v>2194</v>
      </c>
      <c r="D2672" s="63" t="s">
        <v>64</v>
      </c>
      <c r="E2672" s="66"/>
      <c r="F2672" s="67">
        <v>3.0000000000000001E-3</v>
      </c>
      <c r="G2672" s="67">
        <v>2E-3</v>
      </c>
      <c r="H2672" s="63"/>
    </row>
    <row r="2673" spans="1:8" x14ac:dyDescent="0.25">
      <c r="A2673" s="63"/>
      <c r="B2673" s="63">
        <v>17</v>
      </c>
      <c r="C2673" s="63" t="s">
        <v>2194</v>
      </c>
      <c r="D2673" s="63" t="s">
        <v>64</v>
      </c>
      <c r="E2673" s="66"/>
      <c r="F2673" s="67">
        <v>3.0000000000000001E-3</v>
      </c>
      <c r="G2673" s="67">
        <v>2E-3</v>
      </c>
      <c r="H2673" s="63"/>
    </row>
    <row r="2674" spans="1:8" x14ac:dyDescent="0.25">
      <c r="A2674" s="63"/>
      <c r="B2674" s="63">
        <v>18</v>
      </c>
      <c r="C2674" s="63" t="s">
        <v>2194</v>
      </c>
      <c r="D2674" s="63" t="s">
        <v>64</v>
      </c>
      <c r="E2674" s="66"/>
      <c r="F2674" s="67">
        <v>3.0000000000000001E-3</v>
      </c>
      <c r="G2674" s="67">
        <v>2E-3</v>
      </c>
      <c r="H2674" s="63"/>
    </row>
    <row r="2675" spans="1:8" x14ac:dyDescent="0.25">
      <c r="A2675" s="63"/>
      <c r="B2675" s="63">
        <v>19</v>
      </c>
      <c r="C2675" s="63" t="s">
        <v>2194</v>
      </c>
      <c r="D2675" s="63" t="s">
        <v>64</v>
      </c>
      <c r="E2675" s="66"/>
      <c r="F2675" s="67">
        <v>3.0000000000000001E-3</v>
      </c>
      <c r="G2675" s="67">
        <v>2E-3</v>
      </c>
      <c r="H2675" s="63"/>
    </row>
    <row r="2676" spans="1:8" x14ac:dyDescent="0.25">
      <c r="A2676" s="63"/>
      <c r="B2676" s="63">
        <v>20</v>
      </c>
      <c r="C2676" s="63" t="s">
        <v>2194</v>
      </c>
      <c r="D2676" s="63" t="s">
        <v>64</v>
      </c>
      <c r="E2676" s="66"/>
      <c r="F2676" s="67">
        <v>3.0000000000000001E-3</v>
      </c>
      <c r="G2676" s="67">
        <v>2E-3</v>
      </c>
      <c r="H2676" s="63"/>
    </row>
    <row r="2677" spans="1:8" x14ac:dyDescent="0.25">
      <c r="A2677" s="63"/>
      <c r="B2677" s="63">
        <v>21</v>
      </c>
      <c r="C2677" s="63" t="s">
        <v>2194</v>
      </c>
      <c r="D2677" s="63" t="s">
        <v>64</v>
      </c>
      <c r="E2677" s="66"/>
      <c r="F2677" s="67">
        <v>3.0000000000000001E-3</v>
      </c>
      <c r="G2677" s="67">
        <v>2E-3</v>
      </c>
      <c r="H2677" s="63"/>
    </row>
    <row r="2678" spans="1:8" x14ac:dyDescent="0.25">
      <c r="A2678" s="63"/>
      <c r="B2678" s="63">
        <v>22</v>
      </c>
      <c r="C2678" s="63" t="s">
        <v>2194</v>
      </c>
      <c r="D2678" s="63" t="s">
        <v>64</v>
      </c>
      <c r="E2678" s="66"/>
      <c r="F2678" s="67">
        <v>3.0000000000000001E-3</v>
      </c>
      <c r="G2678" s="67">
        <v>2E-3</v>
      </c>
      <c r="H2678" s="63"/>
    </row>
    <row r="2679" spans="1:8" x14ac:dyDescent="0.25">
      <c r="A2679" s="63"/>
      <c r="B2679" s="63">
        <v>23</v>
      </c>
      <c r="C2679" s="63" t="s">
        <v>2194</v>
      </c>
      <c r="D2679" s="63" t="s">
        <v>64</v>
      </c>
      <c r="E2679" s="66"/>
      <c r="F2679" s="67">
        <v>3.0000000000000001E-3</v>
      </c>
      <c r="G2679" s="67">
        <v>2E-3</v>
      </c>
      <c r="H2679" s="63"/>
    </row>
    <row r="2680" spans="1:8" x14ac:dyDescent="0.25">
      <c r="A2680" s="63"/>
      <c r="B2680" s="63">
        <v>24</v>
      </c>
      <c r="C2680" s="63" t="s">
        <v>2194</v>
      </c>
      <c r="D2680" s="63" t="s">
        <v>64</v>
      </c>
      <c r="E2680" s="66"/>
      <c r="F2680" s="67">
        <v>3.0000000000000001E-3</v>
      </c>
      <c r="G2680" s="67">
        <v>2E-3</v>
      </c>
      <c r="H2680" s="63"/>
    </row>
    <row r="2681" spans="1:8" x14ac:dyDescent="0.25">
      <c r="A2681" s="63"/>
      <c r="B2681" s="63">
        <v>25</v>
      </c>
      <c r="C2681" s="63" t="s">
        <v>2194</v>
      </c>
      <c r="D2681" s="63" t="s">
        <v>64</v>
      </c>
      <c r="E2681" s="66"/>
      <c r="F2681" s="67">
        <v>3.0000000000000001E-3</v>
      </c>
      <c r="G2681" s="67">
        <v>2E-3</v>
      </c>
      <c r="H2681" s="63"/>
    </row>
    <row r="2682" spans="1:8" x14ac:dyDescent="0.25">
      <c r="A2682" s="63"/>
      <c r="B2682" s="63">
        <v>26</v>
      </c>
      <c r="C2682" s="63" t="s">
        <v>2194</v>
      </c>
      <c r="D2682" s="63" t="s">
        <v>64</v>
      </c>
      <c r="E2682" s="66"/>
      <c r="F2682" s="67">
        <v>3.0000000000000001E-3</v>
      </c>
      <c r="G2682" s="67">
        <v>2E-3</v>
      </c>
      <c r="H2682" s="63"/>
    </row>
    <row r="2683" spans="1:8" x14ac:dyDescent="0.25">
      <c r="A2683" s="63"/>
      <c r="B2683" s="63">
        <v>27</v>
      </c>
      <c r="C2683" s="63" t="s">
        <v>2194</v>
      </c>
      <c r="D2683" s="63" t="s">
        <v>64</v>
      </c>
      <c r="E2683" s="66"/>
      <c r="F2683" s="67">
        <v>3.0000000000000001E-3</v>
      </c>
      <c r="G2683" s="67">
        <v>2E-3</v>
      </c>
      <c r="H2683" s="63"/>
    </row>
    <row r="2684" spans="1:8" x14ac:dyDescent="0.25">
      <c r="A2684" s="63"/>
      <c r="B2684" s="63">
        <v>28</v>
      </c>
      <c r="C2684" s="63" t="s">
        <v>2194</v>
      </c>
      <c r="D2684" s="63" t="s">
        <v>64</v>
      </c>
      <c r="E2684" s="66"/>
      <c r="F2684" s="67">
        <v>3.0000000000000001E-3</v>
      </c>
      <c r="G2684" s="67">
        <v>2E-3</v>
      </c>
      <c r="H2684" s="63"/>
    </row>
    <row r="2685" spans="1:8" x14ac:dyDescent="0.25">
      <c r="A2685" s="63"/>
      <c r="B2685" s="63">
        <v>29</v>
      </c>
      <c r="C2685" s="63" t="s">
        <v>2194</v>
      </c>
      <c r="D2685" s="63" t="s">
        <v>64</v>
      </c>
      <c r="E2685" s="66"/>
      <c r="F2685" s="67">
        <v>3.0000000000000001E-3</v>
      </c>
      <c r="G2685" s="67">
        <v>2E-3</v>
      </c>
      <c r="H2685" s="63"/>
    </row>
    <row r="2686" spans="1:8" x14ac:dyDescent="0.25">
      <c r="A2686" s="63"/>
      <c r="B2686" s="63">
        <v>30</v>
      </c>
      <c r="C2686" s="63" t="s">
        <v>2194</v>
      </c>
      <c r="D2686" s="63" t="s">
        <v>64</v>
      </c>
      <c r="E2686" s="66"/>
      <c r="F2686" s="67">
        <v>3.0000000000000001E-3</v>
      </c>
      <c r="G2686" s="67">
        <v>2E-3</v>
      </c>
      <c r="H2686" s="63"/>
    </row>
    <row r="2687" spans="1:8" x14ac:dyDescent="0.25">
      <c r="A2687" s="63"/>
      <c r="B2687" s="63">
        <v>0</v>
      </c>
      <c r="C2687" s="63" t="s">
        <v>2194</v>
      </c>
      <c r="D2687" s="63" t="s">
        <v>64</v>
      </c>
      <c r="E2687" s="66">
        <v>3.0428788910505911</v>
      </c>
      <c r="F2687" s="67">
        <v>3.0000000000000001E-3</v>
      </c>
      <c r="G2687" s="67">
        <v>2E-3</v>
      </c>
      <c r="H2687" s="63"/>
    </row>
    <row r="2688" spans="1:8" x14ac:dyDescent="0.25">
      <c r="A2688" s="63"/>
      <c r="B2688" s="63">
        <v>0.25</v>
      </c>
      <c r="C2688" s="63" t="s">
        <v>2194</v>
      </c>
      <c r="D2688" s="63" t="s">
        <v>77</v>
      </c>
      <c r="E2688" s="66">
        <v>29.524492842556562</v>
      </c>
      <c r="F2688" s="67">
        <v>3.0000000000000001E-3</v>
      </c>
      <c r="G2688" s="67">
        <v>2E-3</v>
      </c>
      <c r="H2688" s="63"/>
    </row>
    <row r="2689" spans="1:8" x14ac:dyDescent="0.25">
      <c r="A2689" s="63"/>
      <c r="B2689" s="63">
        <v>0.5</v>
      </c>
      <c r="C2689" s="63" t="s">
        <v>2194</v>
      </c>
      <c r="D2689" s="63" t="s">
        <v>77</v>
      </c>
      <c r="E2689" s="66">
        <v>32.487290496183469</v>
      </c>
      <c r="F2689" s="67">
        <v>3.0000000000000001E-3</v>
      </c>
      <c r="G2689" s="67">
        <v>2E-3</v>
      </c>
      <c r="H2689" s="63"/>
    </row>
    <row r="2690" spans="1:8" x14ac:dyDescent="0.25">
      <c r="A2690" s="63"/>
      <c r="B2690" s="63">
        <v>0.75</v>
      </c>
      <c r="C2690" s="63" t="s">
        <v>2194</v>
      </c>
      <c r="D2690" s="63" t="s">
        <v>77</v>
      </c>
      <c r="E2690" s="66">
        <v>35.748116535606904</v>
      </c>
      <c r="F2690" s="67">
        <v>3.0000000000000001E-3</v>
      </c>
      <c r="G2690" s="67">
        <v>2E-3</v>
      </c>
      <c r="H2690" s="63"/>
    </row>
    <row r="2691" spans="1:8" x14ac:dyDescent="0.25">
      <c r="A2691" s="63"/>
      <c r="B2691" s="63">
        <v>1</v>
      </c>
      <c r="C2691" s="63" t="s">
        <v>2194</v>
      </c>
      <c r="D2691" s="63" t="s">
        <v>77</v>
      </c>
      <c r="E2691" s="66">
        <v>37.965642814709312</v>
      </c>
      <c r="F2691" s="67">
        <v>3.0000000000000001E-3</v>
      </c>
      <c r="G2691" s="67">
        <v>2E-3</v>
      </c>
      <c r="H2691" s="63"/>
    </row>
    <row r="2692" spans="1:8" x14ac:dyDescent="0.25">
      <c r="A2692" s="63"/>
      <c r="B2692" s="63">
        <v>2</v>
      </c>
      <c r="C2692" s="63" t="s">
        <v>2194</v>
      </c>
      <c r="D2692" s="63" t="s">
        <v>77</v>
      </c>
      <c r="E2692" s="66">
        <v>45.530476820452918</v>
      </c>
      <c r="F2692" s="67">
        <v>3.0000000000000001E-3</v>
      </c>
      <c r="G2692" s="67">
        <v>2E-3</v>
      </c>
      <c r="H2692" s="63"/>
    </row>
    <row r="2693" spans="1:8" x14ac:dyDescent="0.25">
      <c r="A2693" s="63"/>
      <c r="B2693" s="63">
        <v>3</v>
      </c>
      <c r="C2693" s="63" t="s">
        <v>2194</v>
      </c>
      <c r="D2693" s="63" t="s">
        <v>77</v>
      </c>
      <c r="E2693" s="66">
        <v>58.45285356468932</v>
      </c>
      <c r="F2693" s="67">
        <v>3.0000000000000001E-3</v>
      </c>
      <c r="G2693" s="67">
        <v>2E-3</v>
      </c>
      <c r="H2693" s="63"/>
    </row>
    <row r="2694" spans="1:8" x14ac:dyDescent="0.25">
      <c r="A2694" s="63"/>
      <c r="B2694" s="63">
        <v>4</v>
      </c>
      <c r="C2694" s="63" t="s">
        <v>2194</v>
      </c>
      <c r="D2694" s="63" t="s">
        <v>77</v>
      </c>
      <c r="E2694" s="66">
        <v>67.761055410140116</v>
      </c>
      <c r="F2694" s="67">
        <v>3.0000000000000001E-3</v>
      </c>
      <c r="G2694" s="67">
        <v>2E-3</v>
      </c>
      <c r="H2694" s="63"/>
    </row>
    <row r="2695" spans="1:8" x14ac:dyDescent="0.25">
      <c r="A2695" s="63"/>
      <c r="B2695" s="63">
        <v>5</v>
      </c>
      <c r="C2695" s="63" t="s">
        <v>2194</v>
      </c>
      <c r="D2695" s="63" t="s">
        <v>77</v>
      </c>
      <c r="E2695" s="66">
        <v>77.287360669842101</v>
      </c>
      <c r="F2695" s="67">
        <v>3.0000000000000001E-3</v>
      </c>
      <c r="G2695" s="67">
        <v>2E-3</v>
      </c>
      <c r="H2695" s="63"/>
    </row>
    <row r="2696" spans="1:8" x14ac:dyDescent="0.25">
      <c r="A2696" s="63"/>
      <c r="B2696" s="63">
        <v>6</v>
      </c>
      <c r="C2696" s="63" t="s">
        <v>2194</v>
      </c>
      <c r="D2696" s="63" t="s">
        <v>77</v>
      </c>
      <c r="E2696" s="66">
        <v>87.053579685220271</v>
      </c>
      <c r="F2696" s="67">
        <v>3.0000000000000001E-3</v>
      </c>
      <c r="G2696" s="67">
        <v>2E-3</v>
      </c>
      <c r="H2696" s="63"/>
    </row>
    <row r="2697" spans="1:8" x14ac:dyDescent="0.25">
      <c r="A2697" s="63"/>
      <c r="B2697" s="63">
        <v>7</v>
      </c>
      <c r="C2697" s="63" t="s">
        <v>2194</v>
      </c>
      <c r="D2697" s="63" t="s">
        <v>77</v>
      </c>
      <c r="E2697" s="66">
        <v>97.083703831842314</v>
      </c>
      <c r="F2697" s="67">
        <v>3.0000000000000001E-3</v>
      </c>
      <c r="G2697" s="67">
        <v>2E-3</v>
      </c>
      <c r="H2697" s="63"/>
    </row>
    <row r="2698" spans="1:8" x14ac:dyDescent="0.25">
      <c r="A2698" s="63"/>
      <c r="B2698" s="63">
        <v>8</v>
      </c>
      <c r="C2698" s="63" t="s">
        <v>2194</v>
      </c>
      <c r="D2698" s="63" t="s">
        <v>77</v>
      </c>
      <c r="E2698" s="66">
        <v>107.40412362283266</v>
      </c>
      <c r="F2698" s="67">
        <v>3.0000000000000001E-3</v>
      </c>
      <c r="G2698" s="67">
        <v>2E-3</v>
      </c>
      <c r="H2698" s="63"/>
    </row>
    <row r="2699" spans="1:8" x14ac:dyDescent="0.25">
      <c r="A2699" s="63"/>
      <c r="B2699" s="63">
        <v>9</v>
      </c>
      <c r="C2699" s="63" t="s">
        <v>2194</v>
      </c>
      <c r="D2699" s="63" t="s">
        <v>77</v>
      </c>
      <c r="E2699" s="66">
        <v>118.04386862262805</v>
      </c>
      <c r="F2699" s="67">
        <v>3.0000000000000001E-3</v>
      </c>
      <c r="G2699" s="67">
        <v>2E-3</v>
      </c>
      <c r="H2699" s="63"/>
    </row>
    <row r="2700" spans="1:8" x14ac:dyDescent="0.25">
      <c r="A2700" s="63"/>
      <c r="B2700" s="63">
        <v>10</v>
      </c>
      <c r="C2700" s="63" t="s">
        <v>2194</v>
      </c>
      <c r="D2700" s="63" t="s">
        <v>77</v>
      </c>
      <c r="E2700" s="66">
        <v>129.83300895391392</v>
      </c>
      <c r="F2700" s="67">
        <v>3.0000000000000001E-3</v>
      </c>
      <c r="G2700" s="67">
        <v>2E-3</v>
      </c>
      <c r="H2700" s="63"/>
    </row>
    <row r="2701" spans="1:8" x14ac:dyDescent="0.25">
      <c r="A2701" s="63"/>
      <c r="B2701" s="63">
        <v>11</v>
      </c>
      <c r="C2701" s="63" t="s">
        <v>2194</v>
      </c>
      <c r="D2701" s="63" t="s">
        <v>77</v>
      </c>
      <c r="E2701" s="66"/>
      <c r="F2701" s="67">
        <v>3.0000000000000001E-3</v>
      </c>
      <c r="G2701" s="67">
        <v>2E-3</v>
      </c>
      <c r="H2701" s="63"/>
    </row>
    <row r="2702" spans="1:8" x14ac:dyDescent="0.25">
      <c r="A2702" s="63"/>
      <c r="B2702" s="63">
        <v>12</v>
      </c>
      <c r="C2702" s="63" t="s">
        <v>2194</v>
      </c>
      <c r="D2702" s="63" t="s">
        <v>77</v>
      </c>
      <c r="E2702" s="66"/>
      <c r="F2702" s="67">
        <v>3.0000000000000001E-3</v>
      </c>
      <c r="G2702" s="67">
        <v>2E-3</v>
      </c>
      <c r="H2702" s="63"/>
    </row>
    <row r="2703" spans="1:8" x14ac:dyDescent="0.25">
      <c r="A2703" s="63"/>
      <c r="B2703" s="63">
        <v>13</v>
      </c>
      <c r="C2703" s="63" t="s">
        <v>2194</v>
      </c>
      <c r="D2703" s="63" t="s">
        <v>77</v>
      </c>
      <c r="E2703" s="66"/>
      <c r="F2703" s="67">
        <v>3.0000000000000001E-3</v>
      </c>
      <c r="G2703" s="67">
        <v>2E-3</v>
      </c>
      <c r="H2703" s="63"/>
    </row>
    <row r="2704" spans="1:8" x14ac:dyDescent="0.25">
      <c r="A2704" s="63"/>
      <c r="B2704" s="63">
        <v>14</v>
      </c>
      <c r="C2704" s="63" t="s">
        <v>2194</v>
      </c>
      <c r="D2704" s="63" t="s">
        <v>77</v>
      </c>
      <c r="E2704" s="66"/>
      <c r="F2704" s="67">
        <v>3.0000000000000001E-3</v>
      </c>
      <c r="G2704" s="67">
        <v>2E-3</v>
      </c>
      <c r="H2704" s="63"/>
    </row>
    <row r="2705" spans="1:8" x14ac:dyDescent="0.25">
      <c r="A2705" s="63"/>
      <c r="B2705" s="63">
        <v>15</v>
      </c>
      <c r="C2705" s="63" t="s">
        <v>2194</v>
      </c>
      <c r="D2705" s="63" t="s">
        <v>77</v>
      </c>
      <c r="E2705" s="66"/>
      <c r="F2705" s="67">
        <v>3.0000000000000001E-3</v>
      </c>
      <c r="G2705" s="67">
        <v>2E-3</v>
      </c>
      <c r="H2705" s="63"/>
    </row>
    <row r="2706" spans="1:8" x14ac:dyDescent="0.25">
      <c r="A2706" s="63"/>
      <c r="B2706" s="63">
        <v>16</v>
      </c>
      <c r="C2706" s="63" t="s">
        <v>2194</v>
      </c>
      <c r="D2706" s="63" t="s">
        <v>77</v>
      </c>
      <c r="E2706" s="66"/>
      <c r="F2706" s="67">
        <v>3.0000000000000001E-3</v>
      </c>
      <c r="G2706" s="67">
        <v>2E-3</v>
      </c>
      <c r="H2706" s="63"/>
    </row>
    <row r="2707" spans="1:8" x14ac:dyDescent="0.25">
      <c r="A2707" s="63"/>
      <c r="B2707" s="63">
        <v>17</v>
      </c>
      <c r="C2707" s="63" t="s">
        <v>2194</v>
      </c>
      <c r="D2707" s="63" t="s">
        <v>77</v>
      </c>
      <c r="E2707" s="66"/>
      <c r="F2707" s="67">
        <v>3.0000000000000001E-3</v>
      </c>
      <c r="G2707" s="67">
        <v>2E-3</v>
      </c>
      <c r="H2707" s="63"/>
    </row>
    <row r="2708" spans="1:8" x14ac:dyDescent="0.25">
      <c r="A2708" s="63"/>
      <c r="B2708" s="63">
        <v>18</v>
      </c>
      <c r="C2708" s="63" t="s">
        <v>2194</v>
      </c>
      <c r="D2708" s="63" t="s">
        <v>77</v>
      </c>
      <c r="E2708" s="66"/>
      <c r="F2708" s="67">
        <v>3.0000000000000001E-3</v>
      </c>
      <c r="G2708" s="67">
        <v>2E-3</v>
      </c>
      <c r="H2708" s="63"/>
    </row>
    <row r="2709" spans="1:8" x14ac:dyDescent="0.25">
      <c r="A2709" s="63"/>
      <c r="B2709" s="63">
        <v>19</v>
      </c>
      <c r="C2709" s="63" t="s">
        <v>2194</v>
      </c>
      <c r="D2709" s="63" t="s">
        <v>77</v>
      </c>
      <c r="E2709" s="66"/>
      <c r="F2709" s="67">
        <v>3.0000000000000001E-3</v>
      </c>
      <c r="G2709" s="67">
        <v>2E-3</v>
      </c>
      <c r="H2709" s="63"/>
    </row>
    <row r="2710" spans="1:8" x14ac:dyDescent="0.25">
      <c r="A2710" s="63"/>
      <c r="B2710" s="63">
        <v>20</v>
      </c>
      <c r="C2710" s="63" t="s">
        <v>2194</v>
      </c>
      <c r="D2710" s="63" t="s">
        <v>77</v>
      </c>
      <c r="E2710" s="66"/>
      <c r="F2710" s="67">
        <v>3.0000000000000001E-3</v>
      </c>
      <c r="G2710" s="67">
        <v>2E-3</v>
      </c>
      <c r="H2710" s="63"/>
    </row>
    <row r="2711" spans="1:8" x14ac:dyDescent="0.25">
      <c r="A2711" s="63"/>
      <c r="B2711" s="63">
        <v>21</v>
      </c>
      <c r="C2711" s="63" t="s">
        <v>2194</v>
      </c>
      <c r="D2711" s="63" t="s">
        <v>77</v>
      </c>
      <c r="E2711" s="66"/>
      <c r="F2711" s="67">
        <v>3.0000000000000001E-3</v>
      </c>
      <c r="G2711" s="67">
        <v>2E-3</v>
      </c>
      <c r="H2711" s="63"/>
    </row>
    <row r="2712" spans="1:8" x14ac:dyDescent="0.25">
      <c r="A2712" s="63"/>
      <c r="B2712" s="63">
        <v>22</v>
      </c>
      <c r="C2712" s="63" t="s">
        <v>2194</v>
      </c>
      <c r="D2712" s="63" t="s">
        <v>77</v>
      </c>
      <c r="E2712" s="66"/>
      <c r="F2712" s="67">
        <v>3.0000000000000001E-3</v>
      </c>
      <c r="G2712" s="67">
        <v>2E-3</v>
      </c>
      <c r="H2712" s="63"/>
    </row>
    <row r="2713" spans="1:8" x14ac:dyDescent="0.25">
      <c r="A2713" s="63"/>
      <c r="B2713" s="63">
        <v>23</v>
      </c>
      <c r="C2713" s="63" t="s">
        <v>2194</v>
      </c>
      <c r="D2713" s="63" t="s">
        <v>77</v>
      </c>
      <c r="E2713" s="66"/>
      <c r="F2713" s="67">
        <v>3.0000000000000001E-3</v>
      </c>
      <c r="G2713" s="67">
        <v>2E-3</v>
      </c>
      <c r="H2713" s="63"/>
    </row>
    <row r="2714" spans="1:8" x14ac:dyDescent="0.25">
      <c r="A2714" s="63"/>
      <c r="B2714" s="63">
        <v>24</v>
      </c>
      <c r="C2714" s="63" t="s">
        <v>2194</v>
      </c>
      <c r="D2714" s="63" t="s">
        <v>77</v>
      </c>
      <c r="E2714" s="66"/>
      <c r="F2714" s="67">
        <v>3.0000000000000001E-3</v>
      </c>
      <c r="G2714" s="67">
        <v>2E-3</v>
      </c>
      <c r="H2714" s="63"/>
    </row>
    <row r="2715" spans="1:8" x14ac:dyDescent="0.25">
      <c r="A2715" s="63"/>
      <c r="B2715" s="63">
        <v>25</v>
      </c>
      <c r="C2715" s="63" t="s">
        <v>2194</v>
      </c>
      <c r="D2715" s="63" t="s">
        <v>77</v>
      </c>
      <c r="E2715" s="66"/>
      <c r="F2715" s="67">
        <v>3.0000000000000001E-3</v>
      </c>
      <c r="G2715" s="67">
        <v>2E-3</v>
      </c>
      <c r="H2715" s="63"/>
    </row>
    <row r="2716" spans="1:8" x14ac:dyDescent="0.25">
      <c r="A2716" s="63"/>
      <c r="B2716" s="63">
        <v>26</v>
      </c>
      <c r="C2716" s="63" t="s">
        <v>2194</v>
      </c>
      <c r="D2716" s="63" t="s">
        <v>77</v>
      </c>
      <c r="E2716" s="66"/>
      <c r="F2716" s="67">
        <v>3.0000000000000001E-3</v>
      </c>
      <c r="G2716" s="67">
        <v>2E-3</v>
      </c>
      <c r="H2716" s="63"/>
    </row>
    <row r="2717" spans="1:8" x14ac:dyDescent="0.25">
      <c r="A2717" s="63"/>
      <c r="B2717" s="63">
        <v>27</v>
      </c>
      <c r="C2717" s="63" t="s">
        <v>2194</v>
      </c>
      <c r="D2717" s="63" t="s">
        <v>77</v>
      </c>
      <c r="E2717" s="66"/>
      <c r="F2717" s="67">
        <v>3.0000000000000001E-3</v>
      </c>
      <c r="G2717" s="67">
        <v>2E-3</v>
      </c>
      <c r="H2717" s="63"/>
    </row>
    <row r="2718" spans="1:8" x14ac:dyDescent="0.25">
      <c r="A2718" s="63"/>
      <c r="B2718" s="63">
        <v>28</v>
      </c>
      <c r="C2718" s="63" t="s">
        <v>2194</v>
      </c>
      <c r="D2718" s="63" t="s">
        <v>77</v>
      </c>
      <c r="E2718" s="66"/>
      <c r="F2718" s="67">
        <v>3.0000000000000001E-3</v>
      </c>
      <c r="G2718" s="67">
        <v>2E-3</v>
      </c>
      <c r="H2718" s="63"/>
    </row>
    <row r="2719" spans="1:8" x14ac:dyDescent="0.25">
      <c r="A2719" s="63"/>
      <c r="B2719" s="63">
        <v>29</v>
      </c>
      <c r="C2719" s="63" t="s">
        <v>2194</v>
      </c>
      <c r="D2719" s="63" t="s">
        <v>77</v>
      </c>
      <c r="E2719" s="66"/>
      <c r="F2719" s="67">
        <v>3.0000000000000001E-3</v>
      </c>
      <c r="G2719" s="67">
        <v>2E-3</v>
      </c>
      <c r="H2719" s="63"/>
    </row>
    <row r="2720" spans="1:8" x14ac:dyDescent="0.25">
      <c r="A2720" s="63"/>
      <c r="B2720" s="63">
        <v>30</v>
      </c>
      <c r="C2720" s="63" t="s">
        <v>2194</v>
      </c>
      <c r="D2720" s="63" t="s">
        <v>77</v>
      </c>
      <c r="E2720" s="66"/>
      <c r="F2720" s="67">
        <v>3.0000000000000001E-3</v>
      </c>
      <c r="G2720" s="67">
        <v>2E-3</v>
      </c>
      <c r="H2720" s="63"/>
    </row>
    <row r="2721" spans="1:8" x14ac:dyDescent="0.25">
      <c r="A2721" s="63"/>
      <c r="B2721" s="63">
        <v>0</v>
      </c>
      <c r="C2721" s="63" t="s">
        <v>2194</v>
      </c>
      <c r="D2721" s="63" t="s">
        <v>77</v>
      </c>
      <c r="E2721" s="66">
        <v>3.0428788910505911</v>
      </c>
      <c r="F2721" s="67">
        <v>3.0000000000000001E-3</v>
      </c>
      <c r="G2721" s="67">
        <v>2E-3</v>
      </c>
      <c r="H2721" s="63"/>
    </row>
    <row r="2722" spans="1:8" x14ac:dyDescent="0.25">
      <c r="A2722" s="63"/>
      <c r="B2722" s="63">
        <v>0.25</v>
      </c>
      <c r="C2722" s="63" t="s">
        <v>2815</v>
      </c>
      <c r="D2722" s="63" t="s">
        <v>21</v>
      </c>
      <c r="E2722" s="66">
        <v>14.987546559075671</v>
      </c>
      <c r="F2722" s="67">
        <v>3.0000000000000001E-3</v>
      </c>
      <c r="G2722" s="67">
        <v>2E-3</v>
      </c>
      <c r="H2722" s="63"/>
    </row>
    <row r="2723" spans="1:8" x14ac:dyDescent="0.25">
      <c r="A2723" s="63"/>
      <c r="B2723" s="63">
        <v>0.5</v>
      </c>
      <c r="C2723" s="63" t="s">
        <v>2815</v>
      </c>
      <c r="D2723" s="63" t="s">
        <v>21</v>
      </c>
      <c r="E2723" s="66">
        <v>16.17039118053189</v>
      </c>
      <c r="F2723" s="67">
        <v>3.0000000000000001E-3</v>
      </c>
      <c r="G2723" s="67">
        <v>2E-3</v>
      </c>
      <c r="H2723" s="63"/>
    </row>
    <row r="2724" spans="1:8" x14ac:dyDescent="0.25">
      <c r="A2724" s="63"/>
      <c r="B2724" s="63">
        <v>0.75</v>
      </c>
      <c r="C2724" s="63" t="s">
        <v>2815</v>
      </c>
      <c r="D2724" s="63" t="s">
        <v>21</v>
      </c>
      <c r="E2724" s="66">
        <v>17.280378886415619</v>
      </c>
      <c r="F2724" s="67">
        <v>3.0000000000000001E-3</v>
      </c>
      <c r="G2724" s="67">
        <v>2E-3</v>
      </c>
      <c r="H2724" s="63"/>
    </row>
    <row r="2725" spans="1:8" x14ac:dyDescent="0.25">
      <c r="A2725" s="63"/>
      <c r="B2725" s="63">
        <v>1</v>
      </c>
      <c r="C2725" s="63" t="s">
        <v>2815</v>
      </c>
      <c r="D2725" s="63" t="s">
        <v>21</v>
      </c>
      <c r="E2725" s="66">
        <v>18.671037701249148</v>
      </c>
      <c r="F2725" s="67">
        <v>3.0000000000000001E-3</v>
      </c>
      <c r="G2725" s="67">
        <v>2E-3</v>
      </c>
      <c r="H2725" s="63"/>
    </row>
    <row r="2726" spans="1:8" x14ac:dyDescent="0.25">
      <c r="A2726" s="63"/>
      <c r="B2726" s="63">
        <v>2</v>
      </c>
      <c r="C2726" s="63" t="s">
        <v>2815</v>
      </c>
      <c r="D2726" s="63" t="s">
        <v>21</v>
      </c>
      <c r="E2726" s="66">
        <v>22.274582007465412</v>
      </c>
      <c r="F2726" s="67">
        <v>3.0000000000000001E-3</v>
      </c>
      <c r="G2726" s="67">
        <v>2E-3</v>
      </c>
      <c r="H2726" s="63"/>
    </row>
    <row r="2727" spans="1:8" x14ac:dyDescent="0.25">
      <c r="A2727" s="63"/>
      <c r="B2727" s="63">
        <v>3</v>
      </c>
      <c r="C2727" s="63" t="s">
        <v>2815</v>
      </c>
      <c r="D2727" s="63" t="s">
        <v>21</v>
      </c>
      <c r="E2727" s="66">
        <v>28.786144035209752</v>
      </c>
      <c r="F2727" s="67">
        <v>3.0000000000000001E-3</v>
      </c>
      <c r="G2727" s="67">
        <v>2E-3</v>
      </c>
      <c r="H2727" s="63"/>
    </row>
    <row r="2728" spans="1:8" x14ac:dyDescent="0.25">
      <c r="A2728" s="63"/>
      <c r="B2728" s="63">
        <v>4</v>
      </c>
      <c r="C2728" s="63" t="s">
        <v>2815</v>
      </c>
      <c r="D2728" s="63" t="s">
        <v>21</v>
      </c>
      <c r="E2728" s="66">
        <v>35.776957821109391</v>
      </c>
      <c r="F2728" s="67">
        <v>3.0000000000000001E-3</v>
      </c>
      <c r="G2728" s="67">
        <v>2E-3</v>
      </c>
      <c r="H2728" s="63"/>
    </row>
    <row r="2729" spans="1:8" x14ac:dyDescent="0.25">
      <c r="A2729" s="63"/>
      <c r="B2729" s="63">
        <v>5</v>
      </c>
      <c r="C2729" s="63" t="s">
        <v>2815</v>
      </c>
      <c r="D2729" s="63" t="s">
        <v>21</v>
      </c>
      <c r="E2729" s="66">
        <v>43.052867169098633</v>
      </c>
      <c r="F2729" s="67">
        <v>3.0000000000000001E-3</v>
      </c>
      <c r="G2729" s="67">
        <v>2E-3</v>
      </c>
      <c r="H2729" s="63"/>
    </row>
    <row r="2730" spans="1:8" x14ac:dyDescent="0.25">
      <c r="A2730" s="63"/>
      <c r="B2730" s="63">
        <v>6</v>
      </c>
      <c r="C2730" s="63" t="s">
        <v>2815</v>
      </c>
      <c r="D2730" s="63" t="s">
        <v>21</v>
      </c>
      <c r="E2730" s="66">
        <v>52.474424070208499</v>
      </c>
      <c r="F2730" s="67">
        <v>3.0000000000000001E-3</v>
      </c>
      <c r="G2730" s="67">
        <v>2E-3</v>
      </c>
      <c r="H2730" s="63"/>
    </row>
    <row r="2731" spans="1:8" x14ac:dyDescent="0.25">
      <c r="A2731" s="63"/>
      <c r="B2731" s="63">
        <v>7</v>
      </c>
      <c r="C2731" s="63" t="s">
        <v>2815</v>
      </c>
      <c r="D2731" s="63" t="s">
        <v>21</v>
      </c>
      <c r="E2731" s="66">
        <v>59.078762397590488</v>
      </c>
      <c r="F2731" s="67">
        <v>3.0000000000000001E-3</v>
      </c>
      <c r="G2731" s="67">
        <v>2E-3</v>
      </c>
      <c r="H2731" s="63"/>
    </row>
    <row r="2732" spans="1:8" x14ac:dyDescent="0.25">
      <c r="A2732" s="63"/>
      <c r="B2732" s="63">
        <v>8</v>
      </c>
      <c r="C2732" s="63" t="s">
        <v>2815</v>
      </c>
      <c r="D2732" s="63" t="s">
        <v>21</v>
      </c>
      <c r="E2732" s="66">
        <v>65.792012425053997</v>
      </c>
      <c r="F2732" s="67">
        <v>3.0000000000000001E-3</v>
      </c>
      <c r="G2732" s="67">
        <v>2E-3</v>
      </c>
      <c r="H2732" s="63"/>
    </row>
    <row r="2733" spans="1:8" x14ac:dyDescent="0.25">
      <c r="A2733" s="63"/>
      <c r="B2733" s="63">
        <v>9</v>
      </c>
      <c r="C2733" s="63" t="s">
        <v>2815</v>
      </c>
      <c r="D2733" s="63" t="s">
        <v>21</v>
      </c>
      <c r="E2733" s="66">
        <v>72.625065322607171</v>
      </c>
      <c r="F2733" s="67">
        <v>3.0000000000000001E-3</v>
      </c>
      <c r="G2733" s="67">
        <v>2E-3</v>
      </c>
      <c r="H2733" s="63"/>
    </row>
    <row r="2734" spans="1:8" x14ac:dyDescent="0.25">
      <c r="A2734" s="63"/>
      <c r="B2734" s="63">
        <v>10</v>
      </c>
      <c r="C2734" s="63" t="s">
        <v>2815</v>
      </c>
      <c r="D2734" s="63" t="s">
        <v>21</v>
      </c>
      <c r="E2734" s="66">
        <v>78.906511576875957</v>
      </c>
      <c r="F2734" s="67">
        <v>3.0000000000000001E-3</v>
      </c>
      <c r="G2734" s="67">
        <v>2E-3</v>
      </c>
      <c r="H2734" s="63"/>
    </row>
    <row r="2735" spans="1:8" x14ac:dyDescent="0.25">
      <c r="A2735" s="63"/>
      <c r="B2735" s="63">
        <v>11</v>
      </c>
      <c r="C2735" s="63" t="s">
        <v>2815</v>
      </c>
      <c r="D2735" s="63" t="s">
        <v>21</v>
      </c>
      <c r="E2735" s="66"/>
      <c r="F2735" s="67">
        <v>3.0000000000000001E-3</v>
      </c>
      <c r="G2735" s="67">
        <v>2E-3</v>
      </c>
      <c r="H2735" s="63"/>
    </row>
    <row r="2736" spans="1:8" x14ac:dyDescent="0.25">
      <c r="A2736" s="63"/>
      <c r="B2736" s="63">
        <v>12</v>
      </c>
      <c r="C2736" s="63" t="s">
        <v>2815</v>
      </c>
      <c r="D2736" s="63" t="s">
        <v>21</v>
      </c>
      <c r="E2736" s="66"/>
      <c r="F2736" s="67">
        <v>3.0000000000000001E-3</v>
      </c>
      <c r="G2736" s="67">
        <v>2E-3</v>
      </c>
      <c r="H2736" s="63"/>
    </row>
    <row r="2737" spans="1:8" x14ac:dyDescent="0.25">
      <c r="A2737" s="63"/>
      <c r="B2737" s="63">
        <v>13</v>
      </c>
      <c r="C2737" s="63" t="s">
        <v>2815</v>
      </c>
      <c r="D2737" s="63" t="s">
        <v>21</v>
      </c>
      <c r="E2737" s="66"/>
      <c r="F2737" s="67">
        <v>3.0000000000000001E-3</v>
      </c>
      <c r="G2737" s="67">
        <v>2E-3</v>
      </c>
      <c r="H2737" s="63"/>
    </row>
    <row r="2738" spans="1:8" x14ac:dyDescent="0.25">
      <c r="A2738" s="63"/>
      <c r="B2738" s="63">
        <v>14</v>
      </c>
      <c r="C2738" s="63" t="s">
        <v>2815</v>
      </c>
      <c r="D2738" s="63" t="s">
        <v>21</v>
      </c>
      <c r="E2738" s="66"/>
      <c r="F2738" s="67">
        <v>3.0000000000000001E-3</v>
      </c>
      <c r="G2738" s="67">
        <v>2E-3</v>
      </c>
      <c r="H2738" s="63"/>
    </row>
    <row r="2739" spans="1:8" x14ac:dyDescent="0.25">
      <c r="A2739" s="63"/>
      <c r="B2739" s="63">
        <v>15</v>
      </c>
      <c r="C2739" s="63" t="s">
        <v>2815</v>
      </c>
      <c r="D2739" s="63" t="s">
        <v>21</v>
      </c>
      <c r="E2739" s="66"/>
      <c r="F2739" s="67">
        <v>3.0000000000000001E-3</v>
      </c>
      <c r="G2739" s="67">
        <v>2E-3</v>
      </c>
      <c r="H2739" s="63"/>
    </row>
    <row r="2740" spans="1:8" x14ac:dyDescent="0.25">
      <c r="A2740" s="63"/>
      <c r="B2740" s="63">
        <v>16</v>
      </c>
      <c r="C2740" s="63" t="s">
        <v>2815</v>
      </c>
      <c r="D2740" s="63" t="s">
        <v>21</v>
      </c>
      <c r="E2740" s="66"/>
      <c r="F2740" s="67">
        <v>3.0000000000000001E-3</v>
      </c>
      <c r="G2740" s="67">
        <v>2E-3</v>
      </c>
      <c r="H2740" s="63"/>
    </row>
    <row r="2741" spans="1:8" x14ac:dyDescent="0.25">
      <c r="A2741" s="63"/>
      <c r="B2741" s="63">
        <v>17</v>
      </c>
      <c r="C2741" s="63" t="s">
        <v>2815</v>
      </c>
      <c r="D2741" s="63" t="s">
        <v>21</v>
      </c>
      <c r="E2741" s="66"/>
      <c r="F2741" s="67">
        <v>3.0000000000000001E-3</v>
      </c>
      <c r="G2741" s="67">
        <v>2E-3</v>
      </c>
      <c r="H2741" s="63"/>
    </row>
    <row r="2742" spans="1:8" x14ac:dyDescent="0.25">
      <c r="A2742" s="63"/>
      <c r="B2742" s="63">
        <v>18</v>
      </c>
      <c r="C2742" s="63" t="s">
        <v>2815</v>
      </c>
      <c r="D2742" s="63" t="s">
        <v>21</v>
      </c>
      <c r="E2742" s="66"/>
      <c r="F2742" s="67">
        <v>3.0000000000000001E-3</v>
      </c>
      <c r="G2742" s="67">
        <v>2E-3</v>
      </c>
      <c r="H2742" s="63"/>
    </row>
    <row r="2743" spans="1:8" x14ac:dyDescent="0.25">
      <c r="A2743" s="63"/>
      <c r="B2743" s="63">
        <v>19</v>
      </c>
      <c r="C2743" s="63" t="s">
        <v>2815</v>
      </c>
      <c r="D2743" s="63" t="s">
        <v>21</v>
      </c>
      <c r="E2743" s="66"/>
      <c r="F2743" s="67">
        <v>3.0000000000000001E-3</v>
      </c>
      <c r="G2743" s="67">
        <v>2E-3</v>
      </c>
      <c r="H2743" s="63"/>
    </row>
    <row r="2744" spans="1:8" x14ac:dyDescent="0.25">
      <c r="A2744" s="63"/>
      <c r="B2744" s="63">
        <v>20</v>
      </c>
      <c r="C2744" s="63" t="s">
        <v>2815</v>
      </c>
      <c r="D2744" s="63" t="s">
        <v>21</v>
      </c>
      <c r="E2744" s="66"/>
      <c r="F2744" s="67">
        <v>3.0000000000000001E-3</v>
      </c>
      <c r="G2744" s="67">
        <v>2E-3</v>
      </c>
      <c r="H2744" s="63"/>
    </row>
    <row r="2745" spans="1:8" x14ac:dyDescent="0.25">
      <c r="A2745" s="63"/>
      <c r="B2745" s="63">
        <v>21</v>
      </c>
      <c r="C2745" s="63" t="s">
        <v>2815</v>
      </c>
      <c r="D2745" s="63" t="s">
        <v>21</v>
      </c>
      <c r="E2745" s="66"/>
      <c r="F2745" s="67">
        <v>3.0000000000000001E-3</v>
      </c>
      <c r="G2745" s="67">
        <v>2E-3</v>
      </c>
      <c r="H2745" s="63"/>
    </row>
    <row r="2746" spans="1:8" x14ac:dyDescent="0.25">
      <c r="A2746" s="63"/>
      <c r="B2746" s="63">
        <v>22</v>
      </c>
      <c r="C2746" s="63" t="s">
        <v>2815</v>
      </c>
      <c r="D2746" s="63" t="s">
        <v>21</v>
      </c>
      <c r="E2746" s="66"/>
      <c r="F2746" s="67">
        <v>3.0000000000000001E-3</v>
      </c>
      <c r="G2746" s="67">
        <v>2E-3</v>
      </c>
      <c r="H2746" s="63"/>
    </row>
    <row r="2747" spans="1:8" x14ac:dyDescent="0.25">
      <c r="A2747" s="63"/>
      <c r="B2747" s="63">
        <v>23</v>
      </c>
      <c r="C2747" s="63" t="s">
        <v>2815</v>
      </c>
      <c r="D2747" s="63" t="s">
        <v>21</v>
      </c>
      <c r="E2747" s="66"/>
      <c r="F2747" s="67">
        <v>3.0000000000000001E-3</v>
      </c>
      <c r="G2747" s="67">
        <v>2E-3</v>
      </c>
      <c r="H2747" s="63"/>
    </row>
    <row r="2748" spans="1:8" x14ac:dyDescent="0.25">
      <c r="A2748" s="63"/>
      <c r="B2748" s="63">
        <v>24</v>
      </c>
      <c r="C2748" s="63" t="s">
        <v>2815</v>
      </c>
      <c r="D2748" s="63" t="s">
        <v>21</v>
      </c>
      <c r="E2748" s="66"/>
      <c r="F2748" s="67">
        <v>3.0000000000000001E-3</v>
      </c>
      <c r="G2748" s="67">
        <v>2E-3</v>
      </c>
      <c r="H2748" s="63"/>
    </row>
    <row r="2749" spans="1:8" x14ac:dyDescent="0.25">
      <c r="A2749" s="63"/>
      <c r="B2749" s="63">
        <v>25</v>
      </c>
      <c r="C2749" s="63" t="s">
        <v>2815</v>
      </c>
      <c r="D2749" s="63" t="s">
        <v>21</v>
      </c>
      <c r="E2749" s="66"/>
      <c r="F2749" s="67">
        <v>3.0000000000000001E-3</v>
      </c>
      <c r="G2749" s="67">
        <v>2E-3</v>
      </c>
      <c r="H2749" s="63"/>
    </row>
    <row r="2750" spans="1:8" x14ac:dyDescent="0.25">
      <c r="A2750" s="63"/>
      <c r="B2750" s="63">
        <v>26</v>
      </c>
      <c r="C2750" s="63" t="s">
        <v>2815</v>
      </c>
      <c r="D2750" s="63" t="s">
        <v>21</v>
      </c>
      <c r="E2750" s="66"/>
      <c r="F2750" s="67">
        <v>3.0000000000000001E-3</v>
      </c>
      <c r="G2750" s="67">
        <v>2E-3</v>
      </c>
      <c r="H2750" s="63"/>
    </row>
    <row r="2751" spans="1:8" x14ac:dyDescent="0.25">
      <c r="A2751" s="63"/>
      <c r="B2751" s="63">
        <v>27</v>
      </c>
      <c r="C2751" s="63" t="s">
        <v>2815</v>
      </c>
      <c r="D2751" s="63" t="s">
        <v>21</v>
      </c>
      <c r="E2751" s="66"/>
      <c r="F2751" s="67">
        <v>3.0000000000000001E-3</v>
      </c>
      <c r="G2751" s="67">
        <v>2E-3</v>
      </c>
      <c r="H2751" s="63"/>
    </row>
    <row r="2752" spans="1:8" x14ac:dyDescent="0.25">
      <c r="A2752" s="63"/>
      <c r="B2752" s="63">
        <v>28</v>
      </c>
      <c r="C2752" s="63" t="s">
        <v>2815</v>
      </c>
      <c r="D2752" s="63" t="s">
        <v>21</v>
      </c>
      <c r="E2752" s="66"/>
      <c r="F2752" s="67">
        <v>3.0000000000000001E-3</v>
      </c>
      <c r="G2752" s="67">
        <v>2E-3</v>
      </c>
      <c r="H2752" s="63"/>
    </row>
    <row r="2753" spans="1:8" x14ac:dyDescent="0.25">
      <c r="A2753" s="63"/>
      <c r="B2753" s="63">
        <v>29</v>
      </c>
      <c r="C2753" s="63" t="s">
        <v>2815</v>
      </c>
      <c r="D2753" s="63" t="s">
        <v>21</v>
      </c>
      <c r="E2753" s="66"/>
      <c r="F2753" s="67">
        <v>3.0000000000000001E-3</v>
      </c>
      <c r="G2753" s="67">
        <v>2E-3</v>
      </c>
      <c r="H2753" s="63"/>
    </row>
    <row r="2754" spans="1:8" x14ac:dyDescent="0.25">
      <c r="A2754" s="63"/>
      <c r="B2754" s="63">
        <v>30</v>
      </c>
      <c r="C2754" s="63" t="s">
        <v>2815</v>
      </c>
      <c r="D2754" s="63" t="s">
        <v>21</v>
      </c>
      <c r="E2754" s="66"/>
      <c r="F2754" s="67">
        <v>3.0000000000000001E-3</v>
      </c>
      <c r="G2754" s="67">
        <v>2E-3</v>
      </c>
      <c r="H2754" s="63"/>
    </row>
    <row r="2755" spans="1:8" x14ac:dyDescent="0.25">
      <c r="A2755" s="63"/>
      <c r="B2755" s="63">
        <v>0</v>
      </c>
      <c r="C2755" s="63" t="s">
        <v>2815</v>
      </c>
      <c r="D2755" s="63" t="s">
        <v>21</v>
      </c>
      <c r="E2755" s="66">
        <v>3.0428788910505911</v>
      </c>
      <c r="F2755" s="67">
        <v>3.0000000000000001E-3</v>
      </c>
      <c r="G2755" s="67">
        <v>2E-3</v>
      </c>
      <c r="H2755" s="63"/>
    </row>
    <row r="2756" spans="1:8" x14ac:dyDescent="0.25">
      <c r="A2756" s="63"/>
      <c r="B2756" s="63">
        <v>0.25</v>
      </c>
      <c r="C2756" s="63" t="s">
        <v>2815</v>
      </c>
      <c r="D2756" s="63" t="s">
        <v>62</v>
      </c>
      <c r="E2756" s="66">
        <v>20.496511113332595</v>
      </c>
      <c r="F2756" s="67">
        <v>3.0000000000000001E-3</v>
      </c>
      <c r="G2756" s="67">
        <v>2E-3</v>
      </c>
      <c r="H2756" s="63"/>
    </row>
    <row r="2757" spans="1:8" x14ac:dyDescent="0.25">
      <c r="A2757" s="63"/>
      <c r="B2757" s="63">
        <v>0.5</v>
      </c>
      <c r="C2757" s="63" t="s">
        <v>2815</v>
      </c>
      <c r="D2757" s="63" t="s">
        <v>62</v>
      </c>
      <c r="E2757" s="66">
        <v>22.369233265005814</v>
      </c>
      <c r="F2757" s="67">
        <v>3.0000000000000001E-3</v>
      </c>
      <c r="G2757" s="67">
        <v>2E-3</v>
      </c>
      <c r="H2757" s="63"/>
    </row>
    <row r="2758" spans="1:8" x14ac:dyDescent="0.25">
      <c r="A2758" s="63"/>
      <c r="B2758" s="63">
        <v>0.75</v>
      </c>
      <c r="C2758" s="63" t="s">
        <v>2815</v>
      </c>
      <c r="D2758" s="63" t="s">
        <v>62</v>
      </c>
      <c r="E2758" s="66">
        <v>24.369791582598779</v>
      </c>
      <c r="F2758" s="67">
        <v>3.0000000000000001E-3</v>
      </c>
      <c r="G2758" s="67">
        <v>2E-3</v>
      </c>
      <c r="H2758" s="63"/>
    </row>
    <row r="2759" spans="1:8" x14ac:dyDescent="0.25">
      <c r="A2759" s="63"/>
      <c r="B2759" s="63">
        <v>1</v>
      </c>
      <c r="C2759" s="63" t="s">
        <v>2815</v>
      </c>
      <c r="D2759" s="63" t="s">
        <v>62</v>
      </c>
      <c r="E2759" s="66">
        <v>26.793872673985138</v>
      </c>
      <c r="F2759" s="67">
        <v>3.0000000000000001E-3</v>
      </c>
      <c r="G2759" s="67">
        <v>2E-3</v>
      </c>
      <c r="H2759" s="63"/>
    </row>
    <row r="2760" spans="1:8" x14ac:dyDescent="0.25">
      <c r="A2760" s="63"/>
      <c r="B2760" s="63">
        <v>2</v>
      </c>
      <c r="C2760" s="63" t="s">
        <v>2815</v>
      </c>
      <c r="D2760" s="63" t="s">
        <v>62</v>
      </c>
      <c r="E2760" s="66">
        <v>32.749697002694603</v>
      </c>
      <c r="F2760" s="67">
        <v>3.0000000000000001E-3</v>
      </c>
      <c r="G2760" s="67">
        <v>2E-3</v>
      </c>
      <c r="H2760" s="63"/>
    </row>
    <row r="2761" spans="1:8" x14ac:dyDescent="0.25">
      <c r="A2761" s="63"/>
      <c r="B2761" s="63">
        <v>3</v>
      </c>
      <c r="C2761" s="63" t="s">
        <v>2815</v>
      </c>
      <c r="D2761" s="63" t="s">
        <v>62</v>
      </c>
      <c r="E2761" s="66">
        <v>39.508877297592456</v>
      </c>
      <c r="F2761" s="67">
        <v>3.0000000000000001E-3</v>
      </c>
      <c r="G2761" s="67">
        <v>2E-3</v>
      </c>
      <c r="H2761" s="63"/>
    </row>
    <row r="2762" spans="1:8" x14ac:dyDescent="0.25">
      <c r="A2762" s="63"/>
      <c r="B2762" s="63">
        <v>4</v>
      </c>
      <c r="C2762" s="63" t="s">
        <v>2815</v>
      </c>
      <c r="D2762" s="63" t="s">
        <v>62</v>
      </c>
      <c r="E2762" s="66">
        <v>46.492680996235194</v>
      </c>
      <c r="F2762" s="67">
        <v>3.0000000000000001E-3</v>
      </c>
      <c r="G2762" s="67">
        <v>2E-3</v>
      </c>
      <c r="H2762" s="63"/>
    </row>
    <row r="2763" spans="1:8" x14ac:dyDescent="0.25">
      <c r="A2763" s="63"/>
      <c r="B2763" s="63">
        <v>5</v>
      </c>
      <c r="C2763" s="63" t="s">
        <v>2815</v>
      </c>
      <c r="D2763" s="63" t="s">
        <v>62</v>
      </c>
      <c r="E2763" s="66">
        <v>53.77149943190107</v>
      </c>
      <c r="F2763" s="67">
        <v>3.0000000000000001E-3</v>
      </c>
      <c r="G2763" s="67">
        <v>2E-3</v>
      </c>
      <c r="H2763" s="63"/>
    </row>
    <row r="2764" spans="1:8" x14ac:dyDescent="0.25">
      <c r="A2764" s="63"/>
      <c r="B2764" s="63">
        <v>6</v>
      </c>
      <c r="C2764" s="63" t="s">
        <v>2815</v>
      </c>
      <c r="D2764" s="63" t="s">
        <v>62</v>
      </c>
      <c r="E2764" s="66">
        <v>61.22621482724891</v>
      </c>
      <c r="F2764" s="67">
        <v>3.0000000000000001E-3</v>
      </c>
      <c r="G2764" s="67">
        <v>2E-3</v>
      </c>
      <c r="H2764" s="63"/>
    </row>
    <row r="2765" spans="1:8" x14ac:dyDescent="0.25">
      <c r="A2765" s="63"/>
      <c r="B2765" s="63">
        <v>7</v>
      </c>
      <c r="C2765" s="63" t="s">
        <v>2815</v>
      </c>
      <c r="D2765" s="63" t="s">
        <v>62</v>
      </c>
      <c r="E2765" s="66">
        <v>68.879452688643582</v>
      </c>
      <c r="F2765" s="67">
        <v>3.0000000000000001E-3</v>
      </c>
      <c r="G2765" s="67">
        <v>2E-3</v>
      </c>
      <c r="H2765" s="63"/>
    </row>
    <row r="2766" spans="1:8" x14ac:dyDescent="0.25">
      <c r="A2766" s="63"/>
      <c r="B2766" s="63">
        <v>8</v>
      </c>
      <c r="C2766" s="63" t="s">
        <v>2815</v>
      </c>
      <c r="D2766" s="63" t="s">
        <v>62</v>
      </c>
      <c r="E2766" s="66">
        <v>76.756825666485923</v>
      </c>
      <c r="F2766" s="67">
        <v>3.0000000000000001E-3</v>
      </c>
      <c r="G2766" s="67">
        <v>2E-3</v>
      </c>
      <c r="H2766" s="63"/>
    </row>
    <row r="2767" spans="1:8" x14ac:dyDescent="0.25">
      <c r="A2767" s="63"/>
      <c r="B2767" s="63">
        <v>9</v>
      </c>
      <c r="C2767" s="63" t="s">
        <v>2815</v>
      </c>
      <c r="D2767" s="63" t="s">
        <v>62</v>
      </c>
      <c r="E2767" s="66">
        <v>84.298379348358239</v>
      </c>
      <c r="F2767" s="67">
        <v>3.0000000000000001E-3</v>
      </c>
      <c r="G2767" s="67">
        <v>2E-3</v>
      </c>
      <c r="H2767" s="63"/>
    </row>
    <row r="2768" spans="1:8" x14ac:dyDescent="0.25">
      <c r="A2768" s="63"/>
      <c r="B2768" s="63">
        <v>10</v>
      </c>
      <c r="C2768" s="63" t="s">
        <v>2815</v>
      </c>
      <c r="D2768" s="63" t="s">
        <v>62</v>
      </c>
      <c r="E2768" s="66">
        <v>92.367999054407335</v>
      </c>
      <c r="F2768" s="67">
        <v>3.0000000000000001E-3</v>
      </c>
      <c r="G2768" s="67">
        <v>2E-3</v>
      </c>
      <c r="H2768" s="63"/>
    </row>
    <row r="2769" spans="1:8" x14ac:dyDescent="0.25">
      <c r="A2769" s="63"/>
      <c r="B2769" s="63">
        <v>11</v>
      </c>
      <c r="C2769" s="63" t="s">
        <v>2815</v>
      </c>
      <c r="D2769" s="63" t="s">
        <v>62</v>
      </c>
      <c r="E2769" s="66"/>
      <c r="F2769" s="67">
        <v>3.0000000000000001E-3</v>
      </c>
      <c r="G2769" s="67">
        <v>2E-3</v>
      </c>
      <c r="H2769" s="63"/>
    </row>
    <row r="2770" spans="1:8" x14ac:dyDescent="0.25">
      <c r="A2770" s="63"/>
      <c r="B2770" s="63">
        <v>12</v>
      </c>
      <c r="C2770" s="63" t="s">
        <v>2815</v>
      </c>
      <c r="D2770" s="63" t="s">
        <v>62</v>
      </c>
      <c r="E2770" s="66"/>
      <c r="F2770" s="67">
        <v>3.0000000000000001E-3</v>
      </c>
      <c r="G2770" s="67">
        <v>2E-3</v>
      </c>
      <c r="H2770" s="63"/>
    </row>
    <row r="2771" spans="1:8" x14ac:dyDescent="0.25">
      <c r="A2771" s="63"/>
      <c r="B2771" s="63">
        <v>13</v>
      </c>
      <c r="C2771" s="63" t="s">
        <v>2815</v>
      </c>
      <c r="D2771" s="63" t="s">
        <v>62</v>
      </c>
      <c r="E2771" s="66"/>
      <c r="F2771" s="67">
        <v>3.0000000000000001E-3</v>
      </c>
      <c r="G2771" s="67">
        <v>2E-3</v>
      </c>
      <c r="H2771" s="63"/>
    </row>
    <row r="2772" spans="1:8" x14ac:dyDescent="0.25">
      <c r="A2772" s="63"/>
      <c r="B2772" s="63">
        <v>14</v>
      </c>
      <c r="C2772" s="63" t="s">
        <v>2815</v>
      </c>
      <c r="D2772" s="63" t="s">
        <v>62</v>
      </c>
      <c r="E2772" s="66"/>
      <c r="F2772" s="67">
        <v>3.0000000000000001E-3</v>
      </c>
      <c r="G2772" s="67">
        <v>2E-3</v>
      </c>
      <c r="H2772" s="63"/>
    </row>
    <row r="2773" spans="1:8" x14ac:dyDescent="0.25">
      <c r="A2773" s="63"/>
      <c r="B2773" s="63">
        <v>15</v>
      </c>
      <c r="C2773" s="63" t="s">
        <v>2815</v>
      </c>
      <c r="D2773" s="63" t="s">
        <v>62</v>
      </c>
      <c r="E2773" s="66"/>
      <c r="F2773" s="67">
        <v>3.0000000000000001E-3</v>
      </c>
      <c r="G2773" s="67">
        <v>2E-3</v>
      </c>
      <c r="H2773" s="63"/>
    </row>
    <row r="2774" spans="1:8" x14ac:dyDescent="0.25">
      <c r="A2774" s="63"/>
      <c r="B2774" s="63">
        <v>16</v>
      </c>
      <c r="C2774" s="63" t="s">
        <v>2815</v>
      </c>
      <c r="D2774" s="63" t="s">
        <v>62</v>
      </c>
      <c r="E2774" s="66"/>
      <c r="F2774" s="67">
        <v>3.0000000000000001E-3</v>
      </c>
      <c r="G2774" s="67">
        <v>2E-3</v>
      </c>
      <c r="H2774" s="63"/>
    </row>
    <row r="2775" spans="1:8" x14ac:dyDescent="0.25">
      <c r="A2775" s="63"/>
      <c r="B2775" s="63">
        <v>17</v>
      </c>
      <c r="C2775" s="63" t="s">
        <v>2815</v>
      </c>
      <c r="D2775" s="63" t="s">
        <v>62</v>
      </c>
      <c r="E2775" s="66"/>
      <c r="F2775" s="67">
        <v>3.0000000000000001E-3</v>
      </c>
      <c r="G2775" s="67">
        <v>2E-3</v>
      </c>
      <c r="H2775" s="63"/>
    </row>
    <row r="2776" spans="1:8" x14ac:dyDescent="0.25">
      <c r="A2776" s="63"/>
      <c r="B2776" s="63">
        <v>18</v>
      </c>
      <c r="C2776" s="63" t="s">
        <v>2815</v>
      </c>
      <c r="D2776" s="63" t="s">
        <v>62</v>
      </c>
      <c r="E2776" s="66"/>
      <c r="F2776" s="67">
        <v>3.0000000000000001E-3</v>
      </c>
      <c r="G2776" s="67">
        <v>2E-3</v>
      </c>
      <c r="H2776" s="63"/>
    </row>
    <row r="2777" spans="1:8" x14ac:dyDescent="0.25">
      <c r="A2777" s="63"/>
      <c r="B2777" s="63">
        <v>19</v>
      </c>
      <c r="C2777" s="63" t="s">
        <v>2815</v>
      </c>
      <c r="D2777" s="63" t="s">
        <v>62</v>
      </c>
      <c r="E2777" s="66"/>
      <c r="F2777" s="67">
        <v>3.0000000000000001E-3</v>
      </c>
      <c r="G2777" s="67">
        <v>2E-3</v>
      </c>
      <c r="H2777" s="63"/>
    </row>
    <row r="2778" spans="1:8" x14ac:dyDescent="0.25">
      <c r="A2778" s="63"/>
      <c r="B2778" s="63">
        <v>20</v>
      </c>
      <c r="C2778" s="63" t="s">
        <v>2815</v>
      </c>
      <c r="D2778" s="63" t="s">
        <v>62</v>
      </c>
      <c r="E2778" s="66"/>
      <c r="F2778" s="67">
        <v>3.0000000000000001E-3</v>
      </c>
      <c r="G2778" s="67">
        <v>2E-3</v>
      </c>
      <c r="H2778" s="63"/>
    </row>
    <row r="2779" spans="1:8" x14ac:dyDescent="0.25">
      <c r="A2779" s="63"/>
      <c r="B2779" s="63">
        <v>21</v>
      </c>
      <c r="C2779" s="63" t="s">
        <v>2815</v>
      </c>
      <c r="D2779" s="63" t="s">
        <v>62</v>
      </c>
      <c r="E2779" s="66"/>
      <c r="F2779" s="67">
        <v>3.0000000000000001E-3</v>
      </c>
      <c r="G2779" s="67">
        <v>2E-3</v>
      </c>
      <c r="H2779" s="63"/>
    </row>
    <row r="2780" spans="1:8" x14ac:dyDescent="0.25">
      <c r="A2780" s="63"/>
      <c r="B2780" s="63">
        <v>22</v>
      </c>
      <c r="C2780" s="63" t="s">
        <v>2815</v>
      </c>
      <c r="D2780" s="63" t="s">
        <v>62</v>
      </c>
      <c r="E2780" s="66"/>
      <c r="F2780" s="67">
        <v>3.0000000000000001E-3</v>
      </c>
      <c r="G2780" s="67">
        <v>2E-3</v>
      </c>
      <c r="H2780" s="63"/>
    </row>
    <row r="2781" spans="1:8" x14ac:dyDescent="0.25">
      <c r="A2781" s="63"/>
      <c r="B2781" s="63">
        <v>23</v>
      </c>
      <c r="C2781" s="63" t="s">
        <v>2815</v>
      </c>
      <c r="D2781" s="63" t="s">
        <v>62</v>
      </c>
      <c r="E2781" s="66"/>
      <c r="F2781" s="67">
        <v>3.0000000000000001E-3</v>
      </c>
      <c r="G2781" s="67">
        <v>2E-3</v>
      </c>
      <c r="H2781" s="63"/>
    </row>
    <row r="2782" spans="1:8" x14ac:dyDescent="0.25">
      <c r="A2782" s="63"/>
      <c r="B2782" s="63">
        <v>24</v>
      </c>
      <c r="C2782" s="63" t="s">
        <v>2815</v>
      </c>
      <c r="D2782" s="63" t="s">
        <v>62</v>
      </c>
      <c r="E2782" s="66"/>
      <c r="F2782" s="67">
        <v>3.0000000000000001E-3</v>
      </c>
      <c r="G2782" s="67">
        <v>2E-3</v>
      </c>
      <c r="H2782" s="63"/>
    </row>
    <row r="2783" spans="1:8" x14ac:dyDescent="0.25">
      <c r="A2783" s="63"/>
      <c r="B2783" s="63">
        <v>25</v>
      </c>
      <c r="C2783" s="63" t="s">
        <v>2815</v>
      </c>
      <c r="D2783" s="63" t="s">
        <v>62</v>
      </c>
      <c r="E2783" s="66"/>
      <c r="F2783" s="67">
        <v>3.0000000000000001E-3</v>
      </c>
      <c r="G2783" s="67">
        <v>2E-3</v>
      </c>
      <c r="H2783" s="63"/>
    </row>
    <row r="2784" spans="1:8" x14ac:dyDescent="0.25">
      <c r="A2784" s="63"/>
      <c r="B2784" s="63">
        <v>26</v>
      </c>
      <c r="C2784" s="63" t="s">
        <v>2815</v>
      </c>
      <c r="D2784" s="63" t="s">
        <v>62</v>
      </c>
      <c r="E2784" s="66"/>
      <c r="F2784" s="67">
        <v>3.0000000000000001E-3</v>
      </c>
      <c r="G2784" s="67">
        <v>2E-3</v>
      </c>
      <c r="H2784" s="63"/>
    </row>
    <row r="2785" spans="1:8" x14ac:dyDescent="0.25">
      <c r="A2785" s="63"/>
      <c r="B2785" s="63">
        <v>27</v>
      </c>
      <c r="C2785" s="63" t="s">
        <v>2815</v>
      </c>
      <c r="D2785" s="63" t="s">
        <v>62</v>
      </c>
      <c r="E2785" s="66"/>
      <c r="F2785" s="67">
        <v>3.0000000000000001E-3</v>
      </c>
      <c r="G2785" s="67">
        <v>2E-3</v>
      </c>
      <c r="H2785" s="63"/>
    </row>
    <row r="2786" spans="1:8" x14ac:dyDescent="0.25">
      <c r="A2786" s="63"/>
      <c r="B2786" s="63">
        <v>28</v>
      </c>
      <c r="C2786" s="63" t="s">
        <v>2815</v>
      </c>
      <c r="D2786" s="63" t="s">
        <v>62</v>
      </c>
      <c r="E2786" s="66"/>
      <c r="F2786" s="67">
        <v>3.0000000000000001E-3</v>
      </c>
      <c r="G2786" s="67">
        <v>2E-3</v>
      </c>
      <c r="H2786" s="63"/>
    </row>
    <row r="2787" spans="1:8" x14ac:dyDescent="0.25">
      <c r="A2787" s="63"/>
      <c r="B2787" s="63">
        <v>29</v>
      </c>
      <c r="C2787" s="63" t="s">
        <v>2815</v>
      </c>
      <c r="D2787" s="63" t="s">
        <v>62</v>
      </c>
      <c r="E2787" s="66"/>
      <c r="F2787" s="67">
        <v>3.0000000000000001E-3</v>
      </c>
      <c r="G2787" s="67">
        <v>2E-3</v>
      </c>
      <c r="H2787" s="63"/>
    </row>
    <row r="2788" spans="1:8" x14ac:dyDescent="0.25">
      <c r="A2788" s="63"/>
      <c r="B2788" s="63">
        <v>30</v>
      </c>
      <c r="C2788" s="63" t="s">
        <v>2815</v>
      </c>
      <c r="D2788" s="63" t="s">
        <v>62</v>
      </c>
      <c r="E2788" s="66"/>
      <c r="F2788" s="67">
        <v>3.0000000000000001E-3</v>
      </c>
      <c r="G2788" s="67">
        <v>2E-3</v>
      </c>
      <c r="H2788" s="63"/>
    </row>
    <row r="2789" spans="1:8" x14ac:dyDescent="0.25">
      <c r="A2789" s="63"/>
      <c r="B2789" s="63">
        <v>0</v>
      </c>
      <c r="C2789" s="63" t="s">
        <v>2815</v>
      </c>
      <c r="D2789" s="63" t="s">
        <v>62</v>
      </c>
      <c r="E2789" s="66">
        <v>3.0428788910505911</v>
      </c>
      <c r="F2789" s="67">
        <v>3.0000000000000001E-3</v>
      </c>
      <c r="G2789" s="67">
        <v>2E-3</v>
      </c>
      <c r="H2789" s="63"/>
    </row>
    <row r="2790" spans="1:8" x14ac:dyDescent="0.25">
      <c r="A2790" s="63"/>
      <c r="B2790" s="63">
        <v>0.25</v>
      </c>
      <c r="C2790" s="63" t="s">
        <v>2815</v>
      </c>
      <c r="D2790" s="63" t="s">
        <v>64</v>
      </c>
      <c r="E2790" s="66">
        <v>25.041947314744238</v>
      </c>
      <c r="F2790" s="67">
        <v>3.0000000000000001E-3</v>
      </c>
      <c r="G2790" s="67">
        <v>2E-3</v>
      </c>
      <c r="H2790" s="63"/>
    </row>
    <row r="2791" spans="1:8" x14ac:dyDescent="0.25">
      <c r="A2791" s="63"/>
      <c r="B2791" s="63">
        <v>0.5</v>
      </c>
      <c r="C2791" s="63" t="s">
        <v>2815</v>
      </c>
      <c r="D2791" s="63" t="s">
        <v>64</v>
      </c>
      <c r="E2791" s="66">
        <v>27.456353403762161</v>
      </c>
      <c r="F2791" s="67">
        <v>3.0000000000000001E-3</v>
      </c>
      <c r="G2791" s="67">
        <v>2E-3</v>
      </c>
      <c r="H2791" s="63"/>
    </row>
    <row r="2792" spans="1:8" x14ac:dyDescent="0.25">
      <c r="A2792" s="63"/>
      <c r="B2792" s="63">
        <v>0.75</v>
      </c>
      <c r="C2792" s="63" t="s">
        <v>2815</v>
      </c>
      <c r="D2792" s="63" t="s">
        <v>64</v>
      </c>
      <c r="E2792" s="66">
        <v>30.106651570134346</v>
      </c>
      <c r="F2792" s="67">
        <v>3.0000000000000001E-3</v>
      </c>
      <c r="G2792" s="67">
        <v>2E-3</v>
      </c>
      <c r="H2792" s="63"/>
    </row>
    <row r="2793" spans="1:8" x14ac:dyDescent="0.25">
      <c r="A2793" s="63"/>
      <c r="B2793" s="63">
        <v>1</v>
      </c>
      <c r="C2793" s="63" t="s">
        <v>2815</v>
      </c>
      <c r="D2793" s="63" t="s">
        <v>64</v>
      </c>
      <c r="E2793" s="66">
        <v>32.38507785162065</v>
      </c>
      <c r="F2793" s="67">
        <v>3.0000000000000001E-3</v>
      </c>
      <c r="G2793" s="67">
        <v>2E-3</v>
      </c>
      <c r="H2793" s="63"/>
    </row>
    <row r="2794" spans="1:8" x14ac:dyDescent="0.25">
      <c r="A2794" s="63"/>
      <c r="B2794" s="63">
        <v>2</v>
      </c>
      <c r="C2794" s="63" t="s">
        <v>2815</v>
      </c>
      <c r="D2794" s="63" t="s">
        <v>64</v>
      </c>
      <c r="E2794" s="66">
        <v>39.429466811122886</v>
      </c>
      <c r="F2794" s="67">
        <v>3.0000000000000001E-3</v>
      </c>
      <c r="G2794" s="67">
        <v>2E-3</v>
      </c>
      <c r="H2794" s="63"/>
    </row>
    <row r="2795" spans="1:8" x14ac:dyDescent="0.25">
      <c r="A2795" s="63"/>
      <c r="B2795" s="63">
        <v>3</v>
      </c>
      <c r="C2795" s="63" t="s">
        <v>2815</v>
      </c>
      <c r="D2795" s="63" t="s">
        <v>64</v>
      </c>
      <c r="E2795" s="66">
        <v>47.435574821920561</v>
      </c>
      <c r="F2795" s="67">
        <v>3.0000000000000001E-3</v>
      </c>
      <c r="G2795" s="67">
        <v>2E-3</v>
      </c>
      <c r="H2795" s="63"/>
    </row>
    <row r="2796" spans="1:8" x14ac:dyDescent="0.25">
      <c r="A2796" s="63"/>
      <c r="B2796" s="63">
        <v>4</v>
      </c>
      <c r="C2796" s="63" t="s">
        <v>2815</v>
      </c>
      <c r="D2796" s="63" t="s">
        <v>64</v>
      </c>
      <c r="E2796" s="66">
        <v>55.548774102684064</v>
      </c>
      <c r="F2796" s="67">
        <v>3.0000000000000001E-3</v>
      </c>
      <c r="G2796" s="67">
        <v>2E-3</v>
      </c>
      <c r="H2796" s="63"/>
    </row>
    <row r="2797" spans="1:8" x14ac:dyDescent="0.25">
      <c r="A2797" s="63"/>
      <c r="B2797" s="63">
        <v>5</v>
      </c>
      <c r="C2797" s="63" t="s">
        <v>2815</v>
      </c>
      <c r="D2797" s="63" t="s">
        <v>64</v>
      </c>
      <c r="E2797" s="66">
        <v>63.779773780410025</v>
      </c>
      <c r="F2797" s="67">
        <v>3.0000000000000001E-3</v>
      </c>
      <c r="G2797" s="67">
        <v>2E-3</v>
      </c>
      <c r="H2797" s="63"/>
    </row>
    <row r="2798" spans="1:8" x14ac:dyDescent="0.25">
      <c r="A2798" s="63"/>
      <c r="B2798" s="63">
        <v>6</v>
      </c>
      <c r="C2798" s="63" t="s">
        <v>2815</v>
      </c>
      <c r="D2798" s="63" t="s">
        <v>64</v>
      </c>
      <c r="E2798" s="66">
        <v>74.232976377209724</v>
      </c>
      <c r="F2798" s="67">
        <v>3.0000000000000001E-3</v>
      </c>
      <c r="G2798" s="67">
        <v>2E-3</v>
      </c>
      <c r="H2798" s="63"/>
    </row>
    <row r="2799" spans="1:8" x14ac:dyDescent="0.25">
      <c r="A2799" s="63"/>
      <c r="B2799" s="63">
        <v>7</v>
      </c>
      <c r="C2799" s="63" t="s">
        <v>2815</v>
      </c>
      <c r="D2799" s="63" t="s">
        <v>64</v>
      </c>
      <c r="E2799" s="66">
        <v>81.9014230099272</v>
      </c>
      <c r="F2799" s="67">
        <v>3.0000000000000001E-3</v>
      </c>
      <c r="G2799" s="67">
        <v>2E-3</v>
      </c>
      <c r="H2799" s="63"/>
    </row>
    <row r="2800" spans="1:8" x14ac:dyDescent="0.25">
      <c r="A2800" s="63"/>
      <c r="B2800" s="63">
        <v>8</v>
      </c>
      <c r="C2800" s="63" t="s">
        <v>2815</v>
      </c>
      <c r="D2800" s="63" t="s">
        <v>64</v>
      </c>
      <c r="E2800" s="66">
        <v>89.711048815832598</v>
      </c>
      <c r="F2800" s="67">
        <v>3.0000000000000001E-3</v>
      </c>
      <c r="G2800" s="67">
        <v>2E-3</v>
      </c>
      <c r="H2800" s="63"/>
    </row>
    <row r="2801" spans="1:8" x14ac:dyDescent="0.25">
      <c r="A2801" s="63"/>
      <c r="B2801" s="63">
        <v>9</v>
      </c>
      <c r="C2801" s="63" t="s">
        <v>2815</v>
      </c>
      <c r="D2801" s="63" t="s">
        <v>64</v>
      </c>
      <c r="E2801" s="66">
        <v>98.594438447760481</v>
      </c>
      <c r="F2801" s="67">
        <v>3.0000000000000001E-3</v>
      </c>
      <c r="G2801" s="67">
        <v>2E-3</v>
      </c>
      <c r="H2801" s="63"/>
    </row>
    <row r="2802" spans="1:8" x14ac:dyDescent="0.25">
      <c r="A2802" s="63"/>
      <c r="B2802" s="63">
        <v>10</v>
      </c>
      <c r="C2802" s="63" t="s">
        <v>2815</v>
      </c>
      <c r="D2802" s="63" t="s">
        <v>64</v>
      </c>
      <c r="E2802" s="66">
        <v>107.25818871858809</v>
      </c>
      <c r="F2802" s="67">
        <v>3.0000000000000001E-3</v>
      </c>
      <c r="G2802" s="67">
        <v>2E-3</v>
      </c>
      <c r="H2802" s="63"/>
    </row>
    <row r="2803" spans="1:8" x14ac:dyDescent="0.25">
      <c r="A2803" s="63"/>
      <c r="B2803" s="63">
        <v>11</v>
      </c>
      <c r="C2803" s="63" t="s">
        <v>2815</v>
      </c>
      <c r="D2803" s="63" t="s">
        <v>64</v>
      </c>
      <c r="E2803" s="66"/>
      <c r="F2803" s="67">
        <v>3.0000000000000001E-3</v>
      </c>
      <c r="G2803" s="67">
        <v>2E-3</v>
      </c>
      <c r="H2803" s="63"/>
    </row>
    <row r="2804" spans="1:8" x14ac:dyDescent="0.25">
      <c r="A2804" s="63"/>
      <c r="B2804" s="63">
        <v>12</v>
      </c>
      <c r="C2804" s="63" t="s">
        <v>2815</v>
      </c>
      <c r="D2804" s="63" t="s">
        <v>64</v>
      </c>
      <c r="E2804" s="66"/>
      <c r="F2804" s="67">
        <v>3.0000000000000001E-3</v>
      </c>
      <c r="G2804" s="67">
        <v>2E-3</v>
      </c>
      <c r="H2804" s="63"/>
    </row>
    <row r="2805" spans="1:8" x14ac:dyDescent="0.25">
      <c r="A2805" s="63"/>
      <c r="B2805" s="63">
        <v>13</v>
      </c>
      <c r="C2805" s="63" t="s">
        <v>2815</v>
      </c>
      <c r="D2805" s="63" t="s">
        <v>64</v>
      </c>
      <c r="E2805" s="66"/>
      <c r="F2805" s="67">
        <v>3.0000000000000001E-3</v>
      </c>
      <c r="G2805" s="67">
        <v>2E-3</v>
      </c>
      <c r="H2805" s="63"/>
    </row>
    <row r="2806" spans="1:8" x14ac:dyDescent="0.25">
      <c r="A2806" s="63"/>
      <c r="B2806" s="63">
        <v>14</v>
      </c>
      <c r="C2806" s="63" t="s">
        <v>2815</v>
      </c>
      <c r="D2806" s="63" t="s">
        <v>64</v>
      </c>
      <c r="E2806" s="66"/>
      <c r="F2806" s="67">
        <v>3.0000000000000001E-3</v>
      </c>
      <c r="G2806" s="67">
        <v>2E-3</v>
      </c>
      <c r="H2806" s="63"/>
    </row>
    <row r="2807" spans="1:8" x14ac:dyDescent="0.25">
      <c r="A2807" s="63"/>
      <c r="B2807" s="63">
        <v>15</v>
      </c>
      <c r="C2807" s="63" t="s">
        <v>2815</v>
      </c>
      <c r="D2807" s="63" t="s">
        <v>64</v>
      </c>
      <c r="E2807" s="66"/>
      <c r="F2807" s="67">
        <v>3.0000000000000001E-3</v>
      </c>
      <c r="G2807" s="67">
        <v>2E-3</v>
      </c>
      <c r="H2807" s="63"/>
    </row>
    <row r="2808" spans="1:8" x14ac:dyDescent="0.25">
      <c r="A2808" s="63"/>
      <c r="B2808" s="63">
        <v>16</v>
      </c>
      <c r="C2808" s="63" t="s">
        <v>2815</v>
      </c>
      <c r="D2808" s="63" t="s">
        <v>64</v>
      </c>
      <c r="E2808" s="66"/>
      <c r="F2808" s="67">
        <v>3.0000000000000001E-3</v>
      </c>
      <c r="G2808" s="67">
        <v>2E-3</v>
      </c>
      <c r="H2808" s="63"/>
    </row>
    <row r="2809" spans="1:8" x14ac:dyDescent="0.25">
      <c r="A2809" s="63"/>
      <c r="B2809" s="63">
        <v>17</v>
      </c>
      <c r="C2809" s="63" t="s">
        <v>2815</v>
      </c>
      <c r="D2809" s="63" t="s">
        <v>64</v>
      </c>
      <c r="E2809" s="66"/>
      <c r="F2809" s="67">
        <v>3.0000000000000001E-3</v>
      </c>
      <c r="G2809" s="67">
        <v>2E-3</v>
      </c>
      <c r="H2809" s="63"/>
    </row>
    <row r="2810" spans="1:8" x14ac:dyDescent="0.25">
      <c r="A2810" s="63"/>
      <c r="B2810" s="63">
        <v>18</v>
      </c>
      <c r="C2810" s="63" t="s">
        <v>2815</v>
      </c>
      <c r="D2810" s="63" t="s">
        <v>64</v>
      </c>
      <c r="E2810" s="66"/>
      <c r="F2810" s="67">
        <v>3.0000000000000001E-3</v>
      </c>
      <c r="G2810" s="67">
        <v>2E-3</v>
      </c>
      <c r="H2810" s="63"/>
    </row>
    <row r="2811" spans="1:8" x14ac:dyDescent="0.25">
      <c r="A2811" s="63"/>
      <c r="B2811" s="63">
        <v>19</v>
      </c>
      <c r="C2811" s="63" t="s">
        <v>2815</v>
      </c>
      <c r="D2811" s="63" t="s">
        <v>64</v>
      </c>
      <c r="E2811" s="66"/>
      <c r="F2811" s="67">
        <v>3.0000000000000001E-3</v>
      </c>
      <c r="G2811" s="67">
        <v>2E-3</v>
      </c>
      <c r="H2811" s="63"/>
    </row>
    <row r="2812" spans="1:8" x14ac:dyDescent="0.25">
      <c r="A2812" s="63"/>
      <c r="B2812" s="63">
        <v>20</v>
      </c>
      <c r="C2812" s="63" t="s">
        <v>2815</v>
      </c>
      <c r="D2812" s="63" t="s">
        <v>64</v>
      </c>
      <c r="E2812" s="66"/>
      <c r="F2812" s="67">
        <v>3.0000000000000001E-3</v>
      </c>
      <c r="G2812" s="67">
        <v>2E-3</v>
      </c>
      <c r="H2812" s="63"/>
    </row>
    <row r="2813" spans="1:8" x14ac:dyDescent="0.25">
      <c r="A2813" s="63"/>
      <c r="B2813" s="63">
        <v>21</v>
      </c>
      <c r="C2813" s="63" t="s">
        <v>2815</v>
      </c>
      <c r="D2813" s="63" t="s">
        <v>64</v>
      </c>
      <c r="E2813" s="66"/>
      <c r="F2813" s="67">
        <v>3.0000000000000001E-3</v>
      </c>
      <c r="G2813" s="67">
        <v>2E-3</v>
      </c>
      <c r="H2813" s="63"/>
    </row>
    <row r="2814" spans="1:8" x14ac:dyDescent="0.25">
      <c r="A2814" s="63"/>
      <c r="B2814" s="63">
        <v>22</v>
      </c>
      <c r="C2814" s="63" t="s">
        <v>2815</v>
      </c>
      <c r="D2814" s="63" t="s">
        <v>64</v>
      </c>
      <c r="E2814" s="66"/>
      <c r="F2814" s="67">
        <v>3.0000000000000001E-3</v>
      </c>
      <c r="G2814" s="67">
        <v>2E-3</v>
      </c>
      <c r="H2814" s="63"/>
    </row>
    <row r="2815" spans="1:8" x14ac:dyDescent="0.25">
      <c r="A2815" s="63"/>
      <c r="B2815" s="63">
        <v>23</v>
      </c>
      <c r="C2815" s="63" t="s">
        <v>2815</v>
      </c>
      <c r="D2815" s="63" t="s">
        <v>64</v>
      </c>
      <c r="E2815" s="66"/>
      <c r="F2815" s="67">
        <v>3.0000000000000001E-3</v>
      </c>
      <c r="G2815" s="67">
        <v>2E-3</v>
      </c>
      <c r="H2815" s="63"/>
    </row>
    <row r="2816" spans="1:8" x14ac:dyDescent="0.25">
      <c r="A2816" s="63"/>
      <c r="B2816" s="63">
        <v>24</v>
      </c>
      <c r="C2816" s="63" t="s">
        <v>2815</v>
      </c>
      <c r="D2816" s="63" t="s">
        <v>64</v>
      </c>
      <c r="E2816" s="66"/>
      <c r="F2816" s="67">
        <v>3.0000000000000001E-3</v>
      </c>
      <c r="G2816" s="67">
        <v>2E-3</v>
      </c>
      <c r="H2816" s="63"/>
    </row>
    <row r="2817" spans="1:8" x14ac:dyDescent="0.25">
      <c r="A2817" s="63"/>
      <c r="B2817" s="63">
        <v>25</v>
      </c>
      <c r="C2817" s="63" t="s">
        <v>2815</v>
      </c>
      <c r="D2817" s="63" t="s">
        <v>64</v>
      </c>
      <c r="E2817" s="66"/>
      <c r="F2817" s="67">
        <v>3.0000000000000001E-3</v>
      </c>
      <c r="G2817" s="67">
        <v>2E-3</v>
      </c>
      <c r="H2817" s="63"/>
    </row>
    <row r="2818" spans="1:8" x14ac:dyDescent="0.25">
      <c r="A2818" s="63"/>
      <c r="B2818" s="63">
        <v>26</v>
      </c>
      <c r="C2818" s="63" t="s">
        <v>2815</v>
      </c>
      <c r="D2818" s="63" t="s">
        <v>64</v>
      </c>
      <c r="E2818" s="66"/>
      <c r="F2818" s="67">
        <v>3.0000000000000001E-3</v>
      </c>
      <c r="G2818" s="67">
        <v>2E-3</v>
      </c>
      <c r="H2818" s="63"/>
    </row>
    <row r="2819" spans="1:8" x14ac:dyDescent="0.25">
      <c r="A2819" s="63"/>
      <c r="B2819" s="63">
        <v>27</v>
      </c>
      <c r="C2819" s="63" t="s">
        <v>2815</v>
      </c>
      <c r="D2819" s="63" t="s">
        <v>64</v>
      </c>
      <c r="E2819" s="66"/>
      <c r="F2819" s="67">
        <v>3.0000000000000001E-3</v>
      </c>
      <c r="G2819" s="67">
        <v>2E-3</v>
      </c>
      <c r="H2819" s="63"/>
    </row>
    <row r="2820" spans="1:8" x14ac:dyDescent="0.25">
      <c r="A2820" s="63"/>
      <c r="B2820" s="63">
        <v>28</v>
      </c>
      <c r="C2820" s="63" t="s">
        <v>2815</v>
      </c>
      <c r="D2820" s="63" t="s">
        <v>64</v>
      </c>
      <c r="E2820" s="66"/>
      <c r="F2820" s="67">
        <v>3.0000000000000001E-3</v>
      </c>
      <c r="G2820" s="67">
        <v>2E-3</v>
      </c>
      <c r="H2820" s="63"/>
    </row>
    <row r="2821" spans="1:8" x14ac:dyDescent="0.25">
      <c r="A2821" s="63"/>
      <c r="B2821" s="63">
        <v>29</v>
      </c>
      <c r="C2821" s="63" t="s">
        <v>2815</v>
      </c>
      <c r="D2821" s="63" t="s">
        <v>64</v>
      </c>
      <c r="E2821" s="66"/>
      <c r="F2821" s="67">
        <v>3.0000000000000001E-3</v>
      </c>
      <c r="G2821" s="67">
        <v>2E-3</v>
      </c>
      <c r="H2821" s="63"/>
    </row>
    <row r="2822" spans="1:8" x14ac:dyDescent="0.25">
      <c r="A2822" s="63"/>
      <c r="B2822" s="63">
        <v>30</v>
      </c>
      <c r="C2822" s="63" t="s">
        <v>2815</v>
      </c>
      <c r="D2822" s="63" t="s">
        <v>64</v>
      </c>
      <c r="E2822" s="66"/>
      <c r="F2822" s="67">
        <v>3.0000000000000001E-3</v>
      </c>
      <c r="G2822" s="67">
        <v>2E-3</v>
      </c>
      <c r="H2822" s="63"/>
    </row>
    <row r="2823" spans="1:8" x14ac:dyDescent="0.25">
      <c r="A2823" s="63"/>
      <c r="B2823" s="63">
        <v>0</v>
      </c>
      <c r="C2823" s="63" t="s">
        <v>2815</v>
      </c>
      <c r="D2823" s="63" t="s">
        <v>64</v>
      </c>
      <c r="E2823" s="66">
        <v>3.0428788910505911</v>
      </c>
      <c r="F2823" s="67">
        <v>3.0000000000000001E-3</v>
      </c>
      <c r="G2823" s="67">
        <v>2E-3</v>
      </c>
      <c r="H2823" s="63"/>
    </row>
    <row r="2824" spans="1:8" x14ac:dyDescent="0.25">
      <c r="A2824" s="63"/>
      <c r="B2824" s="63">
        <v>0.25</v>
      </c>
      <c r="C2824" s="63" t="s">
        <v>2815</v>
      </c>
      <c r="D2824" s="63" t="s">
        <v>77</v>
      </c>
      <c r="E2824" s="66">
        <v>31.445989453837711</v>
      </c>
      <c r="F2824" s="67">
        <v>3.0000000000000001E-3</v>
      </c>
      <c r="G2824" s="67">
        <v>2E-3</v>
      </c>
      <c r="H2824" s="63"/>
    </row>
    <row r="2825" spans="1:8" x14ac:dyDescent="0.25">
      <c r="A2825" s="63"/>
      <c r="B2825" s="63">
        <v>0.5</v>
      </c>
      <c r="C2825" s="63" t="s">
        <v>2815</v>
      </c>
      <c r="D2825" s="63" t="s">
        <v>77</v>
      </c>
      <c r="E2825" s="66">
        <v>34.586158237603009</v>
      </c>
      <c r="F2825" s="67">
        <v>3.0000000000000001E-3</v>
      </c>
      <c r="G2825" s="67">
        <v>2E-3</v>
      </c>
      <c r="H2825" s="63"/>
    </row>
    <row r="2826" spans="1:8" x14ac:dyDescent="0.25">
      <c r="A2826" s="63"/>
      <c r="B2826" s="63">
        <v>0.75</v>
      </c>
      <c r="C2826" s="63" t="s">
        <v>2815</v>
      </c>
      <c r="D2826" s="63" t="s">
        <v>77</v>
      </c>
      <c r="E2826" s="66">
        <v>38.031854213176551</v>
      </c>
      <c r="F2826" s="67">
        <v>3.0000000000000001E-3</v>
      </c>
      <c r="G2826" s="67">
        <v>2E-3</v>
      </c>
      <c r="H2826" s="63"/>
    </row>
    <row r="2827" spans="1:8" x14ac:dyDescent="0.25">
      <c r="A2827" s="63"/>
      <c r="B2827" s="63">
        <v>1</v>
      </c>
      <c r="C2827" s="63" t="s">
        <v>2815</v>
      </c>
      <c r="D2827" s="63" t="s">
        <v>77</v>
      </c>
      <c r="E2827" s="66">
        <v>40.421400510462128</v>
      </c>
      <c r="F2827" s="67">
        <v>3.0000000000000001E-3</v>
      </c>
      <c r="G2827" s="67">
        <v>2E-3</v>
      </c>
      <c r="H2827" s="63"/>
    </row>
    <row r="2828" spans="1:8" x14ac:dyDescent="0.25">
      <c r="A2828" s="63"/>
      <c r="B2828" s="63">
        <v>2</v>
      </c>
      <c r="C2828" s="63" t="s">
        <v>2815</v>
      </c>
      <c r="D2828" s="63" t="s">
        <v>77</v>
      </c>
      <c r="E2828" s="66">
        <v>48.573632414941727</v>
      </c>
      <c r="F2828" s="67">
        <v>3.0000000000000001E-3</v>
      </c>
      <c r="G2828" s="67">
        <v>2E-3</v>
      </c>
      <c r="H2828" s="63"/>
    </row>
    <row r="2829" spans="1:8" x14ac:dyDescent="0.25">
      <c r="A2829" s="63"/>
      <c r="B2829" s="63">
        <v>3</v>
      </c>
      <c r="C2829" s="63" t="s">
        <v>2815</v>
      </c>
      <c r="D2829" s="63" t="s">
        <v>77</v>
      </c>
      <c r="E2829" s="66">
        <v>62.308740469439371</v>
      </c>
      <c r="F2829" s="67">
        <v>3.0000000000000001E-3</v>
      </c>
      <c r="G2829" s="67">
        <v>2E-3</v>
      </c>
      <c r="H2829" s="63"/>
    </row>
    <row r="2830" spans="1:8" x14ac:dyDescent="0.25">
      <c r="A2830" s="63"/>
      <c r="B2830" s="63">
        <v>4</v>
      </c>
      <c r="C2830" s="63" t="s">
        <v>2815</v>
      </c>
      <c r="D2830" s="63" t="s">
        <v>77</v>
      </c>
      <c r="E2830" s="66">
        <v>72.283660959240478</v>
      </c>
      <c r="F2830" s="67">
        <v>3.0000000000000001E-3</v>
      </c>
      <c r="G2830" s="67">
        <v>2E-3</v>
      </c>
      <c r="H2830" s="63"/>
    </row>
    <row r="2831" spans="1:8" x14ac:dyDescent="0.25">
      <c r="A2831" s="63"/>
      <c r="B2831" s="63">
        <v>5</v>
      </c>
      <c r="C2831" s="63" t="s">
        <v>2815</v>
      </c>
      <c r="D2831" s="63" t="s">
        <v>77</v>
      </c>
      <c r="E2831" s="66">
        <v>82.485496241228475</v>
      </c>
      <c r="F2831" s="67">
        <v>3.0000000000000001E-3</v>
      </c>
      <c r="G2831" s="67">
        <v>2E-3</v>
      </c>
      <c r="H2831" s="63"/>
    </row>
    <row r="2832" spans="1:8" x14ac:dyDescent="0.25">
      <c r="A2832" s="63"/>
      <c r="B2832" s="63">
        <v>6</v>
      </c>
      <c r="C2832" s="63" t="s">
        <v>2815</v>
      </c>
      <c r="D2832" s="63" t="s">
        <v>77</v>
      </c>
      <c r="E2832" s="66">
        <v>92.936937794621969</v>
      </c>
      <c r="F2832" s="67">
        <v>3.0000000000000001E-3</v>
      </c>
      <c r="G2832" s="67">
        <v>2E-3</v>
      </c>
      <c r="H2832" s="63"/>
    </row>
    <row r="2833" spans="1:8" x14ac:dyDescent="0.25">
      <c r="A2833" s="63"/>
      <c r="B2833" s="63">
        <v>7</v>
      </c>
      <c r="C2833" s="63" t="s">
        <v>2815</v>
      </c>
      <c r="D2833" s="63" t="s">
        <v>77</v>
      </c>
      <c r="E2833" s="66">
        <v>103.66294624656169</v>
      </c>
      <c r="F2833" s="67">
        <v>3.0000000000000001E-3</v>
      </c>
      <c r="G2833" s="67">
        <v>2E-3</v>
      </c>
      <c r="H2833" s="63"/>
    </row>
    <row r="2834" spans="1:8" x14ac:dyDescent="0.25">
      <c r="A2834" s="63"/>
      <c r="B2834" s="63">
        <v>8</v>
      </c>
      <c r="C2834" s="63" t="s">
        <v>2815</v>
      </c>
      <c r="D2834" s="63" t="s">
        <v>77</v>
      </c>
      <c r="E2834" s="66">
        <v>114.69097828690209</v>
      </c>
      <c r="F2834" s="67">
        <v>3.0000000000000001E-3</v>
      </c>
      <c r="G2834" s="67">
        <v>2E-3</v>
      </c>
      <c r="H2834" s="63"/>
    </row>
    <row r="2835" spans="1:8" x14ac:dyDescent="0.25">
      <c r="A2835" s="63"/>
      <c r="B2835" s="63">
        <v>9</v>
      </c>
      <c r="C2835" s="63" t="s">
        <v>2815</v>
      </c>
      <c r="D2835" s="63" t="s">
        <v>77</v>
      </c>
      <c r="E2835" s="66">
        <v>126.05123627448333</v>
      </c>
      <c r="F2835" s="67">
        <v>3.0000000000000001E-3</v>
      </c>
      <c r="G2835" s="67">
        <v>2E-3</v>
      </c>
      <c r="H2835" s="63"/>
    </row>
    <row r="2836" spans="1:8" x14ac:dyDescent="0.25">
      <c r="A2836" s="63"/>
      <c r="B2836" s="63">
        <v>10</v>
      </c>
      <c r="C2836" s="63" t="s">
        <v>2815</v>
      </c>
      <c r="D2836" s="63" t="s">
        <v>77</v>
      </c>
      <c r="E2836" s="66">
        <v>138.63987561181048</v>
      </c>
      <c r="F2836" s="67">
        <v>3.0000000000000001E-3</v>
      </c>
      <c r="G2836" s="67">
        <v>2E-3</v>
      </c>
      <c r="H2836" s="63"/>
    </row>
    <row r="2837" spans="1:8" x14ac:dyDescent="0.25">
      <c r="A2837" s="63"/>
      <c r="B2837" s="63">
        <v>11</v>
      </c>
      <c r="C2837" s="63" t="s">
        <v>2815</v>
      </c>
      <c r="D2837" s="63" t="s">
        <v>77</v>
      </c>
      <c r="E2837" s="66"/>
      <c r="F2837" s="67">
        <v>3.0000000000000001E-3</v>
      </c>
      <c r="G2837" s="67">
        <v>2E-3</v>
      </c>
      <c r="H2837" s="63"/>
    </row>
    <row r="2838" spans="1:8" x14ac:dyDescent="0.25">
      <c r="A2838" s="63"/>
      <c r="B2838" s="63">
        <v>12</v>
      </c>
      <c r="C2838" s="63" t="s">
        <v>2815</v>
      </c>
      <c r="D2838" s="63" t="s">
        <v>77</v>
      </c>
      <c r="E2838" s="66"/>
      <c r="F2838" s="67">
        <v>3.0000000000000001E-3</v>
      </c>
      <c r="G2838" s="67">
        <v>2E-3</v>
      </c>
      <c r="H2838" s="63"/>
    </row>
    <row r="2839" spans="1:8" x14ac:dyDescent="0.25">
      <c r="A2839" s="63"/>
      <c r="B2839" s="63">
        <v>13</v>
      </c>
      <c r="C2839" s="63" t="s">
        <v>2815</v>
      </c>
      <c r="D2839" s="63" t="s">
        <v>77</v>
      </c>
      <c r="E2839" s="66"/>
      <c r="F2839" s="67">
        <v>3.0000000000000001E-3</v>
      </c>
      <c r="G2839" s="67">
        <v>2E-3</v>
      </c>
      <c r="H2839" s="63"/>
    </row>
    <row r="2840" spans="1:8" x14ac:dyDescent="0.25">
      <c r="A2840" s="63"/>
      <c r="B2840" s="63">
        <v>14</v>
      </c>
      <c r="C2840" s="63" t="s">
        <v>2815</v>
      </c>
      <c r="D2840" s="63" t="s">
        <v>77</v>
      </c>
      <c r="E2840" s="66"/>
      <c r="F2840" s="67">
        <v>3.0000000000000001E-3</v>
      </c>
      <c r="G2840" s="67">
        <v>2E-3</v>
      </c>
      <c r="H2840" s="63"/>
    </row>
    <row r="2841" spans="1:8" x14ac:dyDescent="0.25">
      <c r="A2841" s="63"/>
      <c r="B2841" s="63">
        <v>15</v>
      </c>
      <c r="C2841" s="63" t="s">
        <v>2815</v>
      </c>
      <c r="D2841" s="63" t="s">
        <v>77</v>
      </c>
      <c r="E2841" s="66"/>
      <c r="F2841" s="67">
        <v>3.0000000000000001E-3</v>
      </c>
      <c r="G2841" s="67">
        <v>2E-3</v>
      </c>
      <c r="H2841" s="63"/>
    </row>
    <row r="2842" spans="1:8" x14ac:dyDescent="0.25">
      <c r="A2842" s="63"/>
      <c r="B2842" s="63">
        <v>16</v>
      </c>
      <c r="C2842" s="63" t="s">
        <v>2815</v>
      </c>
      <c r="D2842" s="63" t="s">
        <v>77</v>
      </c>
      <c r="E2842" s="66"/>
      <c r="F2842" s="67">
        <v>3.0000000000000001E-3</v>
      </c>
      <c r="G2842" s="67">
        <v>2E-3</v>
      </c>
      <c r="H2842" s="63"/>
    </row>
    <row r="2843" spans="1:8" x14ac:dyDescent="0.25">
      <c r="A2843" s="63"/>
      <c r="B2843" s="63">
        <v>17</v>
      </c>
      <c r="C2843" s="63" t="s">
        <v>2815</v>
      </c>
      <c r="D2843" s="63" t="s">
        <v>77</v>
      </c>
      <c r="E2843" s="66"/>
      <c r="F2843" s="67">
        <v>3.0000000000000001E-3</v>
      </c>
      <c r="G2843" s="67">
        <v>2E-3</v>
      </c>
      <c r="H2843" s="63"/>
    </row>
    <row r="2844" spans="1:8" x14ac:dyDescent="0.25">
      <c r="A2844" s="63"/>
      <c r="B2844" s="63">
        <v>18</v>
      </c>
      <c r="C2844" s="63" t="s">
        <v>2815</v>
      </c>
      <c r="D2844" s="63" t="s">
        <v>77</v>
      </c>
      <c r="E2844" s="66"/>
      <c r="F2844" s="67">
        <v>3.0000000000000001E-3</v>
      </c>
      <c r="G2844" s="67">
        <v>2E-3</v>
      </c>
      <c r="H2844" s="63"/>
    </row>
    <row r="2845" spans="1:8" x14ac:dyDescent="0.25">
      <c r="A2845" s="63"/>
      <c r="B2845" s="63">
        <v>19</v>
      </c>
      <c r="C2845" s="63" t="s">
        <v>2815</v>
      </c>
      <c r="D2845" s="63" t="s">
        <v>77</v>
      </c>
      <c r="E2845" s="66"/>
      <c r="F2845" s="67">
        <v>3.0000000000000001E-3</v>
      </c>
      <c r="G2845" s="67">
        <v>2E-3</v>
      </c>
      <c r="H2845" s="63"/>
    </row>
    <row r="2846" spans="1:8" x14ac:dyDescent="0.25">
      <c r="A2846" s="63"/>
      <c r="B2846" s="63">
        <v>20</v>
      </c>
      <c r="C2846" s="63" t="s">
        <v>2815</v>
      </c>
      <c r="D2846" s="63" t="s">
        <v>77</v>
      </c>
      <c r="E2846" s="66"/>
      <c r="F2846" s="67">
        <v>3.0000000000000001E-3</v>
      </c>
      <c r="G2846" s="67">
        <v>2E-3</v>
      </c>
      <c r="H2846" s="63"/>
    </row>
    <row r="2847" spans="1:8" x14ac:dyDescent="0.25">
      <c r="A2847" s="63"/>
      <c r="B2847" s="63">
        <v>21</v>
      </c>
      <c r="C2847" s="63" t="s">
        <v>2815</v>
      </c>
      <c r="D2847" s="63" t="s">
        <v>77</v>
      </c>
      <c r="E2847" s="66"/>
      <c r="F2847" s="67">
        <v>3.0000000000000001E-3</v>
      </c>
      <c r="G2847" s="67">
        <v>2E-3</v>
      </c>
      <c r="H2847" s="63"/>
    </row>
    <row r="2848" spans="1:8" x14ac:dyDescent="0.25">
      <c r="A2848" s="63"/>
      <c r="B2848" s="63">
        <v>22</v>
      </c>
      <c r="C2848" s="63" t="s">
        <v>2815</v>
      </c>
      <c r="D2848" s="63" t="s">
        <v>77</v>
      </c>
      <c r="E2848" s="66"/>
      <c r="F2848" s="67">
        <v>3.0000000000000001E-3</v>
      </c>
      <c r="G2848" s="67">
        <v>2E-3</v>
      </c>
      <c r="H2848" s="63"/>
    </row>
    <row r="2849" spans="1:8" x14ac:dyDescent="0.25">
      <c r="A2849" s="63"/>
      <c r="B2849" s="63">
        <v>23</v>
      </c>
      <c r="C2849" s="63" t="s">
        <v>2815</v>
      </c>
      <c r="D2849" s="63" t="s">
        <v>77</v>
      </c>
      <c r="E2849" s="66"/>
      <c r="F2849" s="67">
        <v>3.0000000000000001E-3</v>
      </c>
      <c r="G2849" s="67">
        <v>2E-3</v>
      </c>
      <c r="H2849" s="63"/>
    </row>
    <row r="2850" spans="1:8" x14ac:dyDescent="0.25">
      <c r="A2850" s="63"/>
      <c r="B2850" s="63">
        <v>24</v>
      </c>
      <c r="C2850" s="63" t="s">
        <v>2815</v>
      </c>
      <c r="D2850" s="63" t="s">
        <v>77</v>
      </c>
      <c r="E2850" s="66"/>
      <c r="F2850" s="67">
        <v>3.0000000000000001E-3</v>
      </c>
      <c r="G2850" s="67">
        <v>2E-3</v>
      </c>
      <c r="H2850" s="63"/>
    </row>
    <row r="2851" spans="1:8" x14ac:dyDescent="0.25">
      <c r="A2851" s="63"/>
      <c r="B2851" s="63">
        <v>25</v>
      </c>
      <c r="C2851" s="63" t="s">
        <v>2815</v>
      </c>
      <c r="D2851" s="63" t="s">
        <v>77</v>
      </c>
      <c r="E2851" s="66"/>
      <c r="F2851" s="67">
        <v>3.0000000000000001E-3</v>
      </c>
      <c r="G2851" s="67">
        <v>2E-3</v>
      </c>
      <c r="H2851" s="63"/>
    </row>
    <row r="2852" spans="1:8" x14ac:dyDescent="0.25">
      <c r="A2852" s="63"/>
      <c r="B2852" s="63">
        <v>26</v>
      </c>
      <c r="C2852" s="63" t="s">
        <v>2815</v>
      </c>
      <c r="D2852" s="63" t="s">
        <v>77</v>
      </c>
      <c r="E2852" s="66"/>
      <c r="F2852" s="67">
        <v>3.0000000000000001E-3</v>
      </c>
      <c r="G2852" s="67">
        <v>2E-3</v>
      </c>
      <c r="H2852" s="63"/>
    </row>
    <row r="2853" spans="1:8" x14ac:dyDescent="0.25">
      <c r="A2853" s="63"/>
      <c r="B2853" s="63">
        <v>27</v>
      </c>
      <c r="C2853" s="63" t="s">
        <v>2815</v>
      </c>
      <c r="D2853" s="63" t="s">
        <v>77</v>
      </c>
      <c r="E2853" s="66"/>
      <c r="F2853" s="67">
        <v>3.0000000000000001E-3</v>
      </c>
      <c r="G2853" s="67">
        <v>2E-3</v>
      </c>
      <c r="H2853" s="63"/>
    </row>
    <row r="2854" spans="1:8" x14ac:dyDescent="0.25">
      <c r="A2854" s="63"/>
      <c r="B2854" s="63">
        <v>28</v>
      </c>
      <c r="C2854" s="63" t="s">
        <v>2815</v>
      </c>
      <c r="D2854" s="63" t="s">
        <v>77</v>
      </c>
      <c r="E2854" s="66"/>
      <c r="F2854" s="67">
        <v>3.0000000000000001E-3</v>
      </c>
      <c r="G2854" s="67">
        <v>2E-3</v>
      </c>
      <c r="H2854" s="63"/>
    </row>
    <row r="2855" spans="1:8" x14ac:dyDescent="0.25">
      <c r="A2855" s="63"/>
      <c r="B2855" s="63">
        <v>29</v>
      </c>
      <c r="C2855" s="63" t="s">
        <v>2815</v>
      </c>
      <c r="D2855" s="63" t="s">
        <v>77</v>
      </c>
      <c r="E2855" s="66"/>
      <c r="F2855" s="67">
        <v>3.0000000000000001E-3</v>
      </c>
      <c r="G2855" s="67">
        <v>2E-3</v>
      </c>
      <c r="H2855" s="63"/>
    </row>
    <row r="2856" spans="1:8" x14ac:dyDescent="0.25">
      <c r="A2856" s="63"/>
      <c r="B2856" s="63">
        <v>30</v>
      </c>
      <c r="C2856" s="63" t="s">
        <v>2815</v>
      </c>
      <c r="D2856" s="63" t="s">
        <v>77</v>
      </c>
      <c r="E2856" s="66"/>
      <c r="F2856" s="67">
        <v>3.0000000000000001E-3</v>
      </c>
      <c r="G2856" s="67">
        <v>2E-3</v>
      </c>
      <c r="H2856" s="63"/>
    </row>
    <row r="2857" spans="1:8" x14ac:dyDescent="0.25">
      <c r="A2857" s="63"/>
      <c r="B2857" s="63">
        <v>0</v>
      </c>
      <c r="C2857" s="63" t="s">
        <v>2815</v>
      </c>
      <c r="D2857" s="63" t="s">
        <v>77</v>
      </c>
      <c r="E2857" s="66">
        <v>3.0428788910505911</v>
      </c>
      <c r="F2857" s="67">
        <v>3.0000000000000001E-3</v>
      </c>
      <c r="G2857" s="67">
        <v>2E-3</v>
      </c>
      <c r="H2857" s="63"/>
    </row>
    <row r="2858" spans="1:8" x14ac:dyDescent="0.25">
      <c r="A2858" s="63"/>
      <c r="B2858" s="63">
        <v>0.25</v>
      </c>
      <c r="C2858" s="63" t="s">
        <v>2373</v>
      </c>
      <c r="D2858" s="63" t="s">
        <v>21</v>
      </c>
      <c r="E2858" s="66">
        <v>14.658012588407608</v>
      </c>
      <c r="F2858" s="67">
        <v>3.0000000000000001E-3</v>
      </c>
      <c r="G2858" s="67">
        <v>2E-3</v>
      </c>
      <c r="H2858" s="63"/>
    </row>
    <row r="2859" spans="1:8" x14ac:dyDescent="0.25">
      <c r="A2859" s="63"/>
      <c r="B2859" s="63">
        <v>0.5</v>
      </c>
      <c r="C2859" s="63" t="s">
        <v>2373</v>
      </c>
      <c r="D2859" s="63" t="s">
        <v>21</v>
      </c>
      <c r="E2859" s="66">
        <v>15.91500936805066</v>
      </c>
      <c r="F2859" s="67">
        <v>3.0000000000000001E-3</v>
      </c>
      <c r="G2859" s="67">
        <v>2E-3</v>
      </c>
      <c r="H2859" s="63"/>
    </row>
    <row r="2860" spans="1:8" x14ac:dyDescent="0.25">
      <c r="A2860" s="63"/>
      <c r="B2860" s="63">
        <v>0.75</v>
      </c>
      <c r="C2860" s="63" t="s">
        <v>2373</v>
      </c>
      <c r="D2860" s="63" t="s">
        <v>21</v>
      </c>
      <c r="E2860" s="66">
        <v>17.092695699984894</v>
      </c>
      <c r="F2860" s="67">
        <v>3.0000000000000001E-3</v>
      </c>
      <c r="G2860" s="67">
        <v>2E-3</v>
      </c>
      <c r="H2860" s="63"/>
    </row>
    <row r="2861" spans="1:8" x14ac:dyDescent="0.25">
      <c r="A2861" s="63"/>
      <c r="B2861" s="63">
        <v>1</v>
      </c>
      <c r="C2861" s="63" t="s">
        <v>2373</v>
      </c>
      <c r="D2861" s="63" t="s">
        <v>21</v>
      </c>
      <c r="E2861" s="66">
        <v>18.570537224280656</v>
      </c>
      <c r="F2861" s="67">
        <v>3.0000000000000001E-3</v>
      </c>
      <c r="G2861" s="67">
        <v>2E-3</v>
      </c>
      <c r="H2861" s="63"/>
    </row>
    <row r="2862" spans="1:8" x14ac:dyDescent="0.25">
      <c r="A2862" s="63"/>
      <c r="B2862" s="63">
        <v>2</v>
      </c>
      <c r="C2862" s="63" t="s">
        <v>2373</v>
      </c>
      <c r="D2862" s="63" t="s">
        <v>21</v>
      </c>
      <c r="E2862" s="66">
        <v>22.36879778049677</v>
      </c>
      <c r="F2862" s="67">
        <v>3.0000000000000001E-3</v>
      </c>
      <c r="G2862" s="67">
        <v>2E-3</v>
      </c>
      <c r="H2862" s="63"/>
    </row>
    <row r="2863" spans="1:8" x14ac:dyDescent="0.25">
      <c r="A2863" s="63"/>
      <c r="B2863" s="63">
        <v>3</v>
      </c>
      <c r="C2863" s="63" t="s">
        <v>2373</v>
      </c>
      <c r="D2863" s="63" t="s">
        <v>21</v>
      </c>
      <c r="E2863" s="66">
        <v>28.799590589997514</v>
      </c>
      <c r="F2863" s="67">
        <v>3.0000000000000001E-3</v>
      </c>
      <c r="G2863" s="67">
        <v>2E-3</v>
      </c>
      <c r="H2863" s="63"/>
    </row>
    <row r="2864" spans="1:8" x14ac:dyDescent="0.25">
      <c r="A2864" s="63"/>
      <c r="B2864" s="63">
        <v>4</v>
      </c>
      <c r="C2864" s="63" t="s">
        <v>2373</v>
      </c>
      <c r="D2864" s="63" t="s">
        <v>21</v>
      </c>
      <c r="E2864" s="66">
        <v>35.408891882661088</v>
      </c>
      <c r="F2864" s="67">
        <v>3.0000000000000001E-3</v>
      </c>
      <c r="G2864" s="67">
        <v>2E-3</v>
      </c>
      <c r="H2864" s="63"/>
    </row>
    <row r="2865" spans="1:8" x14ac:dyDescent="0.25">
      <c r="A2865" s="63"/>
      <c r="B2865" s="63">
        <v>5</v>
      </c>
      <c r="C2865" s="63" t="s">
        <v>2373</v>
      </c>
      <c r="D2865" s="63" t="s">
        <v>21</v>
      </c>
      <c r="E2865" s="66">
        <v>42.2853557536964</v>
      </c>
      <c r="F2865" s="67">
        <v>3.0000000000000001E-3</v>
      </c>
      <c r="G2865" s="67">
        <v>2E-3</v>
      </c>
      <c r="H2865" s="63"/>
    </row>
    <row r="2866" spans="1:8" x14ac:dyDescent="0.25">
      <c r="A2866" s="63"/>
      <c r="B2866" s="63">
        <v>6</v>
      </c>
      <c r="C2866" s="63" t="s">
        <v>2373</v>
      </c>
      <c r="D2866" s="63" t="s">
        <v>21</v>
      </c>
      <c r="E2866" s="66">
        <v>52.924840681994915</v>
      </c>
      <c r="F2866" s="67">
        <v>3.0000000000000001E-3</v>
      </c>
      <c r="G2866" s="67">
        <v>2E-3</v>
      </c>
      <c r="H2866" s="63"/>
    </row>
    <row r="2867" spans="1:8" x14ac:dyDescent="0.25">
      <c r="A2867" s="63"/>
      <c r="B2867" s="63">
        <v>7</v>
      </c>
      <c r="C2867" s="63" t="s">
        <v>2373</v>
      </c>
      <c r="D2867" s="63" t="s">
        <v>21</v>
      </c>
      <c r="E2867" s="66">
        <v>59.611272623130141</v>
      </c>
      <c r="F2867" s="67">
        <v>3.0000000000000001E-3</v>
      </c>
      <c r="G2867" s="67">
        <v>2E-3</v>
      </c>
      <c r="H2867" s="63"/>
    </row>
    <row r="2868" spans="1:8" x14ac:dyDescent="0.25">
      <c r="A2868" s="63"/>
      <c r="B2868" s="63">
        <v>8</v>
      </c>
      <c r="C2868" s="63" t="s">
        <v>2373</v>
      </c>
      <c r="D2868" s="63" t="s">
        <v>21</v>
      </c>
      <c r="E2868" s="66">
        <v>66.399765537769724</v>
      </c>
      <c r="F2868" s="67">
        <v>3.0000000000000001E-3</v>
      </c>
      <c r="G2868" s="67">
        <v>2E-3</v>
      </c>
      <c r="H2868" s="63"/>
    </row>
    <row r="2869" spans="1:8" x14ac:dyDescent="0.25">
      <c r="A2869" s="63"/>
      <c r="B2869" s="63">
        <v>9</v>
      </c>
      <c r="C2869" s="63" t="s">
        <v>2373</v>
      </c>
      <c r="D2869" s="63" t="s">
        <v>21</v>
      </c>
      <c r="E2869" s="66">
        <v>73.300525523264056</v>
      </c>
      <c r="F2869" s="67">
        <v>3.0000000000000001E-3</v>
      </c>
      <c r="G2869" s="67">
        <v>2E-3</v>
      </c>
      <c r="H2869" s="63"/>
    </row>
    <row r="2870" spans="1:8" x14ac:dyDescent="0.25">
      <c r="A2870" s="63"/>
      <c r="B2870" s="63">
        <v>10</v>
      </c>
      <c r="C2870" s="63" t="s">
        <v>2373</v>
      </c>
      <c r="D2870" s="63" t="s">
        <v>21</v>
      </c>
      <c r="E2870" s="66">
        <v>79.684375838237017</v>
      </c>
      <c r="F2870" s="67">
        <v>3.0000000000000001E-3</v>
      </c>
      <c r="G2870" s="67">
        <v>2E-3</v>
      </c>
      <c r="H2870" s="63"/>
    </row>
    <row r="2871" spans="1:8" x14ac:dyDescent="0.25">
      <c r="A2871" s="63"/>
      <c r="B2871" s="63">
        <v>11</v>
      </c>
      <c r="C2871" s="63" t="s">
        <v>2373</v>
      </c>
      <c r="D2871" s="63" t="s">
        <v>21</v>
      </c>
      <c r="E2871" s="66"/>
      <c r="F2871" s="67">
        <v>3.0000000000000001E-3</v>
      </c>
      <c r="G2871" s="67">
        <v>2E-3</v>
      </c>
      <c r="H2871" s="63"/>
    </row>
    <row r="2872" spans="1:8" x14ac:dyDescent="0.25">
      <c r="A2872" s="63"/>
      <c r="B2872" s="63">
        <v>12</v>
      </c>
      <c r="C2872" s="63" t="s">
        <v>2373</v>
      </c>
      <c r="D2872" s="63" t="s">
        <v>21</v>
      </c>
      <c r="E2872" s="66"/>
      <c r="F2872" s="67">
        <v>3.0000000000000001E-3</v>
      </c>
      <c r="G2872" s="67">
        <v>2E-3</v>
      </c>
      <c r="H2872" s="63"/>
    </row>
    <row r="2873" spans="1:8" x14ac:dyDescent="0.25">
      <c r="A2873" s="63"/>
      <c r="B2873" s="63">
        <v>13</v>
      </c>
      <c r="C2873" s="63" t="s">
        <v>2373</v>
      </c>
      <c r="D2873" s="63" t="s">
        <v>21</v>
      </c>
      <c r="E2873" s="66"/>
      <c r="F2873" s="67">
        <v>3.0000000000000001E-3</v>
      </c>
      <c r="G2873" s="67">
        <v>2E-3</v>
      </c>
      <c r="H2873" s="63"/>
    </row>
    <row r="2874" spans="1:8" x14ac:dyDescent="0.25">
      <c r="A2874" s="63"/>
      <c r="B2874" s="63">
        <v>14</v>
      </c>
      <c r="C2874" s="63" t="s">
        <v>2373</v>
      </c>
      <c r="D2874" s="63" t="s">
        <v>21</v>
      </c>
      <c r="E2874" s="66"/>
      <c r="F2874" s="67">
        <v>3.0000000000000001E-3</v>
      </c>
      <c r="G2874" s="67">
        <v>2E-3</v>
      </c>
      <c r="H2874" s="63"/>
    </row>
    <row r="2875" spans="1:8" x14ac:dyDescent="0.25">
      <c r="A2875" s="63"/>
      <c r="B2875" s="63">
        <v>15</v>
      </c>
      <c r="C2875" s="63" t="s">
        <v>2373</v>
      </c>
      <c r="D2875" s="63" t="s">
        <v>21</v>
      </c>
      <c r="E2875" s="66"/>
      <c r="F2875" s="67">
        <v>3.0000000000000001E-3</v>
      </c>
      <c r="G2875" s="67">
        <v>2E-3</v>
      </c>
      <c r="H2875" s="63"/>
    </row>
    <row r="2876" spans="1:8" x14ac:dyDescent="0.25">
      <c r="A2876" s="63"/>
      <c r="B2876" s="63">
        <v>16</v>
      </c>
      <c r="C2876" s="63" t="s">
        <v>2373</v>
      </c>
      <c r="D2876" s="63" t="s">
        <v>21</v>
      </c>
      <c r="E2876" s="66"/>
      <c r="F2876" s="67">
        <v>3.0000000000000001E-3</v>
      </c>
      <c r="G2876" s="67">
        <v>2E-3</v>
      </c>
      <c r="H2876" s="63"/>
    </row>
    <row r="2877" spans="1:8" x14ac:dyDescent="0.25">
      <c r="A2877" s="63"/>
      <c r="B2877" s="63">
        <v>17</v>
      </c>
      <c r="C2877" s="63" t="s">
        <v>2373</v>
      </c>
      <c r="D2877" s="63" t="s">
        <v>21</v>
      </c>
      <c r="E2877" s="66"/>
      <c r="F2877" s="67">
        <v>3.0000000000000001E-3</v>
      </c>
      <c r="G2877" s="67">
        <v>2E-3</v>
      </c>
      <c r="H2877" s="63"/>
    </row>
    <row r="2878" spans="1:8" x14ac:dyDescent="0.25">
      <c r="A2878" s="63"/>
      <c r="B2878" s="63">
        <v>18</v>
      </c>
      <c r="C2878" s="63" t="s">
        <v>2373</v>
      </c>
      <c r="D2878" s="63" t="s">
        <v>21</v>
      </c>
      <c r="E2878" s="66"/>
      <c r="F2878" s="67">
        <v>3.0000000000000001E-3</v>
      </c>
      <c r="G2878" s="67">
        <v>2E-3</v>
      </c>
      <c r="H2878" s="63"/>
    </row>
    <row r="2879" spans="1:8" x14ac:dyDescent="0.25">
      <c r="A2879" s="63"/>
      <c r="B2879" s="63">
        <v>19</v>
      </c>
      <c r="C2879" s="63" t="s">
        <v>2373</v>
      </c>
      <c r="D2879" s="63" t="s">
        <v>21</v>
      </c>
      <c r="E2879" s="66"/>
      <c r="F2879" s="67">
        <v>3.0000000000000001E-3</v>
      </c>
      <c r="G2879" s="67">
        <v>2E-3</v>
      </c>
      <c r="H2879" s="63"/>
    </row>
    <row r="2880" spans="1:8" x14ac:dyDescent="0.25">
      <c r="A2880" s="63"/>
      <c r="B2880" s="63">
        <v>20</v>
      </c>
      <c r="C2880" s="63" t="s">
        <v>2373</v>
      </c>
      <c r="D2880" s="63" t="s">
        <v>21</v>
      </c>
      <c r="E2880" s="66"/>
      <c r="F2880" s="67">
        <v>3.0000000000000001E-3</v>
      </c>
      <c r="G2880" s="67">
        <v>2E-3</v>
      </c>
      <c r="H2880" s="63"/>
    </row>
    <row r="2881" spans="1:8" x14ac:dyDescent="0.25">
      <c r="A2881" s="63"/>
      <c r="B2881" s="63">
        <v>21</v>
      </c>
      <c r="C2881" s="63" t="s">
        <v>2373</v>
      </c>
      <c r="D2881" s="63" t="s">
        <v>21</v>
      </c>
      <c r="E2881" s="66"/>
      <c r="F2881" s="67">
        <v>3.0000000000000001E-3</v>
      </c>
      <c r="G2881" s="67">
        <v>2E-3</v>
      </c>
      <c r="H2881" s="63"/>
    </row>
    <row r="2882" spans="1:8" x14ac:dyDescent="0.25">
      <c r="A2882" s="63"/>
      <c r="B2882" s="63">
        <v>22</v>
      </c>
      <c r="C2882" s="63" t="s">
        <v>2373</v>
      </c>
      <c r="D2882" s="63" t="s">
        <v>21</v>
      </c>
      <c r="E2882" s="66"/>
      <c r="F2882" s="67">
        <v>3.0000000000000001E-3</v>
      </c>
      <c r="G2882" s="67">
        <v>2E-3</v>
      </c>
      <c r="H2882" s="63"/>
    </row>
    <row r="2883" spans="1:8" x14ac:dyDescent="0.25">
      <c r="A2883" s="63"/>
      <c r="B2883" s="63">
        <v>23</v>
      </c>
      <c r="C2883" s="63" t="s">
        <v>2373</v>
      </c>
      <c r="D2883" s="63" t="s">
        <v>21</v>
      </c>
      <c r="E2883" s="66"/>
      <c r="F2883" s="67">
        <v>3.0000000000000001E-3</v>
      </c>
      <c r="G2883" s="67">
        <v>2E-3</v>
      </c>
      <c r="H2883" s="63"/>
    </row>
    <row r="2884" spans="1:8" x14ac:dyDescent="0.25">
      <c r="A2884" s="63"/>
      <c r="B2884" s="63">
        <v>24</v>
      </c>
      <c r="C2884" s="63" t="s">
        <v>2373</v>
      </c>
      <c r="D2884" s="63" t="s">
        <v>21</v>
      </c>
      <c r="E2884" s="66"/>
      <c r="F2884" s="67">
        <v>3.0000000000000001E-3</v>
      </c>
      <c r="G2884" s="67">
        <v>2E-3</v>
      </c>
      <c r="H2884" s="63"/>
    </row>
    <row r="2885" spans="1:8" x14ac:dyDescent="0.25">
      <c r="A2885" s="63"/>
      <c r="B2885" s="63">
        <v>25</v>
      </c>
      <c r="C2885" s="63" t="s">
        <v>2373</v>
      </c>
      <c r="D2885" s="63" t="s">
        <v>21</v>
      </c>
      <c r="E2885" s="66"/>
      <c r="F2885" s="67">
        <v>3.0000000000000001E-3</v>
      </c>
      <c r="G2885" s="67">
        <v>2E-3</v>
      </c>
      <c r="H2885" s="63"/>
    </row>
    <row r="2886" spans="1:8" x14ac:dyDescent="0.25">
      <c r="A2886" s="63"/>
      <c r="B2886" s="63">
        <v>26</v>
      </c>
      <c r="C2886" s="63" t="s">
        <v>2373</v>
      </c>
      <c r="D2886" s="63" t="s">
        <v>21</v>
      </c>
      <c r="E2886" s="66"/>
      <c r="F2886" s="67">
        <v>3.0000000000000001E-3</v>
      </c>
      <c r="G2886" s="67">
        <v>2E-3</v>
      </c>
      <c r="H2886" s="63"/>
    </row>
    <row r="2887" spans="1:8" x14ac:dyDescent="0.25">
      <c r="A2887" s="63"/>
      <c r="B2887" s="63">
        <v>27</v>
      </c>
      <c r="C2887" s="63" t="s">
        <v>2373</v>
      </c>
      <c r="D2887" s="63" t="s">
        <v>21</v>
      </c>
      <c r="E2887" s="66"/>
      <c r="F2887" s="67">
        <v>3.0000000000000001E-3</v>
      </c>
      <c r="G2887" s="67">
        <v>2E-3</v>
      </c>
      <c r="H2887" s="63"/>
    </row>
    <row r="2888" spans="1:8" x14ac:dyDescent="0.25">
      <c r="A2888" s="63"/>
      <c r="B2888" s="63">
        <v>28</v>
      </c>
      <c r="C2888" s="63" t="s">
        <v>2373</v>
      </c>
      <c r="D2888" s="63" t="s">
        <v>21</v>
      </c>
      <c r="E2888" s="66"/>
      <c r="F2888" s="67">
        <v>3.0000000000000001E-3</v>
      </c>
      <c r="G2888" s="67">
        <v>2E-3</v>
      </c>
      <c r="H2888" s="63"/>
    </row>
    <row r="2889" spans="1:8" x14ac:dyDescent="0.25">
      <c r="A2889" s="63"/>
      <c r="B2889" s="63">
        <v>29</v>
      </c>
      <c r="C2889" s="63" t="s">
        <v>2373</v>
      </c>
      <c r="D2889" s="63" t="s">
        <v>21</v>
      </c>
      <c r="E2889" s="66"/>
      <c r="F2889" s="67">
        <v>3.0000000000000001E-3</v>
      </c>
      <c r="G2889" s="67">
        <v>2E-3</v>
      </c>
      <c r="H2889" s="63"/>
    </row>
    <row r="2890" spans="1:8" x14ac:dyDescent="0.25">
      <c r="A2890" s="63"/>
      <c r="B2890" s="63">
        <v>30</v>
      </c>
      <c r="C2890" s="63" t="s">
        <v>2373</v>
      </c>
      <c r="D2890" s="63" t="s">
        <v>21</v>
      </c>
      <c r="E2890" s="66"/>
      <c r="F2890" s="67">
        <v>3.0000000000000001E-3</v>
      </c>
      <c r="G2890" s="67">
        <v>2E-3</v>
      </c>
      <c r="H2890" s="63"/>
    </row>
    <row r="2891" spans="1:8" x14ac:dyDescent="0.25">
      <c r="A2891" s="63"/>
      <c r="B2891" s="63">
        <v>0</v>
      </c>
      <c r="C2891" s="63" t="s">
        <v>2373</v>
      </c>
      <c r="D2891" s="63" t="s">
        <v>21</v>
      </c>
      <c r="E2891" s="66">
        <v>3.0428788910505911</v>
      </c>
      <c r="F2891" s="67">
        <v>3.0000000000000001E-3</v>
      </c>
      <c r="G2891" s="67">
        <v>2E-3</v>
      </c>
      <c r="H2891" s="63"/>
    </row>
    <row r="2892" spans="1:8" x14ac:dyDescent="0.25">
      <c r="A2892" s="63"/>
      <c r="B2892" s="63">
        <v>0.25</v>
      </c>
      <c r="C2892" s="63" t="s">
        <v>2373</v>
      </c>
      <c r="D2892" s="63" t="s">
        <v>62</v>
      </c>
      <c r="E2892" s="66">
        <v>20.285501069318975</v>
      </c>
      <c r="F2892" s="67">
        <v>3.0000000000000001E-3</v>
      </c>
      <c r="G2892" s="67">
        <v>2E-3</v>
      </c>
      <c r="H2892" s="63"/>
    </row>
    <row r="2893" spans="1:8" x14ac:dyDescent="0.25">
      <c r="A2893" s="63"/>
      <c r="B2893" s="63">
        <v>0.5</v>
      </c>
      <c r="C2893" s="63" t="s">
        <v>2373</v>
      </c>
      <c r="D2893" s="63" t="s">
        <v>62</v>
      </c>
      <c r="E2893" s="66">
        <v>21.871661313902724</v>
      </c>
      <c r="F2893" s="67">
        <v>3.0000000000000001E-3</v>
      </c>
      <c r="G2893" s="67">
        <v>2E-3</v>
      </c>
      <c r="H2893" s="63"/>
    </row>
    <row r="2894" spans="1:8" x14ac:dyDescent="0.25">
      <c r="A2894" s="63"/>
      <c r="B2894" s="63">
        <v>0.75</v>
      </c>
      <c r="C2894" s="63" t="s">
        <v>2373</v>
      </c>
      <c r="D2894" s="63" t="s">
        <v>62</v>
      </c>
      <c r="E2894" s="66">
        <v>24.190921361155159</v>
      </c>
      <c r="F2894" s="67">
        <v>3.0000000000000001E-3</v>
      </c>
      <c r="G2894" s="67">
        <v>2E-3</v>
      </c>
      <c r="H2894" s="63"/>
    </row>
    <row r="2895" spans="1:8" x14ac:dyDescent="0.25">
      <c r="A2895" s="63"/>
      <c r="B2895" s="63">
        <v>1</v>
      </c>
      <c r="C2895" s="63" t="s">
        <v>2373</v>
      </c>
      <c r="D2895" s="63" t="s">
        <v>62</v>
      </c>
      <c r="E2895" s="66">
        <v>26.625441692091403</v>
      </c>
      <c r="F2895" s="67">
        <v>3.0000000000000001E-3</v>
      </c>
      <c r="G2895" s="67">
        <v>2E-3</v>
      </c>
      <c r="H2895" s="63"/>
    </row>
    <row r="2896" spans="1:8" x14ac:dyDescent="0.25">
      <c r="A2896" s="63"/>
      <c r="B2896" s="63">
        <v>2</v>
      </c>
      <c r="C2896" s="63" t="s">
        <v>2373</v>
      </c>
      <c r="D2896" s="63" t="s">
        <v>62</v>
      </c>
      <c r="E2896" s="66">
        <v>32.728097461461971</v>
      </c>
      <c r="F2896" s="67">
        <v>3.0000000000000001E-3</v>
      </c>
      <c r="G2896" s="67">
        <v>2E-3</v>
      </c>
      <c r="H2896" s="63"/>
    </row>
    <row r="2897" spans="1:8" x14ac:dyDescent="0.25">
      <c r="A2897" s="63"/>
      <c r="B2897" s="63">
        <v>3</v>
      </c>
      <c r="C2897" s="63" t="s">
        <v>2373</v>
      </c>
      <c r="D2897" s="63" t="s">
        <v>62</v>
      </c>
      <c r="E2897" s="66">
        <v>39.592402220979928</v>
      </c>
      <c r="F2897" s="67">
        <v>3.0000000000000001E-3</v>
      </c>
      <c r="G2897" s="67">
        <v>2E-3</v>
      </c>
      <c r="H2897" s="63"/>
    </row>
    <row r="2898" spans="1:8" x14ac:dyDescent="0.25">
      <c r="A2898" s="63"/>
      <c r="B2898" s="63">
        <v>4</v>
      </c>
      <c r="C2898" s="63" t="s">
        <v>2373</v>
      </c>
      <c r="D2898" s="63" t="s">
        <v>62</v>
      </c>
      <c r="E2898" s="66">
        <v>46.667225126282183</v>
      </c>
      <c r="F2898" s="67">
        <v>3.0000000000000001E-3</v>
      </c>
      <c r="G2898" s="67">
        <v>2E-3</v>
      </c>
      <c r="H2898" s="63"/>
    </row>
    <row r="2899" spans="1:8" x14ac:dyDescent="0.25">
      <c r="A2899" s="63"/>
      <c r="B2899" s="63">
        <v>5</v>
      </c>
      <c r="C2899" s="63" t="s">
        <v>2373</v>
      </c>
      <c r="D2899" s="63" t="s">
        <v>62</v>
      </c>
      <c r="E2899" s="66">
        <v>54.01853727705808</v>
      </c>
      <c r="F2899" s="67">
        <v>3.0000000000000001E-3</v>
      </c>
      <c r="G2899" s="67">
        <v>2E-3</v>
      </c>
      <c r="H2899" s="63"/>
    </row>
    <row r="2900" spans="1:8" x14ac:dyDescent="0.25">
      <c r="A2900" s="63"/>
      <c r="B2900" s="63">
        <v>6</v>
      </c>
      <c r="C2900" s="63" t="s">
        <v>2373</v>
      </c>
      <c r="D2900" s="63" t="s">
        <v>62</v>
      </c>
      <c r="E2900" s="66">
        <v>61.534700913404833</v>
      </c>
      <c r="F2900" s="67">
        <v>3.0000000000000001E-3</v>
      </c>
      <c r="G2900" s="67">
        <v>2E-3</v>
      </c>
      <c r="H2900" s="63"/>
    </row>
    <row r="2901" spans="1:8" x14ac:dyDescent="0.25">
      <c r="A2901" s="63"/>
      <c r="B2901" s="63">
        <v>7</v>
      </c>
      <c r="C2901" s="63" t="s">
        <v>2373</v>
      </c>
      <c r="D2901" s="63" t="s">
        <v>62</v>
      </c>
      <c r="E2901" s="66">
        <v>69.23692076986022</v>
      </c>
      <c r="F2901" s="67">
        <v>3.0000000000000001E-3</v>
      </c>
      <c r="G2901" s="67">
        <v>2E-3</v>
      </c>
      <c r="H2901" s="63"/>
    </row>
    <row r="2902" spans="1:8" x14ac:dyDescent="0.25">
      <c r="A2902" s="63"/>
      <c r="B2902" s="63">
        <v>8</v>
      </c>
      <c r="C2902" s="63" t="s">
        <v>2373</v>
      </c>
      <c r="D2902" s="63" t="s">
        <v>62</v>
      </c>
      <c r="E2902" s="66">
        <v>77.149201146871576</v>
      </c>
      <c r="F2902" s="67">
        <v>3.0000000000000001E-3</v>
      </c>
      <c r="G2902" s="67">
        <v>2E-3</v>
      </c>
      <c r="H2902" s="63"/>
    </row>
    <row r="2903" spans="1:8" x14ac:dyDescent="0.25">
      <c r="A2903" s="63"/>
      <c r="B2903" s="63">
        <v>9</v>
      </c>
      <c r="C2903" s="63" t="s">
        <v>2373</v>
      </c>
      <c r="D2903" s="63" t="s">
        <v>62</v>
      </c>
      <c r="E2903" s="66">
        <v>84.746750047431433</v>
      </c>
      <c r="F2903" s="67">
        <v>3.0000000000000001E-3</v>
      </c>
      <c r="G2903" s="67">
        <v>2E-3</v>
      </c>
      <c r="H2903" s="63"/>
    </row>
    <row r="2904" spans="1:8" x14ac:dyDescent="0.25">
      <c r="A2904" s="63"/>
      <c r="B2904" s="63">
        <v>10</v>
      </c>
      <c r="C2904" s="63" t="s">
        <v>2373</v>
      </c>
      <c r="D2904" s="63" t="s">
        <v>62</v>
      </c>
      <c r="E2904" s="66">
        <v>92.897557115592605</v>
      </c>
      <c r="F2904" s="67">
        <v>3.0000000000000001E-3</v>
      </c>
      <c r="G2904" s="67">
        <v>2E-3</v>
      </c>
      <c r="H2904" s="63"/>
    </row>
    <row r="2905" spans="1:8" x14ac:dyDescent="0.25">
      <c r="A2905" s="63"/>
      <c r="B2905" s="63">
        <v>11</v>
      </c>
      <c r="C2905" s="63" t="s">
        <v>2373</v>
      </c>
      <c r="D2905" s="63" t="s">
        <v>62</v>
      </c>
      <c r="E2905" s="66"/>
      <c r="F2905" s="67">
        <v>3.0000000000000001E-3</v>
      </c>
      <c r="G2905" s="67">
        <v>2E-3</v>
      </c>
      <c r="H2905" s="63"/>
    </row>
    <row r="2906" spans="1:8" x14ac:dyDescent="0.25">
      <c r="A2906" s="63"/>
      <c r="B2906" s="63">
        <v>12</v>
      </c>
      <c r="C2906" s="63" t="s">
        <v>2373</v>
      </c>
      <c r="D2906" s="63" t="s">
        <v>62</v>
      </c>
      <c r="E2906" s="66"/>
      <c r="F2906" s="67">
        <v>3.0000000000000001E-3</v>
      </c>
      <c r="G2906" s="67">
        <v>2E-3</v>
      </c>
      <c r="H2906" s="63"/>
    </row>
    <row r="2907" spans="1:8" x14ac:dyDescent="0.25">
      <c r="A2907" s="63"/>
      <c r="B2907" s="63">
        <v>13</v>
      </c>
      <c r="C2907" s="63" t="s">
        <v>2373</v>
      </c>
      <c r="D2907" s="63" t="s">
        <v>62</v>
      </c>
      <c r="E2907" s="66"/>
      <c r="F2907" s="67">
        <v>3.0000000000000001E-3</v>
      </c>
      <c r="G2907" s="67">
        <v>2E-3</v>
      </c>
      <c r="H2907" s="63"/>
    </row>
    <row r="2908" spans="1:8" x14ac:dyDescent="0.25">
      <c r="A2908" s="63"/>
      <c r="B2908" s="63">
        <v>14</v>
      </c>
      <c r="C2908" s="63" t="s">
        <v>2373</v>
      </c>
      <c r="D2908" s="63" t="s">
        <v>62</v>
      </c>
      <c r="E2908" s="66"/>
      <c r="F2908" s="67">
        <v>3.0000000000000001E-3</v>
      </c>
      <c r="G2908" s="67">
        <v>2E-3</v>
      </c>
      <c r="H2908" s="63"/>
    </row>
    <row r="2909" spans="1:8" x14ac:dyDescent="0.25">
      <c r="A2909" s="63"/>
      <c r="B2909" s="63">
        <v>15</v>
      </c>
      <c r="C2909" s="63" t="s">
        <v>2373</v>
      </c>
      <c r="D2909" s="63" t="s">
        <v>62</v>
      </c>
      <c r="E2909" s="66"/>
      <c r="F2909" s="67">
        <v>3.0000000000000001E-3</v>
      </c>
      <c r="G2909" s="67">
        <v>2E-3</v>
      </c>
      <c r="H2909" s="63"/>
    </row>
    <row r="2910" spans="1:8" x14ac:dyDescent="0.25">
      <c r="A2910" s="63"/>
      <c r="B2910" s="63">
        <v>16</v>
      </c>
      <c r="C2910" s="63" t="s">
        <v>2373</v>
      </c>
      <c r="D2910" s="63" t="s">
        <v>62</v>
      </c>
      <c r="E2910" s="66"/>
      <c r="F2910" s="67">
        <v>3.0000000000000001E-3</v>
      </c>
      <c r="G2910" s="67">
        <v>2E-3</v>
      </c>
      <c r="H2910" s="63"/>
    </row>
    <row r="2911" spans="1:8" x14ac:dyDescent="0.25">
      <c r="A2911" s="63"/>
      <c r="B2911" s="63">
        <v>17</v>
      </c>
      <c r="C2911" s="63" t="s">
        <v>2373</v>
      </c>
      <c r="D2911" s="63" t="s">
        <v>62</v>
      </c>
      <c r="E2911" s="66"/>
      <c r="F2911" s="67">
        <v>3.0000000000000001E-3</v>
      </c>
      <c r="G2911" s="67">
        <v>2E-3</v>
      </c>
      <c r="H2911" s="63"/>
    </row>
    <row r="2912" spans="1:8" x14ac:dyDescent="0.25">
      <c r="A2912" s="63"/>
      <c r="B2912" s="63">
        <v>18</v>
      </c>
      <c r="C2912" s="63" t="s">
        <v>2373</v>
      </c>
      <c r="D2912" s="63" t="s">
        <v>62</v>
      </c>
      <c r="E2912" s="66"/>
      <c r="F2912" s="67">
        <v>3.0000000000000001E-3</v>
      </c>
      <c r="G2912" s="67">
        <v>2E-3</v>
      </c>
      <c r="H2912" s="63"/>
    </row>
    <row r="2913" spans="1:8" x14ac:dyDescent="0.25">
      <c r="A2913" s="63"/>
      <c r="B2913" s="63">
        <v>19</v>
      </c>
      <c r="C2913" s="63" t="s">
        <v>2373</v>
      </c>
      <c r="D2913" s="63" t="s">
        <v>62</v>
      </c>
      <c r="E2913" s="66"/>
      <c r="F2913" s="67">
        <v>3.0000000000000001E-3</v>
      </c>
      <c r="G2913" s="67">
        <v>2E-3</v>
      </c>
      <c r="H2913" s="63"/>
    </row>
    <row r="2914" spans="1:8" x14ac:dyDescent="0.25">
      <c r="A2914" s="63"/>
      <c r="B2914" s="63">
        <v>20</v>
      </c>
      <c r="C2914" s="63" t="s">
        <v>2373</v>
      </c>
      <c r="D2914" s="63" t="s">
        <v>62</v>
      </c>
      <c r="E2914" s="66"/>
      <c r="F2914" s="67">
        <v>3.0000000000000001E-3</v>
      </c>
      <c r="G2914" s="67">
        <v>2E-3</v>
      </c>
      <c r="H2914" s="63"/>
    </row>
    <row r="2915" spans="1:8" x14ac:dyDescent="0.25">
      <c r="A2915" s="63"/>
      <c r="B2915" s="63">
        <v>21</v>
      </c>
      <c r="C2915" s="63" t="s">
        <v>2373</v>
      </c>
      <c r="D2915" s="63" t="s">
        <v>62</v>
      </c>
      <c r="E2915" s="66"/>
      <c r="F2915" s="67">
        <v>3.0000000000000001E-3</v>
      </c>
      <c r="G2915" s="67">
        <v>2E-3</v>
      </c>
      <c r="H2915" s="63"/>
    </row>
    <row r="2916" spans="1:8" x14ac:dyDescent="0.25">
      <c r="A2916" s="63"/>
      <c r="B2916" s="63">
        <v>22</v>
      </c>
      <c r="C2916" s="63" t="s">
        <v>2373</v>
      </c>
      <c r="D2916" s="63" t="s">
        <v>62</v>
      </c>
      <c r="E2916" s="66"/>
      <c r="F2916" s="67">
        <v>3.0000000000000001E-3</v>
      </c>
      <c r="G2916" s="67">
        <v>2E-3</v>
      </c>
      <c r="H2916" s="63"/>
    </row>
    <row r="2917" spans="1:8" x14ac:dyDescent="0.25">
      <c r="A2917" s="63"/>
      <c r="B2917" s="63">
        <v>23</v>
      </c>
      <c r="C2917" s="63" t="s">
        <v>2373</v>
      </c>
      <c r="D2917" s="63" t="s">
        <v>62</v>
      </c>
      <c r="E2917" s="66"/>
      <c r="F2917" s="67">
        <v>3.0000000000000001E-3</v>
      </c>
      <c r="G2917" s="67">
        <v>2E-3</v>
      </c>
      <c r="H2917" s="63"/>
    </row>
    <row r="2918" spans="1:8" x14ac:dyDescent="0.25">
      <c r="A2918" s="63"/>
      <c r="B2918" s="63">
        <v>24</v>
      </c>
      <c r="C2918" s="63" t="s">
        <v>2373</v>
      </c>
      <c r="D2918" s="63" t="s">
        <v>62</v>
      </c>
      <c r="E2918" s="66"/>
      <c r="F2918" s="67">
        <v>3.0000000000000001E-3</v>
      </c>
      <c r="G2918" s="67">
        <v>2E-3</v>
      </c>
      <c r="H2918" s="63"/>
    </row>
    <row r="2919" spans="1:8" x14ac:dyDescent="0.25">
      <c r="A2919" s="63"/>
      <c r="B2919" s="63">
        <v>25</v>
      </c>
      <c r="C2919" s="63" t="s">
        <v>2373</v>
      </c>
      <c r="D2919" s="63" t="s">
        <v>62</v>
      </c>
      <c r="E2919" s="66"/>
      <c r="F2919" s="67">
        <v>3.0000000000000001E-3</v>
      </c>
      <c r="G2919" s="67">
        <v>2E-3</v>
      </c>
      <c r="H2919" s="63"/>
    </row>
    <row r="2920" spans="1:8" x14ac:dyDescent="0.25">
      <c r="A2920" s="63"/>
      <c r="B2920" s="63">
        <v>26</v>
      </c>
      <c r="C2920" s="63" t="s">
        <v>2373</v>
      </c>
      <c r="D2920" s="63" t="s">
        <v>62</v>
      </c>
      <c r="E2920" s="66"/>
      <c r="F2920" s="67">
        <v>3.0000000000000001E-3</v>
      </c>
      <c r="G2920" s="67">
        <v>2E-3</v>
      </c>
      <c r="H2920" s="63"/>
    </row>
    <row r="2921" spans="1:8" x14ac:dyDescent="0.25">
      <c r="A2921" s="63"/>
      <c r="B2921" s="63">
        <v>27</v>
      </c>
      <c r="C2921" s="63" t="s">
        <v>2373</v>
      </c>
      <c r="D2921" s="63" t="s">
        <v>62</v>
      </c>
      <c r="E2921" s="66"/>
      <c r="F2921" s="67">
        <v>3.0000000000000001E-3</v>
      </c>
      <c r="G2921" s="67">
        <v>2E-3</v>
      </c>
      <c r="H2921" s="63"/>
    </row>
    <row r="2922" spans="1:8" x14ac:dyDescent="0.25">
      <c r="A2922" s="63"/>
      <c r="B2922" s="63">
        <v>28</v>
      </c>
      <c r="C2922" s="63" t="s">
        <v>2373</v>
      </c>
      <c r="D2922" s="63" t="s">
        <v>62</v>
      </c>
      <c r="E2922" s="66"/>
      <c r="F2922" s="67">
        <v>3.0000000000000001E-3</v>
      </c>
      <c r="G2922" s="67">
        <v>2E-3</v>
      </c>
      <c r="H2922" s="63"/>
    </row>
    <row r="2923" spans="1:8" x14ac:dyDescent="0.25">
      <c r="A2923" s="63"/>
      <c r="B2923" s="63">
        <v>29</v>
      </c>
      <c r="C2923" s="63" t="s">
        <v>2373</v>
      </c>
      <c r="D2923" s="63" t="s">
        <v>62</v>
      </c>
      <c r="E2923" s="66"/>
      <c r="F2923" s="67">
        <v>3.0000000000000001E-3</v>
      </c>
      <c r="G2923" s="67">
        <v>2E-3</v>
      </c>
      <c r="H2923" s="63"/>
    </row>
    <row r="2924" spans="1:8" x14ac:dyDescent="0.25">
      <c r="A2924" s="63"/>
      <c r="B2924" s="63">
        <v>30</v>
      </c>
      <c r="C2924" s="63" t="s">
        <v>2373</v>
      </c>
      <c r="D2924" s="63" t="s">
        <v>62</v>
      </c>
      <c r="E2924" s="66"/>
      <c r="F2924" s="67">
        <v>3.0000000000000001E-3</v>
      </c>
      <c r="G2924" s="67">
        <v>2E-3</v>
      </c>
      <c r="H2924" s="63"/>
    </row>
    <row r="2925" spans="1:8" x14ac:dyDescent="0.25">
      <c r="A2925" s="63"/>
      <c r="B2925" s="63">
        <v>0</v>
      </c>
      <c r="C2925" s="63" t="s">
        <v>2373</v>
      </c>
      <c r="D2925" s="63" t="s">
        <v>62</v>
      </c>
      <c r="E2925" s="66">
        <v>3.0428788910505911</v>
      </c>
      <c r="F2925" s="67">
        <v>3.0000000000000001E-3</v>
      </c>
      <c r="G2925" s="67">
        <v>2E-3</v>
      </c>
      <c r="H2925" s="63"/>
    </row>
    <row r="2926" spans="1:8" x14ac:dyDescent="0.25">
      <c r="A2926" s="63"/>
      <c r="B2926" s="63">
        <v>0.25</v>
      </c>
      <c r="C2926" s="63" t="s">
        <v>2373</v>
      </c>
      <c r="D2926" s="63" t="s">
        <v>64</v>
      </c>
      <c r="E2926" s="66">
        <v>24.798937533142826</v>
      </c>
      <c r="F2926" s="67">
        <v>3.0000000000000001E-3</v>
      </c>
      <c r="G2926" s="67">
        <v>2E-3</v>
      </c>
      <c r="H2926" s="63"/>
    </row>
    <row r="2927" spans="1:8" x14ac:dyDescent="0.25">
      <c r="A2927" s="63"/>
      <c r="B2927" s="63">
        <v>0.5</v>
      </c>
      <c r="C2927" s="63" t="s">
        <v>2373</v>
      </c>
      <c r="D2927" s="63" t="s">
        <v>64</v>
      </c>
      <c r="E2927" s="66">
        <v>27.282986050939623</v>
      </c>
      <c r="F2927" s="67">
        <v>3.0000000000000001E-3</v>
      </c>
      <c r="G2927" s="67">
        <v>2E-3</v>
      </c>
      <c r="H2927" s="63"/>
    </row>
    <row r="2928" spans="1:8" x14ac:dyDescent="0.25">
      <c r="A2928" s="63"/>
      <c r="B2928" s="63">
        <v>0.75</v>
      </c>
      <c r="C2928" s="63" t="s">
        <v>2373</v>
      </c>
      <c r="D2928" s="63" t="s">
        <v>64</v>
      </c>
      <c r="E2928" s="66">
        <v>30.022062887616894</v>
      </c>
      <c r="F2928" s="67">
        <v>3.0000000000000001E-3</v>
      </c>
      <c r="G2928" s="67">
        <v>2E-3</v>
      </c>
      <c r="H2928" s="63"/>
    </row>
    <row r="2929" spans="1:8" x14ac:dyDescent="0.25">
      <c r="A2929" s="63"/>
      <c r="B2929" s="63">
        <v>1</v>
      </c>
      <c r="C2929" s="63" t="s">
        <v>2373</v>
      </c>
      <c r="D2929" s="63" t="s">
        <v>64</v>
      </c>
      <c r="E2929" s="66">
        <v>32.334742764653299</v>
      </c>
      <c r="F2929" s="67">
        <v>3.0000000000000001E-3</v>
      </c>
      <c r="G2929" s="67">
        <v>2E-3</v>
      </c>
      <c r="H2929" s="63"/>
    </row>
    <row r="2930" spans="1:8" x14ac:dyDescent="0.25">
      <c r="A2930" s="63"/>
      <c r="B2930" s="63">
        <v>2</v>
      </c>
      <c r="C2930" s="63" t="s">
        <v>2373</v>
      </c>
      <c r="D2930" s="63" t="s">
        <v>64</v>
      </c>
      <c r="E2930" s="66">
        <v>39.542940700256686</v>
      </c>
      <c r="F2930" s="67">
        <v>3.0000000000000001E-3</v>
      </c>
      <c r="G2930" s="67">
        <v>2E-3</v>
      </c>
      <c r="H2930" s="63"/>
    </row>
    <row r="2931" spans="1:8" x14ac:dyDescent="0.25">
      <c r="A2931" s="63"/>
      <c r="B2931" s="63">
        <v>3</v>
      </c>
      <c r="C2931" s="63" t="s">
        <v>2373</v>
      </c>
      <c r="D2931" s="63" t="s">
        <v>64</v>
      </c>
      <c r="E2931" s="66">
        <v>47.671587751358722</v>
      </c>
      <c r="F2931" s="67">
        <v>3.0000000000000001E-3</v>
      </c>
      <c r="G2931" s="67">
        <v>2E-3</v>
      </c>
      <c r="H2931" s="63"/>
    </row>
    <row r="2932" spans="1:8" x14ac:dyDescent="0.25">
      <c r="A2932" s="63"/>
      <c r="B2932" s="63">
        <v>4</v>
      </c>
      <c r="C2932" s="63" t="s">
        <v>2373</v>
      </c>
      <c r="D2932" s="63" t="s">
        <v>64</v>
      </c>
      <c r="E2932" s="66">
        <v>55.900601261195845</v>
      </c>
      <c r="F2932" s="67">
        <v>3.0000000000000001E-3</v>
      </c>
      <c r="G2932" s="67">
        <v>2E-3</v>
      </c>
      <c r="H2932" s="63"/>
    </row>
    <row r="2933" spans="1:8" x14ac:dyDescent="0.25">
      <c r="A2933" s="63"/>
      <c r="B2933" s="63">
        <v>5</v>
      </c>
      <c r="C2933" s="63" t="s">
        <v>2373</v>
      </c>
      <c r="D2933" s="63" t="s">
        <v>64</v>
      </c>
      <c r="E2933" s="66">
        <v>64.24001787564157</v>
      </c>
      <c r="F2933" s="67">
        <v>3.0000000000000001E-3</v>
      </c>
      <c r="G2933" s="67">
        <v>2E-3</v>
      </c>
      <c r="H2933" s="63"/>
    </row>
    <row r="2934" spans="1:8" x14ac:dyDescent="0.25">
      <c r="A2934" s="63"/>
      <c r="B2934" s="63">
        <v>6</v>
      </c>
      <c r="C2934" s="63" t="s">
        <v>2373</v>
      </c>
      <c r="D2934" s="63" t="s">
        <v>64</v>
      </c>
      <c r="E2934" s="66">
        <v>74.662093866984236</v>
      </c>
      <c r="F2934" s="67">
        <v>3.0000000000000001E-3</v>
      </c>
      <c r="G2934" s="67">
        <v>2E-3</v>
      </c>
      <c r="H2934" s="63"/>
    </row>
    <row r="2935" spans="1:8" x14ac:dyDescent="0.25">
      <c r="A2935" s="63"/>
      <c r="B2935" s="63">
        <v>7</v>
      </c>
      <c r="C2935" s="63" t="s">
        <v>2373</v>
      </c>
      <c r="D2935" s="63" t="s">
        <v>64</v>
      </c>
      <c r="E2935" s="66">
        <v>82.474283033327609</v>
      </c>
      <c r="F2935" s="67">
        <v>3.0000000000000001E-3</v>
      </c>
      <c r="G2935" s="67">
        <v>2E-3</v>
      </c>
      <c r="H2935" s="63"/>
    </row>
    <row r="2936" spans="1:8" x14ac:dyDescent="0.25">
      <c r="A2936" s="63"/>
      <c r="B2936" s="63">
        <v>8</v>
      </c>
      <c r="C2936" s="63" t="s">
        <v>2373</v>
      </c>
      <c r="D2936" s="63" t="s">
        <v>64</v>
      </c>
      <c r="E2936" s="66">
        <v>90.418786006991922</v>
      </c>
      <c r="F2936" s="67">
        <v>3.0000000000000001E-3</v>
      </c>
      <c r="G2936" s="67">
        <v>2E-3</v>
      </c>
      <c r="H2936" s="63"/>
    </row>
    <row r="2937" spans="1:8" x14ac:dyDescent="0.25">
      <c r="A2937" s="63"/>
      <c r="B2937" s="63">
        <v>9</v>
      </c>
      <c r="C2937" s="63" t="s">
        <v>2373</v>
      </c>
      <c r="D2937" s="63" t="s">
        <v>64</v>
      </c>
      <c r="E2937" s="66">
        <v>99.369625657493344</v>
      </c>
      <c r="F2937" s="67">
        <v>3.0000000000000001E-3</v>
      </c>
      <c r="G2937" s="67">
        <v>2E-3</v>
      </c>
      <c r="H2937" s="63"/>
    </row>
    <row r="2938" spans="1:8" x14ac:dyDescent="0.25">
      <c r="A2938" s="63"/>
      <c r="B2938" s="63">
        <v>10</v>
      </c>
      <c r="C2938" s="63" t="s">
        <v>2373</v>
      </c>
      <c r="D2938" s="63" t="s">
        <v>64</v>
      </c>
      <c r="E2938" s="66">
        <v>108.18464077886053</v>
      </c>
      <c r="F2938" s="67">
        <v>3.0000000000000001E-3</v>
      </c>
      <c r="G2938" s="67">
        <v>2E-3</v>
      </c>
      <c r="H2938" s="63"/>
    </row>
    <row r="2939" spans="1:8" x14ac:dyDescent="0.25">
      <c r="A2939" s="63"/>
      <c r="B2939" s="63">
        <v>11</v>
      </c>
      <c r="C2939" s="63" t="s">
        <v>2373</v>
      </c>
      <c r="D2939" s="63" t="s">
        <v>64</v>
      </c>
      <c r="E2939" s="66"/>
      <c r="F2939" s="67">
        <v>3.0000000000000001E-3</v>
      </c>
      <c r="G2939" s="67">
        <v>2E-3</v>
      </c>
      <c r="H2939" s="63"/>
    </row>
    <row r="2940" spans="1:8" x14ac:dyDescent="0.25">
      <c r="A2940" s="63"/>
      <c r="B2940" s="63">
        <v>12</v>
      </c>
      <c r="C2940" s="63" t="s">
        <v>2373</v>
      </c>
      <c r="D2940" s="63" t="s">
        <v>64</v>
      </c>
      <c r="E2940" s="66"/>
      <c r="F2940" s="67">
        <v>3.0000000000000001E-3</v>
      </c>
      <c r="G2940" s="67">
        <v>2E-3</v>
      </c>
      <c r="H2940" s="63"/>
    </row>
    <row r="2941" spans="1:8" x14ac:dyDescent="0.25">
      <c r="A2941" s="63"/>
      <c r="B2941" s="63">
        <v>13</v>
      </c>
      <c r="C2941" s="63" t="s">
        <v>2373</v>
      </c>
      <c r="D2941" s="63" t="s">
        <v>64</v>
      </c>
      <c r="E2941" s="66"/>
      <c r="F2941" s="67">
        <v>3.0000000000000001E-3</v>
      </c>
      <c r="G2941" s="67">
        <v>2E-3</v>
      </c>
      <c r="H2941" s="63"/>
    </row>
    <row r="2942" spans="1:8" x14ac:dyDescent="0.25">
      <c r="A2942" s="63"/>
      <c r="B2942" s="63">
        <v>14</v>
      </c>
      <c r="C2942" s="63" t="s">
        <v>2373</v>
      </c>
      <c r="D2942" s="63" t="s">
        <v>64</v>
      </c>
      <c r="E2942" s="66"/>
      <c r="F2942" s="67">
        <v>3.0000000000000001E-3</v>
      </c>
      <c r="G2942" s="67">
        <v>2E-3</v>
      </c>
      <c r="H2942" s="63"/>
    </row>
    <row r="2943" spans="1:8" x14ac:dyDescent="0.25">
      <c r="A2943" s="63"/>
      <c r="B2943" s="63">
        <v>15</v>
      </c>
      <c r="C2943" s="63" t="s">
        <v>2373</v>
      </c>
      <c r="D2943" s="63" t="s">
        <v>64</v>
      </c>
      <c r="E2943" s="66"/>
      <c r="F2943" s="67">
        <v>3.0000000000000001E-3</v>
      </c>
      <c r="G2943" s="67">
        <v>2E-3</v>
      </c>
      <c r="H2943" s="63"/>
    </row>
    <row r="2944" spans="1:8" x14ac:dyDescent="0.25">
      <c r="A2944" s="63"/>
      <c r="B2944" s="63">
        <v>16</v>
      </c>
      <c r="C2944" s="63" t="s">
        <v>2373</v>
      </c>
      <c r="D2944" s="63" t="s">
        <v>64</v>
      </c>
      <c r="E2944" s="66"/>
      <c r="F2944" s="67">
        <v>3.0000000000000001E-3</v>
      </c>
      <c r="G2944" s="67">
        <v>2E-3</v>
      </c>
      <c r="H2944" s="63"/>
    </row>
    <row r="2945" spans="1:8" x14ac:dyDescent="0.25">
      <c r="A2945" s="63"/>
      <c r="B2945" s="63">
        <v>17</v>
      </c>
      <c r="C2945" s="63" t="s">
        <v>2373</v>
      </c>
      <c r="D2945" s="63" t="s">
        <v>64</v>
      </c>
      <c r="E2945" s="66"/>
      <c r="F2945" s="67">
        <v>3.0000000000000001E-3</v>
      </c>
      <c r="G2945" s="67">
        <v>2E-3</v>
      </c>
      <c r="H2945" s="63"/>
    </row>
    <row r="2946" spans="1:8" x14ac:dyDescent="0.25">
      <c r="A2946" s="63"/>
      <c r="B2946" s="63">
        <v>18</v>
      </c>
      <c r="C2946" s="63" t="s">
        <v>2373</v>
      </c>
      <c r="D2946" s="63" t="s">
        <v>64</v>
      </c>
      <c r="E2946" s="66"/>
      <c r="F2946" s="67">
        <v>3.0000000000000001E-3</v>
      </c>
      <c r="G2946" s="67">
        <v>2E-3</v>
      </c>
      <c r="H2946" s="63"/>
    </row>
    <row r="2947" spans="1:8" x14ac:dyDescent="0.25">
      <c r="A2947" s="63"/>
      <c r="B2947" s="63">
        <v>19</v>
      </c>
      <c r="C2947" s="63" t="s">
        <v>2373</v>
      </c>
      <c r="D2947" s="63" t="s">
        <v>64</v>
      </c>
      <c r="E2947" s="66"/>
      <c r="F2947" s="67">
        <v>3.0000000000000001E-3</v>
      </c>
      <c r="G2947" s="67">
        <v>2E-3</v>
      </c>
      <c r="H2947" s="63"/>
    </row>
    <row r="2948" spans="1:8" x14ac:dyDescent="0.25">
      <c r="A2948" s="63"/>
      <c r="B2948" s="63">
        <v>20</v>
      </c>
      <c r="C2948" s="63" t="s">
        <v>2373</v>
      </c>
      <c r="D2948" s="63" t="s">
        <v>64</v>
      </c>
      <c r="E2948" s="66"/>
      <c r="F2948" s="67">
        <v>3.0000000000000001E-3</v>
      </c>
      <c r="G2948" s="67">
        <v>2E-3</v>
      </c>
      <c r="H2948" s="63"/>
    </row>
    <row r="2949" spans="1:8" x14ac:dyDescent="0.25">
      <c r="A2949" s="63"/>
      <c r="B2949" s="63">
        <v>21</v>
      </c>
      <c r="C2949" s="63" t="s">
        <v>2373</v>
      </c>
      <c r="D2949" s="63" t="s">
        <v>64</v>
      </c>
      <c r="E2949" s="66"/>
      <c r="F2949" s="67">
        <v>3.0000000000000001E-3</v>
      </c>
      <c r="G2949" s="67">
        <v>2E-3</v>
      </c>
      <c r="H2949" s="63"/>
    </row>
    <row r="2950" spans="1:8" x14ac:dyDescent="0.25">
      <c r="A2950" s="63"/>
      <c r="B2950" s="63">
        <v>22</v>
      </c>
      <c r="C2950" s="63" t="s">
        <v>2373</v>
      </c>
      <c r="D2950" s="63" t="s">
        <v>64</v>
      </c>
      <c r="E2950" s="66"/>
      <c r="F2950" s="67">
        <v>3.0000000000000001E-3</v>
      </c>
      <c r="G2950" s="67">
        <v>2E-3</v>
      </c>
      <c r="H2950" s="63"/>
    </row>
    <row r="2951" spans="1:8" x14ac:dyDescent="0.25">
      <c r="A2951" s="63"/>
      <c r="B2951" s="63">
        <v>23</v>
      </c>
      <c r="C2951" s="63" t="s">
        <v>2373</v>
      </c>
      <c r="D2951" s="63" t="s">
        <v>64</v>
      </c>
      <c r="E2951" s="66"/>
      <c r="F2951" s="67">
        <v>3.0000000000000001E-3</v>
      </c>
      <c r="G2951" s="67">
        <v>2E-3</v>
      </c>
      <c r="H2951" s="63"/>
    </row>
    <row r="2952" spans="1:8" x14ac:dyDescent="0.25">
      <c r="A2952" s="63"/>
      <c r="B2952" s="63">
        <v>24</v>
      </c>
      <c r="C2952" s="63" t="s">
        <v>2373</v>
      </c>
      <c r="D2952" s="63" t="s">
        <v>64</v>
      </c>
      <c r="E2952" s="66"/>
      <c r="F2952" s="67">
        <v>3.0000000000000001E-3</v>
      </c>
      <c r="G2952" s="67">
        <v>2E-3</v>
      </c>
      <c r="H2952" s="63"/>
    </row>
    <row r="2953" spans="1:8" x14ac:dyDescent="0.25">
      <c r="A2953" s="63"/>
      <c r="B2953" s="63">
        <v>25</v>
      </c>
      <c r="C2953" s="63" t="s">
        <v>2373</v>
      </c>
      <c r="D2953" s="63" t="s">
        <v>64</v>
      </c>
      <c r="E2953" s="66"/>
      <c r="F2953" s="67">
        <v>3.0000000000000001E-3</v>
      </c>
      <c r="G2953" s="67">
        <v>2E-3</v>
      </c>
      <c r="H2953" s="63"/>
    </row>
    <row r="2954" spans="1:8" x14ac:dyDescent="0.25">
      <c r="A2954" s="63"/>
      <c r="B2954" s="63">
        <v>26</v>
      </c>
      <c r="C2954" s="63" t="s">
        <v>2373</v>
      </c>
      <c r="D2954" s="63" t="s">
        <v>64</v>
      </c>
      <c r="E2954" s="66"/>
      <c r="F2954" s="67">
        <v>3.0000000000000001E-3</v>
      </c>
      <c r="G2954" s="67">
        <v>2E-3</v>
      </c>
      <c r="H2954" s="63"/>
    </row>
    <row r="2955" spans="1:8" x14ac:dyDescent="0.25">
      <c r="A2955" s="63"/>
      <c r="B2955" s="63">
        <v>27</v>
      </c>
      <c r="C2955" s="63" t="s">
        <v>2373</v>
      </c>
      <c r="D2955" s="63" t="s">
        <v>64</v>
      </c>
      <c r="E2955" s="66"/>
      <c r="F2955" s="67">
        <v>3.0000000000000001E-3</v>
      </c>
      <c r="G2955" s="67">
        <v>2E-3</v>
      </c>
      <c r="H2955" s="63"/>
    </row>
    <row r="2956" spans="1:8" x14ac:dyDescent="0.25">
      <c r="A2956" s="63"/>
      <c r="B2956" s="63">
        <v>28</v>
      </c>
      <c r="C2956" s="63" t="s">
        <v>2373</v>
      </c>
      <c r="D2956" s="63" t="s">
        <v>64</v>
      </c>
      <c r="E2956" s="66"/>
      <c r="F2956" s="67">
        <v>3.0000000000000001E-3</v>
      </c>
      <c r="G2956" s="67">
        <v>2E-3</v>
      </c>
      <c r="H2956" s="63"/>
    </row>
    <row r="2957" spans="1:8" x14ac:dyDescent="0.25">
      <c r="A2957" s="63"/>
      <c r="B2957" s="63">
        <v>29</v>
      </c>
      <c r="C2957" s="63" t="s">
        <v>2373</v>
      </c>
      <c r="D2957" s="63" t="s">
        <v>64</v>
      </c>
      <c r="E2957" s="66"/>
      <c r="F2957" s="67">
        <v>3.0000000000000001E-3</v>
      </c>
      <c r="G2957" s="67">
        <v>2E-3</v>
      </c>
      <c r="H2957" s="63"/>
    </row>
    <row r="2958" spans="1:8" x14ac:dyDescent="0.25">
      <c r="A2958" s="63"/>
      <c r="B2958" s="63">
        <v>30</v>
      </c>
      <c r="C2958" s="63" t="s">
        <v>2373</v>
      </c>
      <c r="D2958" s="63" t="s">
        <v>64</v>
      </c>
      <c r="E2958" s="66"/>
      <c r="F2958" s="67">
        <v>3.0000000000000001E-3</v>
      </c>
      <c r="G2958" s="67">
        <v>2E-3</v>
      </c>
      <c r="H2958" s="63"/>
    </row>
    <row r="2959" spans="1:8" x14ac:dyDescent="0.25">
      <c r="A2959" s="63"/>
      <c r="B2959" s="63">
        <v>0</v>
      </c>
      <c r="C2959" s="63" t="s">
        <v>2373</v>
      </c>
      <c r="D2959" s="63" t="s">
        <v>64</v>
      </c>
      <c r="E2959" s="66">
        <v>3.0428788910505911</v>
      </c>
      <c r="F2959" s="67">
        <v>3.0000000000000001E-3</v>
      </c>
      <c r="G2959" s="67">
        <v>2E-3</v>
      </c>
      <c r="H2959" s="63"/>
    </row>
    <row r="2960" spans="1:8" x14ac:dyDescent="0.25">
      <c r="A2960" s="63"/>
      <c r="B2960" s="63">
        <v>0.25</v>
      </c>
      <c r="C2960" s="63" t="s">
        <v>2373</v>
      </c>
      <c r="D2960" s="63" t="s">
        <v>77</v>
      </c>
      <c r="E2960" s="66">
        <v>31.559907159117596</v>
      </c>
      <c r="F2960" s="67">
        <v>3.0000000000000001E-3</v>
      </c>
      <c r="G2960" s="67">
        <v>2E-3</v>
      </c>
      <c r="H2960" s="63"/>
    </row>
    <row r="2961" spans="1:8" x14ac:dyDescent="0.25">
      <c r="A2961" s="63"/>
      <c r="B2961" s="63">
        <v>0.5</v>
      </c>
      <c r="C2961" s="63" t="s">
        <v>2373</v>
      </c>
      <c r="D2961" s="63" t="s">
        <v>77</v>
      </c>
      <c r="E2961" s="66">
        <v>34.782556244112428</v>
      </c>
      <c r="F2961" s="67">
        <v>3.0000000000000001E-3</v>
      </c>
      <c r="G2961" s="67">
        <v>2E-3</v>
      </c>
      <c r="H2961" s="63"/>
    </row>
    <row r="2962" spans="1:8" x14ac:dyDescent="0.25">
      <c r="A2962" s="63"/>
      <c r="B2962" s="63">
        <v>0.75</v>
      </c>
      <c r="C2962" s="63" t="s">
        <v>2373</v>
      </c>
      <c r="D2962" s="63" t="s">
        <v>77</v>
      </c>
      <c r="E2962" s="66">
        <v>38.331578707788331</v>
      </c>
      <c r="F2962" s="67">
        <v>3.0000000000000001E-3</v>
      </c>
      <c r="G2962" s="67">
        <v>2E-3</v>
      </c>
      <c r="H2962" s="63"/>
    </row>
    <row r="2963" spans="1:8" x14ac:dyDescent="0.25">
      <c r="A2963" s="63"/>
      <c r="B2963" s="63">
        <v>1</v>
      </c>
      <c r="C2963" s="63" t="s">
        <v>2373</v>
      </c>
      <c r="D2963" s="63" t="s">
        <v>77</v>
      </c>
      <c r="E2963" s="66">
        <v>40.776923733312373</v>
      </c>
      <c r="F2963" s="67">
        <v>3.0000000000000001E-3</v>
      </c>
      <c r="G2963" s="67">
        <v>2E-3</v>
      </c>
      <c r="H2963" s="63"/>
    </row>
    <row r="2964" spans="1:8" x14ac:dyDescent="0.25">
      <c r="A2964" s="63"/>
      <c r="B2964" s="63">
        <v>2</v>
      </c>
      <c r="C2964" s="63" t="s">
        <v>2373</v>
      </c>
      <c r="D2964" s="63" t="s">
        <v>77</v>
      </c>
      <c r="E2964" s="66">
        <v>49.120207061213286</v>
      </c>
      <c r="F2964" s="67">
        <v>3.0000000000000001E-3</v>
      </c>
      <c r="G2964" s="67">
        <v>2E-3</v>
      </c>
      <c r="H2964" s="63"/>
    </row>
    <row r="2965" spans="1:8" x14ac:dyDescent="0.25">
      <c r="A2965" s="63"/>
      <c r="B2965" s="63">
        <v>3</v>
      </c>
      <c r="C2965" s="63" t="s">
        <v>2373</v>
      </c>
      <c r="D2965" s="63" t="s">
        <v>77</v>
      </c>
      <c r="E2965" s="66">
        <v>62.947967465281963</v>
      </c>
      <c r="F2965" s="67">
        <v>3.0000000000000001E-3</v>
      </c>
      <c r="G2965" s="67">
        <v>2E-3</v>
      </c>
      <c r="H2965" s="63"/>
    </row>
    <row r="2966" spans="1:8" x14ac:dyDescent="0.25">
      <c r="A2966" s="63"/>
      <c r="B2966" s="63">
        <v>4</v>
      </c>
      <c r="C2966" s="63" t="s">
        <v>2373</v>
      </c>
      <c r="D2966" s="63" t="s">
        <v>77</v>
      </c>
      <c r="E2966" s="66">
        <v>73.089269472589308</v>
      </c>
      <c r="F2966" s="67">
        <v>3.0000000000000001E-3</v>
      </c>
      <c r="G2966" s="67">
        <v>2E-3</v>
      </c>
      <c r="H2966" s="63"/>
    </row>
    <row r="2967" spans="1:8" x14ac:dyDescent="0.25">
      <c r="A2967" s="63"/>
      <c r="B2967" s="63">
        <v>5</v>
      </c>
      <c r="C2967" s="63" t="s">
        <v>2373</v>
      </c>
      <c r="D2967" s="63" t="s">
        <v>77</v>
      </c>
      <c r="E2967" s="66">
        <v>83.453036962432847</v>
      </c>
      <c r="F2967" s="67">
        <v>3.0000000000000001E-3</v>
      </c>
      <c r="G2967" s="67">
        <v>2E-3</v>
      </c>
      <c r="H2967" s="63"/>
    </row>
    <row r="2968" spans="1:8" x14ac:dyDescent="0.25">
      <c r="A2968" s="63"/>
      <c r="B2968" s="63">
        <v>6</v>
      </c>
      <c r="C2968" s="63" t="s">
        <v>2373</v>
      </c>
      <c r="D2968" s="63" t="s">
        <v>77</v>
      </c>
      <c r="E2968" s="66">
        <v>94.061516483066114</v>
      </c>
      <c r="F2968" s="67">
        <v>3.0000000000000001E-3</v>
      </c>
      <c r="G2968" s="67">
        <v>2E-3</v>
      </c>
      <c r="H2968" s="63"/>
    </row>
    <row r="2969" spans="1:8" x14ac:dyDescent="0.25">
      <c r="A2969" s="63"/>
      <c r="B2969" s="63">
        <v>7</v>
      </c>
      <c r="C2969" s="63" t="s">
        <v>2373</v>
      </c>
      <c r="D2969" s="63" t="s">
        <v>77</v>
      </c>
      <c r="E2969" s="66">
        <v>104.93917923756814</v>
      </c>
      <c r="F2969" s="67">
        <v>3.0000000000000001E-3</v>
      </c>
      <c r="G2969" s="67">
        <v>2E-3</v>
      </c>
      <c r="H2969" s="63"/>
    </row>
    <row r="2970" spans="1:8" x14ac:dyDescent="0.25">
      <c r="A2970" s="63"/>
      <c r="B2970" s="63">
        <v>8</v>
      </c>
      <c r="C2970" s="63" t="s">
        <v>2373</v>
      </c>
      <c r="D2970" s="63" t="s">
        <v>77</v>
      </c>
      <c r="E2970" s="66">
        <v>116.11294354932578</v>
      </c>
      <c r="F2970" s="67">
        <v>3.0000000000000001E-3</v>
      </c>
      <c r="G2970" s="67">
        <v>2E-3</v>
      </c>
      <c r="H2970" s="63"/>
    </row>
    <row r="2971" spans="1:8" x14ac:dyDescent="0.25">
      <c r="A2971" s="63"/>
      <c r="B2971" s="63">
        <v>9</v>
      </c>
      <c r="C2971" s="63" t="s">
        <v>2373</v>
      </c>
      <c r="D2971" s="63" t="s">
        <v>77</v>
      </c>
      <c r="E2971" s="66">
        <v>127.61241957406463</v>
      </c>
      <c r="F2971" s="67">
        <v>3.0000000000000001E-3</v>
      </c>
      <c r="G2971" s="67">
        <v>2E-3</v>
      </c>
      <c r="H2971" s="63"/>
    </row>
    <row r="2972" spans="1:8" x14ac:dyDescent="0.25">
      <c r="A2972" s="63"/>
      <c r="B2972" s="63">
        <v>10</v>
      </c>
      <c r="C2972" s="63" t="s">
        <v>2373</v>
      </c>
      <c r="D2972" s="63" t="s">
        <v>77</v>
      </c>
      <c r="E2972" s="66">
        <v>140.35672613559947</v>
      </c>
      <c r="F2972" s="67">
        <v>3.0000000000000001E-3</v>
      </c>
      <c r="G2972" s="67">
        <v>2E-3</v>
      </c>
      <c r="H2972" s="63"/>
    </row>
    <row r="2973" spans="1:8" x14ac:dyDescent="0.25">
      <c r="A2973" s="63"/>
      <c r="B2973" s="63">
        <v>11</v>
      </c>
      <c r="C2973" s="63" t="s">
        <v>2373</v>
      </c>
      <c r="D2973" s="63" t="s">
        <v>77</v>
      </c>
      <c r="E2973" s="66"/>
      <c r="F2973" s="67">
        <v>3.0000000000000001E-3</v>
      </c>
      <c r="G2973" s="67">
        <v>2E-3</v>
      </c>
      <c r="H2973" s="63"/>
    </row>
    <row r="2974" spans="1:8" x14ac:dyDescent="0.25">
      <c r="A2974" s="63"/>
      <c r="B2974" s="63">
        <v>12</v>
      </c>
      <c r="C2974" s="63" t="s">
        <v>2373</v>
      </c>
      <c r="D2974" s="63" t="s">
        <v>77</v>
      </c>
      <c r="E2974" s="66"/>
      <c r="F2974" s="67">
        <v>3.0000000000000001E-3</v>
      </c>
      <c r="G2974" s="67">
        <v>2E-3</v>
      </c>
      <c r="H2974" s="63"/>
    </row>
    <row r="2975" spans="1:8" x14ac:dyDescent="0.25">
      <c r="A2975" s="63"/>
      <c r="B2975" s="63">
        <v>13</v>
      </c>
      <c r="C2975" s="63" t="s">
        <v>2373</v>
      </c>
      <c r="D2975" s="63" t="s">
        <v>77</v>
      </c>
      <c r="E2975" s="66"/>
      <c r="F2975" s="67">
        <v>3.0000000000000001E-3</v>
      </c>
      <c r="G2975" s="67">
        <v>2E-3</v>
      </c>
      <c r="H2975" s="63"/>
    </row>
    <row r="2976" spans="1:8" x14ac:dyDescent="0.25">
      <c r="A2976" s="63"/>
      <c r="B2976" s="63">
        <v>14</v>
      </c>
      <c r="C2976" s="63" t="s">
        <v>2373</v>
      </c>
      <c r="D2976" s="63" t="s">
        <v>77</v>
      </c>
      <c r="E2976" s="66"/>
      <c r="F2976" s="67">
        <v>3.0000000000000001E-3</v>
      </c>
      <c r="G2976" s="67">
        <v>2E-3</v>
      </c>
      <c r="H2976" s="63"/>
    </row>
    <row r="2977" spans="1:8" x14ac:dyDescent="0.25">
      <c r="A2977" s="63"/>
      <c r="B2977" s="63">
        <v>15</v>
      </c>
      <c r="C2977" s="63" t="s">
        <v>2373</v>
      </c>
      <c r="D2977" s="63" t="s">
        <v>77</v>
      </c>
      <c r="E2977" s="66"/>
      <c r="F2977" s="67">
        <v>3.0000000000000001E-3</v>
      </c>
      <c r="G2977" s="67">
        <v>2E-3</v>
      </c>
      <c r="H2977" s="63"/>
    </row>
    <row r="2978" spans="1:8" x14ac:dyDescent="0.25">
      <c r="A2978" s="63"/>
      <c r="B2978" s="63">
        <v>16</v>
      </c>
      <c r="C2978" s="63" t="s">
        <v>2373</v>
      </c>
      <c r="D2978" s="63" t="s">
        <v>77</v>
      </c>
      <c r="E2978" s="66"/>
      <c r="F2978" s="67">
        <v>3.0000000000000001E-3</v>
      </c>
      <c r="G2978" s="67">
        <v>2E-3</v>
      </c>
      <c r="H2978" s="63"/>
    </row>
    <row r="2979" spans="1:8" x14ac:dyDescent="0.25">
      <c r="A2979" s="63"/>
      <c r="B2979" s="63">
        <v>17</v>
      </c>
      <c r="C2979" s="63" t="s">
        <v>2373</v>
      </c>
      <c r="D2979" s="63" t="s">
        <v>77</v>
      </c>
      <c r="E2979" s="66"/>
      <c r="F2979" s="67">
        <v>3.0000000000000001E-3</v>
      </c>
      <c r="G2979" s="67">
        <v>2E-3</v>
      </c>
      <c r="H2979" s="63"/>
    </row>
    <row r="2980" spans="1:8" x14ac:dyDescent="0.25">
      <c r="A2980" s="63"/>
      <c r="B2980" s="63">
        <v>18</v>
      </c>
      <c r="C2980" s="63" t="s">
        <v>2373</v>
      </c>
      <c r="D2980" s="63" t="s">
        <v>77</v>
      </c>
      <c r="E2980" s="66"/>
      <c r="F2980" s="67">
        <v>3.0000000000000001E-3</v>
      </c>
      <c r="G2980" s="67">
        <v>2E-3</v>
      </c>
      <c r="H2980" s="63"/>
    </row>
    <row r="2981" spans="1:8" x14ac:dyDescent="0.25">
      <c r="A2981" s="63"/>
      <c r="B2981" s="63">
        <v>19</v>
      </c>
      <c r="C2981" s="63" t="s">
        <v>2373</v>
      </c>
      <c r="D2981" s="63" t="s">
        <v>77</v>
      </c>
      <c r="E2981" s="66"/>
      <c r="F2981" s="67">
        <v>3.0000000000000001E-3</v>
      </c>
      <c r="G2981" s="67">
        <v>2E-3</v>
      </c>
      <c r="H2981" s="63"/>
    </row>
    <row r="2982" spans="1:8" x14ac:dyDescent="0.25">
      <c r="A2982" s="63"/>
      <c r="B2982" s="63">
        <v>20</v>
      </c>
      <c r="C2982" s="63" t="s">
        <v>2373</v>
      </c>
      <c r="D2982" s="63" t="s">
        <v>77</v>
      </c>
      <c r="E2982" s="66"/>
      <c r="F2982" s="67">
        <v>3.0000000000000001E-3</v>
      </c>
      <c r="G2982" s="67">
        <v>2E-3</v>
      </c>
      <c r="H2982" s="63"/>
    </row>
    <row r="2983" spans="1:8" x14ac:dyDescent="0.25">
      <c r="A2983" s="63"/>
      <c r="B2983" s="63">
        <v>21</v>
      </c>
      <c r="C2983" s="63" t="s">
        <v>2373</v>
      </c>
      <c r="D2983" s="63" t="s">
        <v>77</v>
      </c>
      <c r="E2983" s="66"/>
      <c r="F2983" s="67">
        <v>3.0000000000000001E-3</v>
      </c>
      <c r="G2983" s="67">
        <v>2E-3</v>
      </c>
      <c r="H2983" s="63"/>
    </row>
    <row r="2984" spans="1:8" x14ac:dyDescent="0.25">
      <c r="A2984" s="63"/>
      <c r="B2984" s="63">
        <v>22</v>
      </c>
      <c r="C2984" s="63" t="s">
        <v>2373</v>
      </c>
      <c r="D2984" s="63" t="s">
        <v>77</v>
      </c>
      <c r="E2984" s="66"/>
      <c r="F2984" s="67">
        <v>3.0000000000000001E-3</v>
      </c>
      <c r="G2984" s="67">
        <v>2E-3</v>
      </c>
      <c r="H2984" s="63"/>
    </row>
    <row r="2985" spans="1:8" x14ac:dyDescent="0.25">
      <c r="A2985" s="63"/>
      <c r="B2985" s="63">
        <v>23</v>
      </c>
      <c r="C2985" s="63" t="s">
        <v>2373</v>
      </c>
      <c r="D2985" s="63" t="s">
        <v>77</v>
      </c>
      <c r="E2985" s="66"/>
      <c r="F2985" s="67">
        <v>3.0000000000000001E-3</v>
      </c>
      <c r="G2985" s="67">
        <v>2E-3</v>
      </c>
      <c r="H2985" s="63"/>
    </row>
    <row r="2986" spans="1:8" x14ac:dyDescent="0.25">
      <c r="A2986" s="63"/>
      <c r="B2986" s="63">
        <v>24</v>
      </c>
      <c r="C2986" s="63" t="s">
        <v>2373</v>
      </c>
      <c r="D2986" s="63" t="s">
        <v>77</v>
      </c>
      <c r="E2986" s="66"/>
      <c r="F2986" s="67">
        <v>3.0000000000000001E-3</v>
      </c>
      <c r="G2986" s="67">
        <v>2E-3</v>
      </c>
      <c r="H2986" s="63"/>
    </row>
    <row r="2987" spans="1:8" x14ac:dyDescent="0.25">
      <c r="A2987" s="63"/>
      <c r="B2987" s="63">
        <v>25</v>
      </c>
      <c r="C2987" s="63" t="s">
        <v>2373</v>
      </c>
      <c r="D2987" s="63" t="s">
        <v>77</v>
      </c>
      <c r="E2987" s="66"/>
      <c r="F2987" s="67">
        <v>3.0000000000000001E-3</v>
      </c>
      <c r="G2987" s="67">
        <v>2E-3</v>
      </c>
      <c r="H2987" s="63"/>
    </row>
    <row r="2988" spans="1:8" x14ac:dyDescent="0.25">
      <c r="A2988" s="63"/>
      <c r="B2988" s="63">
        <v>26</v>
      </c>
      <c r="C2988" s="63" t="s">
        <v>2373</v>
      </c>
      <c r="D2988" s="63" t="s">
        <v>77</v>
      </c>
      <c r="E2988" s="66"/>
      <c r="F2988" s="67">
        <v>3.0000000000000001E-3</v>
      </c>
      <c r="G2988" s="67">
        <v>2E-3</v>
      </c>
      <c r="H2988" s="63"/>
    </row>
    <row r="2989" spans="1:8" x14ac:dyDescent="0.25">
      <c r="A2989" s="63"/>
      <c r="B2989" s="63">
        <v>27</v>
      </c>
      <c r="C2989" s="63" t="s">
        <v>2373</v>
      </c>
      <c r="D2989" s="63" t="s">
        <v>77</v>
      </c>
      <c r="E2989" s="66"/>
      <c r="F2989" s="67">
        <v>3.0000000000000001E-3</v>
      </c>
      <c r="G2989" s="67">
        <v>2E-3</v>
      </c>
      <c r="H2989" s="63"/>
    </row>
    <row r="2990" spans="1:8" x14ac:dyDescent="0.25">
      <c r="A2990" s="63"/>
      <c r="B2990" s="63">
        <v>28</v>
      </c>
      <c r="C2990" s="63" t="s">
        <v>2373</v>
      </c>
      <c r="D2990" s="63" t="s">
        <v>77</v>
      </c>
      <c r="E2990" s="66"/>
      <c r="F2990" s="67">
        <v>3.0000000000000001E-3</v>
      </c>
      <c r="G2990" s="67">
        <v>2E-3</v>
      </c>
      <c r="H2990" s="63"/>
    </row>
    <row r="2991" spans="1:8" x14ac:dyDescent="0.25">
      <c r="A2991" s="63"/>
      <c r="B2991" s="63">
        <v>29</v>
      </c>
      <c r="C2991" s="63" t="s">
        <v>2373</v>
      </c>
      <c r="D2991" s="63" t="s">
        <v>77</v>
      </c>
      <c r="E2991" s="66"/>
      <c r="F2991" s="67">
        <v>3.0000000000000001E-3</v>
      </c>
      <c r="G2991" s="67">
        <v>2E-3</v>
      </c>
      <c r="H2991" s="63"/>
    </row>
    <row r="2992" spans="1:8" x14ac:dyDescent="0.25">
      <c r="A2992" s="63"/>
      <c r="B2992" s="63">
        <v>30</v>
      </c>
      <c r="C2992" s="63" t="s">
        <v>2373</v>
      </c>
      <c r="D2992" s="63" t="s">
        <v>77</v>
      </c>
      <c r="E2992" s="66"/>
      <c r="F2992" s="67">
        <v>3.0000000000000001E-3</v>
      </c>
      <c r="G2992" s="67">
        <v>2E-3</v>
      </c>
      <c r="H2992" s="63"/>
    </row>
    <row r="2993" spans="1:8" x14ac:dyDescent="0.25">
      <c r="A2993" s="63"/>
      <c r="B2993" s="63">
        <v>0</v>
      </c>
      <c r="C2993" s="63" t="s">
        <v>2373</v>
      </c>
      <c r="D2993" s="63" t="s">
        <v>77</v>
      </c>
      <c r="E2993" s="66">
        <v>3.0428788910505911</v>
      </c>
      <c r="F2993" s="67">
        <v>3.0000000000000001E-3</v>
      </c>
      <c r="G2993" s="67">
        <v>2E-3</v>
      </c>
      <c r="H2993" s="63"/>
    </row>
    <row r="2994" spans="1:8" x14ac:dyDescent="0.25">
      <c r="A2994" s="63"/>
      <c r="B2994" s="63">
        <v>0.25</v>
      </c>
      <c r="C2994" s="63" t="s">
        <v>2471</v>
      </c>
      <c r="D2994" s="63" t="s">
        <v>21</v>
      </c>
      <c r="E2994" s="66">
        <v>15.275659926953011</v>
      </c>
      <c r="F2994" s="67">
        <v>3.0000000000000001E-3</v>
      </c>
      <c r="G2994" s="67">
        <v>2E-3</v>
      </c>
      <c r="H2994" s="63"/>
    </row>
    <row r="2995" spans="1:8" x14ac:dyDescent="0.25">
      <c r="A2995" s="63"/>
      <c r="B2995" s="63">
        <v>0.5</v>
      </c>
      <c r="C2995" s="63" t="s">
        <v>2471</v>
      </c>
      <c r="D2995" s="63" t="s">
        <v>21</v>
      </c>
      <c r="E2995" s="66">
        <v>16.497520534621739</v>
      </c>
      <c r="F2995" s="67">
        <v>3.0000000000000001E-3</v>
      </c>
      <c r="G2995" s="67">
        <v>2E-3</v>
      </c>
      <c r="H2995" s="63"/>
    </row>
    <row r="2996" spans="1:8" x14ac:dyDescent="0.25">
      <c r="A2996" s="63"/>
      <c r="B2996" s="63">
        <v>0.75</v>
      </c>
      <c r="C2996" s="63" t="s">
        <v>2471</v>
      </c>
      <c r="D2996" s="63" t="s">
        <v>21</v>
      </c>
      <c r="E2996" s="66">
        <v>17.643949762187926</v>
      </c>
      <c r="F2996" s="67">
        <v>3.0000000000000001E-3</v>
      </c>
      <c r="G2996" s="67">
        <v>2E-3</v>
      </c>
      <c r="H2996" s="63"/>
    </row>
    <row r="2997" spans="1:8" x14ac:dyDescent="0.25">
      <c r="A2997" s="63"/>
      <c r="B2997" s="63">
        <v>1</v>
      </c>
      <c r="C2997" s="63" t="s">
        <v>2471</v>
      </c>
      <c r="D2997" s="63" t="s">
        <v>21</v>
      </c>
      <c r="E2997" s="66">
        <v>19.080850521938075</v>
      </c>
      <c r="F2997" s="67">
        <v>3.0000000000000001E-3</v>
      </c>
      <c r="G2997" s="67">
        <v>2E-3</v>
      </c>
      <c r="H2997" s="63"/>
    </row>
    <row r="2998" spans="1:8" x14ac:dyDescent="0.25">
      <c r="A2998" s="63"/>
      <c r="B2998" s="63">
        <v>2</v>
      </c>
      <c r="C2998" s="63" t="s">
        <v>2471</v>
      </c>
      <c r="D2998" s="63" t="s">
        <v>21</v>
      </c>
      <c r="E2998" s="66">
        <v>22.795114374938205</v>
      </c>
      <c r="F2998" s="67">
        <v>3.0000000000000001E-3</v>
      </c>
      <c r="G2998" s="67">
        <v>2E-3</v>
      </c>
      <c r="H2998" s="63"/>
    </row>
    <row r="2999" spans="1:8" x14ac:dyDescent="0.25">
      <c r="A2999" s="63"/>
      <c r="B2999" s="63">
        <v>3</v>
      </c>
      <c r="C2999" s="63" t="s">
        <v>2471</v>
      </c>
      <c r="D2999" s="63" t="s">
        <v>21</v>
      </c>
      <c r="E2999" s="66">
        <v>29.095299022787408</v>
      </c>
      <c r="F2999" s="67">
        <v>3.0000000000000001E-3</v>
      </c>
      <c r="G2999" s="67">
        <v>2E-3</v>
      </c>
      <c r="H2999" s="63"/>
    </row>
    <row r="3000" spans="1:8" x14ac:dyDescent="0.25">
      <c r="A3000" s="63"/>
      <c r="B3000" s="63">
        <v>4</v>
      </c>
      <c r="C3000" s="63" t="s">
        <v>2471</v>
      </c>
      <c r="D3000" s="63" t="s">
        <v>21</v>
      </c>
      <c r="E3000" s="66">
        <v>35.585386312299185</v>
      </c>
      <c r="F3000" s="67">
        <v>3.0000000000000001E-3</v>
      </c>
      <c r="G3000" s="67">
        <v>2E-3</v>
      </c>
      <c r="H3000" s="63"/>
    </row>
    <row r="3001" spans="1:8" x14ac:dyDescent="0.25">
      <c r="A3001" s="63"/>
      <c r="B3001" s="63">
        <v>5</v>
      </c>
      <c r="C3001" s="63" t="s">
        <v>2471</v>
      </c>
      <c r="D3001" s="63" t="s">
        <v>21</v>
      </c>
      <c r="E3001" s="66">
        <v>43.091575611154447</v>
      </c>
      <c r="F3001" s="67">
        <v>3.0000000000000001E-3</v>
      </c>
      <c r="G3001" s="67">
        <v>2E-3</v>
      </c>
      <c r="H3001" s="63"/>
    </row>
    <row r="3002" spans="1:8" x14ac:dyDescent="0.25">
      <c r="A3002" s="63"/>
      <c r="B3002" s="63">
        <v>6</v>
      </c>
      <c r="C3002" s="63" t="s">
        <v>2471</v>
      </c>
      <c r="D3002" s="63" t="s">
        <v>21</v>
      </c>
      <c r="E3002" s="66">
        <v>53.853245662014785</v>
      </c>
      <c r="F3002" s="67">
        <v>3.0000000000000001E-3</v>
      </c>
      <c r="G3002" s="67">
        <v>2E-3</v>
      </c>
      <c r="H3002" s="63"/>
    </row>
    <row r="3003" spans="1:8" x14ac:dyDescent="0.25">
      <c r="A3003" s="63"/>
      <c r="B3003" s="63">
        <v>7</v>
      </c>
      <c r="C3003" s="63" t="s">
        <v>2471</v>
      </c>
      <c r="D3003" s="63" t="s">
        <v>21</v>
      </c>
      <c r="E3003" s="66">
        <v>60.641555272242869</v>
      </c>
      <c r="F3003" s="67">
        <v>3.0000000000000001E-3</v>
      </c>
      <c r="G3003" s="67">
        <v>2E-3</v>
      </c>
      <c r="H3003" s="63"/>
    </row>
    <row r="3004" spans="1:8" x14ac:dyDescent="0.25">
      <c r="A3004" s="63"/>
      <c r="B3004" s="63">
        <v>8</v>
      </c>
      <c r="C3004" s="63" t="s">
        <v>2471</v>
      </c>
      <c r="D3004" s="63" t="s">
        <v>21</v>
      </c>
      <c r="E3004" s="66">
        <v>67.538440386198985</v>
      </c>
      <c r="F3004" s="67">
        <v>3.0000000000000001E-3</v>
      </c>
      <c r="G3004" s="67">
        <v>2E-3</v>
      </c>
      <c r="H3004" s="63"/>
    </row>
    <row r="3005" spans="1:8" x14ac:dyDescent="0.25">
      <c r="A3005" s="63"/>
      <c r="B3005" s="63">
        <v>9</v>
      </c>
      <c r="C3005" s="63" t="s">
        <v>2471</v>
      </c>
      <c r="D3005" s="63" t="s">
        <v>21</v>
      </c>
      <c r="E3005" s="66">
        <v>74.554758554255912</v>
      </c>
      <c r="F3005" s="67">
        <v>3.0000000000000001E-3</v>
      </c>
      <c r="G3005" s="67">
        <v>2E-3</v>
      </c>
      <c r="H3005" s="63"/>
    </row>
    <row r="3006" spans="1:8" x14ac:dyDescent="0.25">
      <c r="A3006" s="63"/>
      <c r="B3006" s="63">
        <v>10</v>
      </c>
      <c r="C3006" s="63" t="s">
        <v>2471</v>
      </c>
      <c r="D3006" s="63" t="s">
        <v>21</v>
      </c>
      <c r="E3006" s="66">
        <v>81.021172817502887</v>
      </c>
      <c r="F3006" s="67">
        <v>3.0000000000000001E-3</v>
      </c>
      <c r="G3006" s="67">
        <v>2E-3</v>
      </c>
      <c r="H3006" s="63"/>
    </row>
    <row r="3007" spans="1:8" x14ac:dyDescent="0.25">
      <c r="A3007" s="63"/>
      <c r="B3007" s="63">
        <v>11</v>
      </c>
      <c r="C3007" s="63" t="s">
        <v>2471</v>
      </c>
      <c r="D3007" s="63" t="s">
        <v>21</v>
      </c>
      <c r="E3007" s="66"/>
      <c r="F3007" s="67">
        <v>3.0000000000000001E-3</v>
      </c>
      <c r="G3007" s="67">
        <v>2E-3</v>
      </c>
      <c r="H3007" s="63"/>
    </row>
    <row r="3008" spans="1:8" x14ac:dyDescent="0.25">
      <c r="A3008" s="63"/>
      <c r="B3008" s="63">
        <v>12</v>
      </c>
      <c r="C3008" s="63" t="s">
        <v>2471</v>
      </c>
      <c r="D3008" s="63" t="s">
        <v>21</v>
      </c>
      <c r="E3008" s="66"/>
      <c r="F3008" s="67">
        <v>3.0000000000000001E-3</v>
      </c>
      <c r="G3008" s="67">
        <v>2E-3</v>
      </c>
      <c r="H3008" s="63"/>
    </row>
    <row r="3009" spans="1:8" x14ac:dyDescent="0.25">
      <c r="A3009" s="63"/>
      <c r="B3009" s="63">
        <v>13</v>
      </c>
      <c r="C3009" s="63" t="s">
        <v>2471</v>
      </c>
      <c r="D3009" s="63" t="s">
        <v>21</v>
      </c>
      <c r="E3009" s="66"/>
      <c r="F3009" s="67">
        <v>3.0000000000000001E-3</v>
      </c>
      <c r="G3009" s="67">
        <v>2E-3</v>
      </c>
      <c r="H3009" s="63"/>
    </row>
    <row r="3010" spans="1:8" x14ac:dyDescent="0.25">
      <c r="A3010" s="63"/>
      <c r="B3010" s="63">
        <v>14</v>
      </c>
      <c r="C3010" s="63" t="s">
        <v>2471</v>
      </c>
      <c r="D3010" s="63" t="s">
        <v>21</v>
      </c>
      <c r="E3010" s="66"/>
      <c r="F3010" s="67">
        <v>3.0000000000000001E-3</v>
      </c>
      <c r="G3010" s="67">
        <v>2E-3</v>
      </c>
      <c r="H3010" s="63"/>
    </row>
    <row r="3011" spans="1:8" x14ac:dyDescent="0.25">
      <c r="A3011" s="63"/>
      <c r="B3011" s="63">
        <v>15</v>
      </c>
      <c r="C3011" s="63" t="s">
        <v>2471</v>
      </c>
      <c r="D3011" s="63" t="s">
        <v>21</v>
      </c>
      <c r="E3011" s="66"/>
      <c r="F3011" s="67">
        <v>3.0000000000000001E-3</v>
      </c>
      <c r="G3011" s="67">
        <v>2E-3</v>
      </c>
      <c r="H3011" s="63"/>
    </row>
    <row r="3012" spans="1:8" x14ac:dyDescent="0.25">
      <c r="A3012" s="63"/>
      <c r="B3012" s="63">
        <v>16</v>
      </c>
      <c r="C3012" s="63" t="s">
        <v>2471</v>
      </c>
      <c r="D3012" s="63" t="s">
        <v>21</v>
      </c>
      <c r="E3012" s="66"/>
      <c r="F3012" s="67">
        <v>3.0000000000000001E-3</v>
      </c>
      <c r="G3012" s="67">
        <v>2E-3</v>
      </c>
      <c r="H3012" s="63"/>
    </row>
    <row r="3013" spans="1:8" x14ac:dyDescent="0.25">
      <c r="A3013" s="63"/>
      <c r="B3013" s="63">
        <v>17</v>
      </c>
      <c r="C3013" s="63" t="s">
        <v>2471</v>
      </c>
      <c r="D3013" s="63" t="s">
        <v>21</v>
      </c>
      <c r="E3013" s="66"/>
      <c r="F3013" s="67">
        <v>3.0000000000000001E-3</v>
      </c>
      <c r="G3013" s="67">
        <v>2E-3</v>
      </c>
      <c r="H3013" s="63"/>
    </row>
    <row r="3014" spans="1:8" x14ac:dyDescent="0.25">
      <c r="A3014" s="63"/>
      <c r="B3014" s="63">
        <v>18</v>
      </c>
      <c r="C3014" s="63" t="s">
        <v>2471</v>
      </c>
      <c r="D3014" s="63" t="s">
        <v>21</v>
      </c>
      <c r="E3014" s="66"/>
      <c r="F3014" s="67">
        <v>3.0000000000000001E-3</v>
      </c>
      <c r="G3014" s="67">
        <v>2E-3</v>
      </c>
      <c r="H3014" s="63"/>
    </row>
    <row r="3015" spans="1:8" x14ac:dyDescent="0.25">
      <c r="A3015" s="63"/>
      <c r="B3015" s="63">
        <v>19</v>
      </c>
      <c r="C3015" s="63" t="s">
        <v>2471</v>
      </c>
      <c r="D3015" s="63" t="s">
        <v>21</v>
      </c>
      <c r="E3015" s="66"/>
      <c r="F3015" s="67">
        <v>3.0000000000000001E-3</v>
      </c>
      <c r="G3015" s="67">
        <v>2E-3</v>
      </c>
      <c r="H3015" s="63"/>
    </row>
    <row r="3016" spans="1:8" x14ac:dyDescent="0.25">
      <c r="A3016" s="63"/>
      <c r="B3016" s="63">
        <v>20</v>
      </c>
      <c r="C3016" s="63" t="s">
        <v>2471</v>
      </c>
      <c r="D3016" s="63" t="s">
        <v>21</v>
      </c>
      <c r="E3016" s="66"/>
      <c r="F3016" s="67">
        <v>3.0000000000000001E-3</v>
      </c>
      <c r="G3016" s="67">
        <v>2E-3</v>
      </c>
      <c r="H3016" s="63"/>
    </row>
    <row r="3017" spans="1:8" x14ac:dyDescent="0.25">
      <c r="A3017" s="63"/>
      <c r="B3017" s="63">
        <v>21</v>
      </c>
      <c r="C3017" s="63" t="s">
        <v>2471</v>
      </c>
      <c r="D3017" s="63" t="s">
        <v>21</v>
      </c>
      <c r="E3017" s="66"/>
      <c r="F3017" s="67">
        <v>3.0000000000000001E-3</v>
      </c>
      <c r="G3017" s="67">
        <v>2E-3</v>
      </c>
      <c r="H3017" s="63"/>
    </row>
    <row r="3018" spans="1:8" x14ac:dyDescent="0.25">
      <c r="A3018" s="63"/>
      <c r="B3018" s="63">
        <v>22</v>
      </c>
      <c r="C3018" s="63" t="s">
        <v>2471</v>
      </c>
      <c r="D3018" s="63" t="s">
        <v>21</v>
      </c>
      <c r="E3018" s="66"/>
      <c r="F3018" s="67">
        <v>3.0000000000000001E-3</v>
      </c>
      <c r="G3018" s="67">
        <v>2E-3</v>
      </c>
      <c r="H3018" s="63"/>
    </row>
    <row r="3019" spans="1:8" x14ac:dyDescent="0.25">
      <c r="A3019" s="63"/>
      <c r="B3019" s="63">
        <v>23</v>
      </c>
      <c r="C3019" s="63" t="s">
        <v>2471</v>
      </c>
      <c r="D3019" s="63" t="s">
        <v>21</v>
      </c>
      <c r="E3019" s="66"/>
      <c r="F3019" s="67">
        <v>3.0000000000000001E-3</v>
      </c>
      <c r="G3019" s="67">
        <v>2E-3</v>
      </c>
      <c r="H3019" s="63"/>
    </row>
    <row r="3020" spans="1:8" x14ac:dyDescent="0.25">
      <c r="A3020" s="63"/>
      <c r="B3020" s="63">
        <v>24</v>
      </c>
      <c r="C3020" s="63" t="s">
        <v>2471</v>
      </c>
      <c r="D3020" s="63" t="s">
        <v>21</v>
      </c>
      <c r="E3020" s="66"/>
      <c r="F3020" s="67">
        <v>3.0000000000000001E-3</v>
      </c>
      <c r="G3020" s="67">
        <v>2E-3</v>
      </c>
      <c r="H3020" s="63"/>
    </row>
    <row r="3021" spans="1:8" x14ac:dyDescent="0.25">
      <c r="A3021" s="63"/>
      <c r="B3021" s="63">
        <v>25</v>
      </c>
      <c r="C3021" s="63" t="s">
        <v>2471</v>
      </c>
      <c r="D3021" s="63" t="s">
        <v>21</v>
      </c>
      <c r="E3021" s="66"/>
      <c r="F3021" s="67">
        <v>3.0000000000000001E-3</v>
      </c>
      <c r="G3021" s="67">
        <v>2E-3</v>
      </c>
      <c r="H3021" s="63"/>
    </row>
    <row r="3022" spans="1:8" x14ac:dyDescent="0.25">
      <c r="A3022" s="63"/>
      <c r="B3022" s="63">
        <v>26</v>
      </c>
      <c r="C3022" s="63" t="s">
        <v>2471</v>
      </c>
      <c r="D3022" s="63" t="s">
        <v>21</v>
      </c>
      <c r="E3022" s="66"/>
      <c r="F3022" s="67">
        <v>3.0000000000000001E-3</v>
      </c>
      <c r="G3022" s="67">
        <v>2E-3</v>
      </c>
      <c r="H3022" s="63"/>
    </row>
    <row r="3023" spans="1:8" x14ac:dyDescent="0.25">
      <c r="A3023" s="63"/>
      <c r="B3023" s="63">
        <v>27</v>
      </c>
      <c r="C3023" s="63" t="s">
        <v>2471</v>
      </c>
      <c r="D3023" s="63" t="s">
        <v>21</v>
      </c>
      <c r="E3023" s="66"/>
      <c r="F3023" s="67">
        <v>3.0000000000000001E-3</v>
      </c>
      <c r="G3023" s="67">
        <v>2E-3</v>
      </c>
      <c r="H3023" s="63"/>
    </row>
    <row r="3024" spans="1:8" x14ac:dyDescent="0.25">
      <c r="A3024" s="63"/>
      <c r="B3024" s="63">
        <v>28</v>
      </c>
      <c r="C3024" s="63" t="s">
        <v>2471</v>
      </c>
      <c r="D3024" s="63" t="s">
        <v>21</v>
      </c>
      <c r="E3024" s="66"/>
      <c r="F3024" s="67">
        <v>3.0000000000000001E-3</v>
      </c>
      <c r="G3024" s="67">
        <v>2E-3</v>
      </c>
      <c r="H3024" s="63"/>
    </row>
    <row r="3025" spans="1:8" x14ac:dyDescent="0.25">
      <c r="A3025" s="63"/>
      <c r="B3025" s="63">
        <v>29</v>
      </c>
      <c r="C3025" s="63" t="s">
        <v>2471</v>
      </c>
      <c r="D3025" s="63" t="s">
        <v>21</v>
      </c>
      <c r="E3025" s="66"/>
      <c r="F3025" s="67">
        <v>3.0000000000000001E-3</v>
      </c>
      <c r="G3025" s="67">
        <v>2E-3</v>
      </c>
      <c r="H3025" s="63"/>
    </row>
    <row r="3026" spans="1:8" x14ac:dyDescent="0.25">
      <c r="A3026" s="63"/>
      <c r="B3026" s="63">
        <v>30</v>
      </c>
      <c r="C3026" s="63" t="s">
        <v>2471</v>
      </c>
      <c r="D3026" s="63" t="s">
        <v>21</v>
      </c>
      <c r="E3026" s="66"/>
      <c r="F3026" s="67">
        <v>3.0000000000000001E-3</v>
      </c>
      <c r="G3026" s="67">
        <v>2E-3</v>
      </c>
      <c r="H3026" s="63"/>
    </row>
    <row r="3027" spans="1:8" x14ac:dyDescent="0.25">
      <c r="A3027" s="63"/>
      <c r="B3027" s="63">
        <v>0</v>
      </c>
      <c r="C3027" s="63" t="s">
        <v>2471</v>
      </c>
      <c r="D3027" s="63" t="s">
        <v>21</v>
      </c>
      <c r="E3027" s="66">
        <v>3.0428788910505911</v>
      </c>
      <c r="F3027" s="67">
        <v>3.0000000000000001E-3</v>
      </c>
      <c r="G3027" s="67">
        <v>2E-3</v>
      </c>
      <c r="H3027" s="63"/>
    </row>
    <row r="3028" spans="1:8" x14ac:dyDescent="0.25">
      <c r="A3028" s="63"/>
      <c r="B3028" s="63">
        <v>0.25</v>
      </c>
      <c r="C3028" s="63" t="s">
        <v>2471</v>
      </c>
      <c r="D3028" s="63" t="s">
        <v>62</v>
      </c>
      <c r="E3028" s="66">
        <v>20.87728230344733</v>
      </c>
      <c r="F3028" s="67">
        <v>3.0000000000000001E-3</v>
      </c>
      <c r="G3028" s="67">
        <v>2E-3</v>
      </c>
      <c r="H3028" s="63"/>
    </row>
    <row r="3029" spans="1:8" x14ac:dyDescent="0.25">
      <c r="A3029" s="63"/>
      <c r="B3029" s="63">
        <v>0.5</v>
      </c>
      <c r="C3029" s="63" t="s">
        <v>2471</v>
      </c>
      <c r="D3029" s="63" t="s">
        <v>62</v>
      </c>
      <c r="E3029" s="66">
        <v>22.487970664940882</v>
      </c>
      <c r="F3029" s="67">
        <v>3.0000000000000001E-3</v>
      </c>
      <c r="G3029" s="67">
        <v>2E-3</v>
      </c>
      <c r="H3029" s="63"/>
    </row>
    <row r="3030" spans="1:8" x14ac:dyDescent="0.25">
      <c r="A3030" s="63"/>
      <c r="B3030" s="63">
        <v>0.75</v>
      </c>
      <c r="C3030" s="63" t="s">
        <v>2471</v>
      </c>
      <c r="D3030" s="63" t="s">
        <v>62</v>
      </c>
      <c r="E3030" s="66">
        <v>24.836959128882373</v>
      </c>
      <c r="F3030" s="67">
        <v>3.0000000000000001E-3</v>
      </c>
      <c r="G3030" s="67">
        <v>2E-3</v>
      </c>
      <c r="H3030" s="63"/>
    </row>
    <row r="3031" spans="1:8" x14ac:dyDescent="0.25">
      <c r="A3031" s="63"/>
      <c r="B3031" s="63">
        <v>1</v>
      </c>
      <c r="C3031" s="63" t="s">
        <v>2471</v>
      </c>
      <c r="D3031" s="63" t="s">
        <v>62</v>
      </c>
      <c r="E3031" s="66">
        <v>27.328940564094832</v>
      </c>
      <c r="F3031" s="67">
        <v>3.0000000000000001E-3</v>
      </c>
      <c r="G3031" s="67">
        <v>2E-3</v>
      </c>
      <c r="H3031" s="63"/>
    </row>
    <row r="3032" spans="1:8" x14ac:dyDescent="0.25">
      <c r="A3032" s="63"/>
      <c r="B3032" s="63">
        <v>2</v>
      </c>
      <c r="C3032" s="63" t="s">
        <v>2471</v>
      </c>
      <c r="D3032" s="63" t="s">
        <v>62</v>
      </c>
      <c r="E3032" s="66">
        <v>33.487633384176874</v>
      </c>
      <c r="F3032" s="67">
        <v>3.0000000000000001E-3</v>
      </c>
      <c r="G3032" s="67">
        <v>2E-3</v>
      </c>
      <c r="H3032" s="63"/>
    </row>
    <row r="3033" spans="1:8" x14ac:dyDescent="0.25">
      <c r="A3033" s="63"/>
      <c r="B3033" s="63">
        <v>3</v>
      </c>
      <c r="C3033" s="63" t="s">
        <v>2471</v>
      </c>
      <c r="D3033" s="63" t="s">
        <v>62</v>
      </c>
      <c r="E3033" s="66">
        <v>40.444098389650613</v>
      </c>
      <c r="F3033" s="67">
        <v>3.0000000000000001E-3</v>
      </c>
      <c r="G3033" s="67">
        <v>2E-3</v>
      </c>
      <c r="H3033" s="63"/>
    </row>
    <row r="3034" spans="1:8" x14ac:dyDescent="0.25">
      <c r="A3034" s="63"/>
      <c r="B3034" s="63">
        <v>4</v>
      </c>
      <c r="C3034" s="63" t="s">
        <v>2471</v>
      </c>
      <c r="D3034" s="63" t="s">
        <v>62</v>
      </c>
      <c r="E3034" s="66">
        <v>47.624518869362937</v>
      </c>
      <c r="F3034" s="67">
        <v>3.0000000000000001E-3</v>
      </c>
      <c r="G3034" s="67">
        <v>2E-3</v>
      </c>
      <c r="H3034" s="63"/>
    </row>
    <row r="3035" spans="1:8" x14ac:dyDescent="0.25">
      <c r="A3035" s="63"/>
      <c r="B3035" s="63">
        <v>5</v>
      </c>
      <c r="C3035" s="63" t="s">
        <v>2471</v>
      </c>
      <c r="D3035" s="63" t="s">
        <v>62</v>
      </c>
      <c r="E3035" s="66">
        <v>55.099076844260026</v>
      </c>
      <c r="F3035" s="67">
        <v>3.0000000000000001E-3</v>
      </c>
      <c r="G3035" s="67">
        <v>2E-3</v>
      </c>
      <c r="H3035" s="63"/>
    </row>
    <row r="3036" spans="1:8" x14ac:dyDescent="0.25">
      <c r="A3036" s="63"/>
      <c r="B3036" s="63">
        <v>6</v>
      </c>
      <c r="C3036" s="63" t="s">
        <v>2471</v>
      </c>
      <c r="D3036" s="63" t="s">
        <v>62</v>
      </c>
      <c r="E3036" s="66">
        <v>62.749008739977157</v>
      </c>
      <c r="F3036" s="67">
        <v>3.0000000000000001E-3</v>
      </c>
      <c r="G3036" s="67">
        <v>2E-3</v>
      </c>
      <c r="H3036" s="63"/>
    </row>
    <row r="3037" spans="1:8" x14ac:dyDescent="0.25">
      <c r="A3037" s="63"/>
      <c r="B3037" s="63">
        <v>7</v>
      </c>
      <c r="C3037" s="63" t="s">
        <v>2471</v>
      </c>
      <c r="D3037" s="63" t="s">
        <v>62</v>
      </c>
      <c r="E3037" s="66">
        <v>70.59687278474604</v>
      </c>
      <c r="F3037" s="67">
        <v>3.0000000000000001E-3</v>
      </c>
      <c r="G3037" s="67">
        <v>2E-3</v>
      </c>
      <c r="H3037" s="63"/>
    </row>
    <row r="3038" spans="1:8" x14ac:dyDescent="0.25">
      <c r="A3038" s="63"/>
      <c r="B3038" s="63">
        <v>8</v>
      </c>
      <c r="C3038" s="63" t="s">
        <v>2471</v>
      </c>
      <c r="D3038" s="63" t="s">
        <v>62</v>
      </c>
      <c r="E3038" s="66">
        <v>78.668205468404196</v>
      </c>
      <c r="F3038" s="67">
        <v>3.0000000000000001E-3</v>
      </c>
      <c r="G3038" s="67">
        <v>2E-3</v>
      </c>
      <c r="H3038" s="63"/>
    </row>
    <row r="3039" spans="1:8" x14ac:dyDescent="0.25">
      <c r="A3039" s="63"/>
      <c r="B3039" s="63">
        <v>9</v>
      </c>
      <c r="C3039" s="63" t="s">
        <v>2471</v>
      </c>
      <c r="D3039" s="63" t="s">
        <v>62</v>
      </c>
      <c r="E3039" s="66">
        <v>86.404717432433188</v>
      </c>
      <c r="F3039" s="67">
        <v>3.0000000000000001E-3</v>
      </c>
      <c r="G3039" s="67">
        <v>2E-3</v>
      </c>
      <c r="H3039" s="63"/>
    </row>
    <row r="3040" spans="1:8" x14ac:dyDescent="0.25">
      <c r="A3040" s="63"/>
      <c r="B3040" s="63">
        <v>10</v>
      </c>
      <c r="C3040" s="63" t="s">
        <v>2471</v>
      </c>
      <c r="D3040" s="63" t="s">
        <v>62</v>
      </c>
      <c r="E3040" s="66">
        <v>94.691678268933799</v>
      </c>
      <c r="F3040" s="67">
        <v>3.0000000000000001E-3</v>
      </c>
      <c r="G3040" s="67">
        <v>2E-3</v>
      </c>
      <c r="H3040" s="63"/>
    </row>
    <row r="3041" spans="1:8" x14ac:dyDescent="0.25">
      <c r="A3041" s="63"/>
      <c r="B3041" s="63">
        <v>11</v>
      </c>
      <c r="C3041" s="63" t="s">
        <v>2471</v>
      </c>
      <c r="D3041" s="63" t="s">
        <v>62</v>
      </c>
      <c r="E3041" s="66"/>
      <c r="F3041" s="67">
        <v>3.0000000000000001E-3</v>
      </c>
      <c r="G3041" s="67">
        <v>2E-3</v>
      </c>
      <c r="H3041" s="63"/>
    </row>
    <row r="3042" spans="1:8" x14ac:dyDescent="0.25">
      <c r="A3042" s="63"/>
      <c r="B3042" s="63">
        <v>12</v>
      </c>
      <c r="C3042" s="63" t="s">
        <v>2471</v>
      </c>
      <c r="D3042" s="63" t="s">
        <v>62</v>
      </c>
      <c r="E3042" s="66"/>
      <c r="F3042" s="67">
        <v>3.0000000000000001E-3</v>
      </c>
      <c r="G3042" s="67">
        <v>2E-3</v>
      </c>
      <c r="H3042" s="63"/>
    </row>
    <row r="3043" spans="1:8" x14ac:dyDescent="0.25">
      <c r="A3043" s="63"/>
      <c r="B3043" s="63">
        <v>13</v>
      </c>
      <c r="C3043" s="63" t="s">
        <v>2471</v>
      </c>
      <c r="D3043" s="63" t="s">
        <v>62</v>
      </c>
      <c r="E3043" s="66"/>
      <c r="F3043" s="67">
        <v>3.0000000000000001E-3</v>
      </c>
      <c r="G3043" s="67">
        <v>2E-3</v>
      </c>
      <c r="H3043" s="63"/>
    </row>
    <row r="3044" spans="1:8" x14ac:dyDescent="0.25">
      <c r="A3044" s="63"/>
      <c r="B3044" s="63">
        <v>14</v>
      </c>
      <c r="C3044" s="63" t="s">
        <v>2471</v>
      </c>
      <c r="D3044" s="63" t="s">
        <v>62</v>
      </c>
      <c r="E3044" s="66"/>
      <c r="F3044" s="67">
        <v>3.0000000000000001E-3</v>
      </c>
      <c r="G3044" s="67">
        <v>2E-3</v>
      </c>
      <c r="H3044" s="63"/>
    </row>
    <row r="3045" spans="1:8" x14ac:dyDescent="0.25">
      <c r="A3045" s="63"/>
      <c r="B3045" s="63">
        <v>15</v>
      </c>
      <c r="C3045" s="63" t="s">
        <v>2471</v>
      </c>
      <c r="D3045" s="63" t="s">
        <v>62</v>
      </c>
      <c r="E3045" s="66"/>
      <c r="F3045" s="67">
        <v>3.0000000000000001E-3</v>
      </c>
      <c r="G3045" s="67">
        <v>2E-3</v>
      </c>
      <c r="H3045" s="63"/>
    </row>
    <row r="3046" spans="1:8" x14ac:dyDescent="0.25">
      <c r="A3046" s="63"/>
      <c r="B3046" s="63">
        <v>16</v>
      </c>
      <c r="C3046" s="63" t="s">
        <v>2471</v>
      </c>
      <c r="D3046" s="63" t="s">
        <v>62</v>
      </c>
      <c r="E3046" s="66"/>
      <c r="F3046" s="67">
        <v>3.0000000000000001E-3</v>
      </c>
      <c r="G3046" s="67">
        <v>2E-3</v>
      </c>
      <c r="H3046" s="63"/>
    </row>
    <row r="3047" spans="1:8" x14ac:dyDescent="0.25">
      <c r="A3047" s="63"/>
      <c r="B3047" s="63">
        <v>17</v>
      </c>
      <c r="C3047" s="63" t="s">
        <v>2471</v>
      </c>
      <c r="D3047" s="63" t="s">
        <v>62</v>
      </c>
      <c r="E3047" s="66"/>
      <c r="F3047" s="67">
        <v>3.0000000000000001E-3</v>
      </c>
      <c r="G3047" s="67">
        <v>2E-3</v>
      </c>
      <c r="H3047" s="63"/>
    </row>
    <row r="3048" spans="1:8" x14ac:dyDescent="0.25">
      <c r="A3048" s="63"/>
      <c r="B3048" s="63">
        <v>18</v>
      </c>
      <c r="C3048" s="63" t="s">
        <v>2471</v>
      </c>
      <c r="D3048" s="63" t="s">
        <v>62</v>
      </c>
      <c r="E3048" s="66"/>
      <c r="F3048" s="67">
        <v>3.0000000000000001E-3</v>
      </c>
      <c r="G3048" s="67">
        <v>2E-3</v>
      </c>
      <c r="H3048" s="63"/>
    </row>
    <row r="3049" spans="1:8" x14ac:dyDescent="0.25">
      <c r="A3049" s="63"/>
      <c r="B3049" s="63">
        <v>19</v>
      </c>
      <c r="C3049" s="63" t="s">
        <v>2471</v>
      </c>
      <c r="D3049" s="63" t="s">
        <v>62</v>
      </c>
      <c r="E3049" s="66"/>
      <c r="F3049" s="67">
        <v>3.0000000000000001E-3</v>
      </c>
      <c r="G3049" s="67">
        <v>2E-3</v>
      </c>
      <c r="H3049" s="63"/>
    </row>
    <row r="3050" spans="1:8" x14ac:dyDescent="0.25">
      <c r="A3050" s="63"/>
      <c r="B3050" s="63">
        <v>20</v>
      </c>
      <c r="C3050" s="63" t="s">
        <v>2471</v>
      </c>
      <c r="D3050" s="63" t="s">
        <v>62</v>
      </c>
      <c r="E3050" s="66"/>
      <c r="F3050" s="67">
        <v>3.0000000000000001E-3</v>
      </c>
      <c r="G3050" s="67">
        <v>2E-3</v>
      </c>
      <c r="H3050" s="63"/>
    </row>
    <row r="3051" spans="1:8" x14ac:dyDescent="0.25">
      <c r="A3051" s="63"/>
      <c r="B3051" s="63">
        <v>21</v>
      </c>
      <c r="C3051" s="63" t="s">
        <v>2471</v>
      </c>
      <c r="D3051" s="63" t="s">
        <v>62</v>
      </c>
      <c r="E3051" s="66"/>
      <c r="F3051" s="67">
        <v>3.0000000000000001E-3</v>
      </c>
      <c r="G3051" s="67">
        <v>2E-3</v>
      </c>
      <c r="H3051" s="63"/>
    </row>
    <row r="3052" spans="1:8" x14ac:dyDescent="0.25">
      <c r="A3052" s="63"/>
      <c r="B3052" s="63">
        <v>22</v>
      </c>
      <c r="C3052" s="63" t="s">
        <v>2471</v>
      </c>
      <c r="D3052" s="63" t="s">
        <v>62</v>
      </c>
      <c r="E3052" s="66"/>
      <c r="F3052" s="67">
        <v>3.0000000000000001E-3</v>
      </c>
      <c r="G3052" s="67">
        <v>2E-3</v>
      </c>
      <c r="H3052" s="63"/>
    </row>
    <row r="3053" spans="1:8" x14ac:dyDescent="0.25">
      <c r="A3053" s="63"/>
      <c r="B3053" s="63">
        <v>23</v>
      </c>
      <c r="C3053" s="63" t="s">
        <v>2471</v>
      </c>
      <c r="D3053" s="63" t="s">
        <v>62</v>
      </c>
      <c r="E3053" s="66"/>
      <c r="F3053" s="67">
        <v>3.0000000000000001E-3</v>
      </c>
      <c r="G3053" s="67">
        <v>2E-3</v>
      </c>
      <c r="H3053" s="63"/>
    </row>
    <row r="3054" spans="1:8" x14ac:dyDescent="0.25">
      <c r="A3054" s="63"/>
      <c r="B3054" s="63">
        <v>24</v>
      </c>
      <c r="C3054" s="63" t="s">
        <v>2471</v>
      </c>
      <c r="D3054" s="63" t="s">
        <v>62</v>
      </c>
      <c r="E3054" s="66"/>
      <c r="F3054" s="67">
        <v>3.0000000000000001E-3</v>
      </c>
      <c r="G3054" s="67">
        <v>2E-3</v>
      </c>
      <c r="H3054" s="63"/>
    </row>
    <row r="3055" spans="1:8" x14ac:dyDescent="0.25">
      <c r="A3055" s="63"/>
      <c r="B3055" s="63">
        <v>25</v>
      </c>
      <c r="C3055" s="63" t="s">
        <v>2471</v>
      </c>
      <c r="D3055" s="63" t="s">
        <v>62</v>
      </c>
      <c r="E3055" s="66"/>
      <c r="F3055" s="67">
        <v>3.0000000000000001E-3</v>
      </c>
      <c r="G3055" s="67">
        <v>2E-3</v>
      </c>
      <c r="H3055" s="63"/>
    </row>
    <row r="3056" spans="1:8" x14ac:dyDescent="0.25">
      <c r="A3056" s="63"/>
      <c r="B3056" s="63">
        <v>26</v>
      </c>
      <c r="C3056" s="63" t="s">
        <v>2471</v>
      </c>
      <c r="D3056" s="63" t="s">
        <v>62</v>
      </c>
      <c r="E3056" s="66"/>
      <c r="F3056" s="67">
        <v>3.0000000000000001E-3</v>
      </c>
      <c r="G3056" s="67">
        <v>2E-3</v>
      </c>
      <c r="H3056" s="63"/>
    </row>
    <row r="3057" spans="1:8" x14ac:dyDescent="0.25">
      <c r="A3057" s="63"/>
      <c r="B3057" s="63">
        <v>27</v>
      </c>
      <c r="C3057" s="63" t="s">
        <v>2471</v>
      </c>
      <c r="D3057" s="63" t="s">
        <v>62</v>
      </c>
      <c r="E3057" s="66"/>
      <c r="F3057" s="67">
        <v>3.0000000000000001E-3</v>
      </c>
      <c r="G3057" s="67">
        <v>2E-3</v>
      </c>
      <c r="H3057" s="63"/>
    </row>
    <row r="3058" spans="1:8" x14ac:dyDescent="0.25">
      <c r="A3058" s="63"/>
      <c r="B3058" s="63">
        <v>28</v>
      </c>
      <c r="C3058" s="63" t="s">
        <v>2471</v>
      </c>
      <c r="D3058" s="63" t="s">
        <v>62</v>
      </c>
      <c r="E3058" s="66"/>
      <c r="F3058" s="67">
        <v>3.0000000000000001E-3</v>
      </c>
      <c r="G3058" s="67">
        <v>2E-3</v>
      </c>
      <c r="H3058" s="63"/>
    </row>
    <row r="3059" spans="1:8" x14ac:dyDescent="0.25">
      <c r="A3059" s="63"/>
      <c r="B3059" s="63">
        <v>29</v>
      </c>
      <c r="C3059" s="63" t="s">
        <v>2471</v>
      </c>
      <c r="D3059" s="63" t="s">
        <v>62</v>
      </c>
      <c r="E3059" s="66"/>
      <c r="F3059" s="67">
        <v>3.0000000000000001E-3</v>
      </c>
      <c r="G3059" s="67">
        <v>2E-3</v>
      </c>
      <c r="H3059" s="63"/>
    </row>
    <row r="3060" spans="1:8" x14ac:dyDescent="0.25">
      <c r="A3060" s="63"/>
      <c r="B3060" s="63">
        <v>30</v>
      </c>
      <c r="C3060" s="63" t="s">
        <v>2471</v>
      </c>
      <c r="D3060" s="63" t="s">
        <v>62</v>
      </c>
      <c r="E3060" s="66"/>
      <c r="F3060" s="67">
        <v>3.0000000000000001E-3</v>
      </c>
      <c r="G3060" s="67">
        <v>2E-3</v>
      </c>
      <c r="H3060" s="63"/>
    </row>
    <row r="3061" spans="1:8" x14ac:dyDescent="0.25">
      <c r="A3061" s="63"/>
      <c r="B3061" s="63">
        <v>0</v>
      </c>
      <c r="C3061" s="63" t="s">
        <v>2471</v>
      </c>
      <c r="D3061" s="63" t="s">
        <v>62</v>
      </c>
      <c r="E3061" s="66">
        <v>3.0428788910505911</v>
      </c>
      <c r="F3061" s="67">
        <v>3.0000000000000001E-3</v>
      </c>
      <c r="G3061" s="67">
        <v>2E-3</v>
      </c>
      <c r="H3061" s="63"/>
    </row>
    <row r="3062" spans="1:8" x14ac:dyDescent="0.25">
      <c r="A3062" s="63"/>
      <c r="B3062" s="63">
        <v>0.25</v>
      </c>
      <c r="C3062" s="63" t="s">
        <v>2471</v>
      </c>
      <c r="D3062" s="63" t="s">
        <v>64</v>
      </c>
      <c r="E3062" s="66">
        <v>25.469420399191385</v>
      </c>
      <c r="F3062" s="67">
        <v>3.0000000000000001E-3</v>
      </c>
      <c r="G3062" s="67">
        <v>2E-3</v>
      </c>
      <c r="H3062" s="63"/>
    </row>
    <row r="3063" spans="1:8" x14ac:dyDescent="0.25">
      <c r="A3063" s="63"/>
      <c r="B3063" s="63">
        <v>0.5</v>
      </c>
      <c r="C3063" s="63" t="s">
        <v>2471</v>
      </c>
      <c r="D3063" s="63" t="s">
        <v>64</v>
      </c>
      <c r="E3063" s="66">
        <v>27.985354957700171</v>
      </c>
      <c r="F3063" s="67">
        <v>3.0000000000000001E-3</v>
      </c>
      <c r="G3063" s="67">
        <v>2E-3</v>
      </c>
      <c r="H3063" s="63"/>
    </row>
    <row r="3064" spans="1:8" x14ac:dyDescent="0.25">
      <c r="A3064" s="63"/>
      <c r="B3064" s="63">
        <v>0.75</v>
      </c>
      <c r="C3064" s="63" t="s">
        <v>2471</v>
      </c>
      <c r="D3064" s="63" t="s">
        <v>64</v>
      </c>
      <c r="E3064" s="66">
        <v>30.758461120802014</v>
      </c>
      <c r="F3064" s="67">
        <v>3.0000000000000001E-3</v>
      </c>
      <c r="G3064" s="67">
        <v>2E-3</v>
      </c>
      <c r="H3064" s="63"/>
    </row>
    <row r="3065" spans="1:8" x14ac:dyDescent="0.25">
      <c r="A3065" s="63"/>
      <c r="B3065" s="63">
        <v>1</v>
      </c>
      <c r="C3065" s="63" t="s">
        <v>2471</v>
      </c>
      <c r="D3065" s="63" t="s">
        <v>64</v>
      </c>
      <c r="E3065" s="66">
        <v>33.102903982805351</v>
      </c>
      <c r="F3065" s="67">
        <v>3.0000000000000001E-3</v>
      </c>
      <c r="G3065" s="67">
        <v>2E-3</v>
      </c>
      <c r="H3065" s="63"/>
    </row>
    <row r="3066" spans="1:8" x14ac:dyDescent="0.25">
      <c r="A3066" s="63"/>
      <c r="B3066" s="63">
        <v>2</v>
      </c>
      <c r="C3066" s="63" t="s">
        <v>2471</v>
      </c>
      <c r="D3066" s="63" t="s">
        <v>64</v>
      </c>
      <c r="E3066" s="66">
        <v>40.375170889228379</v>
      </c>
      <c r="F3066" s="67">
        <v>3.0000000000000001E-3</v>
      </c>
      <c r="G3066" s="67">
        <v>2E-3</v>
      </c>
      <c r="H3066" s="63"/>
    </row>
    <row r="3067" spans="1:8" x14ac:dyDescent="0.25">
      <c r="A3067" s="63"/>
      <c r="B3067" s="63">
        <v>3</v>
      </c>
      <c r="C3067" s="63" t="s">
        <v>2471</v>
      </c>
      <c r="D3067" s="63" t="s">
        <v>64</v>
      </c>
      <c r="E3067" s="66">
        <v>48.614146284608282</v>
      </c>
      <c r="F3067" s="67">
        <v>3.0000000000000001E-3</v>
      </c>
      <c r="G3067" s="67">
        <v>2E-3</v>
      </c>
      <c r="H3067" s="63"/>
    </row>
    <row r="3068" spans="1:8" x14ac:dyDescent="0.25">
      <c r="A3068" s="63"/>
      <c r="B3068" s="63">
        <v>4</v>
      </c>
      <c r="C3068" s="63" t="s">
        <v>2471</v>
      </c>
      <c r="D3068" s="63" t="s">
        <v>64</v>
      </c>
      <c r="E3068" s="66">
        <v>56.959894508429748</v>
      </c>
      <c r="F3068" s="67">
        <v>3.0000000000000001E-3</v>
      </c>
      <c r="G3068" s="67">
        <v>2E-3</v>
      </c>
      <c r="H3068" s="63"/>
    </row>
    <row r="3069" spans="1:8" x14ac:dyDescent="0.25">
      <c r="A3069" s="63"/>
      <c r="B3069" s="63">
        <v>5</v>
      </c>
      <c r="C3069" s="63" t="s">
        <v>2471</v>
      </c>
      <c r="D3069" s="63" t="s">
        <v>64</v>
      </c>
      <c r="E3069" s="66">
        <v>65.423092843536963</v>
      </c>
      <c r="F3069" s="67">
        <v>3.0000000000000001E-3</v>
      </c>
      <c r="G3069" s="67">
        <v>2E-3</v>
      </c>
      <c r="H3069" s="63"/>
    </row>
    <row r="3070" spans="1:8" x14ac:dyDescent="0.25">
      <c r="A3070" s="63"/>
      <c r="B3070" s="63">
        <v>6</v>
      </c>
      <c r="C3070" s="63" t="s">
        <v>2471</v>
      </c>
      <c r="D3070" s="63" t="s">
        <v>64</v>
      </c>
      <c r="E3070" s="66">
        <v>76.101886260449433</v>
      </c>
      <c r="F3070" s="67">
        <v>3.0000000000000001E-3</v>
      </c>
      <c r="G3070" s="67">
        <v>2E-3</v>
      </c>
      <c r="H3070" s="63"/>
    </row>
    <row r="3071" spans="1:8" x14ac:dyDescent="0.25">
      <c r="A3071" s="63"/>
      <c r="B3071" s="63">
        <v>7</v>
      </c>
      <c r="C3071" s="63" t="s">
        <v>2471</v>
      </c>
      <c r="D3071" s="63" t="s">
        <v>64</v>
      </c>
      <c r="E3071" s="66">
        <v>84.004204331617984</v>
      </c>
      <c r="F3071" s="67">
        <v>3.0000000000000001E-3</v>
      </c>
      <c r="G3071" s="67">
        <v>2E-3</v>
      </c>
      <c r="H3071" s="63"/>
    </row>
    <row r="3072" spans="1:8" x14ac:dyDescent="0.25">
      <c r="A3072" s="63"/>
      <c r="B3072" s="63">
        <v>8</v>
      </c>
      <c r="C3072" s="63" t="s">
        <v>2471</v>
      </c>
      <c r="D3072" s="63" t="s">
        <v>64</v>
      </c>
      <c r="E3072" s="66">
        <v>92.047281772276918</v>
      </c>
      <c r="F3072" s="67">
        <v>3.0000000000000001E-3</v>
      </c>
      <c r="G3072" s="67">
        <v>2E-3</v>
      </c>
      <c r="H3072" s="63"/>
    </row>
    <row r="3073" spans="1:8" x14ac:dyDescent="0.25">
      <c r="A3073" s="63"/>
      <c r="B3073" s="63">
        <v>9</v>
      </c>
      <c r="C3073" s="63" t="s">
        <v>2471</v>
      </c>
      <c r="D3073" s="63" t="s">
        <v>64</v>
      </c>
      <c r="E3073" s="66">
        <v>101.16093014574129</v>
      </c>
      <c r="F3073" s="67">
        <v>3.0000000000000001E-3</v>
      </c>
      <c r="G3073" s="67">
        <v>2E-3</v>
      </c>
      <c r="H3073" s="63"/>
    </row>
    <row r="3074" spans="1:8" x14ac:dyDescent="0.25">
      <c r="A3074" s="63"/>
      <c r="B3074" s="63">
        <v>10</v>
      </c>
      <c r="C3074" s="63" t="s">
        <v>2471</v>
      </c>
      <c r="D3074" s="63" t="s">
        <v>64</v>
      </c>
      <c r="E3074" s="66">
        <v>110.08433596377185</v>
      </c>
      <c r="F3074" s="67">
        <v>3.0000000000000001E-3</v>
      </c>
      <c r="G3074" s="67">
        <v>2E-3</v>
      </c>
      <c r="H3074" s="63"/>
    </row>
    <row r="3075" spans="1:8" x14ac:dyDescent="0.25">
      <c r="A3075" s="63"/>
      <c r="B3075" s="63">
        <v>11</v>
      </c>
      <c r="C3075" s="63" t="s">
        <v>2471</v>
      </c>
      <c r="D3075" s="63" t="s">
        <v>64</v>
      </c>
      <c r="E3075" s="66"/>
      <c r="F3075" s="67">
        <v>3.0000000000000001E-3</v>
      </c>
      <c r="G3075" s="67">
        <v>2E-3</v>
      </c>
      <c r="H3075" s="63"/>
    </row>
    <row r="3076" spans="1:8" x14ac:dyDescent="0.25">
      <c r="A3076" s="63"/>
      <c r="B3076" s="63">
        <v>12</v>
      </c>
      <c r="C3076" s="63" t="s">
        <v>2471</v>
      </c>
      <c r="D3076" s="63" t="s">
        <v>64</v>
      </c>
      <c r="E3076" s="66"/>
      <c r="F3076" s="67">
        <v>3.0000000000000001E-3</v>
      </c>
      <c r="G3076" s="67">
        <v>2E-3</v>
      </c>
      <c r="H3076" s="63"/>
    </row>
    <row r="3077" spans="1:8" x14ac:dyDescent="0.25">
      <c r="A3077" s="63"/>
      <c r="B3077" s="63">
        <v>13</v>
      </c>
      <c r="C3077" s="63" t="s">
        <v>2471</v>
      </c>
      <c r="D3077" s="63" t="s">
        <v>64</v>
      </c>
      <c r="E3077" s="66"/>
      <c r="F3077" s="67">
        <v>3.0000000000000001E-3</v>
      </c>
      <c r="G3077" s="67">
        <v>2E-3</v>
      </c>
      <c r="H3077" s="63"/>
    </row>
    <row r="3078" spans="1:8" x14ac:dyDescent="0.25">
      <c r="A3078" s="63"/>
      <c r="B3078" s="63">
        <v>14</v>
      </c>
      <c r="C3078" s="63" t="s">
        <v>2471</v>
      </c>
      <c r="D3078" s="63" t="s">
        <v>64</v>
      </c>
      <c r="E3078" s="66"/>
      <c r="F3078" s="67">
        <v>3.0000000000000001E-3</v>
      </c>
      <c r="G3078" s="67">
        <v>2E-3</v>
      </c>
      <c r="H3078" s="63"/>
    </row>
    <row r="3079" spans="1:8" x14ac:dyDescent="0.25">
      <c r="A3079" s="63"/>
      <c r="B3079" s="63">
        <v>15</v>
      </c>
      <c r="C3079" s="63" t="s">
        <v>2471</v>
      </c>
      <c r="D3079" s="63" t="s">
        <v>64</v>
      </c>
      <c r="E3079" s="66"/>
      <c r="F3079" s="67">
        <v>3.0000000000000001E-3</v>
      </c>
      <c r="G3079" s="67">
        <v>2E-3</v>
      </c>
      <c r="H3079" s="63"/>
    </row>
    <row r="3080" spans="1:8" x14ac:dyDescent="0.25">
      <c r="A3080" s="63"/>
      <c r="B3080" s="63">
        <v>16</v>
      </c>
      <c r="C3080" s="63" t="s">
        <v>2471</v>
      </c>
      <c r="D3080" s="63" t="s">
        <v>64</v>
      </c>
      <c r="E3080" s="66"/>
      <c r="F3080" s="67">
        <v>3.0000000000000001E-3</v>
      </c>
      <c r="G3080" s="67">
        <v>2E-3</v>
      </c>
      <c r="H3080" s="63"/>
    </row>
    <row r="3081" spans="1:8" x14ac:dyDescent="0.25">
      <c r="A3081" s="63"/>
      <c r="B3081" s="63">
        <v>17</v>
      </c>
      <c r="C3081" s="63" t="s">
        <v>2471</v>
      </c>
      <c r="D3081" s="63" t="s">
        <v>64</v>
      </c>
      <c r="E3081" s="66"/>
      <c r="F3081" s="67">
        <v>3.0000000000000001E-3</v>
      </c>
      <c r="G3081" s="67">
        <v>2E-3</v>
      </c>
      <c r="H3081" s="63"/>
    </row>
    <row r="3082" spans="1:8" x14ac:dyDescent="0.25">
      <c r="A3082" s="63"/>
      <c r="B3082" s="63">
        <v>18</v>
      </c>
      <c r="C3082" s="63" t="s">
        <v>2471</v>
      </c>
      <c r="D3082" s="63" t="s">
        <v>64</v>
      </c>
      <c r="E3082" s="66"/>
      <c r="F3082" s="67">
        <v>3.0000000000000001E-3</v>
      </c>
      <c r="G3082" s="67">
        <v>2E-3</v>
      </c>
      <c r="H3082" s="63"/>
    </row>
    <row r="3083" spans="1:8" x14ac:dyDescent="0.25">
      <c r="A3083" s="63"/>
      <c r="B3083" s="63">
        <v>19</v>
      </c>
      <c r="C3083" s="63" t="s">
        <v>2471</v>
      </c>
      <c r="D3083" s="63" t="s">
        <v>64</v>
      </c>
      <c r="E3083" s="66"/>
      <c r="F3083" s="67">
        <v>3.0000000000000001E-3</v>
      </c>
      <c r="G3083" s="67">
        <v>2E-3</v>
      </c>
      <c r="H3083" s="63"/>
    </row>
    <row r="3084" spans="1:8" x14ac:dyDescent="0.25">
      <c r="A3084" s="63"/>
      <c r="B3084" s="63">
        <v>20</v>
      </c>
      <c r="C3084" s="63" t="s">
        <v>2471</v>
      </c>
      <c r="D3084" s="63" t="s">
        <v>64</v>
      </c>
      <c r="E3084" s="66"/>
      <c r="F3084" s="67">
        <v>3.0000000000000001E-3</v>
      </c>
      <c r="G3084" s="67">
        <v>2E-3</v>
      </c>
      <c r="H3084" s="63"/>
    </row>
    <row r="3085" spans="1:8" x14ac:dyDescent="0.25">
      <c r="A3085" s="63"/>
      <c r="B3085" s="63">
        <v>21</v>
      </c>
      <c r="C3085" s="63" t="s">
        <v>2471</v>
      </c>
      <c r="D3085" s="63" t="s">
        <v>64</v>
      </c>
      <c r="E3085" s="66"/>
      <c r="F3085" s="67">
        <v>3.0000000000000001E-3</v>
      </c>
      <c r="G3085" s="67">
        <v>2E-3</v>
      </c>
      <c r="H3085" s="63"/>
    </row>
    <row r="3086" spans="1:8" x14ac:dyDescent="0.25">
      <c r="A3086" s="63"/>
      <c r="B3086" s="63">
        <v>22</v>
      </c>
      <c r="C3086" s="63" t="s">
        <v>2471</v>
      </c>
      <c r="D3086" s="63" t="s">
        <v>64</v>
      </c>
      <c r="E3086" s="66"/>
      <c r="F3086" s="67">
        <v>3.0000000000000001E-3</v>
      </c>
      <c r="G3086" s="67">
        <v>2E-3</v>
      </c>
      <c r="H3086" s="63"/>
    </row>
    <row r="3087" spans="1:8" x14ac:dyDescent="0.25">
      <c r="A3087" s="63"/>
      <c r="B3087" s="63">
        <v>23</v>
      </c>
      <c r="C3087" s="63" t="s">
        <v>2471</v>
      </c>
      <c r="D3087" s="63" t="s">
        <v>64</v>
      </c>
      <c r="E3087" s="66"/>
      <c r="F3087" s="67">
        <v>3.0000000000000001E-3</v>
      </c>
      <c r="G3087" s="67">
        <v>2E-3</v>
      </c>
      <c r="H3087" s="63"/>
    </row>
    <row r="3088" spans="1:8" x14ac:dyDescent="0.25">
      <c r="A3088" s="63"/>
      <c r="B3088" s="63">
        <v>24</v>
      </c>
      <c r="C3088" s="63" t="s">
        <v>2471</v>
      </c>
      <c r="D3088" s="63" t="s">
        <v>64</v>
      </c>
      <c r="E3088" s="66"/>
      <c r="F3088" s="67">
        <v>3.0000000000000001E-3</v>
      </c>
      <c r="G3088" s="67">
        <v>2E-3</v>
      </c>
      <c r="H3088" s="63"/>
    </row>
    <row r="3089" spans="1:8" x14ac:dyDescent="0.25">
      <c r="A3089" s="63"/>
      <c r="B3089" s="63">
        <v>25</v>
      </c>
      <c r="C3089" s="63" t="s">
        <v>2471</v>
      </c>
      <c r="D3089" s="63" t="s">
        <v>64</v>
      </c>
      <c r="E3089" s="66"/>
      <c r="F3089" s="67">
        <v>3.0000000000000001E-3</v>
      </c>
      <c r="G3089" s="67">
        <v>2E-3</v>
      </c>
      <c r="H3089" s="63"/>
    </row>
    <row r="3090" spans="1:8" x14ac:dyDescent="0.25">
      <c r="A3090" s="63"/>
      <c r="B3090" s="63">
        <v>26</v>
      </c>
      <c r="C3090" s="63" t="s">
        <v>2471</v>
      </c>
      <c r="D3090" s="63" t="s">
        <v>64</v>
      </c>
      <c r="E3090" s="66"/>
      <c r="F3090" s="67">
        <v>3.0000000000000001E-3</v>
      </c>
      <c r="G3090" s="67">
        <v>2E-3</v>
      </c>
      <c r="H3090" s="63"/>
    </row>
    <row r="3091" spans="1:8" x14ac:dyDescent="0.25">
      <c r="A3091" s="63"/>
      <c r="B3091" s="63">
        <v>27</v>
      </c>
      <c r="C3091" s="63" t="s">
        <v>2471</v>
      </c>
      <c r="D3091" s="63" t="s">
        <v>64</v>
      </c>
      <c r="E3091" s="66"/>
      <c r="F3091" s="67">
        <v>3.0000000000000001E-3</v>
      </c>
      <c r="G3091" s="67">
        <v>2E-3</v>
      </c>
      <c r="H3091" s="63"/>
    </row>
    <row r="3092" spans="1:8" x14ac:dyDescent="0.25">
      <c r="A3092" s="63"/>
      <c r="B3092" s="63">
        <v>28</v>
      </c>
      <c r="C3092" s="63" t="s">
        <v>2471</v>
      </c>
      <c r="D3092" s="63" t="s">
        <v>64</v>
      </c>
      <c r="E3092" s="66"/>
      <c r="F3092" s="67">
        <v>3.0000000000000001E-3</v>
      </c>
      <c r="G3092" s="67">
        <v>2E-3</v>
      </c>
      <c r="H3092" s="63"/>
    </row>
    <row r="3093" spans="1:8" x14ac:dyDescent="0.25">
      <c r="A3093" s="63"/>
      <c r="B3093" s="63">
        <v>29</v>
      </c>
      <c r="C3093" s="63" t="s">
        <v>2471</v>
      </c>
      <c r="D3093" s="63" t="s">
        <v>64</v>
      </c>
      <c r="E3093" s="66"/>
      <c r="F3093" s="67">
        <v>3.0000000000000001E-3</v>
      </c>
      <c r="G3093" s="67">
        <v>2E-3</v>
      </c>
      <c r="H3093" s="63"/>
    </row>
    <row r="3094" spans="1:8" x14ac:dyDescent="0.25">
      <c r="A3094" s="63"/>
      <c r="B3094" s="63">
        <v>30</v>
      </c>
      <c r="C3094" s="63" t="s">
        <v>2471</v>
      </c>
      <c r="D3094" s="63" t="s">
        <v>64</v>
      </c>
      <c r="E3094" s="66"/>
      <c r="F3094" s="67">
        <v>3.0000000000000001E-3</v>
      </c>
      <c r="G3094" s="67">
        <v>2E-3</v>
      </c>
      <c r="H3094" s="63"/>
    </row>
    <row r="3095" spans="1:8" x14ac:dyDescent="0.25">
      <c r="A3095" s="63"/>
      <c r="B3095" s="63">
        <v>0</v>
      </c>
      <c r="C3095" s="63" t="s">
        <v>2471</v>
      </c>
      <c r="D3095" s="63" t="s">
        <v>64</v>
      </c>
      <c r="E3095" s="66">
        <v>3.0428788910505911</v>
      </c>
      <c r="F3095" s="67">
        <v>3.0000000000000001E-3</v>
      </c>
      <c r="G3095" s="67">
        <v>2E-3</v>
      </c>
      <c r="H3095" s="63"/>
    </row>
    <row r="3096" spans="1:8" x14ac:dyDescent="0.25">
      <c r="A3096" s="63"/>
      <c r="B3096" s="63">
        <v>0.25</v>
      </c>
      <c r="C3096" s="63" t="s">
        <v>2471</v>
      </c>
      <c r="D3096" s="63" t="s">
        <v>77</v>
      </c>
      <c r="E3096" s="66">
        <v>31.674720005909176</v>
      </c>
      <c r="F3096" s="67">
        <v>3.0000000000000001E-3</v>
      </c>
      <c r="G3096" s="67">
        <v>2E-3</v>
      </c>
      <c r="H3096" s="63"/>
    </row>
    <row r="3097" spans="1:8" x14ac:dyDescent="0.25">
      <c r="A3097" s="63"/>
      <c r="B3097" s="63">
        <v>0.5</v>
      </c>
      <c r="C3097" s="63" t="s">
        <v>2471</v>
      </c>
      <c r="D3097" s="63" t="s">
        <v>77</v>
      </c>
      <c r="E3097" s="66">
        <v>34.913308289497976</v>
      </c>
      <c r="F3097" s="67">
        <v>3.0000000000000001E-3</v>
      </c>
      <c r="G3097" s="67">
        <v>2E-3</v>
      </c>
      <c r="H3097" s="63"/>
    </row>
    <row r="3098" spans="1:8" x14ac:dyDescent="0.25">
      <c r="A3098" s="63"/>
      <c r="B3098" s="63">
        <v>0.75</v>
      </c>
      <c r="C3098" s="63" t="s">
        <v>2471</v>
      </c>
      <c r="D3098" s="63" t="s">
        <v>77</v>
      </c>
      <c r="E3098" s="66">
        <v>38.480048605011753</v>
      </c>
      <c r="F3098" s="67">
        <v>3.0000000000000001E-3</v>
      </c>
      <c r="G3098" s="67">
        <v>2E-3</v>
      </c>
      <c r="H3098" s="63"/>
    </row>
    <row r="3099" spans="1:8" x14ac:dyDescent="0.25">
      <c r="A3099" s="63"/>
      <c r="B3099" s="63">
        <v>1</v>
      </c>
      <c r="C3099" s="63" t="s">
        <v>2471</v>
      </c>
      <c r="D3099" s="63" t="s">
        <v>77</v>
      </c>
      <c r="E3099" s="66">
        <v>40.939971907336925</v>
      </c>
      <c r="F3099" s="67">
        <v>3.0000000000000001E-3</v>
      </c>
      <c r="G3099" s="67">
        <v>2E-3</v>
      </c>
      <c r="H3099" s="63"/>
    </row>
    <row r="3100" spans="1:8" x14ac:dyDescent="0.25">
      <c r="A3100" s="63"/>
      <c r="B3100" s="63">
        <v>2</v>
      </c>
      <c r="C3100" s="63" t="s">
        <v>2471</v>
      </c>
      <c r="D3100" s="63" t="s">
        <v>77</v>
      </c>
      <c r="E3100" s="66">
        <v>49.333088414904694</v>
      </c>
      <c r="F3100" s="67">
        <v>3.0000000000000001E-3</v>
      </c>
      <c r="G3100" s="67">
        <v>2E-3</v>
      </c>
      <c r="H3100" s="63"/>
    </row>
    <row r="3101" spans="1:8" x14ac:dyDescent="0.25">
      <c r="A3101" s="63"/>
      <c r="B3101" s="63">
        <v>3</v>
      </c>
      <c r="C3101" s="63" t="s">
        <v>2471</v>
      </c>
      <c r="D3101" s="63" t="s">
        <v>77</v>
      </c>
      <c r="E3101" s="66">
        <v>63.21225398254326</v>
      </c>
      <c r="F3101" s="67">
        <v>3.0000000000000001E-3</v>
      </c>
      <c r="G3101" s="67">
        <v>2E-3</v>
      </c>
      <c r="H3101" s="63"/>
    </row>
    <row r="3102" spans="1:8" x14ac:dyDescent="0.25">
      <c r="A3102" s="63"/>
      <c r="B3102" s="63">
        <v>4</v>
      </c>
      <c r="C3102" s="63" t="s">
        <v>2471</v>
      </c>
      <c r="D3102" s="63" t="s">
        <v>77</v>
      </c>
      <c r="E3102" s="66">
        <v>73.404961153420544</v>
      </c>
      <c r="F3102" s="67">
        <v>3.0000000000000001E-3</v>
      </c>
      <c r="G3102" s="67">
        <v>2E-3</v>
      </c>
      <c r="H3102" s="63"/>
    </row>
    <row r="3103" spans="1:8" x14ac:dyDescent="0.25">
      <c r="A3103" s="63"/>
      <c r="B3103" s="63">
        <v>5</v>
      </c>
      <c r="C3103" s="63" t="s">
        <v>2471</v>
      </c>
      <c r="D3103" s="63" t="s">
        <v>77</v>
      </c>
      <c r="E3103" s="66">
        <v>83.820133806833923</v>
      </c>
      <c r="F3103" s="67">
        <v>3.0000000000000001E-3</v>
      </c>
      <c r="G3103" s="67">
        <v>2E-3</v>
      </c>
      <c r="H3103" s="63"/>
    </row>
    <row r="3104" spans="1:8" x14ac:dyDescent="0.25">
      <c r="A3104" s="63"/>
      <c r="B3104" s="63">
        <v>6</v>
      </c>
      <c r="C3104" s="63" t="s">
        <v>2471</v>
      </c>
      <c r="D3104" s="63" t="s">
        <v>77</v>
      </c>
      <c r="E3104" s="66">
        <v>94.480018491037072</v>
      </c>
      <c r="F3104" s="67">
        <v>3.0000000000000001E-3</v>
      </c>
      <c r="G3104" s="67">
        <v>2E-3</v>
      </c>
      <c r="H3104" s="63"/>
    </row>
    <row r="3105" spans="1:8" x14ac:dyDescent="0.25">
      <c r="A3105" s="63"/>
      <c r="B3105" s="63">
        <v>7</v>
      </c>
      <c r="C3105" s="63" t="s">
        <v>2471</v>
      </c>
      <c r="D3105" s="63" t="s">
        <v>77</v>
      </c>
      <c r="E3105" s="66">
        <v>105.40908640910902</v>
      </c>
      <c r="F3105" s="67">
        <v>3.0000000000000001E-3</v>
      </c>
      <c r="G3105" s="67">
        <v>2E-3</v>
      </c>
      <c r="H3105" s="63"/>
    </row>
    <row r="3106" spans="1:8" x14ac:dyDescent="0.25">
      <c r="A3106" s="63"/>
      <c r="B3106" s="63">
        <v>8</v>
      </c>
      <c r="C3106" s="63" t="s">
        <v>2471</v>
      </c>
      <c r="D3106" s="63" t="s">
        <v>77</v>
      </c>
      <c r="E3106" s="66">
        <v>116.6342558844366</v>
      </c>
      <c r="F3106" s="67">
        <v>3.0000000000000001E-3</v>
      </c>
      <c r="G3106" s="67">
        <v>2E-3</v>
      </c>
      <c r="H3106" s="63"/>
    </row>
    <row r="3107" spans="1:8" x14ac:dyDescent="0.25">
      <c r="A3107" s="63"/>
      <c r="B3107" s="63">
        <v>9</v>
      </c>
      <c r="C3107" s="63" t="s">
        <v>2471</v>
      </c>
      <c r="D3107" s="63" t="s">
        <v>77</v>
      </c>
      <c r="E3107" s="66">
        <v>128.18513707274536</v>
      </c>
      <c r="F3107" s="67">
        <v>3.0000000000000001E-3</v>
      </c>
      <c r="G3107" s="67">
        <v>2E-3</v>
      </c>
      <c r="H3107" s="63"/>
    </row>
    <row r="3108" spans="1:8" x14ac:dyDescent="0.25">
      <c r="A3108" s="63"/>
      <c r="B3108" s="63">
        <v>10</v>
      </c>
      <c r="C3108" s="63" t="s">
        <v>2471</v>
      </c>
      <c r="D3108" s="63" t="s">
        <v>77</v>
      </c>
      <c r="E3108" s="66">
        <v>140.98660541754566</v>
      </c>
      <c r="F3108" s="67">
        <v>3.0000000000000001E-3</v>
      </c>
      <c r="G3108" s="67">
        <v>2E-3</v>
      </c>
      <c r="H3108" s="63"/>
    </row>
    <row r="3109" spans="1:8" x14ac:dyDescent="0.25">
      <c r="A3109" s="63"/>
      <c r="B3109" s="63">
        <v>11</v>
      </c>
      <c r="C3109" s="63" t="s">
        <v>2471</v>
      </c>
      <c r="D3109" s="63" t="s">
        <v>77</v>
      </c>
      <c r="E3109" s="66"/>
      <c r="F3109" s="67">
        <v>3.0000000000000001E-3</v>
      </c>
      <c r="G3109" s="67">
        <v>2E-3</v>
      </c>
      <c r="H3109" s="63"/>
    </row>
    <row r="3110" spans="1:8" x14ac:dyDescent="0.25">
      <c r="A3110" s="63"/>
      <c r="B3110" s="63">
        <v>12</v>
      </c>
      <c r="C3110" s="63" t="s">
        <v>2471</v>
      </c>
      <c r="D3110" s="63" t="s">
        <v>77</v>
      </c>
      <c r="E3110" s="66"/>
      <c r="F3110" s="67">
        <v>3.0000000000000001E-3</v>
      </c>
      <c r="G3110" s="67">
        <v>2E-3</v>
      </c>
      <c r="H3110" s="63"/>
    </row>
    <row r="3111" spans="1:8" x14ac:dyDescent="0.25">
      <c r="A3111" s="63"/>
      <c r="B3111" s="63">
        <v>13</v>
      </c>
      <c r="C3111" s="63" t="s">
        <v>2471</v>
      </c>
      <c r="D3111" s="63" t="s">
        <v>77</v>
      </c>
      <c r="E3111" s="66"/>
      <c r="F3111" s="67">
        <v>3.0000000000000001E-3</v>
      </c>
      <c r="G3111" s="67">
        <v>2E-3</v>
      </c>
      <c r="H3111" s="63"/>
    </row>
    <row r="3112" spans="1:8" x14ac:dyDescent="0.25">
      <c r="A3112" s="63"/>
      <c r="B3112" s="63">
        <v>14</v>
      </c>
      <c r="C3112" s="63" t="s">
        <v>2471</v>
      </c>
      <c r="D3112" s="63" t="s">
        <v>77</v>
      </c>
      <c r="E3112" s="66"/>
      <c r="F3112" s="67">
        <v>3.0000000000000001E-3</v>
      </c>
      <c r="G3112" s="67">
        <v>2E-3</v>
      </c>
      <c r="H3112" s="63"/>
    </row>
    <row r="3113" spans="1:8" x14ac:dyDescent="0.25">
      <c r="A3113" s="63"/>
      <c r="B3113" s="63">
        <v>15</v>
      </c>
      <c r="C3113" s="63" t="s">
        <v>2471</v>
      </c>
      <c r="D3113" s="63" t="s">
        <v>77</v>
      </c>
      <c r="E3113" s="66"/>
      <c r="F3113" s="67">
        <v>3.0000000000000001E-3</v>
      </c>
      <c r="G3113" s="67">
        <v>2E-3</v>
      </c>
      <c r="H3113" s="63"/>
    </row>
    <row r="3114" spans="1:8" x14ac:dyDescent="0.25">
      <c r="A3114" s="63"/>
      <c r="B3114" s="63">
        <v>16</v>
      </c>
      <c r="C3114" s="63" t="s">
        <v>2471</v>
      </c>
      <c r="D3114" s="63" t="s">
        <v>77</v>
      </c>
      <c r="E3114" s="66"/>
      <c r="F3114" s="67">
        <v>3.0000000000000001E-3</v>
      </c>
      <c r="G3114" s="67">
        <v>2E-3</v>
      </c>
      <c r="H3114" s="63"/>
    </row>
    <row r="3115" spans="1:8" x14ac:dyDescent="0.25">
      <c r="A3115" s="63"/>
      <c r="B3115" s="63">
        <v>17</v>
      </c>
      <c r="C3115" s="63" t="s">
        <v>2471</v>
      </c>
      <c r="D3115" s="63" t="s">
        <v>77</v>
      </c>
      <c r="E3115" s="66"/>
      <c r="F3115" s="67">
        <v>3.0000000000000001E-3</v>
      </c>
      <c r="G3115" s="67">
        <v>2E-3</v>
      </c>
      <c r="H3115" s="63"/>
    </row>
    <row r="3116" spans="1:8" x14ac:dyDescent="0.25">
      <c r="A3116" s="63"/>
      <c r="B3116" s="63">
        <v>18</v>
      </c>
      <c r="C3116" s="63" t="s">
        <v>2471</v>
      </c>
      <c r="D3116" s="63" t="s">
        <v>77</v>
      </c>
      <c r="E3116" s="66"/>
      <c r="F3116" s="67">
        <v>3.0000000000000001E-3</v>
      </c>
      <c r="G3116" s="67">
        <v>2E-3</v>
      </c>
      <c r="H3116" s="63"/>
    </row>
    <row r="3117" spans="1:8" x14ac:dyDescent="0.25">
      <c r="A3117" s="63"/>
      <c r="B3117" s="63">
        <v>19</v>
      </c>
      <c r="C3117" s="63" t="s">
        <v>2471</v>
      </c>
      <c r="D3117" s="63" t="s">
        <v>77</v>
      </c>
      <c r="E3117" s="66"/>
      <c r="F3117" s="67">
        <v>3.0000000000000001E-3</v>
      </c>
      <c r="G3117" s="67">
        <v>2E-3</v>
      </c>
      <c r="H3117" s="63"/>
    </row>
    <row r="3118" spans="1:8" x14ac:dyDescent="0.25">
      <c r="A3118" s="63"/>
      <c r="B3118" s="63">
        <v>20</v>
      </c>
      <c r="C3118" s="63" t="s">
        <v>2471</v>
      </c>
      <c r="D3118" s="63" t="s">
        <v>77</v>
      </c>
      <c r="E3118" s="66"/>
      <c r="F3118" s="67">
        <v>3.0000000000000001E-3</v>
      </c>
      <c r="G3118" s="67">
        <v>2E-3</v>
      </c>
      <c r="H3118" s="63"/>
    </row>
    <row r="3119" spans="1:8" x14ac:dyDescent="0.25">
      <c r="A3119" s="63"/>
      <c r="B3119" s="63">
        <v>21</v>
      </c>
      <c r="C3119" s="63" t="s">
        <v>2471</v>
      </c>
      <c r="D3119" s="63" t="s">
        <v>77</v>
      </c>
      <c r="E3119" s="66"/>
      <c r="F3119" s="67">
        <v>3.0000000000000001E-3</v>
      </c>
      <c r="G3119" s="67">
        <v>2E-3</v>
      </c>
      <c r="H3119" s="63"/>
    </row>
    <row r="3120" spans="1:8" x14ac:dyDescent="0.25">
      <c r="A3120" s="63"/>
      <c r="B3120" s="63">
        <v>22</v>
      </c>
      <c r="C3120" s="63" t="s">
        <v>2471</v>
      </c>
      <c r="D3120" s="63" t="s">
        <v>77</v>
      </c>
      <c r="E3120" s="66"/>
      <c r="F3120" s="67">
        <v>3.0000000000000001E-3</v>
      </c>
      <c r="G3120" s="67">
        <v>2E-3</v>
      </c>
      <c r="H3120" s="63"/>
    </row>
    <row r="3121" spans="1:8" x14ac:dyDescent="0.25">
      <c r="A3121" s="63"/>
      <c r="B3121" s="63">
        <v>23</v>
      </c>
      <c r="C3121" s="63" t="s">
        <v>2471</v>
      </c>
      <c r="D3121" s="63" t="s">
        <v>77</v>
      </c>
      <c r="E3121" s="66"/>
      <c r="F3121" s="67">
        <v>3.0000000000000001E-3</v>
      </c>
      <c r="G3121" s="67">
        <v>2E-3</v>
      </c>
      <c r="H3121" s="63"/>
    </row>
    <row r="3122" spans="1:8" x14ac:dyDescent="0.25">
      <c r="A3122" s="63"/>
      <c r="B3122" s="63">
        <v>24</v>
      </c>
      <c r="C3122" s="63" t="s">
        <v>2471</v>
      </c>
      <c r="D3122" s="63" t="s">
        <v>77</v>
      </c>
      <c r="E3122" s="66"/>
      <c r="F3122" s="67">
        <v>3.0000000000000001E-3</v>
      </c>
      <c r="G3122" s="67">
        <v>2E-3</v>
      </c>
      <c r="H3122" s="63"/>
    </row>
    <row r="3123" spans="1:8" x14ac:dyDescent="0.25">
      <c r="A3123" s="63"/>
      <c r="B3123" s="63">
        <v>25</v>
      </c>
      <c r="C3123" s="63" t="s">
        <v>2471</v>
      </c>
      <c r="D3123" s="63" t="s">
        <v>77</v>
      </c>
      <c r="E3123" s="66"/>
      <c r="F3123" s="67">
        <v>3.0000000000000001E-3</v>
      </c>
      <c r="G3123" s="67">
        <v>2E-3</v>
      </c>
      <c r="H3123" s="63"/>
    </row>
    <row r="3124" spans="1:8" x14ac:dyDescent="0.25">
      <c r="A3124" s="63"/>
      <c r="B3124" s="63">
        <v>26</v>
      </c>
      <c r="C3124" s="63" t="s">
        <v>2471</v>
      </c>
      <c r="D3124" s="63" t="s">
        <v>77</v>
      </c>
      <c r="E3124" s="66"/>
      <c r="F3124" s="67">
        <v>3.0000000000000001E-3</v>
      </c>
      <c r="G3124" s="67">
        <v>2E-3</v>
      </c>
      <c r="H3124" s="63"/>
    </row>
    <row r="3125" spans="1:8" x14ac:dyDescent="0.25">
      <c r="A3125" s="63"/>
      <c r="B3125" s="63">
        <v>27</v>
      </c>
      <c r="C3125" s="63" t="s">
        <v>2471</v>
      </c>
      <c r="D3125" s="63" t="s">
        <v>77</v>
      </c>
      <c r="E3125" s="66"/>
      <c r="F3125" s="67">
        <v>3.0000000000000001E-3</v>
      </c>
      <c r="G3125" s="67">
        <v>2E-3</v>
      </c>
      <c r="H3125" s="63"/>
    </row>
    <row r="3126" spans="1:8" x14ac:dyDescent="0.25">
      <c r="A3126" s="63"/>
      <c r="B3126" s="63">
        <v>28</v>
      </c>
      <c r="C3126" s="63" t="s">
        <v>2471</v>
      </c>
      <c r="D3126" s="63" t="s">
        <v>77</v>
      </c>
      <c r="E3126" s="66"/>
      <c r="F3126" s="67">
        <v>3.0000000000000001E-3</v>
      </c>
      <c r="G3126" s="67">
        <v>2E-3</v>
      </c>
      <c r="H3126" s="63"/>
    </row>
    <row r="3127" spans="1:8" x14ac:dyDescent="0.25">
      <c r="A3127" s="63"/>
      <c r="B3127" s="63">
        <v>29</v>
      </c>
      <c r="C3127" s="63" t="s">
        <v>2471</v>
      </c>
      <c r="D3127" s="63" t="s">
        <v>77</v>
      </c>
      <c r="E3127" s="66"/>
      <c r="F3127" s="67">
        <v>3.0000000000000001E-3</v>
      </c>
      <c r="G3127" s="67">
        <v>2E-3</v>
      </c>
      <c r="H3127" s="63"/>
    </row>
    <row r="3128" spans="1:8" x14ac:dyDescent="0.25">
      <c r="A3128" s="63"/>
      <c r="B3128" s="63">
        <v>30</v>
      </c>
      <c r="C3128" s="63" t="s">
        <v>2471</v>
      </c>
      <c r="D3128" s="63" t="s">
        <v>77</v>
      </c>
      <c r="E3128" s="66"/>
      <c r="F3128" s="67">
        <v>3.0000000000000001E-3</v>
      </c>
      <c r="G3128" s="67">
        <v>2E-3</v>
      </c>
      <c r="H3128" s="63"/>
    </row>
    <row r="3129" spans="1:8" x14ac:dyDescent="0.25">
      <c r="A3129" s="63"/>
      <c r="B3129" s="63">
        <v>0</v>
      </c>
      <c r="C3129" s="63" t="s">
        <v>2471</v>
      </c>
      <c r="D3129" s="63" t="s">
        <v>77</v>
      </c>
      <c r="E3129" s="66">
        <v>3.0428788910505911</v>
      </c>
      <c r="F3129" s="67">
        <v>3.0000000000000001E-3</v>
      </c>
      <c r="G3129" s="67">
        <v>2E-3</v>
      </c>
      <c r="H3129" s="63"/>
    </row>
    <row r="3130" spans="1:8" x14ac:dyDescent="0.25">
      <c r="A3130" s="63"/>
      <c r="B3130" s="63">
        <v>0.25</v>
      </c>
      <c r="C3130" s="63" t="s">
        <v>2120</v>
      </c>
      <c r="D3130" s="63" t="s">
        <v>21</v>
      </c>
      <c r="E3130" s="66">
        <v>13.337421315311872</v>
      </c>
      <c r="F3130" s="67">
        <v>3.0000000000000001E-3</v>
      </c>
      <c r="G3130" s="67">
        <v>2E-3</v>
      </c>
      <c r="H3130" s="63"/>
    </row>
    <row r="3131" spans="1:8" x14ac:dyDescent="0.25">
      <c r="A3131" s="63"/>
      <c r="B3131" s="63">
        <v>0.5</v>
      </c>
      <c r="C3131" s="63" t="s">
        <v>2120</v>
      </c>
      <c r="D3131" s="63" t="s">
        <v>21</v>
      </c>
      <c r="E3131" s="66">
        <v>14.449195415622595</v>
      </c>
      <c r="F3131" s="67">
        <v>3.0000000000000001E-3</v>
      </c>
      <c r="G3131" s="67">
        <v>2E-3</v>
      </c>
      <c r="H3131" s="63"/>
    </row>
    <row r="3132" spans="1:8" x14ac:dyDescent="0.25">
      <c r="A3132" s="63"/>
      <c r="B3132" s="63">
        <v>0.75</v>
      </c>
      <c r="C3132" s="63" t="s">
        <v>2120</v>
      </c>
      <c r="D3132" s="63" t="s">
        <v>21</v>
      </c>
      <c r="E3132" s="66">
        <v>15.491867622807339</v>
      </c>
      <c r="F3132" s="67">
        <v>3.0000000000000001E-3</v>
      </c>
      <c r="G3132" s="67">
        <v>2E-3</v>
      </c>
      <c r="H3132" s="63"/>
    </row>
    <row r="3133" spans="1:8" x14ac:dyDescent="0.25">
      <c r="A3133" s="63"/>
      <c r="B3133" s="63">
        <v>1</v>
      </c>
      <c r="C3133" s="63" t="s">
        <v>2120</v>
      </c>
      <c r="D3133" s="63" t="s">
        <v>21</v>
      </c>
      <c r="E3133" s="66">
        <v>16.800318760225462</v>
      </c>
      <c r="F3133" s="67">
        <v>3.0000000000000001E-3</v>
      </c>
      <c r="G3133" s="67">
        <v>2E-3</v>
      </c>
      <c r="H3133" s="63"/>
    </row>
    <row r="3134" spans="1:8" x14ac:dyDescent="0.25">
      <c r="A3134" s="63"/>
      <c r="B3134" s="63">
        <v>2</v>
      </c>
      <c r="C3134" s="63" t="s">
        <v>2120</v>
      </c>
      <c r="D3134" s="63" t="s">
        <v>21</v>
      </c>
      <c r="E3134" s="66">
        <v>20.157750961837351</v>
      </c>
      <c r="F3134" s="67">
        <v>3.0000000000000001E-3</v>
      </c>
      <c r="G3134" s="67">
        <v>2E-3</v>
      </c>
      <c r="H3134" s="63"/>
    </row>
    <row r="3135" spans="1:8" x14ac:dyDescent="0.25">
      <c r="A3135" s="63"/>
      <c r="B3135" s="63">
        <v>3</v>
      </c>
      <c r="C3135" s="63" t="s">
        <v>2120</v>
      </c>
      <c r="D3135" s="63" t="s">
        <v>21</v>
      </c>
      <c r="E3135" s="66">
        <v>25.83987496402726</v>
      </c>
      <c r="F3135" s="67">
        <v>3.0000000000000001E-3</v>
      </c>
      <c r="G3135" s="67">
        <v>2E-3</v>
      </c>
      <c r="H3135" s="63"/>
    </row>
    <row r="3136" spans="1:8" x14ac:dyDescent="0.25">
      <c r="A3136" s="63"/>
      <c r="B3136" s="63">
        <v>4</v>
      </c>
      <c r="C3136" s="63" t="s">
        <v>2120</v>
      </c>
      <c r="D3136" s="63" t="s">
        <v>21</v>
      </c>
      <c r="E3136" s="66">
        <v>31.676070413725473</v>
      </c>
      <c r="F3136" s="67">
        <v>3.0000000000000001E-3</v>
      </c>
      <c r="G3136" s="67">
        <v>2E-3</v>
      </c>
      <c r="H3136" s="63"/>
    </row>
    <row r="3137" spans="1:8" x14ac:dyDescent="0.25">
      <c r="A3137" s="63"/>
      <c r="B3137" s="63">
        <v>5</v>
      </c>
      <c r="C3137" s="63" t="s">
        <v>2120</v>
      </c>
      <c r="D3137" s="63" t="s">
        <v>21</v>
      </c>
      <c r="E3137" s="66">
        <v>38.412691854284503</v>
      </c>
      <c r="F3137" s="67">
        <v>3.0000000000000001E-3</v>
      </c>
      <c r="G3137" s="67">
        <v>2E-3</v>
      </c>
      <c r="H3137" s="63"/>
    </row>
    <row r="3138" spans="1:8" x14ac:dyDescent="0.25">
      <c r="A3138" s="63"/>
      <c r="B3138" s="63">
        <v>6</v>
      </c>
      <c r="C3138" s="63" t="s">
        <v>2120</v>
      </c>
      <c r="D3138" s="63" t="s">
        <v>21</v>
      </c>
      <c r="E3138" s="66">
        <v>48.159426396178006</v>
      </c>
      <c r="F3138" s="67">
        <v>3.0000000000000001E-3</v>
      </c>
      <c r="G3138" s="67">
        <v>2E-3</v>
      </c>
      <c r="H3138" s="63"/>
    </row>
    <row r="3139" spans="1:8" x14ac:dyDescent="0.25">
      <c r="A3139" s="63"/>
      <c r="B3139" s="63">
        <v>7</v>
      </c>
      <c r="C3139" s="63" t="s">
        <v>2120</v>
      </c>
      <c r="D3139" s="63" t="s">
        <v>21</v>
      </c>
      <c r="E3139" s="66">
        <v>54.259408328444309</v>
      </c>
      <c r="F3139" s="67">
        <v>3.0000000000000001E-3</v>
      </c>
      <c r="G3139" s="67">
        <v>2E-3</v>
      </c>
      <c r="H3139" s="63"/>
    </row>
    <row r="3140" spans="1:8" x14ac:dyDescent="0.25">
      <c r="A3140" s="63"/>
      <c r="B3140" s="63">
        <v>8</v>
      </c>
      <c r="C3140" s="63" t="s">
        <v>2120</v>
      </c>
      <c r="D3140" s="63" t="s">
        <v>21</v>
      </c>
      <c r="E3140" s="66">
        <v>60.447479530437832</v>
      </c>
      <c r="F3140" s="67">
        <v>3.0000000000000001E-3</v>
      </c>
      <c r="G3140" s="67">
        <v>2E-3</v>
      </c>
      <c r="H3140" s="63"/>
    </row>
    <row r="3141" spans="1:8" x14ac:dyDescent="0.25">
      <c r="A3141" s="63"/>
      <c r="B3141" s="63">
        <v>9</v>
      </c>
      <c r="C3141" s="63" t="s">
        <v>2120</v>
      </c>
      <c r="D3141" s="63" t="s">
        <v>21</v>
      </c>
      <c r="E3141" s="66">
        <v>66.732448929131223</v>
      </c>
      <c r="F3141" s="67">
        <v>3.0000000000000001E-3</v>
      </c>
      <c r="G3141" s="67">
        <v>2E-3</v>
      </c>
      <c r="H3141" s="63"/>
    </row>
    <row r="3142" spans="1:8" x14ac:dyDescent="0.25">
      <c r="A3142" s="63"/>
      <c r="B3142" s="63">
        <v>10</v>
      </c>
      <c r="C3142" s="63" t="s">
        <v>2120</v>
      </c>
      <c r="D3142" s="63" t="s">
        <v>21</v>
      </c>
      <c r="E3142" s="66">
        <v>72.57127134501917</v>
      </c>
      <c r="F3142" s="67">
        <v>3.0000000000000001E-3</v>
      </c>
      <c r="G3142" s="67">
        <v>2E-3</v>
      </c>
      <c r="H3142" s="63"/>
    </row>
    <row r="3143" spans="1:8" x14ac:dyDescent="0.25">
      <c r="A3143" s="63"/>
      <c r="B3143" s="63">
        <v>11</v>
      </c>
      <c r="C3143" s="63" t="s">
        <v>2120</v>
      </c>
      <c r="D3143" s="63" t="s">
        <v>21</v>
      </c>
      <c r="E3143" s="66"/>
      <c r="F3143" s="67">
        <v>3.0000000000000001E-3</v>
      </c>
      <c r="G3143" s="67">
        <v>2E-3</v>
      </c>
      <c r="H3143" s="63"/>
    </row>
    <row r="3144" spans="1:8" x14ac:dyDescent="0.25">
      <c r="A3144" s="63"/>
      <c r="B3144" s="63">
        <v>12</v>
      </c>
      <c r="C3144" s="63" t="s">
        <v>2120</v>
      </c>
      <c r="D3144" s="63" t="s">
        <v>21</v>
      </c>
      <c r="E3144" s="66"/>
      <c r="F3144" s="67">
        <v>3.0000000000000001E-3</v>
      </c>
      <c r="G3144" s="67">
        <v>2E-3</v>
      </c>
      <c r="H3144" s="63"/>
    </row>
    <row r="3145" spans="1:8" x14ac:dyDescent="0.25">
      <c r="A3145" s="63"/>
      <c r="B3145" s="63">
        <v>13</v>
      </c>
      <c r="C3145" s="63" t="s">
        <v>2120</v>
      </c>
      <c r="D3145" s="63" t="s">
        <v>21</v>
      </c>
      <c r="E3145" s="66"/>
      <c r="F3145" s="67">
        <v>3.0000000000000001E-3</v>
      </c>
      <c r="G3145" s="67">
        <v>2E-3</v>
      </c>
      <c r="H3145" s="63"/>
    </row>
    <row r="3146" spans="1:8" x14ac:dyDescent="0.25">
      <c r="A3146" s="63"/>
      <c r="B3146" s="63">
        <v>14</v>
      </c>
      <c r="C3146" s="63" t="s">
        <v>2120</v>
      </c>
      <c r="D3146" s="63" t="s">
        <v>21</v>
      </c>
      <c r="E3146" s="66"/>
      <c r="F3146" s="67">
        <v>3.0000000000000001E-3</v>
      </c>
      <c r="G3146" s="67">
        <v>2E-3</v>
      </c>
      <c r="H3146" s="63"/>
    </row>
    <row r="3147" spans="1:8" x14ac:dyDescent="0.25">
      <c r="A3147" s="63"/>
      <c r="B3147" s="63">
        <v>15</v>
      </c>
      <c r="C3147" s="63" t="s">
        <v>2120</v>
      </c>
      <c r="D3147" s="63" t="s">
        <v>21</v>
      </c>
      <c r="E3147" s="66"/>
      <c r="F3147" s="67">
        <v>3.0000000000000001E-3</v>
      </c>
      <c r="G3147" s="67">
        <v>2E-3</v>
      </c>
      <c r="H3147" s="63"/>
    </row>
    <row r="3148" spans="1:8" x14ac:dyDescent="0.25">
      <c r="A3148" s="63"/>
      <c r="B3148" s="63">
        <v>16</v>
      </c>
      <c r="C3148" s="63" t="s">
        <v>2120</v>
      </c>
      <c r="D3148" s="63" t="s">
        <v>21</v>
      </c>
      <c r="E3148" s="66"/>
      <c r="F3148" s="67">
        <v>3.0000000000000001E-3</v>
      </c>
      <c r="G3148" s="67">
        <v>2E-3</v>
      </c>
      <c r="H3148" s="63"/>
    </row>
    <row r="3149" spans="1:8" x14ac:dyDescent="0.25">
      <c r="A3149" s="63"/>
      <c r="B3149" s="63">
        <v>17</v>
      </c>
      <c r="C3149" s="63" t="s">
        <v>2120</v>
      </c>
      <c r="D3149" s="63" t="s">
        <v>21</v>
      </c>
      <c r="E3149" s="66"/>
      <c r="F3149" s="67">
        <v>3.0000000000000001E-3</v>
      </c>
      <c r="G3149" s="67">
        <v>2E-3</v>
      </c>
      <c r="H3149" s="63"/>
    </row>
    <row r="3150" spans="1:8" x14ac:dyDescent="0.25">
      <c r="A3150" s="63"/>
      <c r="B3150" s="63">
        <v>18</v>
      </c>
      <c r="C3150" s="63" t="s">
        <v>2120</v>
      </c>
      <c r="D3150" s="63" t="s">
        <v>21</v>
      </c>
      <c r="E3150" s="66"/>
      <c r="F3150" s="67">
        <v>3.0000000000000001E-3</v>
      </c>
      <c r="G3150" s="67">
        <v>2E-3</v>
      </c>
      <c r="H3150" s="63"/>
    </row>
    <row r="3151" spans="1:8" x14ac:dyDescent="0.25">
      <c r="A3151" s="63"/>
      <c r="B3151" s="63">
        <v>19</v>
      </c>
      <c r="C3151" s="63" t="s">
        <v>2120</v>
      </c>
      <c r="D3151" s="63" t="s">
        <v>21</v>
      </c>
      <c r="E3151" s="66"/>
      <c r="F3151" s="67">
        <v>3.0000000000000001E-3</v>
      </c>
      <c r="G3151" s="67">
        <v>2E-3</v>
      </c>
      <c r="H3151" s="63"/>
    </row>
    <row r="3152" spans="1:8" x14ac:dyDescent="0.25">
      <c r="A3152" s="63"/>
      <c r="B3152" s="63">
        <v>20</v>
      </c>
      <c r="C3152" s="63" t="s">
        <v>2120</v>
      </c>
      <c r="D3152" s="63" t="s">
        <v>21</v>
      </c>
      <c r="E3152" s="66"/>
      <c r="F3152" s="67">
        <v>3.0000000000000001E-3</v>
      </c>
      <c r="G3152" s="67">
        <v>2E-3</v>
      </c>
      <c r="H3152" s="63"/>
    </row>
    <row r="3153" spans="1:8" x14ac:dyDescent="0.25">
      <c r="A3153" s="63"/>
      <c r="B3153" s="63">
        <v>21</v>
      </c>
      <c r="C3153" s="63" t="s">
        <v>2120</v>
      </c>
      <c r="D3153" s="63" t="s">
        <v>21</v>
      </c>
      <c r="E3153" s="66"/>
      <c r="F3153" s="67">
        <v>3.0000000000000001E-3</v>
      </c>
      <c r="G3153" s="67">
        <v>2E-3</v>
      </c>
      <c r="H3153" s="63"/>
    </row>
    <row r="3154" spans="1:8" x14ac:dyDescent="0.25">
      <c r="A3154" s="63"/>
      <c r="B3154" s="63">
        <v>22</v>
      </c>
      <c r="C3154" s="63" t="s">
        <v>2120</v>
      </c>
      <c r="D3154" s="63" t="s">
        <v>21</v>
      </c>
      <c r="E3154" s="66"/>
      <c r="F3154" s="67">
        <v>3.0000000000000001E-3</v>
      </c>
      <c r="G3154" s="67">
        <v>2E-3</v>
      </c>
      <c r="H3154" s="63"/>
    </row>
    <row r="3155" spans="1:8" x14ac:dyDescent="0.25">
      <c r="A3155" s="63"/>
      <c r="B3155" s="63">
        <v>23</v>
      </c>
      <c r="C3155" s="63" t="s">
        <v>2120</v>
      </c>
      <c r="D3155" s="63" t="s">
        <v>21</v>
      </c>
      <c r="E3155" s="66"/>
      <c r="F3155" s="67">
        <v>3.0000000000000001E-3</v>
      </c>
      <c r="G3155" s="67">
        <v>2E-3</v>
      </c>
      <c r="H3155" s="63"/>
    </row>
    <row r="3156" spans="1:8" x14ac:dyDescent="0.25">
      <c r="A3156" s="63"/>
      <c r="B3156" s="63">
        <v>24</v>
      </c>
      <c r="C3156" s="63" t="s">
        <v>2120</v>
      </c>
      <c r="D3156" s="63" t="s">
        <v>21</v>
      </c>
      <c r="E3156" s="66"/>
      <c r="F3156" s="67">
        <v>3.0000000000000001E-3</v>
      </c>
      <c r="G3156" s="67">
        <v>2E-3</v>
      </c>
      <c r="H3156" s="63"/>
    </row>
    <row r="3157" spans="1:8" x14ac:dyDescent="0.25">
      <c r="A3157" s="63"/>
      <c r="B3157" s="63">
        <v>25</v>
      </c>
      <c r="C3157" s="63" t="s">
        <v>2120</v>
      </c>
      <c r="D3157" s="63" t="s">
        <v>21</v>
      </c>
      <c r="E3157" s="66"/>
      <c r="F3157" s="67">
        <v>3.0000000000000001E-3</v>
      </c>
      <c r="G3157" s="67">
        <v>2E-3</v>
      </c>
      <c r="H3157" s="63"/>
    </row>
    <row r="3158" spans="1:8" x14ac:dyDescent="0.25">
      <c r="A3158" s="63"/>
      <c r="B3158" s="63">
        <v>26</v>
      </c>
      <c r="C3158" s="63" t="s">
        <v>2120</v>
      </c>
      <c r="D3158" s="63" t="s">
        <v>21</v>
      </c>
      <c r="E3158" s="66"/>
      <c r="F3158" s="67">
        <v>3.0000000000000001E-3</v>
      </c>
      <c r="G3158" s="67">
        <v>2E-3</v>
      </c>
      <c r="H3158" s="63"/>
    </row>
    <row r="3159" spans="1:8" x14ac:dyDescent="0.25">
      <c r="A3159" s="63"/>
      <c r="B3159" s="63">
        <v>27</v>
      </c>
      <c r="C3159" s="63" t="s">
        <v>2120</v>
      </c>
      <c r="D3159" s="63" t="s">
        <v>21</v>
      </c>
      <c r="E3159" s="66"/>
      <c r="F3159" s="67">
        <v>3.0000000000000001E-3</v>
      </c>
      <c r="G3159" s="67">
        <v>2E-3</v>
      </c>
      <c r="H3159" s="63"/>
    </row>
    <row r="3160" spans="1:8" x14ac:dyDescent="0.25">
      <c r="A3160" s="63"/>
      <c r="B3160" s="63">
        <v>28</v>
      </c>
      <c r="C3160" s="63" t="s">
        <v>2120</v>
      </c>
      <c r="D3160" s="63" t="s">
        <v>21</v>
      </c>
      <c r="E3160" s="66"/>
      <c r="F3160" s="67">
        <v>3.0000000000000001E-3</v>
      </c>
      <c r="G3160" s="67">
        <v>2E-3</v>
      </c>
      <c r="H3160" s="63"/>
    </row>
    <row r="3161" spans="1:8" x14ac:dyDescent="0.25">
      <c r="A3161" s="63"/>
      <c r="B3161" s="63">
        <v>29</v>
      </c>
      <c r="C3161" s="63" t="s">
        <v>2120</v>
      </c>
      <c r="D3161" s="63" t="s">
        <v>21</v>
      </c>
      <c r="E3161" s="66"/>
      <c r="F3161" s="67">
        <v>3.0000000000000001E-3</v>
      </c>
      <c r="G3161" s="67">
        <v>2E-3</v>
      </c>
      <c r="H3161" s="63"/>
    </row>
    <row r="3162" spans="1:8" x14ac:dyDescent="0.25">
      <c r="A3162" s="63"/>
      <c r="B3162" s="63">
        <v>30</v>
      </c>
      <c r="C3162" s="63" t="s">
        <v>2120</v>
      </c>
      <c r="D3162" s="63" t="s">
        <v>21</v>
      </c>
      <c r="E3162" s="66"/>
      <c r="F3162" s="67">
        <v>3.0000000000000001E-3</v>
      </c>
      <c r="G3162" s="67">
        <v>2E-3</v>
      </c>
      <c r="H3162" s="63"/>
    </row>
    <row r="3163" spans="1:8" x14ac:dyDescent="0.25">
      <c r="A3163" s="63"/>
      <c r="B3163" s="63">
        <v>0</v>
      </c>
      <c r="C3163" s="63" t="s">
        <v>2120</v>
      </c>
      <c r="D3163" s="63" t="s">
        <v>21</v>
      </c>
      <c r="E3163" s="66">
        <v>3.0428788910505911</v>
      </c>
      <c r="F3163" s="67">
        <v>3.0000000000000001E-3</v>
      </c>
      <c r="G3163" s="67">
        <v>2E-3</v>
      </c>
      <c r="H3163" s="63"/>
    </row>
    <row r="3164" spans="1:8" x14ac:dyDescent="0.25">
      <c r="A3164" s="63"/>
      <c r="B3164" s="63">
        <v>0.25</v>
      </c>
      <c r="C3164" s="63" t="s">
        <v>2120</v>
      </c>
      <c r="D3164" s="63" t="s">
        <v>62</v>
      </c>
      <c r="E3164" s="66">
        <v>18.218373315786963</v>
      </c>
      <c r="F3164" s="67">
        <v>3.0000000000000001E-3</v>
      </c>
      <c r="G3164" s="67">
        <v>2E-3</v>
      </c>
      <c r="H3164" s="63"/>
    </row>
    <row r="3165" spans="1:8" x14ac:dyDescent="0.25">
      <c r="A3165" s="63"/>
      <c r="B3165" s="63">
        <v>0.5</v>
      </c>
      <c r="C3165" s="63" t="s">
        <v>2120</v>
      </c>
      <c r="D3165" s="63" t="s">
        <v>62</v>
      </c>
      <c r="E3165" s="66">
        <v>19.664893554389323</v>
      </c>
      <c r="F3165" s="67">
        <v>3.0000000000000001E-3</v>
      </c>
      <c r="G3165" s="67">
        <v>2E-3</v>
      </c>
      <c r="H3165" s="63"/>
    </row>
    <row r="3166" spans="1:8" x14ac:dyDescent="0.25">
      <c r="A3166" s="63"/>
      <c r="B3166" s="63">
        <v>0.75</v>
      </c>
      <c r="C3166" s="63" t="s">
        <v>2120</v>
      </c>
      <c r="D3166" s="63" t="s">
        <v>62</v>
      </c>
      <c r="E3166" s="66">
        <v>21.786180308421145</v>
      </c>
      <c r="F3166" s="67">
        <v>3.0000000000000001E-3</v>
      </c>
      <c r="G3166" s="67">
        <v>2E-3</v>
      </c>
      <c r="H3166" s="63"/>
    </row>
    <row r="3167" spans="1:8" x14ac:dyDescent="0.25">
      <c r="A3167" s="63"/>
      <c r="B3167" s="63">
        <v>1</v>
      </c>
      <c r="C3167" s="63" t="s">
        <v>2120</v>
      </c>
      <c r="D3167" s="63" t="s">
        <v>62</v>
      </c>
      <c r="E3167" s="66">
        <v>23.986333773977044</v>
      </c>
      <c r="F3167" s="67">
        <v>3.0000000000000001E-3</v>
      </c>
      <c r="G3167" s="67">
        <v>2E-3</v>
      </c>
      <c r="H3167" s="63"/>
    </row>
    <row r="3168" spans="1:8" x14ac:dyDescent="0.25">
      <c r="A3168" s="63"/>
      <c r="B3168" s="63">
        <v>2</v>
      </c>
      <c r="C3168" s="63" t="s">
        <v>2120</v>
      </c>
      <c r="D3168" s="63" t="s">
        <v>62</v>
      </c>
      <c r="E3168" s="66">
        <v>29.590503899645856</v>
      </c>
      <c r="F3168" s="67">
        <v>3.0000000000000001E-3</v>
      </c>
      <c r="G3168" s="67">
        <v>2E-3</v>
      </c>
      <c r="H3168" s="63"/>
    </row>
    <row r="3169" spans="1:8" x14ac:dyDescent="0.25">
      <c r="A3169" s="63"/>
      <c r="B3169" s="63">
        <v>3</v>
      </c>
      <c r="C3169" s="63" t="s">
        <v>2120</v>
      </c>
      <c r="D3169" s="63" t="s">
        <v>62</v>
      </c>
      <c r="E3169" s="66">
        <v>35.864647096682894</v>
      </c>
      <c r="F3169" s="67">
        <v>3.0000000000000001E-3</v>
      </c>
      <c r="G3169" s="67">
        <v>2E-3</v>
      </c>
      <c r="H3169" s="63"/>
    </row>
    <row r="3170" spans="1:8" x14ac:dyDescent="0.25">
      <c r="A3170" s="63"/>
      <c r="B3170" s="63">
        <v>4</v>
      </c>
      <c r="C3170" s="63" t="s">
        <v>2120</v>
      </c>
      <c r="D3170" s="63" t="s">
        <v>62</v>
      </c>
      <c r="E3170" s="66">
        <v>42.320477053388458</v>
      </c>
      <c r="F3170" s="67">
        <v>3.0000000000000001E-3</v>
      </c>
      <c r="G3170" s="67">
        <v>2E-3</v>
      </c>
      <c r="H3170" s="63"/>
    </row>
    <row r="3171" spans="1:8" x14ac:dyDescent="0.25">
      <c r="A3171" s="63"/>
      <c r="B3171" s="63">
        <v>5</v>
      </c>
      <c r="C3171" s="63" t="s">
        <v>2120</v>
      </c>
      <c r="D3171" s="63" t="s">
        <v>62</v>
      </c>
      <c r="E3171" s="66">
        <v>49.014929837148429</v>
      </c>
      <c r="F3171" s="67">
        <v>3.0000000000000001E-3</v>
      </c>
      <c r="G3171" s="67">
        <v>2E-3</v>
      </c>
      <c r="H3171" s="63"/>
    </row>
    <row r="3172" spans="1:8" x14ac:dyDescent="0.25">
      <c r="A3172" s="63"/>
      <c r="B3172" s="63">
        <v>6</v>
      </c>
      <c r="C3172" s="63" t="s">
        <v>2120</v>
      </c>
      <c r="D3172" s="63" t="s">
        <v>62</v>
      </c>
      <c r="E3172" s="66">
        <v>55.851656970363329</v>
      </c>
      <c r="F3172" s="67">
        <v>3.0000000000000001E-3</v>
      </c>
      <c r="G3172" s="67">
        <v>2E-3</v>
      </c>
      <c r="H3172" s="63"/>
    </row>
    <row r="3173" spans="1:8" x14ac:dyDescent="0.25">
      <c r="A3173" s="63"/>
      <c r="B3173" s="63">
        <v>7</v>
      </c>
      <c r="C3173" s="63" t="s">
        <v>2120</v>
      </c>
      <c r="D3173" s="63" t="s">
        <v>62</v>
      </c>
      <c r="E3173" s="66">
        <v>62.848959105898189</v>
      </c>
      <c r="F3173" s="67">
        <v>3.0000000000000001E-3</v>
      </c>
      <c r="G3173" s="67">
        <v>2E-3</v>
      </c>
      <c r="H3173" s="63"/>
    </row>
    <row r="3174" spans="1:8" x14ac:dyDescent="0.25">
      <c r="A3174" s="63"/>
      <c r="B3174" s="63">
        <v>8</v>
      </c>
      <c r="C3174" s="63" t="s">
        <v>2120</v>
      </c>
      <c r="D3174" s="63" t="s">
        <v>62</v>
      </c>
      <c r="E3174" s="66">
        <v>70.027553049661336</v>
      </c>
      <c r="F3174" s="67">
        <v>3.0000000000000001E-3</v>
      </c>
      <c r="G3174" s="67">
        <v>2E-3</v>
      </c>
      <c r="H3174" s="63"/>
    </row>
    <row r="3175" spans="1:8" x14ac:dyDescent="0.25">
      <c r="A3175" s="63"/>
      <c r="B3175" s="63">
        <v>9</v>
      </c>
      <c r="C3175" s="63" t="s">
        <v>2120</v>
      </c>
      <c r="D3175" s="63" t="s">
        <v>62</v>
      </c>
      <c r="E3175" s="66">
        <v>76.934519377148774</v>
      </c>
      <c r="F3175" s="67">
        <v>3.0000000000000001E-3</v>
      </c>
      <c r="G3175" s="67">
        <v>2E-3</v>
      </c>
      <c r="H3175" s="63"/>
    </row>
    <row r="3176" spans="1:8" x14ac:dyDescent="0.25">
      <c r="A3176" s="63"/>
      <c r="B3176" s="63">
        <v>10</v>
      </c>
      <c r="C3176" s="63" t="s">
        <v>2120</v>
      </c>
      <c r="D3176" s="63" t="s">
        <v>62</v>
      </c>
      <c r="E3176" s="66">
        <v>84.357531434882802</v>
      </c>
      <c r="F3176" s="67">
        <v>3.0000000000000001E-3</v>
      </c>
      <c r="G3176" s="67">
        <v>2E-3</v>
      </c>
      <c r="H3176" s="63"/>
    </row>
    <row r="3177" spans="1:8" x14ac:dyDescent="0.25">
      <c r="A3177" s="63"/>
      <c r="B3177" s="63">
        <v>11</v>
      </c>
      <c r="C3177" s="63" t="s">
        <v>2120</v>
      </c>
      <c r="D3177" s="63" t="s">
        <v>62</v>
      </c>
      <c r="E3177" s="66"/>
      <c r="F3177" s="67">
        <v>3.0000000000000001E-3</v>
      </c>
      <c r="G3177" s="67">
        <v>2E-3</v>
      </c>
      <c r="H3177" s="63"/>
    </row>
    <row r="3178" spans="1:8" x14ac:dyDescent="0.25">
      <c r="A3178" s="63"/>
      <c r="B3178" s="63">
        <v>12</v>
      </c>
      <c r="C3178" s="63" t="s">
        <v>2120</v>
      </c>
      <c r="D3178" s="63" t="s">
        <v>62</v>
      </c>
      <c r="E3178" s="66"/>
      <c r="F3178" s="67">
        <v>3.0000000000000001E-3</v>
      </c>
      <c r="G3178" s="67">
        <v>2E-3</v>
      </c>
      <c r="H3178" s="63"/>
    </row>
    <row r="3179" spans="1:8" x14ac:dyDescent="0.25">
      <c r="A3179" s="63"/>
      <c r="B3179" s="63">
        <v>13</v>
      </c>
      <c r="C3179" s="63" t="s">
        <v>2120</v>
      </c>
      <c r="D3179" s="63" t="s">
        <v>62</v>
      </c>
      <c r="E3179" s="66"/>
      <c r="F3179" s="67">
        <v>3.0000000000000001E-3</v>
      </c>
      <c r="G3179" s="67">
        <v>2E-3</v>
      </c>
      <c r="H3179" s="63"/>
    </row>
    <row r="3180" spans="1:8" x14ac:dyDescent="0.25">
      <c r="A3180" s="63"/>
      <c r="B3180" s="63">
        <v>14</v>
      </c>
      <c r="C3180" s="63" t="s">
        <v>2120</v>
      </c>
      <c r="D3180" s="63" t="s">
        <v>62</v>
      </c>
      <c r="E3180" s="66"/>
      <c r="F3180" s="67">
        <v>3.0000000000000001E-3</v>
      </c>
      <c r="G3180" s="67">
        <v>2E-3</v>
      </c>
      <c r="H3180" s="63"/>
    </row>
    <row r="3181" spans="1:8" x14ac:dyDescent="0.25">
      <c r="A3181" s="63"/>
      <c r="B3181" s="63">
        <v>15</v>
      </c>
      <c r="C3181" s="63" t="s">
        <v>2120</v>
      </c>
      <c r="D3181" s="63" t="s">
        <v>62</v>
      </c>
      <c r="E3181" s="66"/>
      <c r="F3181" s="67">
        <v>3.0000000000000001E-3</v>
      </c>
      <c r="G3181" s="67">
        <v>2E-3</v>
      </c>
      <c r="H3181" s="63"/>
    </row>
    <row r="3182" spans="1:8" x14ac:dyDescent="0.25">
      <c r="A3182" s="63"/>
      <c r="B3182" s="63">
        <v>16</v>
      </c>
      <c r="C3182" s="63" t="s">
        <v>2120</v>
      </c>
      <c r="D3182" s="63" t="s">
        <v>62</v>
      </c>
      <c r="E3182" s="66"/>
      <c r="F3182" s="67">
        <v>3.0000000000000001E-3</v>
      </c>
      <c r="G3182" s="67">
        <v>2E-3</v>
      </c>
      <c r="H3182" s="63"/>
    </row>
    <row r="3183" spans="1:8" x14ac:dyDescent="0.25">
      <c r="A3183" s="63"/>
      <c r="B3183" s="63">
        <v>17</v>
      </c>
      <c r="C3183" s="63" t="s">
        <v>2120</v>
      </c>
      <c r="D3183" s="63" t="s">
        <v>62</v>
      </c>
      <c r="E3183" s="66"/>
      <c r="F3183" s="67">
        <v>3.0000000000000001E-3</v>
      </c>
      <c r="G3183" s="67">
        <v>2E-3</v>
      </c>
      <c r="H3183" s="63"/>
    </row>
    <row r="3184" spans="1:8" x14ac:dyDescent="0.25">
      <c r="A3184" s="63"/>
      <c r="B3184" s="63">
        <v>18</v>
      </c>
      <c r="C3184" s="63" t="s">
        <v>2120</v>
      </c>
      <c r="D3184" s="63" t="s">
        <v>62</v>
      </c>
      <c r="E3184" s="66"/>
      <c r="F3184" s="67">
        <v>3.0000000000000001E-3</v>
      </c>
      <c r="G3184" s="67">
        <v>2E-3</v>
      </c>
      <c r="H3184" s="63"/>
    </row>
    <row r="3185" spans="1:8" x14ac:dyDescent="0.25">
      <c r="A3185" s="63"/>
      <c r="B3185" s="63">
        <v>19</v>
      </c>
      <c r="C3185" s="63" t="s">
        <v>2120</v>
      </c>
      <c r="D3185" s="63" t="s">
        <v>62</v>
      </c>
      <c r="E3185" s="66"/>
      <c r="F3185" s="67">
        <v>3.0000000000000001E-3</v>
      </c>
      <c r="G3185" s="67">
        <v>2E-3</v>
      </c>
      <c r="H3185" s="63"/>
    </row>
    <row r="3186" spans="1:8" x14ac:dyDescent="0.25">
      <c r="A3186" s="63"/>
      <c r="B3186" s="63">
        <v>20</v>
      </c>
      <c r="C3186" s="63" t="s">
        <v>2120</v>
      </c>
      <c r="D3186" s="63" t="s">
        <v>62</v>
      </c>
      <c r="E3186" s="66"/>
      <c r="F3186" s="67">
        <v>3.0000000000000001E-3</v>
      </c>
      <c r="G3186" s="67">
        <v>2E-3</v>
      </c>
      <c r="H3186" s="63"/>
    </row>
    <row r="3187" spans="1:8" x14ac:dyDescent="0.25">
      <c r="A3187" s="63"/>
      <c r="B3187" s="63">
        <v>21</v>
      </c>
      <c r="C3187" s="63" t="s">
        <v>2120</v>
      </c>
      <c r="D3187" s="63" t="s">
        <v>62</v>
      </c>
      <c r="E3187" s="66"/>
      <c r="F3187" s="67">
        <v>3.0000000000000001E-3</v>
      </c>
      <c r="G3187" s="67">
        <v>2E-3</v>
      </c>
      <c r="H3187" s="63"/>
    </row>
    <row r="3188" spans="1:8" x14ac:dyDescent="0.25">
      <c r="A3188" s="63"/>
      <c r="B3188" s="63">
        <v>22</v>
      </c>
      <c r="C3188" s="63" t="s">
        <v>2120</v>
      </c>
      <c r="D3188" s="63" t="s">
        <v>62</v>
      </c>
      <c r="E3188" s="66"/>
      <c r="F3188" s="67">
        <v>3.0000000000000001E-3</v>
      </c>
      <c r="G3188" s="67">
        <v>2E-3</v>
      </c>
      <c r="H3188" s="63"/>
    </row>
    <row r="3189" spans="1:8" x14ac:dyDescent="0.25">
      <c r="A3189" s="63"/>
      <c r="B3189" s="63">
        <v>23</v>
      </c>
      <c r="C3189" s="63" t="s">
        <v>2120</v>
      </c>
      <c r="D3189" s="63" t="s">
        <v>62</v>
      </c>
      <c r="E3189" s="66"/>
      <c r="F3189" s="67">
        <v>3.0000000000000001E-3</v>
      </c>
      <c r="G3189" s="67">
        <v>2E-3</v>
      </c>
      <c r="H3189" s="63"/>
    </row>
    <row r="3190" spans="1:8" x14ac:dyDescent="0.25">
      <c r="A3190" s="63"/>
      <c r="B3190" s="63">
        <v>24</v>
      </c>
      <c r="C3190" s="63" t="s">
        <v>2120</v>
      </c>
      <c r="D3190" s="63" t="s">
        <v>62</v>
      </c>
      <c r="E3190" s="66"/>
      <c r="F3190" s="67">
        <v>3.0000000000000001E-3</v>
      </c>
      <c r="G3190" s="67">
        <v>2E-3</v>
      </c>
      <c r="H3190" s="63"/>
    </row>
    <row r="3191" spans="1:8" x14ac:dyDescent="0.25">
      <c r="A3191" s="63"/>
      <c r="B3191" s="63">
        <v>25</v>
      </c>
      <c r="C3191" s="63" t="s">
        <v>2120</v>
      </c>
      <c r="D3191" s="63" t="s">
        <v>62</v>
      </c>
      <c r="E3191" s="66"/>
      <c r="F3191" s="67">
        <v>3.0000000000000001E-3</v>
      </c>
      <c r="G3191" s="67">
        <v>2E-3</v>
      </c>
      <c r="H3191" s="63"/>
    </row>
    <row r="3192" spans="1:8" x14ac:dyDescent="0.25">
      <c r="A3192" s="63"/>
      <c r="B3192" s="63">
        <v>26</v>
      </c>
      <c r="C3192" s="63" t="s">
        <v>2120</v>
      </c>
      <c r="D3192" s="63" t="s">
        <v>62</v>
      </c>
      <c r="E3192" s="66"/>
      <c r="F3192" s="67">
        <v>3.0000000000000001E-3</v>
      </c>
      <c r="G3192" s="67">
        <v>2E-3</v>
      </c>
      <c r="H3192" s="63"/>
    </row>
    <row r="3193" spans="1:8" x14ac:dyDescent="0.25">
      <c r="A3193" s="63"/>
      <c r="B3193" s="63">
        <v>27</v>
      </c>
      <c r="C3193" s="63" t="s">
        <v>2120</v>
      </c>
      <c r="D3193" s="63" t="s">
        <v>62</v>
      </c>
      <c r="E3193" s="66"/>
      <c r="F3193" s="67">
        <v>3.0000000000000001E-3</v>
      </c>
      <c r="G3193" s="67">
        <v>2E-3</v>
      </c>
      <c r="H3193" s="63"/>
    </row>
    <row r="3194" spans="1:8" x14ac:dyDescent="0.25">
      <c r="A3194" s="63"/>
      <c r="B3194" s="63">
        <v>28</v>
      </c>
      <c r="C3194" s="63" t="s">
        <v>2120</v>
      </c>
      <c r="D3194" s="63" t="s">
        <v>62</v>
      </c>
      <c r="E3194" s="66"/>
      <c r="F3194" s="67">
        <v>3.0000000000000001E-3</v>
      </c>
      <c r="G3194" s="67">
        <v>2E-3</v>
      </c>
      <c r="H3194" s="63"/>
    </row>
    <row r="3195" spans="1:8" x14ac:dyDescent="0.25">
      <c r="A3195" s="63"/>
      <c r="B3195" s="63">
        <v>29</v>
      </c>
      <c r="C3195" s="63" t="s">
        <v>2120</v>
      </c>
      <c r="D3195" s="63" t="s">
        <v>62</v>
      </c>
      <c r="E3195" s="66"/>
      <c r="F3195" s="67">
        <v>3.0000000000000001E-3</v>
      </c>
      <c r="G3195" s="67">
        <v>2E-3</v>
      </c>
      <c r="H3195" s="63"/>
    </row>
    <row r="3196" spans="1:8" x14ac:dyDescent="0.25">
      <c r="A3196" s="63"/>
      <c r="B3196" s="63">
        <v>30</v>
      </c>
      <c r="C3196" s="63" t="s">
        <v>2120</v>
      </c>
      <c r="D3196" s="63" t="s">
        <v>62</v>
      </c>
      <c r="E3196" s="66"/>
      <c r="F3196" s="67">
        <v>3.0000000000000001E-3</v>
      </c>
      <c r="G3196" s="67">
        <v>2E-3</v>
      </c>
      <c r="H3196" s="63"/>
    </row>
    <row r="3197" spans="1:8" x14ac:dyDescent="0.25">
      <c r="A3197" s="63"/>
      <c r="B3197" s="63">
        <v>0</v>
      </c>
      <c r="C3197" s="63" t="s">
        <v>2120</v>
      </c>
      <c r="D3197" s="63" t="s">
        <v>62</v>
      </c>
      <c r="E3197" s="66">
        <v>3.0428788910505911</v>
      </c>
      <c r="F3197" s="67">
        <v>3.0000000000000001E-3</v>
      </c>
      <c r="G3197" s="67">
        <v>2E-3</v>
      </c>
      <c r="H3197" s="63"/>
    </row>
    <row r="3198" spans="1:8" x14ac:dyDescent="0.25">
      <c r="A3198" s="63"/>
      <c r="B3198" s="63">
        <v>0.25</v>
      </c>
      <c r="C3198" s="63" t="s">
        <v>2120</v>
      </c>
      <c r="D3198" s="63" t="s">
        <v>64</v>
      </c>
      <c r="E3198" s="66">
        <v>22.325454358562396</v>
      </c>
      <c r="F3198" s="67">
        <v>3.0000000000000001E-3</v>
      </c>
      <c r="G3198" s="67">
        <v>2E-3</v>
      </c>
      <c r="H3198" s="63"/>
    </row>
    <row r="3199" spans="1:8" x14ac:dyDescent="0.25">
      <c r="A3199" s="63"/>
      <c r="B3199" s="63">
        <v>0.5</v>
      </c>
      <c r="C3199" s="63" t="s">
        <v>2120</v>
      </c>
      <c r="D3199" s="63" t="s">
        <v>64</v>
      </c>
      <c r="E3199" s="66">
        <v>24.597417277137804</v>
      </c>
      <c r="F3199" s="67">
        <v>3.0000000000000001E-3</v>
      </c>
      <c r="G3199" s="67">
        <v>2E-3</v>
      </c>
      <c r="H3199" s="63"/>
    </row>
    <row r="3200" spans="1:8" x14ac:dyDescent="0.25">
      <c r="A3200" s="63"/>
      <c r="B3200" s="63">
        <v>0.75</v>
      </c>
      <c r="C3200" s="63" t="s">
        <v>2120</v>
      </c>
      <c r="D3200" s="63" t="s">
        <v>64</v>
      </c>
      <c r="E3200" s="66">
        <v>27.103777688027414</v>
      </c>
      <c r="F3200" s="67">
        <v>3.0000000000000001E-3</v>
      </c>
      <c r="G3200" s="67">
        <v>2E-3</v>
      </c>
      <c r="H3200" s="63"/>
    </row>
    <row r="3201" spans="1:8" x14ac:dyDescent="0.25">
      <c r="A3201" s="63"/>
      <c r="B3201" s="63">
        <v>1</v>
      </c>
      <c r="C3201" s="63" t="s">
        <v>2120</v>
      </c>
      <c r="D3201" s="63" t="s">
        <v>64</v>
      </c>
      <c r="E3201" s="66">
        <v>29.216902865000016</v>
      </c>
      <c r="F3201" s="67">
        <v>3.0000000000000001E-3</v>
      </c>
      <c r="G3201" s="67">
        <v>2E-3</v>
      </c>
      <c r="H3201" s="63"/>
    </row>
    <row r="3202" spans="1:8" x14ac:dyDescent="0.25">
      <c r="A3202" s="63"/>
      <c r="B3202" s="63">
        <v>2</v>
      </c>
      <c r="C3202" s="63" t="s">
        <v>2120</v>
      </c>
      <c r="D3202" s="63" t="s">
        <v>64</v>
      </c>
      <c r="E3202" s="66">
        <v>35.838454522229164</v>
      </c>
      <c r="F3202" s="67">
        <v>3.0000000000000001E-3</v>
      </c>
      <c r="G3202" s="67">
        <v>2E-3</v>
      </c>
      <c r="H3202" s="63"/>
    </row>
    <row r="3203" spans="1:8" x14ac:dyDescent="0.25">
      <c r="A3203" s="63"/>
      <c r="B3203" s="63">
        <v>3</v>
      </c>
      <c r="C3203" s="63" t="s">
        <v>2120</v>
      </c>
      <c r="D3203" s="63" t="s">
        <v>64</v>
      </c>
      <c r="E3203" s="66">
        <v>43.267031000463348</v>
      </c>
      <c r="F3203" s="67">
        <v>3.0000000000000001E-3</v>
      </c>
      <c r="G3203" s="67">
        <v>2E-3</v>
      </c>
      <c r="H3203" s="63"/>
    </row>
    <row r="3204" spans="1:8" x14ac:dyDescent="0.25">
      <c r="A3204" s="63"/>
      <c r="B3204" s="63">
        <v>4</v>
      </c>
      <c r="C3204" s="63" t="s">
        <v>2120</v>
      </c>
      <c r="D3204" s="63" t="s">
        <v>64</v>
      </c>
      <c r="E3204" s="66">
        <v>50.782228309405689</v>
      </c>
      <c r="F3204" s="67">
        <v>3.0000000000000001E-3</v>
      </c>
      <c r="G3204" s="67">
        <v>2E-3</v>
      </c>
      <c r="H3204" s="63"/>
    </row>
    <row r="3205" spans="1:8" x14ac:dyDescent="0.25">
      <c r="A3205" s="63"/>
      <c r="B3205" s="63">
        <v>5</v>
      </c>
      <c r="C3205" s="63" t="s">
        <v>2120</v>
      </c>
      <c r="D3205" s="63" t="s">
        <v>64</v>
      </c>
      <c r="E3205" s="66">
        <v>58.392708532127088</v>
      </c>
      <c r="F3205" s="67">
        <v>3.0000000000000001E-3</v>
      </c>
      <c r="G3205" s="67">
        <v>2E-3</v>
      </c>
      <c r="H3205" s="63"/>
    </row>
    <row r="3206" spans="1:8" x14ac:dyDescent="0.25">
      <c r="A3206" s="63"/>
      <c r="B3206" s="63">
        <v>6</v>
      </c>
      <c r="C3206" s="63" t="s">
        <v>2120</v>
      </c>
      <c r="D3206" s="63" t="s">
        <v>64</v>
      </c>
      <c r="E3206" s="66">
        <v>67.800618768645919</v>
      </c>
      <c r="F3206" s="67">
        <v>3.0000000000000001E-3</v>
      </c>
      <c r="G3206" s="67">
        <v>2E-3</v>
      </c>
      <c r="H3206" s="63"/>
    </row>
    <row r="3207" spans="1:8" x14ac:dyDescent="0.25">
      <c r="A3207" s="63"/>
      <c r="B3207" s="63">
        <v>7</v>
      </c>
      <c r="C3207" s="63" t="s">
        <v>2120</v>
      </c>
      <c r="D3207" s="63" t="s">
        <v>64</v>
      </c>
      <c r="E3207" s="66">
        <v>74.956077661509198</v>
      </c>
      <c r="F3207" s="67">
        <v>3.0000000000000001E-3</v>
      </c>
      <c r="G3207" s="67">
        <v>2E-3</v>
      </c>
      <c r="H3207" s="63"/>
    </row>
    <row r="3208" spans="1:8" x14ac:dyDescent="0.25">
      <c r="A3208" s="63"/>
      <c r="B3208" s="63">
        <v>8</v>
      </c>
      <c r="C3208" s="63" t="s">
        <v>2120</v>
      </c>
      <c r="D3208" s="63" t="s">
        <v>64</v>
      </c>
      <c r="E3208" s="66">
        <v>82.225729403744211</v>
      </c>
      <c r="F3208" s="67">
        <v>3.0000000000000001E-3</v>
      </c>
      <c r="G3208" s="67">
        <v>2E-3</v>
      </c>
      <c r="H3208" s="63"/>
    </row>
    <row r="3209" spans="1:8" x14ac:dyDescent="0.25">
      <c r="A3209" s="63"/>
      <c r="B3209" s="63">
        <v>9</v>
      </c>
      <c r="C3209" s="63" t="s">
        <v>2120</v>
      </c>
      <c r="D3209" s="63" t="s">
        <v>64</v>
      </c>
      <c r="E3209" s="66">
        <v>90.363895588137865</v>
      </c>
      <c r="F3209" s="67">
        <v>3.0000000000000001E-3</v>
      </c>
      <c r="G3209" s="67">
        <v>2E-3</v>
      </c>
      <c r="H3209" s="63"/>
    </row>
    <row r="3210" spans="1:8" x14ac:dyDescent="0.25">
      <c r="A3210" s="63"/>
      <c r="B3210" s="63">
        <v>10</v>
      </c>
      <c r="C3210" s="63" t="s">
        <v>2120</v>
      </c>
      <c r="D3210" s="63" t="s">
        <v>64</v>
      </c>
      <c r="E3210" s="66">
        <v>98.43110945306033</v>
      </c>
      <c r="F3210" s="67">
        <v>3.0000000000000001E-3</v>
      </c>
      <c r="G3210" s="67">
        <v>2E-3</v>
      </c>
      <c r="H3210" s="63"/>
    </row>
    <row r="3211" spans="1:8" x14ac:dyDescent="0.25">
      <c r="A3211" s="63"/>
      <c r="B3211" s="63">
        <v>11</v>
      </c>
      <c r="C3211" s="63" t="s">
        <v>2120</v>
      </c>
      <c r="D3211" s="63" t="s">
        <v>64</v>
      </c>
      <c r="E3211" s="66"/>
      <c r="F3211" s="67">
        <v>3.0000000000000001E-3</v>
      </c>
      <c r="G3211" s="67">
        <v>2E-3</v>
      </c>
      <c r="H3211" s="63"/>
    </row>
    <row r="3212" spans="1:8" x14ac:dyDescent="0.25">
      <c r="A3212" s="63"/>
      <c r="B3212" s="63">
        <v>12</v>
      </c>
      <c r="C3212" s="63" t="s">
        <v>2120</v>
      </c>
      <c r="D3212" s="63" t="s">
        <v>64</v>
      </c>
      <c r="E3212" s="66"/>
      <c r="F3212" s="67">
        <v>3.0000000000000001E-3</v>
      </c>
      <c r="G3212" s="67">
        <v>2E-3</v>
      </c>
      <c r="H3212" s="63"/>
    </row>
    <row r="3213" spans="1:8" x14ac:dyDescent="0.25">
      <c r="A3213" s="63"/>
      <c r="B3213" s="63">
        <v>13</v>
      </c>
      <c r="C3213" s="63" t="s">
        <v>2120</v>
      </c>
      <c r="D3213" s="63" t="s">
        <v>64</v>
      </c>
      <c r="E3213" s="66"/>
      <c r="F3213" s="67">
        <v>3.0000000000000001E-3</v>
      </c>
      <c r="G3213" s="67">
        <v>2E-3</v>
      </c>
      <c r="H3213" s="63"/>
    </row>
    <row r="3214" spans="1:8" x14ac:dyDescent="0.25">
      <c r="A3214" s="63"/>
      <c r="B3214" s="63">
        <v>14</v>
      </c>
      <c r="C3214" s="63" t="s">
        <v>2120</v>
      </c>
      <c r="D3214" s="63" t="s">
        <v>64</v>
      </c>
      <c r="E3214" s="66"/>
      <c r="F3214" s="67">
        <v>3.0000000000000001E-3</v>
      </c>
      <c r="G3214" s="67">
        <v>2E-3</v>
      </c>
      <c r="H3214" s="63"/>
    </row>
    <row r="3215" spans="1:8" x14ac:dyDescent="0.25">
      <c r="A3215" s="63"/>
      <c r="B3215" s="63">
        <v>15</v>
      </c>
      <c r="C3215" s="63" t="s">
        <v>2120</v>
      </c>
      <c r="D3215" s="63" t="s">
        <v>64</v>
      </c>
      <c r="E3215" s="66"/>
      <c r="F3215" s="67">
        <v>3.0000000000000001E-3</v>
      </c>
      <c r="G3215" s="67">
        <v>2E-3</v>
      </c>
      <c r="H3215" s="63"/>
    </row>
    <row r="3216" spans="1:8" x14ac:dyDescent="0.25">
      <c r="A3216" s="63"/>
      <c r="B3216" s="63">
        <v>16</v>
      </c>
      <c r="C3216" s="63" t="s">
        <v>2120</v>
      </c>
      <c r="D3216" s="63" t="s">
        <v>64</v>
      </c>
      <c r="E3216" s="66"/>
      <c r="F3216" s="67">
        <v>3.0000000000000001E-3</v>
      </c>
      <c r="G3216" s="67">
        <v>2E-3</v>
      </c>
      <c r="H3216" s="63"/>
    </row>
    <row r="3217" spans="1:8" x14ac:dyDescent="0.25">
      <c r="A3217" s="63"/>
      <c r="B3217" s="63">
        <v>17</v>
      </c>
      <c r="C3217" s="63" t="s">
        <v>2120</v>
      </c>
      <c r="D3217" s="63" t="s">
        <v>64</v>
      </c>
      <c r="E3217" s="66"/>
      <c r="F3217" s="67">
        <v>3.0000000000000001E-3</v>
      </c>
      <c r="G3217" s="67">
        <v>2E-3</v>
      </c>
      <c r="H3217" s="63"/>
    </row>
    <row r="3218" spans="1:8" x14ac:dyDescent="0.25">
      <c r="A3218" s="63"/>
      <c r="B3218" s="63">
        <v>18</v>
      </c>
      <c r="C3218" s="63" t="s">
        <v>2120</v>
      </c>
      <c r="D3218" s="63" t="s">
        <v>64</v>
      </c>
      <c r="E3218" s="66"/>
      <c r="F3218" s="67">
        <v>3.0000000000000001E-3</v>
      </c>
      <c r="G3218" s="67">
        <v>2E-3</v>
      </c>
      <c r="H3218" s="63"/>
    </row>
    <row r="3219" spans="1:8" x14ac:dyDescent="0.25">
      <c r="A3219" s="63"/>
      <c r="B3219" s="63">
        <v>19</v>
      </c>
      <c r="C3219" s="63" t="s">
        <v>2120</v>
      </c>
      <c r="D3219" s="63" t="s">
        <v>64</v>
      </c>
      <c r="E3219" s="66"/>
      <c r="F3219" s="67">
        <v>3.0000000000000001E-3</v>
      </c>
      <c r="G3219" s="67">
        <v>2E-3</v>
      </c>
      <c r="H3219" s="63"/>
    </row>
    <row r="3220" spans="1:8" x14ac:dyDescent="0.25">
      <c r="A3220" s="63"/>
      <c r="B3220" s="63">
        <v>20</v>
      </c>
      <c r="C3220" s="63" t="s">
        <v>2120</v>
      </c>
      <c r="D3220" s="63" t="s">
        <v>64</v>
      </c>
      <c r="E3220" s="66"/>
      <c r="F3220" s="67">
        <v>3.0000000000000001E-3</v>
      </c>
      <c r="G3220" s="67">
        <v>2E-3</v>
      </c>
      <c r="H3220" s="63"/>
    </row>
    <row r="3221" spans="1:8" x14ac:dyDescent="0.25">
      <c r="A3221" s="63"/>
      <c r="B3221" s="63">
        <v>21</v>
      </c>
      <c r="C3221" s="63" t="s">
        <v>2120</v>
      </c>
      <c r="D3221" s="63" t="s">
        <v>64</v>
      </c>
      <c r="E3221" s="66"/>
      <c r="F3221" s="67">
        <v>3.0000000000000001E-3</v>
      </c>
      <c r="G3221" s="67">
        <v>2E-3</v>
      </c>
      <c r="H3221" s="63"/>
    </row>
    <row r="3222" spans="1:8" x14ac:dyDescent="0.25">
      <c r="A3222" s="63"/>
      <c r="B3222" s="63">
        <v>22</v>
      </c>
      <c r="C3222" s="63" t="s">
        <v>2120</v>
      </c>
      <c r="D3222" s="63" t="s">
        <v>64</v>
      </c>
      <c r="E3222" s="66"/>
      <c r="F3222" s="67">
        <v>3.0000000000000001E-3</v>
      </c>
      <c r="G3222" s="67">
        <v>2E-3</v>
      </c>
      <c r="H3222" s="63"/>
    </row>
    <row r="3223" spans="1:8" x14ac:dyDescent="0.25">
      <c r="A3223" s="63"/>
      <c r="B3223" s="63">
        <v>23</v>
      </c>
      <c r="C3223" s="63" t="s">
        <v>2120</v>
      </c>
      <c r="D3223" s="63" t="s">
        <v>64</v>
      </c>
      <c r="E3223" s="66"/>
      <c r="F3223" s="67">
        <v>3.0000000000000001E-3</v>
      </c>
      <c r="G3223" s="67">
        <v>2E-3</v>
      </c>
      <c r="H3223" s="63"/>
    </row>
    <row r="3224" spans="1:8" x14ac:dyDescent="0.25">
      <c r="A3224" s="63"/>
      <c r="B3224" s="63">
        <v>24</v>
      </c>
      <c r="C3224" s="63" t="s">
        <v>2120</v>
      </c>
      <c r="D3224" s="63" t="s">
        <v>64</v>
      </c>
      <c r="E3224" s="66"/>
      <c r="F3224" s="67">
        <v>3.0000000000000001E-3</v>
      </c>
      <c r="G3224" s="67">
        <v>2E-3</v>
      </c>
      <c r="H3224" s="63"/>
    </row>
    <row r="3225" spans="1:8" x14ac:dyDescent="0.25">
      <c r="A3225" s="63"/>
      <c r="B3225" s="63">
        <v>25</v>
      </c>
      <c r="C3225" s="63" t="s">
        <v>2120</v>
      </c>
      <c r="D3225" s="63" t="s">
        <v>64</v>
      </c>
      <c r="E3225" s="66"/>
      <c r="F3225" s="67">
        <v>3.0000000000000001E-3</v>
      </c>
      <c r="G3225" s="67">
        <v>2E-3</v>
      </c>
      <c r="H3225" s="63"/>
    </row>
    <row r="3226" spans="1:8" x14ac:dyDescent="0.25">
      <c r="A3226" s="63"/>
      <c r="B3226" s="63">
        <v>26</v>
      </c>
      <c r="C3226" s="63" t="s">
        <v>2120</v>
      </c>
      <c r="D3226" s="63" t="s">
        <v>64</v>
      </c>
      <c r="E3226" s="66"/>
      <c r="F3226" s="67">
        <v>3.0000000000000001E-3</v>
      </c>
      <c r="G3226" s="67">
        <v>2E-3</v>
      </c>
      <c r="H3226" s="63"/>
    </row>
    <row r="3227" spans="1:8" x14ac:dyDescent="0.25">
      <c r="A3227" s="63"/>
      <c r="B3227" s="63">
        <v>27</v>
      </c>
      <c r="C3227" s="63" t="s">
        <v>2120</v>
      </c>
      <c r="D3227" s="63" t="s">
        <v>64</v>
      </c>
      <c r="E3227" s="66"/>
      <c r="F3227" s="67">
        <v>3.0000000000000001E-3</v>
      </c>
      <c r="G3227" s="67">
        <v>2E-3</v>
      </c>
      <c r="H3227" s="63"/>
    </row>
    <row r="3228" spans="1:8" x14ac:dyDescent="0.25">
      <c r="A3228" s="63"/>
      <c r="B3228" s="63">
        <v>28</v>
      </c>
      <c r="C3228" s="63" t="s">
        <v>2120</v>
      </c>
      <c r="D3228" s="63" t="s">
        <v>64</v>
      </c>
      <c r="E3228" s="66"/>
      <c r="F3228" s="67">
        <v>3.0000000000000001E-3</v>
      </c>
      <c r="G3228" s="67">
        <v>2E-3</v>
      </c>
      <c r="H3228" s="63"/>
    </row>
    <row r="3229" spans="1:8" x14ac:dyDescent="0.25">
      <c r="A3229" s="63"/>
      <c r="B3229" s="63">
        <v>29</v>
      </c>
      <c r="C3229" s="63" t="s">
        <v>2120</v>
      </c>
      <c r="D3229" s="63" t="s">
        <v>64</v>
      </c>
      <c r="E3229" s="66"/>
      <c r="F3229" s="67">
        <v>3.0000000000000001E-3</v>
      </c>
      <c r="G3229" s="67">
        <v>2E-3</v>
      </c>
      <c r="H3229" s="63"/>
    </row>
    <row r="3230" spans="1:8" x14ac:dyDescent="0.25">
      <c r="A3230" s="63"/>
      <c r="B3230" s="63">
        <v>30</v>
      </c>
      <c r="C3230" s="63" t="s">
        <v>2120</v>
      </c>
      <c r="D3230" s="63" t="s">
        <v>64</v>
      </c>
      <c r="E3230" s="66"/>
      <c r="F3230" s="67">
        <v>3.0000000000000001E-3</v>
      </c>
      <c r="G3230" s="67">
        <v>2E-3</v>
      </c>
      <c r="H3230" s="63"/>
    </row>
    <row r="3231" spans="1:8" x14ac:dyDescent="0.25">
      <c r="A3231" s="63"/>
      <c r="B3231" s="63">
        <v>0</v>
      </c>
      <c r="C3231" s="63" t="s">
        <v>2120</v>
      </c>
      <c r="D3231" s="63" t="s">
        <v>64</v>
      </c>
      <c r="E3231" s="66">
        <v>3.0428788910505911</v>
      </c>
      <c r="F3231" s="67">
        <v>3.0000000000000001E-3</v>
      </c>
      <c r="G3231" s="67">
        <v>2E-3</v>
      </c>
      <c r="H3231" s="63"/>
    </row>
    <row r="3232" spans="1:8" x14ac:dyDescent="0.25">
      <c r="A3232" s="63"/>
      <c r="B3232" s="63">
        <v>0.25</v>
      </c>
      <c r="C3232" s="63" t="s">
        <v>2120</v>
      </c>
      <c r="D3232" s="63" t="s">
        <v>77</v>
      </c>
      <c r="E3232" s="66">
        <v>30.163693149711261</v>
      </c>
      <c r="F3232" s="67">
        <v>3.0000000000000001E-3</v>
      </c>
      <c r="G3232" s="67">
        <v>2E-3</v>
      </c>
      <c r="H3232" s="63"/>
    </row>
    <row r="3233" spans="1:8" x14ac:dyDescent="0.25">
      <c r="A3233" s="63"/>
      <c r="B3233" s="63">
        <v>0.5</v>
      </c>
      <c r="C3233" s="63" t="s">
        <v>2120</v>
      </c>
      <c r="D3233" s="63" t="s">
        <v>77</v>
      </c>
      <c r="E3233" s="66">
        <v>33.192509114131866</v>
      </c>
      <c r="F3233" s="67">
        <v>3.0000000000000001E-3</v>
      </c>
      <c r="G3233" s="67">
        <v>2E-3</v>
      </c>
      <c r="H3233" s="63"/>
    </row>
    <row r="3234" spans="1:8" x14ac:dyDescent="0.25">
      <c r="A3234" s="63"/>
      <c r="B3234" s="63">
        <v>0.75</v>
      </c>
      <c r="C3234" s="63" t="s">
        <v>2120</v>
      </c>
      <c r="D3234" s="63" t="s">
        <v>77</v>
      </c>
      <c r="E3234" s="66">
        <v>36.526068642745422</v>
      </c>
      <c r="F3234" s="67">
        <v>3.0000000000000001E-3</v>
      </c>
      <c r="G3234" s="67">
        <v>2E-3</v>
      </c>
      <c r="H3234" s="63"/>
    </row>
    <row r="3235" spans="1:8" x14ac:dyDescent="0.25">
      <c r="A3235" s="63"/>
      <c r="B3235" s="63">
        <v>1</v>
      </c>
      <c r="C3235" s="63" t="s">
        <v>2120</v>
      </c>
      <c r="D3235" s="63" t="s">
        <v>77</v>
      </c>
      <c r="E3235" s="66">
        <v>38.794130421041068</v>
      </c>
      <c r="F3235" s="67">
        <v>3.0000000000000001E-3</v>
      </c>
      <c r="G3235" s="67">
        <v>2E-3</v>
      </c>
      <c r="H3235" s="63"/>
    </row>
    <row r="3236" spans="1:8" x14ac:dyDescent="0.25">
      <c r="A3236" s="63"/>
      <c r="B3236" s="63">
        <v>2</v>
      </c>
      <c r="C3236" s="63" t="s">
        <v>2120</v>
      </c>
      <c r="D3236" s="63" t="s">
        <v>77</v>
      </c>
      <c r="E3236" s="66">
        <v>46.531403310838051</v>
      </c>
      <c r="F3236" s="67">
        <v>3.0000000000000001E-3</v>
      </c>
      <c r="G3236" s="67">
        <v>2E-3</v>
      </c>
      <c r="H3236" s="63"/>
    </row>
    <row r="3237" spans="1:8" x14ac:dyDescent="0.25">
      <c r="A3237" s="63"/>
      <c r="B3237" s="63">
        <v>3</v>
      </c>
      <c r="C3237" s="63" t="s">
        <v>2120</v>
      </c>
      <c r="D3237" s="63" t="s">
        <v>77</v>
      </c>
      <c r="E3237" s="66">
        <v>59.734036723130217</v>
      </c>
      <c r="F3237" s="67">
        <v>3.0000000000000001E-3</v>
      </c>
      <c r="G3237" s="67">
        <v>2E-3</v>
      </c>
      <c r="H3237" s="63"/>
    </row>
    <row r="3238" spans="1:8" x14ac:dyDescent="0.25">
      <c r="A3238" s="63"/>
      <c r="B3238" s="63">
        <v>4</v>
      </c>
      <c r="C3238" s="63" t="s">
        <v>2120</v>
      </c>
      <c r="D3238" s="63" t="s">
        <v>77</v>
      </c>
      <c r="E3238" s="66">
        <v>69.250211738661022</v>
      </c>
      <c r="F3238" s="67">
        <v>3.0000000000000001E-3</v>
      </c>
      <c r="G3238" s="67">
        <v>2E-3</v>
      </c>
      <c r="H3238" s="63"/>
    </row>
    <row r="3239" spans="1:8" x14ac:dyDescent="0.25">
      <c r="A3239" s="63"/>
      <c r="B3239" s="63">
        <v>5</v>
      </c>
      <c r="C3239" s="63" t="s">
        <v>2120</v>
      </c>
      <c r="D3239" s="63" t="s">
        <v>77</v>
      </c>
      <c r="E3239" s="66">
        <v>78.988852236728007</v>
      </c>
      <c r="F3239" s="67">
        <v>3.0000000000000001E-3</v>
      </c>
      <c r="G3239" s="67">
        <v>2E-3</v>
      </c>
      <c r="H3239" s="63"/>
    </row>
    <row r="3240" spans="1:8" x14ac:dyDescent="0.25">
      <c r="A3240" s="63"/>
      <c r="B3240" s="63">
        <v>6</v>
      </c>
      <c r="C3240" s="63" t="s">
        <v>2120</v>
      </c>
      <c r="D3240" s="63" t="s">
        <v>77</v>
      </c>
      <c r="E3240" s="66">
        <v>88.972204765584763</v>
      </c>
      <c r="F3240" s="67">
        <v>3.0000000000000001E-3</v>
      </c>
      <c r="G3240" s="67">
        <v>2E-3</v>
      </c>
      <c r="H3240" s="63"/>
    </row>
    <row r="3241" spans="1:8" x14ac:dyDescent="0.25">
      <c r="A3241" s="63"/>
      <c r="B3241" s="63">
        <v>7</v>
      </c>
      <c r="C3241" s="63" t="s">
        <v>2120</v>
      </c>
      <c r="D3241" s="63" t="s">
        <v>77</v>
      </c>
      <c r="E3241" s="66">
        <v>99.224740528310235</v>
      </c>
      <c r="F3241" s="67">
        <v>3.0000000000000001E-3</v>
      </c>
      <c r="G3241" s="67">
        <v>2E-3</v>
      </c>
      <c r="H3241" s="63"/>
    </row>
    <row r="3242" spans="1:8" x14ac:dyDescent="0.25">
      <c r="A3242" s="63"/>
      <c r="B3242" s="63">
        <v>8</v>
      </c>
      <c r="C3242" s="63" t="s">
        <v>2120</v>
      </c>
      <c r="D3242" s="63" t="s">
        <v>77</v>
      </c>
      <c r="E3242" s="66">
        <v>109.77337784829137</v>
      </c>
      <c r="F3242" s="67">
        <v>3.0000000000000001E-3</v>
      </c>
      <c r="G3242" s="67">
        <v>2E-3</v>
      </c>
      <c r="H3242" s="63"/>
    </row>
    <row r="3243" spans="1:8" x14ac:dyDescent="0.25">
      <c r="A3243" s="63"/>
      <c r="B3243" s="63">
        <v>9</v>
      </c>
      <c r="C3243" s="63" t="s">
        <v>2120</v>
      </c>
      <c r="D3243" s="63" t="s">
        <v>77</v>
      </c>
      <c r="E3243" s="66">
        <v>120.64772688125366</v>
      </c>
      <c r="F3243" s="67">
        <v>3.0000000000000001E-3</v>
      </c>
      <c r="G3243" s="67">
        <v>2E-3</v>
      </c>
      <c r="H3243" s="63"/>
    </row>
    <row r="3244" spans="1:8" x14ac:dyDescent="0.25">
      <c r="A3244" s="63"/>
      <c r="B3244" s="63">
        <v>10</v>
      </c>
      <c r="C3244" s="63" t="s">
        <v>2120</v>
      </c>
      <c r="D3244" s="63" t="s">
        <v>77</v>
      </c>
      <c r="E3244" s="66">
        <v>132.6969014533978</v>
      </c>
      <c r="F3244" s="67">
        <v>3.0000000000000001E-3</v>
      </c>
      <c r="G3244" s="67">
        <v>2E-3</v>
      </c>
      <c r="H3244" s="63"/>
    </row>
    <row r="3245" spans="1:8" x14ac:dyDescent="0.25">
      <c r="A3245" s="63"/>
      <c r="B3245" s="63">
        <v>11</v>
      </c>
      <c r="C3245" s="63" t="s">
        <v>2120</v>
      </c>
      <c r="D3245" s="63" t="s">
        <v>77</v>
      </c>
      <c r="E3245" s="66"/>
      <c r="F3245" s="67">
        <v>3.0000000000000001E-3</v>
      </c>
      <c r="G3245" s="67">
        <v>2E-3</v>
      </c>
      <c r="H3245" s="63"/>
    </row>
    <row r="3246" spans="1:8" x14ac:dyDescent="0.25">
      <c r="A3246" s="63"/>
      <c r="B3246" s="63">
        <v>12</v>
      </c>
      <c r="C3246" s="63" t="s">
        <v>2120</v>
      </c>
      <c r="D3246" s="63" t="s">
        <v>77</v>
      </c>
      <c r="E3246" s="66"/>
      <c r="F3246" s="67">
        <v>3.0000000000000001E-3</v>
      </c>
      <c r="G3246" s="67">
        <v>2E-3</v>
      </c>
      <c r="H3246" s="63"/>
    </row>
    <row r="3247" spans="1:8" x14ac:dyDescent="0.25">
      <c r="A3247" s="63"/>
      <c r="B3247" s="63">
        <v>13</v>
      </c>
      <c r="C3247" s="63" t="s">
        <v>2120</v>
      </c>
      <c r="D3247" s="63" t="s">
        <v>77</v>
      </c>
      <c r="E3247" s="66"/>
      <c r="F3247" s="67">
        <v>3.0000000000000001E-3</v>
      </c>
      <c r="G3247" s="67">
        <v>2E-3</v>
      </c>
      <c r="H3247" s="63"/>
    </row>
    <row r="3248" spans="1:8" x14ac:dyDescent="0.25">
      <c r="A3248" s="63"/>
      <c r="B3248" s="63">
        <v>14</v>
      </c>
      <c r="C3248" s="63" t="s">
        <v>2120</v>
      </c>
      <c r="D3248" s="63" t="s">
        <v>77</v>
      </c>
      <c r="E3248" s="66"/>
      <c r="F3248" s="67">
        <v>3.0000000000000001E-3</v>
      </c>
      <c r="G3248" s="67">
        <v>2E-3</v>
      </c>
      <c r="H3248" s="63"/>
    </row>
    <row r="3249" spans="1:8" x14ac:dyDescent="0.25">
      <c r="A3249" s="63"/>
      <c r="B3249" s="63">
        <v>15</v>
      </c>
      <c r="C3249" s="63" t="s">
        <v>2120</v>
      </c>
      <c r="D3249" s="63" t="s">
        <v>77</v>
      </c>
      <c r="E3249" s="66"/>
      <c r="F3249" s="67">
        <v>3.0000000000000001E-3</v>
      </c>
      <c r="G3249" s="67">
        <v>2E-3</v>
      </c>
      <c r="H3249" s="63"/>
    </row>
    <row r="3250" spans="1:8" x14ac:dyDescent="0.25">
      <c r="A3250" s="63"/>
      <c r="B3250" s="63">
        <v>16</v>
      </c>
      <c r="C3250" s="63" t="s">
        <v>2120</v>
      </c>
      <c r="D3250" s="63" t="s">
        <v>77</v>
      </c>
      <c r="E3250" s="66"/>
      <c r="F3250" s="67">
        <v>3.0000000000000001E-3</v>
      </c>
      <c r="G3250" s="67">
        <v>2E-3</v>
      </c>
      <c r="H3250" s="63"/>
    </row>
    <row r="3251" spans="1:8" x14ac:dyDescent="0.25">
      <c r="A3251" s="63"/>
      <c r="B3251" s="63">
        <v>17</v>
      </c>
      <c r="C3251" s="63" t="s">
        <v>2120</v>
      </c>
      <c r="D3251" s="63" t="s">
        <v>77</v>
      </c>
      <c r="E3251" s="66"/>
      <c r="F3251" s="67">
        <v>3.0000000000000001E-3</v>
      </c>
      <c r="G3251" s="67">
        <v>2E-3</v>
      </c>
      <c r="H3251" s="63"/>
    </row>
    <row r="3252" spans="1:8" x14ac:dyDescent="0.25">
      <c r="A3252" s="63"/>
      <c r="B3252" s="63">
        <v>18</v>
      </c>
      <c r="C3252" s="63" t="s">
        <v>2120</v>
      </c>
      <c r="D3252" s="63" t="s">
        <v>77</v>
      </c>
      <c r="E3252" s="66"/>
      <c r="F3252" s="67">
        <v>3.0000000000000001E-3</v>
      </c>
      <c r="G3252" s="67">
        <v>2E-3</v>
      </c>
      <c r="H3252" s="63"/>
    </row>
    <row r="3253" spans="1:8" x14ac:dyDescent="0.25">
      <c r="A3253" s="63"/>
      <c r="B3253" s="63">
        <v>19</v>
      </c>
      <c r="C3253" s="63" t="s">
        <v>2120</v>
      </c>
      <c r="D3253" s="63" t="s">
        <v>77</v>
      </c>
      <c r="E3253" s="66"/>
      <c r="F3253" s="67">
        <v>3.0000000000000001E-3</v>
      </c>
      <c r="G3253" s="67">
        <v>2E-3</v>
      </c>
      <c r="H3253" s="63"/>
    </row>
    <row r="3254" spans="1:8" x14ac:dyDescent="0.25">
      <c r="A3254" s="63"/>
      <c r="B3254" s="63">
        <v>20</v>
      </c>
      <c r="C3254" s="63" t="s">
        <v>2120</v>
      </c>
      <c r="D3254" s="63" t="s">
        <v>77</v>
      </c>
      <c r="E3254" s="66"/>
      <c r="F3254" s="67">
        <v>3.0000000000000001E-3</v>
      </c>
      <c r="G3254" s="67">
        <v>2E-3</v>
      </c>
      <c r="H3254" s="63"/>
    </row>
    <row r="3255" spans="1:8" x14ac:dyDescent="0.25">
      <c r="A3255" s="63"/>
      <c r="B3255" s="63">
        <v>21</v>
      </c>
      <c r="C3255" s="63" t="s">
        <v>2120</v>
      </c>
      <c r="D3255" s="63" t="s">
        <v>77</v>
      </c>
      <c r="E3255" s="66"/>
      <c r="F3255" s="67">
        <v>3.0000000000000001E-3</v>
      </c>
      <c r="G3255" s="67">
        <v>2E-3</v>
      </c>
      <c r="H3255" s="63"/>
    </row>
    <row r="3256" spans="1:8" x14ac:dyDescent="0.25">
      <c r="A3256" s="63"/>
      <c r="B3256" s="63">
        <v>22</v>
      </c>
      <c r="C3256" s="63" t="s">
        <v>2120</v>
      </c>
      <c r="D3256" s="63" t="s">
        <v>77</v>
      </c>
      <c r="E3256" s="66"/>
      <c r="F3256" s="67">
        <v>3.0000000000000001E-3</v>
      </c>
      <c r="G3256" s="67">
        <v>2E-3</v>
      </c>
      <c r="H3256" s="63"/>
    </row>
    <row r="3257" spans="1:8" x14ac:dyDescent="0.25">
      <c r="A3257" s="63"/>
      <c r="B3257" s="63">
        <v>23</v>
      </c>
      <c r="C3257" s="63" t="s">
        <v>2120</v>
      </c>
      <c r="D3257" s="63" t="s">
        <v>77</v>
      </c>
      <c r="E3257" s="66"/>
      <c r="F3257" s="67">
        <v>3.0000000000000001E-3</v>
      </c>
      <c r="G3257" s="67">
        <v>2E-3</v>
      </c>
      <c r="H3257" s="63"/>
    </row>
    <row r="3258" spans="1:8" x14ac:dyDescent="0.25">
      <c r="A3258" s="63"/>
      <c r="B3258" s="63">
        <v>24</v>
      </c>
      <c r="C3258" s="63" t="s">
        <v>2120</v>
      </c>
      <c r="D3258" s="63" t="s">
        <v>77</v>
      </c>
      <c r="E3258" s="66"/>
      <c r="F3258" s="67">
        <v>3.0000000000000001E-3</v>
      </c>
      <c r="G3258" s="67">
        <v>2E-3</v>
      </c>
      <c r="H3258" s="63"/>
    </row>
    <row r="3259" spans="1:8" x14ac:dyDescent="0.25">
      <c r="A3259" s="63"/>
      <c r="B3259" s="63">
        <v>25</v>
      </c>
      <c r="C3259" s="63" t="s">
        <v>2120</v>
      </c>
      <c r="D3259" s="63" t="s">
        <v>77</v>
      </c>
      <c r="E3259" s="66"/>
      <c r="F3259" s="67">
        <v>3.0000000000000001E-3</v>
      </c>
      <c r="G3259" s="67">
        <v>2E-3</v>
      </c>
      <c r="H3259" s="63"/>
    </row>
    <row r="3260" spans="1:8" x14ac:dyDescent="0.25">
      <c r="A3260" s="63"/>
      <c r="B3260" s="63">
        <v>26</v>
      </c>
      <c r="C3260" s="63" t="s">
        <v>2120</v>
      </c>
      <c r="D3260" s="63" t="s">
        <v>77</v>
      </c>
      <c r="E3260" s="66"/>
      <c r="F3260" s="67">
        <v>3.0000000000000001E-3</v>
      </c>
      <c r="G3260" s="67">
        <v>2E-3</v>
      </c>
      <c r="H3260" s="63"/>
    </row>
    <row r="3261" spans="1:8" x14ac:dyDescent="0.25">
      <c r="A3261" s="63"/>
      <c r="B3261" s="63">
        <v>27</v>
      </c>
      <c r="C3261" s="63" t="s">
        <v>2120</v>
      </c>
      <c r="D3261" s="63" t="s">
        <v>77</v>
      </c>
      <c r="E3261" s="66"/>
      <c r="F3261" s="67">
        <v>3.0000000000000001E-3</v>
      </c>
      <c r="G3261" s="67">
        <v>2E-3</v>
      </c>
      <c r="H3261" s="63"/>
    </row>
    <row r="3262" spans="1:8" x14ac:dyDescent="0.25">
      <c r="A3262" s="63"/>
      <c r="B3262" s="63">
        <v>28</v>
      </c>
      <c r="C3262" s="63" t="s">
        <v>2120</v>
      </c>
      <c r="D3262" s="63" t="s">
        <v>77</v>
      </c>
      <c r="E3262" s="66"/>
      <c r="F3262" s="67">
        <v>3.0000000000000001E-3</v>
      </c>
      <c r="G3262" s="67">
        <v>2E-3</v>
      </c>
      <c r="H3262" s="63"/>
    </row>
    <row r="3263" spans="1:8" x14ac:dyDescent="0.25">
      <c r="A3263" s="63"/>
      <c r="B3263" s="63">
        <v>29</v>
      </c>
      <c r="C3263" s="63" t="s">
        <v>2120</v>
      </c>
      <c r="D3263" s="63" t="s">
        <v>77</v>
      </c>
      <c r="E3263" s="66"/>
      <c r="F3263" s="67">
        <v>3.0000000000000001E-3</v>
      </c>
      <c r="G3263" s="67">
        <v>2E-3</v>
      </c>
      <c r="H3263" s="63"/>
    </row>
    <row r="3264" spans="1:8" x14ac:dyDescent="0.25">
      <c r="A3264" s="63"/>
      <c r="B3264" s="63">
        <v>30</v>
      </c>
      <c r="C3264" s="63" t="s">
        <v>2120</v>
      </c>
      <c r="D3264" s="63" t="s">
        <v>77</v>
      </c>
      <c r="E3264" s="66"/>
      <c r="F3264" s="67">
        <v>3.0000000000000001E-3</v>
      </c>
      <c r="G3264" s="67">
        <v>2E-3</v>
      </c>
      <c r="H3264" s="63"/>
    </row>
    <row r="3265" spans="1:8" x14ac:dyDescent="0.25">
      <c r="A3265" s="63"/>
      <c r="B3265" s="63">
        <v>0</v>
      </c>
      <c r="C3265" s="63" t="s">
        <v>2120</v>
      </c>
      <c r="D3265" s="63" t="s">
        <v>77</v>
      </c>
      <c r="E3265" s="66">
        <v>3.0428788910505911</v>
      </c>
      <c r="F3265" s="67">
        <v>3.0000000000000001E-3</v>
      </c>
      <c r="G3265" s="67">
        <v>2E-3</v>
      </c>
      <c r="H3265" s="63"/>
    </row>
    <row r="3266" spans="1:8" x14ac:dyDescent="0.25">
      <c r="A3266" s="63"/>
      <c r="B3266" s="63">
        <v>0.25</v>
      </c>
      <c r="C3266" s="63" t="s">
        <v>3213</v>
      </c>
      <c r="D3266" s="63" t="s">
        <v>21</v>
      </c>
      <c r="E3266" s="66">
        <v>14.217973506544523</v>
      </c>
      <c r="F3266" s="67">
        <v>3.0000000000000001E-3</v>
      </c>
      <c r="G3266" s="67">
        <v>2E-3</v>
      </c>
      <c r="H3266" s="63"/>
    </row>
    <row r="3267" spans="1:8" x14ac:dyDescent="0.25">
      <c r="A3267" s="63"/>
      <c r="B3267" s="63">
        <v>0.5</v>
      </c>
      <c r="C3267" s="63" t="s">
        <v>3213</v>
      </c>
      <c r="D3267" s="63" t="s">
        <v>21</v>
      </c>
      <c r="E3267" s="66">
        <v>15.355348895444271</v>
      </c>
      <c r="F3267" s="67">
        <v>3.0000000000000001E-3</v>
      </c>
      <c r="G3267" s="67">
        <v>2E-3</v>
      </c>
      <c r="H3267" s="63"/>
    </row>
    <row r="3268" spans="1:8" x14ac:dyDescent="0.25">
      <c r="A3268" s="63"/>
      <c r="B3268" s="63">
        <v>0.75</v>
      </c>
      <c r="C3268" s="63" t="s">
        <v>3213</v>
      </c>
      <c r="D3268" s="63" t="s">
        <v>21</v>
      </c>
      <c r="E3268" s="66">
        <v>16.422507378035252</v>
      </c>
      <c r="F3268" s="67">
        <v>3.0000000000000001E-3</v>
      </c>
      <c r="G3268" s="67">
        <v>2E-3</v>
      </c>
      <c r="H3268" s="63"/>
    </row>
    <row r="3269" spans="1:8" x14ac:dyDescent="0.25">
      <c r="A3269" s="63"/>
      <c r="B3269" s="63">
        <v>1</v>
      </c>
      <c r="C3269" s="63" t="s">
        <v>3213</v>
      </c>
      <c r="D3269" s="63" t="s">
        <v>21</v>
      </c>
      <c r="E3269" s="66">
        <v>17.760056645327413</v>
      </c>
      <c r="F3269" s="67">
        <v>3.0000000000000001E-3</v>
      </c>
      <c r="G3269" s="67">
        <v>2E-3</v>
      </c>
      <c r="H3269" s="63"/>
    </row>
    <row r="3270" spans="1:8" x14ac:dyDescent="0.25">
      <c r="A3270" s="63"/>
      <c r="B3270" s="63">
        <v>2</v>
      </c>
      <c r="C3270" s="63" t="s">
        <v>3213</v>
      </c>
      <c r="D3270" s="63" t="s">
        <v>21</v>
      </c>
      <c r="E3270" s="66">
        <v>21.621376945403487</v>
      </c>
      <c r="F3270" s="67">
        <v>3.0000000000000001E-3</v>
      </c>
      <c r="G3270" s="67">
        <v>2E-3</v>
      </c>
      <c r="H3270" s="63"/>
    </row>
    <row r="3271" spans="1:8" x14ac:dyDescent="0.25">
      <c r="A3271" s="63"/>
      <c r="B3271" s="63">
        <v>3</v>
      </c>
      <c r="C3271" s="63" t="s">
        <v>3213</v>
      </c>
      <c r="D3271" s="63" t="s">
        <v>21</v>
      </c>
      <c r="E3271" s="66">
        <v>29.426603470019408</v>
      </c>
      <c r="F3271" s="67">
        <v>3.0000000000000001E-3</v>
      </c>
      <c r="G3271" s="67">
        <v>2E-3</v>
      </c>
      <c r="H3271" s="63"/>
    </row>
    <row r="3272" spans="1:8" x14ac:dyDescent="0.25">
      <c r="A3272" s="63"/>
      <c r="B3272" s="63">
        <v>4</v>
      </c>
      <c r="C3272" s="63" t="s">
        <v>3213</v>
      </c>
      <c r="D3272" s="63" t="s">
        <v>21</v>
      </c>
      <c r="E3272" s="66">
        <v>37.585878323945025</v>
      </c>
      <c r="F3272" s="67">
        <v>3.0000000000000001E-3</v>
      </c>
      <c r="G3272" s="67">
        <v>2E-3</v>
      </c>
      <c r="H3272" s="63"/>
    </row>
    <row r="3273" spans="1:8" x14ac:dyDescent="0.25">
      <c r="A3273" s="63"/>
      <c r="B3273" s="63">
        <v>5</v>
      </c>
      <c r="C3273" s="63" t="s">
        <v>3213</v>
      </c>
      <c r="D3273" s="63" t="s">
        <v>21</v>
      </c>
      <c r="E3273" s="66">
        <v>45.832319199480175</v>
      </c>
      <c r="F3273" s="67">
        <v>3.0000000000000001E-3</v>
      </c>
      <c r="G3273" s="67">
        <v>2E-3</v>
      </c>
      <c r="H3273" s="63"/>
    </row>
    <row r="3274" spans="1:8" x14ac:dyDescent="0.25">
      <c r="A3274" s="63"/>
      <c r="B3274" s="63">
        <v>6</v>
      </c>
      <c r="C3274" s="63" t="s">
        <v>3213</v>
      </c>
      <c r="D3274" s="63" t="s">
        <v>21</v>
      </c>
      <c r="E3274" s="66">
        <v>55.282096125177112</v>
      </c>
      <c r="F3274" s="67">
        <v>3.0000000000000001E-3</v>
      </c>
      <c r="G3274" s="67">
        <v>2E-3</v>
      </c>
      <c r="H3274" s="63"/>
    </row>
    <row r="3275" spans="1:8" x14ac:dyDescent="0.25">
      <c r="A3275" s="63"/>
      <c r="B3275" s="63">
        <v>7</v>
      </c>
      <c r="C3275" s="63" t="s">
        <v>3213</v>
      </c>
      <c r="D3275" s="63" t="s">
        <v>21</v>
      </c>
      <c r="E3275" s="66">
        <v>63.346020168873935</v>
      </c>
      <c r="F3275" s="67">
        <v>3.0000000000000001E-3</v>
      </c>
      <c r="G3275" s="67">
        <v>2E-3</v>
      </c>
      <c r="H3275" s="63"/>
    </row>
    <row r="3276" spans="1:8" x14ac:dyDescent="0.25">
      <c r="A3276" s="63"/>
      <c r="B3276" s="63">
        <v>8</v>
      </c>
      <c r="C3276" s="63" t="s">
        <v>3213</v>
      </c>
      <c r="D3276" s="63" t="s">
        <v>21</v>
      </c>
      <c r="E3276" s="66">
        <v>71.510984576340093</v>
      </c>
      <c r="F3276" s="67">
        <v>3.0000000000000001E-3</v>
      </c>
      <c r="G3276" s="67">
        <v>2E-3</v>
      </c>
      <c r="H3276" s="63"/>
    </row>
    <row r="3277" spans="1:8" x14ac:dyDescent="0.25">
      <c r="A3277" s="63"/>
      <c r="B3277" s="63">
        <v>9</v>
      </c>
      <c r="C3277" s="63" t="s">
        <v>3213</v>
      </c>
      <c r="D3277" s="63" t="s">
        <v>21</v>
      </c>
      <c r="E3277" s="66">
        <v>79.787093383952481</v>
      </c>
      <c r="F3277" s="67">
        <v>3.0000000000000001E-3</v>
      </c>
      <c r="G3277" s="67">
        <v>2E-3</v>
      </c>
      <c r="H3277" s="63"/>
    </row>
    <row r="3278" spans="1:8" x14ac:dyDescent="0.25">
      <c r="A3278" s="63"/>
      <c r="B3278" s="63">
        <v>10</v>
      </c>
      <c r="C3278" s="63" t="s">
        <v>3213</v>
      </c>
      <c r="D3278" s="63" t="s">
        <v>21</v>
      </c>
      <c r="E3278" s="66">
        <v>87.551461617748672</v>
      </c>
      <c r="F3278" s="67">
        <v>3.0000000000000001E-3</v>
      </c>
      <c r="G3278" s="67">
        <v>2E-3</v>
      </c>
      <c r="H3278" s="63"/>
    </row>
    <row r="3279" spans="1:8" x14ac:dyDescent="0.25">
      <c r="A3279" s="63"/>
      <c r="B3279" s="63">
        <v>11</v>
      </c>
      <c r="C3279" s="63" t="s">
        <v>3213</v>
      </c>
      <c r="D3279" s="63" t="s">
        <v>21</v>
      </c>
      <c r="E3279" s="66"/>
      <c r="F3279" s="67">
        <v>3.0000000000000001E-3</v>
      </c>
      <c r="G3279" s="67">
        <v>2E-3</v>
      </c>
      <c r="H3279" s="63"/>
    </row>
    <row r="3280" spans="1:8" x14ac:dyDescent="0.25">
      <c r="A3280" s="63"/>
      <c r="B3280" s="63">
        <v>12</v>
      </c>
      <c r="C3280" s="63" t="s">
        <v>3213</v>
      </c>
      <c r="D3280" s="63" t="s">
        <v>21</v>
      </c>
      <c r="E3280" s="66"/>
      <c r="F3280" s="67">
        <v>3.0000000000000001E-3</v>
      </c>
      <c r="G3280" s="67">
        <v>2E-3</v>
      </c>
      <c r="H3280" s="63"/>
    </row>
    <row r="3281" spans="1:8" x14ac:dyDescent="0.25">
      <c r="A3281" s="63"/>
      <c r="B3281" s="63">
        <v>13</v>
      </c>
      <c r="C3281" s="63" t="s">
        <v>3213</v>
      </c>
      <c r="D3281" s="63" t="s">
        <v>21</v>
      </c>
      <c r="E3281" s="66"/>
      <c r="F3281" s="67">
        <v>3.0000000000000001E-3</v>
      </c>
      <c r="G3281" s="67">
        <v>2E-3</v>
      </c>
      <c r="H3281" s="63"/>
    </row>
    <row r="3282" spans="1:8" x14ac:dyDescent="0.25">
      <c r="A3282" s="63"/>
      <c r="B3282" s="63">
        <v>14</v>
      </c>
      <c r="C3282" s="63" t="s">
        <v>3213</v>
      </c>
      <c r="D3282" s="63" t="s">
        <v>21</v>
      </c>
      <c r="E3282" s="66"/>
      <c r="F3282" s="67">
        <v>3.0000000000000001E-3</v>
      </c>
      <c r="G3282" s="67">
        <v>2E-3</v>
      </c>
      <c r="H3282" s="63"/>
    </row>
    <row r="3283" spans="1:8" x14ac:dyDescent="0.25">
      <c r="A3283" s="63"/>
      <c r="B3283" s="63">
        <v>15</v>
      </c>
      <c r="C3283" s="63" t="s">
        <v>3213</v>
      </c>
      <c r="D3283" s="63" t="s">
        <v>21</v>
      </c>
      <c r="E3283" s="66"/>
      <c r="F3283" s="67">
        <v>3.0000000000000001E-3</v>
      </c>
      <c r="G3283" s="67">
        <v>2E-3</v>
      </c>
      <c r="H3283" s="63"/>
    </row>
    <row r="3284" spans="1:8" x14ac:dyDescent="0.25">
      <c r="A3284" s="63"/>
      <c r="B3284" s="63">
        <v>16</v>
      </c>
      <c r="C3284" s="63" t="s">
        <v>3213</v>
      </c>
      <c r="D3284" s="63" t="s">
        <v>21</v>
      </c>
      <c r="E3284" s="66"/>
      <c r="F3284" s="67">
        <v>3.0000000000000001E-3</v>
      </c>
      <c r="G3284" s="67">
        <v>2E-3</v>
      </c>
      <c r="H3284" s="63"/>
    </row>
    <row r="3285" spans="1:8" x14ac:dyDescent="0.25">
      <c r="A3285" s="63"/>
      <c r="B3285" s="63">
        <v>17</v>
      </c>
      <c r="C3285" s="63" t="s">
        <v>3213</v>
      </c>
      <c r="D3285" s="63" t="s">
        <v>21</v>
      </c>
      <c r="E3285" s="66"/>
      <c r="F3285" s="67">
        <v>3.0000000000000001E-3</v>
      </c>
      <c r="G3285" s="67">
        <v>2E-3</v>
      </c>
      <c r="H3285" s="63"/>
    </row>
    <row r="3286" spans="1:8" x14ac:dyDescent="0.25">
      <c r="A3286" s="63"/>
      <c r="B3286" s="63">
        <v>18</v>
      </c>
      <c r="C3286" s="63" t="s">
        <v>3213</v>
      </c>
      <c r="D3286" s="63" t="s">
        <v>21</v>
      </c>
      <c r="E3286" s="66"/>
      <c r="F3286" s="67">
        <v>3.0000000000000001E-3</v>
      </c>
      <c r="G3286" s="67">
        <v>2E-3</v>
      </c>
      <c r="H3286" s="63"/>
    </row>
    <row r="3287" spans="1:8" x14ac:dyDescent="0.25">
      <c r="A3287" s="63"/>
      <c r="B3287" s="63">
        <v>19</v>
      </c>
      <c r="C3287" s="63" t="s">
        <v>3213</v>
      </c>
      <c r="D3287" s="63" t="s">
        <v>21</v>
      </c>
      <c r="E3287" s="66"/>
      <c r="F3287" s="67">
        <v>3.0000000000000001E-3</v>
      </c>
      <c r="G3287" s="67">
        <v>2E-3</v>
      </c>
      <c r="H3287" s="63"/>
    </row>
    <row r="3288" spans="1:8" x14ac:dyDescent="0.25">
      <c r="A3288" s="63"/>
      <c r="B3288" s="63">
        <v>20</v>
      </c>
      <c r="C3288" s="63" t="s">
        <v>3213</v>
      </c>
      <c r="D3288" s="63" t="s">
        <v>21</v>
      </c>
      <c r="E3288" s="66"/>
      <c r="F3288" s="67">
        <v>3.0000000000000001E-3</v>
      </c>
      <c r="G3288" s="67">
        <v>2E-3</v>
      </c>
      <c r="H3288" s="63"/>
    </row>
    <row r="3289" spans="1:8" x14ac:dyDescent="0.25">
      <c r="A3289" s="63"/>
      <c r="B3289" s="63">
        <v>21</v>
      </c>
      <c r="C3289" s="63" t="s">
        <v>3213</v>
      </c>
      <c r="D3289" s="63" t="s">
        <v>21</v>
      </c>
      <c r="E3289" s="66"/>
      <c r="F3289" s="67">
        <v>3.0000000000000001E-3</v>
      </c>
      <c r="G3289" s="67">
        <v>2E-3</v>
      </c>
      <c r="H3289" s="63"/>
    </row>
    <row r="3290" spans="1:8" x14ac:dyDescent="0.25">
      <c r="A3290" s="63"/>
      <c r="B3290" s="63">
        <v>22</v>
      </c>
      <c r="C3290" s="63" t="s">
        <v>3213</v>
      </c>
      <c r="D3290" s="63" t="s">
        <v>21</v>
      </c>
      <c r="E3290" s="66"/>
      <c r="F3290" s="67">
        <v>3.0000000000000001E-3</v>
      </c>
      <c r="G3290" s="67">
        <v>2E-3</v>
      </c>
      <c r="H3290" s="63"/>
    </row>
    <row r="3291" spans="1:8" x14ac:dyDescent="0.25">
      <c r="A3291" s="63"/>
      <c r="B3291" s="63">
        <v>23</v>
      </c>
      <c r="C3291" s="63" t="s">
        <v>3213</v>
      </c>
      <c r="D3291" s="63" t="s">
        <v>21</v>
      </c>
      <c r="E3291" s="66"/>
      <c r="F3291" s="67">
        <v>3.0000000000000001E-3</v>
      </c>
      <c r="G3291" s="67">
        <v>2E-3</v>
      </c>
      <c r="H3291" s="63"/>
    </row>
    <row r="3292" spans="1:8" x14ac:dyDescent="0.25">
      <c r="A3292" s="63"/>
      <c r="B3292" s="63">
        <v>24</v>
      </c>
      <c r="C3292" s="63" t="s">
        <v>3213</v>
      </c>
      <c r="D3292" s="63" t="s">
        <v>21</v>
      </c>
      <c r="E3292" s="66"/>
      <c r="F3292" s="67">
        <v>3.0000000000000001E-3</v>
      </c>
      <c r="G3292" s="67">
        <v>2E-3</v>
      </c>
      <c r="H3292" s="63"/>
    </row>
    <row r="3293" spans="1:8" x14ac:dyDescent="0.25">
      <c r="A3293" s="63"/>
      <c r="B3293" s="63">
        <v>25</v>
      </c>
      <c r="C3293" s="63" t="s">
        <v>3213</v>
      </c>
      <c r="D3293" s="63" t="s">
        <v>21</v>
      </c>
      <c r="E3293" s="66"/>
      <c r="F3293" s="67">
        <v>3.0000000000000001E-3</v>
      </c>
      <c r="G3293" s="67">
        <v>2E-3</v>
      </c>
      <c r="H3293" s="63"/>
    </row>
    <row r="3294" spans="1:8" x14ac:dyDescent="0.25">
      <c r="A3294" s="63"/>
      <c r="B3294" s="63">
        <v>26</v>
      </c>
      <c r="C3294" s="63" t="s">
        <v>3213</v>
      </c>
      <c r="D3294" s="63" t="s">
        <v>21</v>
      </c>
      <c r="E3294" s="66"/>
      <c r="F3294" s="67">
        <v>3.0000000000000001E-3</v>
      </c>
      <c r="G3294" s="67">
        <v>2E-3</v>
      </c>
      <c r="H3294" s="63"/>
    </row>
    <row r="3295" spans="1:8" x14ac:dyDescent="0.25">
      <c r="A3295" s="63"/>
      <c r="B3295" s="63">
        <v>27</v>
      </c>
      <c r="C3295" s="63" t="s">
        <v>3213</v>
      </c>
      <c r="D3295" s="63" t="s">
        <v>21</v>
      </c>
      <c r="E3295" s="66"/>
      <c r="F3295" s="67">
        <v>3.0000000000000001E-3</v>
      </c>
      <c r="G3295" s="67">
        <v>2E-3</v>
      </c>
      <c r="H3295" s="63"/>
    </row>
    <row r="3296" spans="1:8" x14ac:dyDescent="0.25">
      <c r="A3296" s="63"/>
      <c r="B3296" s="63">
        <v>28</v>
      </c>
      <c r="C3296" s="63" t="s">
        <v>3213</v>
      </c>
      <c r="D3296" s="63" t="s">
        <v>21</v>
      </c>
      <c r="E3296" s="66"/>
      <c r="F3296" s="67">
        <v>3.0000000000000001E-3</v>
      </c>
      <c r="G3296" s="67">
        <v>2E-3</v>
      </c>
      <c r="H3296" s="63"/>
    </row>
    <row r="3297" spans="1:8" x14ac:dyDescent="0.25">
      <c r="A3297" s="63"/>
      <c r="B3297" s="63">
        <v>29</v>
      </c>
      <c r="C3297" s="63" t="s">
        <v>3213</v>
      </c>
      <c r="D3297" s="63" t="s">
        <v>21</v>
      </c>
      <c r="E3297" s="66"/>
      <c r="F3297" s="67">
        <v>3.0000000000000001E-3</v>
      </c>
      <c r="G3297" s="67">
        <v>2E-3</v>
      </c>
      <c r="H3297" s="63"/>
    </row>
    <row r="3298" spans="1:8" x14ac:dyDescent="0.25">
      <c r="A3298" s="63"/>
      <c r="B3298" s="63">
        <v>30</v>
      </c>
      <c r="C3298" s="63" t="s">
        <v>3213</v>
      </c>
      <c r="D3298" s="63" t="s">
        <v>21</v>
      </c>
      <c r="E3298" s="66"/>
      <c r="F3298" s="67">
        <v>3.0000000000000001E-3</v>
      </c>
      <c r="G3298" s="67">
        <v>2E-3</v>
      </c>
      <c r="H3298" s="63"/>
    </row>
    <row r="3299" spans="1:8" x14ac:dyDescent="0.25">
      <c r="A3299" s="63"/>
      <c r="B3299" s="63">
        <v>0</v>
      </c>
      <c r="C3299" s="63" t="s">
        <v>3213</v>
      </c>
      <c r="D3299" s="63" t="s">
        <v>21</v>
      </c>
      <c r="E3299" s="66">
        <v>3.0428788910505911</v>
      </c>
      <c r="F3299" s="67">
        <v>3.0000000000000001E-3</v>
      </c>
      <c r="G3299" s="67">
        <v>2E-3</v>
      </c>
      <c r="H3299" s="63"/>
    </row>
    <row r="3300" spans="1:8" x14ac:dyDescent="0.25">
      <c r="A3300" s="63"/>
      <c r="B3300" s="63">
        <v>0.25</v>
      </c>
      <c r="C3300" s="63" t="s">
        <v>3213</v>
      </c>
      <c r="D3300" s="63" t="s">
        <v>62</v>
      </c>
      <c r="E3300" s="66">
        <v>19.350325219569864</v>
      </c>
      <c r="F3300" s="67">
        <v>3.0000000000000001E-3</v>
      </c>
      <c r="G3300" s="67">
        <v>2E-3</v>
      </c>
      <c r="H3300" s="63"/>
    </row>
    <row r="3301" spans="1:8" x14ac:dyDescent="0.25">
      <c r="A3301" s="63"/>
      <c r="B3301" s="63">
        <v>0.5</v>
      </c>
      <c r="C3301" s="63" t="s">
        <v>3213</v>
      </c>
      <c r="D3301" s="63" t="s">
        <v>62</v>
      </c>
      <c r="E3301" s="66">
        <v>21.236423757715794</v>
      </c>
      <c r="F3301" s="67">
        <v>3.0000000000000001E-3</v>
      </c>
      <c r="G3301" s="67">
        <v>2E-3</v>
      </c>
      <c r="H3301" s="63"/>
    </row>
    <row r="3302" spans="1:8" x14ac:dyDescent="0.25">
      <c r="A3302" s="63"/>
      <c r="B3302" s="63">
        <v>0.75</v>
      </c>
      <c r="C3302" s="63" t="s">
        <v>3213</v>
      </c>
      <c r="D3302" s="63" t="s">
        <v>62</v>
      </c>
      <c r="E3302" s="66">
        <v>23.412011215821156</v>
      </c>
      <c r="F3302" s="67">
        <v>3.0000000000000001E-3</v>
      </c>
      <c r="G3302" s="67">
        <v>2E-3</v>
      </c>
      <c r="H3302" s="63"/>
    </row>
    <row r="3303" spans="1:8" x14ac:dyDescent="0.25">
      <c r="A3303" s="63"/>
      <c r="B3303" s="63">
        <v>1</v>
      </c>
      <c r="C3303" s="63" t="s">
        <v>3213</v>
      </c>
      <c r="D3303" s="63" t="s">
        <v>62</v>
      </c>
      <c r="E3303" s="66">
        <v>26.602346057727168</v>
      </c>
      <c r="F3303" s="67">
        <v>3.0000000000000001E-3</v>
      </c>
      <c r="G3303" s="67">
        <v>2E-3</v>
      </c>
      <c r="H3303" s="63"/>
    </row>
    <row r="3304" spans="1:8" x14ac:dyDescent="0.25">
      <c r="A3304" s="63"/>
      <c r="B3304" s="63">
        <v>2</v>
      </c>
      <c r="C3304" s="63" t="s">
        <v>3213</v>
      </c>
      <c r="D3304" s="63" t="s">
        <v>62</v>
      </c>
      <c r="E3304" s="66">
        <v>32.175039039197578</v>
      </c>
      <c r="F3304" s="67">
        <v>3.0000000000000001E-3</v>
      </c>
      <c r="G3304" s="67">
        <v>2E-3</v>
      </c>
      <c r="H3304" s="63"/>
    </row>
    <row r="3305" spans="1:8" x14ac:dyDescent="0.25">
      <c r="A3305" s="63"/>
      <c r="B3305" s="63">
        <v>3</v>
      </c>
      <c r="C3305" s="63" t="s">
        <v>3213</v>
      </c>
      <c r="D3305" s="63" t="s">
        <v>62</v>
      </c>
      <c r="E3305" s="66">
        <v>38.477190222688968</v>
      </c>
      <c r="F3305" s="67">
        <v>3.0000000000000001E-3</v>
      </c>
      <c r="G3305" s="67">
        <v>2E-3</v>
      </c>
      <c r="H3305" s="63"/>
    </row>
    <row r="3306" spans="1:8" x14ac:dyDescent="0.25">
      <c r="A3306" s="63"/>
      <c r="B3306" s="63">
        <v>4</v>
      </c>
      <c r="C3306" s="63" t="s">
        <v>3213</v>
      </c>
      <c r="D3306" s="63" t="s">
        <v>62</v>
      </c>
      <c r="E3306" s="66">
        <v>46.072905764910679</v>
      </c>
      <c r="F3306" s="67">
        <v>3.0000000000000001E-3</v>
      </c>
      <c r="G3306" s="67">
        <v>2E-3</v>
      </c>
      <c r="H3306" s="63"/>
    </row>
    <row r="3307" spans="1:8" x14ac:dyDescent="0.25">
      <c r="A3307" s="63"/>
      <c r="B3307" s="63">
        <v>5</v>
      </c>
      <c r="C3307" s="63" t="s">
        <v>3213</v>
      </c>
      <c r="D3307" s="63" t="s">
        <v>62</v>
      </c>
      <c r="E3307" s="66">
        <v>52.857194265747438</v>
      </c>
      <c r="F3307" s="67">
        <v>3.0000000000000001E-3</v>
      </c>
      <c r="G3307" s="67">
        <v>2E-3</v>
      </c>
      <c r="H3307" s="63"/>
    </row>
    <row r="3308" spans="1:8" x14ac:dyDescent="0.25">
      <c r="A3308" s="63"/>
      <c r="B3308" s="63">
        <v>6</v>
      </c>
      <c r="C3308" s="63" t="s">
        <v>3213</v>
      </c>
      <c r="D3308" s="63" t="s">
        <v>62</v>
      </c>
      <c r="E3308" s="66">
        <v>60.075973585900336</v>
      </c>
      <c r="F3308" s="67">
        <v>3.0000000000000001E-3</v>
      </c>
      <c r="G3308" s="67">
        <v>2E-3</v>
      </c>
      <c r="H3308" s="63"/>
    </row>
    <row r="3309" spans="1:8" x14ac:dyDescent="0.25">
      <c r="A3309" s="63"/>
      <c r="B3309" s="63">
        <v>7</v>
      </c>
      <c r="C3309" s="63" t="s">
        <v>3213</v>
      </c>
      <c r="D3309" s="63" t="s">
        <v>62</v>
      </c>
      <c r="E3309" s="66">
        <v>67.207660715359779</v>
      </c>
      <c r="F3309" s="67">
        <v>3.0000000000000001E-3</v>
      </c>
      <c r="G3309" s="67">
        <v>2E-3</v>
      </c>
      <c r="H3309" s="63"/>
    </row>
    <row r="3310" spans="1:8" x14ac:dyDescent="0.25">
      <c r="A3310" s="63"/>
      <c r="B3310" s="63">
        <v>8</v>
      </c>
      <c r="C3310" s="63" t="s">
        <v>3213</v>
      </c>
      <c r="D3310" s="63" t="s">
        <v>62</v>
      </c>
      <c r="E3310" s="66">
        <v>74.765164496289444</v>
      </c>
      <c r="F3310" s="67">
        <v>3.0000000000000001E-3</v>
      </c>
      <c r="G3310" s="67">
        <v>2E-3</v>
      </c>
      <c r="H3310" s="63"/>
    </row>
    <row r="3311" spans="1:8" x14ac:dyDescent="0.25">
      <c r="A3311" s="63"/>
      <c r="B3311" s="63">
        <v>9</v>
      </c>
      <c r="C3311" s="63" t="s">
        <v>3213</v>
      </c>
      <c r="D3311" s="63" t="s">
        <v>62</v>
      </c>
      <c r="E3311" s="66">
        <v>82.787429668365718</v>
      </c>
      <c r="F3311" s="67">
        <v>3.0000000000000001E-3</v>
      </c>
      <c r="G3311" s="67">
        <v>2E-3</v>
      </c>
      <c r="H3311" s="63"/>
    </row>
    <row r="3312" spans="1:8" x14ac:dyDescent="0.25">
      <c r="A3312" s="63"/>
      <c r="B3312" s="63">
        <v>10</v>
      </c>
      <c r="C3312" s="63" t="s">
        <v>3213</v>
      </c>
      <c r="D3312" s="63" t="s">
        <v>62</v>
      </c>
      <c r="E3312" s="66">
        <v>90.699158794373588</v>
      </c>
      <c r="F3312" s="67">
        <v>3.0000000000000001E-3</v>
      </c>
      <c r="G3312" s="67">
        <v>2E-3</v>
      </c>
      <c r="H3312" s="63"/>
    </row>
    <row r="3313" spans="1:8" x14ac:dyDescent="0.25">
      <c r="A3313" s="63"/>
      <c r="B3313" s="63">
        <v>11</v>
      </c>
      <c r="C3313" s="63" t="s">
        <v>3213</v>
      </c>
      <c r="D3313" s="63" t="s">
        <v>62</v>
      </c>
      <c r="E3313" s="66"/>
      <c r="F3313" s="67">
        <v>3.0000000000000001E-3</v>
      </c>
      <c r="G3313" s="67">
        <v>2E-3</v>
      </c>
      <c r="H3313" s="63"/>
    </row>
    <row r="3314" spans="1:8" x14ac:dyDescent="0.25">
      <c r="A3314" s="63"/>
      <c r="B3314" s="63">
        <v>12</v>
      </c>
      <c r="C3314" s="63" t="s">
        <v>3213</v>
      </c>
      <c r="D3314" s="63" t="s">
        <v>62</v>
      </c>
      <c r="E3314" s="66"/>
      <c r="F3314" s="67">
        <v>3.0000000000000001E-3</v>
      </c>
      <c r="G3314" s="67">
        <v>2E-3</v>
      </c>
      <c r="H3314" s="63"/>
    </row>
    <row r="3315" spans="1:8" x14ac:dyDescent="0.25">
      <c r="A3315" s="63"/>
      <c r="B3315" s="63">
        <v>13</v>
      </c>
      <c r="C3315" s="63" t="s">
        <v>3213</v>
      </c>
      <c r="D3315" s="63" t="s">
        <v>62</v>
      </c>
      <c r="E3315" s="66"/>
      <c r="F3315" s="67">
        <v>3.0000000000000001E-3</v>
      </c>
      <c r="G3315" s="67">
        <v>2E-3</v>
      </c>
      <c r="H3315" s="63"/>
    </row>
    <row r="3316" spans="1:8" x14ac:dyDescent="0.25">
      <c r="A3316" s="63"/>
      <c r="B3316" s="63">
        <v>14</v>
      </c>
      <c r="C3316" s="63" t="s">
        <v>3213</v>
      </c>
      <c r="D3316" s="63" t="s">
        <v>62</v>
      </c>
      <c r="E3316" s="66"/>
      <c r="F3316" s="67">
        <v>3.0000000000000001E-3</v>
      </c>
      <c r="G3316" s="67">
        <v>2E-3</v>
      </c>
      <c r="H3316" s="63"/>
    </row>
    <row r="3317" spans="1:8" x14ac:dyDescent="0.25">
      <c r="A3317" s="63"/>
      <c r="B3317" s="63">
        <v>15</v>
      </c>
      <c r="C3317" s="63" t="s">
        <v>3213</v>
      </c>
      <c r="D3317" s="63" t="s">
        <v>62</v>
      </c>
      <c r="E3317" s="66"/>
      <c r="F3317" s="67">
        <v>3.0000000000000001E-3</v>
      </c>
      <c r="G3317" s="67">
        <v>2E-3</v>
      </c>
      <c r="H3317" s="63"/>
    </row>
    <row r="3318" spans="1:8" x14ac:dyDescent="0.25">
      <c r="A3318" s="63"/>
      <c r="B3318" s="63">
        <v>16</v>
      </c>
      <c r="C3318" s="63" t="s">
        <v>3213</v>
      </c>
      <c r="D3318" s="63" t="s">
        <v>62</v>
      </c>
      <c r="E3318" s="66"/>
      <c r="F3318" s="67">
        <v>3.0000000000000001E-3</v>
      </c>
      <c r="G3318" s="67">
        <v>2E-3</v>
      </c>
      <c r="H3318" s="63"/>
    </row>
    <row r="3319" spans="1:8" x14ac:dyDescent="0.25">
      <c r="A3319" s="63"/>
      <c r="B3319" s="63">
        <v>17</v>
      </c>
      <c r="C3319" s="63" t="s">
        <v>3213</v>
      </c>
      <c r="D3319" s="63" t="s">
        <v>62</v>
      </c>
      <c r="E3319" s="66"/>
      <c r="F3319" s="67">
        <v>3.0000000000000001E-3</v>
      </c>
      <c r="G3319" s="67">
        <v>2E-3</v>
      </c>
      <c r="H3319" s="63"/>
    </row>
    <row r="3320" spans="1:8" x14ac:dyDescent="0.25">
      <c r="A3320" s="63"/>
      <c r="B3320" s="63">
        <v>18</v>
      </c>
      <c r="C3320" s="63" t="s">
        <v>3213</v>
      </c>
      <c r="D3320" s="63" t="s">
        <v>62</v>
      </c>
      <c r="E3320" s="66"/>
      <c r="F3320" s="67">
        <v>3.0000000000000001E-3</v>
      </c>
      <c r="G3320" s="67">
        <v>2E-3</v>
      </c>
      <c r="H3320" s="63"/>
    </row>
    <row r="3321" spans="1:8" x14ac:dyDescent="0.25">
      <c r="A3321" s="63"/>
      <c r="B3321" s="63">
        <v>19</v>
      </c>
      <c r="C3321" s="63" t="s">
        <v>3213</v>
      </c>
      <c r="D3321" s="63" t="s">
        <v>62</v>
      </c>
      <c r="E3321" s="66"/>
      <c r="F3321" s="67">
        <v>3.0000000000000001E-3</v>
      </c>
      <c r="G3321" s="67">
        <v>2E-3</v>
      </c>
      <c r="H3321" s="63"/>
    </row>
    <row r="3322" spans="1:8" x14ac:dyDescent="0.25">
      <c r="A3322" s="63"/>
      <c r="B3322" s="63">
        <v>20</v>
      </c>
      <c r="C3322" s="63" t="s">
        <v>3213</v>
      </c>
      <c r="D3322" s="63" t="s">
        <v>62</v>
      </c>
      <c r="E3322" s="66"/>
      <c r="F3322" s="67">
        <v>3.0000000000000001E-3</v>
      </c>
      <c r="G3322" s="67">
        <v>2E-3</v>
      </c>
      <c r="H3322" s="63"/>
    </row>
    <row r="3323" spans="1:8" x14ac:dyDescent="0.25">
      <c r="A3323" s="63"/>
      <c r="B3323" s="63">
        <v>21</v>
      </c>
      <c r="C3323" s="63" t="s">
        <v>3213</v>
      </c>
      <c r="D3323" s="63" t="s">
        <v>62</v>
      </c>
      <c r="E3323" s="66"/>
      <c r="F3323" s="67">
        <v>3.0000000000000001E-3</v>
      </c>
      <c r="G3323" s="67">
        <v>2E-3</v>
      </c>
      <c r="H3323" s="63"/>
    </row>
    <row r="3324" spans="1:8" x14ac:dyDescent="0.25">
      <c r="A3324" s="63"/>
      <c r="B3324" s="63">
        <v>22</v>
      </c>
      <c r="C3324" s="63" t="s">
        <v>3213</v>
      </c>
      <c r="D3324" s="63" t="s">
        <v>62</v>
      </c>
      <c r="E3324" s="66"/>
      <c r="F3324" s="67">
        <v>3.0000000000000001E-3</v>
      </c>
      <c r="G3324" s="67">
        <v>2E-3</v>
      </c>
      <c r="H3324" s="63"/>
    </row>
    <row r="3325" spans="1:8" x14ac:dyDescent="0.25">
      <c r="A3325" s="63"/>
      <c r="B3325" s="63">
        <v>23</v>
      </c>
      <c r="C3325" s="63" t="s">
        <v>3213</v>
      </c>
      <c r="D3325" s="63" t="s">
        <v>62</v>
      </c>
      <c r="E3325" s="66"/>
      <c r="F3325" s="67">
        <v>3.0000000000000001E-3</v>
      </c>
      <c r="G3325" s="67">
        <v>2E-3</v>
      </c>
      <c r="H3325" s="63"/>
    </row>
    <row r="3326" spans="1:8" x14ac:dyDescent="0.25">
      <c r="A3326" s="63"/>
      <c r="B3326" s="63">
        <v>24</v>
      </c>
      <c r="C3326" s="63" t="s">
        <v>3213</v>
      </c>
      <c r="D3326" s="63" t="s">
        <v>62</v>
      </c>
      <c r="E3326" s="66"/>
      <c r="F3326" s="67">
        <v>3.0000000000000001E-3</v>
      </c>
      <c r="G3326" s="67">
        <v>2E-3</v>
      </c>
      <c r="H3326" s="63"/>
    </row>
    <row r="3327" spans="1:8" x14ac:dyDescent="0.25">
      <c r="A3327" s="63"/>
      <c r="B3327" s="63">
        <v>25</v>
      </c>
      <c r="C3327" s="63" t="s">
        <v>3213</v>
      </c>
      <c r="D3327" s="63" t="s">
        <v>62</v>
      </c>
      <c r="E3327" s="66"/>
      <c r="F3327" s="67">
        <v>3.0000000000000001E-3</v>
      </c>
      <c r="G3327" s="67">
        <v>2E-3</v>
      </c>
      <c r="H3327" s="63"/>
    </row>
    <row r="3328" spans="1:8" x14ac:dyDescent="0.25">
      <c r="A3328" s="63"/>
      <c r="B3328" s="63">
        <v>26</v>
      </c>
      <c r="C3328" s="63" t="s">
        <v>3213</v>
      </c>
      <c r="D3328" s="63" t="s">
        <v>62</v>
      </c>
      <c r="E3328" s="66"/>
      <c r="F3328" s="67">
        <v>3.0000000000000001E-3</v>
      </c>
      <c r="G3328" s="67">
        <v>2E-3</v>
      </c>
      <c r="H3328" s="63"/>
    </row>
    <row r="3329" spans="1:8" x14ac:dyDescent="0.25">
      <c r="A3329" s="63"/>
      <c r="B3329" s="63">
        <v>27</v>
      </c>
      <c r="C3329" s="63" t="s">
        <v>3213</v>
      </c>
      <c r="D3329" s="63" t="s">
        <v>62</v>
      </c>
      <c r="E3329" s="66"/>
      <c r="F3329" s="67">
        <v>3.0000000000000001E-3</v>
      </c>
      <c r="G3329" s="67">
        <v>2E-3</v>
      </c>
      <c r="H3329" s="63"/>
    </row>
    <row r="3330" spans="1:8" x14ac:dyDescent="0.25">
      <c r="A3330" s="63"/>
      <c r="B3330" s="63">
        <v>28</v>
      </c>
      <c r="C3330" s="63" t="s">
        <v>3213</v>
      </c>
      <c r="D3330" s="63" t="s">
        <v>62</v>
      </c>
      <c r="E3330" s="66"/>
      <c r="F3330" s="67">
        <v>3.0000000000000001E-3</v>
      </c>
      <c r="G3330" s="67">
        <v>2E-3</v>
      </c>
      <c r="H3330" s="63"/>
    </row>
    <row r="3331" spans="1:8" x14ac:dyDescent="0.25">
      <c r="A3331" s="63"/>
      <c r="B3331" s="63">
        <v>29</v>
      </c>
      <c r="C3331" s="63" t="s">
        <v>3213</v>
      </c>
      <c r="D3331" s="63" t="s">
        <v>62</v>
      </c>
      <c r="E3331" s="66"/>
      <c r="F3331" s="67">
        <v>3.0000000000000001E-3</v>
      </c>
      <c r="G3331" s="67">
        <v>2E-3</v>
      </c>
      <c r="H3331" s="63"/>
    </row>
    <row r="3332" spans="1:8" x14ac:dyDescent="0.25">
      <c r="A3332" s="63"/>
      <c r="B3332" s="63">
        <v>30</v>
      </c>
      <c r="C3332" s="63" t="s">
        <v>3213</v>
      </c>
      <c r="D3332" s="63" t="s">
        <v>62</v>
      </c>
      <c r="E3332" s="66"/>
      <c r="F3332" s="67">
        <v>3.0000000000000001E-3</v>
      </c>
      <c r="G3332" s="67">
        <v>2E-3</v>
      </c>
      <c r="H3332" s="63"/>
    </row>
    <row r="3333" spans="1:8" x14ac:dyDescent="0.25">
      <c r="A3333" s="63"/>
      <c r="B3333" s="63">
        <v>0</v>
      </c>
      <c r="C3333" s="63" t="s">
        <v>3213</v>
      </c>
      <c r="D3333" s="63" t="s">
        <v>62</v>
      </c>
      <c r="E3333" s="66">
        <v>3.0428788910505911</v>
      </c>
      <c r="F3333" s="67">
        <v>3.0000000000000001E-3</v>
      </c>
      <c r="G3333" s="67">
        <v>2E-3</v>
      </c>
      <c r="H3333" s="63"/>
    </row>
    <row r="3334" spans="1:8" x14ac:dyDescent="0.25">
      <c r="A3334" s="63"/>
      <c r="B3334" s="63">
        <v>0.25</v>
      </c>
      <c r="C3334" s="63" t="s">
        <v>3213</v>
      </c>
      <c r="D3334" s="63" t="s">
        <v>64</v>
      </c>
      <c r="E3334" s="66">
        <v>25.668860905665891</v>
      </c>
      <c r="F3334" s="67">
        <v>3.0000000000000001E-3</v>
      </c>
      <c r="G3334" s="67">
        <v>2E-3</v>
      </c>
      <c r="H3334" s="63"/>
    </row>
    <row r="3335" spans="1:8" x14ac:dyDescent="0.25">
      <c r="A3335" s="63"/>
      <c r="B3335" s="63">
        <v>0.5</v>
      </c>
      <c r="C3335" s="63" t="s">
        <v>3213</v>
      </c>
      <c r="D3335" s="63" t="s">
        <v>64</v>
      </c>
      <c r="E3335" s="66">
        <v>28.90627780374118</v>
      </c>
      <c r="F3335" s="67">
        <v>3.0000000000000001E-3</v>
      </c>
      <c r="G3335" s="67">
        <v>2E-3</v>
      </c>
      <c r="H3335" s="63"/>
    </row>
    <row r="3336" spans="1:8" x14ac:dyDescent="0.25">
      <c r="A3336" s="63"/>
      <c r="B3336" s="63">
        <v>0.75</v>
      </c>
      <c r="C3336" s="63" t="s">
        <v>3213</v>
      </c>
      <c r="D3336" s="63" t="s">
        <v>64</v>
      </c>
      <c r="E3336" s="66">
        <v>32.088398586892829</v>
      </c>
      <c r="F3336" s="67">
        <v>3.0000000000000001E-3</v>
      </c>
      <c r="G3336" s="67">
        <v>2E-3</v>
      </c>
      <c r="H3336" s="63"/>
    </row>
    <row r="3337" spans="1:8" x14ac:dyDescent="0.25">
      <c r="A3337" s="63"/>
      <c r="B3337" s="63">
        <v>1</v>
      </c>
      <c r="C3337" s="63" t="s">
        <v>3213</v>
      </c>
      <c r="D3337" s="63" t="s">
        <v>64</v>
      </c>
      <c r="E3337" s="66">
        <v>35.317419895390479</v>
      </c>
      <c r="F3337" s="67">
        <v>3.0000000000000001E-3</v>
      </c>
      <c r="G3337" s="67">
        <v>2E-3</v>
      </c>
      <c r="H3337" s="63"/>
    </row>
    <row r="3338" spans="1:8" x14ac:dyDescent="0.25">
      <c r="A3338" s="63"/>
      <c r="B3338" s="63">
        <v>2</v>
      </c>
      <c r="C3338" s="63" t="s">
        <v>3213</v>
      </c>
      <c r="D3338" s="63" t="s">
        <v>64</v>
      </c>
      <c r="E3338" s="66">
        <v>41.899003808131717</v>
      </c>
      <c r="F3338" s="67">
        <v>3.0000000000000001E-3</v>
      </c>
      <c r="G3338" s="67">
        <v>2E-3</v>
      </c>
      <c r="H3338" s="63"/>
    </row>
    <row r="3339" spans="1:8" x14ac:dyDescent="0.25">
      <c r="A3339" s="63"/>
      <c r="B3339" s="63">
        <v>3</v>
      </c>
      <c r="C3339" s="63" t="s">
        <v>3213</v>
      </c>
      <c r="D3339" s="63" t="s">
        <v>64</v>
      </c>
      <c r="E3339" s="66">
        <v>49.367258046991701</v>
      </c>
      <c r="F3339" s="67">
        <v>3.0000000000000001E-3</v>
      </c>
      <c r="G3339" s="67">
        <v>2E-3</v>
      </c>
      <c r="H3339" s="63"/>
    </row>
    <row r="3340" spans="1:8" x14ac:dyDescent="0.25">
      <c r="A3340" s="63"/>
      <c r="B3340" s="63">
        <v>4</v>
      </c>
      <c r="C3340" s="63" t="s">
        <v>3213</v>
      </c>
      <c r="D3340" s="63" t="s">
        <v>64</v>
      </c>
      <c r="E3340" s="66">
        <v>56.934875079999451</v>
      </c>
      <c r="F3340" s="67">
        <v>3.0000000000000001E-3</v>
      </c>
      <c r="G3340" s="67">
        <v>2E-3</v>
      </c>
      <c r="H3340" s="63"/>
    </row>
    <row r="3341" spans="1:8" x14ac:dyDescent="0.25">
      <c r="A3341" s="63"/>
      <c r="B3341" s="63">
        <v>5</v>
      </c>
      <c r="C3341" s="63" t="s">
        <v>3213</v>
      </c>
      <c r="D3341" s="63" t="s">
        <v>64</v>
      </c>
      <c r="E3341" s="66">
        <v>64.611791186569661</v>
      </c>
      <c r="F3341" s="67">
        <v>3.0000000000000001E-3</v>
      </c>
      <c r="G3341" s="67">
        <v>2E-3</v>
      </c>
      <c r="H3341" s="63"/>
    </row>
    <row r="3342" spans="1:8" x14ac:dyDescent="0.25">
      <c r="A3342" s="63"/>
      <c r="B3342" s="63">
        <v>6</v>
      </c>
      <c r="C3342" s="63" t="s">
        <v>3213</v>
      </c>
      <c r="D3342" s="63" t="s">
        <v>64</v>
      </c>
      <c r="E3342" s="66">
        <v>74.350540076267862</v>
      </c>
      <c r="F3342" s="67">
        <v>3.0000000000000001E-3</v>
      </c>
      <c r="G3342" s="67">
        <v>2E-3</v>
      </c>
      <c r="H3342" s="63"/>
    </row>
    <row r="3343" spans="1:8" x14ac:dyDescent="0.25">
      <c r="A3343" s="63"/>
      <c r="B3343" s="63">
        <v>7</v>
      </c>
      <c r="C3343" s="63" t="s">
        <v>3213</v>
      </c>
      <c r="D3343" s="63" t="s">
        <v>64</v>
      </c>
      <c r="E3343" s="66">
        <v>81.505501009216758</v>
      </c>
      <c r="F3343" s="67">
        <v>3.0000000000000001E-3</v>
      </c>
      <c r="G3343" s="67">
        <v>2E-3</v>
      </c>
      <c r="H3343" s="63"/>
    </row>
    <row r="3344" spans="1:8" x14ac:dyDescent="0.25">
      <c r="A3344" s="63"/>
      <c r="B3344" s="63">
        <v>8</v>
      </c>
      <c r="C3344" s="63" t="s">
        <v>3213</v>
      </c>
      <c r="D3344" s="63" t="s">
        <v>64</v>
      </c>
      <c r="E3344" s="66">
        <v>89.052880694757192</v>
      </c>
      <c r="F3344" s="67">
        <v>3.0000000000000001E-3</v>
      </c>
      <c r="G3344" s="67">
        <v>2E-3</v>
      </c>
      <c r="H3344" s="63"/>
    </row>
    <row r="3345" spans="1:8" x14ac:dyDescent="0.25">
      <c r="A3345" s="63"/>
      <c r="B3345" s="63">
        <v>9</v>
      </c>
      <c r="C3345" s="63" t="s">
        <v>3213</v>
      </c>
      <c r="D3345" s="63" t="s">
        <v>64</v>
      </c>
      <c r="E3345" s="66">
        <v>98.528148353766625</v>
      </c>
      <c r="F3345" s="67">
        <v>3.0000000000000001E-3</v>
      </c>
      <c r="G3345" s="67">
        <v>2E-3</v>
      </c>
      <c r="H3345" s="63"/>
    </row>
    <row r="3346" spans="1:8" x14ac:dyDescent="0.25">
      <c r="A3346" s="63"/>
      <c r="B3346" s="63">
        <v>10</v>
      </c>
      <c r="C3346" s="63" t="s">
        <v>3213</v>
      </c>
      <c r="D3346" s="63" t="s">
        <v>64</v>
      </c>
      <c r="E3346" s="66">
        <v>107.07903577054074</v>
      </c>
      <c r="F3346" s="67">
        <v>3.0000000000000001E-3</v>
      </c>
      <c r="G3346" s="67">
        <v>2E-3</v>
      </c>
      <c r="H3346" s="63"/>
    </row>
    <row r="3347" spans="1:8" x14ac:dyDescent="0.25">
      <c r="A3347" s="63"/>
      <c r="B3347" s="63">
        <v>11</v>
      </c>
      <c r="C3347" s="63" t="s">
        <v>3213</v>
      </c>
      <c r="D3347" s="63" t="s">
        <v>64</v>
      </c>
      <c r="E3347" s="66"/>
      <c r="F3347" s="67">
        <v>3.0000000000000001E-3</v>
      </c>
      <c r="G3347" s="67">
        <v>2E-3</v>
      </c>
      <c r="H3347" s="63"/>
    </row>
    <row r="3348" spans="1:8" x14ac:dyDescent="0.25">
      <c r="A3348" s="63"/>
      <c r="B3348" s="63">
        <v>12</v>
      </c>
      <c r="C3348" s="63" t="s">
        <v>3213</v>
      </c>
      <c r="D3348" s="63" t="s">
        <v>64</v>
      </c>
      <c r="E3348" s="66"/>
      <c r="F3348" s="67">
        <v>3.0000000000000001E-3</v>
      </c>
      <c r="G3348" s="67">
        <v>2E-3</v>
      </c>
      <c r="H3348" s="63"/>
    </row>
    <row r="3349" spans="1:8" x14ac:dyDescent="0.25">
      <c r="A3349" s="63"/>
      <c r="B3349" s="63">
        <v>13</v>
      </c>
      <c r="C3349" s="63" t="s">
        <v>3213</v>
      </c>
      <c r="D3349" s="63" t="s">
        <v>64</v>
      </c>
      <c r="E3349" s="66"/>
      <c r="F3349" s="67">
        <v>3.0000000000000001E-3</v>
      </c>
      <c r="G3349" s="67">
        <v>2E-3</v>
      </c>
      <c r="H3349" s="63"/>
    </row>
    <row r="3350" spans="1:8" x14ac:dyDescent="0.25">
      <c r="A3350" s="63"/>
      <c r="B3350" s="63">
        <v>14</v>
      </c>
      <c r="C3350" s="63" t="s">
        <v>3213</v>
      </c>
      <c r="D3350" s="63" t="s">
        <v>64</v>
      </c>
      <c r="E3350" s="66"/>
      <c r="F3350" s="67">
        <v>3.0000000000000001E-3</v>
      </c>
      <c r="G3350" s="67">
        <v>2E-3</v>
      </c>
      <c r="H3350" s="63"/>
    </row>
    <row r="3351" spans="1:8" x14ac:dyDescent="0.25">
      <c r="A3351" s="63"/>
      <c r="B3351" s="63">
        <v>15</v>
      </c>
      <c r="C3351" s="63" t="s">
        <v>3213</v>
      </c>
      <c r="D3351" s="63" t="s">
        <v>64</v>
      </c>
      <c r="E3351" s="66"/>
      <c r="F3351" s="67">
        <v>3.0000000000000001E-3</v>
      </c>
      <c r="G3351" s="67">
        <v>2E-3</v>
      </c>
      <c r="H3351" s="63"/>
    </row>
    <row r="3352" spans="1:8" x14ac:dyDescent="0.25">
      <c r="A3352" s="63"/>
      <c r="B3352" s="63">
        <v>16</v>
      </c>
      <c r="C3352" s="63" t="s">
        <v>3213</v>
      </c>
      <c r="D3352" s="63" t="s">
        <v>64</v>
      </c>
      <c r="E3352" s="66"/>
      <c r="F3352" s="67">
        <v>3.0000000000000001E-3</v>
      </c>
      <c r="G3352" s="67">
        <v>2E-3</v>
      </c>
      <c r="H3352" s="63"/>
    </row>
    <row r="3353" spans="1:8" x14ac:dyDescent="0.25">
      <c r="A3353" s="63"/>
      <c r="B3353" s="63">
        <v>17</v>
      </c>
      <c r="C3353" s="63" t="s">
        <v>3213</v>
      </c>
      <c r="D3353" s="63" t="s">
        <v>64</v>
      </c>
      <c r="E3353" s="66"/>
      <c r="F3353" s="67">
        <v>3.0000000000000001E-3</v>
      </c>
      <c r="G3353" s="67">
        <v>2E-3</v>
      </c>
      <c r="H3353" s="63"/>
    </row>
    <row r="3354" spans="1:8" x14ac:dyDescent="0.25">
      <c r="A3354" s="63"/>
      <c r="B3354" s="63">
        <v>18</v>
      </c>
      <c r="C3354" s="63" t="s">
        <v>3213</v>
      </c>
      <c r="D3354" s="63" t="s">
        <v>64</v>
      </c>
      <c r="E3354" s="66"/>
      <c r="F3354" s="67">
        <v>3.0000000000000001E-3</v>
      </c>
      <c r="G3354" s="67">
        <v>2E-3</v>
      </c>
      <c r="H3354" s="63"/>
    </row>
    <row r="3355" spans="1:8" x14ac:dyDescent="0.25">
      <c r="A3355" s="63"/>
      <c r="B3355" s="63">
        <v>19</v>
      </c>
      <c r="C3355" s="63" t="s">
        <v>3213</v>
      </c>
      <c r="D3355" s="63" t="s">
        <v>64</v>
      </c>
      <c r="E3355" s="66"/>
      <c r="F3355" s="67">
        <v>3.0000000000000001E-3</v>
      </c>
      <c r="G3355" s="67">
        <v>2E-3</v>
      </c>
      <c r="H3355" s="63"/>
    </row>
    <row r="3356" spans="1:8" x14ac:dyDescent="0.25">
      <c r="A3356" s="63"/>
      <c r="B3356" s="63">
        <v>20</v>
      </c>
      <c r="C3356" s="63" t="s">
        <v>3213</v>
      </c>
      <c r="D3356" s="63" t="s">
        <v>64</v>
      </c>
      <c r="E3356" s="66"/>
      <c r="F3356" s="67">
        <v>3.0000000000000001E-3</v>
      </c>
      <c r="G3356" s="67">
        <v>2E-3</v>
      </c>
      <c r="H3356" s="63"/>
    </row>
    <row r="3357" spans="1:8" x14ac:dyDescent="0.25">
      <c r="A3357" s="63"/>
      <c r="B3357" s="63">
        <v>21</v>
      </c>
      <c r="C3357" s="63" t="s">
        <v>3213</v>
      </c>
      <c r="D3357" s="63" t="s">
        <v>64</v>
      </c>
      <c r="E3357" s="66"/>
      <c r="F3357" s="67">
        <v>3.0000000000000001E-3</v>
      </c>
      <c r="G3357" s="67">
        <v>2E-3</v>
      </c>
      <c r="H3357" s="63"/>
    </row>
    <row r="3358" spans="1:8" x14ac:dyDescent="0.25">
      <c r="A3358" s="63"/>
      <c r="B3358" s="63">
        <v>22</v>
      </c>
      <c r="C3358" s="63" t="s">
        <v>3213</v>
      </c>
      <c r="D3358" s="63" t="s">
        <v>64</v>
      </c>
      <c r="E3358" s="66"/>
      <c r="F3358" s="67">
        <v>3.0000000000000001E-3</v>
      </c>
      <c r="G3358" s="67">
        <v>2E-3</v>
      </c>
      <c r="H3358" s="63"/>
    </row>
    <row r="3359" spans="1:8" x14ac:dyDescent="0.25">
      <c r="A3359" s="63"/>
      <c r="B3359" s="63">
        <v>23</v>
      </c>
      <c r="C3359" s="63" t="s">
        <v>3213</v>
      </c>
      <c r="D3359" s="63" t="s">
        <v>64</v>
      </c>
      <c r="E3359" s="66"/>
      <c r="F3359" s="67">
        <v>3.0000000000000001E-3</v>
      </c>
      <c r="G3359" s="67">
        <v>2E-3</v>
      </c>
      <c r="H3359" s="63"/>
    </row>
    <row r="3360" spans="1:8" x14ac:dyDescent="0.25">
      <c r="A3360" s="63"/>
      <c r="B3360" s="63">
        <v>24</v>
      </c>
      <c r="C3360" s="63" t="s">
        <v>3213</v>
      </c>
      <c r="D3360" s="63" t="s">
        <v>64</v>
      </c>
      <c r="E3360" s="66"/>
      <c r="F3360" s="67">
        <v>3.0000000000000001E-3</v>
      </c>
      <c r="G3360" s="67">
        <v>2E-3</v>
      </c>
      <c r="H3360" s="63"/>
    </row>
    <row r="3361" spans="1:8" x14ac:dyDescent="0.25">
      <c r="A3361" s="63"/>
      <c r="B3361" s="63">
        <v>25</v>
      </c>
      <c r="C3361" s="63" t="s">
        <v>3213</v>
      </c>
      <c r="D3361" s="63" t="s">
        <v>64</v>
      </c>
      <c r="E3361" s="66"/>
      <c r="F3361" s="67">
        <v>3.0000000000000001E-3</v>
      </c>
      <c r="G3361" s="67">
        <v>2E-3</v>
      </c>
      <c r="H3361" s="63"/>
    </row>
    <row r="3362" spans="1:8" x14ac:dyDescent="0.25">
      <c r="A3362" s="63"/>
      <c r="B3362" s="63">
        <v>26</v>
      </c>
      <c r="C3362" s="63" t="s">
        <v>3213</v>
      </c>
      <c r="D3362" s="63" t="s">
        <v>64</v>
      </c>
      <c r="E3362" s="66"/>
      <c r="F3362" s="67">
        <v>3.0000000000000001E-3</v>
      </c>
      <c r="G3362" s="67">
        <v>2E-3</v>
      </c>
      <c r="H3362" s="63"/>
    </row>
    <row r="3363" spans="1:8" x14ac:dyDescent="0.25">
      <c r="A3363" s="63"/>
      <c r="B3363" s="63">
        <v>27</v>
      </c>
      <c r="C3363" s="63" t="s">
        <v>3213</v>
      </c>
      <c r="D3363" s="63" t="s">
        <v>64</v>
      </c>
      <c r="E3363" s="66"/>
      <c r="F3363" s="67">
        <v>3.0000000000000001E-3</v>
      </c>
      <c r="G3363" s="67">
        <v>2E-3</v>
      </c>
      <c r="H3363" s="63"/>
    </row>
    <row r="3364" spans="1:8" x14ac:dyDescent="0.25">
      <c r="A3364" s="63"/>
      <c r="B3364" s="63">
        <v>28</v>
      </c>
      <c r="C3364" s="63" t="s">
        <v>3213</v>
      </c>
      <c r="D3364" s="63" t="s">
        <v>64</v>
      </c>
      <c r="E3364" s="66"/>
      <c r="F3364" s="67">
        <v>3.0000000000000001E-3</v>
      </c>
      <c r="G3364" s="67">
        <v>2E-3</v>
      </c>
      <c r="H3364" s="63"/>
    </row>
    <row r="3365" spans="1:8" x14ac:dyDescent="0.25">
      <c r="A3365" s="63"/>
      <c r="B3365" s="63">
        <v>29</v>
      </c>
      <c r="C3365" s="63" t="s">
        <v>3213</v>
      </c>
      <c r="D3365" s="63" t="s">
        <v>64</v>
      </c>
      <c r="E3365" s="66"/>
      <c r="F3365" s="67">
        <v>3.0000000000000001E-3</v>
      </c>
      <c r="G3365" s="67">
        <v>2E-3</v>
      </c>
      <c r="H3365" s="63"/>
    </row>
    <row r="3366" spans="1:8" x14ac:dyDescent="0.25">
      <c r="A3366" s="63"/>
      <c r="B3366" s="63">
        <v>30</v>
      </c>
      <c r="C3366" s="63" t="s">
        <v>3213</v>
      </c>
      <c r="D3366" s="63" t="s">
        <v>64</v>
      </c>
      <c r="E3366" s="66"/>
      <c r="F3366" s="67">
        <v>3.0000000000000001E-3</v>
      </c>
      <c r="G3366" s="67">
        <v>2E-3</v>
      </c>
      <c r="H3366" s="63"/>
    </row>
    <row r="3367" spans="1:8" x14ac:dyDescent="0.25">
      <c r="A3367" s="63"/>
      <c r="B3367" s="63">
        <v>0</v>
      </c>
      <c r="C3367" s="63" t="s">
        <v>3213</v>
      </c>
      <c r="D3367" s="63" t="s">
        <v>64</v>
      </c>
      <c r="E3367" s="66">
        <v>3.0428788910505911</v>
      </c>
      <c r="F3367" s="67">
        <v>3.0000000000000001E-3</v>
      </c>
      <c r="G3367" s="67">
        <v>2E-3</v>
      </c>
      <c r="H3367" s="63"/>
    </row>
    <row r="3368" spans="1:8" x14ac:dyDescent="0.25">
      <c r="A3368" s="63"/>
      <c r="B3368" s="63">
        <v>0.25</v>
      </c>
      <c r="C3368" s="63" t="s">
        <v>3213</v>
      </c>
      <c r="D3368" s="63" t="s">
        <v>77</v>
      </c>
      <c r="E3368" s="66">
        <v>32.902778340866817</v>
      </c>
      <c r="F3368" s="67">
        <v>3.0000000000000001E-3</v>
      </c>
      <c r="G3368" s="67">
        <v>2E-3</v>
      </c>
      <c r="H3368" s="63"/>
    </row>
    <row r="3369" spans="1:8" x14ac:dyDescent="0.25">
      <c r="A3369" s="63"/>
      <c r="B3369" s="63">
        <v>0.5</v>
      </c>
      <c r="C3369" s="63" t="s">
        <v>3213</v>
      </c>
      <c r="D3369" s="63" t="s">
        <v>77</v>
      </c>
      <c r="E3369" s="66">
        <v>36.980915483174826</v>
      </c>
      <c r="F3369" s="67">
        <v>3.0000000000000001E-3</v>
      </c>
      <c r="G3369" s="67">
        <v>2E-3</v>
      </c>
      <c r="H3369" s="63"/>
    </row>
    <row r="3370" spans="1:8" x14ac:dyDescent="0.25">
      <c r="A3370" s="63"/>
      <c r="B3370" s="63">
        <v>0.75</v>
      </c>
      <c r="C3370" s="63" t="s">
        <v>3213</v>
      </c>
      <c r="D3370" s="63" t="s">
        <v>77</v>
      </c>
      <c r="E3370" s="66">
        <v>41.041764553716455</v>
      </c>
      <c r="F3370" s="67">
        <v>3.0000000000000001E-3</v>
      </c>
      <c r="G3370" s="67">
        <v>2E-3</v>
      </c>
      <c r="H3370" s="63"/>
    </row>
    <row r="3371" spans="1:8" x14ac:dyDescent="0.25">
      <c r="A3371" s="63"/>
      <c r="B3371" s="63">
        <v>1</v>
      </c>
      <c r="C3371" s="63" t="s">
        <v>3213</v>
      </c>
      <c r="D3371" s="63" t="s">
        <v>77</v>
      </c>
      <c r="E3371" s="66">
        <v>44.512516286159922</v>
      </c>
      <c r="F3371" s="67">
        <v>3.0000000000000001E-3</v>
      </c>
      <c r="G3371" s="67">
        <v>2E-3</v>
      </c>
      <c r="H3371" s="63"/>
    </row>
    <row r="3372" spans="1:8" x14ac:dyDescent="0.25">
      <c r="A3372" s="63"/>
      <c r="B3372" s="63">
        <v>2</v>
      </c>
      <c r="C3372" s="63" t="s">
        <v>3213</v>
      </c>
      <c r="D3372" s="63" t="s">
        <v>77</v>
      </c>
      <c r="E3372" s="66">
        <v>52.176281946965503</v>
      </c>
      <c r="F3372" s="67">
        <v>3.0000000000000001E-3</v>
      </c>
      <c r="G3372" s="67">
        <v>2E-3</v>
      </c>
      <c r="H3372" s="63"/>
    </row>
    <row r="3373" spans="1:8" x14ac:dyDescent="0.25">
      <c r="A3373" s="63"/>
      <c r="B3373" s="63">
        <v>3</v>
      </c>
      <c r="C3373" s="63" t="s">
        <v>3213</v>
      </c>
      <c r="D3373" s="63" t="s">
        <v>77</v>
      </c>
      <c r="E3373" s="66">
        <v>65.399646652844908</v>
      </c>
      <c r="F3373" s="67">
        <v>3.0000000000000001E-3</v>
      </c>
      <c r="G3373" s="67">
        <v>2E-3</v>
      </c>
      <c r="H3373" s="63"/>
    </row>
    <row r="3374" spans="1:8" x14ac:dyDescent="0.25">
      <c r="A3374" s="63"/>
      <c r="B3374" s="63">
        <v>4</v>
      </c>
      <c r="C3374" s="63" t="s">
        <v>3213</v>
      </c>
      <c r="D3374" s="63" t="s">
        <v>77</v>
      </c>
      <c r="E3374" s="66">
        <v>74.862823794027804</v>
      </c>
      <c r="F3374" s="67">
        <v>3.0000000000000001E-3</v>
      </c>
      <c r="G3374" s="67">
        <v>2E-3</v>
      </c>
      <c r="H3374" s="63"/>
    </row>
    <row r="3375" spans="1:8" x14ac:dyDescent="0.25">
      <c r="A3375" s="63"/>
      <c r="B3375" s="63">
        <v>5</v>
      </c>
      <c r="C3375" s="63" t="s">
        <v>3213</v>
      </c>
      <c r="D3375" s="63" t="s">
        <v>77</v>
      </c>
      <c r="E3375" s="66">
        <v>84.552915727397561</v>
      </c>
      <c r="F3375" s="67">
        <v>3.0000000000000001E-3</v>
      </c>
      <c r="G3375" s="67">
        <v>2E-3</v>
      </c>
      <c r="H3375" s="63"/>
    </row>
    <row r="3376" spans="1:8" x14ac:dyDescent="0.25">
      <c r="A3376" s="63"/>
      <c r="B3376" s="63">
        <v>6</v>
      </c>
      <c r="C3376" s="63" t="s">
        <v>3213</v>
      </c>
      <c r="D3376" s="63" t="s">
        <v>77</v>
      </c>
      <c r="E3376" s="66">
        <v>94.492613932172858</v>
      </c>
      <c r="F3376" s="67">
        <v>3.0000000000000001E-3</v>
      </c>
      <c r="G3376" s="67">
        <v>2E-3</v>
      </c>
      <c r="H3376" s="63"/>
    </row>
    <row r="3377" spans="1:8" x14ac:dyDescent="0.25">
      <c r="A3377" s="63"/>
      <c r="B3377" s="63">
        <v>7</v>
      </c>
      <c r="C3377" s="63" t="s">
        <v>3213</v>
      </c>
      <c r="D3377" s="63" t="s">
        <v>77</v>
      </c>
      <c r="E3377" s="66">
        <v>104.70687903549428</v>
      </c>
      <c r="F3377" s="67">
        <v>3.0000000000000001E-3</v>
      </c>
      <c r="G3377" s="67">
        <v>2E-3</v>
      </c>
      <c r="H3377" s="63"/>
    </row>
    <row r="3378" spans="1:8" x14ac:dyDescent="0.25">
      <c r="A3378" s="63"/>
      <c r="B3378" s="63">
        <v>8</v>
      </c>
      <c r="C3378" s="63" t="s">
        <v>3213</v>
      </c>
      <c r="D3378" s="63" t="s">
        <v>77</v>
      </c>
      <c r="E3378" s="66">
        <v>115.51364337537625</v>
      </c>
      <c r="F3378" s="67">
        <v>3.0000000000000001E-3</v>
      </c>
      <c r="G3378" s="67">
        <v>2E-3</v>
      </c>
      <c r="H3378" s="63"/>
    </row>
    <row r="3379" spans="1:8" x14ac:dyDescent="0.25">
      <c r="A3379" s="63"/>
      <c r="B3379" s="63">
        <v>9</v>
      </c>
      <c r="C3379" s="63" t="s">
        <v>3213</v>
      </c>
      <c r="D3379" s="63" t="s">
        <v>77</v>
      </c>
      <c r="E3379" s="66">
        <v>127.68776106627702</v>
      </c>
      <c r="F3379" s="67">
        <v>3.0000000000000001E-3</v>
      </c>
      <c r="G3379" s="67">
        <v>2E-3</v>
      </c>
      <c r="H3379" s="63"/>
    </row>
    <row r="3380" spans="1:8" x14ac:dyDescent="0.25">
      <c r="A3380" s="63"/>
      <c r="B3380" s="63">
        <v>10</v>
      </c>
      <c r="C3380" s="63" t="s">
        <v>3213</v>
      </c>
      <c r="D3380" s="63" t="s">
        <v>77</v>
      </c>
      <c r="E3380" s="66">
        <v>140.22732729914276</v>
      </c>
      <c r="F3380" s="67">
        <v>3.0000000000000001E-3</v>
      </c>
      <c r="G3380" s="67">
        <v>2E-3</v>
      </c>
      <c r="H3380" s="63"/>
    </row>
    <row r="3381" spans="1:8" x14ac:dyDescent="0.25">
      <c r="A3381" s="63"/>
      <c r="B3381" s="63">
        <v>11</v>
      </c>
      <c r="C3381" s="63" t="s">
        <v>3213</v>
      </c>
      <c r="D3381" s="63" t="s">
        <v>77</v>
      </c>
      <c r="E3381" s="66"/>
      <c r="F3381" s="67">
        <v>3.0000000000000001E-3</v>
      </c>
      <c r="G3381" s="67">
        <v>2E-3</v>
      </c>
      <c r="H3381" s="63"/>
    </row>
    <row r="3382" spans="1:8" x14ac:dyDescent="0.25">
      <c r="A3382" s="63"/>
      <c r="B3382" s="63">
        <v>12</v>
      </c>
      <c r="C3382" s="63" t="s">
        <v>3213</v>
      </c>
      <c r="D3382" s="63" t="s">
        <v>77</v>
      </c>
      <c r="E3382" s="66"/>
      <c r="F3382" s="67">
        <v>3.0000000000000001E-3</v>
      </c>
      <c r="G3382" s="67">
        <v>2E-3</v>
      </c>
      <c r="H3382" s="63"/>
    </row>
    <row r="3383" spans="1:8" x14ac:dyDescent="0.25">
      <c r="A3383" s="63"/>
      <c r="B3383" s="63">
        <v>13</v>
      </c>
      <c r="C3383" s="63" t="s">
        <v>3213</v>
      </c>
      <c r="D3383" s="63" t="s">
        <v>77</v>
      </c>
      <c r="E3383" s="66"/>
      <c r="F3383" s="67">
        <v>3.0000000000000001E-3</v>
      </c>
      <c r="G3383" s="67">
        <v>2E-3</v>
      </c>
      <c r="H3383" s="63"/>
    </row>
    <row r="3384" spans="1:8" x14ac:dyDescent="0.25">
      <c r="A3384" s="63"/>
      <c r="B3384" s="63">
        <v>14</v>
      </c>
      <c r="C3384" s="63" t="s">
        <v>3213</v>
      </c>
      <c r="D3384" s="63" t="s">
        <v>77</v>
      </c>
      <c r="E3384" s="66"/>
      <c r="F3384" s="67">
        <v>3.0000000000000001E-3</v>
      </c>
      <c r="G3384" s="67">
        <v>2E-3</v>
      </c>
      <c r="H3384" s="63"/>
    </row>
    <row r="3385" spans="1:8" x14ac:dyDescent="0.25">
      <c r="A3385" s="63"/>
      <c r="B3385" s="63">
        <v>15</v>
      </c>
      <c r="C3385" s="63" t="s">
        <v>3213</v>
      </c>
      <c r="D3385" s="63" t="s">
        <v>77</v>
      </c>
      <c r="E3385" s="66"/>
      <c r="F3385" s="67">
        <v>3.0000000000000001E-3</v>
      </c>
      <c r="G3385" s="67">
        <v>2E-3</v>
      </c>
      <c r="H3385" s="63"/>
    </row>
    <row r="3386" spans="1:8" x14ac:dyDescent="0.25">
      <c r="A3386" s="63"/>
      <c r="B3386" s="63">
        <v>16</v>
      </c>
      <c r="C3386" s="63" t="s">
        <v>3213</v>
      </c>
      <c r="D3386" s="63" t="s">
        <v>77</v>
      </c>
      <c r="E3386" s="66"/>
      <c r="F3386" s="67">
        <v>3.0000000000000001E-3</v>
      </c>
      <c r="G3386" s="67">
        <v>2E-3</v>
      </c>
      <c r="H3386" s="63"/>
    </row>
    <row r="3387" spans="1:8" x14ac:dyDescent="0.25">
      <c r="A3387" s="63"/>
      <c r="B3387" s="63">
        <v>17</v>
      </c>
      <c r="C3387" s="63" t="s">
        <v>3213</v>
      </c>
      <c r="D3387" s="63" t="s">
        <v>77</v>
      </c>
      <c r="E3387" s="66"/>
      <c r="F3387" s="67">
        <v>3.0000000000000001E-3</v>
      </c>
      <c r="G3387" s="67">
        <v>2E-3</v>
      </c>
      <c r="H3387" s="63"/>
    </row>
    <row r="3388" spans="1:8" x14ac:dyDescent="0.25">
      <c r="A3388" s="63"/>
      <c r="B3388" s="63">
        <v>18</v>
      </c>
      <c r="C3388" s="63" t="s">
        <v>3213</v>
      </c>
      <c r="D3388" s="63" t="s">
        <v>77</v>
      </c>
      <c r="E3388" s="66"/>
      <c r="F3388" s="67">
        <v>3.0000000000000001E-3</v>
      </c>
      <c r="G3388" s="67">
        <v>2E-3</v>
      </c>
      <c r="H3388" s="63"/>
    </row>
    <row r="3389" spans="1:8" x14ac:dyDescent="0.25">
      <c r="A3389" s="63"/>
      <c r="B3389" s="63">
        <v>19</v>
      </c>
      <c r="C3389" s="63" t="s">
        <v>3213</v>
      </c>
      <c r="D3389" s="63" t="s">
        <v>77</v>
      </c>
      <c r="E3389" s="66"/>
      <c r="F3389" s="67">
        <v>3.0000000000000001E-3</v>
      </c>
      <c r="G3389" s="67">
        <v>2E-3</v>
      </c>
      <c r="H3389" s="63"/>
    </row>
    <row r="3390" spans="1:8" x14ac:dyDescent="0.25">
      <c r="A3390" s="63"/>
      <c r="B3390" s="63">
        <v>20</v>
      </c>
      <c r="C3390" s="63" t="s">
        <v>3213</v>
      </c>
      <c r="D3390" s="63" t="s">
        <v>77</v>
      </c>
      <c r="E3390" s="66"/>
      <c r="F3390" s="67">
        <v>3.0000000000000001E-3</v>
      </c>
      <c r="G3390" s="67">
        <v>2E-3</v>
      </c>
      <c r="H3390" s="63"/>
    </row>
    <row r="3391" spans="1:8" x14ac:dyDescent="0.25">
      <c r="A3391" s="63"/>
      <c r="B3391" s="63">
        <v>21</v>
      </c>
      <c r="C3391" s="63" t="s">
        <v>3213</v>
      </c>
      <c r="D3391" s="63" t="s">
        <v>77</v>
      </c>
      <c r="E3391" s="66"/>
      <c r="F3391" s="67">
        <v>3.0000000000000001E-3</v>
      </c>
      <c r="G3391" s="67">
        <v>2E-3</v>
      </c>
      <c r="H3391" s="63"/>
    </row>
    <row r="3392" spans="1:8" x14ac:dyDescent="0.25">
      <c r="A3392" s="63"/>
      <c r="B3392" s="63">
        <v>22</v>
      </c>
      <c r="C3392" s="63" t="s">
        <v>3213</v>
      </c>
      <c r="D3392" s="63" t="s">
        <v>77</v>
      </c>
      <c r="E3392" s="66"/>
      <c r="F3392" s="67">
        <v>3.0000000000000001E-3</v>
      </c>
      <c r="G3392" s="67">
        <v>2E-3</v>
      </c>
      <c r="H3392" s="63"/>
    </row>
    <row r="3393" spans="1:8" x14ac:dyDescent="0.25">
      <c r="A3393" s="63"/>
      <c r="B3393" s="63">
        <v>23</v>
      </c>
      <c r="C3393" s="63" t="s">
        <v>3213</v>
      </c>
      <c r="D3393" s="63" t="s">
        <v>77</v>
      </c>
      <c r="E3393" s="66"/>
      <c r="F3393" s="67">
        <v>3.0000000000000001E-3</v>
      </c>
      <c r="G3393" s="67">
        <v>2E-3</v>
      </c>
      <c r="H3393" s="63"/>
    </row>
    <row r="3394" spans="1:8" x14ac:dyDescent="0.25">
      <c r="A3394" s="63"/>
      <c r="B3394" s="63">
        <v>24</v>
      </c>
      <c r="C3394" s="63" t="s">
        <v>3213</v>
      </c>
      <c r="D3394" s="63" t="s">
        <v>77</v>
      </c>
      <c r="E3394" s="66"/>
      <c r="F3394" s="67">
        <v>3.0000000000000001E-3</v>
      </c>
      <c r="G3394" s="67">
        <v>2E-3</v>
      </c>
      <c r="H3394" s="63"/>
    </row>
    <row r="3395" spans="1:8" x14ac:dyDescent="0.25">
      <c r="A3395" s="63"/>
      <c r="B3395" s="63">
        <v>25</v>
      </c>
      <c r="C3395" s="63" t="s">
        <v>3213</v>
      </c>
      <c r="D3395" s="63" t="s">
        <v>77</v>
      </c>
      <c r="E3395" s="66"/>
      <c r="F3395" s="67">
        <v>3.0000000000000001E-3</v>
      </c>
      <c r="G3395" s="67">
        <v>2E-3</v>
      </c>
      <c r="H3395" s="63"/>
    </row>
    <row r="3396" spans="1:8" x14ac:dyDescent="0.25">
      <c r="A3396" s="63"/>
      <c r="B3396" s="63">
        <v>26</v>
      </c>
      <c r="C3396" s="63" t="s">
        <v>3213</v>
      </c>
      <c r="D3396" s="63" t="s">
        <v>77</v>
      </c>
      <c r="E3396" s="66"/>
      <c r="F3396" s="67">
        <v>3.0000000000000001E-3</v>
      </c>
      <c r="G3396" s="67">
        <v>2E-3</v>
      </c>
      <c r="H3396" s="63"/>
    </row>
    <row r="3397" spans="1:8" x14ac:dyDescent="0.25">
      <c r="A3397" s="63"/>
      <c r="B3397" s="63">
        <v>27</v>
      </c>
      <c r="C3397" s="63" t="s">
        <v>3213</v>
      </c>
      <c r="D3397" s="63" t="s">
        <v>77</v>
      </c>
      <c r="E3397" s="66"/>
      <c r="F3397" s="67">
        <v>3.0000000000000001E-3</v>
      </c>
      <c r="G3397" s="67">
        <v>2E-3</v>
      </c>
      <c r="H3397" s="63"/>
    </row>
    <row r="3398" spans="1:8" x14ac:dyDescent="0.25">
      <c r="A3398" s="63"/>
      <c r="B3398" s="63">
        <v>28</v>
      </c>
      <c r="C3398" s="63" t="s">
        <v>3213</v>
      </c>
      <c r="D3398" s="63" t="s">
        <v>77</v>
      </c>
      <c r="E3398" s="66"/>
      <c r="F3398" s="67">
        <v>3.0000000000000001E-3</v>
      </c>
      <c r="G3398" s="67">
        <v>2E-3</v>
      </c>
      <c r="H3398" s="63"/>
    </row>
    <row r="3399" spans="1:8" x14ac:dyDescent="0.25">
      <c r="A3399" s="63"/>
      <c r="B3399" s="63">
        <v>29</v>
      </c>
      <c r="C3399" s="63" t="s">
        <v>3213</v>
      </c>
      <c r="D3399" s="63" t="s">
        <v>77</v>
      </c>
      <c r="E3399" s="66"/>
      <c r="F3399" s="67">
        <v>3.0000000000000001E-3</v>
      </c>
      <c r="G3399" s="67">
        <v>2E-3</v>
      </c>
      <c r="H3399" s="63"/>
    </row>
    <row r="3400" spans="1:8" x14ac:dyDescent="0.25">
      <c r="A3400" s="63"/>
      <c r="B3400" s="63">
        <v>30</v>
      </c>
      <c r="C3400" s="63" t="s">
        <v>3213</v>
      </c>
      <c r="D3400" s="63" t="s">
        <v>77</v>
      </c>
      <c r="E3400" s="66"/>
      <c r="F3400" s="67">
        <v>3.0000000000000001E-3</v>
      </c>
      <c r="G3400" s="67">
        <v>2E-3</v>
      </c>
      <c r="H3400" s="63"/>
    </row>
    <row r="3401" spans="1:8" x14ac:dyDescent="0.25">
      <c r="A3401" s="63"/>
      <c r="B3401" s="63">
        <v>0</v>
      </c>
      <c r="C3401" s="63" t="s">
        <v>3213</v>
      </c>
      <c r="D3401" s="63" t="s">
        <v>77</v>
      </c>
      <c r="E3401" s="66">
        <v>3.0428788910505911</v>
      </c>
      <c r="F3401" s="67">
        <v>3.0000000000000001E-3</v>
      </c>
      <c r="G3401" s="67">
        <v>2E-3</v>
      </c>
      <c r="H3401" s="63"/>
    </row>
    <row r="3402" spans="1:8" x14ac:dyDescent="0.25">
      <c r="A3402" s="63"/>
      <c r="B3402" s="63">
        <v>0.25</v>
      </c>
      <c r="C3402" s="63" t="s">
        <v>2668</v>
      </c>
      <c r="D3402" s="63" t="s">
        <v>21</v>
      </c>
      <c r="E3402" s="66">
        <v>13.328776260121593</v>
      </c>
      <c r="F3402" s="67">
        <v>3.0000000000000001E-3</v>
      </c>
      <c r="G3402" s="67">
        <v>2E-3</v>
      </c>
      <c r="H3402" s="63"/>
    </row>
    <row r="3403" spans="1:8" x14ac:dyDescent="0.25">
      <c r="A3403" s="63"/>
      <c r="B3403" s="63">
        <v>0.5</v>
      </c>
      <c r="C3403" s="63" t="s">
        <v>2668</v>
      </c>
      <c r="D3403" s="63" t="s">
        <v>21</v>
      </c>
      <c r="E3403" s="66">
        <v>14.445348300006936</v>
      </c>
      <c r="F3403" s="67">
        <v>3.0000000000000001E-3</v>
      </c>
      <c r="G3403" s="67">
        <v>2E-3</v>
      </c>
      <c r="H3403" s="63"/>
    </row>
    <row r="3404" spans="1:8" x14ac:dyDescent="0.25">
      <c r="A3404" s="63"/>
      <c r="B3404" s="63">
        <v>0.75</v>
      </c>
      <c r="C3404" s="63" t="s">
        <v>2668</v>
      </c>
      <c r="D3404" s="63" t="s">
        <v>21</v>
      </c>
      <c r="E3404" s="66">
        <v>15.492465251129682</v>
      </c>
      <c r="F3404" s="67">
        <v>3.0000000000000001E-3</v>
      </c>
      <c r="G3404" s="67">
        <v>2E-3</v>
      </c>
      <c r="H3404" s="63"/>
    </row>
    <row r="3405" spans="1:8" x14ac:dyDescent="0.25">
      <c r="A3405" s="63"/>
      <c r="B3405" s="63">
        <v>1</v>
      </c>
      <c r="C3405" s="63" t="s">
        <v>2668</v>
      </c>
      <c r="D3405" s="63" t="s">
        <v>21</v>
      </c>
      <c r="E3405" s="66">
        <v>16.806682263327911</v>
      </c>
      <c r="F3405" s="67">
        <v>3.0000000000000001E-3</v>
      </c>
      <c r="G3405" s="67">
        <v>2E-3</v>
      </c>
      <c r="H3405" s="63"/>
    </row>
    <row r="3406" spans="1:8" x14ac:dyDescent="0.25">
      <c r="A3406" s="63"/>
      <c r="B3406" s="63">
        <v>2</v>
      </c>
      <c r="C3406" s="63" t="s">
        <v>2668</v>
      </c>
      <c r="D3406" s="63" t="s">
        <v>21</v>
      </c>
      <c r="E3406" s="66">
        <v>20.175989912607534</v>
      </c>
      <c r="F3406" s="67">
        <v>3.0000000000000001E-3</v>
      </c>
      <c r="G3406" s="67">
        <v>2E-3</v>
      </c>
      <c r="H3406" s="63"/>
    </row>
    <row r="3407" spans="1:8" x14ac:dyDescent="0.25">
      <c r="A3407" s="63"/>
      <c r="B3407" s="63">
        <v>3</v>
      </c>
      <c r="C3407" s="63" t="s">
        <v>2668</v>
      </c>
      <c r="D3407" s="63" t="s">
        <v>21</v>
      </c>
      <c r="E3407" s="66">
        <v>25.876694219392689</v>
      </c>
      <c r="F3407" s="67">
        <v>3.0000000000000001E-3</v>
      </c>
      <c r="G3407" s="67">
        <v>2E-3</v>
      </c>
      <c r="H3407" s="63"/>
    </row>
    <row r="3408" spans="1:8" x14ac:dyDescent="0.25">
      <c r="A3408" s="63"/>
      <c r="B3408" s="63">
        <v>4</v>
      </c>
      <c r="C3408" s="63" t="s">
        <v>2668</v>
      </c>
      <c r="D3408" s="63" t="s">
        <v>21</v>
      </c>
      <c r="E3408" s="66">
        <v>31.729929259211055</v>
      </c>
      <c r="F3408" s="67">
        <v>3.0000000000000001E-3</v>
      </c>
      <c r="G3408" s="67">
        <v>2E-3</v>
      </c>
      <c r="H3408" s="63"/>
    </row>
    <row r="3409" spans="1:8" x14ac:dyDescent="0.25">
      <c r="A3409" s="63"/>
      <c r="B3409" s="63">
        <v>5</v>
      </c>
      <c r="C3409" s="63" t="s">
        <v>2668</v>
      </c>
      <c r="D3409" s="63" t="s">
        <v>21</v>
      </c>
      <c r="E3409" s="66">
        <v>38.484633582109744</v>
      </c>
      <c r="F3409" s="67">
        <v>3.0000000000000001E-3</v>
      </c>
      <c r="G3409" s="67">
        <v>2E-3</v>
      </c>
      <c r="H3409" s="63"/>
    </row>
    <row r="3410" spans="1:8" x14ac:dyDescent="0.25">
      <c r="A3410" s="63"/>
      <c r="B3410" s="63">
        <v>6</v>
      </c>
      <c r="C3410" s="63" t="s">
        <v>2668</v>
      </c>
      <c r="D3410" s="63" t="s">
        <v>21</v>
      </c>
      <c r="E3410" s="66">
        <v>48.268089623568095</v>
      </c>
      <c r="F3410" s="67">
        <v>3.0000000000000001E-3</v>
      </c>
      <c r="G3410" s="67">
        <v>2E-3</v>
      </c>
      <c r="H3410" s="63"/>
    </row>
    <row r="3411" spans="1:8" x14ac:dyDescent="0.25">
      <c r="A3411" s="63"/>
      <c r="B3411" s="63">
        <v>7</v>
      </c>
      <c r="C3411" s="63" t="s">
        <v>2668</v>
      </c>
      <c r="D3411" s="63" t="s">
        <v>21</v>
      </c>
      <c r="E3411" s="66">
        <v>54.385358075036649</v>
      </c>
      <c r="F3411" s="67">
        <v>3.0000000000000001E-3</v>
      </c>
      <c r="G3411" s="67">
        <v>2E-3</v>
      </c>
      <c r="H3411" s="63"/>
    </row>
    <row r="3412" spans="1:8" x14ac:dyDescent="0.25">
      <c r="A3412" s="63"/>
      <c r="B3412" s="63">
        <v>8</v>
      </c>
      <c r="C3412" s="63" t="s">
        <v>2668</v>
      </c>
      <c r="D3412" s="63" t="s">
        <v>21</v>
      </c>
      <c r="E3412" s="66">
        <v>60.589834903535163</v>
      </c>
      <c r="F3412" s="67">
        <v>3.0000000000000001E-3</v>
      </c>
      <c r="G3412" s="67">
        <v>2E-3</v>
      </c>
      <c r="H3412" s="63"/>
    </row>
    <row r="3413" spans="1:8" x14ac:dyDescent="0.25">
      <c r="A3413" s="63"/>
      <c r="B3413" s="63">
        <v>9</v>
      </c>
      <c r="C3413" s="63" t="s">
        <v>2668</v>
      </c>
      <c r="D3413" s="63" t="s">
        <v>21</v>
      </c>
      <c r="E3413" s="66">
        <v>66.890240946766525</v>
      </c>
      <c r="F3413" s="67">
        <v>3.0000000000000001E-3</v>
      </c>
      <c r="G3413" s="67">
        <v>2E-3</v>
      </c>
      <c r="H3413" s="63"/>
    </row>
    <row r="3414" spans="1:8" x14ac:dyDescent="0.25">
      <c r="A3414" s="63"/>
      <c r="B3414" s="63">
        <v>10</v>
      </c>
      <c r="C3414" s="63" t="s">
        <v>2668</v>
      </c>
      <c r="D3414" s="63" t="s">
        <v>21</v>
      </c>
      <c r="E3414" s="66">
        <v>72.748961477020501</v>
      </c>
      <c r="F3414" s="67">
        <v>3.0000000000000001E-3</v>
      </c>
      <c r="G3414" s="67">
        <v>2E-3</v>
      </c>
      <c r="H3414" s="63"/>
    </row>
    <row r="3415" spans="1:8" x14ac:dyDescent="0.25">
      <c r="A3415" s="63"/>
      <c r="B3415" s="63">
        <v>11</v>
      </c>
      <c r="C3415" s="63" t="s">
        <v>2668</v>
      </c>
      <c r="D3415" s="63" t="s">
        <v>21</v>
      </c>
      <c r="E3415" s="66"/>
      <c r="F3415" s="67">
        <v>3.0000000000000001E-3</v>
      </c>
      <c r="G3415" s="67">
        <v>2E-3</v>
      </c>
      <c r="H3415" s="63"/>
    </row>
    <row r="3416" spans="1:8" x14ac:dyDescent="0.25">
      <c r="A3416" s="63"/>
      <c r="B3416" s="63">
        <v>12</v>
      </c>
      <c r="C3416" s="63" t="s">
        <v>2668</v>
      </c>
      <c r="D3416" s="63" t="s">
        <v>21</v>
      </c>
      <c r="E3416" s="66"/>
      <c r="F3416" s="67">
        <v>3.0000000000000001E-3</v>
      </c>
      <c r="G3416" s="67">
        <v>2E-3</v>
      </c>
      <c r="H3416" s="63"/>
    </row>
    <row r="3417" spans="1:8" x14ac:dyDescent="0.25">
      <c r="A3417" s="63"/>
      <c r="B3417" s="63">
        <v>13</v>
      </c>
      <c r="C3417" s="63" t="s">
        <v>2668</v>
      </c>
      <c r="D3417" s="63" t="s">
        <v>21</v>
      </c>
      <c r="E3417" s="66"/>
      <c r="F3417" s="67">
        <v>3.0000000000000001E-3</v>
      </c>
      <c r="G3417" s="67">
        <v>2E-3</v>
      </c>
      <c r="H3417" s="63"/>
    </row>
    <row r="3418" spans="1:8" x14ac:dyDescent="0.25">
      <c r="A3418" s="63"/>
      <c r="B3418" s="63">
        <v>14</v>
      </c>
      <c r="C3418" s="63" t="s">
        <v>2668</v>
      </c>
      <c r="D3418" s="63" t="s">
        <v>21</v>
      </c>
      <c r="E3418" s="66"/>
      <c r="F3418" s="67">
        <v>3.0000000000000001E-3</v>
      </c>
      <c r="G3418" s="67">
        <v>2E-3</v>
      </c>
      <c r="H3418" s="63"/>
    </row>
    <row r="3419" spans="1:8" x14ac:dyDescent="0.25">
      <c r="A3419" s="63"/>
      <c r="B3419" s="63">
        <v>15</v>
      </c>
      <c r="C3419" s="63" t="s">
        <v>2668</v>
      </c>
      <c r="D3419" s="63" t="s">
        <v>21</v>
      </c>
      <c r="E3419" s="66"/>
      <c r="F3419" s="67">
        <v>3.0000000000000001E-3</v>
      </c>
      <c r="G3419" s="67">
        <v>2E-3</v>
      </c>
      <c r="H3419" s="63"/>
    </row>
    <row r="3420" spans="1:8" x14ac:dyDescent="0.25">
      <c r="A3420" s="63"/>
      <c r="B3420" s="63">
        <v>16</v>
      </c>
      <c r="C3420" s="63" t="s">
        <v>2668</v>
      </c>
      <c r="D3420" s="63" t="s">
        <v>21</v>
      </c>
      <c r="E3420" s="66"/>
      <c r="F3420" s="67">
        <v>3.0000000000000001E-3</v>
      </c>
      <c r="G3420" s="67">
        <v>2E-3</v>
      </c>
      <c r="H3420" s="63"/>
    </row>
    <row r="3421" spans="1:8" x14ac:dyDescent="0.25">
      <c r="A3421" s="63"/>
      <c r="B3421" s="63">
        <v>17</v>
      </c>
      <c r="C3421" s="63" t="s">
        <v>2668</v>
      </c>
      <c r="D3421" s="63" t="s">
        <v>21</v>
      </c>
      <c r="E3421" s="66"/>
      <c r="F3421" s="67">
        <v>3.0000000000000001E-3</v>
      </c>
      <c r="G3421" s="67">
        <v>2E-3</v>
      </c>
      <c r="H3421" s="63"/>
    </row>
    <row r="3422" spans="1:8" x14ac:dyDescent="0.25">
      <c r="A3422" s="63"/>
      <c r="B3422" s="63">
        <v>18</v>
      </c>
      <c r="C3422" s="63" t="s">
        <v>2668</v>
      </c>
      <c r="D3422" s="63" t="s">
        <v>21</v>
      </c>
      <c r="E3422" s="66"/>
      <c r="F3422" s="67">
        <v>3.0000000000000001E-3</v>
      </c>
      <c r="G3422" s="67">
        <v>2E-3</v>
      </c>
      <c r="H3422" s="63"/>
    </row>
    <row r="3423" spans="1:8" x14ac:dyDescent="0.25">
      <c r="A3423" s="63"/>
      <c r="B3423" s="63">
        <v>19</v>
      </c>
      <c r="C3423" s="63" t="s">
        <v>2668</v>
      </c>
      <c r="D3423" s="63" t="s">
        <v>21</v>
      </c>
      <c r="E3423" s="66"/>
      <c r="F3423" s="67">
        <v>3.0000000000000001E-3</v>
      </c>
      <c r="G3423" s="67">
        <v>2E-3</v>
      </c>
      <c r="H3423" s="63"/>
    </row>
    <row r="3424" spans="1:8" x14ac:dyDescent="0.25">
      <c r="A3424" s="63"/>
      <c r="B3424" s="63">
        <v>20</v>
      </c>
      <c r="C3424" s="63" t="s">
        <v>2668</v>
      </c>
      <c r="D3424" s="63" t="s">
        <v>21</v>
      </c>
      <c r="E3424" s="66"/>
      <c r="F3424" s="67">
        <v>3.0000000000000001E-3</v>
      </c>
      <c r="G3424" s="67">
        <v>2E-3</v>
      </c>
      <c r="H3424" s="63"/>
    </row>
    <row r="3425" spans="1:8" x14ac:dyDescent="0.25">
      <c r="A3425" s="63"/>
      <c r="B3425" s="63">
        <v>21</v>
      </c>
      <c r="C3425" s="63" t="s">
        <v>2668</v>
      </c>
      <c r="D3425" s="63" t="s">
        <v>21</v>
      </c>
      <c r="E3425" s="66"/>
      <c r="F3425" s="67">
        <v>3.0000000000000001E-3</v>
      </c>
      <c r="G3425" s="67">
        <v>2E-3</v>
      </c>
      <c r="H3425" s="63"/>
    </row>
    <row r="3426" spans="1:8" x14ac:dyDescent="0.25">
      <c r="A3426" s="63"/>
      <c r="B3426" s="63">
        <v>22</v>
      </c>
      <c r="C3426" s="63" t="s">
        <v>2668</v>
      </c>
      <c r="D3426" s="63" t="s">
        <v>21</v>
      </c>
      <c r="E3426" s="66"/>
      <c r="F3426" s="67">
        <v>3.0000000000000001E-3</v>
      </c>
      <c r="G3426" s="67">
        <v>2E-3</v>
      </c>
      <c r="H3426" s="63"/>
    </row>
    <row r="3427" spans="1:8" x14ac:dyDescent="0.25">
      <c r="A3427" s="63"/>
      <c r="B3427" s="63">
        <v>23</v>
      </c>
      <c r="C3427" s="63" t="s">
        <v>2668</v>
      </c>
      <c r="D3427" s="63" t="s">
        <v>21</v>
      </c>
      <c r="E3427" s="66"/>
      <c r="F3427" s="67">
        <v>3.0000000000000001E-3</v>
      </c>
      <c r="G3427" s="67">
        <v>2E-3</v>
      </c>
      <c r="H3427" s="63"/>
    </row>
    <row r="3428" spans="1:8" x14ac:dyDescent="0.25">
      <c r="A3428" s="63"/>
      <c r="B3428" s="63">
        <v>24</v>
      </c>
      <c r="C3428" s="63" t="s">
        <v>2668</v>
      </c>
      <c r="D3428" s="63" t="s">
        <v>21</v>
      </c>
      <c r="E3428" s="66"/>
      <c r="F3428" s="67">
        <v>3.0000000000000001E-3</v>
      </c>
      <c r="G3428" s="67">
        <v>2E-3</v>
      </c>
      <c r="H3428" s="63"/>
    </row>
    <row r="3429" spans="1:8" x14ac:dyDescent="0.25">
      <c r="A3429" s="63"/>
      <c r="B3429" s="63">
        <v>25</v>
      </c>
      <c r="C3429" s="63" t="s">
        <v>2668</v>
      </c>
      <c r="D3429" s="63" t="s">
        <v>21</v>
      </c>
      <c r="E3429" s="66"/>
      <c r="F3429" s="67">
        <v>3.0000000000000001E-3</v>
      </c>
      <c r="G3429" s="67">
        <v>2E-3</v>
      </c>
      <c r="H3429" s="63"/>
    </row>
    <row r="3430" spans="1:8" x14ac:dyDescent="0.25">
      <c r="A3430" s="63"/>
      <c r="B3430" s="63">
        <v>26</v>
      </c>
      <c r="C3430" s="63" t="s">
        <v>2668</v>
      </c>
      <c r="D3430" s="63" t="s">
        <v>21</v>
      </c>
      <c r="E3430" s="66"/>
      <c r="F3430" s="67">
        <v>3.0000000000000001E-3</v>
      </c>
      <c r="G3430" s="67">
        <v>2E-3</v>
      </c>
      <c r="H3430" s="63"/>
    </row>
    <row r="3431" spans="1:8" x14ac:dyDescent="0.25">
      <c r="A3431" s="63"/>
      <c r="B3431" s="63">
        <v>27</v>
      </c>
      <c r="C3431" s="63" t="s">
        <v>2668</v>
      </c>
      <c r="D3431" s="63" t="s">
        <v>21</v>
      </c>
      <c r="E3431" s="66"/>
      <c r="F3431" s="67">
        <v>3.0000000000000001E-3</v>
      </c>
      <c r="G3431" s="67">
        <v>2E-3</v>
      </c>
      <c r="H3431" s="63"/>
    </row>
    <row r="3432" spans="1:8" x14ac:dyDescent="0.25">
      <c r="A3432" s="63"/>
      <c r="B3432" s="63">
        <v>28</v>
      </c>
      <c r="C3432" s="63" t="s">
        <v>2668</v>
      </c>
      <c r="D3432" s="63" t="s">
        <v>21</v>
      </c>
      <c r="E3432" s="66"/>
      <c r="F3432" s="67">
        <v>3.0000000000000001E-3</v>
      </c>
      <c r="G3432" s="67">
        <v>2E-3</v>
      </c>
      <c r="H3432" s="63"/>
    </row>
    <row r="3433" spans="1:8" x14ac:dyDescent="0.25">
      <c r="A3433" s="63"/>
      <c r="B3433" s="63">
        <v>29</v>
      </c>
      <c r="C3433" s="63" t="s">
        <v>2668</v>
      </c>
      <c r="D3433" s="63" t="s">
        <v>21</v>
      </c>
      <c r="E3433" s="66"/>
      <c r="F3433" s="67">
        <v>3.0000000000000001E-3</v>
      </c>
      <c r="G3433" s="67">
        <v>2E-3</v>
      </c>
      <c r="H3433" s="63"/>
    </row>
    <row r="3434" spans="1:8" x14ac:dyDescent="0.25">
      <c r="A3434" s="63"/>
      <c r="B3434" s="63">
        <v>30</v>
      </c>
      <c r="C3434" s="63" t="s">
        <v>2668</v>
      </c>
      <c r="D3434" s="63" t="s">
        <v>21</v>
      </c>
      <c r="E3434" s="66"/>
      <c r="F3434" s="67">
        <v>3.0000000000000001E-3</v>
      </c>
      <c r="G3434" s="67">
        <v>2E-3</v>
      </c>
      <c r="H3434" s="63"/>
    </row>
    <row r="3435" spans="1:8" x14ac:dyDescent="0.25">
      <c r="A3435" s="63"/>
      <c r="B3435" s="63">
        <v>0</v>
      </c>
      <c r="C3435" s="63" t="s">
        <v>2668</v>
      </c>
      <c r="D3435" s="63" t="s">
        <v>21</v>
      </c>
      <c r="E3435" s="66">
        <v>3.0428788910505911</v>
      </c>
      <c r="F3435" s="67">
        <v>3.0000000000000001E-3</v>
      </c>
      <c r="G3435" s="67">
        <v>2E-3</v>
      </c>
      <c r="H3435" s="63"/>
    </row>
    <row r="3436" spans="1:8" x14ac:dyDescent="0.25">
      <c r="A3436" s="63"/>
      <c r="B3436" s="63">
        <v>0.25</v>
      </c>
      <c r="C3436" s="63" t="s">
        <v>2668</v>
      </c>
      <c r="D3436" s="63" t="s">
        <v>62</v>
      </c>
      <c r="E3436" s="66">
        <v>18.205590499726043</v>
      </c>
      <c r="F3436" s="67">
        <v>3.0000000000000001E-3</v>
      </c>
      <c r="G3436" s="67">
        <v>2E-3</v>
      </c>
      <c r="H3436" s="63"/>
    </row>
    <row r="3437" spans="1:8" x14ac:dyDescent="0.25">
      <c r="A3437" s="63"/>
      <c r="B3437" s="63">
        <v>0.5</v>
      </c>
      <c r="C3437" s="63" t="s">
        <v>2668</v>
      </c>
      <c r="D3437" s="63" t="s">
        <v>62</v>
      </c>
      <c r="E3437" s="66">
        <v>19.656130720470692</v>
      </c>
      <c r="F3437" s="67">
        <v>3.0000000000000001E-3</v>
      </c>
      <c r="G3437" s="67">
        <v>2E-3</v>
      </c>
      <c r="H3437" s="63"/>
    </row>
    <row r="3438" spans="1:8" x14ac:dyDescent="0.25">
      <c r="A3438" s="63"/>
      <c r="B3438" s="63">
        <v>0.75</v>
      </c>
      <c r="C3438" s="63" t="s">
        <v>2668</v>
      </c>
      <c r="D3438" s="63" t="s">
        <v>62</v>
      </c>
      <c r="E3438" s="66">
        <v>21.784711929869875</v>
      </c>
      <c r="F3438" s="67">
        <v>3.0000000000000001E-3</v>
      </c>
      <c r="G3438" s="67">
        <v>2E-3</v>
      </c>
      <c r="H3438" s="63"/>
    </row>
    <row r="3439" spans="1:8" x14ac:dyDescent="0.25">
      <c r="A3439" s="63"/>
      <c r="B3439" s="63">
        <v>1</v>
      </c>
      <c r="C3439" s="63" t="s">
        <v>2668</v>
      </c>
      <c r="D3439" s="63" t="s">
        <v>62</v>
      </c>
      <c r="E3439" s="66">
        <v>23.986461557775435</v>
      </c>
      <c r="F3439" s="67">
        <v>3.0000000000000001E-3</v>
      </c>
      <c r="G3439" s="67">
        <v>2E-3</v>
      </c>
      <c r="H3439" s="63"/>
    </row>
    <row r="3440" spans="1:8" x14ac:dyDescent="0.25">
      <c r="A3440" s="63"/>
      <c r="B3440" s="63">
        <v>2</v>
      </c>
      <c r="C3440" s="63" t="s">
        <v>2668</v>
      </c>
      <c r="D3440" s="63" t="s">
        <v>62</v>
      </c>
      <c r="E3440" s="66">
        <v>29.614947259276565</v>
      </c>
      <c r="F3440" s="67">
        <v>3.0000000000000001E-3</v>
      </c>
      <c r="G3440" s="67">
        <v>2E-3</v>
      </c>
      <c r="H3440" s="63"/>
    </row>
    <row r="3441" spans="1:8" x14ac:dyDescent="0.25">
      <c r="A3441" s="63"/>
      <c r="B3441" s="63">
        <v>3</v>
      </c>
      <c r="C3441" s="63" t="s">
        <v>2668</v>
      </c>
      <c r="D3441" s="63" t="s">
        <v>62</v>
      </c>
      <c r="E3441" s="66">
        <v>35.909716486522967</v>
      </c>
      <c r="F3441" s="67">
        <v>3.0000000000000001E-3</v>
      </c>
      <c r="G3441" s="67">
        <v>2E-3</v>
      </c>
      <c r="H3441" s="63"/>
    </row>
    <row r="3442" spans="1:8" x14ac:dyDescent="0.25">
      <c r="A3442" s="63"/>
      <c r="B3442" s="63">
        <v>4</v>
      </c>
      <c r="C3442" s="63" t="s">
        <v>2668</v>
      </c>
      <c r="D3442" s="63" t="s">
        <v>62</v>
      </c>
      <c r="E3442" s="66">
        <v>42.384355605841172</v>
      </c>
      <c r="F3442" s="67">
        <v>3.0000000000000001E-3</v>
      </c>
      <c r="G3442" s="67">
        <v>2E-3</v>
      </c>
      <c r="H3442" s="63"/>
    </row>
    <row r="3443" spans="1:8" x14ac:dyDescent="0.25">
      <c r="A3443" s="63"/>
      <c r="B3443" s="63">
        <v>5</v>
      </c>
      <c r="C3443" s="63" t="s">
        <v>2668</v>
      </c>
      <c r="D3443" s="63" t="s">
        <v>62</v>
      </c>
      <c r="E3443" s="66">
        <v>49.095231323943281</v>
      </c>
      <c r="F3443" s="67">
        <v>3.0000000000000001E-3</v>
      </c>
      <c r="G3443" s="67">
        <v>2E-3</v>
      </c>
      <c r="H3443" s="63"/>
    </row>
    <row r="3444" spans="1:8" x14ac:dyDescent="0.25">
      <c r="A3444" s="63"/>
      <c r="B3444" s="63">
        <v>6</v>
      </c>
      <c r="C3444" s="63" t="s">
        <v>2668</v>
      </c>
      <c r="D3444" s="63" t="s">
        <v>62</v>
      </c>
      <c r="E3444" s="66">
        <v>55.946958648005747</v>
      </c>
      <c r="F3444" s="67">
        <v>3.0000000000000001E-3</v>
      </c>
      <c r="G3444" s="67">
        <v>2E-3</v>
      </c>
      <c r="H3444" s="63"/>
    </row>
    <row r="3445" spans="1:8" x14ac:dyDescent="0.25">
      <c r="A3445" s="63"/>
      <c r="B3445" s="63">
        <v>7</v>
      </c>
      <c r="C3445" s="63" t="s">
        <v>2668</v>
      </c>
      <c r="D3445" s="63" t="s">
        <v>62</v>
      </c>
      <c r="E3445" s="66">
        <v>62.957655224364999</v>
      </c>
      <c r="F3445" s="67">
        <v>3.0000000000000001E-3</v>
      </c>
      <c r="G3445" s="67">
        <v>2E-3</v>
      </c>
      <c r="H3445" s="63"/>
    </row>
    <row r="3446" spans="1:8" x14ac:dyDescent="0.25">
      <c r="A3446" s="63"/>
      <c r="B3446" s="63">
        <v>8</v>
      </c>
      <c r="C3446" s="63" t="s">
        <v>2668</v>
      </c>
      <c r="D3446" s="63" t="s">
        <v>62</v>
      </c>
      <c r="E3446" s="66">
        <v>70.147830690870194</v>
      </c>
      <c r="F3446" s="67">
        <v>3.0000000000000001E-3</v>
      </c>
      <c r="G3446" s="67">
        <v>2E-3</v>
      </c>
      <c r="H3446" s="63"/>
    </row>
    <row r="3447" spans="1:8" x14ac:dyDescent="0.25">
      <c r="A3447" s="63"/>
      <c r="B3447" s="63">
        <v>9</v>
      </c>
      <c r="C3447" s="63" t="s">
        <v>2668</v>
      </c>
      <c r="D3447" s="63" t="s">
        <v>62</v>
      </c>
      <c r="E3447" s="66">
        <v>77.069094817262553</v>
      </c>
      <c r="F3447" s="67">
        <v>3.0000000000000001E-3</v>
      </c>
      <c r="G3447" s="67">
        <v>2E-3</v>
      </c>
      <c r="H3447" s="63"/>
    </row>
    <row r="3448" spans="1:8" x14ac:dyDescent="0.25">
      <c r="A3448" s="63"/>
      <c r="B3448" s="63">
        <v>10</v>
      </c>
      <c r="C3448" s="63" t="s">
        <v>2668</v>
      </c>
      <c r="D3448" s="63" t="s">
        <v>62</v>
      </c>
      <c r="E3448" s="66">
        <v>84.510430321466572</v>
      </c>
      <c r="F3448" s="67">
        <v>3.0000000000000001E-3</v>
      </c>
      <c r="G3448" s="67">
        <v>2E-3</v>
      </c>
      <c r="H3448" s="63"/>
    </row>
    <row r="3449" spans="1:8" x14ac:dyDescent="0.25">
      <c r="A3449" s="63"/>
      <c r="B3449" s="63">
        <v>11</v>
      </c>
      <c r="C3449" s="63" t="s">
        <v>2668</v>
      </c>
      <c r="D3449" s="63" t="s">
        <v>62</v>
      </c>
      <c r="E3449" s="66"/>
      <c r="F3449" s="67">
        <v>3.0000000000000001E-3</v>
      </c>
      <c r="G3449" s="67">
        <v>2E-3</v>
      </c>
      <c r="H3449" s="63"/>
    </row>
    <row r="3450" spans="1:8" x14ac:dyDescent="0.25">
      <c r="A3450" s="63"/>
      <c r="B3450" s="63">
        <v>12</v>
      </c>
      <c r="C3450" s="63" t="s">
        <v>2668</v>
      </c>
      <c r="D3450" s="63" t="s">
        <v>62</v>
      </c>
      <c r="E3450" s="66"/>
      <c r="F3450" s="67">
        <v>3.0000000000000001E-3</v>
      </c>
      <c r="G3450" s="67">
        <v>2E-3</v>
      </c>
      <c r="H3450" s="63"/>
    </row>
    <row r="3451" spans="1:8" x14ac:dyDescent="0.25">
      <c r="A3451" s="63"/>
      <c r="B3451" s="63">
        <v>13</v>
      </c>
      <c r="C3451" s="63" t="s">
        <v>2668</v>
      </c>
      <c r="D3451" s="63" t="s">
        <v>62</v>
      </c>
      <c r="E3451" s="66"/>
      <c r="F3451" s="67">
        <v>3.0000000000000001E-3</v>
      </c>
      <c r="G3451" s="67">
        <v>2E-3</v>
      </c>
      <c r="H3451" s="63"/>
    </row>
    <row r="3452" spans="1:8" x14ac:dyDescent="0.25">
      <c r="A3452" s="63"/>
      <c r="B3452" s="63">
        <v>14</v>
      </c>
      <c r="C3452" s="63" t="s">
        <v>2668</v>
      </c>
      <c r="D3452" s="63" t="s">
        <v>62</v>
      </c>
      <c r="E3452" s="66"/>
      <c r="F3452" s="67">
        <v>3.0000000000000001E-3</v>
      </c>
      <c r="G3452" s="67">
        <v>2E-3</v>
      </c>
      <c r="H3452" s="63"/>
    </row>
    <row r="3453" spans="1:8" x14ac:dyDescent="0.25">
      <c r="A3453" s="63"/>
      <c r="B3453" s="63">
        <v>15</v>
      </c>
      <c r="C3453" s="63" t="s">
        <v>2668</v>
      </c>
      <c r="D3453" s="63" t="s">
        <v>62</v>
      </c>
      <c r="E3453" s="66"/>
      <c r="F3453" s="67">
        <v>3.0000000000000001E-3</v>
      </c>
      <c r="G3453" s="67">
        <v>2E-3</v>
      </c>
      <c r="H3453" s="63"/>
    </row>
    <row r="3454" spans="1:8" x14ac:dyDescent="0.25">
      <c r="A3454" s="63"/>
      <c r="B3454" s="63">
        <v>16</v>
      </c>
      <c r="C3454" s="63" t="s">
        <v>2668</v>
      </c>
      <c r="D3454" s="63" t="s">
        <v>62</v>
      </c>
      <c r="E3454" s="66"/>
      <c r="F3454" s="67">
        <v>3.0000000000000001E-3</v>
      </c>
      <c r="G3454" s="67">
        <v>2E-3</v>
      </c>
      <c r="H3454" s="63"/>
    </row>
    <row r="3455" spans="1:8" x14ac:dyDescent="0.25">
      <c r="A3455" s="63"/>
      <c r="B3455" s="63">
        <v>17</v>
      </c>
      <c r="C3455" s="63" t="s">
        <v>2668</v>
      </c>
      <c r="D3455" s="63" t="s">
        <v>62</v>
      </c>
      <c r="E3455" s="66"/>
      <c r="F3455" s="67">
        <v>3.0000000000000001E-3</v>
      </c>
      <c r="G3455" s="67">
        <v>2E-3</v>
      </c>
      <c r="H3455" s="63"/>
    </row>
    <row r="3456" spans="1:8" x14ac:dyDescent="0.25">
      <c r="A3456" s="63"/>
      <c r="B3456" s="63">
        <v>18</v>
      </c>
      <c r="C3456" s="63" t="s">
        <v>2668</v>
      </c>
      <c r="D3456" s="63" t="s">
        <v>62</v>
      </c>
      <c r="E3456" s="66"/>
      <c r="F3456" s="67">
        <v>3.0000000000000001E-3</v>
      </c>
      <c r="G3456" s="67">
        <v>2E-3</v>
      </c>
      <c r="H3456" s="63"/>
    </row>
    <row r="3457" spans="1:8" x14ac:dyDescent="0.25">
      <c r="A3457" s="63"/>
      <c r="B3457" s="63">
        <v>19</v>
      </c>
      <c r="C3457" s="63" t="s">
        <v>2668</v>
      </c>
      <c r="D3457" s="63" t="s">
        <v>62</v>
      </c>
      <c r="E3457" s="66"/>
      <c r="F3457" s="67">
        <v>3.0000000000000001E-3</v>
      </c>
      <c r="G3457" s="67">
        <v>2E-3</v>
      </c>
      <c r="H3457" s="63"/>
    </row>
    <row r="3458" spans="1:8" x14ac:dyDescent="0.25">
      <c r="A3458" s="63"/>
      <c r="B3458" s="63">
        <v>20</v>
      </c>
      <c r="C3458" s="63" t="s">
        <v>2668</v>
      </c>
      <c r="D3458" s="63" t="s">
        <v>62</v>
      </c>
      <c r="E3458" s="66"/>
      <c r="F3458" s="67">
        <v>3.0000000000000001E-3</v>
      </c>
      <c r="G3458" s="67">
        <v>2E-3</v>
      </c>
      <c r="H3458" s="63"/>
    </row>
    <row r="3459" spans="1:8" x14ac:dyDescent="0.25">
      <c r="A3459" s="63"/>
      <c r="B3459" s="63">
        <v>21</v>
      </c>
      <c r="C3459" s="63" t="s">
        <v>2668</v>
      </c>
      <c r="D3459" s="63" t="s">
        <v>62</v>
      </c>
      <c r="E3459" s="66"/>
      <c r="F3459" s="67">
        <v>3.0000000000000001E-3</v>
      </c>
      <c r="G3459" s="67">
        <v>2E-3</v>
      </c>
      <c r="H3459" s="63"/>
    </row>
    <row r="3460" spans="1:8" x14ac:dyDescent="0.25">
      <c r="A3460" s="63"/>
      <c r="B3460" s="63">
        <v>22</v>
      </c>
      <c r="C3460" s="63" t="s">
        <v>2668</v>
      </c>
      <c r="D3460" s="63" t="s">
        <v>62</v>
      </c>
      <c r="E3460" s="66"/>
      <c r="F3460" s="67">
        <v>3.0000000000000001E-3</v>
      </c>
      <c r="G3460" s="67">
        <v>2E-3</v>
      </c>
      <c r="H3460" s="63"/>
    </row>
    <row r="3461" spans="1:8" x14ac:dyDescent="0.25">
      <c r="A3461" s="63"/>
      <c r="B3461" s="63">
        <v>23</v>
      </c>
      <c r="C3461" s="63" t="s">
        <v>2668</v>
      </c>
      <c r="D3461" s="63" t="s">
        <v>62</v>
      </c>
      <c r="E3461" s="66"/>
      <c r="F3461" s="67">
        <v>3.0000000000000001E-3</v>
      </c>
      <c r="G3461" s="67">
        <v>2E-3</v>
      </c>
      <c r="H3461" s="63"/>
    </row>
    <row r="3462" spans="1:8" x14ac:dyDescent="0.25">
      <c r="A3462" s="63"/>
      <c r="B3462" s="63">
        <v>24</v>
      </c>
      <c r="C3462" s="63" t="s">
        <v>2668</v>
      </c>
      <c r="D3462" s="63" t="s">
        <v>62</v>
      </c>
      <c r="E3462" s="66"/>
      <c r="F3462" s="67">
        <v>3.0000000000000001E-3</v>
      </c>
      <c r="G3462" s="67">
        <v>2E-3</v>
      </c>
      <c r="H3462" s="63"/>
    </row>
    <row r="3463" spans="1:8" x14ac:dyDescent="0.25">
      <c r="A3463" s="63"/>
      <c r="B3463" s="63">
        <v>25</v>
      </c>
      <c r="C3463" s="63" t="s">
        <v>2668</v>
      </c>
      <c r="D3463" s="63" t="s">
        <v>62</v>
      </c>
      <c r="E3463" s="66"/>
      <c r="F3463" s="67">
        <v>3.0000000000000001E-3</v>
      </c>
      <c r="G3463" s="67">
        <v>2E-3</v>
      </c>
      <c r="H3463" s="63"/>
    </row>
    <row r="3464" spans="1:8" x14ac:dyDescent="0.25">
      <c r="A3464" s="63"/>
      <c r="B3464" s="63">
        <v>26</v>
      </c>
      <c r="C3464" s="63" t="s">
        <v>2668</v>
      </c>
      <c r="D3464" s="63" t="s">
        <v>62</v>
      </c>
      <c r="E3464" s="66"/>
      <c r="F3464" s="67">
        <v>3.0000000000000001E-3</v>
      </c>
      <c r="G3464" s="67">
        <v>2E-3</v>
      </c>
      <c r="H3464" s="63"/>
    </row>
    <row r="3465" spans="1:8" x14ac:dyDescent="0.25">
      <c r="A3465" s="63"/>
      <c r="B3465" s="63">
        <v>27</v>
      </c>
      <c r="C3465" s="63" t="s">
        <v>2668</v>
      </c>
      <c r="D3465" s="63" t="s">
        <v>62</v>
      </c>
      <c r="E3465" s="66"/>
      <c r="F3465" s="67">
        <v>3.0000000000000001E-3</v>
      </c>
      <c r="G3465" s="67">
        <v>2E-3</v>
      </c>
      <c r="H3465" s="63"/>
    </row>
    <row r="3466" spans="1:8" x14ac:dyDescent="0.25">
      <c r="A3466" s="63"/>
      <c r="B3466" s="63">
        <v>28</v>
      </c>
      <c r="C3466" s="63" t="s">
        <v>2668</v>
      </c>
      <c r="D3466" s="63" t="s">
        <v>62</v>
      </c>
      <c r="E3466" s="66"/>
      <c r="F3466" s="67">
        <v>3.0000000000000001E-3</v>
      </c>
      <c r="G3466" s="67">
        <v>2E-3</v>
      </c>
      <c r="H3466" s="63"/>
    </row>
    <row r="3467" spans="1:8" x14ac:dyDescent="0.25">
      <c r="A3467" s="63"/>
      <c r="B3467" s="63">
        <v>29</v>
      </c>
      <c r="C3467" s="63" t="s">
        <v>2668</v>
      </c>
      <c r="D3467" s="63" t="s">
        <v>62</v>
      </c>
      <c r="E3467" s="66"/>
      <c r="F3467" s="67">
        <v>3.0000000000000001E-3</v>
      </c>
      <c r="G3467" s="67">
        <v>2E-3</v>
      </c>
      <c r="H3467" s="63"/>
    </row>
    <row r="3468" spans="1:8" x14ac:dyDescent="0.25">
      <c r="A3468" s="63"/>
      <c r="B3468" s="63">
        <v>30</v>
      </c>
      <c r="C3468" s="63" t="s">
        <v>2668</v>
      </c>
      <c r="D3468" s="63" t="s">
        <v>62</v>
      </c>
      <c r="E3468" s="66"/>
      <c r="F3468" s="67">
        <v>3.0000000000000001E-3</v>
      </c>
      <c r="G3468" s="67">
        <v>2E-3</v>
      </c>
      <c r="H3468" s="63"/>
    </row>
    <row r="3469" spans="1:8" x14ac:dyDescent="0.25">
      <c r="A3469" s="63"/>
      <c r="B3469" s="63">
        <v>0</v>
      </c>
      <c r="C3469" s="63" t="s">
        <v>2668</v>
      </c>
      <c r="D3469" s="63" t="s">
        <v>62</v>
      </c>
      <c r="E3469" s="66">
        <v>3.0428788910505911</v>
      </c>
      <c r="F3469" s="67">
        <v>3.0000000000000001E-3</v>
      </c>
      <c r="G3469" s="67">
        <v>2E-3</v>
      </c>
      <c r="H3469" s="63"/>
    </row>
    <row r="3470" spans="1:8" x14ac:dyDescent="0.25">
      <c r="A3470" s="63"/>
      <c r="B3470" s="63">
        <v>0.25</v>
      </c>
      <c r="C3470" s="63" t="s">
        <v>2668</v>
      </c>
      <c r="D3470" s="63" t="s">
        <v>64</v>
      </c>
      <c r="E3470" s="66">
        <v>22.322054432421936</v>
      </c>
      <c r="F3470" s="67">
        <v>3.0000000000000001E-3</v>
      </c>
      <c r="G3470" s="67">
        <v>2E-3</v>
      </c>
      <c r="H3470" s="63"/>
    </row>
    <row r="3471" spans="1:8" x14ac:dyDescent="0.25">
      <c r="A3471" s="63"/>
      <c r="B3471" s="63">
        <v>0.5</v>
      </c>
      <c r="C3471" s="63" t="s">
        <v>2668</v>
      </c>
      <c r="D3471" s="63" t="s">
        <v>64</v>
      </c>
      <c r="E3471" s="66">
        <v>24.601819623386088</v>
      </c>
      <c r="F3471" s="67">
        <v>3.0000000000000001E-3</v>
      </c>
      <c r="G3471" s="67">
        <v>2E-3</v>
      </c>
      <c r="H3471" s="63"/>
    </row>
    <row r="3472" spans="1:8" x14ac:dyDescent="0.25">
      <c r="A3472" s="63"/>
      <c r="B3472" s="63">
        <v>0.75</v>
      </c>
      <c r="C3472" s="63" t="s">
        <v>2668</v>
      </c>
      <c r="D3472" s="63" t="s">
        <v>64</v>
      </c>
      <c r="E3472" s="66">
        <v>27.117044267047554</v>
      </c>
      <c r="F3472" s="67">
        <v>3.0000000000000001E-3</v>
      </c>
      <c r="G3472" s="67">
        <v>2E-3</v>
      </c>
      <c r="H3472" s="63"/>
    </row>
    <row r="3473" spans="1:8" x14ac:dyDescent="0.25">
      <c r="A3473" s="63"/>
      <c r="B3473" s="63">
        <v>1</v>
      </c>
      <c r="C3473" s="63" t="s">
        <v>2668</v>
      </c>
      <c r="D3473" s="63" t="s">
        <v>64</v>
      </c>
      <c r="E3473" s="66">
        <v>29.2369540706446</v>
      </c>
      <c r="F3473" s="67">
        <v>3.0000000000000001E-3</v>
      </c>
      <c r="G3473" s="67">
        <v>2E-3</v>
      </c>
      <c r="H3473" s="63"/>
    </row>
    <row r="3474" spans="1:8" x14ac:dyDescent="0.25">
      <c r="A3474" s="63"/>
      <c r="B3474" s="63">
        <v>2</v>
      </c>
      <c r="C3474" s="63" t="s">
        <v>2668</v>
      </c>
      <c r="D3474" s="63" t="s">
        <v>64</v>
      </c>
      <c r="E3474" s="66">
        <v>35.887715548778033</v>
      </c>
      <c r="F3474" s="67">
        <v>3.0000000000000001E-3</v>
      </c>
      <c r="G3474" s="67">
        <v>2E-3</v>
      </c>
      <c r="H3474" s="63"/>
    </row>
    <row r="3475" spans="1:8" x14ac:dyDescent="0.25">
      <c r="A3475" s="63"/>
      <c r="B3475" s="63">
        <v>3</v>
      </c>
      <c r="C3475" s="63" t="s">
        <v>2668</v>
      </c>
      <c r="D3475" s="63" t="s">
        <v>64</v>
      </c>
      <c r="E3475" s="66">
        <v>43.340441784797164</v>
      </c>
      <c r="F3475" s="67">
        <v>3.0000000000000001E-3</v>
      </c>
      <c r="G3475" s="67">
        <v>2E-3</v>
      </c>
      <c r="H3475" s="63"/>
    </row>
    <row r="3476" spans="1:8" x14ac:dyDescent="0.25">
      <c r="A3476" s="63"/>
      <c r="B3476" s="63">
        <v>4</v>
      </c>
      <c r="C3476" s="63" t="s">
        <v>2668</v>
      </c>
      <c r="D3476" s="63" t="s">
        <v>64</v>
      </c>
      <c r="E3476" s="66">
        <v>50.878922643217386</v>
      </c>
      <c r="F3476" s="67">
        <v>3.0000000000000001E-3</v>
      </c>
      <c r="G3476" s="67">
        <v>2E-3</v>
      </c>
      <c r="H3476" s="63"/>
    </row>
    <row r="3477" spans="1:8" x14ac:dyDescent="0.25">
      <c r="A3477" s="63"/>
      <c r="B3477" s="63">
        <v>5</v>
      </c>
      <c r="C3477" s="63" t="s">
        <v>2668</v>
      </c>
      <c r="D3477" s="63" t="s">
        <v>64</v>
      </c>
      <c r="E3477" s="66">
        <v>58.511733586278822</v>
      </c>
      <c r="F3477" s="67">
        <v>3.0000000000000001E-3</v>
      </c>
      <c r="G3477" s="67">
        <v>2E-3</v>
      </c>
      <c r="H3477" s="63"/>
    </row>
    <row r="3478" spans="1:8" x14ac:dyDescent="0.25">
      <c r="A3478" s="63"/>
      <c r="B3478" s="63">
        <v>6</v>
      </c>
      <c r="C3478" s="63" t="s">
        <v>2668</v>
      </c>
      <c r="D3478" s="63" t="s">
        <v>64</v>
      </c>
      <c r="E3478" s="66">
        <v>67.924000242999782</v>
      </c>
      <c r="F3478" s="67">
        <v>3.0000000000000001E-3</v>
      </c>
      <c r="G3478" s="67">
        <v>2E-3</v>
      </c>
      <c r="H3478" s="63"/>
    </row>
    <row r="3479" spans="1:8" x14ac:dyDescent="0.25">
      <c r="A3479" s="63"/>
      <c r="B3479" s="63">
        <v>7</v>
      </c>
      <c r="C3479" s="63" t="s">
        <v>2668</v>
      </c>
      <c r="D3479" s="63" t="s">
        <v>64</v>
      </c>
      <c r="E3479" s="66">
        <v>75.106340069501698</v>
      </c>
      <c r="F3479" s="67">
        <v>3.0000000000000001E-3</v>
      </c>
      <c r="G3479" s="67">
        <v>2E-3</v>
      </c>
      <c r="H3479" s="63"/>
    </row>
    <row r="3480" spans="1:8" x14ac:dyDescent="0.25">
      <c r="A3480" s="63"/>
      <c r="B3480" s="63">
        <v>8</v>
      </c>
      <c r="C3480" s="63" t="s">
        <v>2668</v>
      </c>
      <c r="D3480" s="63" t="s">
        <v>64</v>
      </c>
      <c r="E3480" s="66">
        <v>82.401730816881624</v>
      </c>
      <c r="F3480" s="67">
        <v>3.0000000000000001E-3</v>
      </c>
      <c r="G3480" s="67">
        <v>2E-3</v>
      </c>
      <c r="H3480" s="63"/>
    </row>
    <row r="3481" spans="1:8" x14ac:dyDescent="0.25">
      <c r="A3481" s="63"/>
      <c r="B3481" s="63">
        <v>9</v>
      </c>
      <c r="C3481" s="63" t="s">
        <v>2668</v>
      </c>
      <c r="D3481" s="63" t="s">
        <v>64</v>
      </c>
      <c r="E3481" s="66">
        <v>90.556950861998658</v>
      </c>
      <c r="F3481" s="67">
        <v>3.0000000000000001E-3</v>
      </c>
      <c r="G3481" s="67">
        <v>2E-3</v>
      </c>
      <c r="H3481" s="63"/>
    </row>
    <row r="3482" spans="1:8" x14ac:dyDescent="0.25">
      <c r="A3482" s="63"/>
      <c r="B3482" s="63">
        <v>10</v>
      </c>
      <c r="C3482" s="63" t="s">
        <v>2668</v>
      </c>
      <c r="D3482" s="63" t="s">
        <v>64</v>
      </c>
      <c r="E3482" s="66">
        <v>98.65295143668034</v>
      </c>
      <c r="F3482" s="67">
        <v>3.0000000000000001E-3</v>
      </c>
      <c r="G3482" s="67">
        <v>2E-3</v>
      </c>
      <c r="H3482" s="63"/>
    </row>
    <row r="3483" spans="1:8" x14ac:dyDescent="0.25">
      <c r="A3483" s="63"/>
      <c r="B3483" s="63">
        <v>11</v>
      </c>
      <c r="C3483" s="63" t="s">
        <v>2668</v>
      </c>
      <c r="D3483" s="63" t="s">
        <v>64</v>
      </c>
      <c r="E3483" s="66"/>
      <c r="F3483" s="67">
        <v>3.0000000000000001E-3</v>
      </c>
      <c r="G3483" s="67">
        <v>2E-3</v>
      </c>
      <c r="H3483" s="63"/>
    </row>
    <row r="3484" spans="1:8" x14ac:dyDescent="0.25">
      <c r="A3484" s="63"/>
      <c r="B3484" s="63">
        <v>12</v>
      </c>
      <c r="C3484" s="63" t="s">
        <v>2668</v>
      </c>
      <c r="D3484" s="63" t="s">
        <v>64</v>
      </c>
      <c r="E3484" s="66"/>
      <c r="F3484" s="67">
        <v>3.0000000000000001E-3</v>
      </c>
      <c r="G3484" s="67">
        <v>2E-3</v>
      </c>
      <c r="H3484" s="63"/>
    </row>
    <row r="3485" spans="1:8" x14ac:dyDescent="0.25">
      <c r="A3485" s="63"/>
      <c r="B3485" s="63">
        <v>13</v>
      </c>
      <c r="C3485" s="63" t="s">
        <v>2668</v>
      </c>
      <c r="D3485" s="63" t="s">
        <v>64</v>
      </c>
      <c r="E3485" s="66"/>
      <c r="F3485" s="67">
        <v>3.0000000000000001E-3</v>
      </c>
      <c r="G3485" s="67">
        <v>2E-3</v>
      </c>
      <c r="H3485" s="63"/>
    </row>
    <row r="3486" spans="1:8" x14ac:dyDescent="0.25">
      <c r="A3486" s="63"/>
      <c r="B3486" s="63">
        <v>14</v>
      </c>
      <c r="C3486" s="63" t="s">
        <v>2668</v>
      </c>
      <c r="D3486" s="63" t="s">
        <v>64</v>
      </c>
      <c r="E3486" s="66"/>
      <c r="F3486" s="67">
        <v>3.0000000000000001E-3</v>
      </c>
      <c r="G3486" s="67">
        <v>2E-3</v>
      </c>
      <c r="H3486" s="63"/>
    </row>
    <row r="3487" spans="1:8" x14ac:dyDescent="0.25">
      <c r="A3487" s="63"/>
      <c r="B3487" s="63">
        <v>15</v>
      </c>
      <c r="C3487" s="63" t="s">
        <v>2668</v>
      </c>
      <c r="D3487" s="63" t="s">
        <v>64</v>
      </c>
      <c r="E3487" s="66"/>
      <c r="F3487" s="67">
        <v>3.0000000000000001E-3</v>
      </c>
      <c r="G3487" s="67">
        <v>2E-3</v>
      </c>
      <c r="H3487" s="63"/>
    </row>
    <row r="3488" spans="1:8" x14ac:dyDescent="0.25">
      <c r="A3488" s="63"/>
      <c r="B3488" s="63">
        <v>16</v>
      </c>
      <c r="C3488" s="63" t="s">
        <v>2668</v>
      </c>
      <c r="D3488" s="63" t="s">
        <v>64</v>
      </c>
      <c r="E3488" s="66"/>
      <c r="F3488" s="67">
        <v>3.0000000000000001E-3</v>
      </c>
      <c r="G3488" s="67">
        <v>2E-3</v>
      </c>
      <c r="H3488" s="63"/>
    </row>
    <row r="3489" spans="1:8" x14ac:dyDescent="0.25">
      <c r="A3489" s="63"/>
      <c r="B3489" s="63">
        <v>17</v>
      </c>
      <c r="C3489" s="63" t="s">
        <v>2668</v>
      </c>
      <c r="D3489" s="63" t="s">
        <v>64</v>
      </c>
      <c r="E3489" s="66"/>
      <c r="F3489" s="67">
        <v>3.0000000000000001E-3</v>
      </c>
      <c r="G3489" s="67">
        <v>2E-3</v>
      </c>
      <c r="H3489" s="63"/>
    </row>
    <row r="3490" spans="1:8" x14ac:dyDescent="0.25">
      <c r="A3490" s="63"/>
      <c r="B3490" s="63">
        <v>18</v>
      </c>
      <c r="C3490" s="63" t="s">
        <v>2668</v>
      </c>
      <c r="D3490" s="63" t="s">
        <v>64</v>
      </c>
      <c r="E3490" s="66"/>
      <c r="F3490" s="67">
        <v>3.0000000000000001E-3</v>
      </c>
      <c r="G3490" s="67">
        <v>2E-3</v>
      </c>
      <c r="H3490" s="63"/>
    </row>
    <row r="3491" spans="1:8" x14ac:dyDescent="0.25">
      <c r="A3491" s="63"/>
      <c r="B3491" s="63">
        <v>19</v>
      </c>
      <c r="C3491" s="63" t="s">
        <v>2668</v>
      </c>
      <c r="D3491" s="63" t="s">
        <v>64</v>
      </c>
      <c r="E3491" s="66"/>
      <c r="F3491" s="67">
        <v>3.0000000000000001E-3</v>
      </c>
      <c r="G3491" s="67">
        <v>2E-3</v>
      </c>
      <c r="H3491" s="63"/>
    </row>
    <row r="3492" spans="1:8" x14ac:dyDescent="0.25">
      <c r="A3492" s="63"/>
      <c r="B3492" s="63">
        <v>20</v>
      </c>
      <c r="C3492" s="63" t="s">
        <v>2668</v>
      </c>
      <c r="D3492" s="63" t="s">
        <v>64</v>
      </c>
      <c r="E3492" s="66"/>
      <c r="F3492" s="67">
        <v>3.0000000000000001E-3</v>
      </c>
      <c r="G3492" s="67">
        <v>2E-3</v>
      </c>
      <c r="H3492" s="63"/>
    </row>
    <row r="3493" spans="1:8" x14ac:dyDescent="0.25">
      <c r="A3493" s="63"/>
      <c r="B3493" s="63">
        <v>21</v>
      </c>
      <c r="C3493" s="63" t="s">
        <v>2668</v>
      </c>
      <c r="D3493" s="63" t="s">
        <v>64</v>
      </c>
      <c r="E3493" s="66"/>
      <c r="F3493" s="67">
        <v>3.0000000000000001E-3</v>
      </c>
      <c r="G3493" s="67">
        <v>2E-3</v>
      </c>
      <c r="H3493" s="63"/>
    </row>
    <row r="3494" spans="1:8" x14ac:dyDescent="0.25">
      <c r="A3494" s="63"/>
      <c r="B3494" s="63">
        <v>22</v>
      </c>
      <c r="C3494" s="63" t="s">
        <v>2668</v>
      </c>
      <c r="D3494" s="63" t="s">
        <v>64</v>
      </c>
      <c r="E3494" s="66"/>
      <c r="F3494" s="67">
        <v>3.0000000000000001E-3</v>
      </c>
      <c r="G3494" s="67">
        <v>2E-3</v>
      </c>
      <c r="H3494" s="63"/>
    </row>
    <row r="3495" spans="1:8" x14ac:dyDescent="0.25">
      <c r="A3495" s="63"/>
      <c r="B3495" s="63">
        <v>23</v>
      </c>
      <c r="C3495" s="63" t="s">
        <v>2668</v>
      </c>
      <c r="D3495" s="63" t="s">
        <v>64</v>
      </c>
      <c r="E3495" s="66"/>
      <c r="F3495" s="67">
        <v>3.0000000000000001E-3</v>
      </c>
      <c r="G3495" s="67">
        <v>2E-3</v>
      </c>
      <c r="H3495" s="63"/>
    </row>
    <row r="3496" spans="1:8" x14ac:dyDescent="0.25">
      <c r="A3496" s="63"/>
      <c r="B3496" s="63">
        <v>24</v>
      </c>
      <c r="C3496" s="63" t="s">
        <v>2668</v>
      </c>
      <c r="D3496" s="63" t="s">
        <v>64</v>
      </c>
      <c r="E3496" s="66"/>
      <c r="F3496" s="67">
        <v>3.0000000000000001E-3</v>
      </c>
      <c r="G3496" s="67">
        <v>2E-3</v>
      </c>
      <c r="H3496" s="63"/>
    </row>
    <row r="3497" spans="1:8" x14ac:dyDescent="0.25">
      <c r="A3497" s="63"/>
      <c r="B3497" s="63">
        <v>25</v>
      </c>
      <c r="C3497" s="63" t="s">
        <v>2668</v>
      </c>
      <c r="D3497" s="63" t="s">
        <v>64</v>
      </c>
      <c r="E3497" s="66"/>
      <c r="F3497" s="67">
        <v>3.0000000000000001E-3</v>
      </c>
      <c r="G3497" s="67">
        <v>2E-3</v>
      </c>
      <c r="H3497" s="63"/>
    </row>
    <row r="3498" spans="1:8" x14ac:dyDescent="0.25">
      <c r="A3498" s="63"/>
      <c r="B3498" s="63">
        <v>26</v>
      </c>
      <c r="C3498" s="63" t="s">
        <v>2668</v>
      </c>
      <c r="D3498" s="63" t="s">
        <v>64</v>
      </c>
      <c r="E3498" s="66"/>
      <c r="F3498" s="67">
        <v>3.0000000000000001E-3</v>
      </c>
      <c r="G3498" s="67">
        <v>2E-3</v>
      </c>
      <c r="H3498" s="63"/>
    </row>
    <row r="3499" spans="1:8" x14ac:dyDescent="0.25">
      <c r="A3499" s="63"/>
      <c r="B3499" s="63">
        <v>27</v>
      </c>
      <c r="C3499" s="63" t="s">
        <v>2668</v>
      </c>
      <c r="D3499" s="63" t="s">
        <v>64</v>
      </c>
      <c r="E3499" s="66"/>
      <c r="F3499" s="67">
        <v>3.0000000000000001E-3</v>
      </c>
      <c r="G3499" s="67">
        <v>2E-3</v>
      </c>
      <c r="H3499" s="63"/>
    </row>
    <row r="3500" spans="1:8" x14ac:dyDescent="0.25">
      <c r="A3500" s="63"/>
      <c r="B3500" s="63">
        <v>28</v>
      </c>
      <c r="C3500" s="63" t="s">
        <v>2668</v>
      </c>
      <c r="D3500" s="63" t="s">
        <v>64</v>
      </c>
      <c r="E3500" s="66"/>
      <c r="F3500" s="67">
        <v>3.0000000000000001E-3</v>
      </c>
      <c r="G3500" s="67">
        <v>2E-3</v>
      </c>
      <c r="H3500" s="63"/>
    </row>
    <row r="3501" spans="1:8" x14ac:dyDescent="0.25">
      <c r="A3501" s="63"/>
      <c r="B3501" s="63">
        <v>29</v>
      </c>
      <c r="C3501" s="63" t="s">
        <v>2668</v>
      </c>
      <c r="D3501" s="63" t="s">
        <v>64</v>
      </c>
      <c r="E3501" s="66"/>
      <c r="F3501" s="67">
        <v>3.0000000000000001E-3</v>
      </c>
      <c r="G3501" s="67">
        <v>2E-3</v>
      </c>
      <c r="H3501" s="63"/>
    </row>
    <row r="3502" spans="1:8" x14ac:dyDescent="0.25">
      <c r="A3502" s="63"/>
      <c r="B3502" s="63">
        <v>30</v>
      </c>
      <c r="C3502" s="63" t="s">
        <v>2668</v>
      </c>
      <c r="D3502" s="63" t="s">
        <v>64</v>
      </c>
      <c r="E3502" s="66"/>
      <c r="F3502" s="67">
        <v>3.0000000000000001E-3</v>
      </c>
      <c r="G3502" s="67">
        <v>2E-3</v>
      </c>
      <c r="H3502" s="63"/>
    </row>
    <row r="3503" spans="1:8" x14ac:dyDescent="0.25">
      <c r="A3503" s="63"/>
      <c r="B3503" s="63">
        <v>0</v>
      </c>
      <c r="C3503" s="63" t="s">
        <v>2668</v>
      </c>
      <c r="D3503" s="63" t="s">
        <v>64</v>
      </c>
      <c r="E3503" s="66">
        <v>3.0428788910505911</v>
      </c>
      <c r="F3503" s="67">
        <v>3.0000000000000001E-3</v>
      </c>
      <c r="G3503" s="67">
        <v>2E-3</v>
      </c>
      <c r="H3503" s="63"/>
    </row>
    <row r="3504" spans="1:8" x14ac:dyDescent="0.25">
      <c r="A3504" s="63"/>
      <c r="B3504" s="63">
        <v>0.25</v>
      </c>
      <c r="C3504" s="63" t="s">
        <v>2668</v>
      </c>
      <c r="D3504" s="63" t="s">
        <v>77</v>
      </c>
      <c r="E3504" s="66">
        <v>30.245120785802055</v>
      </c>
      <c r="F3504" s="67">
        <v>3.0000000000000001E-3</v>
      </c>
      <c r="G3504" s="67">
        <v>2E-3</v>
      </c>
      <c r="H3504" s="63"/>
    </row>
    <row r="3505" spans="1:8" x14ac:dyDescent="0.25">
      <c r="A3505" s="63"/>
      <c r="B3505" s="63">
        <v>0.5</v>
      </c>
      <c r="C3505" s="63" t="s">
        <v>2668</v>
      </c>
      <c r="D3505" s="63" t="s">
        <v>77</v>
      </c>
      <c r="E3505" s="66">
        <v>33.285241158213239</v>
      </c>
      <c r="F3505" s="67">
        <v>3.0000000000000001E-3</v>
      </c>
      <c r="G3505" s="67">
        <v>2E-3</v>
      </c>
      <c r="H3505" s="63"/>
    </row>
    <row r="3506" spans="1:8" x14ac:dyDescent="0.25">
      <c r="A3506" s="63"/>
      <c r="B3506" s="63">
        <v>0.75</v>
      </c>
      <c r="C3506" s="63" t="s">
        <v>2668</v>
      </c>
      <c r="D3506" s="63" t="s">
        <v>77</v>
      </c>
      <c r="E3506" s="66">
        <v>36.631366552338172</v>
      </c>
      <c r="F3506" s="67">
        <v>3.0000000000000001E-3</v>
      </c>
      <c r="G3506" s="67">
        <v>2E-3</v>
      </c>
      <c r="H3506" s="63"/>
    </row>
    <row r="3507" spans="1:8" x14ac:dyDescent="0.25">
      <c r="A3507" s="63"/>
      <c r="B3507" s="63">
        <v>1</v>
      </c>
      <c r="C3507" s="63" t="s">
        <v>2668</v>
      </c>
      <c r="D3507" s="63" t="s">
        <v>77</v>
      </c>
      <c r="E3507" s="66">
        <v>38.909767544853885</v>
      </c>
      <c r="F3507" s="67">
        <v>3.0000000000000001E-3</v>
      </c>
      <c r="G3507" s="67">
        <v>2E-3</v>
      </c>
      <c r="H3507" s="63"/>
    </row>
    <row r="3508" spans="1:8" x14ac:dyDescent="0.25">
      <c r="A3508" s="63"/>
      <c r="B3508" s="63">
        <v>2</v>
      </c>
      <c r="C3508" s="63" t="s">
        <v>2668</v>
      </c>
      <c r="D3508" s="63" t="s">
        <v>77</v>
      </c>
      <c r="E3508" s="66">
        <v>46.682383152234813</v>
      </c>
      <c r="F3508" s="67">
        <v>3.0000000000000001E-3</v>
      </c>
      <c r="G3508" s="67">
        <v>2E-3</v>
      </c>
      <c r="H3508" s="63"/>
    </row>
    <row r="3509" spans="1:8" x14ac:dyDescent="0.25">
      <c r="A3509" s="63"/>
      <c r="B3509" s="63">
        <v>3</v>
      </c>
      <c r="C3509" s="63" t="s">
        <v>2668</v>
      </c>
      <c r="D3509" s="63" t="s">
        <v>77</v>
      </c>
      <c r="E3509" s="66">
        <v>59.921474165477775</v>
      </c>
      <c r="F3509" s="67">
        <v>3.0000000000000001E-3</v>
      </c>
      <c r="G3509" s="67">
        <v>2E-3</v>
      </c>
      <c r="H3509" s="63"/>
    </row>
    <row r="3510" spans="1:8" x14ac:dyDescent="0.25">
      <c r="A3510" s="63"/>
      <c r="B3510" s="63">
        <v>4</v>
      </c>
      <c r="C3510" s="63" t="s">
        <v>2668</v>
      </c>
      <c r="D3510" s="63" t="s">
        <v>77</v>
      </c>
      <c r="E3510" s="66">
        <v>69.474106781959463</v>
      </c>
      <c r="F3510" s="67">
        <v>3.0000000000000001E-3</v>
      </c>
      <c r="G3510" s="67">
        <v>2E-3</v>
      </c>
      <c r="H3510" s="63"/>
    </row>
    <row r="3511" spans="1:8" x14ac:dyDescent="0.25">
      <c r="A3511" s="63"/>
      <c r="B3511" s="63">
        <v>5</v>
      </c>
      <c r="C3511" s="63" t="s">
        <v>2668</v>
      </c>
      <c r="D3511" s="63" t="s">
        <v>77</v>
      </c>
      <c r="E3511" s="66">
        <v>79.249204880977274</v>
      </c>
      <c r="F3511" s="67">
        <v>3.0000000000000001E-3</v>
      </c>
      <c r="G3511" s="67">
        <v>2E-3</v>
      </c>
      <c r="H3511" s="63"/>
    </row>
    <row r="3512" spans="1:8" x14ac:dyDescent="0.25">
      <c r="A3512" s="63"/>
      <c r="B3512" s="63">
        <v>6</v>
      </c>
      <c r="C3512" s="63" t="s">
        <v>2668</v>
      </c>
      <c r="D3512" s="63" t="s">
        <v>77</v>
      </c>
      <c r="E3512" s="66">
        <v>89.269015010784813</v>
      </c>
      <c r="F3512" s="67">
        <v>3.0000000000000001E-3</v>
      </c>
      <c r="G3512" s="67">
        <v>2E-3</v>
      </c>
      <c r="H3512" s="63"/>
    </row>
    <row r="3513" spans="1:8" x14ac:dyDescent="0.25">
      <c r="A3513" s="63"/>
      <c r="B3513" s="63">
        <v>7</v>
      </c>
      <c r="C3513" s="63" t="s">
        <v>2668</v>
      </c>
      <c r="D3513" s="63" t="s">
        <v>77</v>
      </c>
      <c r="E3513" s="66">
        <v>99.558008374461224</v>
      </c>
      <c r="F3513" s="67">
        <v>3.0000000000000001E-3</v>
      </c>
      <c r="G3513" s="67">
        <v>2E-3</v>
      </c>
      <c r="H3513" s="63"/>
    </row>
    <row r="3514" spans="1:8" x14ac:dyDescent="0.25">
      <c r="A3514" s="63"/>
      <c r="B3514" s="63">
        <v>8</v>
      </c>
      <c r="C3514" s="63" t="s">
        <v>2668</v>
      </c>
      <c r="D3514" s="63" t="s">
        <v>77</v>
      </c>
      <c r="E3514" s="66">
        <v>110.14310329539315</v>
      </c>
      <c r="F3514" s="67">
        <v>3.0000000000000001E-3</v>
      </c>
      <c r="G3514" s="67">
        <v>2E-3</v>
      </c>
      <c r="H3514" s="63"/>
    </row>
    <row r="3515" spans="1:8" x14ac:dyDescent="0.25">
      <c r="A3515" s="63"/>
      <c r="B3515" s="63">
        <v>9</v>
      </c>
      <c r="C3515" s="63" t="s">
        <v>2668</v>
      </c>
      <c r="D3515" s="63" t="s">
        <v>77</v>
      </c>
      <c r="E3515" s="66">
        <v>121.05390992930631</v>
      </c>
      <c r="F3515" s="67">
        <v>3.0000000000000001E-3</v>
      </c>
      <c r="G3515" s="67">
        <v>2E-3</v>
      </c>
      <c r="H3515" s="63"/>
    </row>
    <row r="3516" spans="1:8" x14ac:dyDescent="0.25">
      <c r="A3516" s="63"/>
      <c r="B3516" s="63">
        <v>10</v>
      </c>
      <c r="C3516" s="63" t="s">
        <v>2668</v>
      </c>
      <c r="D3516" s="63" t="s">
        <v>77</v>
      </c>
      <c r="E3516" s="66">
        <v>133.14362481567588</v>
      </c>
      <c r="F3516" s="67">
        <v>3.0000000000000001E-3</v>
      </c>
      <c r="G3516" s="67">
        <v>2E-3</v>
      </c>
      <c r="H3516" s="63"/>
    </row>
    <row r="3517" spans="1:8" x14ac:dyDescent="0.25">
      <c r="A3517" s="63"/>
      <c r="B3517" s="63">
        <v>11</v>
      </c>
      <c r="C3517" s="63" t="s">
        <v>2668</v>
      </c>
      <c r="D3517" s="63" t="s">
        <v>77</v>
      </c>
      <c r="E3517" s="66"/>
      <c r="F3517" s="67">
        <v>3.0000000000000001E-3</v>
      </c>
      <c r="G3517" s="67">
        <v>2E-3</v>
      </c>
      <c r="H3517" s="63"/>
    </row>
    <row r="3518" spans="1:8" x14ac:dyDescent="0.25">
      <c r="A3518" s="63"/>
      <c r="B3518" s="63">
        <v>12</v>
      </c>
      <c r="C3518" s="63" t="s">
        <v>2668</v>
      </c>
      <c r="D3518" s="63" t="s">
        <v>77</v>
      </c>
      <c r="E3518" s="66"/>
      <c r="F3518" s="67">
        <v>3.0000000000000001E-3</v>
      </c>
      <c r="G3518" s="67">
        <v>2E-3</v>
      </c>
      <c r="H3518" s="63"/>
    </row>
    <row r="3519" spans="1:8" x14ac:dyDescent="0.25">
      <c r="A3519" s="63"/>
      <c r="B3519" s="63">
        <v>13</v>
      </c>
      <c r="C3519" s="63" t="s">
        <v>2668</v>
      </c>
      <c r="D3519" s="63" t="s">
        <v>77</v>
      </c>
      <c r="E3519" s="66"/>
      <c r="F3519" s="67">
        <v>3.0000000000000001E-3</v>
      </c>
      <c r="G3519" s="67">
        <v>2E-3</v>
      </c>
      <c r="H3519" s="63"/>
    </row>
    <row r="3520" spans="1:8" x14ac:dyDescent="0.25">
      <c r="A3520" s="63"/>
      <c r="B3520" s="63">
        <v>14</v>
      </c>
      <c r="C3520" s="63" t="s">
        <v>2668</v>
      </c>
      <c r="D3520" s="63" t="s">
        <v>77</v>
      </c>
      <c r="E3520" s="66"/>
      <c r="F3520" s="67">
        <v>3.0000000000000001E-3</v>
      </c>
      <c r="G3520" s="67">
        <v>2E-3</v>
      </c>
      <c r="H3520" s="63"/>
    </row>
    <row r="3521" spans="1:8" x14ac:dyDescent="0.25">
      <c r="A3521" s="63"/>
      <c r="B3521" s="63">
        <v>15</v>
      </c>
      <c r="C3521" s="63" t="s">
        <v>2668</v>
      </c>
      <c r="D3521" s="63" t="s">
        <v>77</v>
      </c>
      <c r="E3521" s="66"/>
      <c r="F3521" s="67">
        <v>3.0000000000000001E-3</v>
      </c>
      <c r="G3521" s="67">
        <v>2E-3</v>
      </c>
      <c r="H3521" s="63"/>
    </row>
    <row r="3522" spans="1:8" x14ac:dyDescent="0.25">
      <c r="A3522" s="63"/>
      <c r="B3522" s="63">
        <v>16</v>
      </c>
      <c r="C3522" s="63" t="s">
        <v>2668</v>
      </c>
      <c r="D3522" s="63" t="s">
        <v>77</v>
      </c>
      <c r="E3522" s="66"/>
      <c r="F3522" s="67">
        <v>3.0000000000000001E-3</v>
      </c>
      <c r="G3522" s="67">
        <v>2E-3</v>
      </c>
      <c r="H3522" s="63"/>
    </row>
    <row r="3523" spans="1:8" x14ac:dyDescent="0.25">
      <c r="A3523" s="63"/>
      <c r="B3523" s="63">
        <v>17</v>
      </c>
      <c r="C3523" s="63" t="s">
        <v>2668</v>
      </c>
      <c r="D3523" s="63" t="s">
        <v>77</v>
      </c>
      <c r="E3523" s="66"/>
      <c r="F3523" s="67">
        <v>3.0000000000000001E-3</v>
      </c>
      <c r="G3523" s="67">
        <v>2E-3</v>
      </c>
      <c r="H3523" s="63"/>
    </row>
    <row r="3524" spans="1:8" x14ac:dyDescent="0.25">
      <c r="A3524" s="63"/>
      <c r="B3524" s="63">
        <v>18</v>
      </c>
      <c r="C3524" s="63" t="s">
        <v>2668</v>
      </c>
      <c r="D3524" s="63" t="s">
        <v>77</v>
      </c>
      <c r="E3524" s="66"/>
      <c r="F3524" s="67">
        <v>3.0000000000000001E-3</v>
      </c>
      <c r="G3524" s="67">
        <v>2E-3</v>
      </c>
      <c r="H3524" s="63"/>
    </row>
    <row r="3525" spans="1:8" x14ac:dyDescent="0.25">
      <c r="A3525" s="63"/>
      <c r="B3525" s="63">
        <v>19</v>
      </c>
      <c r="C3525" s="63" t="s">
        <v>2668</v>
      </c>
      <c r="D3525" s="63" t="s">
        <v>77</v>
      </c>
      <c r="E3525" s="66"/>
      <c r="F3525" s="67">
        <v>3.0000000000000001E-3</v>
      </c>
      <c r="G3525" s="67">
        <v>2E-3</v>
      </c>
      <c r="H3525" s="63"/>
    </row>
    <row r="3526" spans="1:8" x14ac:dyDescent="0.25">
      <c r="A3526" s="63"/>
      <c r="B3526" s="63">
        <v>20</v>
      </c>
      <c r="C3526" s="63" t="s">
        <v>2668</v>
      </c>
      <c r="D3526" s="63" t="s">
        <v>77</v>
      </c>
      <c r="E3526" s="66"/>
      <c r="F3526" s="67">
        <v>3.0000000000000001E-3</v>
      </c>
      <c r="G3526" s="67">
        <v>2E-3</v>
      </c>
      <c r="H3526" s="63"/>
    </row>
    <row r="3527" spans="1:8" x14ac:dyDescent="0.25">
      <c r="A3527" s="63"/>
      <c r="B3527" s="63">
        <v>21</v>
      </c>
      <c r="C3527" s="63" t="s">
        <v>2668</v>
      </c>
      <c r="D3527" s="63" t="s">
        <v>77</v>
      </c>
      <c r="E3527" s="66"/>
      <c r="F3527" s="67">
        <v>3.0000000000000001E-3</v>
      </c>
      <c r="G3527" s="67">
        <v>2E-3</v>
      </c>
      <c r="H3527" s="63"/>
    </row>
    <row r="3528" spans="1:8" x14ac:dyDescent="0.25">
      <c r="A3528" s="63"/>
      <c r="B3528" s="63">
        <v>22</v>
      </c>
      <c r="C3528" s="63" t="s">
        <v>2668</v>
      </c>
      <c r="D3528" s="63" t="s">
        <v>77</v>
      </c>
      <c r="E3528" s="66"/>
      <c r="F3528" s="67">
        <v>3.0000000000000001E-3</v>
      </c>
      <c r="G3528" s="67">
        <v>2E-3</v>
      </c>
      <c r="H3528" s="63"/>
    </row>
    <row r="3529" spans="1:8" x14ac:dyDescent="0.25">
      <c r="A3529" s="63"/>
      <c r="B3529" s="63">
        <v>23</v>
      </c>
      <c r="C3529" s="63" t="s">
        <v>2668</v>
      </c>
      <c r="D3529" s="63" t="s">
        <v>77</v>
      </c>
      <c r="E3529" s="66"/>
      <c r="F3529" s="67">
        <v>3.0000000000000001E-3</v>
      </c>
      <c r="G3529" s="67">
        <v>2E-3</v>
      </c>
      <c r="H3529" s="63"/>
    </row>
    <row r="3530" spans="1:8" x14ac:dyDescent="0.25">
      <c r="A3530" s="63"/>
      <c r="B3530" s="63">
        <v>24</v>
      </c>
      <c r="C3530" s="63" t="s">
        <v>2668</v>
      </c>
      <c r="D3530" s="63" t="s">
        <v>77</v>
      </c>
      <c r="E3530" s="66"/>
      <c r="F3530" s="67">
        <v>3.0000000000000001E-3</v>
      </c>
      <c r="G3530" s="67">
        <v>2E-3</v>
      </c>
      <c r="H3530" s="63"/>
    </row>
    <row r="3531" spans="1:8" x14ac:dyDescent="0.25">
      <c r="A3531" s="63"/>
      <c r="B3531" s="63">
        <v>25</v>
      </c>
      <c r="C3531" s="63" t="s">
        <v>2668</v>
      </c>
      <c r="D3531" s="63" t="s">
        <v>77</v>
      </c>
      <c r="E3531" s="66"/>
      <c r="F3531" s="67">
        <v>3.0000000000000001E-3</v>
      </c>
      <c r="G3531" s="67">
        <v>2E-3</v>
      </c>
      <c r="H3531" s="63"/>
    </row>
    <row r="3532" spans="1:8" x14ac:dyDescent="0.25">
      <c r="A3532" s="63"/>
      <c r="B3532" s="63">
        <v>26</v>
      </c>
      <c r="C3532" s="63" t="s">
        <v>2668</v>
      </c>
      <c r="D3532" s="63" t="s">
        <v>77</v>
      </c>
      <c r="E3532" s="66"/>
      <c r="F3532" s="67">
        <v>3.0000000000000001E-3</v>
      </c>
      <c r="G3532" s="67">
        <v>2E-3</v>
      </c>
      <c r="H3532" s="63"/>
    </row>
    <row r="3533" spans="1:8" x14ac:dyDescent="0.25">
      <c r="A3533" s="63"/>
      <c r="B3533" s="63">
        <v>27</v>
      </c>
      <c r="C3533" s="63" t="s">
        <v>2668</v>
      </c>
      <c r="D3533" s="63" t="s">
        <v>77</v>
      </c>
      <c r="E3533" s="66"/>
      <c r="F3533" s="67">
        <v>3.0000000000000001E-3</v>
      </c>
      <c r="G3533" s="67">
        <v>2E-3</v>
      </c>
      <c r="H3533" s="63"/>
    </row>
    <row r="3534" spans="1:8" x14ac:dyDescent="0.25">
      <c r="A3534" s="63"/>
      <c r="B3534" s="63">
        <v>28</v>
      </c>
      <c r="C3534" s="63" t="s">
        <v>2668</v>
      </c>
      <c r="D3534" s="63" t="s">
        <v>77</v>
      </c>
      <c r="E3534" s="66"/>
      <c r="F3534" s="67">
        <v>3.0000000000000001E-3</v>
      </c>
      <c r="G3534" s="67">
        <v>2E-3</v>
      </c>
      <c r="H3534" s="63"/>
    </row>
    <row r="3535" spans="1:8" x14ac:dyDescent="0.25">
      <c r="A3535" s="63"/>
      <c r="B3535" s="63">
        <v>29</v>
      </c>
      <c r="C3535" s="63" t="s">
        <v>2668</v>
      </c>
      <c r="D3535" s="63" t="s">
        <v>77</v>
      </c>
      <c r="E3535" s="66"/>
      <c r="F3535" s="67">
        <v>3.0000000000000001E-3</v>
      </c>
      <c r="G3535" s="67">
        <v>2E-3</v>
      </c>
      <c r="H3535" s="63"/>
    </row>
    <row r="3536" spans="1:8" x14ac:dyDescent="0.25">
      <c r="A3536" s="63"/>
      <c r="B3536" s="63">
        <v>30</v>
      </c>
      <c r="C3536" s="63" t="s">
        <v>2668</v>
      </c>
      <c r="D3536" s="63" t="s">
        <v>77</v>
      </c>
      <c r="E3536" s="66"/>
      <c r="F3536" s="67">
        <v>3.0000000000000001E-3</v>
      </c>
      <c r="G3536" s="67">
        <v>2E-3</v>
      </c>
      <c r="H3536" s="63"/>
    </row>
    <row r="3537" spans="1:8" x14ac:dyDescent="0.25">
      <c r="A3537" s="63"/>
      <c r="B3537" s="63">
        <v>0</v>
      </c>
      <c r="C3537" s="63" t="s">
        <v>2668</v>
      </c>
      <c r="D3537" s="63" t="s">
        <v>77</v>
      </c>
      <c r="E3537" s="66">
        <v>3.0428788910505911</v>
      </c>
      <c r="F3537" s="67">
        <v>3.0000000000000001E-3</v>
      </c>
      <c r="G3537" s="67">
        <v>2E-3</v>
      </c>
      <c r="H3537" s="63"/>
    </row>
    <row r="3538" spans="1:8" x14ac:dyDescent="0.25">
      <c r="A3538" s="63"/>
      <c r="B3538" s="63">
        <v>0.25</v>
      </c>
      <c r="C3538" s="63" t="s">
        <v>2995</v>
      </c>
      <c r="D3538" s="63" t="s">
        <v>21</v>
      </c>
      <c r="E3538" s="66">
        <v>13.559392306930091</v>
      </c>
      <c r="F3538" s="67">
        <v>3.0000000000000001E-3</v>
      </c>
      <c r="G3538" s="67">
        <v>2E-3</v>
      </c>
      <c r="H3538" s="63"/>
    </row>
    <row r="3539" spans="1:8" x14ac:dyDescent="0.25">
      <c r="A3539" s="63"/>
      <c r="B3539" s="63">
        <v>0.5</v>
      </c>
      <c r="C3539" s="63" t="s">
        <v>2995</v>
      </c>
      <c r="D3539" s="63" t="s">
        <v>21</v>
      </c>
      <c r="E3539" s="66">
        <v>14.681239615642447</v>
      </c>
      <c r="F3539" s="67">
        <v>3.0000000000000001E-3</v>
      </c>
      <c r="G3539" s="67">
        <v>2E-3</v>
      </c>
      <c r="H3539" s="63"/>
    </row>
    <row r="3540" spans="1:8" x14ac:dyDescent="0.25">
      <c r="A3540" s="63"/>
      <c r="B3540" s="63">
        <v>0.75</v>
      </c>
      <c r="C3540" s="63" t="s">
        <v>2995</v>
      </c>
      <c r="D3540" s="63" t="s">
        <v>21</v>
      </c>
      <c r="E3540" s="66">
        <v>15.73344292035326</v>
      </c>
      <c r="F3540" s="67">
        <v>3.0000000000000001E-3</v>
      </c>
      <c r="G3540" s="67">
        <v>2E-3</v>
      </c>
      <c r="H3540" s="63"/>
    </row>
    <row r="3541" spans="1:8" x14ac:dyDescent="0.25">
      <c r="A3541" s="63"/>
      <c r="B3541" s="63">
        <v>1</v>
      </c>
      <c r="C3541" s="63" t="s">
        <v>2995</v>
      </c>
      <c r="D3541" s="63" t="s">
        <v>21</v>
      </c>
      <c r="E3541" s="66">
        <v>17.053567232815062</v>
      </c>
      <c r="F3541" s="67">
        <v>3.0000000000000001E-3</v>
      </c>
      <c r="G3541" s="67">
        <v>2E-3</v>
      </c>
      <c r="H3541" s="63"/>
    </row>
    <row r="3542" spans="1:8" x14ac:dyDescent="0.25">
      <c r="A3542" s="63"/>
      <c r="B3542" s="63">
        <v>2</v>
      </c>
      <c r="C3542" s="63" t="s">
        <v>2995</v>
      </c>
      <c r="D3542" s="63" t="s">
        <v>21</v>
      </c>
      <c r="E3542" s="66">
        <v>20.445412005362016</v>
      </c>
      <c r="F3542" s="67">
        <v>3.0000000000000001E-3</v>
      </c>
      <c r="G3542" s="67">
        <v>2E-3</v>
      </c>
      <c r="H3542" s="63"/>
    </row>
    <row r="3543" spans="1:8" x14ac:dyDescent="0.25">
      <c r="A3543" s="63"/>
      <c r="B3543" s="63">
        <v>3</v>
      </c>
      <c r="C3543" s="63" t="s">
        <v>2995</v>
      </c>
      <c r="D3543" s="63" t="s">
        <v>21</v>
      </c>
      <c r="E3543" s="66">
        <v>26.188094257804462</v>
      </c>
      <c r="F3543" s="67">
        <v>3.0000000000000001E-3</v>
      </c>
      <c r="G3543" s="67">
        <v>2E-3</v>
      </c>
      <c r="H3543" s="63"/>
    </row>
    <row r="3544" spans="1:8" x14ac:dyDescent="0.25">
      <c r="A3544" s="63"/>
      <c r="B3544" s="63">
        <v>4</v>
      </c>
      <c r="C3544" s="63" t="s">
        <v>2995</v>
      </c>
      <c r="D3544" s="63" t="s">
        <v>21</v>
      </c>
      <c r="E3544" s="66">
        <v>32.191391729951633</v>
      </c>
      <c r="F3544" s="67">
        <v>3.0000000000000001E-3</v>
      </c>
      <c r="G3544" s="67">
        <v>2E-3</v>
      </c>
      <c r="H3544" s="63"/>
    </row>
    <row r="3545" spans="1:8" x14ac:dyDescent="0.25">
      <c r="A3545" s="63"/>
      <c r="B3545" s="63">
        <v>5</v>
      </c>
      <c r="C3545" s="63" t="s">
        <v>2995</v>
      </c>
      <c r="D3545" s="63" t="s">
        <v>21</v>
      </c>
      <c r="E3545" s="66">
        <v>39.201784811697536</v>
      </c>
      <c r="F3545" s="67">
        <v>3.0000000000000001E-3</v>
      </c>
      <c r="G3545" s="67">
        <v>2E-3</v>
      </c>
      <c r="H3545" s="63"/>
    </row>
    <row r="3546" spans="1:8" x14ac:dyDescent="0.25">
      <c r="A3546" s="63"/>
      <c r="B3546" s="63">
        <v>6</v>
      </c>
      <c r="C3546" s="63" t="s">
        <v>2995</v>
      </c>
      <c r="D3546" s="63" t="s">
        <v>21</v>
      </c>
      <c r="E3546" s="66">
        <v>48.747261689450426</v>
      </c>
      <c r="F3546" s="67">
        <v>3.0000000000000001E-3</v>
      </c>
      <c r="G3546" s="67">
        <v>2E-3</v>
      </c>
      <c r="H3546" s="63"/>
    </row>
    <row r="3547" spans="1:8" x14ac:dyDescent="0.25">
      <c r="A3547" s="63"/>
      <c r="B3547" s="63">
        <v>7</v>
      </c>
      <c r="C3547" s="63" t="s">
        <v>2995</v>
      </c>
      <c r="D3547" s="63" t="s">
        <v>21</v>
      </c>
      <c r="E3547" s="66">
        <v>54.916318725974534</v>
      </c>
      <c r="F3547" s="67">
        <v>3.0000000000000001E-3</v>
      </c>
      <c r="G3547" s="67">
        <v>2E-3</v>
      </c>
      <c r="H3547" s="63"/>
    </row>
    <row r="3548" spans="1:8" x14ac:dyDescent="0.25">
      <c r="A3548" s="63"/>
      <c r="B3548" s="63">
        <v>8</v>
      </c>
      <c r="C3548" s="63" t="s">
        <v>2995</v>
      </c>
      <c r="D3548" s="63" t="s">
        <v>21</v>
      </c>
      <c r="E3548" s="66">
        <v>61.176189442629813</v>
      </c>
      <c r="F3548" s="67">
        <v>3.0000000000000001E-3</v>
      </c>
      <c r="G3548" s="67">
        <v>2E-3</v>
      </c>
      <c r="H3548" s="63"/>
    </row>
    <row r="3549" spans="1:8" x14ac:dyDescent="0.25">
      <c r="A3549" s="63"/>
      <c r="B3549" s="63">
        <v>9</v>
      </c>
      <c r="C3549" s="63" t="s">
        <v>2995</v>
      </c>
      <c r="D3549" s="63" t="s">
        <v>21</v>
      </c>
      <c r="E3549" s="66">
        <v>67.535955207429268</v>
      </c>
      <c r="F3549" s="67">
        <v>3.0000000000000001E-3</v>
      </c>
      <c r="G3549" s="67">
        <v>2E-3</v>
      </c>
      <c r="H3549" s="63"/>
    </row>
    <row r="3550" spans="1:8" x14ac:dyDescent="0.25">
      <c r="A3550" s="63"/>
      <c r="B3550" s="63">
        <v>10</v>
      </c>
      <c r="C3550" s="63" t="s">
        <v>2995</v>
      </c>
      <c r="D3550" s="63" t="s">
        <v>21</v>
      </c>
      <c r="E3550" s="66">
        <v>73.696736850583918</v>
      </c>
      <c r="F3550" s="67">
        <v>3.0000000000000001E-3</v>
      </c>
      <c r="G3550" s="67">
        <v>2E-3</v>
      </c>
      <c r="H3550" s="63"/>
    </row>
    <row r="3551" spans="1:8" x14ac:dyDescent="0.25">
      <c r="A3551" s="63"/>
      <c r="B3551" s="63">
        <v>11</v>
      </c>
      <c r="C3551" s="63" t="s">
        <v>2995</v>
      </c>
      <c r="D3551" s="63" t="s">
        <v>21</v>
      </c>
      <c r="E3551" s="66"/>
      <c r="F3551" s="67">
        <v>3.0000000000000001E-3</v>
      </c>
      <c r="G3551" s="67">
        <v>2E-3</v>
      </c>
      <c r="H3551" s="63"/>
    </row>
    <row r="3552" spans="1:8" x14ac:dyDescent="0.25">
      <c r="A3552" s="63"/>
      <c r="B3552" s="63">
        <v>12</v>
      </c>
      <c r="C3552" s="63" t="s">
        <v>2995</v>
      </c>
      <c r="D3552" s="63" t="s">
        <v>21</v>
      </c>
      <c r="E3552" s="66"/>
      <c r="F3552" s="67">
        <v>3.0000000000000001E-3</v>
      </c>
      <c r="G3552" s="67">
        <v>2E-3</v>
      </c>
      <c r="H3552" s="63"/>
    </row>
    <row r="3553" spans="1:8" x14ac:dyDescent="0.25">
      <c r="A3553" s="63"/>
      <c r="B3553" s="63">
        <v>13</v>
      </c>
      <c r="C3553" s="63" t="s">
        <v>2995</v>
      </c>
      <c r="D3553" s="63" t="s">
        <v>21</v>
      </c>
      <c r="E3553" s="66"/>
      <c r="F3553" s="67">
        <v>3.0000000000000001E-3</v>
      </c>
      <c r="G3553" s="67">
        <v>2E-3</v>
      </c>
      <c r="H3553" s="63"/>
    </row>
    <row r="3554" spans="1:8" x14ac:dyDescent="0.25">
      <c r="A3554" s="63"/>
      <c r="B3554" s="63">
        <v>14</v>
      </c>
      <c r="C3554" s="63" t="s">
        <v>2995</v>
      </c>
      <c r="D3554" s="63" t="s">
        <v>21</v>
      </c>
      <c r="E3554" s="66"/>
      <c r="F3554" s="67">
        <v>3.0000000000000001E-3</v>
      </c>
      <c r="G3554" s="67">
        <v>2E-3</v>
      </c>
      <c r="H3554" s="63"/>
    </row>
    <row r="3555" spans="1:8" x14ac:dyDescent="0.25">
      <c r="A3555" s="63"/>
      <c r="B3555" s="63">
        <v>15</v>
      </c>
      <c r="C3555" s="63" t="s">
        <v>2995</v>
      </c>
      <c r="D3555" s="63" t="s">
        <v>21</v>
      </c>
      <c r="E3555" s="66"/>
      <c r="F3555" s="67">
        <v>3.0000000000000001E-3</v>
      </c>
      <c r="G3555" s="67">
        <v>2E-3</v>
      </c>
      <c r="H3555" s="63"/>
    </row>
    <row r="3556" spans="1:8" x14ac:dyDescent="0.25">
      <c r="A3556" s="63"/>
      <c r="B3556" s="63">
        <v>16</v>
      </c>
      <c r="C3556" s="63" t="s">
        <v>2995</v>
      </c>
      <c r="D3556" s="63" t="s">
        <v>21</v>
      </c>
      <c r="E3556" s="66"/>
      <c r="F3556" s="67">
        <v>3.0000000000000001E-3</v>
      </c>
      <c r="G3556" s="67">
        <v>2E-3</v>
      </c>
      <c r="H3556" s="63"/>
    </row>
    <row r="3557" spans="1:8" x14ac:dyDescent="0.25">
      <c r="A3557" s="63"/>
      <c r="B3557" s="63">
        <v>17</v>
      </c>
      <c r="C3557" s="63" t="s">
        <v>2995</v>
      </c>
      <c r="D3557" s="63" t="s">
        <v>21</v>
      </c>
      <c r="E3557" s="66"/>
      <c r="F3557" s="67">
        <v>3.0000000000000001E-3</v>
      </c>
      <c r="G3557" s="67">
        <v>2E-3</v>
      </c>
      <c r="H3557" s="63"/>
    </row>
    <row r="3558" spans="1:8" x14ac:dyDescent="0.25">
      <c r="A3558" s="63"/>
      <c r="B3558" s="63">
        <v>18</v>
      </c>
      <c r="C3558" s="63" t="s">
        <v>2995</v>
      </c>
      <c r="D3558" s="63" t="s">
        <v>21</v>
      </c>
      <c r="E3558" s="66"/>
      <c r="F3558" s="67">
        <v>3.0000000000000001E-3</v>
      </c>
      <c r="G3558" s="67">
        <v>2E-3</v>
      </c>
      <c r="H3558" s="63"/>
    </row>
    <row r="3559" spans="1:8" x14ac:dyDescent="0.25">
      <c r="A3559" s="63"/>
      <c r="B3559" s="63">
        <v>19</v>
      </c>
      <c r="C3559" s="63" t="s">
        <v>2995</v>
      </c>
      <c r="D3559" s="63" t="s">
        <v>21</v>
      </c>
      <c r="E3559" s="66"/>
      <c r="F3559" s="67">
        <v>3.0000000000000001E-3</v>
      </c>
      <c r="G3559" s="67">
        <v>2E-3</v>
      </c>
      <c r="H3559" s="63"/>
    </row>
    <row r="3560" spans="1:8" x14ac:dyDescent="0.25">
      <c r="A3560" s="63"/>
      <c r="B3560" s="63">
        <v>20</v>
      </c>
      <c r="C3560" s="63" t="s">
        <v>2995</v>
      </c>
      <c r="D3560" s="63" t="s">
        <v>21</v>
      </c>
      <c r="E3560" s="66"/>
      <c r="F3560" s="67">
        <v>3.0000000000000001E-3</v>
      </c>
      <c r="G3560" s="67">
        <v>2E-3</v>
      </c>
      <c r="H3560" s="63"/>
    </row>
    <row r="3561" spans="1:8" x14ac:dyDescent="0.25">
      <c r="A3561" s="63"/>
      <c r="B3561" s="63">
        <v>21</v>
      </c>
      <c r="C3561" s="63" t="s">
        <v>2995</v>
      </c>
      <c r="D3561" s="63" t="s">
        <v>21</v>
      </c>
      <c r="E3561" s="66"/>
      <c r="F3561" s="67">
        <v>3.0000000000000001E-3</v>
      </c>
      <c r="G3561" s="67">
        <v>2E-3</v>
      </c>
      <c r="H3561" s="63"/>
    </row>
    <row r="3562" spans="1:8" x14ac:dyDescent="0.25">
      <c r="A3562" s="63"/>
      <c r="B3562" s="63">
        <v>22</v>
      </c>
      <c r="C3562" s="63" t="s">
        <v>2995</v>
      </c>
      <c r="D3562" s="63" t="s">
        <v>21</v>
      </c>
      <c r="E3562" s="66"/>
      <c r="F3562" s="67">
        <v>3.0000000000000001E-3</v>
      </c>
      <c r="G3562" s="67">
        <v>2E-3</v>
      </c>
      <c r="H3562" s="63"/>
    </row>
    <row r="3563" spans="1:8" x14ac:dyDescent="0.25">
      <c r="A3563" s="63"/>
      <c r="B3563" s="63">
        <v>23</v>
      </c>
      <c r="C3563" s="63" t="s">
        <v>2995</v>
      </c>
      <c r="D3563" s="63" t="s">
        <v>21</v>
      </c>
      <c r="E3563" s="66"/>
      <c r="F3563" s="67">
        <v>3.0000000000000001E-3</v>
      </c>
      <c r="G3563" s="67">
        <v>2E-3</v>
      </c>
      <c r="H3563" s="63"/>
    </row>
    <row r="3564" spans="1:8" x14ac:dyDescent="0.25">
      <c r="A3564" s="63"/>
      <c r="B3564" s="63">
        <v>24</v>
      </c>
      <c r="C3564" s="63" t="s">
        <v>2995</v>
      </c>
      <c r="D3564" s="63" t="s">
        <v>21</v>
      </c>
      <c r="E3564" s="66"/>
      <c r="F3564" s="67">
        <v>3.0000000000000001E-3</v>
      </c>
      <c r="G3564" s="67">
        <v>2E-3</v>
      </c>
      <c r="H3564" s="63"/>
    </row>
    <row r="3565" spans="1:8" x14ac:dyDescent="0.25">
      <c r="A3565" s="63"/>
      <c r="B3565" s="63">
        <v>25</v>
      </c>
      <c r="C3565" s="63" t="s">
        <v>2995</v>
      </c>
      <c r="D3565" s="63" t="s">
        <v>21</v>
      </c>
      <c r="E3565" s="66"/>
      <c r="F3565" s="67">
        <v>3.0000000000000001E-3</v>
      </c>
      <c r="G3565" s="67">
        <v>2E-3</v>
      </c>
      <c r="H3565" s="63"/>
    </row>
    <row r="3566" spans="1:8" x14ac:dyDescent="0.25">
      <c r="A3566" s="63"/>
      <c r="B3566" s="63">
        <v>26</v>
      </c>
      <c r="C3566" s="63" t="s">
        <v>2995</v>
      </c>
      <c r="D3566" s="63" t="s">
        <v>21</v>
      </c>
      <c r="E3566" s="66"/>
      <c r="F3566" s="67">
        <v>3.0000000000000001E-3</v>
      </c>
      <c r="G3566" s="67">
        <v>2E-3</v>
      </c>
      <c r="H3566" s="63"/>
    </row>
    <row r="3567" spans="1:8" x14ac:dyDescent="0.25">
      <c r="A3567" s="63"/>
      <c r="B3567" s="63">
        <v>27</v>
      </c>
      <c r="C3567" s="63" t="s">
        <v>2995</v>
      </c>
      <c r="D3567" s="63" t="s">
        <v>21</v>
      </c>
      <c r="E3567" s="66"/>
      <c r="F3567" s="67">
        <v>3.0000000000000001E-3</v>
      </c>
      <c r="G3567" s="67">
        <v>2E-3</v>
      </c>
      <c r="H3567" s="63"/>
    </row>
    <row r="3568" spans="1:8" x14ac:dyDescent="0.25">
      <c r="A3568" s="63"/>
      <c r="B3568" s="63">
        <v>28</v>
      </c>
      <c r="C3568" s="63" t="s">
        <v>2995</v>
      </c>
      <c r="D3568" s="63" t="s">
        <v>21</v>
      </c>
      <c r="E3568" s="66"/>
      <c r="F3568" s="67">
        <v>3.0000000000000001E-3</v>
      </c>
      <c r="G3568" s="67">
        <v>2E-3</v>
      </c>
      <c r="H3568" s="63"/>
    </row>
    <row r="3569" spans="1:8" x14ac:dyDescent="0.25">
      <c r="A3569" s="63"/>
      <c r="B3569" s="63">
        <v>29</v>
      </c>
      <c r="C3569" s="63" t="s">
        <v>2995</v>
      </c>
      <c r="D3569" s="63" t="s">
        <v>21</v>
      </c>
      <c r="E3569" s="66"/>
      <c r="F3569" s="67">
        <v>3.0000000000000001E-3</v>
      </c>
      <c r="G3569" s="67">
        <v>2E-3</v>
      </c>
      <c r="H3569" s="63"/>
    </row>
    <row r="3570" spans="1:8" x14ac:dyDescent="0.25">
      <c r="A3570" s="63"/>
      <c r="B3570" s="63">
        <v>30</v>
      </c>
      <c r="C3570" s="63" t="s">
        <v>2995</v>
      </c>
      <c r="D3570" s="63" t="s">
        <v>21</v>
      </c>
      <c r="E3570" s="66"/>
      <c r="F3570" s="67">
        <v>3.0000000000000001E-3</v>
      </c>
      <c r="G3570" s="67">
        <v>2E-3</v>
      </c>
      <c r="H3570" s="63"/>
    </row>
    <row r="3571" spans="1:8" x14ac:dyDescent="0.25">
      <c r="A3571" s="63"/>
      <c r="B3571" s="63">
        <v>0</v>
      </c>
      <c r="C3571" s="63" t="s">
        <v>2995</v>
      </c>
      <c r="D3571" s="63" t="s">
        <v>21</v>
      </c>
      <c r="E3571" s="66">
        <v>3.0428788910505911</v>
      </c>
      <c r="F3571" s="67">
        <v>3.0000000000000001E-3</v>
      </c>
      <c r="G3571" s="67">
        <v>2E-3</v>
      </c>
      <c r="H3571" s="63"/>
    </row>
    <row r="3572" spans="1:8" x14ac:dyDescent="0.25">
      <c r="A3572" s="63"/>
      <c r="B3572" s="63">
        <v>0.25</v>
      </c>
      <c r="C3572" s="63" t="s">
        <v>2995</v>
      </c>
      <c r="D3572" s="63" t="s">
        <v>62</v>
      </c>
      <c r="E3572" s="66">
        <v>18.523064475870246</v>
      </c>
      <c r="F3572" s="67">
        <v>3.0000000000000001E-3</v>
      </c>
      <c r="G3572" s="67">
        <v>2E-3</v>
      </c>
      <c r="H3572" s="63"/>
    </row>
    <row r="3573" spans="1:8" x14ac:dyDescent="0.25">
      <c r="A3573" s="63"/>
      <c r="B3573" s="63">
        <v>0.5</v>
      </c>
      <c r="C3573" s="63" t="s">
        <v>2995</v>
      </c>
      <c r="D3573" s="63" t="s">
        <v>62</v>
      </c>
      <c r="E3573" s="66">
        <v>19.986085921544504</v>
      </c>
      <c r="F3573" s="67">
        <v>3.0000000000000001E-3</v>
      </c>
      <c r="G3573" s="67">
        <v>2E-3</v>
      </c>
      <c r="H3573" s="63"/>
    </row>
    <row r="3574" spans="1:8" x14ac:dyDescent="0.25">
      <c r="A3574" s="63"/>
      <c r="B3574" s="63">
        <v>0.75</v>
      </c>
      <c r="C3574" s="63" t="s">
        <v>2995</v>
      </c>
      <c r="D3574" s="63" t="s">
        <v>62</v>
      </c>
      <c r="E3574" s="66">
        <v>22.12943390989907</v>
      </c>
      <c r="F3574" s="67">
        <v>3.0000000000000001E-3</v>
      </c>
      <c r="G3574" s="67">
        <v>2E-3</v>
      </c>
      <c r="H3574" s="63"/>
    </row>
    <row r="3575" spans="1:8" x14ac:dyDescent="0.25">
      <c r="A3575" s="63"/>
      <c r="B3575" s="63">
        <v>1</v>
      </c>
      <c r="C3575" s="63" t="s">
        <v>2995</v>
      </c>
      <c r="D3575" s="63" t="s">
        <v>62</v>
      </c>
      <c r="E3575" s="66">
        <v>24.361587349653966</v>
      </c>
      <c r="F3575" s="67">
        <v>3.0000000000000001E-3</v>
      </c>
      <c r="G3575" s="67">
        <v>2E-3</v>
      </c>
      <c r="H3575" s="63"/>
    </row>
    <row r="3576" spans="1:8" x14ac:dyDescent="0.25">
      <c r="A3576" s="63"/>
      <c r="B3576" s="63">
        <v>2</v>
      </c>
      <c r="C3576" s="63" t="s">
        <v>2995</v>
      </c>
      <c r="D3576" s="63" t="s">
        <v>62</v>
      </c>
      <c r="E3576" s="66">
        <v>30.016334788894795</v>
      </c>
      <c r="F3576" s="67">
        <v>3.0000000000000001E-3</v>
      </c>
      <c r="G3576" s="67">
        <v>2E-3</v>
      </c>
      <c r="H3576" s="63"/>
    </row>
    <row r="3577" spans="1:8" x14ac:dyDescent="0.25">
      <c r="A3577" s="63"/>
      <c r="B3577" s="63">
        <v>3</v>
      </c>
      <c r="C3577" s="63" t="s">
        <v>2995</v>
      </c>
      <c r="D3577" s="63" t="s">
        <v>62</v>
      </c>
      <c r="E3577" s="66">
        <v>36.357177991180244</v>
      </c>
      <c r="F3577" s="67">
        <v>3.0000000000000001E-3</v>
      </c>
      <c r="G3577" s="67">
        <v>2E-3</v>
      </c>
      <c r="H3577" s="63"/>
    </row>
    <row r="3578" spans="1:8" x14ac:dyDescent="0.25">
      <c r="A3578" s="63"/>
      <c r="B3578" s="63">
        <v>4</v>
      </c>
      <c r="C3578" s="63" t="s">
        <v>2995</v>
      </c>
      <c r="D3578" s="63" t="s">
        <v>62</v>
      </c>
      <c r="E3578" s="66">
        <v>42.885327131268298</v>
      </c>
      <c r="F3578" s="67">
        <v>3.0000000000000001E-3</v>
      </c>
      <c r="G3578" s="67">
        <v>2E-3</v>
      </c>
      <c r="H3578" s="63"/>
    </row>
    <row r="3579" spans="1:8" x14ac:dyDescent="0.25">
      <c r="A3579" s="63"/>
      <c r="B3579" s="63">
        <v>5</v>
      </c>
      <c r="C3579" s="63" t="s">
        <v>2995</v>
      </c>
      <c r="D3579" s="63" t="s">
        <v>62</v>
      </c>
      <c r="E3579" s="66">
        <v>49.659479185845427</v>
      </c>
      <c r="F3579" s="67">
        <v>3.0000000000000001E-3</v>
      </c>
      <c r="G3579" s="67">
        <v>2E-3</v>
      </c>
      <c r="H3579" s="63"/>
    </row>
    <row r="3580" spans="1:8" x14ac:dyDescent="0.25">
      <c r="A3580" s="63"/>
      <c r="B3580" s="63">
        <v>6</v>
      </c>
      <c r="C3580" s="63" t="s">
        <v>2995</v>
      </c>
      <c r="D3580" s="63" t="s">
        <v>62</v>
      </c>
      <c r="E3580" s="66">
        <v>56.580305827489475</v>
      </c>
      <c r="F3580" s="67">
        <v>3.0000000000000001E-3</v>
      </c>
      <c r="G3580" s="67">
        <v>2E-3</v>
      </c>
      <c r="H3580" s="63"/>
    </row>
    <row r="3581" spans="1:8" x14ac:dyDescent="0.25">
      <c r="A3581" s="63"/>
      <c r="B3581" s="63">
        <v>7</v>
      </c>
      <c r="C3581" s="63" t="s">
        <v>2995</v>
      </c>
      <c r="D3581" s="63" t="s">
        <v>62</v>
      </c>
      <c r="E3581" s="66">
        <v>63.666673708638676</v>
      </c>
      <c r="F3581" s="67">
        <v>3.0000000000000001E-3</v>
      </c>
      <c r="G3581" s="67">
        <v>2E-3</v>
      </c>
      <c r="H3581" s="63"/>
    </row>
    <row r="3582" spans="1:8" x14ac:dyDescent="0.25">
      <c r="A3582" s="63"/>
      <c r="B3582" s="63">
        <v>8</v>
      </c>
      <c r="C3582" s="63" t="s">
        <v>2995</v>
      </c>
      <c r="D3582" s="63" t="s">
        <v>62</v>
      </c>
      <c r="E3582" s="66">
        <v>70.939940361157198</v>
      </c>
      <c r="F3582" s="67">
        <v>3.0000000000000001E-3</v>
      </c>
      <c r="G3582" s="67">
        <v>2E-3</v>
      </c>
      <c r="H3582" s="63"/>
    </row>
    <row r="3583" spans="1:8" x14ac:dyDescent="0.25">
      <c r="A3583" s="63"/>
      <c r="B3583" s="63">
        <v>9</v>
      </c>
      <c r="C3583" s="63" t="s">
        <v>2995</v>
      </c>
      <c r="D3583" s="63" t="s">
        <v>62</v>
      </c>
      <c r="E3583" s="66">
        <v>77.933178543288449</v>
      </c>
      <c r="F3583" s="67">
        <v>3.0000000000000001E-3</v>
      </c>
      <c r="G3583" s="67">
        <v>2E-3</v>
      </c>
      <c r="H3583" s="63"/>
    </row>
    <row r="3584" spans="1:8" x14ac:dyDescent="0.25">
      <c r="A3584" s="63"/>
      <c r="B3584" s="63">
        <v>10</v>
      </c>
      <c r="C3584" s="63" t="s">
        <v>2995</v>
      </c>
      <c r="D3584" s="63" t="s">
        <v>62</v>
      </c>
      <c r="E3584" s="66">
        <v>85.444390652517114</v>
      </c>
      <c r="F3584" s="67">
        <v>3.0000000000000001E-3</v>
      </c>
      <c r="G3584" s="67">
        <v>2E-3</v>
      </c>
      <c r="H3584" s="63"/>
    </row>
    <row r="3585" spans="1:8" x14ac:dyDescent="0.25">
      <c r="A3585" s="63"/>
      <c r="B3585" s="63">
        <v>11</v>
      </c>
      <c r="C3585" s="63" t="s">
        <v>2995</v>
      </c>
      <c r="D3585" s="63" t="s">
        <v>62</v>
      </c>
      <c r="E3585" s="66"/>
      <c r="F3585" s="67">
        <v>3.0000000000000001E-3</v>
      </c>
      <c r="G3585" s="67">
        <v>2E-3</v>
      </c>
      <c r="H3585" s="63"/>
    </row>
    <row r="3586" spans="1:8" x14ac:dyDescent="0.25">
      <c r="A3586" s="63"/>
      <c r="B3586" s="63">
        <v>12</v>
      </c>
      <c r="C3586" s="63" t="s">
        <v>2995</v>
      </c>
      <c r="D3586" s="63" t="s">
        <v>62</v>
      </c>
      <c r="E3586" s="66"/>
      <c r="F3586" s="67">
        <v>3.0000000000000001E-3</v>
      </c>
      <c r="G3586" s="67">
        <v>2E-3</v>
      </c>
      <c r="H3586" s="63"/>
    </row>
    <row r="3587" spans="1:8" x14ac:dyDescent="0.25">
      <c r="A3587" s="63"/>
      <c r="B3587" s="63">
        <v>13</v>
      </c>
      <c r="C3587" s="63" t="s">
        <v>2995</v>
      </c>
      <c r="D3587" s="63" t="s">
        <v>62</v>
      </c>
      <c r="E3587" s="66"/>
      <c r="F3587" s="67">
        <v>3.0000000000000001E-3</v>
      </c>
      <c r="G3587" s="67">
        <v>2E-3</v>
      </c>
      <c r="H3587" s="63"/>
    </row>
    <row r="3588" spans="1:8" x14ac:dyDescent="0.25">
      <c r="A3588" s="63"/>
      <c r="B3588" s="63">
        <v>14</v>
      </c>
      <c r="C3588" s="63" t="s">
        <v>2995</v>
      </c>
      <c r="D3588" s="63" t="s">
        <v>62</v>
      </c>
      <c r="E3588" s="66"/>
      <c r="F3588" s="67">
        <v>3.0000000000000001E-3</v>
      </c>
      <c r="G3588" s="67">
        <v>2E-3</v>
      </c>
      <c r="H3588" s="63"/>
    </row>
    <row r="3589" spans="1:8" x14ac:dyDescent="0.25">
      <c r="A3589" s="63"/>
      <c r="B3589" s="63">
        <v>15</v>
      </c>
      <c r="C3589" s="63" t="s">
        <v>2995</v>
      </c>
      <c r="D3589" s="63" t="s">
        <v>62</v>
      </c>
      <c r="E3589" s="66"/>
      <c r="F3589" s="67">
        <v>3.0000000000000001E-3</v>
      </c>
      <c r="G3589" s="67">
        <v>2E-3</v>
      </c>
      <c r="H3589" s="63"/>
    </row>
    <row r="3590" spans="1:8" x14ac:dyDescent="0.25">
      <c r="A3590" s="63"/>
      <c r="B3590" s="63">
        <v>16</v>
      </c>
      <c r="C3590" s="63" t="s">
        <v>2995</v>
      </c>
      <c r="D3590" s="63" t="s">
        <v>62</v>
      </c>
      <c r="E3590" s="66"/>
      <c r="F3590" s="67">
        <v>3.0000000000000001E-3</v>
      </c>
      <c r="G3590" s="67">
        <v>2E-3</v>
      </c>
      <c r="H3590" s="63"/>
    </row>
    <row r="3591" spans="1:8" x14ac:dyDescent="0.25">
      <c r="A3591" s="63"/>
      <c r="B3591" s="63">
        <v>17</v>
      </c>
      <c r="C3591" s="63" t="s">
        <v>2995</v>
      </c>
      <c r="D3591" s="63" t="s">
        <v>62</v>
      </c>
      <c r="E3591" s="66"/>
      <c r="F3591" s="67">
        <v>3.0000000000000001E-3</v>
      </c>
      <c r="G3591" s="67">
        <v>2E-3</v>
      </c>
      <c r="H3591" s="63"/>
    </row>
    <row r="3592" spans="1:8" x14ac:dyDescent="0.25">
      <c r="A3592" s="63"/>
      <c r="B3592" s="63">
        <v>18</v>
      </c>
      <c r="C3592" s="63" t="s">
        <v>2995</v>
      </c>
      <c r="D3592" s="63" t="s">
        <v>62</v>
      </c>
      <c r="E3592" s="66"/>
      <c r="F3592" s="67">
        <v>3.0000000000000001E-3</v>
      </c>
      <c r="G3592" s="67">
        <v>2E-3</v>
      </c>
      <c r="H3592" s="63"/>
    </row>
    <row r="3593" spans="1:8" x14ac:dyDescent="0.25">
      <c r="A3593" s="63"/>
      <c r="B3593" s="63">
        <v>19</v>
      </c>
      <c r="C3593" s="63" t="s">
        <v>2995</v>
      </c>
      <c r="D3593" s="63" t="s">
        <v>62</v>
      </c>
      <c r="E3593" s="66"/>
      <c r="F3593" s="67">
        <v>3.0000000000000001E-3</v>
      </c>
      <c r="G3593" s="67">
        <v>2E-3</v>
      </c>
      <c r="H3593" s="63"/>
    </row>
    <row r="3594" spans="1:8" x14ac:dyDescent="0.25">
      <c r="A3594" s="63"/>
      <c r="B3594" s="63">
        <v>20</v>
      </c>
      <c r="C3594" s="63" t="s">
        <v>2995</v>
      </c>
      <c r="D3594" s="63" t="s">
        <v>62</v>
      </c>
      <c r="E3594" s="66"/>
      <c r="F3594" s="67">
        <v>3.0000000000000001E-3</v>
      </c>
      <c r="G3594" s="67">
        <v>2E-3</v>
      </c>
      <c r="H3594" s="63"/>
    </row>
    <row r="3595" spans="1:8" x14ac:dyDescent="0.25">
      <c r="A3595" s="63"/>
      <c r="B3595" s="63">
        <v>21</v>
      </c>
      <c r="C3595" s="63" t="s">
        <v>2995</v>
      </c>
      <c r="D3595" s="63" t="s">
        <v>62</v>
      </c>
      <c r="E3595" s="66"/>
      <c r="F3595" s="67">
        <v>3.0000000000000001E-3</v>
      </c>
      <c r="G3595" s="67">
        <v>2E-3</v>
      </c>
      <c r="H3595" s="63"/>
    </row>
    <row r="3596" spans="1:8" x14ac:dyDescent="0.25">
      <c r="A3596" s="63"/>
      <c r="B3596" s="63">
        <v>22</v>
      </c>
      <c r="C3596" s="63" t="s">
        <v>2995</v>
      </c>
      <c r="D3596" s="63" t="s">
        <v>62</v>
      </c>
      <c r="E3596" s="66"/>
      <c r="F3596" s="67">
        <v>3.0000000000000001E-3</v>
      </c>
      <c r="G3596" s="67">
        <v>2E-3</v>
      </c>
      <c r="H3596" s="63"/>
    </row>
    <row r="3597" spans="1:8" x14ac:dyDescent="0.25">
      <c r="A3597" s="63"/>
      <c r="B3597" s="63">
        <v>23</v>
      </c>
      <c r="C3597" s="63" t="s">
        <v>2995</v>
      </c>
      <c r="D3597" s="63" t="s">
        <v>62</v>
      </c>
      <c r="E3597" s="66"/>
      <c r="F3597" s="67">
        <v>3.0000000000000001E-3</v>
      </c>
      <c r="G3597" s="67">
        <v>2E-3</v>
      </c>
      <c r="H3597" s="63"/>
    </row>
    <row r="3598" spans="1:8" x14ac:dyDescent="0.25">
      <c r="A3598" s="63"/>
      <c r="B3598" s="63">
        <v>24</v>
      </c>
      <c r="C3598" s="63" t="s">
        <v>2995</v>
      </c>
      <c r="D3598" s="63" t="s">
        <v>62</v>
      </c>
      <c r="E3598" s="66"/>
      <c r="F3598" s="67">
        <v>3.0000000000000001E-3</v>
      </c>
      <c r="G3598" s="67">
        <v>2E-3</v>
      </c>
      <c r="H3598" s="63"/>
    </row>
    <row r="3599" spans="1:8" x14ac:dyDescent="0.25">
      <c r="A3599" s="63"/>
      <c r="B3599" s="63">
        <v>25</v>
      </c>
      <c r="C3599" s="63" t="s">
        <v>2995</v>
      </c>
      <c r="D3599" s="63" t="s">
        <v>62</v>
      </c>
      <c r="E3599" s="66"/>
      <c r="F3599" s="67">
        <v>3.0000000000000001E-3</v>
      </c>
      <c r="G3599" s="67">
        <v>2E-3</v>
      </c>
      <c r="H3599" s="63"/>
    </row>
    <row r="3600" spans="1:8" x14ac:dyDescent="0.25">
      <c r="A3600" s="63"/>
      <c r="B3600" s="63">
        <v>26</v>
      </c>
      <c r="C3600" s="63" t="s">
        <v>2995</v>
      </c>
      <c r="D3600" s="63" t="s">
        <v>62</v>
      </c>
      <c r="E3600" s="66"/>
      <c r="F3600" s="67">
        <v>3.0000000000000001E-3</v>
      </c>
      <c r="G3600" s="67">
        <v>2E-3</v>
      </c>
      <c r="H3600" s="63"/>
    </row>
    <row r="3601" spans="1:8" x14ac:dyDescent="0.25">
      <c r="A3601" s="63"/>
      <c r="B3601" s="63">
        <v>27</v>
      </c>
      <c r="C3601" s="63" t="s">
        <v>2995</v>
      </c>
      <c r="D3601" s="63" t="s">
        <v>62</v>
      </c>
      <c r="E3601" s="66"/>
      <c r="F3601" s="67">
        <v>3.0000000000000001E-3</v>
      </c>
      <c r="G3601" s="67">
        <v>2E-3</v>
      </c>
      <c r="H3601" s="63"/>
    </row>
    <row r="3602" spans="1:8" x14ac:dyDescent="0.25">
      <c r="A3602" s="63"/>
      <c r="B3602" s="63">
        <v>28</v>
      </c>
      <c r="C3602" s="63" t="s">
        <v>2995</v>
      </c>
      <c r="D3602" s="63" t="s">
        <v>62</v>
      </c>
      <c r="E3602" s="66"/>
      <c r="F3602" s="67">
        <v>3.0000000000000001E-3</v>
      </c>
      <c r="G3602" s="67">
        <v>2E-3</v>
      </c>
      <c r="H3602" s="63"/>
    </row>
    <row r="3603" spans="1:8" x14ac:dyDescent="0.25">
      <c r="A3603" s="63"/>
      <c r="B3603" s="63">
        <v>29</v>
      </c>
      <c r="C3603" s="63" t="s">
        <v>2995</v>
      </c>
      <c r="D3603" s="63" t="s">
        <v>62</v>
      </c>
      <c r="E3603" s="66"/>
      <c r="F3603" s="67">
        <v>3.0000000000000001E-3</v>
      </c>
      <c r="G3603" s="67">
        <v>2E-3</v>
      </c>
      <c r="H3603" s="63"/>
    </row>
    <row r="3604" spans="1:8" x14ac:dyDescent="0.25">
      <c r="A3604" s="63"/>
      <c r="B3604" s="63">
        <v>30</v>
      </c>
      <c r="C3604" s="63" t="s">
        <v>2995</v>
      </c>
      <c r="D3604" s="63" t="s">
        <v>62</v>
      </c>
      <c r="E3604" s="66"/>
      <c r="F3604" s="67">
        <v>3.0000000000000001E-3</v>
      </c>
      <c r="G3604" s="67">
        <v>2E-3</v>
      </c>
      <c r="H3604" s="63"/>
    </row>
    <row r="3605" spans="1:8" x14ac:dyDescent="0.25">
      <c r="A3605" s="63"/>
      <c r="B3605" s="63">
        <v>0</v>
      </c>
      <c r="C3605" s="63" t="s">
        <v>2995</v>
      </c>
      <c r="D3605" s="63" t="s">
        <v>62</v>
      </c>
      <c r="E3605" s="66">
        <v>3.0428788910505911</v>
      </c>
      <c r="F3605" s="67">
        <v>3.0000000000000001E-3</v>
      </c>
      <c r="G3605" s="67">
        <v>2E-3</v>
      </c>
      <c r="H3605" s="63"/>
    </row>
    <row r="3606" spans="1:8" x14ac:dyDescent="0.25">
      <c r="A3606" s="63"/>
      <c r="B3606" s="63">
        <v>0.25</v>
      </c>
      <c r="C3606" s="63" t="s">
        <v>2995</v>
      </c>
      <c r="D3606" s="63" t="s">
        <v>64</v>
      </c>
      <c r="E3606" s="66">
        <v>22.680099489425388</v>
      </c>
      <c r="F3606" s="67">
        <v>3.0000000000000001E-3</v>
      </c>
      <c r="G3606" s="67">
        <v>2E-3</v>
      </c>
      <c r="H3606" s="63"/>
    </row>
    <row r="3607" spans="1:8" x14ac:dyDescent="0.25">
      <c r="A3607" s="63"/>
      <c r="B3607" s="63">
        <v>0.5</v>
      </c>
      <c r="C3607" s="63" t="s">
        <v>2995</v>
      </c>
      <c r="D3607" s="63" t="s">
        <v>64</v>
      </c>
      <c r="E3607" s="66">
        <v>24.975706415973956</v>
      </c>
      <c r="F3607" s="67">
        <v>3.0000000000000001E-3</v>
      </c>
      <c r="G3607" s="67">
        <v>2E-3</v>
      </c>
      <c r="H3607" s="63"/>
    </row>
    <row r="3608" spans="1:8" x14ac:dyDescent="0.25">
      <c r="A3608" s="63"/>
      <c r="B3608" s="63">
        <v>0.75</v>
      </c>
      <c r="C3608" s="63" t="s">
        <v>2995</v>
      </c>
      <c r="D3608" s="63" t="s">
        <v>64</v>
      </c>
      <c r="E3608" s="66">
        <v>27.507757599557678</v>
      </c>
      <c r="F3608" s="67">
        <v>3.0000000000000001E-3</v>
      </c>
      <c r="G3608" s="67">
        <v>2E-3</v>
      </c>
      <c r="H3608" s="63"/>
    </row>
    <row r="3609" spans="1:8" x14ac:dyDescent="0.25">
      <c r="A3609" s="63"/>
      <c r="B3609" s="63">
        <v>1</v>
      </c>
      <c r="C3609" s="63" t="s">
        <v>2995</v>
      </c>
      <c r="D3609" s="63" t="s">
        <v>64</v>
      </c>
      <c r="E3609" s="66">
        <v>29.643595035649298</v>
      </c>
      <c r="F3609" s="67">
        <v>3.0000000000000001E-3</v>
      </c>
      <c r="G3609" s="67">
        <v>2E-3</v>
      </c>
      <c r="H3609" s="63"/>
    </row>
    <row r="3610" spans="1:8" x14ac:dyDescent="0.25">
      <c r="A3610" s="63"/>
      <c r="B3610" s="63">
        <v>2</v>
      </c>
      <c r="C3610" s="63" t="s">
        <v>2995</v>
      </c>
      <c r="D3610" s="63" t="s">
        <v>64</v>
      </c>
      <c r="E3610" s="66">
        <v>36.324172615829276</v>
      </c>
      <c r="F3610" s="67">
        <v>3.0000000000000001E-3</v>
      </c>
      <c r="G3610" s="67">
        <v>2E-3</v>
      </c>
      <c r="H3610" s="63"/>
    </row>
    <row r="3611" spans="1:8" x14ac:dyDescent="0.25">
      <c r="A3611" s="63"/>
      <c r="B3611" s="63">
        <v>3</v>
      </c>
      <c r="C3611" s="63" t="s">
        <v>2995</v>
      </c>
      <c r="D3611" s="63" t="s">
        <v>64</v>
      </c>
      <c r="E3611" s="66">
        <v>43.832136422596946</v>
      </c>
      <c r="F3611" s="67">
        <v>3.0000000000000001E-3</v>
      </c>
      <c r="G3611" s="67">
        <v>2E-3</v>
      </c>
      <c r="H3611" s="63"/>
    </row>
    <row r="3612" spans="1:8" x14ac:dyDescent="0.25">
      <c r="A3612" s="63"/>
      <c r="B3612" s="63">
        <v>4</v>
      </c>
      <c r="C3612" s="63" t="s">
        <v>2995</v>
      </c>
      <c r="D3612" s="63" t="s">
        <v>64</v>
      </c>
      <c r="E3612" s="66">
        <v>51.429400054836968</v>
      </c>
      <c r="F3612" s="67">
        <v>3.0000000000000001E-3</v>
      </c>
      <c r="G3612" s="67">
        <v>2E-3</v>
      </c>
      <c r="H3612" s="63"/>
    </row>
    <row r="3613" spans="1:8" x14ac:dyDescent="0.25">
      <c r="A3613" s="63"/>
      <c r="B3613" s="63">
        <v>5</v>
      </c>
      <c r="C3613" s="63" t="s">
        <v>2995</v>
      </c>
      <c r="D3613" s="63" t="s">
        <v>64</v>
      </c>
      <c r="E3613" s="66">
        <v>59.124893495096586</v>
      </c>
      <c r="F3613" s="67">
        <v>3.0000000000000001E-3</v>
      </c>
      <c r="G3613" s="67">
        <v>2E-3</v>
      </c>
      <c r="H3613" s="63"/>
    </row>
    <row r="3614" spans="1:8" x14ac:dyDescent="0.25">
      <c r="A3614" s="63"/>
      <c r="B3614" s="63">
        <v>6</v>
      </c>
      <c r="C3614" s="63" t="s">
        <v>2995</v>
      </c>
      <c r="D3614" s="63" t="s">
        <v>64</v>
      </c>
      <c r="E3614" s="66">
        <v>68.673407568137122</v>
      </c>
      <c r="F3614" s="67">
        <v>3.0000000000000001E-3</v>
      </c>
      <c r="G3614" s="67">
        <v>2E-3</v>
      </c>
      <c r="H3614" s="63"/>
    </row>
    <row r="3615" spans="1:8" x14ac:dyDescent="0.25">
      <c r="A3615" s="63"/>
      <c r="B3615" s="63">
        <v>7</v>
      </c>
      <c r="C3615" s="63" t="s">
        <v>2995</v>
      </c>
      <c r="D3615" s="63" t="s">
        <v>64</v>
      </c>
      <c r="E3615" s="66">
        <v>75.899806853903883</v>
      </c>
      <c r="F3615" s="67">
        <v>3.0000000000000001E-3</v>
      </c>
      <c r="G3615" s="67">
        <v>2E-3</v>
      </c>
      <c r="H3615" s="63"/>
    </row>
    <row r="3616" spans="1:8" x14ac:dyDescent="0.25">
      <c r="A3616" s="63"/>
      <c r="B3616" s="63">
        <v>8</v>
      </c>
      <c r="C3616" s="63" t="s">
        <v>2995</v>
      </c>
      <c r="D3616" s="63" t="s">
        <v>64</v>
      </c>
      <c r="E3616" s="66">
        <v>83.243930726651769</v>
      </c>
      <c r="F3616" s="67">
        <v>3.0000000000000001E-3</v>
      </c>
      <c r="G3616" s="67">
        <v>2E-3</v>
      </c>
      <c r="H3616" s="63"/>
    </row>
    <row r="3617" spans="1:8" x14ac:dyDescent="0.25">
      <c r="A3617" s="63"/>
      <c r="B3617" s="63">
        <v>9</v>
      </c>
      <c r="C3617" s="63" t="s">
        <v>2995</v>
      </c>
      <c r="D3617" s="63" t="s">
        <v>64</v>
      </c>
      <c r="E3617" s="66">
        <v>91.483430312965311</v>
      </c>
      <c r="F3617" s="67">
        <v>3.0000000000000001E-3</v>
      </c>
      <c r="G3617" s="67">
        <v>2E-3</v>
      </c>
      <c r="H3617" s="63"/>
    </row>
    <row r="3618" spans="1:8" x14ac:dyDescent="0.25">
      <c r="A3618" s="63"/>
      <c r="B3618" s="63">
        <v>10</v>
      </c>
      <c r="C3618" s="63" t="s">
        <v>2995</v>
      </c>
      <c r="D3618" s="63" t="s">
        <v>64</v>
      </c>
      <c r="E3618" s="66">
        <v>99.63294480172658</v>
      </c>
      <c r="F3618" s="67">
        <v>3.0000000000000001E-3</v>
      </c>
      <c r="G3618" s="67">
        <v>2E-3</v>
      </c>
      <c r="H3618" s="63"/>
    </row>
    <row r="3619" spans="1:8" x14ac:dyDescent="0.25">
      <c r="A3619" s="63"/>
      <c r="B3619" s="63">
        <v>11</v>
      </c>
      <c r="C3619" s="63" t="s">
        <v>2995</v>
      </c>
      <c r="D3619" s="63" t="s">
        <v>64</v>
      </c>
      <c r="E3619" s="66"/>
      <c r="F3619" s="67">
        <v>3.0000000000000001E-3</v>
      </c>
      <c r="G3619" s="67">
        <v>2E-3</v>
      </c>
      <c r="H3619" s="63"/>
    </row>
    <row r="3620" spans="1:8" x14ac:dyDescent="0.25">
      <c r="A3620" s="63"/>
      <c r="B3620" s="63">
        <v>12</v>
      </c>
      <c r="C3620" s="63" t="s">
        <v>2995</v>
      </c>
      <c r="D3620" s="63" t="s">
        <v>64</v>
      </c>
      <c r="E3620" s="66"/>
      <c r="F3620" s="67">
        <v>3.0000000000000001E-3</v>
      </c>
      <c r="G3620" s="67">
        <v>2E-3</v>
      </c>
      <c r="H3620" s="63"/>
    </row>
    <row r="3621" spans="1:8" x14ac:dyDescent="0.25">
      <c r="A3621" s="63"/>
      <c r="B3621" s="63">
        <v>13</v>
      </c>
      <c r="C3621" s="63" t="s">
        <v>2995</v>
      </c>
      <c r="D3621" s="63" t="s">
        <v>64</v>
      </c>
      <c r="E3621" s="66"/>
      <c r="F3621" s="67">
        <v>3.0000000000000001E-3</v>
      </c>
      <c r="G3621" s="67">
        <v>2E-3</v>
      </c>
      <c r="H3621" s="63"/>
    </row>
    <row r="3622" spans="1:8" x14ac:dyDescent="0.25">
      <c r="A3622" s="63"/>
      <c r="B3622" s="63">
        <v>14</v>
      </c>
      <c r="C3622" s="63" t="s">
        <v>2995</v>
      </c>
      <c r="D3622" s="63" t="s">
        <v>64</v>
      </c>
      <c r="E3622" s="66"/>
      <c r="F3622" s="67">
        <v>3.0000000000000001E-3</v>
      </c>
      <c r="G3622" s="67">
        <v>2E-3</v>
      </c>
      <c r="H3622" s="63"/>
    </row>
    <row r="3623" spans="1:8" x14ac:dyDescent="0.25">
      <c r="A3623" s="63"/>
      <c r="B3623" s="63">
        <v>15</v>
      </c>
      <c r="C3623" s="63" t="s">
        <v>2995</v>
      </c>
      <c r="D3623" s="63" t="s">
        <v>64</v>
      </c>
      <c r="E3623" s="66"/>
      <c r="F3623" s="67">
        <v>3.0000000000000001E-3</v>
      </c>
      <c r="G3623" s="67">
        <v>2E-3</v>
      </c>
      <c r="H3623" s="63"/>
    </row>
    <row r="3624" spans="1:8" x14ac:dyDescent="0.25">
      <c r="A3624" s="63"/>
      <c r="B3624" s="63">
        <v>16</v>
      </c>
      <c r="C3624" s="63" t="s">
        <v>2995</v>
      </c>
      <c r="D3624" s="63" t="s">
        <v>64</v>
      </c>
      <c r="E3624" s="66"/>
      <c r="F3624" s="67">
        <v>3.0000000000000001E-3</v>
      </c>
      <c r="G3624" s="67">
        <v>2E-3</v>
      </c>
      <c r="H3624" s="63"/>
    </row>
    <row r="3625" spans="1:8" x14ac:dyDescent="0.25">
      <c r="A3625" s="63"/>
      <c r="B3625" s="63">
        <v>17</v>
      </c>
      <c r="C3625" s="63" t="s">
        <v>2995</v>
      </c>
      <c r="D3625" s="63" t="s">
        <v>64</v>
      </c>
      <c r="E3625" s="66"/>
      <c r="F3625" s="67">
        <v>3.0000000000000001E-3</v>
      </c>
      <c r="G3625" s="67">
        <v>2E-3</v>
      </c>
      <c r="H3625" s="63"/>
    </row>
    <row r="3626" spans="1:8" x14ac:dyDescent="0.25">
      <c r="A3626" s="63"/>
      <c r="B3626" s="63">
        <v>18</v>
      </c>
      <c r="C3626" s="63" t="s">
        <v>2995</v>
      </c>
      <c r="D3626" s="63" t="s">
        <v>64</v>
      </c>
      <c r="E3626" s="66"/>
      <c r="F3626" s="67">
        <v>3.0000000000000001E-3</v>
      </c>
      <c r="G3626" s="67">
        <v>2E-3</v>
      </c>
      <c r="H3626" s="63"/>
    </row>
    <row r="3627" spans="1:8" x14ac:dyDescent="0.25">
      <c r="A3627" s="63"/>
      <c r="B3627" s="63">
        <v>19</v>
      </c>
      <c r="C3627" s="63" t="s">
        <v>2995</v>
      </c>
      <c r="D3627" s="63" t="s">
        <v>64</v>
      </c>
      <c r="E3627" s="66"/>
      <c r="F3627" s="67">
        <v>3.0000000000000001E-3</v>
      </c>
      <c r="G3627" s="67">
        <v>2E-3</v>
      </c>
      <c r="H3627" s="63"/>
    </row>
    <row r="3628" spans="1:8" x14ac:dyDescent="0.25">
      <c r="A3628" s="63"/>
      <c r="B3628" s="63">
        <v>20</v>
      </c>
      <c r="C3628" s="63" t="s">
        <v>2995</v>
      </c>
      <c r="D3628" s="63" t="s">
        <v>64</v>
      </c>
      <c r="E3628" s="66"/>
      <c r="F3628" s="67">
        <v>3.0000000000000001E-3</v>
      </c>
      <c r="G3628" s="67">
        <v>2E-3</v>
      </c>
      <c r="H3628" s="63"/>
    </row>
    <row r="3629" spans="1:8" x14ac:dyDescent="0.25">
      <c r="A3629" s="63"/>
      <c r="B3629" s="63">
        <v>21</v>
      </c>
      <c r="C3629" s="63" t="s">
        <v>2995</v>
      </c>
      <c r="D3629" s="63" t="s">
        <v>64</v>
      </c>
      <c r="E3629" s="66"/>
      <c r="F3629" s="67">
        <v>3.0000000000000001E-3</v>
      </c>
      <c r="G3629" s="67">
        <v>2E-3</v>
      </c>
      <c r="H3629" s="63"/>
    </row>
    <row r="3630" spans="1:8" x14ac:dyDescent="0.25">
      <c r="A3630" s="63"/>
      <c r="B3630" s="63">
        <v>22</v>
      </c>
      <c r="C3630" s="63" t="s">
        <v>2995</v>
      </c>
      <c r="D3630" s="63" t="s">
        <v>64</v>
      </c>
      <c r="E3630" s="66"/>
      <c r="F3630" s="67">
        <v>3.0000000000000001E-3</v>
      </c>
      <c r="G3630" s="67">
        <v>2E-3</v>
      </c>
      <c r="H3630" s="63"/>
    </row>
    <row r="3631" spans="1:8" x14ac:dyDescent="0.25">
      <c r="A3631" s="63"/>
      <c r="B3631" s="63">
        <v>23</v>
      </c>
      <c r="C3631" s="63" t="s">
        <v>2995</v>
      </c>
      <c r="D3631" s="63" t="s">
        <v>64</v>
      </c>
      <c r="E3631" s="66"/>
      <c r="F3631" s="67">
        <v>3.0000000000000001E-3</v>
      </c>
      <c r="G3631" s="67">
        <v>2E-3</v>
      </c>
      <c r="H3631" s="63"/>
    </row>
    <row r="3632" spans="1:8" x14ac:dyDescent="0.25">
      <c r="A3632" s="63"/>
      <c r="B3632" s="63">
        <v>24</v>
      </c>
      <c r="C3632" s="63" t="s">
        <v>2995</v>
      </c>
      <c r="D3632" s="63" t="s">
        <v>64</v>
      </c>
      <c r="E3632" s="66"/>
      <c r="F3632" s="67">
        <v>3.0000000000000001E-3</v>
      </c>
      <c r="G3632" s="67">
        <v>2E-3</v>
      </c>
      <c r="H3632" s="63"/>
    </row>
    <row r="3633" spans="1:8" x14ac:dyDescent="0.25">
      <c r="A3633" s="63"/>
      <c r="B3633" s="63">
        <v>25</v>
      </c>
      <c r="C3633" s="63" t="s">
        <v>2995</v>
      </c>
      <c r="D3633" s="63" t="s">
        <v>64</v>
      </c>
      <c r="E3633" s="66"/>
      <c r="F3633" s="67">
        <v>3.0000000000000001E-3</v>
      </c>
      <c r="G3633" s="67">
        <v>2E-3</v>
      </c>
      <c r="H3633" s="63"/>
    </row>
    <row r="3634" spans="1:8" x14ac:dyDescent="0.25">
      <c r="A3634" s="63"/>
      <c r="B3634" s="63">
        <v>26</v>
      </c>
      <c r="C3634" s="63" t="s">
        <v>2995</v>
      </c>
      <c r="D3634" s="63" t="s">
        <v>64</v>
      </c>
      <c r="E3634" s="66"/>
      <c r="F3634" s="67">
        <v>3.0000000000000001E-3</v>
      </c>
      <c r="G3634" s="67">
        <v>2E-3</v>
      </c>
      <c r="H3634" s="63"/>
    </row>
    <row r="3635" spans="1:8" x14ac:dyDescent="0.25">
      <c r="A3635" s="63"/>
      <c r="B3635" s="63">
        <v>27</v>
      </c>
      <c r="C3635" s="63" t="s">
        <v>2995</v>
      </c>
      <c r="D3635" s="63" t="s">
        <v>64</v>
      </c>
      <c r="E3635" s="66"/>
      <c r="F3635" s="67">
        <v>3.0000000000000001E-3</v>
      </c>
      <c r="G3635" s="67">
        <v>2E-3</v>
      </c>
      <c r="H3635" s="63"/>
    </row>
    <row r="3636" spans="1:8" x14ac:dyDescent="0.25">
      <c r="A3636" s="63"/>
      <c r="B3636" s="63">
        <v>28</v>
      </c>
      <c r="C3636" s="63" t="s">
        <v>2995</v>
      </c>
      <c r="D3636" s="63" t="s">
        <v>64</v>
      </c>
      <c r="E3636" s="66"/>
      <c r="F3636" s="67">
        <v>3.0000000000000001E-3</v>
      </c>
      <c r="G3636" s="67">
        <v>2E-3</v>
      </c>
      <c r="H3636" s="63"/>
    </row>
    <row r="3637" spans="1:8" x14ac:dyDescent="0.25">
      <c r="A3637" s="63"/>
      <c r="B3637" s="63">
        <v>29</v>
      </c>
      <c r="C3637" s="63" t="s">
        <v>2995</v>
      </c>
      <c r="D3637" s="63" t="s">
        <v>64</v>
      </c>
      <c r="E3637" s="66"/>
      <c r="F3637" s="67">
        <v>3.0000000000000001E-3</v>
      </c>
      <c r="G3637" s="67">
        <v>2E-3</v>
      </c>
      <c r="H3637" s="63"/>
    </row>
    <row r="3638" spans="1:8" x14ac:dyDescent="0.25">
      <c r="A3638" s="63"/>
      <c r="B3638" s="63">
        <v>30</v>
      </c>
      <c r="C3638" s="63" t="s">
        <v>2995</v>
      </c>
      <c r="D3638" s="63" t="s">
        <v>64</v>
      </c>
      <c r="E3638" s="66"/>
      <c r="F3638" s="67">
        <v>3.0000000000000001E-3</v>
      </c>
      <c r="G3638" s="67">
        <v>2E-3</v>
      </c>
      <c r="H3638" s="63"/>
    </row>
    <row r="3639" spans="1:8" x14ac:dyDescent="0.25">
      <c r="A3639" s="63"/>
      <c r="B3639" s="63">
        <v>0</v>
      </c>
      <c r="C3639" s="63" t="s">
        <v>2995</v>
      </c>
      <c r="D3639" s="63" t="s">
        <v>64</v>
      </c>
      <c r="E3639" s="66">
        <v>3.0428788910505911</v>
      </c>
      <c r="F3639" s="67">
        <v>3.0000000000000001E-3</v>
      </c>
      <c r="G3639" s="67">
        <v>2E-3</v>
      </c>
      <c r="H3639" s="63"/>
    </row>
    <row r="3640" spans="1:8" x14ac:dyDescent="0.25">
      <c r="A3640" s="63"/>
      <c r="B3640" s="63">
        <v>0.25</v>
      </c>
      <c r="C3640" s="63" t="s">
        <v>2995</v>
      </c>
      <c r="D3640" s="63" t="s">
        <v>77</v>
      </c>
      <c r="E3640" s="66">
        <v>30.294221650364811</v>
      </c>
      <c r="F3640" s="67">
        <v>3.0000000000000001E-3</v>
      </c>
      <c r="G3640" s="67">
        <v>2E-3</v>
      </c>
      <c r="H3640" s="63"/>
    </row>
    <row r="3641" spans="1:8" x14ac:dyDescent="0.25">
      <c r="A3641" s="63"/>
      <c r="B3641" s="63">
        <v>0.5</v>
      </c>
      <c r="C3641" s="63" t="s">
        <v>2995</v>
      </c>
      <c r="D3641" s="63" t="s">
        <v>77</v>
      </c>
      <c r="E3641" s="66">
        <v>33.341158580794286</v>
      </c>
      <c r="F3641" s="67">
        <v>3.0000000000000001E-3</v>
      </c>
      <c r="G3641" s="67">
        <v>2E-3</v>
      </c>
      <c r="H3641" s="63"/>
    </row>
    <row r="3642" spans="1:8" x14ac:dyDescent="0.25">
      <c r="A3642" s="63"/>
      <c r="B3642" s="63">
        <v>0.75</v>
      </c>
      <c r="C3642" s="63" t="s">
        <v>2995</v>
      </c>
      <c r="D3642" s="63" t="s">
        <v>77</v>
      </c>
      <c r="E3642" s="66">
        <v>36.694861191822589</v>
      </c>
      <c r="F3642" s="67">
        <v>3.0000000000000001E-3</v>
      </c>
      <c r="G3642" s="67">
        <v>2E-3</v>
      </c>
      <c r="H3642" s="63"/>
    </row>
    <row r="3643" spans="1:8" x14ac:dyDescent="0.25">
      <c r="A3643" s="63"/>
      <c r="B3643" s="63">
        <v>1</v>
      </c>
      <c r="C3643" s="63" t="s">
        <v>2995</v>
      </c>
      <c r="D3643" s="63" t="s">
        <v>77</v>
      </c>
      <c r="E3643" s="66">
        <v>38.979496730513006</v>
      </c>
      <c r="F3643" s="67">
        <v>3.0000000000000001E-3</v>
      </c>
      <c r="G3643" s="67">
        <v>2E-3</v>
      </c>
      <c r="H3643" s="63"/>
    </row>
    <row r="3644" spans="1:8" x14ac:dyDescent="0.25">
      <c r="A3644" s="63"/>
      <c r="B3644" s="63">
        <v>2</v>
      </c>
      <c r="C3644" s="63" t="s">
        <v>2995</v>
      </c>
      <c r="D3644" s="63" t="s">
        <v>77</v>
      </c>
      <c r="E3644" s="66">
        <v>46.773423996597018</v>
      </c>
      <c r="F3644" s="67">
        <v>3.0000000000000001E-3</v>
      </c>
      <c r="G3644" s="67">
        <v>2E-3</v>
      </c>
      <c r="H3644" s="63"/>
    </row>
    <row r="3645" spans="1:8" x14ac:dyDescent="0.25">
      <c r="A3645" s="63"/>
      <c r="B3645" s="63">
        <v>3</v>
      </c>
      <c r="C3645" s="63" t="s">
        <v>2995</v>
      </c>
      <c r="D3645" s="63" t="s">
        <v>77</v>
      </c>
      <c r="E3645" s="66">
        <v>60.034498943213357</v>
      </c>
      <c r="F3645" s="67">
        <v>3.0000000000000001E-3</v>
      </c>
      <c r="G3645" s="67">
        <v>2E-3</v>
      </c>
      <c r="H3645" s="63"/>
    </row>
    <row r="3646" spans="1:8" x14ac:dyDescent="0.25">
      <c r="A3646" s="63"/>
      <c r="B3646" s="63">
        <v>4</v>
      </c>
      <c r="C3646" s="63" t="s">
        <v>2995</v>
      </c>
      <c r="D3646" s="63" t="s">
        <v>77</v>
      </c>
      <c r="E3646" s="66">
        <v>69.609115493068387</v>
      </c>
      <c r="F3646" s="67">
        <v>3.0000000000000001E-3</v>
      </c>
      <c r="G3646" s="67">
        <v>2E-3</v>
      </c>
      <c r="H3646" s="63"/>
    </row>
    <row r="3647" spans="1:8" x14ac:dyDescent="0.25">
      <c r="A3647" s="63"/>
      <c r="B3647" s="63">
        <v>5</v>
      </c>
      <c r="C3647" s="63" t="s">
        <v>2995</v>
      </c>
      <c r="D3647" s="63" t="s">
        <v>77</v>
      </c>
      <c r="E3647" s="66">
        <v>79.406197525459561</v>
      </c>
      <c r="F3647" s="67">
        <v>3.0000000000000001E-3</v>
      </c>
      <c r="G3647" s="67">
        <v>2E-3</v>
      </c>
      <c r="H3647" s="63"/>
    </row>
    <row r="3648" spans="1:8" x14ac:dyDescent="0.25">
      <c r="A3648" s="63"/>
      <c r="B3648" s="63">
        <v>6</v>
      </c>
      <c r="C3648" s="63" t="s">
        <v>2995</v>
      </c>
      <c r="D3648" s="63" t="s">
        <v>77</v>
      </c>
      <c r="E3648" s="66">
        <v>89.447991588640519</v>
      </c>
      <c r="F3648" s="67">
        <v>3.0000000000000001E-3</v>
      </c>
      <c r="G3648" s="67">
        <v>2E-3</v>
      </c>
      <c r="H3648" s="63"/>
    </row>
    <row r="3649" spans="1:8" x14ac:dyDescent="0.25">
      <c r="A3649" s="63"/>
      <c r="B3649" s="63">
        <v>7</v>
      </c>
      <c r="C3649" s="63" t="s">
        <v>2995</v>
      </c>
      <c r="D3649" s="63" t="s">
        <v>77</v>
      </c>
      <c r="E3649" s="66">
        <v>99.758968885690251</v>
      </c>
      <c r="F3649" s="67">
        <v>3.0000000000000001E-3</v>
      </c>
      <c r="G3649" s="67">
        <v>2E-3</v>
      </c>
      <c r="H3649" s="63"/>
    </row>
    <row r="3650" spans="1:8" x14ac:dyDescent="0.25">
      <c r="A3650" s="63"/>
      <c r="B3650" s="63">
        <v>8</v>
      </c>
      <c r="C3650" s="63" t="s">
        <v>2995</v>
      </c>
      <c r="D3650" s="63" t="s">
        <v>77</v>
      </c>
      <c r="E3650" s="66">
        <v>110.36604773999554</v>
      </c>
      <c r="F3650" s="67">
        <v>3.0000000000000001E-3</v>
      </c>
      <c r="G3650" s="67">
        <v>2E-3</v>
      </c>
      <c r="H3650" s="63"/>
    </row>
    <row r="3651" spans="1:8" x14ac:dyDescent="0.25">
      <c r="A3651" s="63"/>
      <c r="B3651" s="63">
        <v>9</v>
      </c>
      <c r="C3651" s="63" t="s">
        <v>2995</v>
      </c>
      <c r="D3651" s="63" t="s">
        <v>77</v>
      </c>
      <c r="E3651" s="66">
        <v>121.29883830728207</v>
      </c>
      <c r="F3651" s="67">
        <v>3.0000000000000001E-3</v>
      </c>
      <c r="G3651" s="67">
        <v>2E-3</v>
      </c>
      <c r="H3651" s="63"/>
    </row>
    <row r="3652" spans="1:8" x14ac:dyDescent="0.25">
      <c r="A3652" s="63"/>
      <c r="B3652" s="63">
        <v>10</v>
      </c>
      <c r="C3652" s="63" t="s">
        <v>2995</v>
      </c>
      <c r="D3652" s="63" t="s">
        <v>77</v>
      </c>
      <c r="E3652" s="66">
        <v>133.41299900312947</v>
      </c>
      <c r="F3652" s="67">
        <v>3.0000000000000001E-3</v>
      </c>
      <c r="G3652" s="67">
        <v>2E-3</v>
      </c>
      <c r="H3652" s="63"/>
    </row>
    <row r="3653" spans="1:8" x14ac:dyDescent="0.25">
      <c r="A3653" s="63"/>
      <c r="B3653" s="63">
        <v>11</v>
      </c>
      <c r="C3653" s="63" t="s">
        <v>2995</v>
      </c>
      <c r="D3653" s="63" t="s">
        <v>77</v>
      </c>
      <c r="E3653" s="66"/>
      <c r="F3653" s="67">
        <v>3.0000000000000001E-3</v>
      </c>
      <c r="G3653" s="67">
        <v>2E-3</v>
      </c>
      <c r="H3653" s="63"/>
    </row>
    <row r="3654" spans="1:8" x14ac:dyDescent="0.25">
      <c r="A3654" s="63"/>
      <c r="B3654" s="63">
        <v>12</v>
      </c>
      <c r="C3654" s="63" t="s">
        <v>2995</v>
      </c>
      <c r="D3654" s="63" t="s">
        <v>77</v>
      </c>
      <c r="E3654" s="66"/>
      <c r="F3654" s="67">
        <v>3.0000000000000001E-3</v>
      </c>
      <c r="G3654" s="67">
        <v>2E-3</v>
      </c>
      <c r="H3654" s="63"/>
    </row>
    <row r="3655" spans="1:8" x14ac:dyDescent="0.25">
      <c r="A3655" s="63"/>
      <c r="B3655" s="63">
        <v>13</v>
      </c>
      <c r="C3655" s="63" t="s">
        <v>2995</v>
      </c>
      <c r="D3655" s="63" t="s">
        <v>77</v>
      </c>
      <c r="E3655" s="66"/>
      <c r="F3655" s="67">
        <v>3.0000000000000001E-3</v>
      </c>
      <c r="G3655" s="67">
        <v>2E-3</v>
      </c>
      <c r="H3655" s="63"/>
    </row>
    <row r="3656" spans="1:8" x14ac:dyDescent="0.25">
      <c r="A3656" s="63"/>
      <c r="B3656" s="63">
        <v>14</v>
      </c>
      <c r="C3656" s="63" t="s">
        <v>2995</v>
      </c>
      <c r="D3656" s="63" t="s">
        <v>77</v>
      </c>
      <c r="E3656" s="66"/>
      <c r="F3656" s="67">
        <v>3.0000000000000001E-3</v>
      </c>
      <c r="G3656" s="67">
        <v>2E-3</v>
      </c>
      <c r="H3656" s="63"/>
    </row>
    <row r="3657" spans="1:8" x14ac:dyDescent="0.25">
      <c r="A3657" s="63"/>
      <c r="B3657" s="63">
        <v>15</v>
      </c>
      <c r="C3657" s="63" t="s">
        <v>2995</v>
      </c>
      <c r="D3657" s="63" t="s">
        <v>77</v>
      </c>
      <c r="E3657" s="66"/>
      <c r="F3657" s="67">
        <v>3.0000000000000001E-3</v>
      </c>
      <c r="G3657" s="67">
        <v>2E-3</v>
      </c>
      <c r="H3657" s="63"/>
    </row>
    <row r="3658" spans="1:8" x14ac:dyDescent="0.25">
      <c r="A3658" s="63"/>
      <c r="B3658" s="63">
        <v>16</v>
      </c>
      <c r="C3658" s="63" t="s">
        <v>2995</v>
      </c>
      <c r="D3658" s="63" t="s">
        <v>77</v>
      </c>
      <c r="E3658" s="66"/>
      <c r="F3658" s="67">
        <v>3.0000000000000001E-3</v>
      </c>
      <c r="G3658" s="67">
        <v>2E-3</v>
      </c>
      <c r="H3658" s="63"/>
    </row>
    <row r="3659" spans="1:8" x14ac:dyDescent="0.25">
      <c r="A3659" s="63"/>
      <c r="B3659" s="63">
        <v>17</v>
      </c>
      <c r="C3659" s="63" t="s">
        <v>2995</v>
      </c>
      <c r="D3659" s="63" t="s">
        <v>77</v>
      </c>
      <c r="E3659" s="66"/>
      <c r="F3659" s="67">
        <v>3.0000000000000001E-3</v>
      </c>
      <c r="G3659" s="67">
        <v>2E-3</v>
      </c>
      <c r="H3659" s="63"/>
    </row>
    <row r="3660" spans="1:8" x14ac:dyDescent="0.25">
      <c r="A3660" s="63"/>
      <c r="B3660" s="63">
        <v>18</v>
      </c>
      <c r="C3660" s="63" t="s">
        <v>2995</v>
      </c>
      <c r="D3660" s="63" t="s">
        <v>77</v>
      </c>
      <c r="E3660" s="66"/>
      <c r="F3660" s="67">
        <v>3.0000000000000001E-3</v>
      </c>
      <c r="G3660" s="67">
        <v>2E-3</v>
      </c>
      <c r="H3660" s="63"/>
    </row>
    <row r="3661" spans="1:8" x14ac:dyDescent="0.25">
      <c r="A3661" s="63"/>
      <c r="B3661" s="63">
        <v>19</v>
      </c>
      <c r="C3661" s="63" t="s">
        <v>2995</v>
      </c>
      <c r="D3661" s="63" t="s">
        <v>77</v>
      </c>
      <c r="E3661" s="66"/>
      <c r="F3661" s="67">
        <v>3.0000000000000001E-3</v>
      </c>
      <c r="G3661" s="67">
        <v>2E-3</v>
      </c>
      <c r="H3661" s="63"/>
    </row>
    <row r="3662" spans="1:8" x14ac:dyDescent="0.25">
      <c r="A3662" s="63"/>
      <c r="B3662" s="63">
        <v>20</v>
      </c>
      <c r="C3662" s="63" t="s">
        <v>2995</v>
      </c>
      <c r="D3662" s="63" t="s">
        <v>77</v>
      </c>
      <c r="E3662" s="66"/>
      <c r="F3662" s="67">
        <v>3.0000000000000001E-3</v>
      </c>
      <c r="G3662" s="67">
        <v>2E-3</v>
      </c>
      <c r="H3662" s="63"/>
    </row>
    <row r="3663" spans="1:8" x14ac:dyDescent="0.25">
      <c r="A3663" s="63"/>
      <c r="B3663" s="63">
        <v>21</v>
      </c>
      <c r="C3663" s="63" t="s">
        <v>2995</v>
      </c>
      <c r="D3663" s="63" t="s">
        <v>77</v>
      </c>
      <c r="E3663" s="66"/>
      <c r="F3663" s="67">
        <v>3.0000000000000001E-3</v>
      </c>
      <c r="G3663" s="67">
        <v>2E-3</v>
      </c>
      <c r="H3663" s="63"/>
    </row>
    <row r="3664" spans="1:8" x14ac:dyDescent="0.25">
      <c r="A3664" s="63"/>
      <c r="B3664" s="63">
        <v>22</v>
      </c>
      <c r="C3664" s="63" t="s">
        <v>2995</v>
      </c>
      <c r="D3664" s="63" t="s">
        <v>77</v>
      </c>
      <c r="E3664" s="66"/>
      <c r="F3664" s="67">
        <v>3.0000000000000001E-3</v>
      </c>
      <c r="G3664" s="67">
        <v>2E-3</v>
      </c>
      <c r="H3664" s="63"/>
    </row>
    <row r="3665" spans="1:8" x14ac:dyDescent="0.25">
      <c r="A3665" s="63"/>
      <c r="B3665" s="63">
        <v>23</v>
      </c>
      <c r="C3665" s="63" t="s">
        <v>2995</v>
      </c>
      <c r="D3665" s="63" t="s">
        <v>77</v>
      </c>
      <c r="E3665" s="66"/>
      <c r="F3665" s="67">
        <v>3.0000000000000001E-3</v>
      </c>
      <c r="G3665" s="67">
        <v>2E-3</v>
      </c>
      <c r="H3665" s="63"/>
    </row>
    <row r="3666" spans="1:8" x14ac:dyDescent="0.25">
      <c r="A3666" s="63"/>
      <c r="B3666" s="63">
        <v>24</v>
      </c>
      <c r="C3666" s="63" t="s">
        <v>2995</v>
      </c>
      <c r="D3666" s="63" t="s">
        <v>77</v>
      </c>
      <c r="E3666" s="66"/>
      <c r="F3666" s="67">
        <v>3.0000000000000001E-3</v>
      </c>
      <c r="G3666" s="67">
        <v>2E-3</v>
      </c>
      <c r="H3666" s="63"/>
    </row>
    <row r="3667" spans="1:8" x14ac:dyDescent="0.25">
      <c r="A3667" s="63"/>
      <c r="B3667" s="63">
        <v>25</v>
      </c>
      <c r="C3667" s="63" t="s">
        <v>2995</v>
      </c>
      <c r="D3667" s="63" t="s">
        <v>77</v>
      </c>
      <c r="E3667" s="66"/>
      <c r="F3667" s="67">
        <v>3.0000000000000001E-3</v>
      </c>
      <c r="G3667" s="67">
        <v>2E-3</v>
      </c>
      <c r="H3667" s="63"/>
    </row>
    <row r="3668" spans="1:8" x14ac:dyDescent="0.25">
      <c r="A3668" s="63"/>
      <c r="B3668" s="63">
        <v>26</v>
      </c>
      <c r="C3668" s="63" t="s">
        <v>2995</v>
      </c>
      <c r="D3668" s="63" t="s">
        <v>77</v>
      </c>
      <c r="E3668" s="66"/>
      <c r="F3668" s="67">
        <v>3.0000000000000001E-3</v>
      </c>
      <c r="G3668" s="67">
        <v>2E-3</v>
      </c>
      <c r="H3668" s="63"/>
    </row>
    <row r="3669" spans="1:8" x14ac:dyDescent="0.25">
      <c r="A3669" s="63"/>
      <c r="B3669" s="63">
        <v>27</v>
      </c>
      <c r="C3669" s="63" t="s">
        <v>2995</v>
      </c>
      <c r="D3669" s="63" t="s">
        <v>77</v>
      </c>
      <c r="E3669" s="66"/>
      <c r="F3669" s="67">
        <v>3.0000000000000001E-3</v>
      </c>
      <c r="G3669" s="67">
        <v>2E-3</v>
      </c>
      <c r="H3669" s="63"/>
    </row>
    <row r="3670" spans="1:8" x14ac:dyDescent="0.25">
      <c r="A3670" s="63"/>
      <c r="B3670" s="63">
        <v>28</v>
      </c>
      <c r="C3670" s="63" t="s">
        <v>2995</v>
      </c>
      <c r="D3670" s="63" t="s">
        <v>77</v>
      </c>
      <c r="E3670" s="66"/>
      <c r="F3670" s="67">
        <v>3.0000000000000001E-3</v>
      </c>
      <c r="G3670" s="67">
        <v>2E-3</v>
      </c>
      <c r="H3670" s="63"/>
    </row>
    <row r="3671" spans="1:8" x14ac:dyDescent="0.25">
      <c r="A3671" s="63"/>
      <c r="B3671" s="63">
        <v>29</v>
      </c>
      <c r="C3671" s="63" t="s">
        <v>2995</v>
      </c>
      <c r="D3671" s="63" t="s">
        <v>77</v>
      </c>
      <c r="E3671" s="66"/>
      <c r="F3671" s="67">
        <v>3.0000000000000001E-3</v>
      </c>
      <c r="G3671" s="67">
        <v>2E-3</v>
      </c>
      <c r="H3671" s="63"/>
    </row>
    <row r="3672" spans="1:8" x14ac:dyDescent="0.25">
      <c r="A3672" s="63"/>
      <c r="B3672" s="63">
        <v>30</v>
      </c>
      <c r="C3672" s="63" t="s">
        <v>2995</v>
      </c>
      <c r="D3672" s="63" t="s">
        <v>77</v>
      </c>
      <c r="E3672" s="66"/>
      <c r="F3672" s="67">
        <v>3.0000000000000001E-3</v>
      </c>
      <c r="G3672" s="67">
        <v>2E-3</v>
      </c>
      <c r="H3672" s="63"/>
    </row>
    <row r="3673" spans="1:8" x14ac:dyDescent="0.25">
      <c r="A3673" s="63"/>
      <c r="B3673" s="63">
        <v>0</v>
      </c>
      <c r="C3673" s="63" t="s">
        <v>2995</v>
      </c>
      <c r="D3673" s="63" t="s">
        <v>77</v>
      </c>
      <c r="E3673" s="66">
        <v>3.0428788910505911</v>
      </c>
      <c r="F3673" s="67">
        <v>3.0000000000000001E-3</v>
      </c>
      <c r="G3673" s="67">
        <v>2E-3</v>
      </c>
      <c r="H3673" s="63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D4937-8A84-49CF-8468-C73D819684C9}">
  <dimension ref="A1:H3673"/>
  <sheetViews>
    <sheetView workbookViewId="0">
      <selection activeCell="T21" sqref="T21"/>
    </sheetView>
  </sheetViews>
  <sheetFormatPr defaultRowHeight="15" x14ac:dyDescent="0.25"/>
  <cols>
    <col min="1" max="1" width="5" style="68" bestFit="1" customWidth="1"/>
    <col min="2" max="2" width="8" style="68" bestFit="1" customWidth="1"/>
    <col min="3" max="3" width="7" style="68" bestFit="1" customWidth="1"/>
    <col min="4" max="4" width="10.28515625" style="68" bestFit="1" customWidth="1"/>
    <col min="5" max="5" width="7.42578125" style="69" bestFit="1" customWidth="1"/>
    <col min="6" max="6" width="13.85546875" style="68" bestFit="1" customWidth="1"/>
    <col min="7" max="7" width="8.28515625" style="68" bestFit="1" customWidth="1"/>
    <col min="8" max="8" width="16.5703125" style="68" bestFit="1" customWidth="1"/>
    <col min="9" max="16384" width="9.140625" style="65"/>
  </cols>
  <sheetData>
    <row r="1" spans="1:8" x14ac:dyDescent="0.25">
      <c r="A1" s="63" t="s">
        <v>5403</v>
      </c>
      <c r="B1" s="63" t="s">
        <v>5404</v>
      </c>
      <c r="C1" s="63" t="s">
        <v>5405</v>
      </c>
      <c r="D1" s="63" t="s">
        <v>5406</v>
      </c>
      <c r="E1" s="64" t="s">
        <v>5407</v>
      </c>
      <c r="F1" s="63" t="s">
        <v>5408</v>
      </c>
      <c r="G1" s="63" t="s">
        <v>5409</v>
      </c>
      <c r="H1" s="63" t="s">
        <v>5410</v>
      </c>
    </row>
    <row r="2" spans="1:8" x14ac:dyDescent="0.25">
      <c r="A2" s="63"/>
      <c r="B2" s="63">
        <f>'Padrão EPP'!B2</f>
        <v>0.25</v>
      </c>
      <c r="C2" s="63" t="str">
        <f>'Padrão EPP'!C2</f>
        <v>SP</v>
      </c>
      <c r="D2" s="63" t="str">
        <f>'Padrão EPP'!D2</f>
        <v>CAPITAL</v>
      </c>
      <c r="E2" s="63">
        <f>'Padrão EPP'!E2/2</f>
        <v>5.3664118788286972</v>
      </c>
      <c r="F2" s="67">
        <v>3.0000000000000001E-3</v>
      </c>
      <c r="G2" s="67">
        <v>2E-3</v>
      </c>
      <c r="H2" s="63"/>
    </row>
    <row r="3" spans="1:8" x14ac:dyDescent="0.25">
      <c r="A3" s="63"/>
      <c r="B3" s="63">
        <f>'Padrão EPP'!B3</f>
        <v>0.5</v>
      </c>
      <c r="C3" s="63" t="str">
        <f>'Padrão EPP'!C3</f>
        <v>SP</v>
      </c>
      <c r="D3" s="63" t="str">
        <f>'Padrão EPP'!D3</f>
        <v>CAPITAL</v>
      </c>
      <c r="E3" s="63">
        <f>'Padrão EPP'!E3/2</f>
        <v>5.5242810051037452</v>
      </c>
      <c r="F3" s="67">
        <v>3.0000000000000001E-3</v>
      </c>
      <c r="G3" s="67">
        <v>2E-3</v>
      </c>
      <c r="H3" s="63"/>
    </row>
    <row r="4" spans="1:8" x14ac:dyDescent="0.25">
      <c r="A4" s="63"/>
      <c r="B4" s="63">
        <f>'Padrão EPP'!B4</f>
        <v>0.75</v>
      </c>
      <c r="C4" s="63" t="str">
        <f>'Padrão EPP'!C4</f>
        <v>SP</v>
      </c>
      <c r="D4" s="63" t="str">
        <f>'Padrão EPP'!D4</f>
        <v>CAPITAL</v>
      </c>
      <c r="E4" s="63">
        <f>'Padrão EPP'!E4/2</f>
        <v>5.6823755135332306</v>
      </c>
      <c r="F4" s="67">
        <v>3.0000000000000001E-3</v>
      </c>
      <c r="G4" s="67">
        <v>2E-3</v>
      </c>
      <c r="H4" s="63"/>
    </row>
    <row r="5" spans="1:8" x14ac:dyDescent="0.25">
      <c r="A5" s="63"/>
      <c r="B5" s="63">
        <f>'Padrão EPP'!B5</f>
        <v>1</v>
      </c>
      <c r="C5" s="63" t="str">
        <f>'Padrão EPP'!C5</f>
        <v>SP</v>
      </c>
      <c r="D5" s="63" t="str">
        <f>'Padrão EPP'!D5</f>
        <v>CAPITAL</v>
      </c>
      <c r="E5" s="63">
        <f>'Padrão EPP'!E5/2</f>
        <v>5.8745867539510215</v>
      </c>
      <c r="F5" s="67">
        <v>3.0000000000000001E-3</v>
      </c>
      <c r="G5" s="67">
        <v>2E-3</v>
      </c>
      <c r="H5" s="63"/>
    </row>
    <row r="6" spans="1:8" x14ac:dyDescent="0.25">
      <c r="A6" s="63"/>
      <c r="B6" s="63">
        <f>'Padrão EPP'!B6</f>
        <v>2</v>
      </c>
      <c r="C6" s="63" t="str">
        <f>'Padrão EPP'!C6</f>
        <v>SP</v>
      </c>
      <c r="D6" s="63" t="str">
        <f>'Padrão EPP'!D6</f>
        <v>CAPITAL</v>
      </c>
      <c r="E6" s="63">
        <f>'Padrão EPP'!E6/2</f>
        <v>6.4252821628435619</v>
      </c>
      <c r="F6" s="67">
        <v>3.0000000000000001E-3</v>
      </c>
      <c r="G6" s="67">
        <v>2E-3</v>
      </c>
      <c r="H6" s="63"/>
    </row>
    <row r="7" spans="1:8" x14ac:dyDescent="0.25">
      <c r="A7" s="63"/>
      <c r="B7" s="63">
        <f>'Padrão EPP'!B7</f>
        <v>3</v>
      </c>
      <c r="C7" s="63" t="str">
        <f>'Padrão EPP'!C7</f>
        <v>SP</v>
      </c>
      <c r="D7" s="63" t="str">
        <f>'Padrão EPP'!D7</f>
        <v>CAPITAL</v>
      </c>
      <c r="E7" s="63">
        <f>'Padrão EPP'!E7/2</f>
        <v>7.3913186865256666</v>
      </c>
      <c r="F7" s="67">
        <v>3.0000000000000001E-3</v>
      </c>
      <c r="G7" s="67">
        <v>2E-3</v>
      </c>
      <c r="H7" s="63"/>
    </row>
    <row r="8" spans="1:8" x14ac:dyDescent="0.25">
      <c r="A8" s="63"/>
      <c r="B8" s="63">
        <f>'Padrão EPP'!B8</f>
        <v>4</v>
      </c>
      <c r="C8" s="63" t="str">
        <f>'Padrão EPP'!C8</f>
        <v>SP</v>
      </c>
      <c r="D8" s="63" t="str">
        <f>'Padrão EPP'!D8</f>
        <v>CAPITAL</v>
      </c>
      <c r="E8" s="63">
        <f>'Padrão EPP'!E8/2</f>
        <v>8.4251229352637598</v>
      </c>
      <c r="F8" s="67">
        <v>3.0000000000000001E-3</v>
      </c>
      <c r="G8" s="67">
        <v>2E-3</v>
      </c>
      <c r="H8" s="63"/>
    </row>
    <row r="9" spans="1:8" x14ac:dyDescent="0.25">
      <c r="A9" s="63"/>
      <c r="B9" s="63">
        <f>'Padrão EPP'!B9</f>
        <v>5</v>
      </c>
      <c r="C9" s="63" t="str">
        <f>'Padrão EPP'!C9</f>
        <v>SP</v>
      </c>
      <c r="D9" s="63" t="str">
        <f>'Padrão EPP'!D9</f>
        <v>CAPITAL</v>
      </c>
      <c r="E9" s="63">
        <f>'Padrão EPP'!E9/2</f>
        <v>9.5603509361707104</v>
      </c>
      <c r="F9" s="67">
        <v>3.0000000000000001E-3</v>
      </c>
      <c r="G9" s="67">
        <v>2E-3</v>
      </c>
      <c r="H9" s="63"/>
    </row>
    <row r="10" spans="1:8" x14ac:dyDescent="0.25">
      <c r="A10" s="63"/>
      <c r="B10" s="63">
        <f>'Padrão EPP'!B10</f>
        <v>6</v>
      </c>
      <c r="C10" s="63" t="str">
        <f>'Padrão EPP'!C10</f>
        <v>SP</v>
      </c>
      <c r="D10" s="63" t="str">
        <f>'Padrão EPP'!D10</f>
        <v>CAPITAL</v>
      </c>
      <c r="E10" s="63">
        <f>'Padrão EPP'!E10/2</f>
        <v>10.59036623380273</v>
      </c>
      <c r="F10" s="67">
        <v>3.0000000000000001E-3</v>
      </c>
      <c r="G10" s="67">
        <v>2E-3</v>
      </c>
      <c r="H10" s="63"/>
    </row>
    <row r="11" spans="1:8" x14ac:dyDescent="0.25">
      <c r="A11" s="63"/>
      <c r="B11" s="63">
        <f>'Padrão EPP'!B11</f>
        <v>7</v>
      </c>
      <c r="C11" s="63" t="str">
        <f>'Padrão EPP'!C11</f>
        <v>SP</v>
      </c>
      <c r="D11" s="63" t="str">
        <f>'Padrão EPP'!D11</f>
        <v>CAPITAL</v>
      </c>
      <c r="E11" s="63">
        <f>'Padrão EPP'!E11/2</f>
        <v>11.655604914705041</v>
      </c>
      <c r="F11" s="67">
        <v>3.0000000000000001E-3</v>
      </c>
      <c r="G11" s="67">
        <v>2E-3</v>
      </c>
      <c r="H11" s="63"/>
    </row>
    <row r="12" spans="1:8" x14ac:dyDescent="0.25">
      <c r="A12" s="63"/>
      <c r="B12" s="63">
        <f>'Padrão EPP'!B12</f>
        <v>8</v>
      </c>
      <c r="C12" s="63" t="str">
        <f>'Padrão EPP'!C12</f>
        <v>SP</v>
      </c>
      <c r="D12" s="63" t="str">
        <f>'Padrão EPP'!D12</f>
        <v>CAPITAL</v>
      </c>
      <c r="E12" s="63">
        <f>'Padrão EPP'!E12/2</f>
        <v>12.7595893172047</v>
      </c>
      <c r="F12" s="67">
        <v>3.0000000000000001E-3</v>
      </c>
      <c r="G12" s="67">
        <v>2E-3</v>
      </c>
      <c r="H12" s="63"/>
    </row>
    <row r="13" spans="1:8" x14ac:dyDescent="0.25">
      <c r="A13" s="63"/>
      <c r="B13" s="63">
        <f>'Padrão EPP'!B13</f>
        <v>9</v>
      </c>
      <c r="C13" s="63" t="str">
        <f>'Padrão EPP'!C13</f>
        <v>SP</v>
      </c>
      <c r="D13" s="63" t="str">
        <f>'Padrão EPP'!D13</f>
        <v>CAPITAL</v>
      </c>
      <c r="E13" s="63">
        <f>'Padrão EPP'!E13/2</f>
        <v>13.906194013461416</v>
      </c>
      <c r="F13" s="67">
        <v>3.0000000000000001E-3</v>
      </c>
      <c r="G13" s="67">
        <v>2E-3</v>
      </c>
      <c r="H13" s="63"/>
    </row>
    <row r="14" spans="1:8" x14ac:dyDescent="0.25">
      <c r="A14" s="63"/>
      <c r="B14" s="63">
        <f>'Padrão EPP'!B14</f>
        <v>10</v>
      </c>
      <c r="C14" s="63" t="str">
        <f>'Padrão EPP'!C14</f>
        <v>SP</v>
      </c>
      <c r="D14" s="63" t="str">
        <f>'Padrão EPP'!D14</f>
        <v>CAPITAL</v>
      </c>
      <c r="E14" s="63">
        <f>'Padrão EPP'!E14/2</f>
        <v>14.856562700033802</v>
      </c>
      <c r="F14" s="67">
        <v>3.0000000000000001E-3</v>
      </c>
      <c r="G14" s="67">
        <v>2E-3</v>
      </c>
      <c r="H14" s="63"/>
    </row>
    <row r="15" spans="1:8" x14ac:dyDescent="0.25">
      <c r="A15" s="63"/>
      <c r="B15" s="63">
        <f>'Padrão EPP'!B15</f>
        <v>11</v>
      </c>
      <c r="C15" s="63" t="str">
        <f>'Padrão EPP'!C15</f>
        <v>SP</v>
      </c>
      <c r="D15" s="63" t="str">
        <f>'Padrão EPP'!D15</f>
        <v>CAPITAL</v>
      </c>
      <c r="E15" s="63">
        <f>'Padrão EPP'!E15/2</f>
        <v>0</v>
      </c>
      <c r="F15" s="67">
        <v>3.0000000000000001E-3</v>
      </c>
      <c r="G15" s="67">
        <v>2E-3</v>
      </c>
      <c r="H15" s="63"/>
    </row>
    <row r="16" spans="1:8" x14ac:dyDescent="0.25">
      <c r="A16" s="63"/>
      <c r="B16" s="63">
        <f>'Padrão EPP'!B16</f>
        <v>12</v>
      </c>
      <c r="C16" s="63" t="str">
        <f>'Padrão EPP'!C16</f>
        <v>SP</v>
      </c>
      <c r="D16" s="63" t="str">
        <f>'Padrão EPP'!D16</f>
        <v>CAPITAL</v>
      </c>
      <c r="E16" s="63">
        <f>'Padrão EPP'!E16/2</f>
        <v>0</v>
      </c>
      <c r="F16" s="67">
        <v>3.0000000000000001E-3</v>
      </c>
      <c r="G16" s="67">
        <v>2E-3</v>
      </c>
      <c r="H16" s="63"/>
    </row>
    <row r="17" spans="1:8" x14ac:dyDescent="0.25">
      <c r="A17" s="63"/>
      <c r="B17" s="63">
        <f>'Padrão EPP'!B17</f>
        <v>13</v>
      </c>
      <c r="C17" s="63" t="str">
        <f>'Padrão EPP'!C17</f>
        <v>SP</v>
      </c>
      <c r="D17" s="63" t="str">
        <f>'Padrão EPP'!D17</f>
        <v>CAPITAL</v>
      </c>
      <c r="E17" s="63">
        <f>'Padrão EPP'!E17/2</f>
        <v>0</v>
      </c>
      <c r="F17" s="67">
        <v>3.0000000000000001E-3</v>
      </c>
      <c r="G17" s="67">
        <v>2E-3</v>
      </c>
      <c r="H17" s="63"/>
    </row>
    <row r="18" spans="1:8" x14ac:dyDescent="0.25">
      <c r="A18" s="63"/>
      <c r="B18" s="63">
        <f>'Padrão EPP'!B18</f>
        <v>14</v>
      </c>
      <c r="C18" s="63" t="str">
        <f>'Padrão EPP'!C18</f>
        <v>SP</v>
      </c>
      <c r="D18" s="63" t="str">
        <f>'Padrão EPP'!D18</f>
        <v>CAPITAL</v>
      </c>
      <c r="E18" s="63">
        <f>'Padrão EPP'!E18/2</f>
        <v>0</v>
      </c>
      <c r="F18" s="67">
        <v>3.0000000000000001E-3</v>
      </c>
      <c r="G18" s="67">
        <v>2E-3</v>
      </c>
      <c r="H18" s="63"/>
    </row>
    <row r="19" spans="1:8" x14ac:dyDescent="0.25">
      <c r="A19" s="63"/>
      <c r="B19" s="63">
        <f>'Padrão EPP'!B19</f>
        <v>15</v>
      </c>
      <c r="C19" s="63" t="str">
        <f>'Padrão EPP'!C19</f>
        <v>SP</v>
      </c>
      <c r="D19" s="63" t="str">
        <f>'Padrão EPP'!D19</f>
        <v>CAPITAL</v>
      </c>
      <c r="E19" s="63">
        <f>'Padrão EPP'!E19/2</f>
        <v>0</v>
      </c>
      <c r="F19" s="67">
        <v>3.0000000000000001E-3</v>
      </c>
      <c r="G19" s="67">
        <v>2E-3</v>
      </c>
      <c r="H19" s="63"/>
    </row>
    <row r="20" spans="1:8" x14ac:dyDescent="0.25">
      <c r="A20" s="63"/>
      <c r="B20" s="63">
        <f>'Padrão EPP'!B20</f>
        <v>16</v>
      </c>
      <c r="C20" s="63" t="str">
        <f>'Padrão EPP'!C20</f>
        <v>SP</v>
      </c>
      <c r="D20" s="63" t="str">
        <f>'Padrão EPP'!D20</f>
        <v>CAPITAL</v>
      </c>
      <c r="E20" s="63">
        <f>'Padrão EPP'!E20/2</f>
        <v>0</v>
      </c>
      <c r="F20" s="67">
        <v>3.0000000000000001E-3</v>
      </c>
      <c r="G20" s="67">
        <v>2E-3</v>
      </c>
      <c r="H20" s="63"/>
    </row>
    <row r="21" spans="1:8" x14ac:dyDescent="0.25">
      <c r="A21" s="63"/>
      <c r="B21" s="63">
        <f>'Padrão EPP'!B21</f>
        <v>17</v>
      </c>
      <c r="C21" s="63" t="str">
        <f>'Padrão EPP'!C21</f>
        <v>SP</v>
      </c>
      <c r="D21" s="63" t="str">
        <f>'Padrão EPP'!D21</f>
        <v>CAPITAL</v>
      </c>
      <c r="E21" s="63">
        <f>'Padrão EPP'!E21/2</f>
        <v>0</v>
      </c>
      <c r="F21" s="67">
        <v>3.0000000000000001E-3</v>
      </c>
      <c r="G21" s="67">
        <v>2E-3</v>
      </c>
      <c r="H21" s="63"/>
    </row>
    <row r="22" spans="1:8" x14ac:dyDescent="0.25">
      <c r="A22" s="63"/>
      <c r="B22" s="63">
        <f>'Padrão EPP'!B22</f>
        <v>18</v>
      </c>
      <c r="C22" s="63" t="str">
        <f>'Padrão EPP'!C22</f>
        <v>SP</v>
      </c>
      <c r="D22" s="63" t="str">
        <f>'Padrão EPP'!D22</f>
        <v>CAPITAL</v>
      </c>
      <c r="E22" s="63">
        <f>'Padrão EPP'!E22/2</f>
        <v>0</v>
      </c>
      <c r="F22" s="67">
        <v>3.0000000000000001E-3</v>
      </c>
      <c r="G22" s="67">
        <v>2E-3</v>
      </c>
      <c r="H22" s="63"/>
    </row>
    <row r="23" spans="1:8" x14ac:dyDescent="0.25">
      <c r="A23" s="63"/>
      <c r="B23" s="63">
        <f>'Padrão EPP'!B23</f>
        <v>19</v>
      </c>
      <c r="C23" s="63" t="str">
        <f>'Padrão EPP'!C23</f>
        <v>SP</v>
      </c>
      <c r="D23" s="63" t="str">
        <f>'Padrão EPP'!D23</f>
        <v>CAPITAL</v>
      </c>
      <c r="E23" s="63">
        <f>'Padrão EPP'!E23/2</f>
        <v>0</v>
      </c>
      <c r="F23" s="67">
        <v>3.0000000000000001E-3</v>
      </c>
      <c r="G23" s="67">
        <v>2E-3</v>
      </c>
      <c r="H23" s="63"/>
    </row>
    <row r="24" spans="1:8" x14ac:dyDescent="0.25">
      <c r="A24" s="63"/>
      <c r="B24" s="63">
        <f>'Padrão EPP'!B24</f>
        <v>20</v>
      </c>
      <c r="C24" s="63" t="str">
        <f>'Padrão EPP'!C24</f>
        <v>SP</v>
      </c>
      <c r="D24" s="63" t="str">
        <f>'Padrão EPP'!D24</f>
        <v>CAPITAL</v>
      </c>
      <c r="E24" s="63">
        <f>'Padrão EPP'!E24/2</f>
        <v>0</v>
      </c>
      <c r="F24" s="67">
        <v>3.0000000000000001E-3</v>
      </c>
      <c r="G24" s="67">
        <v>2E-3</v>
      </c>
      <c r="H24" s="63"/>
    </row>
    <row r="25" spans="1:8" x14ac:dyDescent="0.25">
      <c r="A25" s="63"/>
      <c r="B25" s="63">
        <f>'Padrão EPP'!B25</f>
        <v>21</v>
      </c>
      <c r="C25" s="63" t="str">
        <f>'Padrão EPP'!C25</f>
        <v>SP</v>
      </c>
      <c r="D25" s="63" t="str">
        <f>'Padrão EPP'!D25</f>
        <v>CAPITAL</v>
      </c>
      <c r="E25" s="63">
        <f>'Padrão EPP'!E25/2</f>
        <v>0</v>
      </c>
      <c r="F25" s="67">
        <v>3.0000000000000001E-3</v>
      </c>
      <c r="G25" s="67">
        <v>2E-3</v>
      </c>
      <c r="H25" s="63"/>
    </row>
    <row r="26" spans="1:8" x14ac:dyDescent="0.25">
      <c r="A26" s="63"/>
      <c r="B26" s="63">
        <f>'Padrão EPP'!B26</f>
        <v>22</v>
      </c>
      <c r="C26" s="63" t="str">
        <f>'Padrão EPP'!C26</f>
        <v>SP</v>
      </c>
      <c r="D26" s="63" t="str">
        <f>'Padrão EPP'!D26</f>
        <v>CAPITAL</v>
      </c>
      <c r="E26" s="63">
        <f>'Padrão EPP'!E26/2</f>
        <v>0</v>
      </c>
      <c r="F26" s="67">
        <v>3.0000000000000001E-3</v>
      </c>
      <c r="G26" s="67">
        <v>2E-3</v>
      </c>
      <c r="H26" s="63"/>
    </row>
    <row r="27" spans="1:8" x14ac:dyDescent="0.25">
      <c r="A27" s="63"/>
      <c r="B27" s="63">
        <f>'Padrão EPP'!B27</f>
        <v>23</v>
      </c>
      <c r="C27" s="63" t="str">
        <f>'Padrão EPP'!C27</f>
        <v>SP</v>
      </c>
      <c r="D27" s="63" t="str">
        <f>'Padrão EPP'!D27</f>
        <v>CAPITAL</v>
      </c>
      <c r="E27" s="63">
        <f>'Padrão EPP'!E27/2</f>
        <v>0</v>
      </c>
      <c r="F27" s="67">
        <v>3.0000000000000001E-3</v>
      </c>
      <c r="G27" s="67">
        <v>2E-3</v>
      </c>
      <c r="H27" s="63"/>
    </row>
    <row r="28" spans="1:8" x14ac:dyDescent="0.25">
      <c r="A28" s="63"/>
      <c r="B28" s="63">
        <f>'Padrão EPP'!B28</f>
        <v>24</v>
      </c>
      <c r="C28" s="63" t="str">
        <f>'Padrão EPP'!C28</f>
        <v>SP</v>
      </c>
      <c r="D28" s="63" t="str">
        <f>'Padrão EPP'!D28</f>
        <v>CAPITAL</v>
      </c>
      <c r="E28" s="63">
        <f>'Padrão EPP'!E28/2</f>
        <v>0</v>
      </c>
      <c r="F28" s="67">
        <v>3.0000000000000001E-3</v>
      </c>
      <c r="G28" s="67">
        <v>2E-3</v>
      </c>
      <c r="H28" s="63"/>
    </row>
    <row r="29" spans="1:8" x14ac:dyDescent="0.25">
      <c r="A29" s="63"/>
      <c r="B29" s="63">
        <f>'Padrão EPP'!B29</f>
        <v>25</v>
      </c>
      <c r="C29" s="63" t="str">
        <f>'Padrão EPP'!C29</f>
        <v>SP</v>
      </c>
      <c r="D29" s="63" t="str">
        <f>'Padrão EPP'!D29</f>
        <v>CAPITAL</v>
      </c>
      <c r="E29" s="63">
        <f>'Padrão EPP'!E29/2</f>
        <v>0</v>
      </c>
      <c r="F29" s="67">
        <v>3.0000000000000001E-3</v>
      </c>
      <c r="G29" s="67">
        <v>2E-3</v>
      </c>
      <c r="H29" s="63"/>
    </row>
    <row r="30" spans="1:8" x14ac:dyDescent="0.25">
      <c r="A30" s="63"/>
      <c r="B30" s="63">
        <f>'Padrão EPP'!B30</f>
        <v>26</v>
      </c>
      <c r="C30" s="63" t="str">
        <f>'Padrão EPP'!C30</f>
        <v>SP</v>
      </c>
      <c r="D30" s="63" t="str">
        <f>'Padrão EPP'!D30</f>
        <v>CAPITAL</v>
      </c>
      <c r="E30" s="63">
        <f>'Padrão EPP'!E30/2</f>
        <v>0</v>
      </c>
      <c r="F30" s="67">
        <v>3.0000000000000001E-3</v>
      </c>
      <c r="G30" s="67">
        <v>2E-3</v>
      </c>
      <c r="H30" s="63"/>
    </row>
    <row r="31" spans="1:8" x14ac:dyDescent="0.25">
      <c r="A31" s="63"/>
      <c r="B31" s="63">
        <f>'Padrão EPP'!B31</f>
        <v>27</v>
      </c>
      <c r="C31" s="63" t="str">
        <f>'Padrão EPP'!C31</f>
        <v>SP</v>
      </c>
      <c r="D31" s="63" t="str">
        <f>'Padrão EPP'!D31</f>
        <v>CAPITAL</v>
      </c>
      <c r="E31" s="63">
        <f>'Padrão EPP'!E31/2</f>
        <v>0</v>
      </c>
      <c r="F31" s="67">
        <v>3.0000000000000001E-3</v>
      </c>
      <c r="G31" s="67">
        <v>2E-3</v>
      </c>
      <c r="H31" s="63"/>
    </row>
    <row r="32" spans="1:8" x14ac:dyDescent="0.25">
      <c r="A32" s="63"/>
      <c r="B32" s="63">
        <f>'Padrão EPP'!B32</f>
        <v>28</v>
      </c>
      <c r="C32" s="63" t="str">
        <f>'Padrão EPP'!C32</f>
        <v>SP</v>
      </c>
      <c r="D32" s="63" t="str">
        <f>'Padrão EPP'!D32</f>
        <v>CAPITAL</v>
      </c>
      <c r="E32" s="63">
        <f>'Padrão EPP'!E32/2</f>
        <v>0</v>
      </c>
      <c r="F32" s="67">
        <v>3.0000000000000001E-3</v>
      </c>
      <c r="G32" s="67">
        <v>2E-3</v>
      </c>
      <c r="H32" s="63"/>
    </row>
    <row r="33" spans="1:8" x14ac:dyDescent="0.25">
      <c r="A33" s="63"/>
      <c r="B33" s="63">
        <f>'Padrão EPP'!B33</f>
        <v>29</v>
      </c>
      <c r="C33" s="63" t="str">
        <f>'Padrão EPP'!C33</f>
        <v>SP</v>
      </c>
      <c r="D33" s="63" t="str">
        <f>'Padrão EPP'!D33</f>
        <v>CAPITAL</v>
      </c>
      <c r="E33" s="63">
        <f>'Padrão EPP'!E33/2</f>
        <v>0</v>
      </c>
      <c r="F33" s="67">
        <v>3.0000000000000001E-3</v>
      </c>
      <c r="G33" s="67">
        <v>2E-3</v>
      </c>
      <c r="H33" s="63"/>
    </row>
    <row r="34" spans="1:8" x14ac:dyDescent="0.25">
      <c r="A34" s="63"/>
      <c r="B34" s="63">
        <f>'Padrão EPP'!B34</f>
        <v>30</v>
      </c>
      <c r="C34" s="63" t="str">
        <f>'Padrão EPP'!C34</f>
        <v>SP</v>
      </c>
      <c r="D34" s="63" t="str">
        <f>'Padrão EPP'!D34</f>
        <v>CAPITAL</v>
      </c>
      <c r="E34" s="63">
        <f>'Padrão EPP'!E34/2</f>
        <v>0</v>
      </c>
      <c r="F34" s="67">
        <v>3.0000000000000001E-3</v>
      </c>
      <c r="G34" s="67">
        <v>2E-3</v>
      </c>
      <c r="H34" s="63"/>
    </row>
    <row r="35" spans="1:8" x14ac:dyDescent="0.25">
      <c r="A35" s="63"/>
      <c r="B35" s="63">
        <f>'Padrão EPP'!B35</f>
        <v>0</v>
      </c>
      <c r="C35" s="63" t="str">
        <f>'Padrão EPP'!C35</f>
        <v>SP</v>
      </c>
      <c r="D35" s="63" t="str">
        <f>'Padrão EPP'!D35</f>
        <v>CAPITAL</v>
      </c>
      <c r="E35" s="63">
        <f>'Padrão EPP'!E35/2</f>
        <v>1.5214394455252955</v>
      </c>
      <c r="F35" s="67">
        <v>3.0000000000000001E-3</v>
      </c>
      <c r="G35" s="67">
        <v>2E-3</v>
      </c>
      <c r="H35" s="63"/>
    </row>
    <row r="36" spans="1:8" x14ac:dyDescent="0.25">
      <c r="A36" s="63"/>
      <c r="B36" s="63">
        <f>'Padrão EPP'!B36</f>
        <v>0.25</v>
      </c>
      <c r="C36" s="63" t="str">
        <f>'Padrão EPP'!C36</f>
        <v>SP</v>
      </c>
      <c r="D36" s="63" t="str">
        <f>'Padrão EPP'!D36</f>
        <v>INTERIOR</v>
      </c>
      <c r="E36" s="63">
        <f>'Padrão EPP'!E36/2</f>
        <v>7.1300447539671916</v>
      </c>
      <c r="F36" s="67">
        <v>3.0000000000000001E-3</v>
      </c>
      <c r="G36" s="67">
        <v>2E-3</v>
      </c>
      <c r="H36" s="63"/>
    </row>
    <row r="37" spans="1:8" x14ac:dyDescent="0.25">
      <c r="A37" s="63"/>
      <c r="B37" s="63">
        <f>'Padrão EPP'!B37</f>
        <v>0.5</v>
      </c>
      <c r="C37" s="63" t="str">
        <f>'Padrão EPP'!C37</f>
        <v>SP</v>
      </c>
      <c r="D37" s="63" t="str">
        <f>'Padrão EPP'!D37</f>
        <v>INTERIOR</v>
      </c>
      <c r="E37" s="63">
        <f>'Padrão EPP'!E37/2</f>
        <v>7.2173430120699091</v>
      </c>
      <c r="F37" s="67">
        <v>3.0000000000000001E-3</v>
      </c>
      <c r="G37" s="67">
        <v>2E-3</v>
      </c>
      <c r="H37" s="63"/>
    </row>
    <row r="38" spans="1:8" x14ac:dyDescent="0.25">
      <c r="A38" s="63"/>
      <c r="B38" s="63">
        <f>'Padrão EPP'!B38</f>
        <v>0.75</v>
      </c>
      <c r="C38" s="63" t="str">
        <f>'Padrão EPP'!C38</f>
        <v>SP</v>
      </c>
      <c r="D38" s="63" t="str">
        <f>'Padrão EPP'!D38</f>
        <v>INTERIOR</v>
      </c>
      <c r="E38" s="63">
        <f>'Padrão EPP'!E38/2</f>
        <v>7.3610135512677877</v>
      </c>
      <c r="F38" s="67">
        <v>3.0000000000000001E-3</v>
      </c>
      <c r="G38" s="67">
        <v>2E-3</v>
      </c>
      <c r="H38" s="63"/>
    </row>
    <row r="39" spans="1:8" x14ac:dyDescent="0.25">
      <c r="A39" s="63"/>
      <c r="B39" s="63">
        <f>'Padrão EPP'!B39</f>
        <v>1</v>
      </c>
      <c r="C39" s="63" t="str">
        <f>'Padrão EPP'!C39</f>
        <v>SP</v>
      </c>
      <c r="D39" s="63" t="str">
        <f>'Padrão EPP'!D39</f>
        <v>INTERIOR</v>
      </c>
      <c r="E39" s="63">
        <f>'Padrão EPP'!E39/2</f>
        <v>7.8388579577776092</v>
      </c>
      <c r="F39" s="67">
        <v>3.0000000000000001E-3</v>
      </c>
      <c r="G39" s="67">
        <v>2E-3</v>
      </c>
      <c r="H39" s="63"/>
    </row>
    <row r="40" spans="1:8" x14ac:dyDescent="0.25">
      <c r="A40" s="63"/>
      <c r="B40" s="63">
        <f>'Padrão EPP'!B40</f>
        <v>2</v>
      </c>
      <c r="C40" s="63" t="str">
        <f>'Padrão EPP'!C40</f>
        <v>SP</v>
      </c>
      <c r="D40" s="63" t="str">
        <f>'Padrão EPP'!D40</f>
        <v>INTERIOR</v>
      </c>
      <c r="E40" s="63">
        <f>'Padrão EPP'!E40/2</f>
        <v>8.5051898024085961</v>
      </c>
      <c r="F40" s="67">
        <v>3.0000000000000001E-3</v>
      </c>
      <c r="G40" s="67">
        <v>2E-3</v>
      </c>
      <c r="H40" s="63"/>
    </row>
    <row r="41" spans="1:8" x14ac:dyDescent="0.25">
      <c r="A41" s="63"/>
      <c r="B41" s="63">
        <f>'Padrão EPP'!B41</f>
        <v>3</v>
      </c>
      <c r="C41" s="63" t="str">
        <f>'Padrão EPP'!C41</f>
        <v>SP</v>
      </c>
      <c r="D41" s="63" t="str">
        <f>'Padrão EPP'!D41</f>
        <v>INTERIOR</v>
      </c>
      <c r="E41" s="63">
        <f>'Padrão EPP'!E41/2</f>
        <v>8.4422852842334173</v>
      </c>
      <c r="F41" s="67">
        <v>3.0000000000000001E-3</v>
      </c>
      <c r="G41" s="67">
        <v>2E-3</v>
      </c>
      <c r="H41" s="63"/>
    </row>
    <row r="42" spans="1:8" x14ac:dyDescent="0.25">
      <c r="A42" s="63"/>
      <c r="B42" s="63">
        <f>'Padrão EPP'!B42</f>
        <v>4</v>
      </c>
      <c r="C42" s="63" t="str">
        <f>'Padrão EPP'!C42</f>
        <v>SP</v>
      </c>
      <c r="D42" s="63" t="str">
        <f>'Padrão EPP'!D42</f>
        <v>INTERIOR</v>
      </c>
      <c r="E42" s="63">
        <f>'Padrão EPP'!E42/2</f>
        <v>9.3088786798802925</v>
      </c>
      <c r="F42" s="67">
        <v>3.0000000000000001E-3</v>
      </c>
      <c r="G42" s="67">
        <v>2E-3</v>
      </c>
      <c r="H42" s="63"/>
    </row>
    <row r="43" spans="1:8" x14ac:dyDescent="0.25">
      <c r="A43" s="63"/>
      <c r="B43" s="63">
        <f>'Padrão EPP'!B43</f>
        <v>5</v>
      </c>
      <c r="C43" s="63" t="str">
        <f>'Padrão EPP'!C43</f>
        <v>SP</v>
      </c>
      <c r="D43" s="63" t="str">
        <f>'Padrão EPP'!D43</f>
        <v>INTERIOR</v>
      </c>
      <c r="E43" s="63">
        <f>'Padrão EPP'!E43/2</f>
        <v>10.261461357971445</v>
      </c>
      <c r="F43" s="67">
        <v>3.0000000000000001E-3</v>
      </c>
      <c r="G43" s="67">
        <v>2E-3</v>
      </c>
      <c r="H43" s="63"/>
    </row>
    <row r="44" spans="1:8" x14ac:dyDescent="0.25">
      <c r="A44" s="63"/>
      <c r="B44" s="63">
        <f>'Padrão EPP'!B44</f>
        <v>6</v>
      </c>
      <c r="C44" s="63" t="str">
        <f>'Padrão EPP'!C44</f>
        <v>SP</v>
      </c>
      <c r="D44" s="63" t="str">
        <f>'Padrão EPP'!D44</f>
        <v>INTERIOR</v>
      </c>
      <c r="E44" s="63">
        <f>'Padrão EPP'!E44/2</f>
        <v>11.26531352008838</v>
      </c>
      <c r="F44" s="67">
        <v>3.0000000000000001E-3</v>
      </c>
      <c r="G44" s="67">
        <v>2E-3</v>
      </c>
      <c r="H44" s="63"/>
    </row>
    <row r="45" spans="1:8" x14ac:dyDescent="0.25">
      <c r="A45" s="63"/>
      <c r="B45" s="63">
        <f>'Padrão EPP'!B45</f>
        <v>7</v>
      </c>
      <c r="C45" s="63" t="str">
        <f>'Padrão EPP'!C45</f>
        <v>SP</v>
      </c>
      <c r="D45" s="63" t="str">
        <f>'Padrão EPP'!D45</f>
        <v>INTERIOR</v>
      </c>
      <c r="E45" s="63">
        <f>'Padrão EPP'!E45/2</f>
        <v>12.327029925112928</v>
      </c>
      <c r="F45" s="67">
        <v>3.0000000000000001E-3</v>
      </c>
      <c r="G45" s="67">
        <v>2E-3</v>
      </c>
      <c r="H45" s="63"/>
    </row>
    <row r="46" spans="1:8" x14ac:dyDescent="0.25">
      <c r="A46" s="63"/>
      <c r="B46" s="63">
        <f>'Padrão EPP'!B46</f>
        <v>8</v>
      </c>
      <c r="C46" s="63" t="str">
        <f>'Padrão EPP'!C46</f>
        <v>SP</v>
      </c>
      <c r="D46" s="63" t="str">
        <f>'Padrão EPP'!D46</f>
        <v>INTERIOR</v>
      </c>
      <c r="E46" s="63">
        <f>'Padrão EPP'!E46/2</f>
        <v>14.311481196801164</v>
      </c>
      <c r="F46" s="67">
        <v>3.0000000000000001E-3</v>
      </c>
      <c r="G46" s="67">
        <v>2E-3</v>
      </c>
      <c r="H46" s="63"/>
    </row>
    <row r="47" spans="1:8" x14ac:dyDescent="0.25">
      <c r="A47" s="63"/>
      <c r="B47" s="63">
        <f>'Padrão EPP'!B47</f>
        <v>9</v>
      </c>
      <c r="C47" s="63" t="str">
        <f>'Padrão EPP'!C47</f>
        <v>SP</v>
      </c>
      <c r="D47" s="63" t="str">
        <f>'Padrão EPP'!D47</f>
        <v>INTERIOR</v>
      </c>
      <c r="E47" s="63">
        <f>'Padrão EPP'!E47/2</f>
        <v>15.505802622512084</v>
      </c>
      <c r="F47" s="67">
        <v>3.0000000000000001E-3</v>
      </c>
      <c r="G47" s="67">
        <v>2E-3</v>
      </c>
      <c r="H47" s="63"/>
    </row>
    <row r="48" spans="1:8" x14ac:dyDescent="0.25">
      <c r="A48" s="63"/>
      <c r="B48" s="63">
        <f>'Padrão EPP'!B48</f>
        <v>10</v>
      </c>
      <c r="C48" s="63" t="str">
        <f>'Padrão EPP'!C48</f>
        <v>SP</v>
      </c>
      <c r="D48" s="63" t="str">
        <f>'Padrão EPP'!D48</f>
        <v>INTERIOR</v>
      </c>
      <c r="E48" s="63">
        <f>'Padrão EPP'!E48/2</f>
        <v>16.665399643248371</v>
      </c>
      <c r="F48" s="67">
        <v>3.0000000000000001E-3</v>
      </c>
      <c r="G48" s="67">
        <v>2E-3</v>
      </c>
      <c r="H48" s="63"/>
    </row>
    <row r="49" spans="1:8" x14ac:dyDescent="0.25">
      <c r="A49" s="63"/>
      <c r="B49" s="63">
        <f>'Padrão EPP'!B49</f>
        <v>11</v>
      </c>
      <c r="C49" s="63" t="str">
        <f>'Padrão EPP'!C49</f>
        <v>SP</v>
      </c>
      <c r="D49" s="63" t="str">
        <f>'Padrão EPP'!D49</f>
        <v>INTERIOR</v>
      </c>
      <c r="E49" s="63">
        <f>'Padrão EPP'!E49/2</f>
        <v>0</v>
      </c>
      <c r="F49" s="67">
        <v>3.0000000000000001E-3</v>
      </c>
      <c r="G49" s="67">
        <v>2E-3</v>
      </c>
      <c r="H49" s="63"/>
    </row>
    <row r="50" spans="1:8" x14ac:dyDescent="0.25">
      <c r="A50" s="63"/>
      <c r="B50" s="63">
        <f>'Padrão EPP'!B50</f>
        <v>12</v>
      </c>
      <c r="C50" s="63" t="str">
        <f>'Padrão EPP'!C50</f>
        <v>SP</v>
      </c>
      <c r="D50" s="63" t="str">
        <f>'Padrão EPP'!D50</f>
        <v>INTERIOR</v>
      </c>
      <c r="E50" s="63">
        <f>'Padrão EPP'!E50/2</f>
        <v>0</v>
      </c>
      <c r="F50" s="67">
        <v>3.0000000000000001E-3</v>
      </c>
      <c r="G50" s="67">
        <v>2E-3</v>
      </c>
      <c r="H50" s="63"/>
    </row>
    <row r="51" spans="1:8" x14ac:dyDescent="0.25">
      <c r="A51" s="63"/>
      <c r="B51" s="63">
        <f>'Padrão EPP'!B51</f>
        <v>13</v>
      </c>
      <c r="C51" s="63" t="str">
        <f>'Padrão EPP'!C51</f>
        <v>SP</v>
      </c>
      <c r="D51" s="63" t="str">
        <f>'Padrão EPP'!D51</f>
        <v>INTERIOR</v>
      </c>
      <c r="E51" s="63">
        <f>'Padrão EPP'!E51/2</f>
        <v>0</v>
      </c>
      <c r="F51" s="67">
        <v>3.0000000000000001E-3</v>
      </c>
      <c r="G51" s="67">
        <v>2E-3</v>
      </c>
      <c r="H51" s="63"/>
    </row>
    <row r="52" spans="1:8" x14ac:dyDescent="0.25">
      <c r="A52" s="63"/>
      <c r="B52" s="63">
        <f>'Padrão EPP'!B52</f>
        <v>14</v>
      </c>
      <c r="C52" s="63" t="str">
        <f>'Padrão EPP'!C52</f>
        <v>SP</v>
      </c>
      <c r="D52" s="63" t="str">
        <f>'Padrão EPP'!D52</f>
        <v>INTERIOR</v>
      </c>
      <c r="E52" s="63">
        <f>'Padrão EPP'!E52/2</f>
        <v>0</v>
      </c>
      <c r="F52" s="67">
        <v>3.0000000000000001E-3</v>
      </c>
      <c r="G52" s="67">
        <v>2E-3</v>
      </c>
      <c r="H52" s="63"/>
    </row>
    <row r="53" spans="1:8" x14ac:dyDescent="0.25">
      <c r="A53" s="63"/>
      <c r="B53" s="63">
        <f>'Padrão EPP'!B53</f>
        <v>15</v>
      </c>
      <c r="C53" s="63" t="str">
        <f>'Padrão EPP'!C53</f>
        <v>SP</v>
      </c>
      <c r="D53" s="63" t="str">
        <f>'Padrão EPP'!D53</f>
        <v>INTERIOR</v>
      </c>
      <c r="E53" s="63">
        <f>'Padrão EPP'!E53/2</f>
        <v>0</v>
      </c>
      <c r="F53" s="67">
        <v>3.0000000000000001E-3</v>
      </c>
      <c r="G53" s="67">
        <v>2E-3</v>
      </c>
      <c r="H53" s="63"/>
    </row>
    <row r="54" spans="1:8" x14ac:dyDescent="0.25">
      <c r="A54" s="63"/>
      <c r="B54" s="63">
        <f>'Padrão EPP'!B54</f>
        <v>16</v>
      </c>
      <c r="C54" s="63" t="str">
        <f>'Padrão EPP'!C54</f>
        <v>SP</v>
      </c>
      <c r="D54" s="63" t="str">
        <f>'Padrão EPP'!D54</f>
        <v>INTERIOR</v>
      </c>
      <c r="E54" s="63">
        <f>'Padrão EPP'!E54/2</f>
        <v>0</v>
      </c>
      <c r="F54" s="67">
        <v>3.0000000000000001E-3</v>
      </c>
      <c r="G54" s="67">
        <v>2E-3</v>
      </c>
      <c r="H54" s="63"/>
    </row>
    <row r="55" spans="1:8" x14ac:dyDescent="0.25">
      <c r="A55" s="63"/>
      <c r="B55" s="63">
        <f>'Padrão EPP'!B55</f>
        <v>17</v>
      </c>
      <c r="C55" s="63" t="str">
        <f>'Padrão EPP'!C55</f>
        <v>SP</v>
      </c>
      <c r="D55" s="63" t="str">
        <f>'Padrão EPP'!D55</f>
        <v>INTERIOR</v>
      </c>
      <c r="E55" s="63">
        <f>'Padrão EPP'!E55/2</f>
        <v>0</v>
      </c>
      <c r="F55" s="67">
        <v>3.0000000000000001E-3</v>
      </c>
      <c r="G55" s="67">
        <v>2E-3</v>
      </c>
      <c r="H55" s="63"/>
    </row>
    <row r="56" spans="1:8" x14ac:dyDescent="0.25">
      <c r="A56" s="63"/>
      <c r="B56" s="63">
        <f>'Padrão EPP'!B56</f>
        <v>18</v>
      </c>
      <c r="C56" s="63" t="str">
        <f>'Padrão EPP'!C56</f>
        <v>SP</v>
      </c>
      <c r="D56" s="63" t="str">
        <f>'Padrão EPP'!D56</f>
        <v>INTERIOR</v>
      </c>
      <c r="E56" s="63">
        <f>'Padrão EPP'!E56/2</f>
        <v>0</v>
      </c>
      <c r="F56" s="67">
        <v>3.0000000000000001E-3</v>
      </c>
      <c r="G56" s="67">
        <v>2E-3</v>
      </c>
      <c r="H56" s="63"/>
    </row>
    <row r="57" spans="1:8" x14ac:dyDescent="0.25">
      <c r="A57" s="63"/>
      <c r="B57" s="63">
        <f>'Padrão EPP'!B57</f>
        <v>19</v>
      </c>
      <c r="C57" s="63" t="str">
        <f>'Padrão EPP'!C57</f>
        <v>SP</v>
      </c>
      <c r="D57" s="63" t="str">
        <f>'Padrão EPP'!D57</f>
        <v>INTERIOR</v>
      </c>
      <c r="E57" s="63">
        <f>'Padrão EPP'!E57/2</f>
        <v>0</v>
      </c>
      <c r="F57" s="67">
        <v>3.0000000000000001E-3</v>
      </c>
      <c r="G57" s="67">
        <v>2E-3</v>
      </c>
      <c r="H57" s="63"/>
    </row>
    <row r="58" spans="1:8" x14ac:dyDescent="0.25">
      <c r="A58" s="63"/>
      <c r="B58" s="63">
        <f>'Padrão EPP'!B58</f>
        <v>20</v>
      </c>
      <c r="C58" s="63" t="str">
        <f>'Padrão EPP'!C58</f>
        <v>SP</v>
      </c>
      <c r="D58" s="63" t="str">
        <f>'Padrão EPP'!D58</f>
        <v>INTERIOR</v>
      </c>
      <c r="E58" s="63">
        <f>'Padrão EPP'!E58/2</f>
        <v>0</v>
      </c>
      <c r="F58" s="67">
        <v>3.0000000000000001E-3</v>
      </c>
      <c r="G58" s="67">
        <v>2E-3</v>
      </c>
      <c r="H58" s="63"/>
    </row>
    <row r="59" spans="1:8" x14ac:dyDescent="0.25">
      <c r="A59" s="63"/>
      <c r="B59" s="63">
        <f>'Padrão EPP'!B59</f>
        <v>21</v>
      </c>
      <c r="C59" s="63" t="str">
        <f>'Padrão EPP'!C59</f>
        <v>SP</v>
      </c>
      <c r="D59" s="63" t="str">
        <f>'Padrão EPP'!D59</f>
        <v>INTERIOR</v>
      </c>
      <c r="E59" s="63">
        <f>'Padrão EPP'!E59/2</f>
        <v>0</v>
      </c>
      <c r="F59" s="67">
        <v>3.0000000000000001E-3</v>
      </c>
      <c r="G59" s="67">
        <v>2E-3</v>
      </c>
      <c r="H59" s="63"/>
    </row>
    <row r="60" spans="1:8" x14ac:dyDescent="0.25">
      <c r="A60" s="63"/>
      <c r="B60" s="63">
        <f>'Padrão EPP'!B60</f>
        <v>22</v>
      </c>
      <c r="C60" s="63" t="str">
        <f>'Padrão EPP'!C60</f>
        <v>SP</v>
      </c>
      <c r="D60" s="63" t="str">
        <f>'Padrão EPP'!D60</f>
        <v>INTERIOR</v>
      </c>
      <c r="E60" s="63">
        <f>'Padrão EPP'!E60/2</f>
        <v>0</v>
      </c>
      <c r="F60" s="67">
        <v>3.0000000000000001E-3</v>
      </c>
      <c r="G60" s="67">
        <v>2E-3</v>
      </c>
      <c r="H60" s="63"/>
    </row>
    <row r="61" spans="1:8" x14ac:dyDescent="0.25">
      <c r="A61" s="63"/>
      <c r="B61" s="63">
        <f>'Padrão EPP'!B61</f>
        <v>23</v>
      </c>
      <c r="C61" s="63" t="str">
        <f>'Padrão EPP'!C61</f>
        <v>SP</v>
      </c>
      <c r="D61" s="63" t="str">
        <f>'Padrão EPP'!D61</f>
        <v>INTERIOR</v>
      </c>
      <c r="E61" s="63">
        <f>'Padrão EPP'!E61/2</f>
        <v>0</v>
      </c>
      <c r="F61" s="67">
        <v>3.0000000000000001E-3</v>
      </c>
      <c r="G61" s="67">
        <v>2E-3</v>
      </c>
      <c r="H61" s="63"/>
    </row>
    <row r="62" spans="1:8" x14ac:dyDescent="0.25">
      <c r="A62" s="63"/>
      <c r="B62" s="63">
        <f>'Padrão EPP'!B62</f>
        <v>24</v>
      </c>
      <c r="C62" s="63" t="str">
        <f>'Padrão EPP'!C62</f>
        <v>SP</v>
      </c>
      <c r="D62" s="63" t="str">
        <f>'Padrão EPP'!D62</f>
        <v>INTERIOR</v>
      </c>
      <c r="E62" s="63">
        <f>'Padrão EPP'!E62/2</f>
        <v>0</v>
      </c>
      <c r="F62" s="67">
        <v>3.0000000000000001E-3</v>
      </c>
      <c r="G62" s="67">
        <v>2E-3</v>
      </c>
      <c r="H62" s="63"/>
    </row>
    <row r="63" spans="1:8" x14ac:dyDescent="0.25">
      <c r="A63" s="63"/>
      <c r="B63" s="63">
        <f>'Padrão EPP'!B63</f>
        <v>25</v>
      </c>
      <c r="C63" s="63" t="str">
        <f>'Padrão EPP'!C63</f>
        <v>SP</v>
      </c>
      <c r="D63" s="63" t="str">
        <f>'Padrão EPP'!D63</f>
        <v>INTERIOR</v>
      </c>
      <c r="E63" s="63">
        <f>'Padrão EPP'!E63/2</f>
        <v>0</v>
      </c>
      <c r="F63" s="67">
        <v>3.0000000000000001E-3</v>
      </c>
      <c r="G63" s="67">
        <v>2E-3</v>
      </c>
      <c r="H63" s="63"/>
    </row>
    <row r="64" spans="1:8" x14ac:dyDescent="0.25">
      <c r="A64" s="63"/>
      <c r="B64" s="63">
        <f>'Padrão EPP'!B64</f>
        <v>26</v>
      </c>
      <c r="C64" s="63" t="str">
        <f>'Padrão EPP'!C64</f>
        <v>SP</v>
      </c>
      <c r="D64" s="63" t="str">
        <f>'Padrão EPP'!D64</f>
        <v>INTERIOR</v>
      </c>
      <c r="E64" s="63">
        <f>'Padrão EPP'!E64/2</f>
        <v>0</v>
      </c>
      <c r="F64" s="67">
        <v>3.0000000000000001E-3</v>
      </c>
      <c r="G64" s="67">
        <v>2E-3</v>
      </c>
      <c r="H64" s="63"/>
    </row>
    <row r="65" spans="1:8" x14ac:dyDescent="0.25">
      <c r="A65" s="63"/>
      <c r="B65" s="63">
        <f>'Padrão EPP'!B65</f>
        <v>27</v>
      </c>
      <c r="C65" s="63" t="str">
        <f>'Padrão EPP'!C65</f>
        <v>SP</v>
      </c>
      <c r="D65" s="63" t="str">
        <f>'Padrão EPP'!D65</f>
        <v>INTERIOR</v>
      </c>
      <c r="E65" s="63">
        <f>'Padrão EPP'!E65/2</f>
        <v>0</v>
      </c>
      <c r="F65" s="67">
        <v>3.0000000000000001E-3</v>
      </c>
      <c r="G65" s="67">
        <v>2E-3</v>
      </c>
      <c r="H65" s="63"/>
    </row>
    <row r="66" spans="1:8" x14ac:dyDescent="0.25">
      <c r="A66" s="63"/>
      <c r="B66" s="63">
        <f>'Padrão EPP'!B66</f>
        <v>28</v>
      </c>
      <c r="C66" s="63" t="str">
        <f>'Padrão EPP'!C66</f>
        <v>SP</v>
      </c>
      <c r="D66" s="63" t="str">
        <f>'Padrão EPP'!D66</f>
        <v>INTERIOR</v>
      </c>
      <c r="E66" s="63">
        <f>'Padrão EPP'!E66/2</f>
        <v>0</v>
      </c>
      <c r="F66" s="67">
        <v>3.0000000000000001E-3</v>
      </c>
      <c r="G66" s="67">
        <v>2E-3</v>
      </c>
      <c r="H66" s="63"/>
    </row>
    <row r="67" spans="1:8" x14ac:dyDescent="0.25">
      <c r="A67" s="63"/>
      <c r="B67" s="63">
        <f>'Padrão EPP'!B67</f>
        <v>29</v>
      </c>
      <c r="C67" s="63" t="str">
        <f>'Padrão EPP'!C67</f>
        <v>SP</v>
      </c>
      <c r="D67" s="63" t="str">
        <f>'Padrão EPP'!D67</f>
        <v>INTERIOR</v>
      </c>
      <c r="E67" s="63">
        <f>'Padrão EPP'!E67/2</f>
        <v>0</v>
      </c>
      <c r="F67" s="67">
        <v>3.0000000000000001E-3</v>
      </c>
      <c r="G67" s="67">
        <v>2E-3</v>
      </c>
      <c r="H67" s="63"/>
    </row>
    <row r="68" spans="1:8" x14ac:dyDescent="0.25">
      <c r="A68" s="63"/>
      <c r="B68" s="63">
        <f>'Padrão EPP'!B68</f>
        <v>30</v>
      </c>
      <c r="C68" s="63" t="str">
        <f>'Padrão EPP'!C68</f>
        <v>SP</v>
      </c>
      <c r="D68" s="63" t="str">
        <f>'Padrão EPP'!D68</f>
        <v>INTERIOR</v>
      </c>
      <c r="E68" s="63">
        <f>'Padrão EPP'!E68/2</f>
        <v>0</v>
      </c>
      <c r="F68" s="67">
        <v>3.0000000000000001E-3</v>
      </c>
      <c r="G68" s="67">
        <v>2E-3</v>
      </c>
      <c r="H68" s="63"/>
    </row>
    <row r="69" spans="1:8" x14ac:dyDescent="0.25">
      <c r="A69" s="63"/>
      <c r="B69" s="63">
        <f>'Padrão EPP'!B69</f>
        <v>0</v>
      </c>
      <c r="C69" s="63" t="str">
        <f>'Padrão EPP'!C69</f>
        <v>SP</v>
      </c>
      <c r="D69" s="63" t="str">
        <f>'Padrão EPP'!D69</f>
        <v>INTERIOR</v>
      </c>
      <c r="E69" s="63">
        <f>'Padrão EPP'!E69/2</f>
        <v>1.5214394455252955</v>
      </c>
      <c r="F69" s="67">
        <v>3.0000000000000001E-3</v>
      </c>
      <c r="G69" s="67">
        <v>2E-3</v>
      </c>
      <c r="H69" s="63"/>
    </row>
    <row r="70" spans="1:8" x14ac:dyDescent="0.25">
      <c r="A70" s="63"/>
      <c r="B70" s="63">
        <f>'Padrão EPP'!B70</f>
        <v>0.25</v>
      </c>
      <c r="C70" s="63" t="str">
        <f>'Padrão EPP'!C70</f>
        <v>SP</v>
      </c>
      <c r="D70" s="63" t="str">
        <f>'Padrão EPP'!D70</f>
        <v>INTERIOR II</v>
      </c>
      <c r="E70" s="63">
        <f>'Padrão EPP'!E70/2</f>
        <v>8.9672780464614714</v>
      </c>
      <c r="F70" s="67">
        <v>3.0000000000000001E-3</v>
      </c>
      <c r="G70" s="67">
        <v>2E-3</v>
      </c>
      <c r="H70" s="63"/>
    </row>
    <row r="71" spans="1:8" x14ac:dyDescent="0.25">
      <c r="A71" s="63"/>
      <c r="B71" s="63">
        <f>'Padrão EPP'!B71</f>
        <v>0.5</v>
      </c>
      <c r="C71" s="63" t="str">
        <f>'Padrão EPP'!C71</f>
        <v>SP</v>
      </c>
      <c r="D71" s="63" t="str">
        <f>'Padrão EPP'!D71</f>
        <v>INTERIOR II</v>
      </c>
      <c r="E71" s="63">
        <f>'Padrão EPP'!E71/2</f>
        <v>9.1778899868550798</v>
      </c>
      <c r="F71" s="67">
        <v>3.0000000000000001E-3</v>
      </c>
      <c r="G71" s="67">
        <v>2E-3</v>
      </c>
      <c r="H71" s="63"/>
    </row>
    <row r="72" spans="1:8" x14ac:dyDescent="0.25">
      <c r="A72" s="63"/>
      <c r="B72" s="63">
        <f>'Padrão EPP'!B72</f>
        <v>0.75</v>
      </c>
      <c r="C72" s="63" t="str">
        <f>'Padrão EPP'!C72</f>
        <v>SP</v>
      </c>
      <c r="D72" s="63" t="str">
        <f>'Padrão EPP'!D72</f>
        <v>INTERIOR II</v>
      </c>
      <c r="E72" s="63">
        <f>'Padrão EPP'!E72/2</f>
        <v>9.2024176532178732</v>
      </c>
      <c r="F72" s="67">
        <v>3.0000000000000001E-3</v>
      </c>
      <c r="G72" s="67">
        <v>2E-3</v>
      </c>
      <c r="H72" s="63"/>
    </row>
    <row r="73" spans="1:8" x14ac:dyDescent="0.25">
      <c r="A73" s="63"/>
      <c r="B73" s="63">
        <f>'Padrão EPP'!B73</f>
        <v>1</v>
      </c>
      <c r="C73" s="63" t="str">
        <f>'Padrão EPP'!C73</f>
        <v>SP</v>
      </c>
      <c r="D73" s="63" t="str">
        <f>'Padrão EPP'!D73</f>
        <v>INTERIOR II</v>
      </c>
      <c r="E73" s="63">
        <f>'Padrão EPP'!E73/2</f>
        <v>9.556310504481301</v>
      </c>
      <c r="F73" s="67">
        <v>3.0000000000000001E-3</v>
      </c>
      <c r="G73" s="67">
        <v>2E-3</v>
      </c>
      <c r="H73" s="63"/>
    </row>
    <row r="74" spans="1:8" x14ac:dyDescent="0.25">
      <c r="A74" s="63"/>
      <c r="B74" s="63">
        <f>'Padrão EPP'!B74</f>
        <v>2</v>
      </c>
      <c r="C74" s="63" t="str">
        <f>'Padrão EPP'!C74</f>
        <v>SP</v>
      </c>
      <c r="D74" s="63" t="str">
        <f>'Padrão EPP'!D74</f>
        <v>INTERIOR II</v>
      </c>
      <c r="E74" s="63">
        <f>'Padrão EPP'!E74/2</f>
        <v>10.17588451613957</v>
      </c>
      <c r="F74" s="67">
        <v>3.0000000000000001E-3</v>
      </c>
      <c r="G74" s="67">
        <v>2E-3</v>
      </c>
      <c r="H74" s="63"/>
    </row>
    <row r="75" spans="1:8" x14ac:dyDescent="0.25">
      <c r="A75" s="63"/>
      <c r="B75" s="63">
        <f>'Padrão EPP'!B75</f>
        <v>3</v>
      </c>
      <c r="C75" s="63" t="str">
        <f>'Padrão EPP'!C75</f>
        <v>SP</v>
      </c>
      <c r="D75" s="63" t="str">
        <f>'Padrão EPP'!D75</f>
        <v>INTERIOR II</v>
      </c>
      <c r="E75" s="63">
        <f>'Padrão EPP'!E75/2</f>
        <v>9.95794772134448</v>
      </c>
      <c r="F75" s="67">
        <v>3.0000000000000001E-3</v>
      </c>
      <c r="G75" s="67">
        <v>2E-3</v>
      </c>
      <c r="H75" s="63"/>
    </row>
    <row r="76" spans="1:8" x14ac:dyDescent="0.25">
      <c r="A76" s="63"/>
      <c r="B76" s="63">
        <f>'Padrão EPP'!B76</f>
        <v>4</v>
      </c>
      <c r="C76" s="63" t="str">
        <f>'Padrão EPP'!C76</f>
        <v>SP</v>
      </c>
      <c r="D76" s="63" t="str">
        <f>'Padrão EPP'!D76</f>
        <v>INTERIOR II</v>
      </c>
      <c r="E76" s="63">
        <f>'Padrão EPP'!E76/2</f>
        <v>10.804973886915581</v>
      </c>
      <c r="F76" s="67">
        <v>3.0000000000000001E-3</v>
      </c>
      <c r="G76" s="67">
        <v>2E-3</v>
      </c>
      <c r="H76" s="63"/>
    </row>
    <row r="77" spans="1:8" x14ac:dyDescent="0.25">
      <c r="A77" s="63"/>
      <c r="B77" s="63">
        <f>'Padrão EPP'!B77</f>
        <v>5</v>
      </c>
      <c r="C77" s="63" t="str">
        <f>'Padrão EPP'!C77</f>
        <v>SP</v>
      </c>
      <c r="D77" s="63" t="str">
        <f>'Padrão EPP'!D77</f>
        <v>INTERIOR II</v>
      </c>
      <c r="E77" s="63">
        <f>'Padrão EPP'!E77/2</f>
        <v>11.686335868075636</v>
      </c>
      <c r="F77" s="67">
        <v>3.0000000000000001E-3</v>
      </c>
      <c r="G77" s="67">
        <v>2E-3</v>
      </c>
      <c r="H77" s="63"/>
    </row>
    <row r="78" spans="1:8" x14ac:dyDescent="0.25">
      <c r="A78" s="63"/>
      <c r="B78" s="63">
        <f>'Padrão EPP'!B78</f>
        <v>6</v>
      </c>
      <c r="C78" s="63" t="str">
        <f>'Padrão EPP'!C78</f>
        <v>SP</v>
      </c>
      <c r="D78" s="63" t="str">
        <f>'Padrão EPP'!D78</f>
        <v>INTERIOR II</v>
      </c>
      <c r="E78" s="63">
        <f>'Padrão EPP'!E78/2</f>
        <v>13.215413405363082</v>
      </c>
      <c r="F78" s="67">
        <v>3.0000000000000001E-3</v>
      </c>
      <c r="G78" s="67">
        <v>2E-3</v>
      </c>
      <c r="H78" s="63"/>
    </row>
    <row r="79" spans="1:8" x14ac:dyDescent="0.25">
      <c r="A79" s="63"/>
      <c r="B79" s="63">
        <f>'Padrão EPP'!B79</f>
        <v>7</v>
      </c>
      <c r="C79" s="63" t="str">
        <f>'Padrão EPP'!C79</f>
        <v>SP</v>
      </c>
      <c r="D79" s="63" t="str">
        <f>'Padrão EPP'!D79</f>
        <v>INTERIOR II</v>
      </c>
      <c r="E79" s="63">
        <f>'Padrão EPP'!E79/2</f>
        <v>13.979884353206616</v>
      </c>
      <c r="F79" s="67">
        <v>3.0000000000000001E-3</v>
      </c>
      <c r="G79" s="67">
        <v>2E-3</v>
      </c>
      <c r="H79" s="63"/>
    </row>
    <row r="80" spans="1:8" x14ac:dyDescent="0.25">
      <c r="A80" s="63"/>
      <c r="B80" s="63">
        <f>'Padrão EPP'!B80</f>
        <v>8</v>
      </c>
      <c r="C80" s="63" t="str">
        <f>'Padrão EPP'!C80</f>
        <v>SP</v>
      </c>
      <c r="D80" s="63" t="str">
        <f>'Padrão EPP'!D80</f>
        <v>INTERIOR II</v>
      </c>
      <c r="E80" s="63">
        <f>'Padrão EPP'!E80/2</f>
        <v>14.886350872335381</v>
      </c>
      <c r="F80" s="67">
        <v>3.0000000000000001E-3</v>
      </c>
      <c r="G80" s="67">
        <v>2E-3</v>
      </c>
      <c r="H80" s="63"/>
    </row>
    <row r="81" spans="1:8" x14ac:dyDescent="0.25">
      <c r="A81" s="63"/>
      <c r="B81" s="63">
        <f>'Padrão EPP'!B81</f>
        <v>9</v>
      </c>
      <c r="C81" s="63" t="str">
        <f>'Padrão EPP'!C81</f>
        <v>SP</v>
      </c>
      <c r="D81" s="63" t="str">
        <f>'Padrão EPP'!D81</f>
        <v>INTERIOR II</v>
      </c>
      <c r="E81" s="63">
        <f>'Padrão EPP'!E81/2</f>
        <v>16.294675974657977</v>
      </c>
      <c r="F81" s="67">
        <v>3.0000000000000001E-3</v>
      </c>
      <c r="G81" s="67">
        <v>2E-3</v>
      </c>
      <c r="H81" s="63"/>
    </row>
    <row r="82" spans="1:8" x14ac:dyDescent="0.25">
      <c r="A82" s="63"/>
      <c r="B82" s="63">
        <f>'Padrão EPP'!B82</f>
        <v>10</v>
      </c>
      <c r="C82" s="63" t="str">
        <f>'Padrão EPP'!C82</f>
        <v>SP</v>
      </c>
      <c r="D82" s="63" t="str">
        <f>'Padrão EPP'!D82</f>
        <v>INTERIOR II</v>
      </c>
      <c r="E82" s="63">
        <f>'Padrão EPP'!E82/2</f>
        <v>17.412611154203091</v>
      </c>
      <c r="F82" s="67">
        <v>3.0000000000000001E-3</v>
      </c>
      <c r="G82" s="67">
        <v>2E-3</v>
      </c>
      <c r="H82" s="63"/>
    </row>
    <row r="83" spans="1:8" x14ac:dyDescent="0.25">
      <c r="A83" s="63"/>
      <c r="B83" s="63">
        <f>'Padrão EPP'!B83</f>
        <v>11</v>
      </c>
      <c r="C83" s="63" t="str">
        <f>'Padrão EPP'!C83</f>
        <v>SP</v>
      </c>
      <c r="D83" s="63" t="str">
        <f>'Padrão EPP'!D83</f>
        <v>INTERIOR II</v>
      </c>
      <c r="E83" s="63">
        <f>'Padrão EPP'!E83/2</f>
        <v>0</v>
      </c>
      <c r="F83" s="67">
        <v>3.0000000000000001E-3</v>
      </c>
      <c r="G83" s="67">
        <v>2E-3</v>
      </c>
      <c r="H83" s="63"/>
    </row>
    <row r="84" spans="1:8" x14ac:dyDescent="0.25">
      <c r="A84" s="63"/>
      <c r="B84" s="63">
        <f>'Padrão EPP'!B84</f>
        <v>12</v>
      </c>
      <c r="C84" s="63" t="str">
        <f>'Padrão EPP'!C84</f>
        <v>SP</v>
      </c>
      <c r="D84" s="63" t="str">
        <f>'Padrão EPP'!D84</f>
        <v>INTERIOR II</v>
      </c>
      <c r="E84" s="63">
        <f>'Padrão EPP'!E84/2</f>
        <v>0</v>
      </c>
      <c r="F84" s="67">
        <v>3.0000000000000001E-3</v>
      </c>
      <c r="G84" s="67">
        <v>2E-3</v>
      </c>
      <c r="H84" s="63"/>
    </row>
    <row r="85" spans="1:8" x14ac:dyDescent="0.25">
      <c r="A85" s="63"/>
      <c r="B85" s="63">
        <f>'Padrão EPP'!B85</f>
        <v>13</v>
      </c>
      <c r="C85" s="63" t="str">
        <f>'Padrão EPP'!C85</f>
        <v>SP</v>
      </c>
      <c r="D85" s="63" t="str">
        <f>'Padrão EPP'!D85</f>
        <v>INTERIOR II</v>
      </c>
      <c r="E85" s="63">
        <f>'Padrão EPP'!E85/2</f>
        <v>0</v>
      </c>
      <c r="F85" s="67">
        <v>3.0000000000000001E-3</v>
      </c>
      <c r="G85" s="67">
        <v>2E-3</v>
      </c>
      <c r="H85" s="63"/>
    </row>
    <row r="86" spans="1:8" x14ac:dyDescent="0.25">
      <c r="A86" s="63"/>
      <c r="B86" s="63">
        <f>'Padrão EPP'!B86</f>
        <v>14</v>
      </c>
      <c r="C86" s="63" t="str">
        <f>'Padrão EPP'!C86</f>
        <v>SP</v>
      </c>
      <c r="D86" s="63" t="str">
        <f>'Padrão EPP'!D86</f>
        <v>INTERIOR II</v>
      </c>
      <c r="E86" s="63">
        <f>'Padrão EPP'!E86/2</f>
        <v>0</v>
      </c>
      <c r="F86" s="67">
        <v>3.0000000000000001E-3</v>
      </c>
      <c r="G86" s="67">
        <v>2E-3</v>
      </c>
      <c r="H86" s="63"/>
    </row>
    <row r="87" spans="1:8" x14ac:dyDescent="0.25">
      <c r="A87" s="63"/>
      <c r="B87" s="63">
        <f>'Padrão EPP'!B87</f>
        <v>15</v>
      </c>
      <c r="C87" s="63" t="str">
        <f>'Padrão EPP'!C87</f>
        <v>SP</v>
      </c>
      <c r="D87" s="63" t="str">
        <f>'Padrão EPP'!D87</f>
        <v>INTERIOR II</v>
      </c>
      <c r="E87" s="63">
        <f>'Padrão EPP'!E87/2</f>
        <v>0</v>
      </c>
      <c r="F87" s="67">
        <v>3.0000000000000001E-3</v>
      </c>
      <c r="G87" s="67">
        <v>2E-3</v>
      </c>
      <c r="H87" s="63"/>
    </row>
    <row r="88" spans="1:8" x14ac:dyDescent="0.25">
      <c r="A88" s="63"/>
      <c r="B88" s="63">
        <f>'Padrão EPP'!B88</f>
        <v>16</v>
      </c>
      <c r="C88" s="63" t="str">
        <f>'Padrão EPP'!C88</f>
        <v>SP</v>
      </c>
      <c r="D88" s="63" t="str">
        <f>'Padrão EPP'!D88</f>
        <v>INTERIOR II</v>
      </c>
      <c r="E88" s="63">
        <f>'Padrão EPP'!E88/2</f>
        <v>0</v>
      </c>
      <c r="F88" s="67">
        <v>3.0000000000000001E-3</v>
      </c>
      <c r="G88" s="67">
        <v>2E-3</v>
      </c>
      <c r="H88" s="63"/>
    </row>
    <row r="89" spans="1:8" x14ac:dyDescent="0.25">
      <c r="A89" s="63"/>
      <c r="B89" s="63">
        <f>'Padrão EPP'!B89</f>
        <v>17</v>
      </c>
      <c r="C89" s="63" t="str">
        <f>'Padrão EPP'!C89</f>
        <v>SP</v>
      </c>
      <c r="D89" s="63" t="str">
        <f>'Padrão EPP'!D89</f>
        <v>INTERIOR II</v>
      </c>
      <c r="E89" s="63">
        <f>'Padrão EPP'!E89/2</f>
        <v>0</v>
      </c>
      <c r="F89" s="67">
        <v>3.0000000000000001E-3</v>
      </c>
      <c r="G89" s="67">
        <v>2E-3</v>
      </c>
      <c r="H89" s="63"/>
    </row>
    <row r="90" spans="1:8" x14ac:dyDescent="0.25">
      <c r="A90" s="63"/>
      <c r="B90" s="63">
        <f>'Padrão EPP'!B90</f>
        <v>18</v>
      </c>
      <c r="C90" s="63" t="str">
        <f>'Padrão EPP'!C90</f>
        <v>SP</v>
      </c>
      <c r="D90" s="63" t="str">
        <f>'Padrão EPP'!D90</f>
        <v>INTERIOR II</v>
      </c>
      <c r="E90" s="63">
        <f>'Padrão EPP'!E90/2</f>
        <v>0</v>
      </c>
      <c r="F90" s="67">
        <v>3.0000000000000001E-3</v>
      </c>
      <c r="G90" s="67">
        <v>2E-3</v>
      </c>
      <c r="H90" s="63"/>
    </row>
    <row r="91" spans="1:8" x14ac:dyDescent="0.25">
      <c r="A91" s="63"/>
      <c r="B91" s="63">
        <f>'Padrão EPP'!B91</f>
        <v>19</v>
      </c>
      <c r="C91" s="63" t="str">
        <f>'Padrão EPP'!C91</f>
        <v>SP</v>
      </c>
      <c r="D91" s="63" t="str">
        <f>'Padrão EPP'!D91</f>
        <v>INTERIOR II</v>
      </c>
      <c r="E91" s="63">
        <f>'Padrão EPP'!E91/2</f>
        <v>0</v>
      </c>
      <c r="F91" s="67">
        <v>3.0000000000000001E-3</v>
      </c>
      <c r="G91" s="67">
        <v>2E-3</v>
      </c>
      <c r="H91" s="63"/>
    </row>
    <row r="92" spans="1:8" x14ac:dyDescent="0.25">
      <c r="A92" s="63"/>
      <c r="B92" s="63">
        <f>'Padrão EPP'!B92</f>
        <v>20</v>
      </c>
      <c r="C92" s="63" t="str">
        <f>'Padrão EPP'!C92</f>
        <v>SP</v>
      </c>
      <c r="D92" s="63" t="str">
        <f>'Padrão EPP'!D92</f>
        <v>INTERIOR II</v>
      </c>
      <c r="E92" s="63">
        <f>'Padrão EPP'!E92/2</f>
        <v>0</v>
      </c>
      <c r="F92" s="67">
        <v>3.0000000000000001E-3</v>
      </c>
      <c r="G92" s="67">
        <v>2E-3</v>
      </c>
      <c r="H92" s="63"/>
    </row>
    <row r="93" spans="1:8" x14ac:dyDescent="0.25">
      <c r="A93" s="63"/>
      <c r="B93" s="63">
        <f>'Padrão EPP'!B93</f>
        <v>21</v>
      </c>
      <c r="C93" s="63" t="str">
        <f>'Padrão EPP'!C93</f>
        <v>SP</v>
      </c>
      <c r="D93" s="63" t="str">
        <f>'Padrão EPP'!D93</f>
        <v>INTERIOR II</v>
      </c>
      <c r="E93" s="63">
        <f>'Padrão EPP'!E93/2</f>
        <v>0</v>
      </c>
      <c r="F93" s="67">
        <v>3.0000000000000001E-3</v>
      </c>
      <c r="G93" s="67">
        <v>2E-3</v>
      </c>
      <c r="H93" s="63"/>
    </row>
    <row r="94" spans="1:8" x14ac:dyDescent="0.25">
      <c r="A94" s="63"/>
      <c r="B94" s="63">
        <f>'Padrão EPP'!B94</f>
        <v>22</v>
      </c>
      <c r="C94" s="63" t="str">
        <f>'Padrão EPP'!C94</f>
        <v>SP</v>
      </c>
      <c r="D94" s="63" t="str">
        <f>'Padrão EPP'!D94</f>
        <v>INTERIOR II</v>
      </c>
      <c r="E94" s="63">
        <f>'Padrão EPP'!E94/2</f>
        <v>0</v>
      </c>
      <c r="F94" s="67">
        <v>3.0000000000000001E-3</v>
      </c>
      <c r="G94" s="67">
        <v>2E-3</v>
      </c>
      <c r="H94" s="63"/>
    </row>
    <row r="95" spans="1:8" x14ac:dyDescent="0.25">
      <c r="A95" s="63"/>
      <c r="B95" s="63">
        <f>'Padrão EPP'!B95</f>
        <v>23</v>
      </c>
      <c r="C95" s="63" t="str">
        <f>'Padrão EPP'!C95</f>
        <v>SP</v>
      </c>
      <c r="D95" s="63" t="str">
        <f>'Padrão EPP'!D95</f>
        <v>INTERIOR II</v>
      </c>
      <c r="E95" s="63">
        <f>'Padrão EPP'!E95/2</f>
        <v>0</v>
      </c>
      <c r="F95" s="67">
        <v>3.0000000000000001E-3</v>
      </c>
      <c r="G95" s="67">
        <v>2E-3</v>
      </c>
      <c r="H95" s="63"/>
    </row>
    <row r="96" spans="1:8" x14ac:dyDescent="0.25">
      <c r="A96" s="63"/>
      <c r="B96" s="63">
        <f>'Padrão EPP'!B96</f>
        <v>24</v>
      </c>
      <c r="C96" s="63" t="str">
        <f>'Padrão EPP'!C96</f>
        <v>SP</v>
      </c>
      <c r="D96" s="63" t="str">
        <f>'Padrão EPP'!D96</f>
        <v>INTERIOR II</v>
      </c>
      <c r="E96" s="63">
        <f>'Padrão EPP'!E96/2</f>
        <v>0</v>
      </c>
      <c r="F96" s="67">
        <v>3.0000000000000001E-3</v>
      </c>
      <c r="G96" s="67">
        <v>2E-3</v>
      </c>
      <c r="H96" s="63"/>
    </row>
    <row r="97" spans="1:8" x14ac:dyDescent="0.25">
      <c r="A97" s="63"/>
      <c r="B97" s="63">
        <f>'Padrão EPP'!B97</f>
        <v>25</v>
      </c>
      <c r="C97" s="63" t="str">
        <f>'Padrão EPP'!C97</f>
        <v>SP</v>
      </c>
      <c r="D97" s="63" t="str">
        <f>'Padrão EPP'!D97</f>
        <v>INTERIOR II</v>
      </c>
      <c r="E97" s="63">
        <f>'Padrão EPP'!E97/2</f>
        <v>0</v>
      </c>
      <c r="F97" s="67">
        <v>3.0000000000000001E-3</v>
      </c>
      <c r="G97" s="67">
        <v>2E-3</v>
      </c>
      <c r="H97" s="63"/>
    </row>
    <row r="98" spans="1:8" x14ac:dyDescent="0.25">
      <c r="A98" s="63"/>
      <c r="B98" s="63">
        <f>'Padrão EPP'!B98</f>
        <v>26</v>
      </c>
      <c r="C98" s="63" t="str">
        <f>'Padrão EPP'!C98</f>
        <v>SP</v>
      </c>
      <c r="D98" s="63" t="str">
        <f>'Padrão EPP'!D98</f>
        <v>INTERIOR II</v>
      </c>
      <c r="E98" s="63">
        <f>'Padrão EPP'!E98/2</f>
        <v>0</v>
      </c>
      <c r="F98" s="67">
        <v>3.0000000000000001E-3</v>
      </c>
      <c r="G98" s="67">
        <v>2E-3</v>
      </c>
      <c r="H98" s="63"/>
    </row>
    <row r="99" spans="1:8" x14ac:dyDescent="0.25">
      <c r="A99" s="63"/>
      <c r="B99" s="63">
        <f>'Padrão EPP'!B99</f>
        <v>27</v>
      </c>
      <c r="C99" s="63" t="str">
        <f>'Padrão EPP'!C99</f>
        <v>SP</v>
      </c>
      <c r="D99" s="63" t="str">
        <f>'Padrão EPP'!D99</f>
        <v>INTERIOR II</v>
      </c>
      <c r="E99" s="63">
        <f>'Padrão EPP'!E99/2</f>
        <v>0</v>
      </c>
      <c r="F99" s="67">
        <v>3.0000000000000001E-3</v>
      </c>
      <c r="G99" s="67">
        <v>2E-3</v>
      </c>
      <c r="H99" s="63"/>
    </row>
    <row r="100" spans="1:8" x14ac:dyDescent="0.25">
      <c r="A100" s="63"/>
      <c r="B100" s="63">
        <f>'Padrão EPP'!B100</f>
        <v>28</v>
      </c>
      <c r="C100" s="63" t="str">
        <f>'Padrão EPP'!C100</f>
        <v>SP</v>
      </c>
      <c r="D100" s="63" t="str">
        <f>'Padrão EPP'!D100</f>
        <v>INTERIOR II</v>
      </c>
      <c r="E100" s="63">
        <f>'Padrão EPP'!E100/2</f>
        <v>0</v>
      </c>
      <c r="F100" s="67">
        <v>3.0000000000000001E-3</v>
      </c>
      <c r="G100" s="67">
        <v>2E-3</v>
      </c>
      <c r="H100" s="63"/>
    </row>
    <row r="101" spans="1:8" x14ac:dyDescent="0.25">
      <c r="A101" s="63"/>
      <c r="B101" s="63">
        <f>'Padrão EPP'!B101</f>
        <v>29</v>
      </c>
      <c r="C101" s="63" t="str">
        <f>'Padrão EPP'!C101</f>
        <v>SP</v>
      </c>
      <c r="D101" s="63" t="str">
        <f>'Padrão EPP'!D101</f>
        <v>INTERIOR II</v>
      </c>
      <c r="E101" s="63">
        <f>'Padrão EPP'!E101/2</f>
        <v>0</v>
      </c>
      <c r="F101" s="67">
        <v>3.0000000000000001E-3</v>
      </c>
      <c r="G101" s="67">
        <v>2E-3</v>
      </c>
      <c r="H101" s="63"/>
    </row>
    <row r="102" spans="1:8" x14ac:dyDescent="0.25">
      <c r="A102" s="63"/>
      <c r="B102" s="63">
        <f>'Padrão EPP'!B102</f>
        <v>30</v>
      </c>
      <c r="C102" s="63" t="str">
        <f>'Padrão EPP'!C102</f>
        <v>SP</v>
      </c>
      <c r="D102" s="63" t="str">
        <f>'Padrão EPP'!D102</f>
        <v>INTERIOR II</v>
      </c>
      <c r="E102" s="63">
        <f>'Padrão EPP'!E102/2</f>
        <v>0</v>
      </c>
      <c r="F102" s="67">
        <v>3.0000000000000001E-3</v>
      </c>
      <c r="G102" s="67">
        <v>2E-3</v>
      </c>
      <c r="H102" s="63"/>
    </row>
    <row r="103" spans="1:8" x14ac:dyDescent="0.25">
      <c r="A103" s="63"/>
      <c r="B103" s="63">
        <f>'Padrão EPP'!B103</f>
        <v>0</v>
      </c>
      <c r="C103" s="63" t="str">
        <f>'Padrão EPP'!C103</f>
        <v>SP</v>
      </c>
      <c r="D103" s="63" t="str">
        <f>'Padrão EPP'!D103</f>
        <v>INTERIOR II</v>
      </c>
      <c r="E103" s="63">
        <f>'Padrão EPP'!E103/2</f>
        <v>1.5214394455252955</v>
      </c>
      <c r="F103" s="67">
        <v>3.0000000000000001E-3</v>
      </c>
      <c r="G103" s="67">
        <v>2E-3</v>
      </c>
      <c r="H103" s="63"/>
    </row>
    <row r="104" spans="1:8" x14ac:dyDescent="0.25">
      <c r="A104" s="63"/>
      <c r="B104" s="63">
        <f>'Padrão EPP'!B104</f>
        <v>0.25</v>
      </c>
      <c r="C104" s="63" t="str">
        <f>'Padrão EPP'!C104</f>
        <v>SP</v>
      </c>
      <c r="D104" s="63" t="str">
        <f>'Padrão EPP'!D104</f>
        <v>REDESPACHO</v>
      </c>
      <c r="E104" s="63">
        <f>'Padrão EPP'!E104/2</f>
        <v>13.305604915027065</v>
      </c>
      <c r="F104" s="67">
        <v>3.0000000000000001E-3</v>
      </c>
      <c r="G104" s="67">
        <v>2E-3</v>
      </c>
      <c r="H104" s="63"/>
    </row>
    <row r="105" spans="1:8" x14ac:dyDescent="0.25">
      <c r="A105" s="63"/>
      <c r="B105" s="63">
        <f>'Padrão EPP'!B105</f>
        <v>0.5</v>
      </c>
      <c r="C105" s="63" t="str">
        <f>'Padrão EPP'!C105</f>
        <v>SP</v>
      </c>
      <c r="D105" s="63" t="str">
        <f>'Padrão EPP'!D105</f>
        <v>REDESPACHO</v>
      </c>
      <c r="E105" s="63">
        <f>'Padrão EPP'!E105/2</f>
        <v>13.823880123456757</v>
      </c>
      <c r="F105" s="67">
        <v>3.0000000000000001E-3</v>
      </c>
      <c r="G105" s="67">
        <v>2E-3</v>
      </c>
      <c r="H105" s="63"/>
    </row>
    <row r="106" spans="1:8" x14ac:dyDescent="0.25">
      <c r="A106" s="63"/>
      <c r="B106" s="63">
        <f>'Padrão EPP'!B106</f>
        <v>0.75</v>
      </c>
      <c r="C106" s="63" t="str">
        <f>'Padrão EPP'!C106</f>
        <v>SP</v>
      </c>
      <c r="D106" s="63" t="str">
        <f>'Padrão EPP'!D106</f>
        <v>REDESPACHO</v>
      </c>
      <c r="E106" s="63">
        <f>'Padrão EPP'!E106/2</f>
        <v>14.24176960016116</v>
      </c>
      <c r="F106" s="67">
        <v>3.0000000000000001E-3</v>
      </c>
      <c r="G106" s="67">
        <v>2E-3</v>
      </c>
      <c r="H106" s="63"/>
    </row>
    <row r="107" spans="1:8" x14ac:dyDescent="0.25">
      <c r="A107" s="63"/>
      <c r="B107" s="63">
        <f>'Padrão EPP'!B107</f>
        <v>1</v>
      </c>
      <c r="C107" s="63" t="str">
        <f>'Padrão EPP'!C107</f>
        <v>SP</v>
      </c>
      <c r="D107" s="63" t="str">
        <f>'Padrão EPP'!D107</f>
        <v>REDESPACHO</v>
      </c>
      <c r="E107" s="63">
        <f>'Padrão EPP'!E107/2</f>
        <v>14.622411399749849</v>
      </c>
      <c r="F107" s="67">
        <v>3.0000000000000001E-3</v>
      </c>
      <c r="G107" s="67">
        <v>2E-3</v>
      </c>
      <c r="H107" s="63"/>
    </row>
    <row r="108" spans="1:8" x14ac:dyDescent="0.25">
      <c r="A108" s="63"/>
      <c r="B108" s="63">
        <f>'Padrão EPP'!B108</f>
        <v>2</v>
      </c>
      <c r="C108" s="63" t="str">
        <f>'Padrão EPP'!C108</f>
        <v>SP</v>
      </c>
      <c r="D108" s="63" t="str">
        <f>'Padrão EPP'!D108</f>
        <v>REDESPACHO</v>
      </c>
      <c r="E108" s="63">
        <f>'Padrão EPP'!E108/2</f>
        <v>15.689835755350881</v>
      </c>
      <c r="F108" s="67">
        <v>3.0000000000000001E-3</v>
      </c>
      <c r="G108" s="67">
        <v>2E-3</v>
      </c>
      <c r="H108" s="63"/>
    </row>
    <row r="109" spans="1:8" x14ac:dyDescent="0.25">
      <c r="A109" s="63"/>
      <c r="B109" s="63">
        <f>'Padrão EPP'!B109</f>
        <v>3</v>
      </c>
      <c r="C109" s="63" t="str">
        <f>'Padrão EPP'!C109</f>
        <v>SP</v>
      </c>
      <c r="D109" s="63" t="str">
        <f>'Padrão EPP'!D109</f>
        <v>REDESPACHO</v>
      </c>
      <c r="E109" s="63">
        <f>'Padrão EPP'!E109/2</f>
        <v>17.125255280091434</v>
      </c>
      <c r="F109" s="67">
        <v>3.0000000000000001E-3</v>
      </c>
      <c r="G109" s="67">
        <v>2E-3</v>
      </c>
      <c r="H109" s="63"/>
    </row>
    <row r="110" spans="1:8" x14ac:dyDescent="0.25">
      <c r="A110" s="63"/>
      <c r="B110" s="63">
        <f>'Padrão EPP'!B110</f>
        <v>4</v>
      </c>
      <c r="C110" s="63" t="str">
        <f>'Padrão EPP'!C110</f>
        <v>SP</v>
      </c>
      <c r="D110" s="63" t="str">
        <f>'Padrão EPP'!D110</f>
        <v>REDESPACHO</v>
      </c>
      <c r="E110" s="63">
        <f>'Padrão EPP'!E110/2</f>
        <v>18.635852219458588</v>
      </c>
      <c r="F110" s="67">
        <v>3.0000000000000001E-3</v>
      </c>
      <c r="G110" s="67">
        <v>2E-3</v>
      </c>
      <c r="H110" s="63"/>
    </row>
    <row r="111" spans="1:8" x14ac:dyDescent="0.25">
      <c r="A111" s="63"/>
      <c r="B111" s="63">
        <f>'Padrão EPP'!B111</f>
        <v>5</v>
      </c>
      <c r="C111" s="63" t="str">
        <f>'Padrão EPP'!C111</f>
        <v>SP</v>
      </c>
      <c r="D111" s="63" t="str">
        <f>'Padrão EPP'!D111</f>
        <v>REDESPACHO</v>
      </c>
      <c r="E111" s="63">
        <f>'Padrão EPP'!E111/2</f>
        <v>20.229144314915029</v>
      </c>
      <c r="F111" s="67">
        <v>3.0000000000000001E-3</v>
      </c>
      <c r="G111" s="67">
        <v>2E-3</v>
      </c>
      <c r="H111" s="63"/>
    </row>
    <row r="112" spans="1:8" x14ac:dyDescent="0.25">
      <c r="A112" s="63"/>
      <c r="B112" s="63">
        <f>'Padrão EPP'!B112</f>
        <v>6</v>
      </c>
      <c r="C112" s="63" t="str">
        <f>'Padrão EPP'!C112</f>
        <v>SP</v>
      </c>
      <c r="D112" s="63" t="str">
        <f>'Padrão EPP'!D112</f>
        <v>REDESPACHO</v>
      </c>
      <c r="E112" s="63">
        <f>'Padrão EPP'!E112/2</f>
        <v>21.913401082069662</v>
      </c>
      <c r="F112" s="67">
        <v>3.0000000000000001E-3</v>
      </c>
      <c r="G112" s="67">
        <v>2E-3</v>
      </c>
      <c r="H112" s="63"/>
    </row>
    <row r="113" spans="1:8" x14ac:dyDescent="0.25">
      <c r="A113" s="63"/>
      <c r="B113" s="63">
        <f>'Padrão EPP'!B113</f>
        <v>7</v>
      </c>
      <c r="C113" s="63" t="str">
        <f>'Padrão EPP'!C113</f>
        <v>SP</v>
      </c>
      <c r="D113" s="63" t="str">
        <f>'Padrão EPP'!D113</f>
        <v>REDESPACHO</v>
      </c>
      <c r="E113" s="63">
        <f>'Padrão EPP'!E113/2</f>
        <v>23.761620683578506</v>
      </c>
      <c r="F113" s="67">
        <v>3.0000000000000001E-3</v>
      </c>
      <c r="G113" s="67">
        <v>2E-3</v>
      </c>
      <c r="H113" s="63"/>
    </row>
    <row r="114" spans="1:8" x14ac:dyDescent="0.25">
      <c r="A114" s="63"/>
      <c r="B114" s="63">
        <f>'Padrão EPP'!B114</f>
        <v>8</v>
      </c>
      <c r="C114" s="63" t="str">
        <f>'Padrão EPP'!C114</f>
        <v>SP</v>
      </c>
      <c r="D114" s="63" t="str">
        <f>'Padrão EPP'!D114</f>
        <v>REDESPACHO</v>
      </c>
      <c r="E114" s="63">
        <f>'Padrão EPP'!E114/2</f>
        <v>25.856788412129198</v>
      </c>
      <c r="F114" s="67">
        <v>3.0000000000000001E-3</v>
      </c>
      <c r="G114" s="67">
        <v>2E-3</v>
      </c>
      <c r="H114" s="63"/>
    </row>
    <row r="115" spans="1:8" x14ac:dyDescent="0.25">
      <c r="A115" s="63"/>
      <c r="B115" s="63">
        <f>'Padrão EPP'!B115</f>
        <v>9</v>
      </c>
      <c r="C115" s="63" t="str">
        <f>'Padrão EPP'!C115</f>
        <v>SP</v>
      </c>
      <c r="D115" s="63" t="str">
        <f>'Padrão EPP'!D115</f>
        <v>REDESPACHO</v>
      </c>
      <c r="E115" s="63">
        <f>'Padrão EPP'!E115/2</f>
        <v>28.329408361814867</v>
      </c>
      <c r="F115" s="67">
        <v>3.0000000000000001E-3</v>
      </c>
      <c r="G115" s="67">
        <v>2E-3</v>
      </c>
      <c r="H115" s="63"/>
    </row>
    <row r="116" spans="1:8" x14ac:dyDescent="0.25">
      <c r="A116" s="63"/>
      <c r="B116" s="63">
        <f>'Padrão EPP'!B116</f>
        <v>10</v>
      </c>
      <c r="C116" s="63" t="str">
        <f>'Padrão EPP'!C116</f>
        <v>SP</v>
      </c>
      <c r="D116" s="63" t="str">
        <f>'Padrão EPP'!D116</f>
        <v>REDESPACHO</v>
      </c>
      <c r="E116" s="63">
        <f>'Padrão EPP'!E116/2</f>
        <v>30.788710173917195</v>
      </c>
      <c r="F116" s="67">
        <v>3.0000000000000001E-3</v>
      </c>
      <c r="G116" s="67">
        <v>2E-3</v>
      </c>
      <c r="H116" s="63"/>
    </row>
    <row r="117" spans="1:8" x14ac:dyDescent="0.25">
      <c r="A117" s="63"/>
      <c r="B117" s="63">
        <f>'Padrão EPP'!B117</f>
        <v>11</v>
      </c>
      <c r="C117" s="63" t="str">
        <f>'Padrão EPP'!C117</f>
        <v>SP</v>
      </c>
      <c r="D117" s="63" t="str">
        <f>'Padrão EPP'!D117</f>
        <v>REDESPACHO</v>
      </c>
      <c r="E117" s="63">
        <f>'Padrão EPP'!E117/2</f>
        <v>0</v>
      </c>
      <c r="F117" s="67">
        <v>3.0000000000000001E-3</v>
      </c>
      <c r="G117" s="67">
        <v>2E-3</v>
      </c>
      <c r="H117" s="63"/>
    </row>
    <row r="118" spans="1:8" x14ac:dyDescent="0.25">
      <c r="A118" s="63"/>
      <c r="B118" s="63">
        <f>'Padrão EPP'!B118</f>
        <v>12</v>
      </c>
      <c r="C118" s="63" t="str">
        <f>'Padrão EPP'!C118</f>
        <v>SP</v>
      </c>
      <c r="D118" s="63" t="str">
        <f>'Padrão EPP'!D118</f>
        <v>REDESPACHO</v>
      </c>
      <c r="E118" s="63">
        <f>'Padrão EPP'!E118/2</f>
        <v>0</v>
      </c>
      <c r="F118" s="67">
        <v>3.0000000000000001E-3</v>
      </c>
      <c r="G118" s="67">
        <v>2E-3</v>
      </c>
      <c r="H118" s="63"/>
    </row>
    <row r="119" spans="1:8" x14ac:dyDescent="0.25">
      <c r="A119" s="63"/>
      <c r="B119" s="63">
        <f>'Padrão EPP'!B119</f>
        <v>13</v>
      </c>
      <c r="C119" s="63" t="str">
        <f>'Padrão EPP'!C119</f>
        <v>SP</v>
      </c>
      <c r="D119" s="63" t="str">
        <f>'Padrão EPP'!D119</f>
        <v>REDESPACHO</v>
      </c>
      <c r="E119" s="63">
        <f>'Padrão EPP'!E119/2</f>
        <v>0</v>
      </c>
      <c r="F119" s="67">
        <v>3.0000000000000001E-3</v>
      </c>
      <c r="G119" s="67">
        <v>2E-3</v>
      </c>
      <c r="H119" s="63"/>
    </row>
    <row r="120" spans="1:8" x14ac:dyDescent="0.25">
      <c r="A120" s="63"/>
      <c r="B120" s="63">
        <f>'Padrão EPP'!B120</f>
        <v>14</v>
      </c>
      <c r="C120" s="63" t="str">
        <f>'Padrão EPP'!C120</f>
        <v>SP</v>
      </c>
      <c r="D120" s="63" t="str">
        <f>'Padrão EPP'!D120</f>
        <v>REDESPACHO</v>
      </c>
      <c r="E120" s="63">
        <f>'Padrão EPP'!E120/2</f>
        <v>0</v>
      </c>
      <c r="F120" s="67">
        <v>3.0000000000000001E-3</v>
      </c>
      <c r="G120" s="67">
        <v>2E-3</v>
      </c>
      <c r="H120" s="63"/>
    </row>
    <row r="121" spans="1:8" x14ac:dyDescent="0.25">
      <c r="A121" s="63"/>
      <c r="B121" s="63">
        <f>'Padrão EPP'!B121</f>
        <v>15</v>
      </c>
      <c r="C121" s="63" t="str">
        <f>'Padrão EPP'!C121</f>
        <v>SP</v>
      </c>
      <c r="D121" s="63" t="str">
        <f>'Padrão EPP'!D121</f>
        <v>REDESPACHO</v>
      </c>
      <c r="E121" s="63">
        <f>'Padrão EPP'!E121/2</f>
        <v>0</v>
      </c>
      <c r="F121" s="67">
        <v>3.0000000000000001E-3</v>
      </c>
      <c r="G121" s="67">
        <v>2E-3</v>
      </c>
      <c r="H121" s="63"/>
    </row>
    <row r="122" spans="1:8" x14ac:dyDescent="0.25">
      <c r="A122" s="63"/>
      <c r="B122" s="63">
        <f>'Padrão EPP'!B122</f>
        <v>16</v>
      </c>
      <c r="C122" s="63" t="str">
        <f>'Padrão EPP'!C122</f>
        <v>SP</v>
      </c>
      <c r="D122" s="63" t="str">
        <f>'Padrão EPP'!D122</f>
        <v>REDESPACHO</v>
      </c>
      <c r="E122" s="63">
        <f>'Padrão EPP'!E122/2</f>
        <v>0</v>
      </c>
      <c r="F122" s="67">
        <v>3.0000000000000001E-3</v>
      </c>
      <c r="G122" s="67">
        <v>2E-3</v>
      </c>
      <c r="H122" s="63"/>
    </row>
    <row r="123" spans="1:8" x14ac:dyDescent="0.25">
      <c r="A123" s="63"/>
      <c r="B123" s="63">
        <f>'Padrão EPP'!B123</f>
        <v>17</v>
      </c>
      <c r="C123" s="63" t="str">
        <f>'Padrão EPP'!C123</f>
        <v>SP</v>
      </c>
      <c r="D123" s="63" t="str">
        <f>'Padrão EPP'!D123</f>
        <v>REDESPACHO</v>
      </c>
      <c r="E123" s="63">
        <f>'Padrão EPP'!E123/2</f>
        <v>0</v>
      </c>
      <c r="F123" s="67">
        <v>3.0000000000000001E-3</v>
      </c>
      <c r="G123" s="67">
        <v>2E-3</v>
      </c>
      <c r="H123" s="63"/>
    </row>
    <row r="124" spans="1:8" x14ac:dyDescent="0.25">
      <c r="A124" s="63"/>
      <c r="B124" s="63">
        <f>'Padrão EPP'!B124</f>
        <v>18</v>
      </c>
      <c r="C124" s="63" t="str">
        <f>'Padrão EPP'!C124</f>
        <v>SP</v>
      </c>
      <c r="D124" s="63" t="str">
        <f>'Padrão EPP'!D124</f>
        <v>REDESPACHO</v>
      </c>
      <c r="E124" s="63">
        <f>'Padrão EPP'!E124/2</f>
        <v>0</v>
      </c>
      <c r="F124" s="67">
        <v>3.0000000000000001E-3</v>
      </c>
      <c r="G124" s="67">
        <v>2E-3</v>
      </c>
      <c r="H124" s="63"/>
    </row>
    <row r="125" spans="1:8" x14ac:dyDescent="0.25">
      <c r="A125" s="63"/>
      <c r="B125" s="63">
        <f>'Padrão EPP'!B125</f>
        <v>19</v>
      </c>
      <c r="C125" s="63" t="str">
        <f>'Padrão EPP'!C125</f>
        <v>SP</v>
      </c>
      <c r="D125" s="63" t="str">
        <f>'Padrão EPP'!D125</f>
        <v>REDESPACHO</v>
      </c>
      <c r="E125" s="63">
        <f>'Padrão EPP'!E125/2</f>
        <v>0</v>
      </c>
      <c r="F125" s="67">
        <v>3.0000000000000001E-3</v>
      </c>
      <c r="G125" s="67">
        <v>2E-3</v>
      </c>
      <c r="H125" s="63"/>
    </row>
    <row r="126" spans="1:8" x14ac:dyDescent="0.25">
      <c r="A126" s="63"/>
      <c r="B126" s="63">
        <f>'Padrão EPP'!B126</f>
        <v>20</v>
      </c>
      <c r="C126" s="63" t="str">
        <f>'Padrão EPP'!C126</f>
        <v>SP</v>
      </c>
      <c r="D126" s="63" t="str">
        <f>'Padrão EPP'!D126</f>
        <v>REDESPACHO</v>
      </c>
      <c r="E126" s="63">
        <f>'Padrão EPP'!E126/2</f>
        <v>0</v>
      </c>
      <c r="F126" s="67">
        <v>3.0000000000000001E-3</v>
      </c>
      <c r="G126" s="67">
        <v>2E-3</v>
      </c>
      <c r="H126" s="63"/>
    </row>
    <row r="127" spans="1:8" x14ac:dyDescent="0.25">
      <c r="A127" s="63"/>
      <c r="B127" s="63">
        <f>'Padrão EPP'!B127</f>
        <v>21</v>
      </c>
      <c r="C127" s="63" t="str">
        <f>'Padrão EPP'!C127</f>
        <v>SP</v>
      </c>
      <c r="D127" s="63" t="str">
        <f>'Padrão EPP'!D127</f>
        <v>REDESPACHO</v>
      </c>
      <c r="E127" s="63">
        <f>'Padrão EPP'!E127/2</f>
        <v>0</v>
      </c>
      <c r="F127" s="67">
        <v>3.0000000000000001E-3</v>
      </c>
      <c r="G127" s="67">
        <v>2E-3</v>
      </c>
      <c r="H127" s="63"/>
    </row>
    <row r="128" spans="1:8" x14ac:dyDescent="0.25">
      <c r="A128" s="63"/>
      <c r="B128" s="63">
        <f>'Padrão EPP'!B128</f>
        <v>22</v>
      </c>
      <c r="C128" s="63" t="str">
        <f>'Padrão EPP'!C128</f>
        <v>SP</v>
      </c>
      <c r="D128" s="63" t="str">
        <f>'Padrão EPP'!D128</f>
        <v>REDESPACHO</v>
      </c>
      <c r="E128" s="63">
        <f>'Padrão EPP'!E128/2</f>
        <v>0</v>
      </c>
      <c r="F128" s="67">
        <v>3.0000000000000001E-3</v>
      </c>
      <c r="G128" s="67">
        <v>2E-3</v>
      </c>
      <c r="H128" s="63"/>
    </row>
    <row r="129" spans="1:8" x14ac:dyDescent="0.25">
      <c r="A129" s="63"/>
      <c r="B129" s="63">
        <f>'Padrão EPP'!B129</f>
        <v>23</v>
      </c>
      <c r="C129" s="63" t="str">
        <f>'Padrão EPP'!C129</f>
        <v>SP</v>
      </c>
      <c r="D129" s="63" t="str">
        <f>'Padrão EPP'!D129</f>
        <v>REDESPACHO</v>
      </c>
      <c r="E129" s="63">
        <f>'Padrão EPP'!E129/2</f>
        <v>0</v>
      </c>
      <c r="F129" s="67">
        <v>3.0000000000000001E-3</v>
      </c>
      <c r="G129" s="67">
        <v>2E-3</v>
      </c>
      <c r="H129" s="63"/>
    </row>
    <row r="130" spans="1:8" x14ac:dyDescent="0.25">
      <c r="A130" s="63"/>
      <c r="B130" s="63">
        <f>'Padrão EPP'!B130</f>
        <v>24</v>
      </c>
      <c r="C130" s="63" t="str">
        <f>'Padrão EPP'!C130</f>
        <v>SP</v>
      </c>
      <c r="D130" s="63" t="str">
        <f>'Padrão EPP'!D130</f>
        <v>REDESPACHO</v>
      </c>
      <c r="E130" s="63">
        <f>'Padrão EPP'!E130/2</f>
        <v>0</v>
      </c>
      <c r="F130" s="67">
        <v>3.0000000000000001E-3</v>
      </c>
      <c r="G130" s="67">
        <v>2E-3</v>
      </c>
      <c r="H130" s="63"/>
    </row>
    <row r="131" spans="1:8" x14ac:dyDescent="0.25">
      <c r="A131" s="63"/>
      <c r="B131" s="63">
        <f>'Padrão EPP'!B131</f>
        <v>25</v>
      </c>
      <c r="C131" s="63" t="str">
        <f>'Padrão EPP'!C131</f>
        <v>SP</v>
      </c>
      <c r="D131" s="63" t="str">
        <f>'Padrão EPP'!D131</f>
        <v>REDESPACHO</v>
      </c>
      <c r="E131" s="63">
        <f>'Padrão EPP'!E131/2</f>
        <v>0</v>
      </c>
      <c r="F131" s="67">
        <v>3.0000000000000001E-3</v>
      </c>
      <c r="G131" s="67">
        <v>2E-3</v>
      </c>
      <c r="H131" s="63"/>
    </row>
    <row r="132" spans="1:8" x14ac:dyDescent="0.25">
      <c r="A132" s="63"/>
      <c r="B132" s="63">
        <f>'Padrão EPP'!B132</f>
        <v>26</v>
      </c>
      <c r="C132" s="63" t="str">
        <f>'Padrão EPP'!C132</f>
        <v>SP</v>
      </c>
      <c r="D132" s="63" t="str">
        <f>'Padrão EPP'!D132</f>
        <v>REDESPACHO</v>
      </c>
      <c r="E132" s="63">
        <f>'Padrão EPP'!E132/2</f>
        <v>0</v>
      </c>
      <c r="F132" s="67">
        <v>3.0000000000000001E-3</v>
      </c>
      <c r="G132" s="67">
        <v>2E-3</v>
      </c>
      <c r="H132" s="63"/>
    </row>
    <row r="133" spans="1:8" x14ac:dyDescent="0.25">
      <c r="A133" s="63"/>
      <c r="B133" s="63">
        <f>'Padrão EPP'!B133</f>
        <v>27</v>
      </c>
      <c r="C133" s="63" t="str">
        <f>'Padrão EPP'!C133</f>
        <v>SP</v>
      </c>
      <c r="D133" s="63" t="str">
        <f>'Padrão EPP'!D133</f>
        <v>REDESPACHO</v>
      </c>
      <c r="E133" s="63">
        <f>'Padrão EPP'!E133/2</f>
        <v>0</v>
      </c>
      <c r="F133" s="67">
        <v>3.0000000000000001E-3</v>
      </c>
      <c r="G133" s="67">
        <v>2E-3</v>
      </c>
      <c r="H133" s="63"/>
    </row>
    <row r="134" spans="1:8" x14ac:dyDescent="0.25">
      <c r="A134" s="63"/>
      <c r="B134" s="63">
        <f>'Padrão EPP'!B134</f>
        <v>28</v>
      </c>
      <c r="C134" s="63" t="str">
        <f>'Padrão EPP'!C134</f>
        <v>SP</v>
      </c>
      <c r="D134" s="63" t="str">
        <f>'Padrão EPP'!D134</f>
        <v>REDESPACHO</v>
      </c>
      <c r="E134" s="63">
        <f>'Padrão EPP'!E134/2</f>
        <v>0</v>
      </c>
      <c r="F134" s="67">
        <v>3.0000000000000001E-3</v>
      </c>
      <c r="G134" s="67">
        <v>2E-3</v>
      </c>
      <c r="H134" s="63"/>
    </row>
    <row r="135" spans="1:8" x14ac:dyDescent="0.25">
      <c r="A135" s="63"/>
      <c r="B135" s="63">
        <f>'Padrão EPP'!B135</f>
        <v>29</v>
      </c>
      <c r="C135" s="63" t="str">
        <f>'Padrão EPP'!C135</f>
        <v>SP</v>
      </c>
      <c r="D135" s="63" t="str">
        <f>'Padrão EPP'!D135</f>
        <v>REDESPACHO</v>
      </c>
      <c r="E135" s="63">
        <f>'Padrão EPP'!E135/2</f>
        <v>0</v>
      </c>
      <c r="F135" s="67">
        <v>3.0000000000000001E-3</v>
      </c>
      <c r="G135" s="67">
        <v>2E-3</v>
      </c>
      <c r="H135" s="63"/>
    </row>
    <row r="136" spans="1:8" x14ac:dyDescent="0.25">
      <c r="A136" s="63"/>
      <c r="B136" s="63">
        <f>'Padrão EPP'!B136</f>
        <v>30</v>
      </c>
      <c r="C136" s="63" t="str">
        <f>'Padrão EPP'!C136</f>
        <v>SP</v>
      </c>
      <c r="D136" s="63" t="str">
        <f>'Padrão EPP'!D136</f>
        <v>REDESPACHO</v>
      </c>
      <c r="E136" s="63">
        <f>'Padrão EPP'!E136/2</f>
        <v>0</v>
      </c>
      <c r="F136" s="67">
        <v>3.0000000000000001E-3</v>
      </c>
      <c r="G136" s="67">
        <v>2E-3</v>
      </c>
      <c r="H136" s="63"/>
    </row>
    <row r="137" spans="1:8" x14ac:dyDescent="0.25">
      <c r="A137" s="63"/>
      <c r="B137" s="63">
        <f>'Padrão EPP'!B137</f>
        <v>0</v>
      </c>
      <c r="C137" s="63" t="str">
        <f>'Padrão EPP'!C137</f>
        <v>SP</v>
      </c>
      <c r="D137" s="63" t="str">
        <f>'Padrão EPP'!D137</f>
        <v>REDESPACHO</v>
      </c>
      <c r="E137" s="63">
        <f>'Padrão EPP'!E137/2</f>
        <v>1.5214394455252955</v>
      </c>
      <c r="F137" s="67">
        <v>3.0000000000000001E-3</v>
      </c>
      <c r="G137" s="67">
        <v>2E-3</v>
      </c>
      <c r="H137" s="63"/>
    </row>
    <row r="138" spans="1:8" x14ac:dyDescent="0.25">
      <c r="A138" s="63"/>
      <c r="B138" s="63">
        <f>'Padrão EPP'!B138</f>
        <v>0.25</v>
      </c>
      <c r="C138" s="63" t="str">
        <f>'Padrão EPP'!C138</f>
        <v>RJ</v>
      </c>
      <c r="D138" s="63" t="str">
        <f>'Padrão EPP'!D138</f>
        <v>CAPITAL</v>
      </c>
      <c r="E138" s="63">
        <f>'Padrão EPP'!E138/2</f>
        <v>5.4248388741823419</v>
      </c>
      <c r="F138" s="67">
        <v>3.0000000000000001E-3</v>
      </c>
      <c r="G138" s="67">
        <v>2E-3</v>
      </c>
      <c r="H138" s="63"/>
    </row>
    <row r="139" spans="1:8" x14ac:dyDescent="0.25">
      <c r="A139" s="63"/>
      <c r="B139" s="63">
        <f>'Padrão EPP'!B139</f>
        <v>0.5</v>
      </c>
      <c r="C139" s="63" t="str">
        <f>'Padrão EPP'!C139</f>
        <v>RJ</v>
      </c>
      <c r="D139" s="63" t="str">
        <f>'Padrão EPP'!D139</f>
        <v>CAPITAL</v>
      </c>
      <c r="E139" s="63">
        <f>'Padrão EPP'!E139/2</f>
        <v>5.5853614538903003</v>
      </c>
      <c r="F139" s="67">
        <v>3.0000000000000001E-3</v>
      </c>
      <c r="G139" s="67">
        <v>2E-3</v>
      </c>
      <c r="H139" s="63"/>
    </row>
    <row r="140" spans="1:8" x14ac:dyDescent="0.25">
      <c r="A140" s="63"/>
      <c r="B140" s="63">
        <f>'Padrão EPP'!B140</f>
        <v>0.75</v>
      </c>
      <c r="C140" s="63" t="str">
        <f>'Padrão EPP'!C140</f>
        <v>RJ</v>
      </c>
      <c r="D140" s="63" t="str">
        <f>'Padrão EPP'!D140</f>
        <v>CAPITAL</v>
      </c>
      <c r="E140" s="63">
        <f>'Padrão EPP'!E140/2</f>
        <v>5.7461089649883821</v>
      </c>
      <c r="F140" s="67">
        <v>3.0000000000000001E-3</v>
      </c>
      <c r="G140" s="67">
        <v>2E-3</v>
      </c>
      <c r="H140" s="63"/>
    </row>
    <row r="141" spans="1:8" x14ac:dyDescent="0.25">
      <c r="A141" s="63"/>
      <c r="B141" s="63">
        <f>'Padrão EPP'!B141</f>
        <v>1</v>
      </c>
      <c r="C141" s="63" t="str">
        <f>'Padrão EPP'!C141</f>
        <v>RJ</v>
      </c>
      <c r="D141" s="63" t="str">
        <f>'Padrão EPP'!D141</f>
        <v>CAPITAL</v>
      </c>
      <c r="E141" s="63">
        <f>'Padrão EPP'!E141/2</f>
        <v>5.941647272532161</v>
      </c>
      <c r="F141" s="67">
        <v>3.0000000000000001E-3</v>
      </c>
      <c r="G141" s="67">
        <v>2E-3</v>
      </c>
      <c r="H141" s="63"/>
    </row>
    <row r="142" spans="1:8" x14ac:dyDescent="0.25">
      <c r="A142" s="63"/>
      <c r="B142" s="63">
        <f>'Padrão EPP'!B142</f>
        <v>2</v>
      </c>
      <c r="C142" s="63" t="str">
        <f>'Padrão EPP'!C142</f>
        <v>RJ</v>
      </c>
      <c r="D142" s="63" t="str">
        <f>'Padrão EPP'!D142</f>
        <v>CAPITAL</v>
      </c>
      <c r="E142" s="63">
        <f>'Padrão EPP'!E142/2</f>
        <v>6.5001488656632906</v>
      </c>
      <c r="F142" s="67">
        <v>3.0000000000000001E-3</v>
      </c>
      <c r="G142" s="67">
        <v>2E-3</v>
      </c>
      <c r="H142" s="63"/>
    </row>
    <row r="143" spans="1:8" x14ac:dyDescent="0.25">
      <c r="A143" s="63"/>
      <c r="B143" s="63">
        <f>'Padrão EPP'!B143</f>
        <v>3</v>
      </c>
      <c r="C143" s="63" t="str">
        <f>'Padrão EPP'!C143</f>
        <v>RJ</v>
      </c>
      <c r="D143" s="63" t="str">
        <f>'Padrão EPP'!D143</f>
        <v>CAPITAL</v>
      </c>
      <c r="E143" s="63">
        <f>'Padrão EPP'!E143/2</f>
        <v>7.4790992747253213</v>
      </c>
      <c r="F143" s="67">
        <v>3.0000000000000001E-3</v>
      </c>
      <c r="G143" s="67">
        <v>2E-3</v>
      </c>
      <c r="H143" s="63"/>
    </row>
    <row r="144" spans="1:8" x14ac:dyDescent="0.25">
      <c r="A144" s="63"/>
      <c r="B144" s="63">
        <f>'Padrão EPP'!B144</f>
        <v>4</v>
      </c>
      <c r="C144" s="63" t="str">
        <f>'Padrão EPP'!C144</f>
        <v>RJ</v>
      </c>
      <c r="D144" s="63" t="str">
        <f>'Padrão EPP'!D144</f>
        <v>CAPITAL</v>
      </c>
      <c r="E144" s="63">
        <f>'Padrão EPP'!E144/2</f>
        <v>8.5256818733932285</v>
      </c>
      <c r="F144" s="67">
        <v>3.0000000000000001E-3</v>
      </c>
      <c r="G144" s="67">
        <v>2E-3</v>
      </c>
      <c r="H144" s="63"/>
    </row>
    <row r="145" spans="1:8" x14ac:dyDescent="0.25">
      <c r="A145" s="63"/>
      <c r="B145" s="63">
        <f>'Padrão EPP'!B145</f>
        <v>5</v>
      </c>
      <c r="C145" s="63" t="str">
        <f>'Padrão EPP'!C145</f>
        <v>RJ</v>
      </c>
      <c r="D145" s="63" t="str">
        <f>'Padrão EPP'!D145</f>
        <v>CAPITAL</v>
      </c>
      <c r="E145" s="63">
        <f>'Padrão EPP'!E145/2</f>
        <v>9.6734853767256617</v>
      </c>
      <c r="F145" s="67">
        <v>3.0000000000000001E-3</v>
      </c>
      <c r="G145" s="67">
        <v>2E-3</v>
      </c>
      <c r="H145" s="63"/>
    </row>
    <row r="146" spans="1:8" x14ac:dyDescent="0.25">
      <c r="A146" s="63"/>
      <c r="B146" s="63">
        <f>'Padrão EPP'!B146</f>
        <v>6</v>
      </c>
      <c r="C146" s="63" t="str">
        <f>'Padrão EPP'!C146</f>
        <v>RJ</v>
      </c>
      <c r="D146" s="63" t="str">
        <f>'Padrão EPP'!D146</f>
        <v>CAPITAL</v>
      </c>
      <c r="E146" s="63">
        <f>'Padrão EPP'!E146/2</f>
        <v>10.716286602189701</v>
      </c>
      <c r="F146" s="67">
        <v>3.0000000000000001E-3</v>
      </c>
      <c r="G146" s="67">
        <v>2E-3</v>
      </c>
      <c r="H146" s="63"/>
    </row>
    <row r="147" spans="1:8" x14ac:dyDescent="0.25">
      <c r="A147" s="63"/>
      <c r="B147" s="63">
        <f>'Padrão EPP'!B147</f>
        <v>7</v>
      </c>
      <c r="C147" s="63" t="str">
        <f>'Padrão EPP'!C147</f>
        <v>RJ</v>
      </c>
      <c r="D147" s="63" t="str">
        <f>'Padrão EPP'!D147</f>
        <v>CAPITAL</v>
      </c>
      <c r="E147" s="63">
        <f>'Padrão EPP'!E147/2</f>
        <v>11.794240764157504</v>
      </c>
      <c r="F147" s="67">
        <v>3.0000000000000001E-3</v>
      </c>
      <c r="G147" s="67">
        <v>2E-3</v>
      </c>
      <c r="H147" s="63"/>
    </row>
    <row r="148" spans="1:8" x14ac:dyDescent="0.25">
      <c r="A148" s="63"/>
      <c r="B148" s="63">
        <f>'Padrão EPP'!B148</f>
        <v>8</v>
      </c>
      <c r="C148" s="63" t="str">
        <f>'Padrão EPP'!C148</f>
        <v>RJ</v>
      </c>
      <c r="D148" s="63" t="str">
        <f>'Padrão EPP'!D148</f>
        <v>CAPITAL</v>
      </c>
      <c r="E148" s="63">
        <f>'Padrão EPP'!E148/2</f>
        <v>12.910863156279451</v>
      </c>
      <c r="F148" s="67">
        <v>3.0000000000000001E-3</v>
      </c>
      <c r="G148" s="67">
        <v>2E-3</v>
      </c>
      <c r="H148" s="63"/>
    </row>
    <row r="149" spans="1:8" x14ac:dyDescent="0.25">
      <c r="A149" s="63"/>
      <c r="B149" s="63">
        <f>'Padrão EPP'!B149</f>
        <v>9</v>
      </c>
      <c r="C149" s="63" t="str">
        <f>'Padrão EPP'!C149</f>
        <v>RJ</v>
      </c>
      <c r="D149" s="63" t="str">
        <f>'Padrão EPP'!D149</f>
        <v>CAPITAL</v>
      </c>
      <c r="E149" s="63">
        <f>'Padrão EPP'!E149/2</f>
        <v>14.070020601570947</v>
      </c>
      <c r="F149" s="67">
        <v>3.0000000000000001E-3</v>
      </c>
      <c r="G149" s="67">
        <v>2E-3</v>
      </c>
      <c r="H149" s="63"/>
    </row>
    <row r="150" spans="1:8" x14ac:dyDescent="0.25">
      <c r="A150" s="63"/>
      <c r="B150" s="63">
        <f>'Padrão EPP'!B150</f>
        <v>10</v>
      </c>
      <c r="C150" s="63" t="str">
        <f>'Padrão EPP'!C150</f>
        <v>RJ</v>
      </c>
      <c r="D150" s="63" t="str">
        <f>'Padrão EPP'!D150</f>
        <v>CAPITAL</v>
      </c>
      <c r="E150" s="63">
        <f>'Padrão EPP'!E150/2</f>
        <v>15.033334509197481</v>
      </c>
      <c r="F150" s="67">
        <v>3.0000000000000001E-3</v>
      </c>
      <c r="G150" s="67">
        <v>2E-3</v>
      </c>
      <c r="H150" s="63"/>
    </row>
    <row r="151" spans="1:8" x14ac:dyDescent="0.25">
      <c r="A151" s="63"/>
      <c r="B151" s="63">
        <f>'Padrão EPP'!B151</f>
        <v>11</v>
      </c>
      <c r="C151" s="63" t="str">
        <f>'Padrão EPP'!C151</f>
        <v>RJ</v>
      </c>
      <c r="D151" s="63" t="str">
        <f>'Padrão EPP'!D151</f>
        <v>CAPITAL</v>
      </c>
      <c r="E151" s="63">
        <f>'Padrão EPP'!E151/2</f>
        <v>0</v>
      </c>
      <c r="F151" s="67">
        <v>3.0000000000000001E-3</v>
      </c>
      <c r="G151" s="67">
        <v>2E-3</v>
      </c>
      <c r="H151" s="63"/>
    </row>
    <row r="152" spans="1:8" x14ac:dyDescent="0.25">
      <c r="A152" s="63"/>
      <c r="B152" s="63">
        <f>'Padrão EPP'!B152</f>
        <v>12</v>
      </c>
      <c r="C152" s="63" t="str">
        <f>'Padrão EPP'!C152</f>
        <v>RJ</v>
      </c>
      <c r="D152" s="63" t="str">
        <f>'Padrão EPP'!D152</f>
        <v>CAPITAL</v>
      </c>
      <c r="E152" s="63">
        <f>'Padrão EPP'!E152/2</f>
        <v>0</v>
      </c>
      <c r="F152" s="67">
        <v>3.0000000000000001E-3</v>
      </c>
      <c r="G152" s="67">
        <v>2E-3</v>
      </c>
      <c r="H152" s="63"/>
    </row>
    <row r="153" spans="1:8" x14ac:dyDescent="0.25">
      <c r="A153" s="63"/>
      <c r="B153" s="63">
        <f>'Padrão EPP'!B153</f>
        <v>13</v>
      </c>
      <c r="C153" s="63" t="str">
        <f>'Padrão EPP'!C153</f>
        <v>RJ</v>
      </c>
      <c r="D153" s="63" t="str">
        <f>'Padrão EPP'!D153</f>
        <v>CAPITAL</v>
      </c>
      <c r="E153" s="63">
        <f>'Padrão EPP'!E153/2</f>
        <v>0</v>
      </c>
      <c r="F153" s="67">
        <v>3.0000000000000001E-3</v>
      </c>
      <c r="G153" s="67">
        <v>2E-3</v>
      </c>
      <c r="H153" s="63"/>
    </row>
    <row r="154" spans="1:8" x14ac:dyDescent="0.25">
      <c r="A154" s="63"/>
      <c r="B154" s="63">
        <f>'Padrão EPP'!B154</f>
        <v>14</v>
      </c>
      <c r="C154" s="63" t="str">
        <f>'Padrão EPP'!C154</f>
        <v>RJ</v>
      </c>
      <c r="D154" s="63" t="str">
        <f>'Padrão EPP'!D154</f>
        <v>CAPITAL</v>
      </c>
      <c r="E154" s="63">
        <f>'Padrão EPP'!E154/2</f>
        <v>0</v>
      </c>
      <c r="F154" s="67">
        <v>3.0000000000000001E-3</v>
      </c>
      <c r="G154" s="67">
        <v>2E-3</v>
      </c>
      <c r="H154" s="63"/>
    </row>
    <row r="155" spans="1:8" x14ac:dyDescent="0.25">
      <c r="A155" s="63"/>
      <c r="B155" s="63">
        <f>'Padrão EPP'!B155</f>
        <v>15</v>
      </c>
      <c r="C155" s="63" t="str">
        <f>'Padrão EPP'!C155</f>
        <v>RJ</v>
      </c>
      <c r="D155" s="63" t="str">
        <f>'Padrão EPP'!D155</f>
        <v>CAPITAL</v>
      </c>
      <c r="E155" s="63">
        <f>'Padrão EPP'!E155/2</f>
        <v>0</v>
      </c>
      <c r="F155" s="67">
        <v>3.0000000000000001E-3</v>
      </c>
      <c r="G155" s="67">
        <v>2E-3</v>
      </c>
      <c r="H155" s="63"/>
    </row>
    <row r="156" spans="1:8" x14ac:dyDescent="0.25">
      <c r="A156" s="63"/>
      <c r="B156" s="63">
        <f>'Padrão EPP'!B156</f>
        <v>16</v>
      </c>
      <c r="C156" s="63" t="str">
        <f>'Padrão EPP'!C156</f>
        <v>RJ</v>
      </c>
      <c r="D156" s="63" t="str">
        <f>'Padrão EPP'!D156</f>
        <v>CAPITAL</v>
      </c>
      <c r="E156" s="63">
        <f>'Padrão EPP'!E156/2</f>
        <v>0</v>
      </c>
      <c r="F156" s="67">
        <v>3.0000000000000001E-3</v>
      </c>
      <c r="G156" s="67">
        <v>2E-3</v>
      </c>
      <c r="H156" s="63"/>
    </row>
    <row r="157" spans="1:8" x14ac:dyDescent="0.25">
      <c r="A157" s="63"/>
      <c r="B157" s="63">
        <f>'Padrão EPP'!B157</f>
        <v>17</v>
      </c>
      <c r="C157" s="63" t="str">
        <f>'Padrão EPP'!C157</f>
        <v>RJ</v>
      </c>
      <c r="D157" s="63" t="str">
        <f>'Padrão EPP'!D157</f>
        <v>CAPITAL</v>
      </c>
      <c r="E157" s="63">
        <f>'Padrão EPP'!E157/2</f>
        <v>0</v>
      </c>
      <c r="F157" s="67">
        <v>3.0000000000000001E-3</v>
      </c>
      <c r="G157" s="67">
        <v>2E-3</v>
      </c>
      <c r="H157" s="63"/>
    </row>
    <row r="158" spans="1:8" x14ac:dyDescent="0.25">
      <c r="A158" s="63"/>
      <c r="B158" s="63">
        <f>'Padrão EPP'!B158</f>
        <v>18</v>
      </c>
      <c r="C158" s="63" t="str">
        <f>'Padrão EPP'!C158</f>
        <v>RJ</v>
      </c>
      <c r="D158" s="63" t="str">
        <f>'Padrão EPP'!D158</f>
        <v>CAPITAL</v>
      </c>
      <c r="E158" s="63">
        <f>'Padrão EPP'!E158/2</f>
        <v>0</v>
      </c>
      <c r="F158" s="67">
        <v>3.0000000000000001E-3</v>
      </c>
      <c r="G158" s="67">
        <v>2E-3</v>
      </c>
      <c r="H158" s="63"/>
    </row>
    <row r="159" spans="1:8" x14ac:dyDescent="0.25">
      <c r="A159" s="63"/>
      <c r="B159" s="63">
        <f>'Padrão EPP'!B159</f>
        <v>19</v>
      </c>
      <c r="C159" s="63" t="str">
        <f>'Padrão EPP'!C159</f>
        <v>RJ</v>
      </c>
      <c r="D159" s="63" t="str">
        <f>'Padrão EPP'!D159</f>
        <v>CAPITAL</v>
      </c>
      <c r="E159" s="63">
        <f>'Padrão EPP'!E159/2</f>
        <v>0</v>
      </c>
      <c r="F159" s="67">
        <v>3.0000000000000001E-3</v>
      </c>
      <c r="G159" s="67">
        <v>2E-3</v>
      </c>
      <c r="H159" s="63"/>
    </row>
    <row r="160" spans="1:8" x14ac:dyDescent="0.25">
      <c r="A160" s="63"/>
      <c r="B160" s="63">
        <f>'Padrão EPP'!B160</f>
        <v>20</v>
      </c>
      <c r="C160" s="63" t="str">
        <f>'Padrão EPP'!C160</f>
        <v>RJ</v>
      </c>
      <c r="D160" s="63" t="str">
        <f>'Padrão EPP'!D160</f>
        <v>CAPITAL</v>
      </c>
      <c r="E160" s="63">
        <f>'Padrão EPP'!E160/2</f>
        <v>0</v>
      </c>
      <c r="F160" s="67">
        <v>3.0000000000000001E-3</v>
      </c>
      <c r="G160" s="67">
        <v>2E-3</v>
      </c>
      <c r="H160" s="63"/>
    </row>
    <row r="161" spans="1:8" x14ac:dyDescent="0.25">
      <c r="A161" s="63"/>
      <c r="B161" s="63">
        <f>'Padrão EPP'!B161</f>
        <v>21</v>
      </c>
      <c r="C161" s="63" t="str">
        <f>'Padrão EPP'!C161</f>
        <v>RJ</v>
      </c>
      <c r="D161" s="63" t="str">
        <f>'Padrão EPP'!D161</f>
        <v>CAPITAL</v>
      </c>
      <c r="E161" s="63">
        <f>'Padrão EPP'!E161/2</f>
        <v>0</v>
      </c>
      <c r="F161" s="67">
        <v>3.0000000000000001E-3</v>
      </c>
      <c r="G161" s="67">
        <v>2E-3</v>
      </c>
      <c r="H161" s="63"/>
    </row>
    <row r="162" spans="1:8" x14ac:dyDescent="0.25">
      <c r="A162" s="63"/>
      <c r="B162" s="63">
        <f>'Padrão EPP'!B162</f>
        <v>22</v>
      </c>
      <c r="C162" s="63" t="str">
        <f>'Padrão EPP'!C162</f>
        <v>RJ</v>
      </c>
      <c r="D162" s="63" t="str">
        <f>'Padrão EPP'!D162</f>
        <v>CAPITAL</v>
      </c>
      <c r="E162" s="63">
        <f>'Padrão EPP'!E162/2</f>
        <v>0</v>
      </c>
      <c r="F162" s="67">
        <v>3.0000000000000001E-3</v>
      </c>
      <c r="G162" s="67">
        <v>2E-3</v>
      </c>
      <c r="H162" s="63"/>
    </row>
    <row r="163" spans="1:8" x14ac:dyDescent="0.25">
      <c r="A163" s="63"/>
      <c r="B163" s="63">
        <f>'Padrão EPP'!B163</f>
        <v>23</v>
      </c>
      <c r="C163" s="63" t="str">
        <f>'Padrão EPP'!C163</f>
        <v>RJ</v>
      </c>
      <c r="D163" s="63" t="str">
        <f>'Padrão EPP'!D163</f>
        <v>CAPITAL</v>
      </c>
      <c r="E163" s="63">
        <f>'Padrão EPP'!E163/2</f>
        <v>0</v>
      </c>
      <c r="F163" s="67">
        <v>3.0000000000000001E-3</v>
      </c>
      <c r="G163" s="67">
        <v>2E-3</v>
      </c>
      <c r="H163" s="63"/>
    </row>
    <row r="164" spans="1:8" x14ac:dyDescent="0.25">
      <c r="A164" s="63"/>
      <c r="B164" s="63">
        <f>'Padrão EPP'!B164</f>
        <v>24</v>
      </c>
      <c r="C164" s="63" t="str">
        <f>'Padrão EPP'!C164</f>
        <v>RJ</v>
      </c>
      <c r="D164" s="63" t="str">
        <f>'Padrão EPP'!D164</f>
        <v>CAPITAL</v>
      </c>
      <c r="E164" s="63">
        <f>'Padrão EPP'!E164/2</f>
        <v>0</v>
      </c>
      <c r="F164" s="67">
        <v>3.0000000000000001E-3</v>
      </c>
      <c r="G164" s="67">
        <v>2E-3</v>
      </c>
      <c r="H164" s="63"/>
    </row>
    <row r="165" spans="1:8" x14ac:dyDescent="0.25">
      <c r="A165" s="63"/>
      <c r="B165" s="63">
        <f>'Padrão EPP'!B165</f>
        <v>25</v>
      </c>
      <c r="C165" s="63" t="str">
        <f>'Padrão EPP'!C165</f>
        <v>RJ</v>
      </c>
      <c r="D165" s="63" t="str">
        <f>'Padrão EPP'!D165</f>
        <v>CAPITAL</v>
      </c>
      <c r="E165" s="63">
        <f>'Padrão EPP'!E165/2</f>
        <v>0</v>
      </c>
      <c r="F165" s="67">
        <v>3.0000000000000001E-3</v>
      </c>
      <c r="G165" s="67">
        <v>2E-3</v>
      </c>
      <c r="H165" s="63"/>
    </row>
    <row r="166" spans="1:8" x14ac:dyDescent="0.25">
      <c r="A166" s="63"/>
      <c r="B166" s="63">
        <f>'Padrão EPP'!B166</f>
        <v>26</v>
      </c>
      <c r="C166" s="63" t="str">
        <f>'Padrão EPP'!C166</f>
        <v>RJ</v>
      </c>
      <c r="D166" s="63" t="str">
        <f>'Padrão EPP'!D166</f>
        <v>CAPITAL</v>
      </c>
      <c r="E166" s="63">
        <f>'Padrão EPP'!E166/2</f>
        <v>0</v>
      </c>
      <c r="F166" s="67">
        <v>3.0000000000000001E-3</v>
      </c>
      <c r="G166" s="67">
        <v>2E-3</v>
      </c>
      <c r="H166" s="63"/>
    </row>
    <row r="167" spans="1:8" x14ac:dyDescent="0.25">
      <c r="A167" s="63"/>
      <c r="B167" s="63">
        <f>'Padrão EPP'!B167</f>
        <v>27</v>
      </c>
      <c r="C167" s="63" t="str">
        <f>'Padrão EPP'!C167</f>
        <v>RJ</v>
      </c>
      <c r="D167" s="63" t="str">
        <f>'Padrão EPP'!D167</f>
        <v>CAPITAL</v>
      </c>
      <c r="E167" s="63">
        <f>'Padrão EPP'!E167/2</f>
        <v>0</v>
      </c>
      <c r="F167" s="67">
        <v>3.0000000000000001E-3</v>
      </c>
      <c r="G167" s="67">
        <v>2E-3</v>
      </c>
      <c r="H167" s="63"/>
    </row>
    <row r="168" spans="1:8" x14ac:dyDescent="0.25">
      <c r="A168" s="63"/>
      <c r="B168" s="63">
        <f>'Padrão EPP'!B168</f>
        <v>28</v>
      </c>
      <c r="C168" s="63" t="str">
        <f>'Padrão EPP'!C168</f>
        <v>RJ</v>
      </c>
      <c r="D168" s="63" t="str">
        <f>'Padrão EPP'!D168</f>
        <v>CAPITAL</v>
      </c>
      <c r="E168" s="63">
        <f>'Padrão EPP'!E168/2</f>
        <v>0</v>
      </c>
      <c r="F168" s="67">
        <v>3.0000000000000001E-3</v>
      </c>
      <c r="G168" s="67">
        <v>2E-3</v>
      </c>
      <c r="H168" s="63"/>
    </row>
    <row r="169" spans="1:8" x14ac:dyDescent="0.25">
      <c r="A169" s="63"/>
      <c r="B169" s="63">
        <f>'Padrão EPP'!B169</f>
        <v>29</v>
      </c>
      <c r="C169" s="63" t="str">
        <f>'Padrão EPP'!C169</f>
        <v>RJ</v>
      </c>
      <c r="D169" s="63" t="str">
        <f>'Padrão EPP'!D169</f>
        <v>CAPITAL</v>
      </c>
      <c r="E169" s="63">
        <f>'Padrão EPP'!E169/2</f>
        <v>0</v>
      </c>
      <c r="F169" s="67">
        <v>3.0000000000000001E-3</v>
      </c>
      <c r="G169" s="67">
        <v>2E-3</v>
      </c>
      <c r="H169" s="63"/>
    </row>
    <row r="170" spans="1:8" x14ac:dyDescent="0.25">
      <c r="A170" s="63"/>
      <c r="B170" s="63">
        <f>'Padrão EPP'!B170</f>
        <v>30</v>
      </c>
      <c r="C170" s="63" t="str">
        <f>'Padrão EPP'!C170</f>
        <v>RJ</v>
      </c>
      <c r="D170" s="63" t="str">
        <f>'Padrão EPP'!D170</f>
        <v>CAPITAL</v>
      </c>
      <c r="E170" s="63">
        <f>'Padrão EPP'!E170/2</f>
        <v>0</v>
      </c>
      <c r="F170" s="67">
        <v>3.0000000000000001E-3</v>
      </c>
      <c r="G170" s="67">
        <v>2E-3</v>
      </c>
      <c r="H170" s="63"/>
    </row>
    <row r="171" spans="1:8" x14ac:dyDescent="0.25">
      <c r="A171" s="63"/>
      <c r="B171" s="63">
        <f>'Padrão EPP'!B171</f>
        <v>0</v>
      </c>
      <c r="C171" s="63" t="str">
        <f>'Padrão EPP'!C171</f>
        <v>RJ</v>
      </c>
      <c r="D171" s="63" t="str">
        <f>'Padrão EPP'!D171</f>
        <v>CAPITAL</v>
      </c>
      <c r="E171" s="63">
        <f>'Padrão EPP'!E171/2</f>
        <v>1.5214394455252955</v>
      </c>
      <c r="F171" s="67">
        <v>3.0000000000000001E-3</v>
      </c>
      <c r="G171" s="67">
        <v>2E-3</v>
      </c>
      <c r="H171" s="63"/>
    </row>
    <row r="172" spans="1:8" x14ac:dyDescent="0.25">
      <c r="A172" s="63"/>
      <c r="B172" s="63">
        <f>'Padrão EPP'!B172</f>
        <v>0.25</v>
      </c>
      <c r="C172" s="63" t="str">
        <f>'Padrão EPP'!C172</f>
        <v>RJ</v>
      </c>
      <c r="D172" s="63" t="str">
        <f>'Padrão EPP'!D172</f>
        <v>INTERIOR</v>
      </c>
      <c r="E172" s="63">
        <f>'Padrão EPP'!E172/2</f>
        <v>7.6338168464617366</v>
      </c>
      <c r="F172" s="67">
        <v>3.0000000000000001E-3</v>
      </c>
      <c r="G172" s="67">
        <v>2E-3</v>
      </c>
      <c r="H172" s="63"/>
    </row>
    <row r="173" spans="1:8" x14ac:dyDescent="0.25">
      <c r="A173" s="63"/>
      <c r="B173" s="63">
        <f>'Padrão EPP'!B173</f>
        <v>0.5</v>
      </c>
      <c r="C173" s="63" t="str">
        <f>'Padrão EPP'!C173</f>
        <v>RJ</v>
      </c>
      <c r="D173" s="63" t="str">
        <f>'Padrão EPP'!D173</f>
        <v>INTERIOR</v>
      </c>
      <c r="E173" s="63">
        <f>'Padrão EPP'!E173/2</f>
        <v>7.7279104009751691</v>
      </c>
      <c r="F173" s="67">
        <v>3.0000000000000001E-3</v>
      </c>
      <c r="G173" s="67">
        <v>2E-3</v>
      </c>
      <c r="H173" s="63"/>
    </row>
    <row r="174" spans="1:8" x14ac:dyDescent="0.25">
      <c r="A174" s="63"/>
      <c r="B174" s="63">
        <f>'Padrão EPP'!B174</f>
        <v>0.75</v>
      </c>
      <c r="C174" s="63" t="str">
        <f>'Padrão EPP'!C174</f>
        <v>RJ</v>
      </c>
      <c r="D174" s="63" t="str">
        <f>'Padrão EPP'!D174</f>
        <v>INTERIOR</v>
      </c>
      <c r="E174" s="63">
        <f>'Padrão EPP'!E174/2</f>
        <v>7.8608229751622387</v>
      </c>
      <c r="F174" s="67">
        <v>3.0000000000000001E-3</v>
      </c>
      <c r="G174" s="67">
        <v>2E-3</v>
      </c>
      <c r="H174" s="63"/>
    </row>
    <row r="175" spans="1:8" x14ac:dyDescent="0.25">
      <c r="A175" s="63"/>
      <c r="B175" s="63">
        <f>'Padrão EPP'!B175</f>
        <v>1</v>
      </c>
      <c r="C175" s="63" t="str">
        <f>'Padrão EPP'!C175</f>
        <v>RJ</v>
      </c>
      <c r="D175" s="63" t="str">
        <f>'Padrão EPP'!D175</f>
        <v>INTERIOR</v>
      </c>
      <c r="E175" s="63">
        <f>'Padrão EPP'!E175/2</f>
        <v>8.369719643119522</v>
      </c>
      <c r="F175" s="67">
        <v>3.0000000000000001E-3</v>
      </c>
      <c r="G175" s="67">
        <v>2E-3</v>
      </c>
      <c r="H175" s="63"/>
    </row>
    <row r="176" spans="1:8" x14ac:dyDescent="0.25">
      <c r="A176" s="63"/>
      <c r="B176" s="63">
        <f>'Padrão EPP'!B176</f>
        <v>2</v>
      </c>
      <c r="C176" s="63" t="str">
        <f>'Padrão EPP'!C176</f>
        <v>RJ</v>
      </c>
      <c r="D176" s="63" t="str">
        <f>'Padrão EPP'!D176</f>
        <v>INTERIOR</v>
      </c>
      <c r="E176" s="63">
        <f>'Padrão EPP'!E176/2</f>
        <v>9.4410325102345674</v>
      </c>
      <c r="F176" s="67">
        <v>3.0000000000000001E-3</v>
      </c>
      <c r="G176" s="67">
        <v>2E-3</v>
      </c>
      <c r="H176" s="63"/>
    </row>
    <row r="177" spans="1:8" x14ac:dyDescent="0.25">
      <c r="A177" s="63"/>
      <c r="B177" s="63">
        <f>'Padrão EPP'!B177</f>
        <v>3</v>
      </c>
      <c r="C177" s="63" t="str">
        <f>'Padrão EPP'!C177</f>
        <v>RJ</v>
      </c>
      <c r="D177" s="63" t="str">
        <f>'Padrão EPP'!D177</f>
        <v>INTERIOR</v>
      </c>
      <c r="E177" s="63">
        <f>'Padrão EPP'!E177/2</f>
        <v>10.280130491229466</v>
      </c>
      <c r="F177" s="67">
        <v>3.0000000000000001E-3</v>
      </c>
      <c r="G177" s="67">
        <v>2E-3</v>
      </c>
      <c r="H177" s="63"/>
    </row>
    <row r="178" spans="1:8" x14ac:dyDescent="0.25">
      <c r="A178" s="63"/>
      <c r="B178" s="63">
        <f>'Padrão EPP'!B178</f>
        <v>4</v>
      </c>
      <c r="C178" s="63" t="str">
        <f>'Padrão EPP'!C178</f>
        <v>RJ</v>
      </c>
      <c r="D178" s="63" t="str">
        <f>'Padrão EPP'!D178</f>
        <v>INTERIOR</v>
      </c>
      <c r="E178" s="63">
        <f>'Padrão EPP'!E178/2</f>
        <v>11.335574468483232</v>
      </c>
      <c r="F178" s="67">
        <v>3.0000000000000001E-3</v>
      </c>
      <c r="G178" s="67">
        <v>2E-3</v>
      </c>
      <c r="H178" s="63"/>
    </row>
    <row r="179" spans="1:8" x14ac:dyDescent="0.25">
      <c r="A179" s="63"/>
      <c r="B179" s="63">
        <f>'Padrão EPP'!B179</f>
        <v>5</v>
      </c>
      <c r="C179" s="63" t="str">
        <f>'Padrão EPP'!C179</f>
        <v>RJ</v>
      </c>
      <c r="D179" s="63" t="str">
        <f>'Padrão EPP'!D179</f>
        <v>INTERIOR</v>
      </c>
      <c r="E179" s="63">
        <f>'Padrão EPP'!E179/2</f>
        <v>12.494323942799523</v>
      </c>
      <c r="F179" s="67">
        <v>3.0000000000000001E-3</v>
      </c>
      <c r="G179" s="67">
        <v>2E-3</v>
      </c>
      <c r="H179" s="63"/>
    </row>
    <row r="180" spans="1:8" x14ac:dyDescent="0.25">
      <c r="A180" s="63"/>
      <c r="B180" s="63">
        <f>'Padrão EPP'!B180</f>
        <v>6</v>
      </c>
      <c r="C180" s="63" t="str">
        <f>'Padrão EPP'!C180</f>
        <v>RJ</v>
      </c>
      <c r="D180" s="63" t="str">
        <f>'Padrão EPP'!D180</f>
        <v>INTERIOR</v>
      </c>
      <c r="E180" s="63">
        <f>'Padrão EPP'!E180/2</f>
        <v>13.714667366743848</v>
      </c>
      <c r="F180" s="67">
        <v>3.0000000000000001E-3</v>
      </c>
      <c r="G180" s="67">
        <v>2E-3</v>
      </c>
      <c r="H180" s="63"/>
    </row>
    <row r="181" spans="1:8" x14ac:dyDescent="0.25">
      <c r="A181" s="63"/>
      <c r="B181" s="63">
        <f>'Padrão EPP'!B181</f>
        <v>7</v>
      </c>
      <c r="C181" s="63" t="str">
        <f>'Padrão EPP'!C181</f>
        <v>RJ</v>
      </c>
      <c r="D181" s="63" t="str">
        <f>'Padrão EPP'!D181</f>
        <v>INTERIOR</v>
      </c>
      <c r="E181" s="63">
        <f>'Padrão EPP'!E181/2</f>
        <v>15.004527528190808</v>
      </c>
      <c r="F181" s="67">
        <v>3.0000000000000001E-3</v>
      </c>
      <c r="G181" s="67">
        <v>2E-3</v>
      </c>
      <c r="H181" s="63"/>
    </row>
    <row r="182" spans="1:8" x14ac:dyDescent="0.25">
      <c r="A182" s="63"/>
      <c r="B182" s="63">
        <f>'Padrão EPP'!B182</f>
        <v>8</v>
      </c>
      <c r="C182" s="63" t="str">
        <f>'Padrão EPP'!C182</f>
        <v>RJ</v>
      </c>
      <c r="D182" s="63" t="str">
        <f>'Padrão EPP'!D182</f>
        <v>INTERIOR</v>
      </c>
      <c r="E182" s="63">
        <f>'Padrão EPP'!E182/2</f>
        <v>17.42558152858442</v>
      </c>
      <c r="F182" s="67">
        <v>3.0000000000000001E-3</v>
      </c>
      <c r="G182" s="67">
        <v>2E-3</v>
      </c>
      <c r="H182" s="63"/>
    </row>
    <row r="183" spans="1:8" x14ac:dyDescent="0.25">
      <c r="A183" s="63"/>
      <c r="B183" s="63">
        <f>'Padrão EPP'!B183</f>
        <v>9</v>
      </c>
      <c r="C183" s="63" t="str">
        <f>'Padrão EPP'!C183</f>
        <v>RJ</v>
      </c>
      <c r="D183" s="63" t="str">
        <f>'Padrão EPP'!D183</f>
        <v>INTERIOR</v>
      </c>
      <c r="E183" s="63">
        <f>'Padrão EPP'!E183/2</f>
        <v>18.879111647707745</v>
      </c>
      <c r="F183" s="67">
        <v>3.0000000000000001E-3</v>
      </c>
      <c r="G183" s="67">
        <v>2E-3</v>
      </c>
      <c r="H183" s="63"/>
    </row>
    <row r="184" spans="1:8" x14ac:dyDescent="0.25">
      <c r="A184" s="63"/>
      <c r="B184" s="63">
        <f>'Padrão EPP'!B184</f>
        <v>10</v>
      </c>
      <c r="C184" s="63" t="str">
        <f>'Padrão EPP'!C184</f>
        <v>RJ</v>
      </c>
      <c r="D184" s="63" t="str">
        <f>'Padrão EPP'!D184</f>
        <v>INTERIOR</v>
      </c>
      <c r="E184" s="63">
        <f>'Padrão EPP'!E184/2</f>
        <v>20.290924685188585</v>
      </c>
      <c r="F184" s="67">
        <v>3.0000000000000001E-3</v>
      </c>
      <c r="G184" s="67">
        <v>2E-3</v>
      </c>
      <c r="H184" s="63"/>
    </row>
    <row r="185" spans="1:8" x14ac:dyDescent="0.25">
      <c r="A185" s="63"/>
      <c r="B185" s="63">
        <f>'Padrão EPP'!B185</f>
        <v>11</v>
      </c>
      <c r="C185" s="63" t="str">
        <f>'Padrão EPP'!C185</f>
        <v>RJ</v>
      </c>
      <c r="D185" s="63" t="str">
        <f>'Padrão EPP'!D185</f>
        <v>INTERIOR</v>
      </c>
      <c r="E185" s="63">
        <f>'Padrão EPP'!E185/2</f>
        <v>0</v>
      </c>
      <c r="F185" s="67">
        <v>3.0000000000000001E-3</v>
      </c>
      <c r="G185" s="67">
        <v>2E-3</v>
      </c>
      <c r="H185" s="63"/>
    </row>
    <row r="186" spans="1:8" x14ac:dyDescent="0.25">
      <c r="A186" s="63"/>
      <c r="B186" s="63">
        <f>'Padrão EPP'!B186</f>
        <v>12</v>
      </c>
      <c r="C186" s="63" t="str">
        <f>'Padrão EPP'!C186</f>
        <v>RJ</v>
      </c>
      <c r="D186" s="63" t="str">
        <f>'Padrão EPP'!D186</f>
        <v>INTERIOR</v>
      </c>
      <c r="E186" s="63">
        <f>'Padrão EPP'!E186/2</f>
        <v>0</v>
      </c>
      <c r="F186" s="67">
        <v>3.0000000000000001E-3</v>
      </c>
      <c r="G186" s="67">
        <v>2E-3</v>
      </c>
      <c r="H186" s="63"/>
    </row>
    <row r="187" spans="1:8" x14ac:dyDescent="0.25">
      <c r="A187" s="63"/>
      <c r="B187" s="63">
        <f>'Padrão EPP'!B187</f>
        <v>13</v>
      </c>
      <c r="C187" s="63" t="str">
        <f>'Padrão EPP'!C187</f>
        <v>RJ</v>
      </c>
      <c r="D187" s="63" t="str">
        <f>'Padrão EPP'!D187</f>
        <v>INTERIOR</v>
      </c>
      <c r="E187" s="63">
        <f>'Padrão EPP'!E187/2</f>
        <v>0</v>
      </c>
      <c r="F187" s="67">
        <v>3.0000000000000001E-3</v>
      </c>
      <c r="G187" s="67">
        <v>2E-3</v>
      </c>
      <c r="H187" s="63"/>
    </row>
    <row r="188" spans="1:8" x14ac:dyDescent="0.25">
      <c r="A188" s="63"/>
      <c r="B188" s="63">
        <f>'Padrão EPP'!B188</f>
        <v>14</v>
      </c>
      <c r="C188" s="63" t="str">
        <f>'Padrão EPP'!C188</f>
        <v>RJ</v>
      </c>
      <c r="D188" s="63" t="str">
        <f>'Padrão EPP'!D188</f>
        <v>INTERIOR</v>
      </c>
      <c r="E188" s="63">
        <f>'Padrão EPP'!E188/2</f>
        <v>0</v>
      </c>
      <c r="F188" s="67">
        <v>3.0000000000000001E-3</v>
      </c>
      <c r="G188" s="67">
        <v>2E-3</v>
      </c>
      <c r="H188" s="63"/>
    </row>
    <row r="189" spans="1:8" x14ac:dyDescent="0.25">
      <c r="A189" s="63"/>
      <c r="B189" s="63">
        <f>'Padrão EPP'!B189</f>
        <v>15</v>
      </c>
      <c r="C189" s="63" t="str">
        <f>'Padrão EPP'!C189</f>
        <v>RJ</v>
      </c>
      <c r="D189" s="63" t="str">
        <f>'Padrão EPP'!D189</f>
        <v>INTERIOR</v>
      </c>
      <c r="E189" s="63">
        <f>'Padrão EPP'!E189/2</f>
        <v>0</v>
      </c>
      <c r="F189" s="67">
        <v>3.0000000000000001E-3</v>
      </c>
      <c r="G189" s="67">
        <v>2E-3</v>
      </c>
      <c r="H189" s="63"/>
    </row>
    <row r="190" spans="1:8" x14ac:dyDescent="0.25">
      <c r="A190" s="63"/>
      <c r="B190" s="63">
        <f>'Padrão EPP'!B190</f>
        <v>16</v>
      </c>
      <c r="C190" s="63" t="str">
        <f>'Padrão EPP'!C190</f>
        <v>RJ</v>
      </c>
      <c r="D190" s="63" t="str">
        <f>'Padrão EPP'!D190</f>
        <v>INTERIOR</v>
      </c>
      <c r="E190" s="63">
        <f>'Padrão EPP'!E190/2</f>
        <v>0</v>
      </c>
      <c r="F190" s="67">
        <v>3.0000000000000001E-3</v>
      </c>
      <c r="G190" s="67">
        <v>2E-3</v>
      </c>
      <c r="H190" s="63"/>
    </row>
    <row r="191" spans="1:8" x14ac:dyDescent="0.25">
      <c r="A191" s="63"/>
      <c r="B191" s="63">
        <f>'Padrão EPP'!B191</f>
        <v>17</v>
      </c>
      <c r="C191" s="63" t="str">
        <f>'Padrão EPP'!C191</f>
        <v>RJ</v>
      </c>
      <c r="D191" s="63" t="str">
        <f>'Padrão EPP'!D191</f>
        <v>INTERIOR</v>
      </c>
      <c r="E191" s="63">
        <f>'Padrão EPP'!E191/2</f>
        <v>0</v>
      </c>
      <c r="F191" s="67">
        <v>3.0000000000000001E-3</v>
      </c>
      <c r="G191" s="67">
        <v>2E-3</v>
      </c>
      <c r="H191" s="63"/>
    </row>
    <row r="192" spans="1:8" x14ac:dyDescent="0.25">
      <c r="A192" s="63"/>
      <c r="B192" s="63">
        <f>'Padrão EPP'!B192</f>
        <v>18</v>
      </c>
      <c r="C192" s="63" t="str">
        <f>'Padrão EPP'!C192</f>
        <v>RJ</v>
      </c>
      <c r="D192" s="63" t="str">
        <f>'Padrão EPP'!D192</f>
        <v>INTERIOR</v>
      </c>
      <c r="E192" s="63">
        <f>'Padrão EPP'!E192/2</f>
        <v>0</v>
      </c>
      <c r="F192" s="67">
        <v>3.0000000000000001E-3</v>
      </c>
      <c r="G192" s="67">
        <v>2E-3</v>
      </c>
      <c r="H192" s="63"/>
    </row>
    <row r="193" spans="1:8" x14ac:dyDescent="0.25">
      <c r="A193" s="63"/>
      <c r="B193" s="63">
        <f>'Padrão EPP'!B193</f>
        <v>19</v>
      </c>
      <c r="C193" s="63" t="str">
        <f>'Padrão EPP'!C193</f>
        <v>RJ</v>
      </c>
      <c r="D193" s="63" t="str">
        <f>'Padrão EPP'!D193</f>
        <v>INTERIOR</v>
      </c>
      <c r="E193" s="63">
        <f>'Padrão EPP'!E193/2</f>
        <v>0</v>
      </c>
      <c r="F193" s="67">
        <v>3.0000000000000001E-3</v>
      </c>
      <c r="G193" s="67">
        <v>2E-3</v>
      </c>
      <c r="H193" s="63"/>
    </row>
    <row r="194" spans="1:8" x14ac:dyDescent="0.25">
      <c r="A194" s="63"/>
      <c r="B194" s="63">
        <f>'Padrão EPP'!B194</f>
        <v>20</v>
      </c>
      <c r="C194" s="63" t="str">
        <f>'Padrão EPP'!C194</f>
        <v>RJ</v>
      </c>
      <c r="D194" s="63" t="str">
        <f>'Padrão EPP'!D194</f>
        <v>INTERIOR</v>
      </c>
      <c r="E194" s="63">
        <f>'Padrão EPP'!E194/2</f>
        <v>0</v>
      </c>
      <c r="F194" s="67">
        <v>3.0000000000000001E-3</v>
      </c>
      <c r="G194" s="67">
        <v>2E-3</v>
      </c>
      <c r="H194" s="63"/>
    </row>
    <row r="195" spans="1:8" x14ac:dyDescent="0.25">
      <c r="A195" s="63"/>
      <c r="B195" s="63">
        <f>'Padrão EPP'!B195</f>
        <v>21</v>
      </c>
      <c r="C195" s="63" t="str">
        <f>'Padrão EPP'!C195</f>
        <v>RJ</v>
      </c>
      <c r="D195" s="63" t="str">
        <f>'Padrão EPP'!D195</f>
        <v>INTERIOR</v>
      </c>
      <c r="E195" s="63">
        <f>'Padrão EPP'!E195/2</f>
        <v>0</v>
      </c>
      <c r="F195" s="67">
        <v>3.0000000000000001E-3</v>
      </c>
      <c r="G195" s="67">
        <v>2E-3</v>
      </c>
      <c r="H195" s="63"/>
    </row>
    <row r="196" spans="1:8" x14ac:dyDescent="0.25">
      <c r="A196" s="63"/>
      <c r="B196" s="63">
        <f>'Padrão EPP'!B196</f>
        <v>22</v>
      </c>
      <c r="C196" s="63" t="str">
        <f>'Padrão EPP'!C196</f>
        <v>RJ</v>
      </c>
      <c r="D196" s="63" t="str">
        <f>'Padrão EPP'!D196</f>
        <v>INTERIOR</v>
      </c>
      <c r="E196" s="63">
        <f>'Padrão EPP'!E196/2</f>
        <v>0</v>
      </c>
      <c r="F196" s="67">
        <v>3.0000000000000001E-3</v>
      </c>
      <c r="G196" s="67">
        <v>2E-3</v>
      </c>
      <c r="H196" s="63"/>
    </row>
    <row r="197" spans="1:8" x14ac:dyDescent="0.25">
      <c r="A197" s="63"/>
      <c r="B197" s="63">
        <f>'Padrão EPP'!B197</f>
        <v>23</v>
      </c>
      <c r="C197" s="63" t="str">
        <f>'Padrão EPP'!C197</f>
        <v>RJ</v>
      </c>
      <c r="D197" s="63" t="str">
        <f>'Padrão EPP'!D197</f>
        <v>INTERIOR</v>
      </c>
      <c r="E197" s="63">
        <f>'Padrão EPP'!E197/2</f>
        <v>0</v>
      </c>
      <c r="F197" s="67">
        <v>3.0000000000000001E-3</v>
      </c>
      <c r="G197" s="67">
        <v>2E-3</v>
      </c>
      <c r="H197" s="63"/>
    </row>
    <row r="198" spans="1:8" x14ac:dyDescent="0.25">
      <c r="A198" s="63"/>
      <c r="B198" s="63">
        <f>'Padrão EPP'!B198</f>
        <v>24</v>
      </c>
      <c r="C198" s="63" t="str">
        <f>'Padrão EPP'!C198</f>
        <v>RJ</v>
      </c>
      <c r="D198" s="63" t="str">
        <f>'Padrão EPP'!D198</f>
        <v>INTERIOR</v>
      </c>
      <c r="E198" s="63">
        <f>'Padrão EPP'!E198/2</f>
        <v>0</v>
      </c>
      <c r="F198" s="67">
        <v>3.0000000000000001E-3</v>
      </c>
      <c r="G198" s="67">
        <v>2E-3</v>
      </c>
      <c r="H198" s="63"/>
    </row>
    <row r="199" spans="1:8" x14ac:dyDescent="0.25">
      <c r="A199" s="63"/>
      <c r="B199" s="63">
        <f>'Padrão EPP'!B199</f>
        <v>25</v>
      </c>
      <c r="C199" s="63" t="str">
        <f>'Padrão EPP'!C199</f>
        <v>RJ</v>
      </c>
      <c r="D199" s="63" t="str">
        <f>'Padrão EPP'!D199</f>
        <v>INTERIOR</v>
      </c>
      <c r="E199" s="63">
        <f>'Padrão EPP'!E199/2</f>
        <v>0</v>
      </c>
      <c r="F199" s="67">
        <v>3.0000000000000001E-3</v>
      </c>
      <c r="G199" s="67">
        <v>2E-3</v>
      </c>
      <c r="H199" s="63"/>
    </row>
    <row r="200" spans="1:8" x14ac:dyDescent="0.25">
      <c r="A200" s="63"/>
      <c r="B200" s="63">
        <f>'Padrão EPP'!B200</f>
        <v>26</v>
      </c>
      <c r="C200" s="63" t="str">
        <f>'Padrão EPP'!C200</f>
        <v>RJ</v>
      </c>
      <c r="D200" s="63" t="str">
        <f>'Padrão EPP'!D200</f>
        <v>INTERIOR</v>
      </c>
      <c r="E200" s="63">
        <f>'Padrão EPP'!E200/2</f>
        <v>0</v>
      </c>
      <c r="F200" s="67">
        <v>3.0000000000000001E-3</v>
      </c>
      <c r="G200" s="67">
        <v>2E-3</v>
      </c>
      <c r="H200" s="63"/>
    </row>
    <row r="201" spans="1:8" x14ac:dyDescent="0.25">
      <c r="A201" s="63"/>
      <c r="B201" s="63">
        <f>'Padrão EPP'!B201</f>
        <v>27</v>
      </c>
      <c r="C201" s="63" t="str">
        <f>'Padrão EPP'!C201</f>
        <v>RJ</v>
      </c>
      <c r="D201" s="63" t="str">
        <f>'Padrão EPP'!D201</f>
        <v>INTERIOR</v>
      </c>
      <c r="E201" s="63">
        <f>'Padrão EPP'!E201/2</f>
        <v>0</v>
      </c>
      <c r="F201" s="67">
        <v>3.0000000000000001E-3</v>
      </c>
      <c r="G201" s="67">
        <v>2E-3</v>
      </c>
      <c r="H201" s="63"/>
    </row>
    <row r="202" spans="1:8" x14ac:dyDescent="0.25">
      <c r="A202" s="63"/>
      <c r="B202" s="63">
        <f>'Padrão EPP'!B202</f>
        <v>28</v>
      </c>
      <c r="C202" s="63" t="str">
        <f>'Padrão EPP'!C202</f>
        <v>RJ</v>
      </c>
      <c r="D202" s="63" t="str">
        <f>'Padrão EPP'!D202</f>
        <v>INTERIOR</v>
      </c>
      <c r="E202" s="63">
        <f>'Padrão EPP'!E202/2</f>
        <v>0</v>
      </c>
      <c r="F202" s="67">
        <v>3.0000000000000001E-3</v>
      </c>
      <c r="G202" s="67">
        <v>2E-3</v>
      </c>
      <c r="H202" s="63"/>
    </row>
    <row r="203" spans="1:8" x14ac:dyDescent="0.25">
      <c r="A203" s="63"/>
      <c r="B203" s="63">
        <f>'Padrão EPP'!B203</f>
        <v>29</v>
      </c>
      <c r="C203" s="63" t="str">
        <f>'Padrão EPP'!C203</f>
        <v>RJ</v>
      </c>
      <c r="D203" s="63" t="str">
        <f>'Padrão EPP'!D203</f>
        <v>INTERIOR</v>
      </c>
      <c r="E203" s="63">
        <f>'Padrão EPP'!E203/2</f>
        <v>0</v>
      </c>
      <c r="F203" s="67">
        <v>3.0000000000000001E-3</v>
      </c>
      <c r="G203" s="67">
        <v>2E-3</v>
      </c>
      <c r="H203" s="63"/>
    </row>
    <row r="204" spans="1:8" x14ac:dyDescent="0.25">
      <c r="A204" s="63"/>
      <c r="B204" s="63">
        <f>'Padrão EPP'!B204</f>
        <v>30</v>
      </c>
      <c r="C204" s="63" t="str">
        <f>'Padrão EPP'!C204</f>
        <v>RJ</v>
      </c>
      <c r="D204" s="63" t="str">
        <f>'Padrão EPP'!D204</f>
        <v>INTERIOR</v>
      </c>
      <c r="E204" s="63">
        <f>'Padrão EPP'!E204/2</f>
        <v>0</v>
      </c>
      <c r="F204" s="67">
        <v>3.0000000000000001E-3</v>
      </c>
      <c r="G204" s="67">
        <v>2E-3</v>
      </c>
      <c r="H204" s="63"/>
    </row>
    <row r="205" spans="1:8" x14ac:dyDescent="0.25">
      <c r="A205" s="63"/>
      <c r="B205" s="63">
        <f>'Padrão EPP'!B205</f>
        <v>0</v>
      </c>
      <c r="C205" s="63" t="str">
        <f>'Padrão EPP'!C205</f>
        <v>RJ</v>
      </c>
      <c r="D205" s="63" t="str">
        <f>'Padrão EPP'!D205</f>
        <v>INTERIOR</v>
      </c>
      <c r="E205" s="63">
        <f>'Padrão EPP'!E205/2</f>
        <v>1.5214394455252955</v>
      </c>
      <c r="F205" s="67">
        <v>3.0000000000000001E-3</v>
      </c>
      <c r="G205" s="67">
        <v>2E-3</v>
      </c>
      <c r="H205" s="63"/>
    </row>
    <row r="206" spans="1:8" x14ac:dyDescent="0.25">
      <c r="A206" s="63"/>
      <c r="B206" s="63">
        <f>'Padrão EPP'!B206</f>
        <v>0.25</v>
      </c>
      <c r="C206" s="63" t="str">
        <f>'Padrão EPP'!C206</f>
        <v>RJ</v>
      </c>
      <c r="D206" s="63" t="str">
        <f>'Padrão EPP'!D206</f>
        <v>INTERIOR II</v>
      </c>
      <c r="E206" s="63">
        <f>'Padrão EPP'!E206/2</f>
        <v>9.5958134260612837</v>
      </c>
      <c r="F206" s="67">
        <v>3.0000000000000001E-3</v>
      </c>
      <c r="G206" s="67">
        <v>2E-3</v>
      </c>
      <c r="H206" s="63"/>
    </row>
    <row r="207" spans="1:8" x14ac:dyDescent="0.25">
      <c r="A207" s="63"/>
      <c r="B207" s="63">
        <f>'Padrão EPP'!B207</f>
        <v>0.5</v>
      </c>
      <c r="C207" s="63" t="str">
        <f>'Padrão EPP'!C207</f>
        <v>RJ</v>
      </c>
      <c r="D207" s="63" t="str">
        <f>'Padrão EPP'!D207</f>
        <v>INTERIOR II</v>
      </c>
      <c r="E207" s="63">
        <f>'Padrão EPP'!E207/2</f>
        <v>9.8214642301819275</v>
      </c>
      <c r="F207" s="67">
        <v>3.0000000000000001E-3</v>
      </c>
      <c r="G207" s="67">
        <v>2E-3</v>
      </c>
      <c r="H207" s="63"/>
    </row>
    <row r="208" spans="1:8" x14ac:dyDescent="0.25">
      <c r="A208" s="63"/>
      <c r="B208" s="63">
        <f>'Padrão EPP'!B208</f>
        <v>0.75</v>
      </c>
      <c r="C208" s="63" t="str">
        <f>'Padrão EPP'!C208</f>
        <v>RJ</v>
      </c>
      <c r="D208" s="63" t="str">
        <f>'Padrão EPP'!D208</f>
        <v>INTERIOR II</v>
      </c>
      <c r="E208" s="63">
        <f>'Padrão EPP'!E208/2</f>
        <v>9.6311270343988014</v>
      </c>
      <c r="F208" s="67">
        <v>3.0000000000000001E-3</v>
      </c>
      <c r="G208" s="67">
        <v>2E-3</v>
      </c>
      <c r="H208" s="63"/>
    </row>
    <row r="209" spans="1:8" x14ac:dyDescent="0.25">
      <c r="A209" s="63"/>
      <c r="B209" s="63">
        <f>'Padrão EPP'!B209</f>
        <v>1</v>
      </c>
      <c r="C209" s="63" t="str">
        <f>'Padrão EPP'!C209</f>
        <v>RJ</v>
      </c>
      <c r="D209" s="63" t="str">
        <f>'Padrão EPP'!D209</f>
        <v>INTERIOR II</v>
      </c>
      <c r="E209" s="63">
        <f>'Padrão EPP'!E209/2</f>
        <v>10.001218923403497</v>
      </c>
      <c r="F209" s="67">
        <v>3.0000000000000001E-3</v>
      </c>
      <c r="G209" s="67">
        <v>2E-3</v>
      </c>
      <c r="H209" s="63"/>
    </row>
    <row r="210" spans="1:8" x14ac:dyDescent="0.25">
      <c r="A210" s="63"/>
      <c r="B210" s="63">
        <f>'Padrão EPP'!B210</f>
        <v>2</v>
      </c>
      <c r="C210" s="63" t="str">
        <f>'Padrão EPP'!C210</f>
        <v>RJ</v>
      </c>
      <c r="D210" s="63" t="str">
        <f>'Padrão EPP'!D210</f>
        <v>INTERIOR II</v>
      </c>
      <c r="E210" s="63">
        <f>'Padrão EPP'!E210/2</f>
        <v>11.064700703851331</v>
      </c>
      <c r="F210" s="67">
        <v>3.0000000000000001E-3</v>
      </c>
      <c r="G210" s="67">
        <v>2E-3</v>
      </c>
      <c r="H210" s="63"/>
    </row>
    <row r="211" spans="1:8" x14ac:dyDescent="0.25">
      <c r="A211" s="63"/>
      <c r="B211" s="63">
        <f>'Padrão EPP'!B211</f>
        <v>3</v>
      </c>
      <c r="C211" s="63" t="str">
        <f>'Padrão EPP'!C211</f>
        <v>RJ</v>
      </c>
      <c r="D211" s="63" t="str">
        <f>'Padrão EPP'!D211</f>
        <v>INTERIOR II</v>
      </c>
      <c r="E211" s="63">
        <f>'Padrão EPP'!E211/2</f>
        <v>11.876751422799291</v>
      </c>
      <c r="F211" s="67">
        <v>3.0000000000000001E-3</v>
      </c>
      <c r="G211" s="67">
        <v>2E-3</v>
      </c>
      <c r="H211" s="63"/>
    </row>
    <row r="212" spans="1:8" x14ac:dyDescent="0.25">
      <c r="A212" s="63"/>
      <c r="B212" s="63">
        <f>'Padrão EPP'!B212</f>
        <v>4</v>
      </c>
      <c r="C212" s="63" t="str">
        <f>'Padrão EPP'!C212</f>
        <v>RJ</v>
      </c>
      <c r="D212" s="63" t="str">
        <f>'Padrão EPP'!D212</f>
        <v>INTERIOR II</v>
      </c>
      <c r="E212" s="63">
        <f>'Padrão EPP'!E212/2</f>
        <v>12.887671664194594</v>
      </c>
      <c r="F212" s="67">
        <v>3.0000000000000001E-3</v>
      </c>
      <c r="G212" s="67">
        <v>2E-3</v>
      </c>
      <c r="H212" s="63"/>
    </row>
    <row r="213" spans="1:8" x14ac:dyDescent="0.25">
      <c r="A213" s="63"/>
      <c r="B213" s="63">
        <f>'Padrão EPP'!B213</f>
        <v>5</v>
      </c>
      <c r="C213" s="63" t="str">
        <f>'Padrão EPP'!C213</f>
        <v>RJ</v>
      </c>
      <c r="D213" s="63" t="str">
        <f>'Padrão EPP'!D213</f>
        <v>INTERIOR II</v>
      </c>
      <c r="E213" s="63">
        <f>'Padrão EPP'!E213/2</f>
        <v>13.933146339627228</v>
      </c>
      <c r="F213" s="67">
        <v>3.0000000000000001E-3</v>
      </c>
      <c r="G213" s="67">
        <v>2E-3</v>
      </c>
      <c r="H213" s="63"/>
    </row>
    <row r="214" spans="1:8" x14ac:dyDescent="0.25">
      <c r="A214" s="63"/>
      <c r="B214" s="63">
        <f>'Padrão EPP'!B214</f>
        <v>6</v>
      </c>
      <c r="C214" s="63" t="str">
        <f>'Padrão EPP'!C214</f>
        <v>RJ</v>
      </c>
      <c r="D214" s="63" t="str">
        <f>'Padrão EPP'!D214</f>
        <v>INTERIOR II</v>
      </c>
      <c r="E214" s="63">
        <f>'Padrão EPP'!E214/2</f>
        <v>15.965063724192195</v>
      </c>
      <c r="F214" s="67">
        <v>3.0000000000000001E-3</v>
      </c>
      <c r="G214" s="67">
        <v>2E-3</v>
      </c>
      <c r="H214" s="63"/>
    </row>
    <row r="215" spans="1:8" x14ac:dyDescent="0.25">
      <c r="A215" s="63"/>
      <c r="B215" s="63">
        <f>'Padrão EPP'!B215</f>
        <v>7</v>
      </c>
      <c r="C215" s="63" t="str">
        <f>'Padrão EPP'!C215</f>
        <v>RJ</v>
      </c>
      <c r="D215" s="63" t="str">
        <f>'Padrão EPP'!D215</f>
        <v>INTERIOR II</v>
      </c>
      <c r="E215" s="63">
        <f>'Padrão EPP'!E215/2</f>
        <v>17.021841351434471</v>
      </c>
      <c r="F215" s="67">
        <v>3.0000000000000001E-3</v>
      </c>
      <c r="G215" s="67">
        <v>2E-3</v>
      </c>
      <c r="H215" s="63"/>
    </row>
    <row r="216" spans="1:8" x14ac:dyDescent="0.25">
      <c r="A216" s="63"/>
      <c r="B216" s="63">
        <f>'Padrão EPP'!B216</f>
        <v>8</v>
      </c>
      <c r="C216" s="63" t="str">
        <f>'Padrão EPP'!C216</f>
        <v>RJ</v>
      </c>
      <c r="D216" s="63" t="str">
        <f>'Padrão EPP'!D216</f>
        <v>INTERIOR II</v>
      </c>
      <c r="E216" s="63">
        <f>'Padrão EPP'!E216/2</f>
        <v>18.1280557790489</v>
      </c>
      <c r="F216" s="67">
        <v>3.0000000000000001E-3</v>
      </c>
      <c r="G216" s="67">
        <v>2E-3</v>
      </c>
      <c r="H216" s="63"/>
    </row>
    <row r="217" spans="1:8" x14ac:dyDescent="0.25">
      <c r="A217" s="63"/>
      <c r="B217" s="63">
        <f>'Padrão EPP'!B217</f>
        <v>9</v>
      </c>
      <c r="C217" s="63" t="str">
        <f>'Padrão EPP'!C217</f>
        <v>RJ</v>
      </c>
      <c r="D217" s="63" t="str">
        <f>'Padrão EPP'!D217</f>
        <v>INTERIOR II</v>
      </c>
      <c r="E217" s="63">
        <f>'Padrão EPP'!E217/2</f>
        <v>19.842179225759125</v>
      </c>
      <c r="F217" s="67">
        <v>3.0000000000000001E-3</v>
      </c>
      <c r="G217" s="67">
        <v>2E-3</v>
      </c>
      <c r="H217" s="63"/>
    </row>
    <row r="218" spans="1:8" x14ac:dyDescent="0.25">
      <c r="A218" s="63"/>
      <c r="B218" s="63">
        <f>'Padrão EPP'!B218</f>
        <v>10</v>
      </c>
      <c r="C218" s="63" t="str">
        <f>'Padrão EPP'!C218</f>
        <v>RJ</v>
      </c>
      <c r="D218" s="63" t="str">
        <f>'Padrão EPP'!D218</f>
        <v>INTERIOR II</v>
      </c>
      <c r="E218" s="63">
        <f>'Padrão EPP'!E218/2</f>
        <v>21.20743506406804</v>
      </c>
      <c r="F218" s="67">
        <v>3.0000000000000001E-3</v>
      </c>
      <c r="G218" s="67">
        <v>2E-3</v>
      </c>
      <c r="H218" s="63"/>
    </row>
    <row r="219" spans="1:8" x14ac:dyDescent="0.25">
      <c r="A219" s="63"/>
      <c r="B219" s="63">
        <f>'Padrão EPP'!B219</f>
        <v>11</v>
      </c>
      <c r="C219" s="63" t="str">
        <f>'Padrão EPP'!C219</f>
        <v>RJ</v>
      </c>
      <c r="D219" s="63" t="str">
        <f>'Padrão EPP'!D219</f>
        <v>INTERIOR II</v>
      </c>
      <c r="E219" s="63">
        <f>'Padrão EPP'!E219/2</f>
        <v>0</v>
      </c>
      <c r="F219" s="67">
        <v>3.0000000000000001E-3</v>
      </c>
      <c r="G219" s="67">
        <v>2E-3</v>
      </c>
      <c r="H219" s="63"/>
    </row>
    <row r="220" spans="1:8" x14ac:dyDescent="0.25">
      <c r="A220" s="63"/>
      <c r="B220" s="63">
        <f>'Padrão EPP'!B220</f>
        <v>12</v>
      </c>
      <c r="C220" s="63" t="str">
        <f>'Padrão EPP'!C220</f>
        <v>RJ</v>
      </c>
      <c r="D220" s="63" t="str">
        <f>'Padrão EPP'!D220</f>
        <v>INTERIOR II</v>
      </c>
      <c r="E220" s="63">
        <f>'Padrão EPP'!E220/2</f>
        <v>0</v>
      </c>
      <c r="F220" s="67">
        <v>3.0000000000000001E-3</v>
      </c>
      <c r="G220" s="67">
        <v>2E-3</v>
      </c>
      <c r="H220" s="63"/>
    </row>
    <row r="221" spans="1:8" x14ac:dyDescent="0.25">
      <c r="A221" s="63"/>
      <c r="B221" s="63">
        <f>'Padrão EPP'!B221</f>
        <v>13</v>
      </c>
      <c r="C221" s="63" t="str">
        <f>'Padrão EPP'!C221</f>
        <v>RJ</v>
      </c>
      <c r="D221" s="63" t="str">
        <f>'Padrão EPP'!D221</f>
        <v>INTERIOR II</v>
      </c>
      <c r="E221" s="63">
        <f>'Padrão EPP'!E221/2</f>
        <v>0</v>
      </c>
      <c r="F221" s="67">
        <v>3.0000000000000001E-3</v>
      </c>
      <c r="G221" s="67">
        <v>2E-3</v>
      </c>
      <c r="H221" s="63"/>
    </row>
    <row r="222" spans="1:8" x14ac:dyDescent="0.25">
      <c r="A222" s="63"/>
      <c r="B222" s="63">
        <f>'Padrão EPP'!B222</f>
        <v>14</v>
      </c>
      <c r="C222" s="63" t="str">
        <f>'Padrão EPP'!C222</f>
        <v>RJ</v>
      </c>
      <c r="D222" s="63" t="str">
        <f>'Padrão EPP'!D222</f>
        <v>INTERIOR II</v>
      </c>
      <c r="E222" s="63">
        <f>'Padrão EPP'!E222/2</f>
        <v>0</v>
      </c>
      <c r="F222" s="67">
        <v>3.0000000000000001E-3</v>
      </c>
      <c r="G222" s="67">
        <v>2E-3</v>
      </c>
      <c r="H222" s="63"/>
    </row>
    <row r="223" spans="1:8" x14ac:dyDescent="0.25">
      <c r="A223" s="63"/>
      <c r="B223" s="63">
        <f>'Padrão EPP'!B223</f>
        <v>15</v>
      </c>
      <c r="C223" s="63" t="str">
        <f>'Padrão EPP'!C223</f>
        <v>RJ</v>
      </c>
      <c r="D223" s="63" t="str">
        <f>'Padrão EPP'!D223</f>
        <v>INTERIOR II</v>
      </c>
      <c r="E223" s="63">
        <f>'Padrão EPP'!E223/2</f>
        <v>0</v>
      </c>
      <c r="F223" s="67">
        <v>3.0000000000000001E-3</v>
      </c>
      <c r="G223" s="67">
        <v>2E-3</v>
      </c>
      <c r="H223" s="63"/>
    </row>
    <row r="224" spans="1:8" x14ac:dyDescent="0.25">
      <c r="A224" s="63"/>
      <c r="B224" s="63">
        <f>'Padrão EPP'!B224</f>
        <v>16</v>
      </c>
      <c r="C224" s="63" t="str">
        <f>'Padrão EPP'!C224</f>
        <v>RJ</v>
      </c>
      <c r="D224" s="63" t="str">
        <f>'Padrão EPP'!D224</f>
        <v>INTERIOR II</v>
      </c>
      <c r="E224" s="63">
        <f>'Padrão EPP'!E224/2</f>
        <v>0</v>
      </c>
      <c r="F224" s="67">
        <v>3.0000000000000001E-3</v>
      </c>
      <c r="G224" s="67">
        <v>2E-3</v>
      </c>
      <c r="H224" s="63"/>
    </row>
    <row r="225" spans="1:8" x14ac:dyDescent="0.25">
      <c r="A225" s="63"/>
      <c r="B225" s="63">
        <f>'Padrão EPP'!B225</f>
        <v>17</v>
      </c>
      <c r="C225" s="63" t="str">
        <f>'Padrão EPP'!C225</f>
        <v>RJ</v>
      </c>
      <c r="D225" s="63" t="str">
        <f>'Padrão EPP'!D225</f>
        <v>INTERIOR II</v>
      </c>
      <c r="E225" s="63">
        <f>'Padrão EPP'!E225/2</f>
        <v>0</v>
      </c>
      <c r="F225" s="67">
        <v>3.0000000000000001E-3</v>
      </c>
      <c r="G225" s="67">
        <v>2E-3</v>
      </c>
      <c r="H225" s="63"/>
    </row>
    <row r="226" spans="1:8" x14ac:dyDescent="0.25">
      <c r="A226" s="63"/>
      <c r="B226" s="63">
        <f>'Padrão EPP'!B226</f>
        <v>18</v>
      </c>
      <c r="C226" s="63" t="str">
        <f>'Padrão EPP'!C226</f>
        <v>RJ</v>
      </c>
      <c r="D226" s="63" t="str">
        <f>'Padrão EPP'!D226</f>
        <v>INTERIOR II</v>
      </c>
      <c r="E226" s="63">
        <f>'Padrão EPP'!E226/2</f>
        <v>0</v>
      </c>
      <c r="F226" s="67">
        <v>3.0000000000000001E-3</v>
      </c>
      <c r="G226" s="67">
        <v>2E-3</v>
      </c>
      <c r="H226" s="63"/>
    </row>
    <row r="227" spans="1:8" x14ac:dyDescent="0.25">
      <c r="A227" s="63"/>
      <c r="B227" s="63">
        <f>'Padrão EPP'!B227</f>
        <v>19</v>
      </c>
      <c r="C227" s="63" t="str">
        <f>'Padrão EPP'!C227</f>
        <v>RJ</v>
      </c>
      <c r="D227" s="63" t="str">
        <f>'Padrão EPP'!D227</f>
        <v>INTERIOR II</v>
      </c>
      <c r="E227" s="63">
        <f>'Padrão EPP'!E227/2</f>
        <v>0</v>
      </c>
      <c r="F227" s="67">
        <v>3.0000000000000001E-3</v>
      </c>
      <c r="G227" s="67">
        <v>2E-3</v>
      </c>
      <c r="H227" s="63"/>
    </row>
    <row r="228" spans="1:8" x14ac:dyDescent="0.25">
      <c r="A228" s="63"/>
      <c r="B228" s="63">
        <f>'Padrão EPP'!B228</f>
        <v>20</v>
      </c>
      <c r="C228" s="63" t="str">
        <f>'Padrão EPP'!C228</f>
        <v>RJ</v>
      </c>
      <c r="D228" s="63" t="str">
        <f>'Padrão EPP'!D228</f>
        <v>INTERIOR II</v>
      </c>
      <c r="E228" s="63">
        <f>'Padrão EPP'!E228/2</f>
        <v>0</v>
      </c>
      <c r="F228" s="67">
        <v>3.0000000000000001E-3</v>
      </c>
      <c r="G228" s="67">
        <v>2E-3</v>
      </c>
      <c r="H228" s="63"/>
    </row>
    <row r="229" spans="1:8" x14ac:dyDescent="0.25">
      <c r="A229" s="63"/>
      <c r="B229" s="63">
        <f>'Padrão EPP'!B229</f>
        <v>21</v>
      </c>
      <c r="C229" s="63" t="str">
        <f>'Padrão EPP'!C229</f>
        <v>RJ</v>
      </c>
      <c r="D229" s="63" t="str">
        <f>'Padrão EPP'!D229</f>
        <v>INTERIOR II</v>
      </c>
      <c r="E229" s="63">
        <f>'Padrão EPP'!E229/2</f>
        <v>0</v>
      </c>
      <c r="F229" s="67">
        <v>3.0000000000000001E-3</v>
      </c>
      <c r="G229" s="67">
        <v>2E-3</v>
      </c>
      <c r="H229" s="63"/>
    </row>
    <row r="230" spans="1:8" x14ac:dyDescent="0.25">
      <c r="A230" s="63"/>
      <c r="B230" s="63">
        <f>'Padrão EPP'!B230</f>
        <v>22</v>
      </c>
      <c r="C230" s="63" t="str">
        <f>'Padrão EPP'!C230</f>
        <v>RJ</v>
      </c>
      <c r="D230" s="63" t="str">
        <f>'Padrão EPP'!D230</f>
        <v>INTERIOR II</v>
      </c>
      <c r="E230" s="63">
        <f>'Padrão EPP'!E230/2</f>
        <v>0</v>
      </c>
      <c r="F230" s="67">
        <v>3.0000000000000001E-3</v>
      </c>
      <c r="G230" s="67">
        <v>2E-3</v>
      </c>
      <c r="H230" s="63"/>
    </row>
    <row r="231" spans="1:8" x14ac:dyDescent="0.25">
      <c r="A231" s="63"/>
      <c r="B231" s="63">
        <f>'Padrão EPP'!B231</f>
        <v>23</v>
      </c>
      <c r="C231" s="63" t="str">
        <f>'Padrão EPP'!C231</f>
        <v>RJ</v>
      </c>
      <c r="D231" s="63" t="str">
        <f>'Padrão EPP'!D231</f>
        <v>INTERIOR II</v>
      </c>
      <c r="E231" s="63">
        <f>'Padrão EPP'!E231/2</f>
        <v>0</v>
      </c>
      <c r="F231" s="67">
        <v>3.0000000000000001E-3</v>
      </c>
      <c r="G231" s="67">
        <v>2E-3</v>
      </c>
      <c r="H231" s="63"/>
    </row>
    <row r="232" spans="1:8" x14ac:dyDescent="0.25">
      <c r="A232" s="63"/>
      <c r="B232" s="63">
        <f>'Padrão EPP'!B232</f>
        <v>24</v>
      </c>
      <c r="C232" s="63" t="str">
        <f>'Padrão EPP'!C232</f>
        <v>RJ</v>
      </c>
      <c r="D232" s="63" t="str">
        <f>'Padrão EPP'!D232</f>
        <v>INTERIOR II</v>
      </c>
      <c r="E232" s="63">
        <f>'Padrão EPP'!E232/2</f>
        <v>0</v>
      </c>
      <c r="F232" s="67">
        <v>3.0000000000000001E-3</v>
      </c>
      <c r="G232" s="67">
        <v>2E-3</v>
      </c>
      <c r="H232" s="63"/>
    </row>
    <row r="233" spans="1:8" x14ac:dyDescent="0.25">
      <c r="A233" s="63"/>
      <c r="B233" s="63">
        <f>'Padrão EPP'!B233</f>
        <v>25</v>
      </c>
      <c r="C233" s="63" t="str">
        <f>'Padrão EPP'!C233</f>
        <v>RJ</v>
      </c>
      <c r="D233" s="63" t="str">
        <f>'Padrão EPP'!D233</f>
        <v>INTERIOR II</v>
      </c>
      <c r="E233" s="63">
        <f>'Padrão EPP'!E233/2</f>
        <v>0</v>
      </c>
      <c r="F233" s="67">
        <v>3.0000000000000001E-3</v>
      </c>
      <c r="G233" s="67">
        <v>2E-3</v>
      </c>
      <c r="H233" s="63"/>
    </row>
    <row r="234" spans="1:8" x14ac:dyDescent="0.25">
      <c r="A234" s="63"/>
      <c r="B234" s="63">
        <f>'Padrão EPP'!B234</f>
        <v>26</v>
      </c>
      <c r="C234" s="63" t="str">
        <f>'Padrão EPP'!C234</f>
        <v>RJ</v>
      </c>
      <c r="D234" s="63" t="str">
        <f>'Padrão EPP'!D234</f>
        <v>INTERIOR II</v>
      </c>
      <c r="E234" s="63">
        <f>'Padrão EPP'!E234/2</f>
        <v>0</v>
      </c>
      <c r="F234" s="67">
        <v>3.0000000000000001E-3</v>
      </c>
      <c r="G234" s="67">
        <v>2E-3</v>
      </c>
      <c r="H234" s="63"/>
    </row>
    <row r="235" spans="1:8" x14ac:dyDescent="0.25">
      <c r="A235" s="63"/>
      <c r="B235" s="63">
        <f>'Padrão EPP'!B235</f>
        <v>27</v>
      </c>
      <c r="C235" s="63" t="str">
        <f>'Padrão EPP'!C235</f>
        <v>RJ</v>
      </c>
      <c r="D235" s="63" t="str">
        <f>'Padrão EPP'!D235</f>
        <v>INTERIOR II</v>
      </c>
      <c r="E235" s="63">
        <f>'Padrão EPP'!E235/2</f>
        <v>0</v>
      </c>
      <c r="F235" s="67">
        <v>3.0000000000000001E-3</v>
      </c>
      <c r="G235" s="67">
        <v>2E-3</v>
      </c>
      <c r="H235" s="63"/>
    </row>
    <row r="236" spans="1:8" x14ac:dyDescent="0.25">
      <c r="A236" s="63"/>
      <c r="B236" s="63">
        <f>'Padrão EPP'!B236</f>
        <v>28</v>
      </c>
      <c r="C236" s="63" t="str">
        <f>'Padrão EPP'!C236</f>
        <v>RJ</v>
      </c>
      <c r="D236" s="63" t="str">
        <f>'Padrão EPP'!D236</f>
        <v>INTERIOR II</v>
      </c>
      <c r="E236" s="63">
        <f>'Padrão EPP'!E236/2</f>
        <v>0</v>
      </c>
      <c r="F236" s="67">
        <v>3.0000000000000001E-3</v>
      </c>
      <c r="G236" s="67">
        <v>2E-3</v>
      </c>
      <c r="H236" s="63"/>
    </row>
    <row r="237" spans="1:8" x14ac:dyDescent="0.25">
      <c r="A237" s="63"/>
      <c r="B237" s="63">
        <f>'Padrão EPP'!B237</f>
        <v>29</v>
      </c>
      <c r="C237" s="63" t="str">
        <f>'Padrão EPP'!C237</f>
        <v>RJ</v>
      </c>
      <c r="D237" s="63" t="str">
        <f>'Padrão EPP'!D237</f>
        <v>INTERIOR II</v>
      </c>
      <c r="E237" s="63">
        <f>'Padrão EPP'!E237/2</f>
        <v>0</v>
      </c>
      <c r="F237" s="67">
        <v>3.0000000000000001E-3</v>
      </c>
      <c r="G237" s="67">
        <v>2E-3</v>
      </c>
      <c r="H237" s="63"/>
    </row>
    <row r="238" spans="1:8" x14ac:dyDescent="0.25">
      <c r="A238" s="63"/>
      <c r="B238" s="63">
        <f>'Padrão EPP'!B238</f>
        <v>30</v>
      </c>
      <c r="C238" s="63" t="str">
        <f>'Padrão EPP'!C238</f>
        <v>RJ</v>
      </c>
      <c r="D238" s="63" t="str">
        <f>'Padrão EPP'!D238</f>
        <v>INTERIOR II</v>
      </c>
      <c r="E238" s="63">
        <f>'Padrão EPP'!E238/2</f>
        <v>0</v>
      </c>
      <c r="F238" s="67">
        <v>3.0000000000000001E-3</v>
      </c>
      <c r="G238" s="67">
        <v>2E-3</v>
      </c>
      <c r="H238" s="63"/>
    </row>
    <row r="239" spans="1:8" x14ac:dyDescent="0.25">
      <c r="A239" s="63"/>
      <c r="B239" s="63">
        <f>'Padrão EPP'!B239</f>
        <v>0</v>
      </c>
      <c r="C239" s="63" t="str">
        <f>'Padrão EPP'!C239</f>
        <v>RJ</v>
      </c>
      <c r="D239" s="63" t="str">
        <f>'Padrão EPP'!D239</f>
        <v>INTERIOR II</v>
      </c>
      <c r="E239" s="63">
        <f>'Padrão EPP'!E239/2</f>
        <v>1.5214394455252955</v>
      </c>
      <c r="F239" s="67">
        <v>3.0000000000000001E-3</v>
      </c>
      <c r="G239" s="67">
        <v>2E-3</v>
      </c>
      <c r="H239" s="63"/>
    </row>
    <row r="240" spans="1:8" x14ac:dyDescent="0.25">
      <c r="A240" s="63"/>
      <c r="B240" s="63">
        <f>'Padrão EPP'!B240</f>
        <v>0.25</v>
      </c>
      <c r="C240" s="63" t="str">
        <f>'Padrão EPP'!C240</f>
        <v>RJ</v>
      </c>
      <c r="D240" s="63" t="str">
        <f>'Padrão EPP'!D240</f>
        <v>REDESPACHO</v>
      </c>
      <c r="E240" s="63">
        <f>'Padrão EPP'!E240/2</f>
        <v>13.879639554269033</v>
      </c>
      <c r="F240" s="67">
        <v>3.0000000000000001E-3</v>
      </c>
      <c r="G240" s="67">
        <v>2E-3</v>
      </c>
      <c r="H240" s="63"/>
    </row>
    <row r="241" spans="1:8" x14ac:dyDescent="0.25">
      <c r="A241" s="63"/>
      <c r="B241" s="63">
        <f>'Padrão EPP'!B241</f>
        <v>0.5</v>
      </c>
      <c r="C241" s="63" t="str">
        <f>'Padrão EPP'!C241</f>
        <v>RJ</v>
      </c>
      <c r="D241" s="63" t="str">
        <f>'Padrão EPP'!D241</f>
        <v>REDESPACHO</v>
      </c>
      <c r="E241" s="63">
        <f>'Padrão EPP'!E241/2</f>
        <v>14.454969107067834</v>
      </c>
      <c r="F241" s="67">
        <v>3.0000000000000001E-3</v>
      </c>
      <c r="G241" s="67">
        <v>2E-3</v>
      </c>
      <c r="H241" s="63"/>
    </row>
    <row r="242" spans="1:8" x14ac:dyDescent="0.25">
      <c r="A242" s="63"/>
      <c r="B242" s="63">
        <f>'Padrão EPP'!B242</f>
        <v>0.75</v>
      </c>
      <c r="C242" s="63" t="str">
        <f>'Padrão EPP'!C242</f>
        <v>RJ</v>
      </c>
      <c r="D242" s="63" t="str">
        <f>'Padrão EPP'!D242</f>
        <v>REDESPACHO</v>
      </c>
      <c r="E242" s="63">
        <f>'Padrão EPP'!E242/2</f>
        <v>14.564873304778063</v>
      </c>
      <c r="F242" s="67">
        <v>3.0000000000000001E-3</v>
      </c>
      <c r="G242" s="67">
        <v>2E-3</v>
      </c>
      <c r="H242" s="63"/>
    </row>
    <row r="243" spans="1:8" x14ac:dyDescent="0.25">
      <c r="A243" s="63"/>
      <c r="B243" s="63">
        <f>'Padrão EPP'!B243</f>
        <v>1</v>
      </c>
      <c r="C243" s="63" t="str">
        <f>'Padrão EPP'!C243</f>
        <v>RJ</v>
      </c>
      <c r="D243" s="63" t="str">
        <f>'Padrão EPP'!D243</f>
        <v>REDESPACHO</v>
      </c>
      <c r="E243" s="63">
        <f>'Padrão EPP'!E243/2</f>
        <v>14.942620955258928</v>
      </c>
      <c r="F243" s="67">
        <v>3.0000000000000001E-3</v>
      </c>
      <c r="G243" s="67">
        <v>2E-3</v>
      </c>
      <c r="H243" s="63"/>
    </row>
    <row r="244" spans="1:8" x14ac:dyDescent="0.25">
      <c r="A244" s="63"/>
      <c r="B244" s="63">
        <f>'Padrão EPP'!B244</f>
        <v>2</v>
      </c>
      <c r="C244" s="63" t="str">
        <f>'Padrão EPP'!C244</f>
        <v>RJ</v>
      </c>
      <c r="D244" s="63" t="str">
        <f>'Padrão EPP'!D244</f>
        <v>REDESPACHO</v>
      </c>
      <c r="E244" s="63">
        <f>'Padrão EPP'!E244/2</f>
        <v>15.69364927501327</v>
      </c>
      <c r="F244" s="67">
        <v>3.0000000000000001E-3</v>
      </c>
      <c r="G244" s="67">
        <v>2E-3</v>
      </c>
      <c r="H244" s="63"/>
    </row>
    <row r="245" spans="1:8" x14ac:dyDescent="0.25">
      <c r="A245" s="63"/>
      <c r="B245" s="63">
        <f>'Padrão EPP'!B245</f>
        <v>3</v>
      </c>
      <c r="C245" s="63" t="str">
        <f>'Padrão EPP'!C245</f>
        <v>RJ</v>
      </c>
      <c r="D245" s="63" t="str">
        <f>'Padrão EPP'!D245</f>
        <v>REDESPACHO</v>
      </c>
      <c r="E245" s="63">
        <f>'Padrão EPP'!E245/2</f>
        <v>17.131188168759326</v>
      </c>
      <c r="F245" s="67">
        <v>3.0000000000000001E-3</v>
      </c>
      <c r="G245" s="67">
        <v>2E-3</v>
      </c>
      <c r="H245" s="63"/>
    </row>
    <row r="246" spans="1:8" x14ac:dyDescent="0.25">
      <c r="A246" s="63"/>
      <c r="B246" s="63">
        <f>'Padrão EPP'!B246</f>
        <v>4</v>
      </c>
      <c r="C246" s="63" t="str">
        <f>'Padrão EPP'!C246</f>
        <v>RJ</v>
      </c>
      <c r="D246" s="63" t="str">
        <f>'Padrão EPP'!D246</f>
        <v>REDESPACHO</v>
      </c>
      <c r="E246" s="63">
        <f>'Padrão EPP'!E246/2</f>
        <v>18.645006015171131</v>
      </c>
      <c r="F246" s="67">
        <v>3.0000000000000001E-3</v>
      </c>
      <c r="G246" s="67">
        <v>2E-3</v>
      </c>
      <c r="H246" s="63"/>
    </row>
    <row r="247" spans="1:8" x14ac:dyDescent="0.25">
      <c r="A247" s="63"/>
      <c r="B247" s="63">
        <f>'Padrão EPP'!B247</f>
        <v>5</v>
      </c>
      <c r="C247" s="63" t="str">
        <f>'Padrão EPP'!C247</f>
        <v>RJ</v>
      </c>
      <c r="D247" s="63" t="str">
        <f>'Padrão EPP'!D247</f>
        <v>REDESPACHO</v>
      </c>
      <c r="E247" s="63">
        <f>'Padrão EPP'!E247/2</f>
        <v>20.235180816851102</v>
      </c>
      <c r="F247" s="67">
        <v>3.0000000000000001E-3</v>
      </c>
      <c r="G247" s="67">
        <v>2E-3</v>
      </c>
      <c r="H247" s="63"/>
    </row>
    <row r="248" spans="1:8" x14ac:dyDescent="0.25">
      <c r="A248" s="63"/>
      <c r="B248" s="63">
        <f>'Padrão EPP'!B248</f>
        <v>6</v>
      </c>
      <c r="C248" s="63" t="str">
        <f>'Padrão EPP'!C248</f>
        <v>RJ</v>
      </c>
      <c r="D248" s="63" t="str">
        <f>'Padrão EPP'!D248</f>
        <v>REDESPACHO</v>
      </c>
      <c r="E248" s="63">
        <f>'Padrão EPP'!E248/2</f>
        <v>22.1525145251555</v>
      </c>
      <c r="F248" s="67">
        <v>3.0000000000000001E-3</v>
      </c>
      <c r="G248" s="67">
        <v>2E-3</v>
      </c>
      <c r="H248" s="63"/>
    </row>
    <row r="249" spans="1:8" x14ac:dyDescent="0.25">
      <c r="A249" s="63"/>
      <c r="B249" s="63">
        <f>'Padrão EPP'!B249</f>
        <v>7</v>
      </c>
      <c r="C249" s="63" t="str">
        <f>'Padrão EPP'!C249</f>
        <v>RJ</v>
      </c>
      <c r="D249" s="63" t="str">
        <f>'Padrão EPP'!D249</f>
        <v>REDESPACHO</v>
      </c>
      <c r="E249" s="63">
        <f>'Padrão EPP'!E249/2</f>
        <v>24.17137551945801</v>
      </c>
      <c r="F249" s="67">
        <v>3.0000000000000001E-3</v>
      </c>
      <c r="G249" s="67">
        <v>2E-3</v>
      </c>
      <c r="H249" s="63"/>
    </row>
    <row r="250" spans="1:8" x14ac:dyDescent="0.25">
      <c r="A250" s="63"/>
      <c r="B250" s="63">
        <f>'Padrão EPP'!B250</f>
        <v>8</v>
      </c>
      <c r="C250" s="63" t="str">
        <f>'Padrão EPP'!C250</f>
        <v>RJ</v>
      </c>
      <c r="D250" s="63" t="str">
        <f>'Padrão EPP'!D250</f>
        <v>REDESPACHO</v>
      </c>
      <c r="E250" s="63">
        <f>'Padrão EPP'!E250/2</f>
        <v>26.301916528358433</v>
      </c>
      <c r="F250" s="67">
        <v>3.0000000000000001E-3</v>
      </c>
      <c r="G250" s="67">
        <v>2E-3</v>
      </c>
      <c r="H250" s="63"/>
    </row>
    <row r="251" spans="1:8" x14ac:dyDescent="0.25">
      <c r="A251" s="63"/>
      <c r="B251" s="63">
        <f>'Padrão EPP'!B251</f>
        <v>9</v>
      </c>
      <c r="C251" s="63" t="str">
        <f>'Padrão EPP'!C251</f>
        <v>RJ</v>
      </c>
      <c r="D251" s="63" t="str">
        <f>'Padrão EPP'!D251</f>
        <v>REDESPACHO</v>
      </c>
      <c r="E251" s="63">
        <f>'Padrão EPP'!E251/2</f>
        <v>28.816795226867519</v>
      </c>
      <c r="F251" s="67">
        <v>3.0000000000000001E-3</v>
      </c>
      <c r="G251" s="67">
        <v>2E-3</v>
      </c>
      <c r="H251" s="63"/>
    </row>
    <row r="252" spans="1:8" x14ac:dyDescent="0.25">
      <c r="A252" s="63"/>
      <c r="B252" s="63">
        <f>'Padrão EPP'!B252</f>
        <v>10</v>
      </c>
      <c r="C252" s="63" t="str">
        <f>'Padrão EPP'!C252</f>
        <v>RJ</v>
      </c>
      <c r="D252" s="63" t="str">
        <f>'Padrão EPP'!D252</f>
        <v>REDESPACHO</v>
      </c>
      <c r="E252" s="63">
        <f>'Padrão EPP'!E252/2</f>
        <v>31.466806743040099</v>
      </c>
      <c r="F252" s="67">
        <v>3.0000000000000001E-3</v>
      </c>
      <c r="G252" s="67">
        <v>2E-3</v>
      </c>
      <c r="H252" s="63"/>
    </row>
    <row r="253" spans="1:8" x14ac:dyDescent="0.25">
      <c r="A253" s="63"/>
      <c r="B253" s="63">
        <f>'Padrão EPP'!B253</f>
        <v>11</v>
      </c>
      <c r="C253" s="63" t="str">
        <f>'Padrão EPP'!C253</f>
        <v>RJ</v>
      </c>
      <c r="D253" s="63" t="str">
        <f>'Padrão EPP'!D253</f>
        <v>REDESPACHO</v>
      </c>
      <c r="E253" s="63">
        <f>'Padrão EPP'!E253/2</f>
        <v>0</v>
      </c>
      <c r="F253" s="67">
        <v>3.0000000000000001E-3</v>
      </c>
      <c r="G253" s="67">
        <v>2E-3</v>
      </c>
      <c r="H253" s="63"/>
    </row>
    <row r="254" spans="1:8" x14ac:dyDescent="0.25">
      <c r="A254" s="63"/>
      <c r="B254" s="63">
        <f>'Padrão EPP'!B254</f>
        <v>12</v>
      </c>
      <c r="C254" s="63" t="str">
        <f>'Padrão EPP'!C254</f>
        <v>RJ</v>
      </c>
      <c r="D254" s="63" t="str">
        <f>'Padrão EPP'!D254</f>
        <v>REDESPACHO</v>
      </c>
      <c r="E254" s="63">
        <f>'Padrão EPP'!E254/2</f>
        <v>0</v>
      </c>
      <c r="F254" s="67">
        <v>3.0000000000000001E-3</v>
      </c>
      <c r="G254" s="67">
        <v>2E-3</v>
      </c>
      <c r="H254" s="63"/>
    </row>
    <row r="255" spans="1:8" x14ac:dyDescent="0.25">
      <c r="A255" s="63"/>
      <c r="B255" s="63">
        <f>'Padrão EPP'!B255</f>
        <v>13</v>
      </c>
      <c r="C255" s="63" t="str">
        <f>'Padrão EPP'!C255</f>
        <v>RJ</v>
      </c>
      <c r="D255" s="63" t="str">
        <f>'Padrão EPP'!D255</f>
        <v>REDESPACHO</v>
      </c>
      <c r="E255" s="63">
        <f>'Padrão EPP'!E255/2</f>
        <v>0</v>
      </c>
      <c r="F255" s="67">
        <v>3.0000000000000001E-3</v>
      </c>
      <c r="G255" s="67">
        <v>2E-3</v>
      </c>
      <c r="H255" s="63"/>
    </row>
    <row r="256" spans="1:8" x14ac:dyDescent="0.25">
      <c r="A256" s="63"/>
      <c r="B256" s="63">
        <f>'Padrão EPP'!B256</f>
        <v>14</v>
      </c>
      <c r="C256" s="63" t="str">
        <f>'Padrão EPP'!C256</f>
        <v>RJ</v>
      </c>
      <c r="D256" s="63" t="str">
        <f>'Padrão EPP'!D256</f>
        <v>REDESPACHO</v>
      </c>
      <c r="E256" s="63">
        <f>'Padrão EPP'!E256/2</f>
        <v>0</v>
      </c>
      <c r="F256" s="67">
        <v>3.0000000000000001E-3</v>
      </c>
      <c r="G256" s="67">
        <v>2E-3</v>
      </c>
      <c r="H256" s="63"/>
    </row>
    <row r="257" spans="1:8" x14ac:dyDescent="0.25">
      <c r="A257" s="63"/>
      <c r="B257" s="63">
        <f>'Padrão EPP'!B257</f>
        <v>15</v>
      </c>
      <c r="C257" s="63" t="str">
        <f>'Padrão EPP'!C257</f>
        <v>RJ</v>
      </c>
      <c r="D257" s="63" t="str">
        <f>'Padrão EPP'!D257</f>
        <v>REDESPACHO</v>
      </c>
      <c r="E257" s="63">
        <f>'Padrão EPP'!E257/2</f>
        <v>0</v>
      </c>
      <c r="F257" s="67">
        <v>3.0000000000000001E-3</v>
      </c>
      <c r="G257" s="67">
        <v>2E-3</v>
      </c>
      <c r="H257" s="63"/>
    </row>
    <row r="258" spans="1:8" x14ac:dyDescent="0.25">
      <c r="A258" s="63"/>
      <c r="B258" s="63">
        <f>'Padrão EPP'!B258</f>
        <v>16</v>
      </c>
      <c r="C258" s="63" t="str">
        <f>'Padrão EPP'!C258</f>
        <v>RJ</v>
      </c>
      <c r="D258" s="63" t="str">
        <f>'Padrão EPP'!D258</f>
        <v>REDESPACHO</v>
      </c>
      <c r="E258" s="63">
        <f>'Padrão EPP'!E258/2</f>
        <v>0</v>
      </c>
      <c r="F258" s="67">
        <v>3.0000000000000001E-3</v>
      </c>
      <c r="G258" s="67">
        <v>2E-3</v>
      </c>
      <c r="H258" s="63"/>
    </row>
    <row r="259" spans="1:8" x14ac:dyDescent="0.25">
      <c r="A259" s="63"/>
      <c r="B259" s="63">
        <f>'Padrão EPP'!B259</f>
        <v>17</v>
      </c>
      <c r="C259" s="63" t="str">
        <f>'Padrão EPP'!C259</f>
        <v>RJ</v>
      </c>
      <c r="D259" s="63" t="str">
        <f>'Padrão EPP'!D259</f>
        <v>REDESPACHO</v>
      </c>
      <c r="E259" s="63">
        <f>'Padrão EPP'!E259/2</f>
        <v>0</v>
      </c>
      <c r="F259" s="67">
        <v>3.0000000000000001E-3</v>
      </c>
      <c r="G259" s="67">
        <v>2E-3</v>
      </c>
      <c r="H259" s="63"/>
    </row>
    <row r="260" spans="1:8" x14ac:dyDescent="0.25">
      <c r="A260" s="63"/>
      <c r="B260" s="63">
        <f>'Padrão EPP'!B260</f>
        <v>18</v>
      </c>
      <c r="C260" s="63" t="str">
        <f>'Padrão EPP'!C260</f>
        <v>RJ</v>
      </c>
      <c r="D260" s="63" t="str">
        <f>'Padrão EPP'!D260</f>
        <v>REDESPACHO</v>
      </c>
      <c r="E260" s="63">
        <f>'Padrão EPP'!E260/2</f>
        <v>0</v>
      </c>
      <c r="F260" s="67">
        <v>3.0000000000000001E-3</v>
      </c>
      <c r="G260" s="67">
        <v>2E-3</v>
      </c>
      <c r="H260" s="63"/>
    </row>
    <row r="261" spans="1:8" x14ac:dyDescent="0.25">
      <c r="A261" s="63"/>
      <c r="B261" s="63">
        <f>'Padrão EPP'!B261</f>
        <v>19</v>
      </c>
      <c r="C261" s="63" t="str">
        <f>'Padrão EPP'!C261</f>
        <v>RJ</v>
      </c>
      <c r="D261" s="63" t="str">
        <f>'Padrão EPP'!D261</f>
        <v>REDESPACHO</v>
      </c>
      <c r="E261" s="63">
        <f>'Padrão EPP'!E261/2</f>
        <v>0</v>
      </c>
      <c r="F261" s="67">
        <v>3.0000000000000001E-3</v>
      </c>
      <c r="G261" s="67">
        <v>2E-3</v>
      </c>
      <c r="H261" s="63"/>
    </row>
    <row r="262" spans="1:8" x14ac:dyDescent="0.25">
      <c r="A262" s="63"/>
      <c r="B262" s="63">
        <f>'Padrão EPP'!B262</f>
        <v>20</v>
      </c>
      <c r="C262" s="63" t="str">
        <f>'Padrão EPP'!C262</f>
        <v>RJ</v>
      </c>
      <c r="D262" s="63" t="str">
        <f>'Padrão EPP'!D262</f>
        <v>REDESPACHO</v>
      </c>
      <c r="E262" s="63">
        <f>'Padrão EPP'!E262/2</f>
        <v>0</v>
      </c>
      <c r="F262" s="67">
        <v>3.0000000000000001E-3</v>
      </c>
      <c r="G262" s="67">
        <v>2E-3</v>
      </c>
      <c r="H262" s="63"/>
    </row>
    <row r="263" spans="1:8" x14ac:dyDescent="0.25">
      <c r="A263" s="63"/>
      <c r="B263" s="63">
        <f>'Padrão EPP'!B263</f>
        <v>21</v>
      </c>
      <c r="C263" s="63" t="str">
        <f>'Padrão EPP'!C263</f>
        <v>RJ</v>
      </c>
      <c r="D263" s="63" t="str">
        <f>'Padrão EPP'!D263</f>
        <v>REDESPACHO</v>
      </c>
      <c r="E263" s="63">
        <f>'Padrão EPP'!E263/2</f>
        <v>0</v>
      </c>
      <c r="F263" s="67">
        <v>3.0000000000000001E-3</v>
      </c>
      <c r="G263" s="67">
        <v>2E-3</v>
      </c>
      <c r="H263" s="63"/>
    </row>
    <row r="264" spans="1:8" x14ac:dyDescent="0.25">
      <c r="A264" s="63"/>
      <c r="B264" s="63">
        <f>'Padrão EPP'!B264</f>
        <v>22</v>
      </c>
      <c r="C264" s="63" t="str">
        <f>'Padrão EPP'!C264</f>
        <v>RJ</v>
      </c>
      <c r="D264" s="63" t="str">
        <f>'Padrão EPP'!D264</f>
        <v>REDESPACHO</v>
      </c>
      <c r="E264" s="63">
        <f>'Padrão EPP'!E264/2</f>
        <v>0</v>
      </c>
      <c r="F264" s="67">
        <v>3.0000000000000001E-3</v>
      </c>
      <c r="G264" s="67">
        <v>2E-3</v>
      </c>
      <c r="H264" s="63"/>
    </row>
    <row r="265" spans="1:8" x14ac:dyDescent="0.25">
      <c r="A265" s="63"/>
      <c r="B265" s="63">
        <f>'Padrão EPP'!B265</f>
        <v>23</v>
      </c>
      <c r="C265" s="63" t="str">
        <f>'Padrão EPP'!C265</f>
        <v>RJ</v>
      </c>
      <c r="D265" s="63" t="str">
        <f>'Padrão EPP'!D265</f>
        <v>REDESPACHO</v>
      </c>
      <c r="E265" s="63">
        <f>'Padrão EPP'!E265/2</f>
        <v>0</v>
      </c>
      <c r="F265" s="67">
        <v>3.0000000000000001E-3</v>
      </c>
      <c r="G265" s="67">
        <v>2E-3</v>
      </c>
      <c r="H265" s="63"/>
    </row>
    <row r="266" spans="1:8" x14ac:dyDescent="0.25">
      <c r="A266" s="63"/>
      <c r="B266" s="63">
        <f>'Padrão EPP'!B266</f>
        <v>24</v>
      </c>
      <c r="C266" s="63" t="str">
        <f>'Padrão EPP'!C266</f>
        <v>RJ</v>
      </c>
      <c r="D266" s="63" t="str">
        <f>'Padrão EPP'!D266</f>
        <v>REDESPACHO</v>
      </c>
      <c r="E266" s="63">
        <f>'Padrão EPP'!E266/2</f>
        <v>0</v>
      </c>
      <c r="F266" s="67">
        <v>3.0000000000000001E-3</v>
      </c>
      <c r="G266" s="67">
        <v>2E-3</v>
      </c>
      <c r="H266" s="63"/>
    </row>
    <row r="267" spans="1:8" x14ac:dyDescent="0.25">
      <c r="A267" s="63"/>
      <c r="B267" s="63">
        <f>'Padrão EPP'!B267</f>
        <v>25</v>
      </c>
      <c r="C267" s="63" t="str">
        <f>'Padrão EPP'!C267</f>
        <v>RJ</v>
      </c>
      <c r="D267" s="63" t="str">
        <f>'Padrão EPP'!D267</f>
        <v>REDESPACHO</v>
      </c>
      <c r="E267" s="63">
        <f>'Padrão EPP'!E267/2</f>
        <v>0</v>
      </c>
      <c r="F267" s="67">
        <v>3.0000000000000001E-3</v>
      </c>
      <c r="G267" s="67">
        <v>2E-3</v>
      </c>
      <c r="H267" s="63"/>
    </row>
    <row r="268" spans="1:8" x14ac:dyDescent="0.25">
      <c r="A268" s="63"/>
      <c r="B268" s="63">
        <f>'Padrão EPP'!B268</f>
        <v>26</v>
      </c>
      <c r="C268" s="63" t="str">
        <f>'Padrão EPP'!C268</f>
        <v>RJ</v>
      </c>
      <c r="D268" s="63" t="str">
        <f>'Padrão EPP'!D268</f>
        <v>REDESPACHO</v>
      </c>
      <c r="E268" s="63">
        <f>'Padrão EPP'!E268/2</f>
        <v>0</v>
      </c>
      <c r="F268" s="67">
        <v>3.0000000000000001E-3</v>
      </c>
      <c r="G268" s="67">
        <v>2E-3</v>
      </c>
      <c r="H268" s="63"/>
    </row>
    <row r="269" spans="1:8" x14ac:dyDescent="0.25">
      <c r="A269" s="63"/>
      <c r="B269" s="63">
        <f>'Padrão EPP'!B269</f>
        <v>27</v>
      </c>
      <c r="C269" s="63" t="str">
        <f>'Padrão EPP'!C269</f>
        <v>RJ</v>
      </c>
      <c r="D269" s="63" t="str">
        <f>'Padrão EPP'!D269</f>
        <v>REDESPACHO</v>
      </c>
      <c r="E269" s="63">
        <f>'Padrão EPP'!E269/2</f>
        <v>0</v>
      </c>
      <c r="F269" s="67">
        <v>3.0000000000000001E-3</v>
      </c>
      <c r="G269" s="67">
        <v>2E-3</v>
      </c>
      <c r="H269" s="63"/>
    </row>
    <row r="270" spans="1:8" x14ac:dyDescent="0.25">
      <c r="A270" s="63"/>
      <c r="B270" s="63">
        <f>'Padrão EPP'!B270</f>
        <v>28</v>
      </c>
      <c r="C270" s="63" t="str">
        <f>'Padrão EPP'!C270</f>
        <v>RJ</v>
      </c>
      <c r="D270" s="63" t="str">
        <f>'Padrão EPP'!D270</f>
        <v>REDESPACHO</v>
      </c>
      <c r="E270" s="63">
        <f>'Padrão EPP'!E270/2</f>
        <v>0</v>
      </c>
      <c r="F270" s="67">
        <v>3.0000000000000001E-3</v>
      </c>
      <c r="G270" s="67">
        <v>2E-3</v>
      </c>
      <c r="H270" s="63"/>
    </row>
    <row r="271" spans="1:8" x14ac:dyDescent="0.25">
      <c r="A271" s="63"/>
      <c r="B271" s="63">
        <f>'Padrão EPP'!B271</f>
        <v>29</v>
      </c>
      <c r="C271" s="63" t="str">
        <f>'Padrão EPP'!C271</f>
        <v>RJ</v>
      </c>
      <c r="D271" s="63" t="str">
        <f>'Padrão EPP'!D271</f>
        <v>REDESPACHO</v>
      </c>
      <c r="E271" s="63">
        <f>'Padrão EPP'!E271/2</f>
        <v>0</v>
      </c>
      <c r="F271" s="67">
        <v>3.0000000000000001E-3</v>
      </c>
      <c r="G271" s="67">
        <v>2E-3</v>
      </c>
      <c r="H271" s="63"/>
    </row>
    <row r="272" spans="1:8" x14ac:dyDescent="0.25">
      <c r="A272" s="63"/>
      <c r="B272" s="63">
        <f>'Padrão EPP'!B272</f>
        <v>30</v>
      </c>
      <c r="C272" s="63" t="str">
        <f>'Padrão EPP'!C272</f>
        <v>RJ</v>
      </c>
      <c r="D272" s="63" t="str">
        <f>'Padrão EPP'!D272</f>
        <v>REDESPACHO</v>
      </c>
      <c r="E272" s="63">
        <f>'Padrão EPP'!E272/2</f>
        <v>0</v>
      </c>
      <c r="F272" s="67">
        <v>3.0000000000000001E-3</v>
      </c>
      <c r="G272" s="67">
        <v>2E-3</v>
      </c>
      <c r="H272" s="63"/>
    </row>
    <row r="273" spans="1:8" x14ac:dyDescent="0.25">
      <c r="A273" s="63"/>
      <c r="B273" s="63">
        <f>'Padrão EPP'!B273</f>
        <v>0</v>
      </c>
      <c r="C273" s="63" t="str">
        <f>'Padrão EPP'!C273</f>
        <v>RJ</v>
      </c>
      <c r="D273" s="63" t="str">
        <f>'Padrão EPP'!D273</f>
        <v>REDESPACHO</v>
      </c>
      <c r="E273" s="63">
        <f>'Padrão EPP'!E273/2</f>
        <v>1.5214394455252955</v>
      </c>
      <c r="F273" s="67">
        <v>3.0000000000000001E-3</v>
      </c>
      <c r="G273" s="67">
        <v>2E-3</v>
      </c>
      <c r="H273" s="63"/>
    </row>
    <row r="274" spans="1:8" x14ac:dyDescent="0.25">
      <c r="A274" s="63"/>
      <c r="B274" s="63">
        <f>'Padrão EPP'!B274</f>
        <v>0.25</v>
      </c>
      <c r="C274" s="63" t="str">
        <f>'Padrão EPP'!C274</f>
        <v>MG</v>
      </c>
      <c r="D274" s="63" t="str">
        <f>'Padrão EPP'!D274</f>
        <v>CAPITAL</v>
      </c>
      <c r="E274" s="63">
        <f>'Padrão EPP'!E274/2</f>
        <v>4.5151098842147492</v>
      </c>
      <c r="F274" s="67">
        <v>3.0000000000000001E-3</v>
      </c>
      <c r="G274" s="67">
        <v>2E-3</v>
      </c>
      <c r="H274" s="63"/>
    </row>
    <row r="275" spans="1:8" x14ac:dyDescent="0.25">
      <c r="A275" s="63"/>
      <c r="B275" s="63">
        <f>'Padrão EPP'!B275</f>
        <v>0.5</v>
      </c>
      <c r="C275" s="63" t="str">
        <f>'Padrão EPP'!C275</f>
        <v>MG</v>
      </c>
      <c r="D275" s="63" t="str">
        <f>'Padrão EPP'!D275</f>
        <v>CAPITAL</v>
      </c>
      <c r="E275" s="63">
        <f>'Padrão EPP'!E275/2</f>
        <v>4.5473629218500706</v>
      </c>
      <c r="F275" s="67">
        <v>3.0000000000000001E-3</v>
      </c>
      <c r="G275" s="67">
        <v>2E-3</v>
      </c>
      <c r="H275" s="63"/>
    </row>
    <row r="276" spans="1:8" x14ac:dyDescent="0.25">
      <c r="A276" s="63"/>
      <c r="B276" s="63">
        <f>'Padrão EPP'!B276</f>
        <v>0.75</v>
      </c>
      <c r="C276" s="63" t="str">
        <f>'Padrão EPP'!C276</f>
        <v>MG</v>
      </c>
      <c r="D276" s="63" t="str">
        <f>'Padrão EPP'!D276</f>
        <v>CAPITAL</v>
      </c>
      <c r="E276" s="63">
        <f>'Padrão EPP'!E276/2</f>
        <v>4.5798138991087072</v>
      </c>
      <c r="F276" s="67">
        <v>3.0000000000000001E-3</v>
      </c>
      <c r="G276" s="67">
        <v>2E-3</v>
      </c>
      <c r="H276" s="63"/>
    </row>
    <row r="277" spans="1:8" x14ac:dyDescent="0.25">
      <c r="A277" s="63"/>
      <c r="B277" s="63">
        <f>'Padrão EPP'!B277</f>
        <v>1</v>
      </c>
      <c r="C277" s="63" t="str">
        <f>'Padrão EPP'!C277</f>
        <v>MG</v>
      </c>
      <c r="D277" s="63" t="str">
        <f>'Padrão EPP'!D277</f>
        <v>CAPITAL</v>
      </c>
      <c r="E277" s="63">
        <f>'Padrão EPP'!E277/2</f>
        <v>4.615629069112626</v>
      </c>
      <c r="F277" s="67">
        <v>3.0000000000000001E-3</v>
      </c>
      <c r="G277" s="67">
        <v>2E-3</v>
      </c>
      <c r="H277" s="63"/>
    </row>
    <row r="278" spans="1:8" x14ac:dyDescent="0.25">
      <c r="A278" s="63"/>
      <c r="B278" s="63">
        <f>'Padrão EPP'!B278</f>
        <v>2</v>
      </c>
      <c r="C278" s="63" t="str">
        <f>'Padrão EPP'!C278</f>
        <v>MG</v>
      </c>
      <c r="D278" s="63" t="str">
        <f>'Padrão EPP'!D278</f>
        <v>CAPITAL</v>
      </c>
      <c r="E278" s="63">
        <f>'Padrão EPP'!E278/2</f>
        <v>4.78008997354498</v>
      </c>
      <c r="F278" s="67">
        <v>3.0000000000000001E-3</v>
      </c>
      <c r="G278" s="67">
        <v>2E-3</v>
      </c>
      <c r="H278" s="63"/>
    </row>
    <row r="279" spans="1:8" x14ac:dyDescent="0.25">
      <c r="A279" s="63"/>
      <c r="B279" s="63">
        <f>'Padrão EPP'!B279</f>
        <v>3</v>
      </c>
      <c r="C279" s="63" t="str">
        <f>'Padrão EPP'!C279</f>
        <v>MG</v>
      </c>
      <c r="D279" s="63" t="str">
        <f>'Padrão EPP'!D279</f>
        <v>CAPITAL</v>
      </c>
      <c r="E279" s="63">
        <f>'Padrão EPP'!E279/2</f>
        <v>5.0965321709811624</v>
      </c>
      <c r="F279" s="67">
        <v>3.0000000000000001E-3</v>
      </c>
      <c r="G279" s="67">
        <v>2E-3</v>
      </c>
      <c r="H279" s="63"/>
    </row>
    <row r="280" spans="1:8" x14ac:dyDescent="0.25">
      <c r="A280" s="63"/>
      <c r="B280" s="63">
        <f>'Padrão EPP'!B280</f>
        <v>4</v>
      </c>
      <c r="C280" s="63" t="str">
        <f>'Padrão EPP'!C280</f>
        <v>MG</v>
      </c>
      <c r="D280" s="63" t="str">
        <f>'Padrão EPP'!D280</f>
        <v>CAPITAL</v>
      </c>
      <c r="E280" s="63">
        <f>'Padrão EPP'!E280/2</f>
        <v>5.4724906952705155</v>
      </c>
      <c r="F280" s="67">
        <v>3.0000000000000001E-3</v>
      </c>
      <c r="G280" s="67">
        <v>2E-3</v>
      </c>
      <c r="H280" s="63"/>
    </row>
    <row r="281" spans="1:8" x14ac:dyDescent="0.25">
      <c r="A281" s="63"/>
      <c r="B281" s="63">
        <f>'Padrão EPP'!B281</f>
        <v>5</v>
      </c>
      <c r="C281" s="63" t="str">
        <f>'Padrão EPP'!C281</f>
        <v>MG</v>
      </c>
      <c r="D281" s="63" t="str">
        <f>'Padrão EPP'!D281</f>
        <v>CAPITAL</v>
      </c>
      <c r="E281" s="63">
        <f>'Padrão EPP'!E281/2</f>
        <v>5.9375236156646443</v>
      </c>
      <c r="F281" s="67">
        <v>3.0000000000000001E-3</v>
      </c>
      <c r="G281" s="67">
        <v>2E-3</v>
      </c>
      <c r="H281" s="63"/>
    </row>
    <row r="282" spans="1:8" x14ac:dyDescent="0.25">
      <c r="A282" s="63"/>
      <c r="B282" s="63">
        <f>'Padrão EPP'!B282</f>
        <v>6</v>
      </c>
      <c r="C282" s="63" t="str">
        <f>'Padrão EPP'!C282</f>
        <v>MG</v>
      </c>
      <c r="D282" s="63" t="str">
        <f>'Padrão EPP'!D282</f>
        <v>CAPITAL</v>
      </c>
      <c r="E282" s="63">
        <f>'Padrão EPP'!E282/2</f>
        <v>6.3101545315345984</v>
      </c>
      <c r="F282" s="67">
        <v>3.0000000000000001E-3</v>
      </c>
      <c r="G282" s="67">
        <v>2E-3</v>
      </c>
      <c r="H282" s="63"/>
    </row>
    <row r="283" spans="1:8" x14ac:dyDescent="0.25">
      <c r="A283" s="63"/>
      <c r="B283" s="63">
        <f>'Padrão EPP'!B283</f>
        <v>7</v>
      </c>
      <c r="C283" s="63" t="str">
        <f>'Padrão EPP'!C283</f>
        <v>MG</v>
      </c>
      <c r="D283" s="63" t="str">
        <f>'Padrão EPP'!D283</f>
        <v>CAPITAL</v>
      </c>
      <c r="E283" s="63">
        <f>'Padrão EPP'!E283/2</f>
        <v>6.7137200315278562</v>
      </c>
      <c r="F283" s="67">
        <v>3.0000000000000001E-3</v>
      </c>
      <c r="G283" s="67">
        <v>2E-3</v>
      </c>
      <c r="H283" s="63"/>
    </row>
    <row r="284" spans="1:8" x14ac:dyDescent="0.25">
      <c r="A284" s="63"/>
      <c r="B284" s="63">
        <f>'Padrão EPP'!B284</f>
        <v>8</v>
      </c>
      <c r="C284" s="63" t="str">
        <f>'Padrão EPP'!C284</f>
        <v>MG</v>
      </c>
      <c r="D284" s="63" t="str">
        <f>'Padrão EPP'!D284</f>
        <v>CAPITAL</v>
      </c>
      <c r="E284" s="63">
        <f>'Padrão EPP'!E284/2</f>
        <v>7.1513135740567622</v>
      </c>
      <c r="F284" s="67">
        <v>3.0000000000000001E-3</v>
      </c>
      <c r="G284" s="67">
        <v>2E-3</v>
      </c>
      <c r="H284" s="63"/>
    </row>
    <row r="285" spans="1:8" x14ac:dyDescent="0.25">
      <c r="A285" s="63"/>
      <c r="B285" s="63">
        <f>'Padrão EPP'!B285</f>
        <v>9</v>
      </c>
      <c r="C285" s="63" t="str">
        <f>'Padrão EPP'!C285</f>
        <v>MG</v>
      </c>
      <c r="D285" s="63" t="str">
        <f>'Padrão EPP'!D285</f>
        <v>CAPITAL</v>
      </c>
      <c r="E285" s="63">
        <f>'Padrão EPP'!E285/2</f>
        <v>7.6263379633748825</v>
      </c>
      <c r="F285" s="67">
        <v>3.0000000000000001E-3</v>
      </c>
      <c r="G285" s="67">
        <v>2E-3</v>
      </c>
      <c r="H285" s="63"/>
    </row>
    <row r="286" spans="1:8" x14ac:dyDescent="0.25">
      <c r="A286" s="63"/>
      <c r="B286" s="63">
        <f>'Padrão EPP'!B286</f>
        <v>10</v>
      </c>
      <c r="C286" s="63" t="str">
        <f>'Padrão EPP'!C286</f>
        <v>MG</v>
      </c>
      <c r="D286" s="63" t="str">
        <f>'Padrão EPP'!D286</f>
        <v>CAPITAL</v>
      </c>
      <c r="E286" s="63">
        <f>'Padrão EPP'!E286/2</f>
        <v>7.9290200395478241</v>
      </c>
      <c r="F286" s="67">
        <v>3.0000000000000001E-3</v>
      </c>
      <c r="G286" s="67">
        <v>2E-3</v>
      </c>
      <c r="H286" s="63"/>
    </row>
    <row r="287" spans="1:8" x14ac:dyDescent="0.25">
      <c r="A287" s="63"/>
      <c r="B287" s="63">
        <f>'Padrão EPP'!B287</f>
        <v>11</v>
      </c>
      <c r="C287" s="63" t="str">
        <f>'Padrão EPP'!C287</f>
        <v>MG</v>
      </c>
      <c r="D287" s="63" t="str">
        <f>'Padrão EPP'!D287</f>
        <v>CAPITAL</v>
      </c>
      <c r="E287" s="63">
        <f>'Padrão EPP'!E287/2</f>
        <v>0</v>
      </c>
      <c r="F287" s="67">
        <v>3.0000000000000001E-3</v>
      </c>
      <c r="G287" s="67">
        <v>2E-3</v>
      </c>
      <c r="H287" s="63"/>
    </row>
    <row r="288" spans="1:8" x14ac:dyDescent="0.25">
      <c r="A288" s="63"/>
      <c r="B288" s="63">
        <f>'Padrão EPP'!B288</f>
        <v>12</v>
      </c>
      <c r="C288" s="63" t="str">
        <f>'Padrão EPP'!C288</f>
        <v>MG</v>
      </c>
      <c r="D288" s="63" t="str">
        <f>'Padrão EPP'!D288</f>
        <v>CAPITAL</v>
      </c>
      <c r="E288" s="63">
        <f>'Padrão EPP'!E288/2</f>
        <v>0</v>
      </c>
      <c r="F288" s="67">
        <v>3.0000000000000001E-3</v>
      </c>
      <c r="G288" s="67">
        <v>2E-3</v>
      </c>
      <c r="H288" s="63"/>
    </row>
    <row r="289" spans="1:8" x14ac:dyDescent="0.25">
      <c r="A289" s="63"/>
      <c r="B289" s="63">
        <f>'Padrão EPP'!B289</f>
        <v>13</v>
      </c>
      <c r="C289" s="63" t="str">
        <f>'Padrão EPP'!C289</f>
        <v>MG</v>
      </c>
      <c r="D289" s="63" t="str">
        <f>'Padrão EPP'!D289</f>
        <v>CAPITAL</v>
      </c>
      <c r="E289" s="63">
        <f>'Padrão EPP'!E289/2</f>
        <v>0</v>
      </c>
      <c r="F289" s="67">
        <v>3.0000000000000001E-3</v>
      </c>
      <c r="G289" s="67">
        <v>2E-3</v>
      </c>
      <c r="H289" s="63"/>
    </row>
    <row r="290" spans="1:8" x14ac:dyDescent="0.25">
      <c r="A290" s="63"/>
      <c r="B290" s="63">
        <f>'Padrão EPP'!B290</f>
        <v>14</v>
      </c>
      <c r="C290" s="63" t="str">
        <f>'Padrão EPP'!C290</f>
        <v>MG</v>
      </c>
      <c r="D290" s="63" t="str">
        <f>'Padrão EPP'!D290</f>
        <v>CAPITAL</v>
      </c>
      <c r="E290" s="63">
        <f>'Padrão EPP'!E290/2</f>
        <v>0</v>
      </c>
      <c r="F290" s="67">
        <v>3.0000000000000001E-3</v>
      </c>
      <c r="G290" s="67">
        <v>2E-3</v>
      </c>
      <c r="H290" s="63"/>
    </row>
    <row r="291" spans="1:8" x14ac:dyDescent="0.25">
      <c r="A291" s="63"/>
      <c r="B291" s="63">
        <f>'Padrão EPP'!B291</f>
        <v>15</v>
      </c>
      <c r="C291" s="63" t="str">
        <f>'Padrão EPP'!C291</f>
        <v>MG</v>
      </c>
      <c r="D291" s="63" t="str">
        <f>'Padrão EPP'!D291</f>
        <v>CAPITAL</v>
      </c>
      <c r="E291" s="63">
        <f>'Padrão EPP'!E291/2</f>
        <v>0</v>
      </c>
      <c r="F291" s="67">
        <v>3.0000000000000001E-3</v>
      </c>
      <c r="G291" s="67">
        <v>2E-3</v>
      </c>
      <c r="H291" s="63"/>
    </row>
    <row r="292" spans="1:8" x14ac:dyDescent="0.25">
      <c r="A292" s="63"/>
      <c r="B292" s="63">
        <f>'Padrão EPP'!B292</f>
        <v>16</v>
      </c>
      <c r="C292" s="63" t="str">
        <f>'Padrão EPP'!C292</f>
        <v>MG</v>
      </c>
      <c r="D292" s="63" t="str">
        <f>'Padrão EPP'!D292</f>
        <v>CAPITAL</v>
      </c>
      <c r="E292" s="63">
        <f>'Padrão EPP'!E292/2</f>
        <v>0</v>
      </c>
      <c r="F292" s="67">
        <v>3.0000000000000001E-3</v>
      </c>
      <c r="G292" s="67">
        <v>2E-3</v>
      </c>
      <c r="H292" s="63"/>
    </row>
    <row r="293" spans="1:8" x14ac:dyDescent="0.25">
      <c r="A293" s="63"/>
      <c r="B293" s="63">
        <f>'Padrão EPP'!B293</f>
        <v>17</v>
      </c>
      <c r="C293" s="63" t="str">
        <f>'Padrão EPP'!C293</f>
        <v>MG</v>
      </c>
      <c r="D293" s="63" t="str">
        <f>'Padrão EPP'!D293</f>
        <v>CAPITAL</v>
      </c>
      <c r="E293" s="63">
        <f>'Padrão EPP'!E293/2</f>
        <v>0</v>
      </c>
      <c r="F293" s="67">
        <v>3.0000000000000001E-3</v>
      </c>
      <c r="G293" s="67">
        <v>2E-3</v>
      </c>
      <c r="H293" s="63"/>
    </row>
    <row r="294" spans="1:8" x14ac:dyDescent="0.25">
      <c r="A294" s="63"/>
      <c r="B294" s="63">
        <f>'Padrão EPP'!B294</f>
        <v>18</v>
      </c>
      <c r="C294" s="63" t="str">
        <f>'Padrão EPP'!C294</f>
        <v>MG</v>
      </c>
      <c r="D294" s="63" t="str">
        <f>'Padrão EPP'!D294</f>
        <v>CAPITAL</v>
      </c>
      <c r="E294" s="63">
        <f>'Padrão EPP'!E294/2</f>
        <v>0</v>
      </c>
      <c r="F294" s="67">
        <v>3.0000000000000001E-3</v>
      </c>
      <c r="G294" s="67">
        <v>2E-3</v>
      </c>
      <c r="H294" s="63"/>
    </row>
    <row r="295" spans="1:8" x14ac:dyDescent="0.25">
      <c r="A295" s="63"/>
      <c r="B295" s="63">
        <f>'Padrão EPP'!B295</f>
        <v>19</v>
      </c>
      <c r="C295" s="63" t="str">
        <f>'Padrão EPP'!C295</f>
        <v>MG</v>
      </c>
      <c r="D295" s="63" t="str">
        <f>'Padrão EPP'!D295</f>
        <v>CAPITAL</v>
      </c>
      <c r="E295" s="63">
        <f>'Padrão EPP'!E295/2</f>
        <v>0</v>
      </c>
      <c r="F295" s="67">
        <v>3.0000000000000001E-3</v>
      </c>
      <c r="G295" s="67">
        <v>2E-3</v>
      </c>
      <c r="H295" s="63"/>
    </row>
    <row r="296" spans="1:8" x14ac:dyDescent="0.25">
      <c r="A296" s="63"/>
      <c r="B296" s="63">
        <f>'Padrão EPP'!B296</f>
        <v>20</v>
      </c>
      <c r="C296" s="63" t="str">
        <f>'Padrão EPP'!C296</f>
        <v>MG</v>
      </c>
      <c r="D296" s="63" t="str">
        <f>'Padrão EPP'!D296</f>
        <v>CAPITAL</v>
      </c>
      <c r="E296" s="63">
        <f>'Padrão EPP'!E296/2</f>
        <v>0</v>
      </c>
      <c r="F296" s="67">
        <v>3.0000000000000001E-3</v>
      </c>
      <c r="G296" s="67">
        <v>2E-3</v>
      </c>
      <c r="H296" s="63"/>
    </row>
    <row r="297" spans="1:8" x14ac:dyDescent="0.25">
      <c r="A297" s="63"/>
      <c r="B297" s="63">
        <f>'Padrão EPP'!B297</f>
        <v>21</v>
      </c>
      <c r="C297" s="63" t="str">
        <f>'Padrão EPP'!C297</f>
        <v>MG</v>
      </c>
      <c r="D297" s="63" t="str">
        <f>'Padrão EPP'!D297</f>
        <v>CAPITAL</v>
      </c>
      <c r="E297" s="63">
        <f>'Padrão EPP'!E297/2</f>
        <v>0</v>
      </c>
      <c r="F297" s="67">
        <v>3.0000000000000001E-3</v>
      </c>
      <c r="G297" s="67">
        <v>2E-3</v>
      </c>
      <c r="H297" s="63"/>
    </row>
    <row r="298" spans="1:8" x14ac:dyDescent="0.25">
      <c r="A298" s="63"/>
      <c r="B298" s="63">
        <f>'Padrão EPP'!B298</f>
        <v>22</v>
      </c>
      <c r="C298" s="63" t="str">
        <f>'Padrão EPP'!C298</f>
        <v>MG</v>
      </c>
      <c r="D298" s="63" t="str">
        <f>'Padrão EPP'!D298</f>
        <v>CAPITAL</v>
      </c>
      <c r="E298" s="63">
        <f>'Padrão EPP'!E298/2</f>
        <v>0</v>
      </c>
      <c r="F298" s="67">
        <v>3.0000000000000001E-3</v>
      </c>
      <c r="G298" s="67">
        <v>2E-3</v>
      </c>
      <c r="H298" s="63"/>
    </row>
    <row r="299" spans="1:8" x14ac:dyDescent="0.25">
      <c r="A299" s="63"/>
      <c r="B299" s="63">
        <f>'Padrão EPP'!B299</f>
        <v>23</v>
      </c>
      <c r="C299" s="63" t="str">
        <f>'Padrão EPP'!C299</f>
        <v>MG</v>
      </c>
      <c r="D299" s="63" t="str">
        <f>'Padrão EPP'!D299</f>
        <v>CAPITAL</v>
      </c>
      <c r="E299" s="63">
        <f>'Padrão EPP'!E299/2</f>
        <v>0</v>
      </c>
      <c r="F299" s="67">
        <v>3.0000000000000001E-3</v>
      </c>
      <c r="G299" s="67">
        <v>2E-3</v>
      </c>
      <c r="H299" s="63"/>
    </row>
    <row r="300" spans="1:8" x14ac:dyDescent="0.25">
      <c r="A300" s="63"/>
      <c r="B300" s="63">
        <f>'Padrão EPP'!B300</f>
        <v>24</v>
      </c>
      <c r="C300" s="63" t="str">
        <f>'Padrão EPP'!C300</f>
        <v>MG</v>
      </c>
      <c r="D300" s="63" t="str">
        <f>'Padrão EPP'!D300</f>
        <v>CAPITAL</v>
      </c>
      <c r="E300" s="63">
        <f>'Padrão EPP'!E300/2</f>
        <v>0</v>
      </c>
      <c r="F300" s="67">
        <v>3.0000000000000001E-3</v>
      </c>
      <c r="G300" s="67">
        <v>2E-3</v>
      </c>
      <c r="H300" s="63"/>
    </row>
    <row r="301" spans="1:8" x14ac:dyDescent="0.25">
      <c r="A301" s="63"/>
      <c r="B301" s="63">
        <f>'Padrão EPP'!B301</f>
        <v>25</v>
      </c>
      <c r="C301" s="63" t="str">
        <f>'Padrão EPP'!C301</f>
        <v>MG</v>
      </c>
      <c r="D301" s="63" t="str">
        <f>'Padrão EPP'!D301</f>
        <v>CAPITAL</v>
      </c>
      <c r="E301" s="63">
        <f>'Padrão EPP'!E301/2</f>
        <v>0</v>
      </c>
      <c r="F301" s="67">
        <v>3.0000000000000001E-3</v>
      </c>
      <c r="G301" s="67">
        <v>2E-3</v>
      </c>
      <c r="H301" s="63"/>
    </row>
    <row r="302" spans="1:8" x14ac:dyDescent="0.25">
      <c r="A302" s="63"/>
      <c r="B302" s="63">
        <f>'Padrão EPP'!B302</f>
        <v>26</v>
      </c>
      <c r="C302" s="63" t="str">
        <f>'Padrão EPP'!C302</f>
        <v>MG</v>
      </c>
      <c r="D302" s="63" t="str">
        <f>'Padrão EPP'!D302</f>
        <v>CAPITAL</v>
      </c>
      <c r="E302" s="63">
        <f>'Padrão EPP'!E302/2</f>
        <v>0</v>
      </c>
      <c r="F302" s="67">
        <v>3.0000000000000001E-3</v>
      </c>
      <c r="G302" s="67">
        <v>2E-3</v>
      </c>
      <c r="H302" s="63"/>
    </row>
    <row r="303" spans="1:8" x14ac:dyDescent="0.25">
      <c r="A303" s="63"/>
      <c r="B303" s="63">
        <f>'Padrão EPP'!B303</f>
        <v>27</v>
      </c>
      <c r="C303" s="63" t="str">
        <f>'Padrão EPP'!C303</f>
        <v>MG</v>
      </c>
      <c r="D303" s="63" t="str">
        <f>'Padrão EPP'!D303</f>
        <v>CAPITAL</v>
      </c>
      <c r="E303" s="63">
        <f>'Padrão EPP'!E303/2</f>
        <v>0</v>
      </c>
      <c r="F303" s="67">
        <v>3.0000000000000001E-3</v>
      </c>
      <c r="G303" s="67">
        <v>2E-3</v>
      </c>
      <c r="H303" s="63"/>
    </row>
    <row r="304" spans="1:8" x14ac:dyDescent="0.25">
      <c r="A304" s="63"/>
      <c r="B304" s="63">
        <f>'Padrão EPP'!B304</f>
        <v>28</v>
      </c>
      <c r="C304" s="63" t="str">
        <f>'Padrão EPP'!C304</f>
        <v>MG</v>
      </c>
      <c r="D304" s="63" t="str">
        <f>'Padrão EPP'!D304</f>
        <v>CAPITAL</v>
      </c>
      <c r="E304" s="63">
        <f>'Padrão EPP'!E304/2</f>
        <v>0</v>
      </c>
      <c r="F304" s="67">
        <v>3.0000000000000001E-3</v>
      </c>
      <c r="G304" s="67">
        <v>2E-3</v>
      </c>
      <c r="H304" s="63"/>
    </row>
    <row r="305" spans="1:8" x14ac:dyDescent="0.25">
      <c r="A305" s="63"/>
      <c r="B305" s="63">
        <f>'Padrão EPP'!B305</f>
        <v>29</v>
      </c>
      <c r="C305" s="63" t="str">
        <f>'Padrão EPP'!C305</f>
        <v>MG</v>
      </c>
      <c r="D305" s="63" t="str">
        <f>'Padrão EPP'!D305</f>
        <v>CAPITAL</v>
      </c>
      <c r="E305" s="63">
        <f>'Padrão EPP'!E305/2</f>
        <v>0</v>
      </c>
      <c r="F305" s="67">
        <v>3.0000000000000001E-3</v>
      </c>
      <c r="G305" s="67">
        <v>2E-3</v>
      </c>
      <c r="H305" s="63"/>
    </row>
    <row r="306" spans="1:8" x14ac:dyDescent="0.25">
      <c r="A306" s="63"/>
      <c r="B306" s="63">
        <f>'Padrão EPP'!B306</f>
        <v>30</v>
      </c>
      <c r="C306" s="63" t="str">
        <f>'Padrão EPP'!C306</f>
        <v>MG</v>
      </c>
      <c r="D306" s="63" t="str">
        <f>'Padrão EPP'!D306</f>
        <v>CAPITAL</v>
      </c>
      <c r="E306" s="63">
        <f>'Padrão EPP'!E306/2</f>
        <v>0</v>
      </c>
      <c r="F306" s="67">
        <v>3.0000000000000001E-3</v>
      </c>
      <c r="G306" s="67">
        <v>2E-3</v>
      </c>
      <c r="H306" s="63"/>
    </row>
    <row r="307" spans="1:8" x14ac:dyDescent="0.25">
      <c r="A307" s="63"/>
      <c r="B307" s="63">
        <f>'Padrão EPP'!B307</f>
        <v>0</v>
      </c>
      <c r="C307" s="63" t="str">
        <f>'Padrão EPP'!C307</f>
        <v>MG</v>
      </c>
      <c r="D307" s="63" t="str">
        <f>'Padrão EPP'!D307</f>
        <v>CAPITAL</v>
      </c>
      <c r="E307" s="63">
        <f>'Padrão EPP'!E307/2</f>
        <v>1.5214394455252955</v>
      </c>
      <c r="F307" s="67">
        <v>3.0000000000000001E-3</v>
      </c>
      <c r="G307" s="67">
        <v>2E-3</v>
      </c>
      <c r="H307" s="63"/>
    </row>
    <row r="308" spans="1:8" x14ac:dyDescent="0.25">
      <c r="A308" s="63"/>
      <c r="B308" s="63">
        <f>'Padrão EPP'!B308</f>
        <v>0.25</v>
      </c>
      <c r="C308" s="63" t="str">
        <f>'Padrão EPP'!C308</f>
        <v>MG</v>
      </c>
      <c r="D308" s="63" t="str">
        <f>'Padrão EPP'!D308</f>
        <v>INTERIOR</v>
      </c>
      <c r="E308" s="63">
        <f>'Padrão EPP'!E308/2</f>
        <v>6.9401926407510377</v>
      </c>
      <c r="F308" s="67">
        <v>3.0000000000000001E-3</v>
      </c>
      <c r="G308" s="67">
        <v>2E-3</v>
      </c>
      <c r="H308" s="63"/>
    </row>
    <row r="309" spans="1:8" x14ac:dyDescent="0.25">
      <c r="A309" s="63"/>
      <c r="B309" s="63">
        <f>'Padrão EPP'!B309</f>
        <v>0.5</v>
      </c>
      <c r="C309" s="63" t="str">
        <f>'Padrão EPP'!C309</f>
        <v>MG</v>
      </c>
      <c r="D309" s="63" t="str">
        <f>'Padrão EPP'!D309</f>
        <v>INTERIOR</v>
      </c>
      <c r="E309" s="63">
        <f>'Padrão EPP'!E309/2</f>
        <v>7.022994968722859</v>
      </c>
      <c r="F309" s="67">
        <v>3.0000000000000001E-3</v>
      </c>
      <c r="G309" s="67">
        <v>2E-3</v>
      </c>
      <c r="H309" s="63"/>
    </row>
    <row r="310" spans="1:8" x14ac:dyDescent="0.25">
      <c r="A310" s="63"/>
      <c r="B310" s="63">
        <f>'Padrão EPP'!B310</f>
        <v>0.75</v>
      </c>
      <c r="C310" s="63" t="str">
        <f>'Padrão EPP'!C310</f>
        <v>MG</v>
      </c>
      <c r="D310" s="63" t="str">
        <f>'Padrão EPP'!D310</f>
        <v>INTERIOR</v>
      </c>
      <c r="E310" s="63">
        <f>'Padrão EPP'!E310/2</f>
        <v>7.0304381576849559</v>
      </c>
      <c r="F310" s="67">
        <v>3.0000000000000001E-3</v>
      </c>
      <c r="G310" s="67">
        <v>2E-3</v>
      </c>
      <c r="H310" s="63"/>
    </row>
    <row r="311" spans="1:8" x14ac:dyDescent="0.25">
      <c r="A311" s="63"/>
      <c r="B311" s="63">
        <f>'Padrão EPP'!B311</f>
        <v>1</v>
      </c>
      <c r="C311" s="63" t="str">
        <f>'Padrão EPP'!C311</f>
        <v>MG</v>
      </c>
      <c r="D311" s="63" t="str">
        <f>'Padrão EPP'!D311</f>
        <v>INTERIOR</v>
      </c>
      <c r="E311" s="63">
        <f>'Padrão EPP'!E311/2</f>
        <v>7.5451692856041666</v>
      </c>
      <c r="F311" s="67">
        <v>3.0000000000000001E-3</v>
      </c>
      <c r="G311" s="67">
        <v>2E-3</v>
      </c>
      <c r="H311" s="63"/>
    </row>
    <row r="312" spans="1:8" x14ac:dyDescent="0.25">
      <c r="A312" s="63"/>
      <c r="B312" s="63">
        <f>'Padrão EPP'!B312</f>
        <v>2</v>
      </c>
      <c r="C312" s="63" t="str">
        <f>'Padrão EPP'!C312</f>
        <v>MG</v>
      </c>
      <c r="D312" s="63" t="str">
        <f>'Padrão EPP'!D312</f>
        <v>INTERIOR</v>
      </c>
      <c r="E312" s="63">
        <f>'Padrão EPP'!E312/2</f>
        <v>8.0127036569513628</v>
      </c>
      <c r="F312" s="67">
        <v>3.0000000000000001E-3</v>
      </c>
      <c r="G312" s="67">
        <v>2E-3</v>
      </c>
      <c r="H312" s="63"/>
    </row>
    <row r="313" spans="1:8" x14ac:dyDescent="0.25">
      <c r="A313" s="63"/>
      <c r="B313" s="63">
        <f>'Padrão EPP'!B313</f>
        <v>3</v>
      </c>
      <c r="C313" s="63" t="str">
        <f>'Padrão EPP'!C313</f>
        <v>MG</v>
      </c>
      <c r="D313" s="63" t="str">
        <f>'Padrão EPP'!D313</f>
        <v>INTERIOR</v>
      </c>
      <c r="E313" s="63">
        <f>'Padrão EPP'!E313/2</f>
        <v>9.0069478740838829</v>
      </c>
      <c r="F313" s="67">
        <v>3.0000000000000001E-3</v>
      </c>
      <c r="G313" s="67">
        <v>2E-3</v>
      </c>
      <c r="H313" s="63"/>
    </row>
    <row r="314" spans="1:8" x14ac:dyDescent="0.25">
      <c r="A314" s="63"/>
      <c r="B314" s="63">
        <f>'Padrão EPP'!B314</f>
        <v>4</v>
      </c>
      <c r="C314" s="63" t="str">
        <f>'Padrão EPP'!C314</f>
        <v>MG</v>
      </c>
      <c r="D314" s="63" t="str">
        <f>'Padrão EPP'!D314</f>
        <v>INTERIOR</v>
      </c>
      <c r="E314" s="63">
        <f>'Padrão EPP'!E314/2</f>
        <v>10.071434250766178</v>
      </c>
      <c r="F314" s="67">
        <v>3.0000000000000001E-3</v>
      </c>
      <c r="G314" s="67">
        <v>2E-3</v>
      </c>
      <c r="H314" s="63"/>
    </row>
    <row r="315" spans="1:8" x14ac:dyDescent="0.25">
      <c r="A315" s="63"/>
      <c r="B315" s="63">
        <f>'Padrão EPP'!B315</f>
        <v>5</v>
      </c>
      <c r="C315" s="63" t="str">
        <f>'Padrão EPP'!C315</f>
        <v>MG</v>
      </c>
      <c r="D315" s="63" t="str">
        <f>'Padrão EPP'!D315</f>
        <v>INTERIOR</v>
      </c>
      <c r="E315" s="63">
        <f>'Padrão EPP'!E315/2</f>
        <v>11.228174915657238</v>
      </c>
      <c r="F315" s="67">
        <v>3.0000000000000001E-3</v>
      </c>
      <c r="G315" s="67">
        <v>2E-3</v>
      </c>
      <c r="H315" s="63"/>
    </row>
    <row r="316" spans="1:8" x14ac:dyDescent="0.25">
      <c r="A316" s="63"/>
      <c r="B316" s="63">
        <f>'Padrão EPP'!B316</f>
        <v>6</v>
      </c>
      <c r="C316" s="63" t="str">
        <f>'Padrão EPP'!C316</f>
        <v>MG</v>
      </c>
      <c r="D316" s="63" t="str">
        <f>'Padrão EPP'!D316</f>
        <v>INTERIOR</v>
      </c>
      <c r="E316" s="63">
        <f>'Padrão EPP'!E316/2</f>
        <v>12.439920455820925</v>
      </c>
      <c r="F316" s="67">
        <v>3.0000000000000001E-3</v>
      </c>
      <c r="G316" s="67">
        <v>2E-3</v>
      </c>
      <c r="H316" s="63"/>
    </row>
    <row r="317" spans="1:8" x14ac:dyDescent="0.25">
      <c r="A317" s="63"/>
      <c r="B317" s="63">
        <f>'Padrão EPP'!B317</f>
        <v>7</v>
      </c>
      <c r="C317" s="63" t="str">
        <f>'Padrão EPP'!C317</f>
        <v>MG</v>
      </c>
      <c r="D317" s="63" t="str">
        <f>'Padrão EPP'!D317</f>
        <v>INTERIOR</v>
      </c>
      <c r="E317" s="63">
        <f>'Padrão EPP'!E317/2</f>
        <v>13.713746110976173</v>
      </c>
      <c r="F317" s="67">
        <v>3.0000000000000001E-3</v>
      </c>
      <c r="G317" s="67">
        <v>2E-3</v>
      </c>
      <c r="H317" s="63"/>
    </row>
    <row r="318" spans="1:8" x14ac:dyDescent="0.25">
      <c r="A318" s="63"/>
      <c r="B318" s="63">
        <f>'Padrão EPP'!B318</f>
        <v>8</v>
      </c>
      <c r="C318" s="63" t="str">
        <f>'Padrão EPP'!C318</f>
        <v>MG</v>
      </c>
      <c r="D318" s="63" t="str">
        <f>'Padrão EPP'!D318</f>
        <v>INTERIOR</v>
      </c>
      <c r="E318" s="63">
        <f>'Padrão EPP'!E318/2</f>
        <v>16.597402434365328</v>
      </c>
      <c r="F318" s="67">
        <v>3.0000000000000001E-3</v>
      </c>
      <c r="G318" s="67">
        <v>2E-3</v>
      </c>
      <c r="H318" s="63"/>
    </row>
    <row r="319" spans="1:8" x14ac:dyDescent="0.25">
      <c r="A319" s="63"/>
      <c r="B319" s="63">
        <f>'Padrão EPP'!B319</f>
        <v>9</v>
      </c>
      <c r="C319" s="63" t="str">
        <f>'Padrão EPP'!C319</f>
        <v>MG</v>
      </c>
      <c r="D319" s="63" t="str">
        <f>'Padrão EPP'!D319</f>
        <v>INTERIOR</v>
      </c>
      <c r="E319" s="63">
        <f>'Padrão EPP'!E319/2</f>
        <v>17.978904417914034</v>
      </c>
      <c r="F319" s="67">
        <v>3.0000000000000001E-3</v>
      </c>
      <c r="G319" s="67">
        <v>2E-3</v>
      </c>
      <c r="H319" s="63"/>
    </row>
    <row r="320" spans="1:8" x14ac:dyDescent="0.25">
      <c r="A320" s="63"/>
      <c r="B320" s="63">
        <f>'Padrão EPP'!B320</f>
        <v>10</v>
      </c>
      <c r="C320" s="63" t="str">
        <f>'Padrão EPP'!C320</f>
        <v>MG</v>
      </c>
      <c r="D320" s="63" t="str">
        <f>'Padrão EPP'!D320</f>
        <v>INTERIOR</v>
      </c>
      <c r="E320" s="63">
        <f>'Padrão EPP'!E320/2</f>
        <v>19.323152046346038</v>
      </c>
      <c r="F320" s="67">
        <v>3.0000000000000001E-3</v>
      </c>
      <c r="G320" s="67">
        <v>2E-3</v>
      </c>
      <c r="H320" s="63"/>
    </row>
    <row r="321" spans="1:8" x14ac:dyDescent="0.25">
      <c r="A321" s="63"/>
      <c r="B321" s="63">
        <f>'Padrão EPP'!B321</f>
        <v>11</v>
      </c>
      <c r="C321" s="63" t="str">
        <f>'Padrão EPP'!C321</f>
        <v>MG</v>
      </c>
      <c r="D321" s="63" t="str">
        <f>'Padrão EPP'!D321</f>
        <v>INTERIOR</v>
      </c>
      <c r="E321" s="63">
        <f>'Padrão EPP'!E321/2</f>
        <v>0</v>
      </c>
      <c r="F321" s="67">
        <v>3.0000000000000001E-3</v>
      </c>
      <c r="G321" s="67">
        <v>2E-3</v>
      </c>
      <c r="H321" s="63"/>
    </row>
    <row r="322" spans="1:8" x14ac:dyDescent="0.25">
      <c r="A322" s="63"/>
      <c r="B322" s="63">
        <f>'Padrão EPP'!B322</f>
        <v>12</v>
      </c>
      <c r="C322" s="63" t="str">
        <f>'Padrão EPP'!C322</f>
        <v>MG</v>
      </c>
      <c r="D322" s="63" t="str">
        <f>'Padrão EPP'!D322</f>
        <v>INTERIOR</v>
      </c>
      <c r="E322" s="63">
        <f>'Padrão EPP'!E322/2</f>
        <v>0</v>
      </c>
      <c r="F322" s="67">
        <v>3.0000000000000001E-3</v>
      </c>
      <c r="G322" s="67">
        <v>2E-3</v>
      </c>
      <c r="H322" s="63"/>
    </row>
    <row r="323" spans="1:8" x14ac:dyDescent="0.25">
      <c r="A323" s="63"/>
      <c r="B323" s="63">
        <f>'Padrão EPP'!B323</f>
        <v>13</v>
      </c>
      <c r="C323" s="63" t="str">
        <f>'Padrão EPP'!C323</f>
        <v>MG</v>
      </c>
      <c r="D323" s="63" t="str">
        <f>'Padrão EPP'!D323</f>
        <v>INTERIOR</v>
      </c>
      <c r="E323" s="63">
        <f>'Padrão EPP'!E323/2</f>
        <v>0</v>
      </c>
      <c r="F323" s="67">
        <v>3.0000000000000001E-3</v>
      </c>
      <c r="G323" s="67">
        <v>2E-3</v>
      </c>
      <c r="H323" s="63"/>
    </row>
    <row r="324" spans="1:8" x14ac:dyDescent="0.25">
      <c r="A324" s="63"/>
      <c r="B324" s="63">
        <f>'Padrão EPP'!B324</f>
        <v>14</v>
      </c>
      <c r="C324" s="63" t="str">
        <f>'Padrão EPP'!C324</f>
        <v>MG</v>
      </c>
      <c r="D324" s="63" t="str">
        <f>'Padrão EPP'!D324</f>
        <v>INTERIOR</v>
      </c>
      <c r="E324" s="63">
        <f>'Padrão EPP'!E324/2</f>
        <v>0</v>
      </c>
      <c r="F324" s="67">
        <v>3.0000000000000001E-3</v>
      </c>
      <c r="G324" s="67">
        <v>2E-3</v>
      </c>
      <c r="H324" s="63"/>
    </row>
    <row r="325" spans="1:8" x14ac:dyDescent="0.25">
      <c r="A325" s="63"/>
      <c r="B325" s="63">
        <f>'Padrão EPP'!B325</f>
        <v>15</v>
      </c>
      <c r="C325" s="63" t="str">
        <f>'Padrão EPP'!C325</f>
        <v>MG</v>
      </c>
      <c r="D325" s="63" t="str">
        <f>'Padrão EPP'!D325</f>
        <v>INTERIOR</v>
      </c>
      <c r="E325" s="63">
        <f>'Padrão EPP'!E325/2</f>
        <v>0</v>
      </c>
      <c r="F325" s="67">
        <v>3.0000000000000001E-3</v>
      </c>
      <c r="G325" s="67">
        <v>2E-3</v>
      </c>
      <c r="H325" s="63"/>
    </row>
    <row r="326" spans="1:8" x14ac:dyDescent="0.25">
      <c r="A326" s="63"/>
      <c r="B326" s="63">
        <f>'Padrão EPP'!B326</f>
        <v>16</v>
      </c>
      <c r="C326" s="63" t="str">
        <f>'Padrão EPP'!C326</f>
        <v>MG</v>
      </c>
      <c r="D326" s="63" t="str">
        <f>'Padrão EPP'!D326</f>
        <v>INTERIOR</v>
      </c>
      <c r="E326" s="63">
        <f>'Padrão EPP'!E326/2</f>
        <v>0</v>
      </c>
      <c r="F326" s="67">
        <v>3.0000000000000001E-3</v>
      </c>
      <c r="G326" s="67">
        <v>2E-3</v>
      </c>
      <c r="H326" s="63"/>
    </row>
    <row r="327" spans="1:8" x14ac:dyDescent="0.25">
      <c r="A327" s="63"/>
      <c r="B327" s="63">
        <f>'Padrão EPP'!B327</f>
        <v>17</v>
      </c>
      <c r="C327" s="63" t="str">
        <f>'Padrão EPP'!C327</f>
        <v>MG</v>
      </c>
      <c r="D327" s="63" t="str">
        <f>'Padrão EPP'!D327</f>
        <v>INTERIOR</v>
      </c>
      <c r="E327" s="63">
        <f>'Padrão EPP'!E327/2</f>
        <v>0</v>
      </c>
      <c r="F327" s="67">
        <v>3.0000000000000001E-3</v>
      </c>
      <c r="G327" s="67">
        <v>2E-3</v>
      </c>
      <c r="H327" s="63"/>
    </row>
    <row r="328" spans="1:8" x14ac:dyDescent="0.25">
      <c r="A328" s="63"/>
      <c r="B328" s="63">
        <f>'Padrão EPP'!B328</f>
        <v>18</v>
      </c>
      <c r="C328" s="63" t="str">
        <f>'Padrão EPP'!C328</f>
        <v>MG</v>
      </c>
      <c r="D328" s="63" t="str">
        <f>'Padrão EPP'!D328</f>
        <v>INTERIOR</v>
      </c>
      <c r="E328" s="63">
        <f>'Padrão EPP'!E328/2</f>
        <v>0</v>
      </c>
      <c r="F328" s="67">
        <v>3.0000000000000001E-3</v>
      </c>
      <c r="G328" s="67">
        <v>2E-3</v>
      </c>
      <c r="H328" s="63"/>
    </row>
    <row r="329" spans="1:8" x14ac:dyDescent="0.25">
      <c r="A329" s="63"/>
      <c r="B329" s="63">
        <f>'Padrão EPP'!B329</f>
        <v>19</v>
      </c>
      <c r="C329" s="63" t="str">
        <f>'Padrão EPP'!C329</f>
        <v>MG</v>
      </c>
      <c r="D329" s="63" t="str">
        <f>'Padrão EPP'!D329</f>
        <v>INTERIOR</v>
      </c>
      <c r="E329" s="63">
        <f>'Padrão EPP'!E329/2</f>
        <v>0</v>
      </c>
      <c r="F329" s="67">
        <v>3.0000000000000001E-3</v>
      </c>
      <c r="G329" s="67">
        <v>2E-3</v>
      </c>
      <c r="H329" s="63"/>
    </row>
    <row r="330" spans="1:8" x14ac:dyDescent="0.25">
      <c r="A330" s="63"/>
      <c r="B330" s="63">
        <f>'Padrão EPP'!B330</f>
        <v>20</v>
      </c>
      <c r="C330" s="63" t="str">
        <f>'Padrão EPP'!C330</f>
        <v>MG</v>
      </c>
      <c r="D330" s="63" t="str">
        <f>'Padrão EPP'!D330</f>
        <v>INTERIOR</v>
      </c>
      <c r="E330" s="63">
        <f>'Padrão EPP'!E330/2</f>
        <v>0</v>
      </c>
      <c r="F330" s="67">
        <v>3.0000000000000001E-3</v>
      </c>
      <c r="G330" s="67">
        <v>2E-3</v>
      </c>
      <c r="H330" s="63"/>
    </row>
    <row r="331" spans="1:8" x14ac:dyDescent="0.25">
      <c r="A331" s="63"/>
      <c r="B331" s="63">
        <f>'Padrão EPP'!B331</f>
        <v>21</v>
      </c>
      <c r="C331" s="63" t="str">
        <f>'Padrão EPP'!C331</f>
        <v>MG</v>
      </c>
      <c r="D331" s="63" t="str">
        <f>'Padrão EPP'!D331</f>
        <v>INTERIOR</v>
      </c>
      <c r="E331" s="63">
        <f>'Padrão EPP'!E331/2</f>
        <v>0</v>
      </c>
      <c r="F331" s="67">
        <v>3.0000000000000001E-3</v>
      </c>
      <c r="G331" s="67">
        <v>2E-3</v>
      </c>
      <c r="H331" s="63"/>
    </row>
    <row r="332" spans="1:8" x14ac:dyDescent="0.25">
      <c r="A332" s="63"/>
      <c r="B332" s="63">
        <f>'Padrão EPP'!B332</f>
        <v>22</v>
      </c>
      <c r="C332" s="63" t="str">
        <f>'Padrão EPP'!C332</f>
        <v>MG</v>
      </c>
      <c r="D332" s="63" t="str">
        <f>'Padrão EPP'!D332</f>
        <v>INTERIOR</v>
      </c>
      <c r="E332" s="63">
        <f>'Padrão EPP'!E332/2</f>
        <v>0</v>
      </c>
      <c r="F332" s="67">
        <v>3.0000000000000001E-3</v>
      </c>
      <c r="G332" s="67">
        <v>2E-3</v>
      </c>
      <c r="H332" s="63"/>
    </row>
    <row r="333" spans="1:8" x14ac:dyDescent="0.25">
      <c r="A333" s="63"/>
      <c r="B333" s="63">
        <f>'Padrão EPP'!B333</f>
        <v>23</v>
      </c>
      <c r="C333" s="63" t="str">
        <f>'Padrão EPP'!C333</f>
        <v>MG</v>
      </c>
      <c r="D333" s="63" t="str">
        <f>'Padrão EPP'!D333</f>
        <v>INTERIOR</v>
      </c>
      <c r="E333" s="63">
        <f>'Padrão EPP'!E333/2</f>
        <v>0</v>
      </c>
      <c r="F333" s="67">
        <v>3.0000000000000001E-3</v>
      </c>
      <c r="G333" s="67">
        <v>2E-3</v>
      </c>
      <c r="H333" s="63"/>
    </row>
    <row r="334" spans="1:8" x14ac:dyDescent="0.25">
      <c r="A334" s="63"/>
      <c r="B334" s="63">
        <f>'Padrão EPP'!B334</f>
        <v>24</v>
      </c>
      <c r="C334" s="63" t="str">
        <f>'Padrão EPP'!C334</f>
        <v>MG</v>
      </c>
      <c r="D334" s="63" t="str">
        <f>'Padrão EPP'!D334</f>
        <v>INTERIOR</v>
      </c>
      <c r="E334" s="63">
        <f>'Padrão EPP'!E334/2</f>
        <v>0</v>
      </c>
      <c r="F334" s="67">
        <v>3.0000000000000001E-3</v>
      </c>
      <c r="G334" s="67">
        <v>2E-3</v>
      </c>
      <c r="H334" s="63"/>
    </row>
    <row r="335" spans="1:8" x14ac:dyDescent="0.25">
      <c r="A335" s="63"/>
      <c r="B335" s="63">
        <f>'Padrão EPP'!B335</f>
        <v>25</v>
      </c>
      <c r="C335" s="63" t="str">
        <f>'Padrão EPP'!C335</f>
        <v>MG</v>
      </c>
      <c r="D335" s="63" t="str">
        <f>'Padrão EPP'!D335</f>
        <v>INTERIOR</v>
      </c>
      <c r="E335" s="63">
        <f>'Padrão EPP'!E335/2</f>
        <v>0</v>
      </c>
      <c r="F335" s="67">
        <v>3.0000000000000001E-3</v>
      </c>
      <c r="G335" s="67">
        <v>2E-3</v>
      </c>
      <c r="H335" s="63"/>
    </row>
    <row r="336" spans="1:8" x14ac:dyDescent="0.25">
      <c r="A336" s="63"/>
      <c r="B336" s="63">
        <f>'Padrão EPP'!B336</f>
        <v>26</v>
      </c>
      <c r="C336" s="63" t="str">
        <f>'Padrão EPP'!C336</f>
        <v>MG</v>
      </c>
      <c r="D336" s="63" t="str">
        <f>'Padrão EPP'!D336</f>
        <v>INTERIOR</v>
      </c>
      <c r="E336" s="63">
        <f>'Padrão EPP'!E336/2</f>
        <v>0</v>
      </c>
      <c r="F336" s="67">
        <v>3.0000000000000001E-3</v>
      </c>
      <c r="G336" s="67">
        <v>2E-3</v>
      </c>
      <c r="H336" s="63"/>
    </row>
    <row r="337" spans="1:8" x14ac:dyDescent="0.25">
      <c r="A337" s="63"/>
      <c r="B337" s="63">
        <f>'Padrão EPP'!B337</f>
        <v>27</v>
      </c>
      <c r="C337" s="63" t="str">
        <f>'Padrão EPP'!C337</f>
        <v>MG</v>
      </c>
      <c r="D337" s="63" t="str">
        <f>'Padrão EPP'!D337</f>
        <v>INTERIOR</v>
      </c>
      <c r="E337" s="63">
        <f>'Padrão EPP'!E337/2</f>
        <v>0</v>
      </c>
      <c r="F337" s="67">
        <v>3.0000000000000001E-3</v>
      </c>
      <c r="G337" s="67">
        <v>2E-3</v>
      </c>
      <c r="H337" s="63"/>
    </row>
    <row r="338" spans="1:8" x14ac:dyDescent="0.25">
      <c r="A338" s="63"/>
      <c r="B338" s="63">
        <f>'Padrão EPP'!B338</f>
        <v>28</v>
      </c>
      <c r="C338" s="63" t="str">
        <f>'Padrão EPP'!C338</f>
        <v>MG</v>
      </c>
      <c r="D338" s="63" t="str">
        <f>'Padrão EPP'!D338</f>
        <v>INTERIOR</v>
      </c>
      <c r="E338" s="63">
        <f>'Padrão EPP'!E338/2</f>
        <v>0</v>
      </c>
      <c r="F338" s="67">
        <v>3.0000000000000001E-3</v>
      </c>
      <c r="G338" s="67">
        <v>2E-3</v>
      </c>
      <c r="H338" s="63"/>
    </row>
    <row r="339" spans="1:8" x14ac:dyDescent="0.25">
      <c r="A339" s="63"/>
      <c r="B339" s="63">
        <f>'Padrão EPP'!B339</f>
        <v>29</v>
      </c>
      <c r="C339" s="63" t="str">
        <f>'Padrão EPP'!C339</f>
        <v>MG</v>
      </c>
      <c r="D339" s="63" t="str">
        <f>'Padrão EPP'!D339</f>
        <v>INTERIOR</v>
      </c>
      <c r="E339" s="63">
        <f>'Padrão EPP'!E339/2</f>
        <v>0</v>
      </c>
      <c r="F339" s="67">
        <v>3.0000000000000001E-3</v>
      </c>
      <c r="G339" s="67">
        <v>2E-3</v>
      </c>
      <c r="H339" s="63"/>
    </row>
    <row r="340" spans="1:8" x14ac:dyDescent="0.25">
      <c r="A340" s="63"/>
      <c r="B340" s="63">
        <f>'Padrão EPP'!B340</f>
        <v>30</v>
      </c>
      <c r="C340" s="63" t="str">
        <f>'Padrão EPP'!C340</f>
        <v>MG</v>
      </c>
      <c r="D340" s="63" t="str">
        <f>'Padrão EPP'!D340</f>
        <v>INTERIOR</v>
      </c>
      <c r="E340" s="63">
        <f>'Padrão EPP'!E340/2</f>
        <v>0</v>
      </c>
      <c r="F340" s="67">
        <v>3.0000000000000001E-3</v>
      </c>
      <c r="G340" s="67">
        <v>2E-3</v>
      </c>
      <c r="H340" s="63"/>
    </row>
    <row r="341" spans="1:8" x14ac:dyDescent="0.25">
      <c r="A341" s="63"/>
      <c r="B341" s="63">
        <f>'Padrão EPP'!B341</f>
        <v>0</v>
      </c>
      <c r="C341" s="63" t="str">
        <f>'Padrão EPP'!C341</f>
        <v>MG</v>
      </c>
      <c r="D341" s="63" t="str">
        <f>'Padrão EPP'!D341</f>
        <v>INTERIOR</v>
      </c>
      <c r="E341" s="63">
        <f>'Padrão EPP'!E341/2</f>
        <v>1.5214394455252955</v>
      </c>
      <c r="F341" s="67">
        <v>3.0000000000000001E-3</v>
      </c>
      <c r="G341" s="67">
        <v>2E-3</v>
      </c>
      <c r="H341" s="63"/>
    </row>
    <row r="342" spans="1:8" x14ac:dyDescent="0.25">
      <c r="A342" s="63"/>
      <c r="B342" s="63">
        <f>'Padrão EPP'!B342</f>
        <v>0.25</v>
      </c>
      <c r="C342" s="63" t="str">
        <f>'Padrão EPP'!C342</f>
        <v>MG</v>
      </c>
      <c r="D342" s="63" t="str">
        <f>'Padrão EPP'!D342</f>
        <v>INTERIOR II</v>
      </c>
      <c r="E342" s="63">
        <f>'Padrão EPP'!E342/2</f>
        <v>8.9111532134976557</v>
      </c>
      <c r="F342" s="67">
        <v>3.0000000000000001E-3</v>
      </c>
      <c r="G342" s="67">
        <v>2E-3</v>
      </c>
      <c r="H342" s="63"/>
    </row>
    <row r="343" spans="1:8" x14ac:dyDescent="0.25">
      <c r="A343" s="63"/>
      <c r="B343" s="63">
        <f>'Padrão EPP'!B343</f>
        <v>0.5</v>
      </c>
      <c r="C343" s="63" t="str">
        <f>'Padrão EPP'!C343</f>
        <v>MG</v>
      </c>
      <c r="D343" s="63" t="str">
        <f>'Padrão EPP'!D343</f>
        <v>INTERIOR II</v>
      </c>
      <c r="E343" s="63">
        <f>'Padrão EPP'!E343/2</f>
        <v>9.1188316532973595</v>
      </c>
      <c r="F343" s="67">
        <v>3.0000000000000001E-3</v>
      </c>
      <c r="G343" s="67">
        <v>2E-3</v>
      </c>
      <c r="H343" s="63"/>
    </row>
    <row r="344" spans="1:8" x14ac:dyDescent="0.25">
      <c r="A344" s="63"/>
      <c r="B344" s="63">
        <f>'Padrão EPP'!B344</f>
        <v>0.75</v>
      </c>
      <c r="C344" s="63" t="str">
        <f>'Padrão EPP'!C344</f>
        <v>MG</v>
      </c>
      <c r="D344" s="63" t="str">
        <f>'Padrão EPP'!D344</f>
        <v>INTERIOR II</v>
      </c>
      <c r="E344" s="63">
        <f>'Padrão EPP'!E344/2</f>
        <v>9.2435646046556652</v>
      </c>
      <c r="F344" s="67">
        <v>3.0000000000000001E-3</v>
      </c>
      <c r="G344" s="67">
        <v>2E-3</v>
      </c>
      <c r="H344" s="63"/>
    </row>
    <row r="345" spans="1:8" x14ac:dyDescent="0.25">
      <c r="A345" s="63"/>
      <c r="B345" s="63">
        <f>'Padrão EPP'!B345</f>
        <v>1</v>
      </c>
      <c r="C345" s="63" t="str">
        <f>'Padrão EPP'!C345</f>
        <v>MG</v>
      </c>
      <c r="D345" s="63" t="str">
        <f>'Padrão EPP'!D345</f>
        <v>INTERIOR II</v>
      </c>
      <c r="E345" s="63">
        <f>'Padrão EPP'!E345/2</f>
        <v>9.6007767984849384</v>
      </c>
      <c r="F345" s="67">
        <v>3.0000000000000001E-3</v>
      </c>
      <c r="G345" s="67">
        <v>2E-3</v>
      </c>
      <c r="H345" s="63"/>
    </row>
    <row r="346" spans="1:8" x14ac:dyDescent="0.25">
      <c r="A346" s="63"/>
      <c r="B346" s="63">
        <f>'Padrão EPP'!B346</f>
        <v>2</v>
      </c>
      <c r="C346" s="63" t="str">
        <f>'Padrão EPP'!C346</f>
        <v>MG</v>
      </c>
      <c r="D346" s="63" t="str">
        <f>'Padrão EPP'!D346</f>
        <v>INTERIOR II</v>
      </c>
      <c r="E346" s="63">
        <f>'Padrão EPP'!E346/2</f>
        <v>10.281172741427978</v>
      </c>
      <c r="F346" s="67">
        <v>3.0000000000000001E-3</v>
      </c>
      <c r="G346" s="67">
        <v>2E-3</v>
      </c>
      <c r="H346" s="63"/>
    </row>
    <row r="347" spans="1:8" x14ac:dyDescent="0.25">
      <c r="A347" s="63"/>
      <c r="B347" s="63">
        <f>'Padrão EPP'!B347</f>
        <v>3</v>
      </c>
      <c r="C347" s="63" t="str">
        <f>'Padrão EPP'!C347</f>
        <v>MG</v>
      </c>
      <c r="D347" s="63" t="str">
        <f>'Padrão EPP'!D347</f>
        <v>INTERIOR II</v>
      </c>
      <c r="E347" s="63">
        <f>'Padrão EPP'!E347/2</f>
        <v>11.195988845500409</v>
      </c>
      <c r="F347" s="67">
        <v>3.0000000000000001E-3</v>
      </c>
      <c r="G347" s="67">
        <v>2E-3</v>
      </c>
      <c r="H347" s="63"/>
    </row>
    <row r="348" spans="1:8" x14ac:dyDescent="0.25">
      <c r="A348" s="63"/>
      <c r="B348" s="63">
        <f>'Padrão EPP'!B348</f>
        <v>4</v>
      </c>
      <c r="C348" s="63" t="str">
        <f>'Padrão EPP'!C348</f>
        <v>MG</v>
      </c>
      <c r="D348" s="63" t="str">
        <f>'Padrão EPP'!D348</f>
        <v>INTERIOR II</v>
      </c>
      <c r="E348" s="63">
        <f>'Padrão EPP'!E348/2</f>
        <v>12.144293544019895</v>
      </c>
      <c r="F348" s="67">
        <v>3.0000000000000001E-3</v>
      </c>
      <c r="G348" s="67">
        <v>2E-3</v>
      </c>
      <c r="H348" s="63"/>
    </row>
    <row r="349" spans="1:8" x14ac:dyDescent="0.25">
      <c r="A349" s="63"/>
      <c r="B349" s="63">
        <f>'Padrão EPP'!B349</f>
        <v>5</v>
      </c>
      <c r="C349" s="63" t="str">
        <f>'Padrão EPP'!C349</f>
        <v>MG</v>
      </c>
      <c r="D349" s="63" t="str">
        <f>'Padrão EPP'!D349</f>
        <v>INTERIOR II</v>
      </c>
      <c r="E349" s="63">
        <f>'Padrão EPP'!E349/2</f>
        <v>12.558667766002609</v>
      </c>
      <c r="F349" s="67">
        <v>3.0000000000000001E-3</v>
      </c>
      <c r="G349" s="67">
        <v>2E-3</v>
      </c>
      <c r="H349" s="63"/>
    </row>
    <row r="350" spans="1:8" x14ac:dyDescent="0.25">
      <c r="A350" s="63"/>
      <c r="B350" s="63">
        <f>'Padrão EPP'!B350</f>
        <v>6</v>
      </c>
      <c r="C350" s="63" t="str">
        <f>'Padrão EPP'!C350</f>
        <v>MG</v>
      </c>
      <c r="D350" s="63" t="str">
        <f>'Padrão EPP'!D350</f>
        <v>INTERIOR II</v>
      </c>
      <c r="E350" s="63">
        <f>'Padrão EPP'!E350/2</f>
        <v>14.519558245643433</v>
      </c>
      <c r="F350" s="67">
        <v>3.0000000000000001E-3</v>
      </c>
      <c r="G350" s="67">
        <v>2E-3</v>
      </c>
      <c r="H350" s="63"/>
    </row>
    <row r="351" spans="1:8" x14ac:dyDescent="0.25">
      <c r="A351" s="63"/>
      <c r="B351" s="63">
        <f>'Padrão EPP'!B351</f>
        <v>7</v>
      </c>
      <c r="C351" s="63" t="str">
        <f>'Padrão EPP'!C351</f>
        <v>MG</v>
      </c>
      <c r="D351" s="63" t="str">
        <f>'Padrão EPP'!D351</f>
        <v>INTERIOR II</v>
      </c>
      <c r="E351" s="63">
        <f>'Padrão EPP'!E351/2</f>
        <v>15.609625518640913</v>
      </c>
      <c r="F351" s="67">
        <v>3.0000000000000001E-3</v>
      </c>
      <c r="G351" s="67">
        <v>2E-3</v>
      </c>
      <c r="H351" s="63"/>
    </row>
    <row r="352" spans="1:8" x14ac:dyDescent="0.25">
      <c r="A352" s="63"/>
      <c r="B352" s="63">
        <f>'Padrão EPP'!B352</f>
        <v>8</v>
      </c>
      <c r="C352" s="63" t="str">
        <f>'Padrão EPP'!C352</f>
        <v>MG</v>
      </c>
      <c r="D352" s="63" t="str">
        <f>'Padrão EPP'!D352</f>
        <v>INTERIOR II</v>
      </c>
      <c r="E352" s="63">
        <f>'Padrão EPP'!E352/2</f>
        <v>16.743841040853948</v>
      </c>
      <c r="F352" s="67">
        <v>3.0000000000000001E-3</v>
      </c>
      <c r="G352" s="67">
        <v>2E-3</v>
      </c>
      <c r="H352" s="63"/>
    </row>
    <row r="353" spans="1:8" x14ac:dyDescent="0.25">
      <c r="A353" s="63"/>
      <c r="B353" s="63">
        <f>'Padrão EPP'!B353</f>
        <v>9</v>
      </c>
      <c r="C353" s="63" t="str">
        <f>'Padrão EPP'!C353</f>
        <v>MG</v>
      </c>
      <c r="D353" s="63" t="str">
        <f>'Padrão EPP'!D353</f>
        <v>INTERIOR II</v>
      </c>
      <c r="E353" s="63">
        <f>'Padrão EPP'!E353/2</f>
        <v>18.213834085483622</v>
      </c>
      <c r="F353" s="67">
        <v>3.0000000000000001E-3</v>
      </c>
      <c r="G353" s="67">
        <v>2E-3</v>
      </c>
      <c r="H353" s="63"/>
    </row>
    <row r="354" spans="1:8" x14ac:dyDescent="0.25">
      <c r="A354" s="63"/>
      <c r="B354" s="63">
        <f>'Padrão EPP'!B354</f>
        <v>10</v>
      </c>
      <c r="C354" s="63" t="str">
        <f>'Padrão EPP'!C354</f>
        <v>MG</v>
      </c>
      <c r="D354" s="63" t="str">
        <f>'Padrão EPP'!D354</f>
        <v>INTERIOR II</v>
      </c>
      <c r="E354" s="63">
        <f>'Padrão EPP'!E354/2</f>
        <v>19.37227998298831</v>
      </c>
      <c r="F354" s="67">
        <v>3.0000000000000001E-3</v>
      </c>
      <c r="G354" s="67">
        <v>2E-3</v>
      </c>
      <c r="H354" s="63"/>
    </row>
    <row r="355" spans="1:8" x14ac:dyDescent="0.25">
      <c r="A355" s="63"/>
      <c r="B355" s="63">
        <f>'Padrão EPP'!B355</f>
        <v>11</v>
      </c>
      <c r="C355" s="63" t="str">
        <f>'Padrão EPP'!C355</f>
        <v>MG</v>
      </c>
      <c r="D355" s="63" t="str">
        <f>'Padrão EPP'!D355</f>
        <v>INTERIOR II</v>
      </c>
      <c r="E355" s="63">
        <f>'Padrão EPP'!E355/2</f>
        <v>0</v>
      </c>
      <c r="F355" s="67">
        <v>3.0000000000000001E-3</v>
      </c>
      <c r="G355" s="67">
        <v>2E-3</v>
      </c>
      <c r="H355" s="63"/>
    </row>
    <row r="356" spans="1:8" x14ac:dyDescent="0.25">
      <c r="A356" s="63"/>
      <c r="B356" s="63">
        <f>'Padrão EPP'!B356</f>
        <v>12</v>
      </c>
      <c r="C356" s="63" t="str">
        <f>'Padrão EPP'!C356</f>
        <v>MG</v>
      </c>
      <c r="D356" s="63" t="str">
        <f>'Padrão EPP'!D356</f>
        <v>INTERIOR II</v>
      </c>
      <c r="E356" s="63">
        <f>'Padrão EPP'!E356/2</f>
        <v>0</v>
      </c>
      <c r="F356" s="67">
        <v>3.0000000000000001E-3</v>
      </c>
      <c r="G356" s="67">
        <v>2E-3</v>
      </c>
      <c r="H356" s="63"/>
    </row>
    <row r="357" spans="1:8" x14ac:dyDescent="0.25">
      <c r="A357" s="63"/>
      <c r="B357" s="63">
        <f>'Padrão EPP'!B357</f>
        <v>13</v>
      </c>
      <c r="C357" s="63" t="str">
        <f>'Padrão EPP'!C357</f>
        <v>MG</v>
      </c>
      <c r="D357" s="63" t="str">
        <f>'Padrão EPP'!D357</f>
        <v>INTERIOR II</v>
      </c>
      <c r="E357" s="63">
        <f>'Padrão EPP'!E357/2</f>
        <v>0</v>
      </c>
      <c r="F357" s="67">
        <v>3.0000000000000001E-3</v>
      </c>
      <c r="G357" s="67">
        <v>2E-3</v>
      </c>
      <c r="H357" s="63"/>
    </row>
    <row r="358" spans="1:8" x14ac:dyDescent="0.25">
      <c r="A358" s="63"/>
      <c r="B358" s="63">
        <f>'Padrão EPP'!B358</f>
        <v>14</v>
      </c>
      <c r="C358" s="63" t="str">
        <f>'Padrão EPP'!C358</f>
        <v>MG</v>
      </c>
      <c r="D358" s="63" t="str">
        <f>'Padrão EPP'!D358</f>
        <v>INTERIOR II</v>
      </c>
      <c r="E358" s="63">
        <f>'Padrão EPP'!E358/2</f>
        <v>0</v>
      </c>
      <c r="F358" s="67">
        <v>3.0000000000000001E-3</v>
      </c>
      <c r="G358" s="67">
        <v>2E-3</v>
      </c>
      <c r="H358" s="63"/>
    </row>
    <row r="359" spans="1:8" x14ac:dyDescent="0.25">
      <c r="A359" s="63"/>
      <c r="B359" s="63">
        <f>'Padrão EPP'!B359</f>
        <v>15</v>
      </c>
      <c r="C359" s="63" t="str">
        <f>'Padrão EPP'!C359</f>
        <v>MG</v>
      </c>
      <c r="D359" s="63" t="str">
        <f>'Padrão EPP'!D359</f>
        <v>INTERIOR II</v>
      </c>
      <c r="E359" s="63">
        <f>'Padrão EPP'!E359/2</f>
        <v>0</v>
      </c>
      <c r="F359" s="67">
        <v>3.0000000000000001E-3</v>
      </c>
      <c r="G359" s="67">
        <v>2E-3</v>
      </c>
      <c r="H359" s="63"/>
    </row>
    <row r="360" spans="1:8" x14ac:dyDescent="0.25">
      <c r="A360" s="63"/>
      <c r="B360" s="63">
        <f>'Padrão EPP'!B360</f>
        <v>16</v>
      </c>
      <c r="C360" s="63" t="str">
        <f>'Padrão EPP'!C360</f>
        <v>MG</v>
      </c>
      <c r="D360" s="63" t="str">
        <f>'Padrão EPP'!D360</f>
        <v>INTERIOR II</v>
      </c>
      <c r="E360" s="63">
        <f>'Padrão EPP'!E360/2</f>
        <v>0</v>
      </c>
      <c r="F360" s="67">
        <v>3.0000000000000001E-3</v>
      </c>
      <c r="G360" s="67">
        <v>2E-3</v>
      </c>
      <c r="H360" s="63"/>
    </row>
    <row r="361" spans="1:8" x14ac:dyDescent="0.25">
      <c r="A361" s="63"/>
      <c r="B361" s="63">
        <f>'Padrão EPP'!B361</f>
        <v>17</v>
      </c>
      <c r="C361" s="63" t="str">
        <f>'Padrão EPP'!C361</f>
        <v>MG</v>
      </c>
      <c r="D361" s="63" t="str">
        <f>'Padrão EPP'!D361</f>
        <v>INTERIOR II</v>
      </c>
      <c r="E361" s="63">
        <f>'Padrão EPP'!E361/2</f>
        <v>0</v>
      </c>
      <c r="F361" s="67">
        <v>3.0000000000000001E-3</v>
      </c>
      <c r="G361" s="67">
        <v>2E-3</v>
      </c>
      <c r="H361" s="63"/>
    </row>
    <row r="362" spans="1:8" x14ac:dyDescent="0.25">
      <c r="A362" s="63"/>
      <c r="B362" s="63">
        <f>'Padrão EPP'!B362</f>
        <v>18</v>
      </c>
      <c r="C362" s="63" t="str">
        <f>'Padrão EPP'!C362</f>
        <v>MG</v>
      </c>
      <c r="D362" s="63" t="str">
        <f>'Padrão EPP'!D362</f>
        <v>INTERIOR II</v>
      </c>
      <c r="E362" s="63">
        <f>'Padrão EPP'!E362/2</f>
        <v>0</v>
      </c>
      <c r="F362" s="67">
        <v>3.0000000000000001E-3</v>
      </c>
      <c r="G362" s="67">
        <v>2E-3</v>
      </c>
      <c r="H362" s="63"/>
    </row>
    <row r="363" spans="1:8" x14ac:dyDescent="0.25">
      <c r="A363" s="63"/>
      <c r="B363" s="63">
        <f>'Padrão EPP'!B363</f>
        <v>19</v>
      </c>
      <c r="C363" s="63" t="str">
        <f>'Padrão EPP'!C363</f>
        <v>MG</v>
      </c>
      <c r="D363" s="63" t="str">
        <f>'Padrão EPP'!D363</f>
        <v>INTERIOR II</v>
      </c>
      <c r="E363" s="63">
        <f>'Padrão EPP'!E363/2</f>
        <v>0</v>
      </c>
      <c r="F363" s="67">
        <v>3.0000000000000001E-3</v>
      </c>
      <c r="G363" s="67">
        <v>2E-3</v>
      </c>
      <c r="H363" s="63"/>
    </row>
    <row r="364" spans="1:8" x14ac:dyDescent="0.25">
      <c r="A364" s="63"/>
      <c r="B364" s="63">
        <f>'Padrão EPP'!B364</f>
        <v>20</v>
      </c>
      <c r="C364" s="63" t="str">
        <f>'Padrão EPP'!C364</f>
        <v>MG</v>
      </c>
      <c r="D364" s="63" t="str">
        <f>'Padrão EPP'!D364</f>
        <v>INTERIOR II</v>
      </c>
      <c r="E364" s="63">
        <f>'Padrão EPP'!E364/2</f>
        <v>0</v>
      </c>
      <c r="F364" s="67">
        <v>3.0000000000000001E-3</v>
      </c>
      <c r="G364" s="67">
        <v>2E-3</v>
      </c>
      <c r="H364" s="63"/>
    </row>
    <row r="365" spans="1:8" x14ac:dyDescent="0.25">
      <c r="A365" s="63"/>
      <c r="B365" s="63">
        <f>'Padrão EPP'!B365</f>
        <v>21</v>
      </c>
      <c r="C365" s="63" t="str">
        <f>'Padrão EPP'!C365</f>
        <v>MG</v>
      </c>
      <c r="D365" s="63" t="str">
        <f>'Padrão EPP'!D365</f>
        <v>INTERIOR II</v>
      </c>
      <c r="E365" s="63">
        <f>'Padrão EPP'!E365/2</f>
        <v>0</v>
      </c>
      <c r="F365" s="67">
        <v>3.0000000000000001E-3</v>
      </c>
      <c r="G365" s="67">
        <v>2E-3</v>
      </c>
      <c r="H365" s="63"/>
    </row>
    <row r="366" spans="1:8" x14ac:dyDescent="0.25">
      <c r="A366" s="63"/>
      <c r="B366" s="63">
        <f>'Padrão EPP'!B366</f>
        <v>22</v>
      </c>
      <c r="C366" s="63" t="str">
        <f>'Padrão EPP'!C366</f>
        <v>MG</v>
      </c>
      <c r="D366" s="63" t="str">
        <f>'Padrão EPP'!D366</f>
        <v>INTERIOR II</v>
      </c>
      <c r="E366" s="63">
        <f>'Padrão EPP'!E366/2</f>
        <v>0</v>
      </c>
      <c r="F366" s="67">
        <v>3.0000000000000001E-3</v>
      </c>
      <c r="G366" s="67">
        <v>2E-3</v>
      </c>
      <c r="H366" s="63"/>
    </row>
    <row r="367" spans="1:8" x14ac:dyDescent="0.25">
      <c r="A367" s="63"/>
      <c r="B367" s="63">
        <f>'Padrão EPP'!B367</f>
        <v>23</v>
      </c>
      <c r="C367" s="63" t="str">
        <f>'Padrão EPP'!C367</f>
        <v>MG</v>
      </c>
      <c r="D367" s="63" t="str">
        <f>'Padrão EPP'!D367</f>
        <v>INTERIOR II</v>
      </c>
      <c r="E367" s="63">
        <f>'Padrão EPP'!E367/2</f>
        <v>0</v>
      </c>
      <c r="F367" s="67">
        <v>3.0000000000000001E-3</v>
      </c>
      <c r="G367" s="67">
        <v>2E-3</v>
      </c>
      <c r="H367" s="63"/>
    </row>
    <row r="368" spans="1:8" x14ac:dyDescent="0.25">
      <c r="A368" s="63"/>
      <c r="B368" s="63">
        <f>'Padrão EPP'!B368</f>
        <v>24</v>
      </c>
      <c r="C368" s="63" t="str">
        <f>'Padrão EPP'!C368</f>
        <v>MG</v>
      </c>
      <c r="D368" s="63" t="str">
        <f>'Padrão EPP'!D368</f>
        <v>INTERIOR II</v>
      </c>
      <c r="E368" s="63">
        <f>'Padrão EPP'!E368/2</f>
        <v>0</v>
      </c>
      <c r="F368" s="67">
        <v>3.0000000000000001E-3</v>
      </c>
      <c r="G368" s="67">
        <v>2E-3</v>
      </c>
      <c r="H368" s="63"/>
    </row>
    <row r="369" spans="1:8" x14ac:dyDescent="0.25">
      <c r="A369" s="63"/>
      <c r="B369" s="63">
        <f>'Padrão EPP'!B369</f>
        <v>25</v>
      </c>
      <c r="C369" s="63" t="str">
        <f>'Padrão EPP'!C369</f>
        <v>MG</v>
      </c>
      <c r="D369" s="63" t="str">
        <f>'Padrão EPP'!D369</f>
        <v>INTERIOR II</v>
      </c>
      <c r="E369" s="63">
        <f>'Padrão EPP'!E369/2</f>
        <v>0</v>
      </c>
      <c r="F369" s="67">
        <v>3.0000000000000001E-3</v>
      </c>
      <c r="G369" s="67">
        <v>2E-3</v>
      </c>
      <c r="H369" s="63"/>
    </row>
    <row r="370" spans="1:8" x14ac:dyDescent="0.25">
      <c r="A370" s="63"/>
      <c r="B370" s="63">
        <f>'Padrão EPP'!B370</f>
        <v>26</v>
      </c>
      <c r="C370" s="63" t="str">
        <f>'Padrão EPP'!C370</f>
        <v>MG</v>
      </c>
      <c r="D370" s="63" t="str">
        <f>'Padrão EPP'!D370</f>
        <v>INTERIOR II</v>
      </c>
      <c r="E370" s="63">
        <f>'Padrão EPP'!E370/2</f>
        <v>0</v>
      </c>
      <c r="F370" s="67">
        <v>3.0000000000000001E-3</v>
      </c>
      <c r="G370" s="67">
        <v>2E-3</v>
      </c>
      <c r="H370" s="63"/>
    </row>
    <row r="371" spans="1:8" x14ac:dyDescent="0.25">
      <c r="A371" s="63"/>
      <c r="B371" s="63">
        <f>'Padrão EPP'!B371</f>
        <v>27</v>
      </c>
      <c r="C371" s="63" t="str">
        <f>'Padrão EPP'!C371</f>
        <v>MG</v>
      </c>
      <c r="D371" s="63" t="str">
        <f>'Padrão EPP'!D371</f>
        <v>INTERIOR II</v>
      </c>
      <c r="E371" s="63">
        <f>'Padrão EPP'!E371/2</f>
        <v>0</v>
      </c>
      <c r="F371" s="67">
        <v>3.0000000000000001E-3</v>
      </c>
      <c r="G371" s="67">
        <v>2E-3</v>
      </c>
      <c r="H371" s="63"/>
    </row>
    <row r="372" spans="1:8" x14ac:dyDescent="0.25">
      <c r="A372" s="63"/>
      <c r="B372" s="63">
        <f>'Padrão EPP'!B372</f>
        <v>28</v>
      </c>
      <c r="C372" s="63" t="str">
        <f>'Padrão EPP'!C372</f>
        <v>MG</v>
      </c>
      <c r="D372" s="63" t="str">
        <f>'Padrão EPP'!D372</f>
        <v>INTERIOR II</v>
      </c>
      <c r="E372" s="63">
        <f>'Padrão EPP'!E372/2</f>
        <v>0</v>
      </c>
      <c r="F372" s="67">
        <v>3.0000000000000001E-3</v>
      </c>
      <c r="G372" s="67">
        <v>2E-3</v>
      </c>
      <c r="H372" s="63"/>
    </row>
    <row r="373" spans="1:8" x14ac:dyDescent="0.25">
      <c r="A373" s="63"/>
      <c r="B373" s="63">
        <f>'Padrão EPP'!B373</f>
        <v>29</v>
      </c>
      <c r="C373" s="63" t="str">
        <f>'Padrão EPP'!C373</f>
        <v>MG</v>
      </c>
      <c r="D373" s="63" t="str">
        <f>'Padrão EPP'!D373</f>
        <v>INTERIOR II</v>
      </c>
      <c r="E373" s="63">
        <f>'Padrão EPP'!E373/2</f>
        <v>0</v>
      </c>
      <c r="F373" s="67">
        <v>3.0000000000000001E-3</v>
      </c>
      <c r="G373" s="67">
        <v>2E-3</v>
      </c>
      <c r="H373" s="63"/>
    </row>
    <row r="374" spans="1:8" x14ac:dyDescent="0.25">
      <c r="A374" s="63"/>
      <c r="B374" s="63">
        <f>'Padrão EPP'!B374</f>
        <v>30</v>
      </c>
      <c r="C374" s="63" t="str">
        <f>'Padrão EPP'!C374</f>
        <v>MG</v>
      </c>
      <c r="D374" s="63" t="str">
        <f>'Padrão EPP'!D374</f>
        <v>INTERIOR II</v>
      </c>
      <c r="E374" s="63">
        <f>'Padrão EPP'!E374/2</f>
        <v>0</v>
      </c>
      <c r="F374" s="67">
        <v>3.0000000000000001E-3</v>
      </c>
      <c r="G374" s="67">
        <v>2E-3</v>
      </c>
      <c r="H374" s="63"/>
    </row>
    <row r="375" spans="1:8" x14ac:dyDescent="0.25">
      <c r="A375" s="63"/>
      <c r="B375" s="63">
        <f>'Padrão EPP'!B375</f>
        <v>0</v>
      </c>
      <c r="C375" s="63" t="str">
        <f>'Padrão EPP'!C375</f>
        <v>MG</v>
      </c>
      <c r="D375" s="63" t="str">
        <f>'Padrão EPP'!D375</f>
        <v>INTERIOR II</v>
      </c>
      <c r="E375" s="63">
        <f>'Padrão EPP'!E375/2</f>
        <v>1.5214394455252955</v>
      </c>
      <c r="F375" s="67">
        <v>3.0000000000000001E-3</v>
      </c>
      <c r="G375" s="67">
        <v>2E-3</v>
      </c>
      <c r="H375" s="63"/>
    </row>
    <row r="376" spans="1:8" x14ac:dyDescent="0.25">
      <c r="A376" s="63"/>
      <c r="B376" s="63">
        <f>'Padrão EPP'!B376</f>
        <v>0.25</v>
      </c>
      <c r="C376" s="63" t="str">
        <f>'Padrão EPP'!C376</f>
        <v>MG</v>
      </c>
      <c r="D376" s="63" t="str">
        <f>'Padrão EPP'!D376</f>
        <v>REDESPACHO</v>
      </c>
      <c r="E376" s="63">
        <f>'Padrão EPP'!E376/2</f>
        <v>13.194410586407264</v>
      </c>
      <c r="F376" s="67">
        <v>3.0000000000000001E-3</v>
      </c>
      <c r="G376" s="67">
        <v>2E-3</v>
      </c>
      <c r="H376" s="63"/>
    </row>
    <row r="377" spans="1:8" x14ac:dyDescent="0.25">
      <c r="A377" s="63"/>
      <c r="B377" s="63">
        <f>'Padrão EPP'!B377</f>
        <v>0.5</v>
      </c>
      <c r="C377" s="63" t="str">
        <f>'Padrão EPP'!C377</f>
        <v>MG</v>
      </c>
      <c r="D377" s="63" t="str">
        <f>'Padrão EPP'!D377</f>
        <v>REDESPACHO</v>
      </c>
      <c r="E377" s="63">
        <f>'Padrão EPP'!E377/2</f>
        <v>13.694083337950323</v>
      </c>
      <c r="F377" s="67">
        <v>3.0000000000000001E-3</v>
      </c>
      <c r="G377" s="67">
        <v>2E-3</v>
      </c>
      <c r="H377" s="63"/>
    </row>
    <row r="378" spans="1:8" x14ac:dyDescent="0.25">
      <c r="A378" s="63"/>
      <c r="B378" s="63">
        <f>'Padrão EPP'!B378</f>
        <v>0.75</v>
      </c>
      <c r="C378" s="63" t="str">
        <f>'Padrão EPP'!C378</f>
        <v>MG</v>
      </c>
      <c r="D378" s="63" t="str">
        <f>'Padrão EPP'!D378</f>
        <v>REDESPACHO</v>
      </c>
      <c r="E378" s="63">
        <f>'Padrão EPP'!E378/2</f>
        <v>14.099205987583112</v>
      </c>
      <c r="F378" s="67">
        <v>3.0000000000000001E-3</v>
      </c>
      <c r="G378" s="67">
        <v>2E-3</v>
      </c>
      <c r="H378" s="63"/>
    </row>
    <row r="379" spans="1:8" x14ac:dyDescent="0.25">
      <c r="A379" s="63"/>
      <c r="B379" s="63">
        <f>'Padrão EPP'!B379</f>
        <v>1</v>
      </c>
      <c r="C379" s="63" t="str">
        <f>'Padrão EPP'!C379</f>
        <v>MG</v>
      </c>
      <c r="D379" s="63" t="str">
        <f>'Padrão EPP'!D379</f>
        <v>REDESPACHO</v>
      </c>
      <c r="E379" s="63">
        <f>'Padrão EPP'!E379/2</f>
        <v>14.464848208689029</v>
      </c>
      <c r="F379" s="67">
        <v>3.0000000000000001E-3</v>
      </c>
      <c r="G379" s="67">
        <v>2E-3</v>
      </c>
      <c r="H379" s="63"/>
    </row>
    <row r="380" spans="1:8" x14ac:dyDescent="0.25">
      <c r="A380" s="63"/>
      <c r="B380" s="63">
        <f>'Padrão EPP'!B380</f>
        <v>2</v>
      </c>
      <c r="C380" s="63" t="str">
        <f>'Padrão EPP'!C380</f>
        <v>MG</v>
      </c>
      <c r="D380" s="63" t="str">
        <f>'Padrão EPP'!D380</f>
        <v>REDESPACHO</v>
      </c>
      <c r="E380" s="63">
        <f>'Padrão EPP'!E380/2</f>
        <v>15.48232510039818</v>
      </c>
      <c r="F380" s="67">
        <v>3.0000000000000001E-3</v>
      </c>
      <c r="G380" s="67">
        <v>2E-3</v>
      </c>
      <c r="H380" s="63"/>
    </row>
    <row r="381" spans="1:8" x14ac:dyDescent="0.25">
      <c r="A381" s="63"/>
      <c r="B381" s="63">
        <f>'Padrão EPP'!B381</f>
        <v>3</v>
      </c>
      <c r="C381" s="63" t="str">
        <f>'Padrão EPP'!C381</f>
        <v>MG</v>
      </c>
      <c r="D381" s="63" t="str">
        <f>'Padrão EPP'!D381</f>
        <v>REDESPACHO</v>
      </c>
      <c r="E381" s="63">
        <f>'Padrão EPP'!E381/2</f>
        <v>16.904667421470933</v>
      </c>
      <c r="F381" s="67">
        <v>3.0000000000000001E-3</v>
      </c>
      <c r="G381" s="67">
        <v>2E-3</v>
      </c>
      <c r="H381" s="63"/>
    </row>
    <row r="382" spans="1:8" x14ac:dyDescent="0.25">
      <c r="A382" s="63"/>
      <c r="B382" s="63">
        <f>'Padrão EPP'!B382</f>
        <v>4</v>
      </c>
      <c r="C382" s="63" t="str">
        <f>'Padrão EPP'!C382</f>
        <v>MG</v>
      </c>
      <c r="D382" s="63" t="str">
        <f>'Padrão EPP'!D382</f>
        <v>REDESPACHO</v>
      </c>
      <c r="E382" s="63">
        <f>'Padrão EPP'!E382/2</f>
        <v>18.404807290250744</v>
      </c>
      <c r="F382" s="67">
        <v>3.0000000000000001E-3</v>
      </c>
      <c r="G382" s="67">
        <v>2E-3</v>
      </c>
      <c r="H382" s="63"/>
    </row>
    <row r="383" spans="1:8" x14ac:dyDescent="0.25">
      <c r="A383" s="63"/>
      <c r="B383" s="63">
        <f>'Padrão EPP'!B383</f>
        <v>5</v>
      </c>
      <c r="C383" s="63" t="str">
        <f>'Padrão EPP'!C383</f>
        <v>MG</v>
      </c>
      <c r="D383" s="63" t="str">
        <f>'Padrão EPP'!D383</f>
        <v>REDESPACHO</v>
      </c>
      <c r="E383" s="63">
        <f>'Padrão EPP'!E383/2</f>
        <v>19.356337872143296</v>
      </c>
      <c r="F383" s="67">
        <v>3.0000000000000001E-3</v>
      </c>
      <c r="G383" s="67">
        <v>2E-3</v>
      </c>
      <c r="H383" s="63"/>
    </row>
    <row r="384" spans="1:8" x14ac:dyDescent="0.25">
      <c r="A384" s="63"/>
      <c r="B384" s="63">
        <f>'Padrão EPP'!B384</f>
        <v>6</v>
      </c>
      <c r="C384" s="63" t="str">
        <f>'Padrão EPP'!C384</f>
        <v>MG</v>
      </c>
      <c r="D384" s="63" t="str">
        <f>'Padrão EPP'!D384</f>
        <v>REDESPACHO</v>
      </c>
      <c r="E384" s="63">
        <f>'Padrão EPP'!E384/2</f>
        <v>21.244687675103087</v>
      </c>
      <c r="F384" s="67">
        <v>3.0000000000000001E-3</v>
      </c>
      <c r="G384" s="67">
        <v>2E-3</v>
      </c>
      <c r="H384" s="63"/>
    </row>
    <row r="385" spans="1:8" x14ac:dyDescent="0.25">
      <c r="A385" s="63"/>
      <c r="B385" s="63">
        <f>'Padrão EPP'!B385</f>
        <v>7</v>
      </c>
      <c r="C385" s="63" t="str">
        <f>'Padrão EPP'!C385</f>
        <v>MG</v>
      </c>
      <c r="D385" s="63" t="str">
        <f>'Padrão EPP'!D385</f>
        <v>REDESPACHO</v>
      </c>
      <c r="E385" s="63">
        <f>'Padrão EPP'!E385/2</f>
        <v>23.21691179222136</v>
      </c>
      <c r="F385" s="67">
        <v>3.0000000000000001E-3</v>
      </c>
      <c r="G385" s="67">
        <v>2E-3</v>
      </c>
      <c r="H385" s="63"/>
    </row>
    <row r="386" spans="1:8" x14ac:dyDescent="0.25">
      <c r="A386" s="63"/>
      <c r="B386" s="63">
        <f>'Padrão EPP'!B386</f>
        <v>8</v>
      </c>
      <c r="C386" s="63" t="str">
        <f>'Padrão EPP'!C386</f>
        <v>MG</v>
      </c>
      <c r="D386" s="63" t="str">
        <f>'Padrão EPP'!D386</f>
        <v>REDESPACHO</v>
      </c>
      <c r="E386" s="63">
        <f>'Padrão EPP'!E386/2</f>
        <v>25.28055891177236</v>
      </c>
      <c r="F386" s="67">
        <v>3.0000000000000001E-3</v>
      </c>
      <c r="G386" s="67">
        <v>2E-3</v>
      </c>
      <c r="H386" s="63"/>
    </row>
    <row r="387" spans="1:8" x14ac:dyDescent="0.25">
      <c r="A387" s="63"/>
      <c r="B387" s="63">
        <f>'Padrão EPP'!B387</f>
        <v>9</v>
      </c>
      <c r="C387" s="63" t="str">
        <f>'Padrão EPP'!C387</f>
        <v>MG</v>
      </c>
      <c r="D387" s="63" t="str">
        <f>'Padrão EPP'!D387</f>
        <v>REDESPACHO</v>
      </c>
      <c r="E387" s="63">
        <f>'Padrão EPP'!E387/2</f>
        <v>27.443857103975038</v>
      </c>
      <c r="F387" s="67">
        <v>3.0000000000000001E-3</v>
      </c>
      <c r="G387" s="67">
        <v>2E-3</v>
      </c>
      <c r="H387" s="63"/>
    </row>
    <row r="388" spans="1:8" x14ac:dyDescent="0.25">
      <c r="A388" s="63"/>
      <c r="B388" s="63">
        <f>'Padrão EPP'!B388</f>
        <v>10</v>
      </c>
      <c r="C388" s="63" t="str">
        <f>'Padrão EPP'!C388</f>
        <v>MG</v>
      </c>
      <c r="D388" s="63" t="str">
        <f>'Padrão EPP'!D388</f>
        <v>REDESPACHO</v>
      </c>
      <c r="E388" s="63">
        <f>'Padrão EPP'!E388/2</f>
        <v>29.715774965368031</v>
      </c>
      <c r="F388" s="67">
        <v>3.0000000000000001E-3</v>
      </c>
      <c r="G388" s="67">
        <v>2E-3</v>
      </c>
      <c r="H388" s="63"/>
    </row>
    <row r="389" spans="1:8" x14ac:dyDescent="0.25">
      <c r="A389" s="63"/>
      <c r="B389" s="63">
        <f>'Padrão EPP'!B389</f>
        <v>11</v>
      </c>
      <c r="C389" s="63" t="str">
        <f>'Padrão EPP'!C389</f>
        <v>MG</v>
      </c>
      <c r="D389" s="63" t="str">
        <f>'Padrão EPP'!D389</f>
        <v>REDESPACHO</v>
      </c>
      <c r="E389" s="63">
        <f>'Padrão EPP'!E389/2</f>
        <v>0</v>
      </c>
      <c r="F389" s="67">
        <v>3.0000000000000001E-3</v>
      </c>
      <c r="G389" s="67">
        <v>2E-3</v>
      </c>
      <c r="H389" s="63"/>
    </row>
    <row r="390" spans="1:8" x14ac:dyDescent="0.25">
      <c r="A390" s="63"/>
      <c r="B390" s="63">
        <f>'Padrão EPP'!B390</f>
        <v>12</v>
      </c>
      <c r="C390" s="63" t="str">
        <f>'Padrão EPP'!C390</f>
        <v>MG</v>
      </c>
      <c r="D390" s="63" t="str">
        <f>'Padrão EPP'!D390</f>
        <v>REDESPACHO</v>
      </c>
      <c r="E390" s="63">
        <f>'Padrão EPP'!E390/2</f>
        <v>0</v>
      </c>
      <c r="F390" s="67">
        <v>3.0000000000000001E-3</v>
      </c>
      <c r="G390" s="67">
        <v>2E-3</v>
      </c>
      <c r="H390" s="63"/>
    </row>
    <row r="391" spans="1:8" x14ac:dyDescent="0.25">
      <c r="A391" s="63"/>
      <c r="B391" s="63">
        <f>'Padrão EPP'!B391</f>
        <v>13</v>
      </c>
      <c r="C391" s="63" t="str">
        <f>'Padrão EPP'!C391</f>
        <v>MG</v>
      </c>
      <c r="D391" s="63" t="str">
        <f>'Padrão EPP'!D391</f>
        <v>REDESPACHO</v>
      </c>
      <c r="E391" s="63">
        <f>'Padrão EPP'!E391/2</f>
        <v>0</v>
      </c>
      <c r="F391" s="67">
        <v>3.0000000000000001E-3</v>
      </c>
      <c r="G391" s="67">
        <v>2E-3</v>
      </c>
      <c r="H391" s="63"/>
    </row>
    <row r="392" spans="1:8" x14ac:dyDescent="0.25">
      <c r="A392" s="63"/>
      <c r="B392" s="63">
        <f>'Padrão EPP'!B392</f>
        <v>14</v>
      </c>
      <c r="C392" s="63" t="str">
        <f>'Padrão EPP'!C392</f>
        <v>MG</v>
      </c>
      <c r="D392" s="63" t="str">
        <f>'Padrão EPP'!D392</f>
        <v>REDESPACHO</v>
      </c>
      <c r="E392" s="63">
        <f>'Padrão EPP'!E392/2</f>
        <v>0</v>
      </c>
      <c r="F392" s="67">
        <v>3.0000000000000001E-3</v>
      </c>
      <c r="G392" s="67">
        <v>2E-3</v>
      </c>
      <c r="H392" s="63"/>
    </row>
    <row r="393" spans="1:8" x14ac:dyDescent="0.25">
      <c r="A393" s="63"/>
      <c r="B393" s="63">
        <f>'Padrão EPP'!B393</f>
        <v>15</v>
      </c>
      <c r="C393" s="63" t="str">
        <f>'Padrão EPP'!C393</f>
        <v>MG</v>
      </c>
      <c r="D393" s="63" t="str">
        <f>'Padrão EPP'!D393</f>
        <v>REDESPACHO</v>
      </c>
      <c r="E393" s="63">
        <f>'Padrão EPP'!E393/2</f>
        <v>0</v>
      </c>
      <c r="F393" s="67">
        <v>3.0000000000000001E-3</v>
      </c>
      <c r="G393" s="67">
        <v>2E-3</v>
      </c>
      <c r="H393" s="63"/>
    </row>
    <row r="394" spans="1:8" x14ac:dyDescent="0.25">
      <c r="A394" s="63"/>
      <c r="B394" s="63">
        <f>'Padrão EPP'!B394</f>
        <v>16</v>
      </c>
      <c r="C394" s="63" t="str">
        <f>'Padrão EPP'!C394</f>
        <v>MG</v>
      </c>
      <c r="D394" s="63" t="str">
        <f>'Padrão EPP'!D394</f>
        <v>REDESPACHO</v>
      </c>
      <c r="E394" s="63">
        <f>'Padrão EPP'!E394/2</f>
        <v>0</v>
      </c>
      <c r="F394" s="67">
        <v>3.0000000000000001E-3</v>
      </c>
      <c r="G394" s="67">
        <v>2E-3</v>
      </c>
      <c r="H394" s="63"/>
    </row>
    <row r="395" spans="1:8" x14ac:dyDescent="0.25">
      <c r="A395" s="63"/>
      <c r="B395" s="63">
        <f>'Padrão EPP'!B395</f>
        <v>17</v>
      </c>
      <c r="C395" s="63" t="str">
        <f>'Padrão EPP'!C395</f>
        <v>MG</v>
      </c>
      <c r="D395" s="63" t="str">
        <f>'Padrão EPP'!D395</f>
        <v>REDESPACHO</v>
      </c>
      <c r="E395" s="63">
        <f>'Padrão EPP'!E395/2</f>
        <v>0</v>
      </c>
      <c r="F395" s="67">
        <v>3.0000000000000001E-3</v>
      </c>
      <c r="G395" s="67">
        <v>2E-3</v>
      </c>
      <c r="H395" s="63"/>
    </row>
    <row r="396" spans="1:8" x14ac:dyDescent="0.25">
      <c r="A396" s="63"/>
      <c r="B396" s="63">
        <f>'Padrão EPP'!B396</f>
        <v>18</v>
      </c>
      <c r="C396" s="63" t="str">
        <f>'Padrão EPP'!C396</f>
        <v>MG</v>
      </c>
      <c r="D396" s="63" t="str">
        <f>'Padrão EPP'!D396</f>
        <v>REDESPACHO</v>
      </c>
      <c r="E396" s="63">
        <f>'Padrão EPP'!E396/2</f>
        <v>0</v>
      </c>
      <c r="F396" s="67">
        <v>3.0000000000000001E-3</v>
      </c>
      <c r="G396" s="67">
        <v>2E-3</v>
      </c>
      <c r="H396" s="63"/>
    </row>
    <row r="397" spans="1:8" x14ac:dyDescent="0.25">
      <c r="A397" s="63"/>
      <c r="B397" s="63">
        <f>'Padrão EPP'!B397</f>
        <v>19</v>
      </c>
      <c r="C397" s="63" t="str">
        <f>'Padrão EPP'!C397</f>
        <v>MG</v>
      </c>
      <c r="D397" s="63" t="str">
        <f>'Padrão EPP'!D397</f>
        <v>REDESPACHO</v>
      </c>
      <c r="E397" s="63">
        <f>'Padrão EPP'!E397/2</f>
        <v>0</v>
      </c>
      <c r="F397" s="67">
        <v>3.0000000000000001E-3</v>
      </c>
      <c r="G397" s="67">
        <v>2E-3</v>
      </c>
      <c r="H397" s="63"/>
    </row>
    <row r="398" spans="1:8" x14ac:dyDescent="0.25">
      <c r="A398" s="63"/>
      <c r="B398" s="63">
        <f>'Padrão EPP'!B398</f>
        <v>20</v>
      </c>
      <c r="C398" s="63" t="str">
        <f>'Padrão EPP'!C398</f>
        <v>MG</v>
      </c>
      <c r="D398" s="63" t="str">
        <f>'Padrão EPP'!D398</f>
        <v>REDESPACHO</v>
      </c>
      <c r="E398" s="63">
        <f>'Padrão EPP'!E398/2</f>
        <v>0</v>
      </c>
      <c r="F398" s="67">
        <v>3.0000000000000001E-3</v>
      </c>
      <c r="G398" s="67">
        <v>2E-3</v>
      </c>
      <c r="H398" s="63"/>
    </row>
    <row r="399" spans="1:8" x14ac:dyDescent="0.25">
      <c r="A399" s="63"/>
      <c r="B399" s="63">
        <f>'Padrão EPP'!B399</f>
        <v>21</v>
      </c>
      <c r="C399" s="63" t="str">
        <f>'Padrão EPP'!C399</f>
        <v>MG</v>
      </c>
      <c r="D399" s="63" t="str">
        <f>'Padrão EPP'!D399</f>
        <v>REDESPACHO</v>
      </c>
      <c r="E399" s="63">
        <f>'Padrão EPP'!E399/2</f>
        <v>0</v>
      </c>
      <c r="F399" s="67">
        <v>3.0000000000000001E-3</v>
      </c>
      <c r="G399" s="67">
        <v>2E-3</v>
      </c>
      <c r="H399" s="63"/>
    </row>
    <row r="400" spans="1:8" x14ac:dyDescent="0.25">
      <c r="A400" s="63"/>
      <c r="B400" s="63">
        <f>'Padrão EPP'!B400</f>
        <v>22</v>
      </c>
      <c r="C400" s="63" t="str">
        <f>'Padrão EPP'!C400</f>
        <v>MG</v>
      </c>
      <c r="D400" s="63" t="str">
        <f>'Padrão EPP'!D400</f>
        <v>REDESPACHO</v>
      </c>
      <c r="E400" s="63">
        <f>'Padrão EPP'!E400/2</f>
        <v>0</v>
      </c>
      <c r="F400" s="67">
        <v>3.0000000000000001E-3</v>
      </c>
      <c r="G400" s="67">
        <v>2E-3</v>
      </c>
      <c r="H400" s="63"/>
    </row>
    <row r="401" spans="1:8" x14ac:dyDescent="0.25">
      <c r="A401" s="63"/>
      <c r="B401" s="63">
        <f>'Padrão EPP'!B401</f>
        <v>23</v>
      </c>
      <c r="C401" s="63" t="str">
        <f>'Padrão EPP'!C401</f>
        <v>MG</v>
      </c>
      <c r="D401" s="63" t="str">
        <f>'Padrão EPP'!D401</f>
        <v>REDESPACHO</v>
      </c>
      <c r="E401" s="63">
        <f>'Padrão EPP'!E401/2</f>
        <v>0</v>
      </c>
      <c r="F401" s="67">
        <v>3.0000000000000001E-3</v>
      </c>
      <c r="G401" s="67">
        <v>2E-3</v>
      </c>
      <c r="H401" s="63"/>
    </row>
    <row r="402" spans="1:8" x14ac:dyDescent="0.25">
      <c r="A402" s="63"/>
      <c r="B402" s="63">
        <f>'Padrão EPP'!B402</f>
        <v>24</v>
      </c>
      <c r="C402" s="63" t="str">
        <f>'Padrão EPP'!C402</f>
        <v>MG</v>
      </c>
      <c r="D402" s="63" t="str">
        <f>'Padrão EPP'!D402</f>
        <v>REDESPACHO</v>
      </c>
      <c r="E402" s="63">
        <f>'Padrão EPP'!E402/2</f>
        <v>0</v>
      </c>
      <c r="F402" s="67">
        <v>3.0000000000000001E-3</v>
      </c>
      <c r="G402" s="67">
        <v>2E-3</v>
      </c>
      <c r="H402" s="63"/>
    </row>
    <row r="403" spans="1:8" x14ac:dyDescent="0.25">
      <c r="A403" s="63"/>
      <c r="B403" s="63">
        <f>'Padrão EPP'!B403</f>
        <v>25</v>
      </c>
      <c r="C403" s="63" t="str">
        <f>'Padrão EPP'!C403</f>
        <v>MG</v>
      </c>
      <c r="D403" s="63" t="str">
        <f>'Padrão EPP'!D403</f>
        <v>REDESPACHO</v>
      </c>
      <c r="E403" s="63">
        <f>'Padrão EPP'!E403/2</f>
        <v>0</v>
      </c>
      <c r="F403" s="67">
        <v>3.0000000000000001E-3</v>
      </c>
      <c r="G403" s="67">
        <v>2E-3</v>
      </c>
      <c r="H403" s="63"/>
    </row>
    <row r="404" spans="1:8" x14ac:dyDescent="0.25">
      <c r="A404" s="63"/>
      <c r="B404" s="63">
        <f>'Padrão EPP'!B404</f>
        <v>26</v>
      </c>
      <c r="C404" s="63" t="str">
        <f>'Padrão EPP'!C404</f>
        <v>MG</v>
      </c>
      <c r="D404" s="63" t="str">
        <f>'Padrão EPP'!D404</f>
        <v>REDESPACHO</v>
      </c>
      <c r="E404" s="63">
        <f>'Padrão EPP'!E404/2</f>
        <v>0</v>
      </c>
      <c r="F404" s="67">
        <v>3.0000000000000001E-3</v>
      </c>
      <c r="G404" s="67">
        <v>2E-3</v>
      </c>
      <c r="H404" s="63"/>
    </row>
    <row r="405" spans="1:8" x14ac:dyDescent="0.25">
      <c r="A405" s="63"/>
      <c r="B405" s="63">
        <f>'Padrão EPP'!B405</f>
        <v>27</v>
      </c>
      <c r="C405" s="63" t="str">
        <f>'Padrão EPP'!C405</f>
        <v>MG</v>
      </c>
      <c r="D405" s="63" t="str">
        <f>'Padrão EPP'!D405</f>
        <v>REDESPACHO</v>
      </c>
      <c r="E405" s="63">
        <f>'Padrão EPP'!E405/2</f>
        <v>0</v>
      </c>
      <c r="F405" s="67">
        <v>3.0000000000000001E-3</v>
      </c>
      <c r="G405" s="67">
        <v>2E-3</v>
      </c>
      <c r="H405" s="63"/>
    </row>
    <row r="406" spans="1:8" x14ac:dyDescent="0.25">
      <c r="A406" s="63"/>
      <c r="B406" s="63">
        <f>'Padrão EPP'!B406</f>
        <v>28</v>
      </c>
      <c r="C406" s="63" t="str">
        <f>'Padrão EPP'!C406</f>
        <v>MG</v>
      </c>
      <c r="D406" s="63" t="str">
        <f>'Padrão EPP'!D406</f>
        <v>REDESPACHO</v>
      </c>
      <c r="E406" s="63">
        <f>'Padrão EPP'!E406/2</f>
        <v>0</v>
      </c>
      <c r="F406" s="67">
        <v>3.0000000000000001E-3</v>
      </c>
      <c r="G406" s="67">
        <v>2E-3</v>
      </c>
      <c r="H406" s="63"/>
    </row>
    <row r="407" spans="1:8" x14ac:dyDescent="0.25">
      <c r="A407" s="63"/>
      <c r="B407" s="63">
        <f>'Padrão EPP'!B407</f>
        <v>29</v>
      </c>
      <c r="C407" s="63" t="str">
        <f>'Padrão EPP'!C407</f>
        <v>MG</v>
      </c>
      <c r="D407" s="63" t="str">
        <f>'Padrão EPP'!D407</f>
        <v>REDESPACHO</v>
      </c>
      <c r="E407" s="63">
        <f>'Padrão EPP'!E407/2</f>
        <v>0</v>
      </c>
      <c r="F407" s="67">
        <v>3.0000000000000001E-3</v>
      </c>
      <c r="G407" s="67">
        <v>2E-3</v>
      </c>
      <c r="H407" s="63"/>
    </row>
    <row r="408" spans="1:8" x14ac:dyDescent="0.25">
      <c r="A408" s="63"/>
      <c r="B408" s="63">
        <f>'Padrão EPP'!B408</f>
        <v>30</v>
      </c>
      <c r="C408" s="63" t="str">
        <f>'Padrão EPP'!C408</f>
        <v>MG</v>
      </c>
      <c r="D408" s="63" t="str">
        <f>'Padrão EPP'!D408</f>
        <v>REDESPACHO</v>
      </c>
      <c r="E408" s="63">
        <f>'Padrão EPP'!E408/2</f>
        <v>0</v>
      </c>
      <c r="F408" s="67">
        <v>3.0000000000000001E-3</v>
      </c>
      <c r="G408" s="67">
        <v>2E-3</v>
      </c>
      <c r="H408" s="63"/>
    </row>
    <row r="409" spans="1:8" x14ac:dyDescent="0.25">
      <c r="A409" s="63"/>
      <c r="B409" s="63">
        <f>'Padrão EPP'!B409</f>
        <v>0</v>
      </c>
      <c r="C409" s="63" t="str">
        <f>'Padrão EPP'!C409</f>
        <v>MG</v>
      </c>
      <c r="D409" s="63" t="str">
        <f>'Padrão EPP'!D409</f>
        <v>REDESPACHO</v>
      </c>
      <c r="E409" s="63">
        <f>'Padrão EPP'!E409/2</f>
        <v>1.5214394455252955</v>
      </c>
      <c r="F409" s="67">
        <v>3.0000000000000001E-3</v>
      </c>
      <c r="G409" s="67">
        <v>2E-3</v>
      </c>
      <c r="H409" s="63"/>
    </row>
    <row r="410" spans="1:8" x14ac:dyDescent="0.25">
      <c r="A410" s="63"/>
      <c r="B410" s="63">
        <f>'Padrão EPP'!B410</f>
        <v>0.25</v>
      </c>
      <c r="C410" s="63" t="str">
        <f>'Padrão EPP'!C410</f>
        <v>ES</v>
      </c>
      <c r="D410" s="63" t="str">
        <f>'Padrão EPP'!D410</f>
        <v>CAPITAL</v>
      </c>
      <c r="E410" s="63">
        <f>'Padrão EPP'!E410/2</f>
        <v>5.3789286621548262</v>
      </c>
      <c r="F410" s="67">
        <v>3.0000000000000001E-3</v>
      </c>
      <c r="G410" s="67">
        <v>2E-3</v>
      </c>
      <c r="H410" s="63"/>
    </row>
    <row r="411" spans="1:8" x14ac:dyDescent="0.25">
      <c r="A411" s="63"/>
      <c r="B411" s="63">
        <f>'Padrão EPP'!B411</f>
        <v>0.5</v>
      </c>
      <c r="C411" s="63" t="str">
        <f>'Padrão EPP'!C411</f>
        <v>ES</v>
      </c>
      <c r="D411" s="63" t="str">
        <f>'Padrão EPP'!D411</f>
        <v>CAPITAL</v>
      </c>
      <c r="E411" s="63">
        <f>'Padrão EPP'!E411/2</f>
        <v>5.611572564811115</v>
      </c>
      <c r="F411" s="67">
        <v>3.0000000000000001E-3</v>
      </c>
      <c r="G411" s="67">
        <v>2E-3</v>
      </c>
      <c r="H411" s="63"/>
    </row>
    <row r="412" spans="1:8" x14ac:dyDescent="0.25">
      <c r="A412" s="63"/>
      <c r="B412" s="63">
        <f>'Padrão EPP'!B412</f>
        <v>0.75</v>
      </c>
      <c r="C412" s="63" t="str">
        <f>'Padrão EPP'!C412</f>
        <v>ES</v>
      </c>
      <c r="D412" s="63" t="str">
        <f>'Padrão EPP'!D412</f>
        <v>CAPITAL</v>
      </c>
      <c r="E412" s="63">
        <f>'Padrão EPP'!E412/2</f>
        <v>5.8444248249656301</v>
      </c>
      <c r="F412" s="67">
        <v>3.0000000000000001E-3</v>
      </c>
      <c r="G412" s="67">
        <v>2E-3</v>
      </c>
      <c r="H412" s="63"/>
    </row>
    <row r="413" spans="1:8" x14ac:dyDescent="0.25">
      <c r="A413" s="63"/>
      <c r="B413" s="63">
        <f>'Padrão EPP'!B413</f>
        <v>1</v>
      </c>
      <c r="C413" s="63" t="str">
        <f>'Padrão EPP'!C413</f>
        <v>ES</v>
      </c>
      <c r="D413" s="63" t="str">
        <f>'Padrão EPP'!D413</f>
        <v>CAPITAL</v>
      </c>
      <c r="E413" s="63">
        <f>'Padrão EPP'!E413/2</f>
        <v>6.1304916748225962</v>
      </c>
      <c r="F413" s="67">
        <v>3.0000000000000001E-3</v>
      </c>
      <c r="G413" s="67">
        <v>2E-3</v>
      </c>
      <c r="H413" s="63"/>
    </row>
    <row r="414" spans="1:8" x14ac:dyDescent="0.25">
      <c r="A414" s="63"/>
      <c r="B414" s="63">
        <f>'Padrão EPP'!B414</f>
        <v>2</v>
      </c>
      <c r="C414" s="63" t="str">
        <f>'Padrão EPP'!C414</f>
        <v>ES</v>
      </c>
      <c r="D414" s="63" t="str">
        <f>'Padrão EPP'!D414</f>
        <v>CAPITAL</v>
      </c>
      <c r="E414" s="63">
        <f>'Padrão EPP'!E414/2</f>
        <v>6.8996884265034595</v>
      </c>
      <c r="F414" s="67">
        <v>3.0000000000000001E-3</v>
      </c>
      <c r="G414" s="67">
        <v>2E-3</v>
      </c>
      <c r="H414" s="63"/>
    </row>
    <row r="415" spans="1:8" x14ac:dyDescent="0.25">
      <c r="A415" s="63"/>
      <c r="B415" s="63">
        <f>'Padrão EPP'!B415</f>
        <v>3</v>
      </c>
      <c r="C415" s="63" t="str">
        <f>'Padrão EPP'!C415</f>
        <v>ES</v>
      </c>
      <c r="D415" s="63" t="str">
        <f>'Padrão EPP'!D415</f>
        <v>CAPITAL</v>
      </c>
      <c r="E415" s="63">
        <f>'Padrão EPP'!E415/2</f>
        <v>8.2262521600581593</v>
      </c>
      <c r="F415" s="67">
        <v>3.0000000000000001E-3</v>
      </c>
      <c r="G415" s="67">
        <v>2E-3</v>
      </c>
      <c r="H415" s="63"/>
    </row>
    <row r="416" spans="1:8" x14ac:dyDescent="0.25">
      <c r="A416" s="63"/>
      <c r="B416" s="63">
        <f>'Padrão EPP'!B416</f>
        <v>4</v>
      </c>
      <c r="C416" s="63" t="str">
        <f>'Padrão EPP'!C416</f>
        <v>ES</v>
      </c>
      <c r="D416" s="63" t="str">
        <f>'Padrão EPP'!D416</f>
        <v>CAPITAL</v>
      </c>
      <c r="E416" s="63">
        <f>'Padrão EPP'!E416/2</f>
        <v>9.6154646587214589</v>
      </c>
      <c r="F416" s="67">
        <v>3.0000000000000001E-3</v>
      </c>
      <c r="G416" s="67">
        <v>2E-3</v>
      </c>
      <c r="H416" s="63"/>
    </row>
    <row r="417" spans="1:8" x14ac:dyDescent="0.25">
      <c r="A417" s="63"/>
      <c r="B417" s="63">
        <f>'Padrão EPP'!B417</f>
        <v>5</v>
      </c>
      <c r="C417" s="63" t="str">
        <f>'Padrão EPP'!C417</f>
        <v>ES</v>
      </c>
      <c r="D417" s="63" t="str">
        <f>'Padrão EPP'!D417</f>
        <v>CAPITAL</v>
      </c>
      <c r="E417" s="63">
        <f>'Padrão EPP'!E417/2</f>
        <v>11.098439679600309</v>
      </c>
      <c r="F417" s="67">
        <v>3.0000000000000001E-3</v>
      </c>
      <c r="G417" s="67">
        <v>2E-3</v>
      </c>
      <c r="H417" s="63"/>
    </row>
    <row r="418" spans="1:8" x14ac:dyDescent="0.25">
      <c r="A418" s="63"/>
      <c r="B418" s="63">
        <f>'Padrão EPP'!B418</f>
        <v>6</v>
      </c>
      <c r="C418" s="63" t="str">
        <f>'Padrão EPP'!C418</f>
        <v>ES</v>
      </c>
      <c r="D418" s="63" t="str">
        <f>'Padrão EPP'!D418</f>
        <v>CAPITAL</v>
      </c>
      <c r="E418" s="63">
        <f>'Padrão EPP'!E418/2</f>
        <v>12.484149432558977</v>
      </c>
      <c r="F418" s="67">
        <v>3.0000000000000001E-3</v>
      </c>
      <c r="G418" s="67">
        <v>2E-3</v>
      </c>
      <c r="H418" s="63"/>
    </row>
    <row r="419" spans="1:8" x14ac:dyDescent="0.25">
      <c r="A419" s="63"/>
      <c r="B419" s="63">
        <f>'Padrão EPP'!B419</f>
        <v>7</v>
      </c>
      <c r="C419" s="63" t="str">
        <f>'Padrão EPP'!C419</f>
        <v>ES</v>
      </c>
      <c r="D419" s="63" t="str">
        <f>'Padrão EPP'!D419</f>
        <v>CAPITAL</v>
      </c>
      <c r="E419" s="63">
        <f>'Padrão EPP'!E419/2</f>
        <v>13.902421905647435</v>
      </c>
      <c r="F419" s="67">
        <v>3.0000000000000001E-3</v>
      </c>
      <c r="G419" s="67">
        <v>2E-3</v>
      </c>
      <c r="H419" s="63"/>
    </row>
    <row r="420" spans="1:8" x14ac:dyDescent="0.25">
      <c r="A420" s="63"/>
      <c r="B420" s="63">
        <f>'Padrão EPP'!B420</f>
        <v>8</v>
      </c>
      <c r="C420" s="63" t="str">
        <f>'Padrão EPP'!C420</f>
        <v>ES</v>
      </c>
      <c r="D420" s="63" t="str">
        <f>'Padrão EPP'!D420</f>
        <v>CAPITAL</v>
      </c>
      <c r="E420" s="63">
        <f>'Padrão EPP'!E420/2</f>
        <v>15.356513370878696</v>
      </c>
      <c r="F420" s="67">
        <v>3.0000000000000001E-3</v>
      </c>
      <c r="G420" s="67">
        <v>2E-3</v>
      </c>
      <c r="H420" s="63"/>
    </row>
    <row r="421" spans="1:8" x14ac:dyDescent="0.25">
      <c r="A421" s="63"/>
      <c r="B421" s="63">
        <f>'Padrão EPP'!B421</f>
        <v>9</v>
      </c>
      <c r="C421" s="63" t="str">
        <f>'Padrão EPP'!C421</f>
        <v>ES</v>
      </c>
      <c r="D421" s="63" t="str">
        <f>'Padrão EPP'!D421</f>
        <v>CAPITAL</v>
      </c>
      <c r="E421" s="63">
        <f>'Padrão EPP'!E421/2</f>
        <v>16.850005727466996</v>
      </c>
      <c r="F421" s="67">
        <v>3.0000000000000001E-3</v>
      </c>
      <c r="G421" s="67">
        <v>2E-3</v>
      </c>
      <c r="H421" s="63"/>
    </row>
    <row r="422" spans="1:8" x14ac:dyDescent="0.25">
      <c r="A422" s="63"/>
      <c r="B422" s="63">
        <f>'Padrão EPP'!B422</f>
        <v>10</v>
      </c>
      <c r="C422" s="63" t="str">
        <f>'Padrão EPP'!C422</f>
        <v>ES</v>
      </c>
      <c r="D422" s="63" t="str">
        <f>'Padrão EPP'!D422</f>
        <v>CAPITAL</v>
      </c>
      <c r="E422" s="63">
        <f>'Padrão EPP'!E422/2</f>
        <v>18.162085122849867</v>
      </c>
      <c r="F422" s="67">
        <v>3.0000000000000001E-3</v>
      </c>
      <c r="G422" s="67">
        <v>2E-3</v>
      </c>
      <c r="H422" s="63"/>
    </row>
    <row r="423" spans="1:8" x14ac:dyDescent="0.25">
      <c r="A423" s="63"/>
      <c r="B423" s="63">
        <f>'Padrão EPP'!B423</f>
        <v>11</v>
      </c>
      <c r="C423" s="63" t="str">
        <f>'Padrão EPP'!C423</f>
        <v>ES</v>
      </c>
      <c r="D423" s="63" t="str">
        <f>'Padrão EPP'!D423</f>
        <v>CAPITAL</v>
      </c>
      <c r="E423" s="63">
        <f>'Padrão EPP'!E423/2</f>
        <v>0</v>
      </c>
      <c r="F423" s="67">
        <v>3.0000000000000001E-3</v>
      </c>
      <c r="G423" s="67">
        <v>2E-3</v>
      </c>
      <c r="H423" s="63"/>
    </row>
    <row r="424" spans="1:8" x14ac:dyDescent="0.25">
      <c r="A424" s="63"/>
      <c r="B424" s="63">
        <f>'Padrão EPP'!B424</f>
        <v>12</v>
      </c>
      <c r="C424" s="63" t="str">
        <f>'Padrão EPP'!C424</f>
        <v>ES</v>
      </c>
      <c r="D424" s="63" t="str">
        <f>'Padrão EPP'!D424</f>
        <v>CAPITAL</v>
      </c>
      <c r="E424" s="63">
        <f>'Padrão EPP'!E424/2</f>
        <v>0</v>
      </c>
      <c r="F424" s="67">
        <v>3.0000000000000001E-3</v>
      </c>
      <c r="G424" s="67">
        <v>2E-3</v>
      </c>
      <c r="H424" s="63"/>
    </row>
    <row r="425" spans="1:8" x14ac:dyDescent="0.25">
      <c r="A425" s="63"/>
      <c r="B425" s="63">
        <f>'Padrão EPP'!B425</f>
        <v>13</v>
      </c>
      <c r="C425" s="63" t="str">
        <f>'Padrão EPP'!C425</f>
        <v>ES</v>
      </c>
      <c r="D425" s="63" t="str">
        <f>'Padrão EPP'!D425</f>
        <v>CAPITAL</v>
      </c>
      <c r="E425" s="63">
        <f>'Padrão EPP'!E425/2</f>
        <v>0</v>
      </c>
      <c r="F425" s="67">
        <v>3.0000000000000001E-3</v>
      </c>
      <c r="G425" s="67">
        <v>2E-3</v>
      </c>
      <c r="H425" s="63"/>
    </row>
    <row r="426" spans="1:8" x14ac:dyDescent="0.25">
      <c r="A426" s="63"/>
      <c r="B426" s="63">
        <f>'Padrão EPP'!B426</f>
        <v>14</v>
      </c>
      <c r="C426" s="63" t="str">
        <f>'Padrão EPP'!C426</f>
        <v>ES</v>
      </c>
      <c r="D426" s="63" t="str">
        <f>'Padrão EPP'!D426</f>
        <v>CAPITAL</v>
      </c>
      <c r="E426" s="63">
        <f>'Padrão EPP'!E426/2</f>
        <v>0</v>
      </c>
      <c r="F426" s="67">
        <v>3.0000000000000001E-3</v>
      </c>
      <c r="G426" s="67">
        <v>2E-3</v>
      </c>
      <c r="H426" s="63"/>
    </row>
    <row r="427" spans="1:8" x14ac:dyDescent="0.25">
      <c r="A427" s="63"/>
      <c r="B427" s="63">
        <f>'Padrão EPP'!B427</f>
        <v>15</v>
      </c>
      <c r="C427" s="63" t="str">
        <f>'Padrão EPP'!C427</f>
        <v>ES</v>
      </c>
      <c r="D427" s="63" t="str">
        <f>'Padrão EPP'!D427</f>
        <v>CAPITAL</v>
      </c>
      <c r="E427" s="63">
        <f>'Padrão EPP'!E427/2</f>
        <v>0</v>
      </c>
      <c r="F427" s="67">
        <v>3.0000000000000001E-3</v>
      </c>
      <c r="G427" s="67">
        <v>2E-3</v>
      </c>
      <c r="H427" s="63"/>
    </row>
    <row r="428" spans="1:8" x14ac:dyDescent="0.25">
      <c r="A428" s="63"/>
      <c r="B428" s="63">
        <f>'Padrão EPP'!B428</f>
        <v>16</v>
      </c>
      <c r="C428" s="63" t="str">
        <f>'Padrão EPP'!C428</f>
        <v>ES</v>
      </c>
      <c r="D428" s="63" t="str">
        <f>'Padrão EPP'!D428</f>
        <v>CAPITAL</v>
      </c>
      <c r="E428" s="63">
        <f>'Padrão EPP'!E428/2</f>
        <v>0</v>
      </c>
      <c r="F428" s="67">
        <v>3.0000000000000001E-3</v>
      </c>
      <c r="G428" s="67">
        <v>2E-3</v>
      </c>
      <c r="H428" s="63"/>
    </row>
    <row r="429" spans="1:8" x14ac:dyDescent="0.25">
      <c r="A429" s="63"/>
      <c r="B429" s="63">
        <f>'Padrão EPP'!B429</f>
        <v>17</v>
      </c>
      <c r="C429" s="63" t="str">
        <f>'Padrão EPP'!C429</f>
        <v>ES</v>
      </c>
      <c r="D429" s="63" t="str">
        <f>'Padrão EPP'!D429</f>
        <v>CAPITAL</v>
      </c>
      <c r="E429" s="63">
        <f>'Padrão EPP'!E429/2</f>
        <v>0</v>
      </c>
      <c r="F429" s="67">
        <v>3.0000000000000001E-3</v>
      </c>
      <c r="G429" s="67">
        <v>2E-3</v>
      </c>
      <c r="H429" s="63"/>
    </row>
    <row r="430" spans="1:8" x14ac:dyDescent="0.25">
      <c r="A430" s="63"/>
      <c r="B430" s="63">
        <f>'Padrão EPP'!B430</f>
        <v>18</v>
      </c>
      <c r="C430" s="63" t="str">
        <f>'Padrão EPP'!C430</f>
        <v>ES</v>
      </c>
      <c r="D430" s="63" t="str">
        <f>'Padrão EPP'!D430</f>
        <v>CAPITAL</v>
      </c>
      <c r="E430" s="63">
        <f>'Padrão EPP'!E430/2</f>
        <v>0</v>
      </c>
      <c r="F430" s="67">
        <v>3.0000000000000001E-3</v>
      </c>
      <c r="G430" s="67">
        <v>2E-3</v>
      </c>
      <c r="H430" s="63"/>
    </row>
    <row r="431" spans="1:8" x14ac:dyDescent="0.25">
      <c r="A431" s="63"/>
      <c r="B431" s="63">
        <f>'Padrão EPP'!B431</f>
        <v>19</v>
      </c>
      <c r="C431" s="63" t="str">
        <f>'Padrão EPP'!C431</f>
        <v>ES</v>
      </c>
      <c r="D431" s="63" t="str">
        <f>'Padrão EPP'!D431</f>
        <v>CAPITAL</v>
      </c>
      <c r="E431" s="63">
        <f>'Padrão EPP'!E431/2</f>
        <v>0</v>
      </c>
      <c r="F431" s="67">
        <v>3.0000000000000001E-3</v>
      </c>
      <c r="G431" s="67">
        <v>2E-3</v>
      </c>
      <c r="H431" s="63"/>
    </row>
    <row r="432" spans="1:8" x14ac:dyDescent="0.25">
      <c r="A432" s="63"/>
      <c r="B432" s="63">
        <f>'Padrão EPP'!B432</f>
        <v>20</v>
      </c>
      <c r="C432" s="63" t="str">
        <f>'Padrão EPP'!C432</f>
        <v>ES</v>
      </c>
      <c r="D432" s="63" t="str">
        <f>'Padrão EPP'!D432</f>
        <v>CAPITAL</v>
      </c>
      <c r="E432" s="63">
        <f>'Padrão EPP'!E432/2</f>
        <v>0</v>
      </c>
      <c r="F432" s="67">
        <v>3.0000000000000001E-3</v>
      </c>
      <c r="G432" s="67">
        <v>2E-3</v>
      </c>
      <c r="H432" s="63"/>
    </row>
    <row r="433" spans="1:8" x14ac:dyDescent="0.25">
      <c r="A433" s="63"/>
      <c r="B433" s="63">
        <f>'Padrão EPP'!B433</f>
        <v>21</v>
      </c>
      <c r="C433" s="63" t="str">
        <f>'Padrão EPP'!C433</f>
        <v>ES</v>
      </c>
      <c r="D433" s="63" t="str">
        <f>'Padrão EPP'!D433</f>
        <v>CAPITAL</v>
      </c>
      <c r="E433" s="63">
        <f>'Padrão EPP'!E433/2</f>
        <v>0</v>
      </c>
      <c r="F433" s="67">
        <v>3.0000000000000001E-3</v>
      </c>
      <c r="G433" s="67">
        <v>2E-3</v>
      </c>
      <c r="H433" s="63"/>
    </row>
    <row r="434" spans="1:8" x14ac:dyDescent="0.25">
      <c r="A434" s="63"/>
      <c r="B434" s="63">
        <f>'Padrão EPP'!B434</f>
        <v>22</v>
      </c>
      <c r="C434" s="63" t="str">
        <f>'Padrão EPP'!C434</f>
        <v>ES</v>
      </c>
      <c r="D434" s="63" t="str">
        <f>'Padrão EPP'!D434</f>
        <v>CAPITAL</v>
      </c>
      <c r="E434" s="63">
        <f>'Padrão EPP'!E434/2</f>
        <v>0</v>
      </c>
      <c r="F434" s="67">
        <v>3.0000000000000001E-3</v>
      </c>
      <c r="G434" s="67">
        <v>2E-3</v>
      </c>
      <c r="H434" s="63"/>
    </row>
    <row r="435" spans="1:8" x14ac:dyDescent="0.25">
      <c r="A435" s="63"/>
      <c r="B435" s="63">
        <f>'Padrão EPP'!B435</f>
        <v>23</v>
      </c>
      <c r="C435" s="63" t="str">
        <f>'Padrão EPP'!C435</f>
        <v>ES</v>
      </c>
      <c r="D435" s="63" t="str">
        <f>'Padrão EPP'!D435</f>
        <v>CAPITAL</v>
      </c>
      <c r="E435" s="63">
        <f>'Padrão EPP'!E435/2</f>
        <v>0</v>
      </c>
      <c r="F435" s="67">
        <v>3.0000000000000001E-3</v>
      </c>
      <c r="G435" s="67">
        <v>2E-3</v>
      </c>
      <c r="H435" s="63"/>
    </row>
    <row r="436" spans="1:8" x14ac:dyDescent="0.25">
      <c r="A436" s="63"/>
      <c r="B436" s="63">
        <f>'Padrão EPP'!B436</f>
        <v>24</v>
      </c>
      <c r="C436" s="63" t="str">
        <f>'Padrão EPP'!C436</f>
        <v>ES</v>
      </c>
      <c r="D436" s="63" t="str">
        <f>'Padrão EPP'!D436</f>
        <v>CAPITAL</v>
      </c>
      <c r="E436" s="63">
        <f>'Padrão EPP'!E436/2</f>
        <v>0</v>
      </c>
      <c r="F436" s="67">
        <v>3.0000000000000001E-3</v>
      </c>
      <c r="G436" s="67">
        <v>2E-3</v>
      </c>
      <c r="H436" s="63"/>
    </row>
    <row r="437" spans="1:8" x14ac:dyDescent="0.25">
      <c r="A437" s="63"/>
      <c r="B437" s="63">
        <f>'Padrão EPP'!B437</f>
        <v>25</v>
      </c>
      <c r="C437" s="63" t="str">
        <f>'Padrão EPP'!C437</f>
        <v>ES</v>
      </c>
      <c r="D437" s="63" t="str">
        <f>'Padrão EPP'!D437</f>
        <v>CAPITAL</v>
      </c>
      <c r="E437" s="63">
        <f>'Padrão EPP'!E437/2</f>
        <v>0</v>
      </c>
      <c r="F437" s="67">
        <v>3.0000000000000001E-3</v>
      </c>
      <c r="G437" s="67">
        <v>2E-3</v>
      </c>
      <c r="H437" s="63"/>
    </row>
    <row r="438" spans="1:8" x14ac:dyDescent="0.25">
      <c r="A438" s="63"/>
      <c r="B438" s="63">
        <f>'Padrão EPP'!B438</f>
        <v>26</v>
      </c>
      <c r="C438" s="63" t="str">
        <f>'Padrão EPP'!C438</f>
        <v>ES</v>
      </c>
      <c r="D438" s="63" t="str">
        <f>'Padrão EPP'!D438</f>
        <v>CAPITAL</v>
      </c>
      <c r="E438" s="63">
        <f>'Padrão EPP'!E438/2</f>
        <v>0</v>
      </c>
      <c r="F438" s="67">
        <v>3.0000000000000001E-3</v>
      </c>
      <c r="G438" s="67">
        <v>2E-3</v>
      </c>
      <c r="H438" s="63"/>
    </row>
    <row r="439" spans="1:8" x14ac:dyDescent="0.25">
      <c r="A439" s="63"/>
      <c r="B439" s="63">
        <f>'Padrão EPP'!B439</f>
        <v>27</v>
      </c>
      <c r="C439" s="63" t="str">
        <f>'Padrão EPP'!C439</f>
        <v>ES</v>
      </c>
      <c r="D439" s="63" t="str">
        <f>'Padrão EPP'!D439</f>
        <v>CAPITAL</v>
      </c>
      <c r="E439" s="63">
        <f>'Padrão EPP'!E439/2</f>
        <v>0</v>
      </c>
      <c r="F439" s="67">
        <v>3.0000000000000001E-3</v>
      </c>
      <c r="G439" s="67">
        <v>2E-3</v>
      </c>
      <c r="H439" s="63"/>
    </row>
    <row r="440" spans="1:8" x14ac:dyDescent="0.25">
      <c r="A440" s="63"/>
      <c r="B440" s="63">
        <f>'Padrão EPP'!B440</f>
        <v>28</v>
      </c>
      <c r="C440" s="63" t="str">
        <f>'Padrão EPP'!C440</f>
        <v>ES</v>
      </c>
      <c r="D440" s="63" t="str">
        <f>'Padrão EPP'!D440</f>
        <v>CAPITAL</v>
      </c>
      <c r="E440" s="63">
        <f>'Padrão EPP'!E440/2</f>
        <v>0</v>
      </c>
      <c r="F440" s="67">
        <v>3.0000000000000001E-3</v>
      </c>
      <c r="G440" s="67">
        <v>2E-3</v>
      </c>
      <c r="H440" s="63"/>
    </row>
    <row r="441" spans="1:8" x14ac:dyDescent="0.25">
      <c r="A441" s="63"/>
      <c r="B441" s="63">
        <f>'Padrão EPP'!B441</f>
        <v>29</v>
      </c>
      <c r="C441" s="63" t="str">
        <f>'Padrão EPP'!C441</f>
        <v>ES</v>
      </c>
      <c r="D441" s="63" t="str">
        <f>'Padrão EPP'!D441</f>
        <v>CAPITAL</v>
      </c>
      <c r="E441" s="63">
        <f>'Padrão EPP'!E441/2</f>
        <v>0</v>
      </c>
      <c r="F441" s="67">
        <v>3.0000000000000001E-3</v>
      </c>
      <c r="G441" s="67">
        <v>2E-3</v>
      </c>
      <c r="H441" s="63"/>
    </row>
    <row r="442" spans="1:8" x14ac:dyDescent="0.25">
      <c r="A442" s="63"/>
      <c r="B442" s="63">
        <f>'Padrão EPP'!B442</f>
        <v>30</v>
      </c>
      <c r="C442" s="63" t="str">
        <f>'Padrão EPP'!C442</f>
        <v>ES</v>
      </c>
      <c r="D442" s="63" t="str">
        <f>'Padrão EPP'!D442</f>
        <v>CAPITAL</v>
      </c>
      <c r="E442" s="63">
        <f>'Padrão EPP'!E442/2</f>
        <v>0</v>
      </c>
      <c r="F442" s="67">
        <v>3.0000000000000001E-3</v>
      </c>
      <c r="G442" s="67">
        <v>2E-3</v>
      </c>
      <c r="H442" s="63"/>
    </row>
    <row r="443" spans="1:8" x14ac:dyDescent="0.25">
      <c r="A443" s="63"/>
      <c r="B443" s="63">
        <f>'Padrão EPP'!B443</f>
        <v>0</v>
      </c>
      <c r="C443" s="63" t="str">
        <f>'Padrão EPP'!C443</f>
        <v>ES</v>
      </c>
      <c r="D443" s="63" t="str">
        <f>'Padrão EPP'!D443</f>
        <v>CAPITAL</v>
      </c>
      <c r="E443" s="63">
        <f>'Padrão EPP'!E443/2</f>
        <v>1.5214394455252955</v>
      </c>
      <c r="F443" s="67">
        <v>3.0000000000000001E-3</v>
      </c>
      <c r="G443" s="67">
        <v>2E-3</v>
      </c>
      <c r="H443" s="63"/>
    </row>
    <row r="444" spans="1:8" x14ac:dyDescent="0.25">
      <c r="A444" s="63"/>
      <c r="B444" s="63">
        <f>'Padrão EPP'!B444</f>
        <v>0.25</v>
      </c>
      <c r="C444" s="63" t="str">
        <f>'Padrão EPP'!C444</f>
        <v>ES</v>
      </c>
      <c r="D444" s="63" t="str">
        <f>'Padrão EPP'!D444</f>
        <v>INTERIOR</v>
      </c>
      <c r="E444" s="63">
        <f>'Padrão EPP'!E444/2</f>
        <v>7.3198922269477933</v>
      </c>
      <c r="F444" s="67">
        <v>3.0000000000000001E-3</v>
      </c>
      <c r="G444" s="67">
        <v>2E-3</v>
      </c>
      <c r="H444" s="63"/>
    </row>
    <row r="445" spans="1:8" x14ac:dyDescent="0.25">
      <c r="A445" s="63"/>
      <c r="B445" s="63">
        <f>'Padrão EPP'!B445</f>
        <v>0.5</v>
      </c>
      <c r="C445" s="63" t="str">
        <f>'Padrão EPP'!C445</f>
        <v>ES</v>
      </c>
      <c r="D445" s="63" t="str">
        <f>'Padrão EPP'!D445</f>
        <v>INTERIOR</v>
      </c>
      <c r="E445" s="63">
        <f>'Padrão EPP'!E445/2</f>
        <v>7.4070525721812874</v>
      </c>
      <c r="F445" s="67">
        <v>3.0000000000000001E-3</v>
      </c>
      <c r="G445" s="67">
        <v>2E-3</v>
      </c>
      <c r="H445" s="63"/>
    </row>
    <row r="446" spans="1:8" x14ac:dyDescent="0.25">
      <c r="A446" s="63"/>
      <c r="B446" s="63">
        <f>'Padrão EPP'!B446</f>
        <v>0.75</v>
      </c>
      <c r="C446" s="63" t="str">
        <f>'Padrão EPP'!C446</f>
        <v>ES</v>
      </c>
      <c r="D446" s="63" t="str">
        <f>'Padrão EPP'!D446</f>
        <v>INTERIOR</v>
      </c>
      <c r="E446" s="63">
        <f>'Padrão EPP'!E446/2</f>
        <v>7.7957006169144458</v>
      </c>
      <c r="F446" s="67">
        <v>3.0000000000000001E-3</v>
      </c>
      <c r="G446" s="67">
        <v>2E-3</v>
      </c>
      <c r="H446" s="63"/>
    </row>
    <row r="447" spans="1:8" x14ac:dyDescent="0.25">
      <c r="A447" s="63"/>
      <c r="B447" s="63">
        <f>'Padrão EPP'!B447</f>
        <v>1</v>
      </c>
      <c r="C447" s="63" t="str">
        <f>'Padrão EPP'!C447</f>
        <v>ES</v>
      </c>
      <c r="D447" s="63" t="str">
        <f>'Padrão EPP'!D447</f>
        <v>INTERIOR</v>
      </c>
      <c r="E447" s="63">
        <f>'Padrão EPP'!E447/2</f>
        <v>8.2968018178877969</v>
      </c>
      <c r="F447" s="67">
        <v>3.0000000000000001E-3</v>
      </c>
      <c r="G447" s="67">
        <v>2E-3</v>
      </c>
      <c r="H447" s="63"/>
    </row>
    <row r="448" spans="1:8" x14ac:dyDescent="0.25">
      <c r="A448" s="63"/>
      <c r="B448" s="63">
        <f>'Padrão EPP'!B448</f>
        <v>2</v>
      </c>
      <c r="C448" s="63" t="str">
        <f>'Padrão EPP'!C448</f>
        <v>ES</v>
      </c>
      <c r="D448" s="63" t="str">
        <f>'Padrão EPP'!D448</f>
        <v>INTERIOR</v>
      </c>
      <c r="E448" s="63">
        <f>'Padrão EPP'!E448/2</f>
        <v>9.0606491799035513</v>
      </c>
      <c r="F448" s="67">
        <v>3.0000000000000001E-3</v>
      </c>
      <c r="G448" s="67">
        <v>2E-3</v>
      </c>
      <c r="H448" s="63"/>
    </row>
    <row r="449" spans="1:8" x14ac:dyDescent="0.25">
      <c r="A449" s="63"/>
      <c r="B449" s="63">
        <f>'Padrão EPP'!B449</f>
        <v>3</v>
      </c>
      <c r="C449" s="63" t="str">
        <f>'Padrão EPP'!C449</f>
        <v>ES</v>
      </c>
      <c r="D449" s="63" t="str">
        <f>'Padrão EPP'!D449</f>
        <v>INTERIOR</v>
      </c>
      <c r="E449" s="63">
        <f>'Padrão EPP'!E449/2</f>
        <v>10.015480123089164</v>
      </c>
      <c r="F449" s="67">
        <v>3.0000000000000001E-3</v>
      </c>
      <c r="G449" s="67">
        <v>2E-3</v>
      </c>
      <c r="H449" s="63"/>
    </row>
    <row r="450" spans="1:8" x14ac:dyDescent="0.25">
      <c r="A450" s="63"/>
      <c r="B450" s="63">
        <f>'Padrão EPP'!B450</f>
        <v>4</v>
      </c>
      <c r="C450" s="63" t="str">
        <f>'Padrão EPP'!C450</f>
        <v>ES</v>
      </c>
      <c r="D450" s="63" t="str">
        <f>'Padrão EPP'!D450</f>
        <v>INTERIOR</v>
      </c>
      <c r="E450" s="63">
        <f>'Padrão EPP'!E450/2</f>
        <v>11.04425018159033</v>
      </c>
      <c r="F450" s="67">
        <v>3.0000000000000001E-3</v>
      </c>
      <c r="G450" s="67">
        <v>2E-3</v>
      </c>
      <c r="H450" s="63"/>
    </row>
    <row r="451" spans="1:8" x14ac:dyDescent="0.25">
      <c r="A451" s="63"/>
      <c r="B451" s="63">
        <f>'Padrão EPP'!B451</f>
        <v>5</v>
      </c>
      <c r="C451" s="63" t="str">
        <f>'Padrão EPP'!C451</f>
        <v>ES</v>
      </c>
      <c r="D451" s="63" t="str">
        <f>'Padrão EPP'!D451</f>
        <v>INTERIOR</v>
      </c>
      <c r="E451" s="63">
        <f>'Padrão EPP'!E451/2</f>
        <v>12.170130017153367</v>
      </c>
      <c r="F451" s="67">
        <v>3.0000000000000001E-3</v>
      </c>
      <c r="G451" s="67">
        <v>2E-3</v>
      </c>
      <c r="H451" s="63"/>
    </row>
    <row r="452" spans="1:8" x14ac:dyDescent="0.25">
      <c r="A452" s="63"/>
      <c r="B452" s="63">
        <f>'Padrão EPP'!B452</f>
        <v>6</v>
      </c>
      <c r="C452" s="63" t="str">
        <f>'Padrão EPP'!C452</f>
        <v>ES</v>
      </c>
      <c r="D452" s="63" t="str">
        <f>'Padrão EPP'!D452</f>
        <v>INTERIOR</v>
      </c>
      <c r="E452" s="63">
        <f>'Padrão EPP'!E452/2</f>
        <v>13.475842127014527</v>
      </c>
      <c r="F452" s="67">
        <v>3.0000000000000001E-3</v>
      </c>
      <c r="G452" s="67">
        <v>2E-3</v>
      </c>
      <c r="H452" s="63"/>
    </row>
    <row r="453" spans="1:8" x14ac:dyDescent="0.25">
      <c r="A453" s="63"/>
      <c r="B453" s="63">
        <f>'Padrão EPP'!B453</f>
        <v>7</v>
      </c>
      <c r="C453" s="63" t="str">
        <f>'Padrão EPP'!C453</f>
        <v>ES</v>
      </c>
      <c r="D453" s="63" t="str">
        <f>'Padrão EPP'!D453</f>
        <v>INTERIOR</v>
      </c>
      <c r="E453" s="63">
        <f>'Padrão EPP'!E453/2</f>
        <v>15.03473492960028</v>
      </c>
      <c r="F453" s="67">
        <v>3.0000000000000001E-3</v>
      </c>
      <c r="G453" s="67">
        <v>2E-3</v>
      </c>
      <c r="H453" s="63"/>
    </row>
    <row r="454" spans="1:8" x14ac:dyDescent="0.25">
      <c r="A454" s="63"/>
      <c r="B454" s="63">
        <f>'Padrão EPP'!B454</f>
        <v>8</v>
      </c>
      <c r="C454" s="63" t="str">
        <f>'Padrão EPP'!C454</f>
        <v>ES</v>
      </c>
      <c r="D454" s="63" t="str">
        <f>'Padrão EPP'!D454</f>
        <v>INTERIOR</v>
      </c>
      <c r="E454" s="63">
        <f>'Padrão EPP'!E454/2</f>
        <v>17.05070452508696</v>
      </c>
      <c r="F454" s="67">
        <v>3.0000000000000001E-3</v>
      </c>
      <c r="G454" s="67">
        <v>2E-3</v>
      </c>
      <c r="H454" s="63"/>
    </row>
    <row r="455" spans="1:8" x14ac:dyDescent="0.25">
      <c r="A455" s="63"/>
      <c r="B455" s="63">
        <f>'Padrão EPP'!B455</f>
        <v>9</v>
      </c>
      <c r="C455" s="63" t="str">
        <f>'Padrão EPP'!C455</f>
        <v>ES</v>
      </c>
      <c r="D455" s="63" t="str">
        <f>'Padrão EPP'!D455</f>
        <v>INTERIOR</v>
      </c>
      <c r="E455" s="63">
        <f>'Padrão EPP'!E455/2</f>
        <v>18.471058363147844</v>
      </c>
      <c r="F455" s="67">
        <v>3.0000000000000001E-3</v>
      </c>
      <c r="G455" s="67">
        <v>2E-3</v>
      </c>
      <c r="H455" s="63"/>
    </row>
    <row r="456" spans="1:8" x14ac:dyDescent="0.25">
      <c r="A456" s="63"/>
      <c r="B456" s="63">
        <f>'Padrão EPP'!B456</f>
        <v>10</v>
      </c>
      <c r="C456" s="63" t="str">
        <f>'Padrão EPP'!C456</f>
        <v>ES</v>
      </c>
      <c r="D456" s="63" t="str">
        <f>'Padrão EPP'!D456</f>
        <v>INTERIOR</v>
      </c>
      <c r="E456" s="63">
        <f>'Padrão EPP'!E456/2</f>
        <v>19.852197090559571</v>
      </c>
      <c r="F456" s="67">
        <v>3.0000000000000001E-3</v>
      </c>
      <c r="G456" s="67">
        <v>2E-3</v>
      </c>
      <c r="H456" s="63"/>
    </row>
    <row r="457" spans="1:8" x14ac:dyDescent="0.25">
      <c r="A457" s="63"/>
      <c r="B457" s="63">
        <f>'Padrão EPP'!B457</f>
        <v>11</v>
      </c>
      <c r="C457" s="63" t="str">
        <f>'Padrão EPP'!C457</f>
        <v>ES</v>
      </c>
      <c r="D457" s="63" t="str">
        <f>'Padrão EPP'!D457</f>
        <v>INTERIOR</v>
      </c>
      <c r="E457" s="63">
        <f>'Padrão EPP'!E457/2</f>
        <v>0</v>
      </c>
      <c r="F457" s="67">
        <v>3.0000000000000001E-3</v>
      </c>
      <c r="G457" s="67">
        <v>2E-3</v>
      </c>
      <c r="H457" s="63"/>
    </row>
    <row r="458" spans="1:8" x14ac:dyDescent="0.25">
      <c r="A458" s="63"/>
      <c r="B458" s="63">
        <f>'Padrão EPP'!B458</f>
        <v>12</v>
      </c>
      <c r="C458" s="63" t="str">
        <f>'Padrão EPP'!C458</f>
        <v>ES</v>
      </c>
      <c r="D458" s="63" t="str">
        <f>'Padrão EPP'!D458</f>
        <v>INTERIOR</v>
      </c>
      <c r="E458" s="63">
        <f>'Padrão EPP'!E458/2</f>
        <v>0</v>
      </c>
      <c r="F458" s="67">
        <v>3.0000000000000001E-3</v>
      </c>
      <c r="G458" s="67">
        <v>2E-3</v>
      </c>
      <c r="H458" s="63"/>
    </row>
    <row r="459" spans="1:8" x14ac:dyDescent="0.25">
      <c r="A459" s="63"/>
      <c r="B459" s="63">
        <f>'Padrão EPP'!B459</f>
        <v>13</v>
      </c>
      <c r="C459" s="63" t="str">
        <f>'Padrão EPP'!C459</f>
        <v>ES</v>
      </c>
      <c r="D459" s="63" t="str">
        <f>'Padrão EPP'!D459</f>
        <v>INTERIOR</v>
      </c>
      <c r="E459" s="63">
        <f>'Padrão EPP'!E459/2</f>
        <v>0</v>
      </c>
      <c r="F459" s="67">
        <v>3.0000000000000001E-3</v>
      </c>
      <c r="G459" s="67">
        <v>2E-3</v>
      </c>
      <c r="H459" s="63"/>
    </row>
    <row r="460" spans="1:8" x14ac:dyDescent="0.25">
      <c r="A460" s="63"/>
      <c r="B460" s="63">
        <f>'Padrão EPP'!B460</f>
        <v>14</v>
      </c>
      <c r="C460" s="63" t="str">
        <f>'Padrão EPP'!C460</f>
        <v>ES</v>
      </c>
      <c r="D460" s="63" t="str">
        <f>'Padrão EPP'!D460</f>
        <v>INTERIOR</v>
      </c>
      <c r="E460" s="63">
        <f>'Padrão EPP'!E460/2</f>
        <v>0</v>
      </c>
      <c r="F460" s="67">
        <v>3.0000000000000001E-3</v>
      </c>
      <c r="G460" s="67">
        <v>2E-3</v>
      </c>
      <c r="H460" s="63"/>
    </row>
    <row r="461" spans="1:8" x14ac:dyDescent="0.25">
      <c r="A461" s="63"/>
      <c r="B461" s="63">
        <f>'Padrão EPP'!B461</f>
        <v>15</v>
      </c>
      <c r="C461" s="63" t="str">
        <f>'Padrão EPP'!C461</f>
        <v>ES</v>
      </c>
      <c r="D461" s="63" t="str">
        <f>'Padrão EPP'!D461</f>
        <v>INTERIOR</v>
      </c>
      <c r="E461" s="63">
        <f>'Padrão EPP'!E461/2</f>
        <v>0</v>
      </c>
      <c r="F461" s="67">
        <v>3.0000000000000001E-3</v>
      </c>
      <c r="G461" s="67">
        <v>2E-3</v>
      </c>
      <c r="H461" s="63"/>
    </row>
    <row r="462" spans="1:8" x14ac:dyDescent="0.25">
      <c r="A462" s="63"/>
      <c r="B462" s="63">
        <f>'Padrão EPP'!B462</f>
        <v>16</v>
      </c>
      <c r="C462" s="63" t="str">
        <f>'Padrão EPP'!C462</f>
        <v>ES</v>
      </c>
      <c r="D462" s="63" t="str">
        <f>'Padrão EPP'!D462</f>
        <v>INTERIOR</v>
      </c>
      <c r="E462" s="63">
        <f>'Padrão EPP'!E462/2</f>
        <v>0</v>
      </c>
      <c r="F462" s="67">
        <v>3.0000000000000001E-3</v>
      </c>
      <c r="G462" s="67">
        <v>2E-3</v>
      </c>
      <c r="H462" s="63"/>
    </row>
    <row r="463" spans="1:8" x14ac:dyDescent="0.25">
      <c r="A463" s="63"/>
      <c r="B463" s="63">
        <f>'Padrão EPP'!B463</f>
        <v>17</v>
      </c>
      <c r="C463" s="63" t="str">
        <f>'Padrão EPP'!C463</f>
        <v>ES</v>
      </c>
      <c r="D463" s="63" t="str">
        <f>'Padrão EPP'!D463</f>
        <v>INTERIOR</v>
      </c>
      <c r="E463" s="63">
        <f>'Padrão EPP'!E463/2</f>
        <v>0</v>
      </c>
      <c r="F463" s="67">
        <v>3.0000000000000001E-3</v>
      </c>
      <c r="G463" s="67">
        <v>2E-3</v>
      </c>
      <c r="H463" s="63"/>
    </row>
    <row r="464" spans="1:8" x14ac:dyDescent="0.25">
      <c r="A464" s="63"/>
      <c r="B464" s="63">
        <f>'Padrão EPP'!B464</f>
        <v>18</v>
      </c>
      <c r="C464" s="63" t="str">
        <f>'Padrão EPP'!C464</f>
        <v>ES</v>
      </c>
      <c r="D464" s="63" t="str">
        <f>'Padrão EPP'!D464</f>
        <v>INTERIOR</v>
      </c>
      <c r="E464" s="63">
        <f>'Padrão EPP'!E464/2</f>
        <v>0</v>
      </c>
      <c r="F464" s="67">
        <v>3.0000000000000001E-3</v>
      </c>
      <c r="G464" s="67">
        <v>2E-3</v>
      </c>
      <c r="H464" s="63"/>
    </row>
    <row r="465" spans="1:8" x14ac:dyDescent="0.25">
      <c r="A465" s="63"/>
      <c r="B465" s="63">
        <f>'Padrão EPP'!B465</f>
        <v>19</v>
      </c>
      <c r="C465" s="63" t="str">
        <f>'Padrão EPP'!C465</f>
        <v>ES</v>
      </c>
      <c r="D465" s="63" t="str">
        <f>'Padrão EPP'!D465</f>
        <v>INTERIOR</v>
      </c>
      <c r="E465" s="63">
        <f>'Padrão EPP'!E465/2</f>
        <v>0</v>
      </c>
      <c r="F465" s="67">
        <v>3.0000000000000001E-3</v>
      </c>
      <c r="G465" s="67">
        <v>2E-3</v>
      </c>
      <c r="H465" s="63"/>
    </row>
    <row r="466" spans="1:8" x14ac:dyDescent="0.25">
      <c r="A466" s="63"/>
      <c r="B466" s="63">
        <f>'Padrão EPP'!B466</f>
        <v>20</v>
      </c>
      <c r="C466" s="63" t="str">
        <f>'Padrão EPP'!C466</f>
        <v>ES</v>
      </c>
      <c r="D466" s="63" t="str">
        <f>'Padrão EPP'!D466</f>
        <v>INTERIOR</v>
      </c>
      <c r="E466" s="63">
        <f>'Padrão EPP'!E466/2</f>
        <v>0</v>
      </c>
      <c r="F466" s="67">
        <v>3.0000000000000001E-3</v>
      </c>
      <c r="G466" s="67">
        <v>2E-3</v>
      </c>
      <c r="H466" s="63"/>
    </row>
    <row r="467" spans="1:8" x14ac:dyDescent="0.25">
      <c r="A467" s="63"/>
      <c r="B467" s="63">
        <f>'Padrão EPP'!B467</f>
        <v>21</v>
      </c>
      <c r="C467" s="63" t="str">
        <f>'Padrão EPP'!C467</f>
        <v>ES</v>
      </c>
      <c r="D467" s="63" t="str">
        <f>'Padrão EPP'!D467</f>
        <v>INTERIOR</v>
      </c>
      <c r="E467" s="63">
        <f>'Padrão EPP'!E467/2</f>
        <v>0</v>
      </c>
      <c r="F467" s="67">
        <v>3.0000000000000001E-3</v>
      </c>
      <c r="G467" s="67">
        <v>2E-3</v>
      </c>
      <c r="H467" s="63"/>
    </row>
    <row r="468" spans="1:8" x14ac:dyDescent="0.25">
      <c r="A468" s="63"/>
      <c r="B468" s="63">
        <f>'Padrão EPP'!B468</f>
        <v>22</v>
      </c>
      <c r="C468" s="63" t="str">
        <f>'Padrão EPP'!C468</f>
        <v>ES</v>
      </c>
      <c r="D468" s="63" t="str">
        <f>'Padrão EPP'!D468</f>
        <v>INTERIOR</v>
      </c>
      <c r="E468" s="63">
        <f>'Padrão EPP'!E468/2</f>
        <v>0</v>
      </c>
      <c r="F468" s="67">
        <v>3.0000000000000001E-3</v>
      </c>
      <c r="G468" s="67">
        <v>2E-3</v>
      </c>
      <c r="H468" s="63"/>
    </row>
    <row r="469" spans="1:8" x14ac:dyDescent="0.25">
      <c r="A469" s="63"/>
      <c r="B469" s="63">
        <f>'Padrão EPP'!B469</f>
        <v>23</v>
      </c>
      <c r="C469" s="63" t="str">
        <f>'Padrão EPP'!C469</f>
        <v>ES</v>
      </c>
      <c r="D469" s="63" t="str">
        <f>'Padrão EPP'!D469</f>
        <v>INTERIOR</v>
      </c>
      <c r="E469" s="63">
        <f>'Padrão EPP'!E469/2</f>
        <v>0</v>
      </c>
      <c r="F469" s="67">
        <v>3.0000000000000001E-3</v>
      </c>
      <c r="G469" s="67">
        <v>2E-3</v>
      </c>
      <c r="H469" s="63"/>
    </row>
    <row r="470" spans="1:8" x14ac:dyDescent="0.25">
      <c r="A470" s="63"/>
      <c r="B470" s="63">
        <f>'Padrão EPP'!B470</f>
        <v>24</v>
      </c>
      <c r="C470" s="63" t="str">
        <f>'Padrão EPP'!C470</f>
        <v>ES</v>
      </c>
      <c r="D470" s="63" t="str">
        <f>'Padrão EPP'!D470</f>
        <v>INTERIOR</v>
      </c>
      <c r="E470" s="63">
        <f>'Padrão EPP'!E470/2</f>
        <v>0</v>
      </c>
      <c r="F470" s="67">
        <v>3.0000000000000001E-3</v>
      </c>
      <c r="G470" s="67">
        <v>2E-3</v>
      </c>
      <c r="H470" s="63"/>
    </row>
    <row r="471" spans="1:8" x14ac:dyDescent="0.25">
      <c r="A471" s="63"/>
      <c r="B471" s="63">
        <f>'Padrão EPP'!B471</f>
        <v>25</v>
      </c>
      <c r="C471" s="63" t="str">
        <f>'Padrão EPP'!C471</f>
        <v>ES</v>
      </c>
      <c r="D471" s="63" t="str">
        <f>'Padrão EPP'!D471</f>
        <v>INTERIOR</v>
      </c>
      <c r="E471" s="63">
        <f>'Padrão EPP'!E471/2</f>
        <v>0</v>
      </c>
      <c r="F471" s="67">
        <v>3.0000000000000001E-3</v>
      </c>
      <c r="G471" s="67">
        <v>2E-3</v>
      </c>
      <c r="H471" s="63"/>
    </row>
    <row r="472" spans="1:8" x14ac:dyDescent="0.25">
      <c r="A472" s="63"/>
      <c r="B472" s="63">
        <f>'Padrão EPP'!B472</f>
        <v>26</v>
      </c>
      <c r="C472" s="63" t="str">
        <f>'Padrão EPP'!C472</f>
        <v>ES</v>
      </c>
      <c r="D472" s="63" t="str">
        <f>'Padrão EPP'!D472</f>
        <v>INTERIOR</v>
      </c>
      <c r="E472" s="63">
        <f>'Padrão EPP'!E472/2</f>
        <v>0</v>
      </c>
      <c r="F472" s="67">
        <v>3.0000000000000001E-3</v>
      </c>
      <c r="G472" s="67">
        <v>2E-3</v>
      </c>
      <c r="H472" s="63"/>
    </row>
    <row r="473" spans="1:8" x14ac:dyDescent="0.25">
      <c r="A473" s="63"/>
      <c r="B473" s="63">
        <f>'Padrão EPP'!B473</f>
        <v>27</v>
      </c>
      <c r="C473" s="63" t="str">
        <f>'Padrão EPP'!C473</f>
        <v>ES</v>
      </c>
      <c r="D473" s="63" t="str">
        <f>'Padrão EPP'!D473</f>
        <v>INTERIOR</v>
      </c>
      <c r="E473" s="63">
        <f>'Padrão EPP'!E473/2</f>
        <v>0</v>
      </c>
      <c r="F473" s="67">
        <v>3.0000000000000001E-3</v>
      </c>
      <c r="G473" s="67">
        <v>2E-3</v>
      </c>
      <c r="H473" s="63"/>
    </row>
    <row r="474" spans="1:8" x14ac:dyDescent="0.25">
      <c r="A474" s="63"/>
      <c r="B474" s="63">
        <f>'Padrão EPP'!B474</f>
        <v>28</v>
      </c>
      <c r="C474" s="63" t="str">
        <f>'Padrão EPP'!C474</f>
        <v>ES</v>
      </c>
      <c r="D474" s="63" t="str">
        <f>'Padrão EPP'!D474</f>
        <v>INTERIOR</v>
      </c>
      <c r="E474" s="63">
        <f>'Padrão EPP'!E474/2</f>
        <v>0</v>
      </c>
      <c r="F474" s="67">
        <v>3.0000000000000001E-3</v>
      </c>
      <c r="G474" s="67">
        <v>2E-3</v>
      </c>
      <c r="H474" s="63"/>
    </row>
    <row r="475" spans="1:8" x14ac:dyDescent="0.25">
      <c r="A475" s="63"/>
      <c r="B475" s="63">
        <f>'Padrão EPP'!B475</f>
        <v>29</v>
      </c>
      <c r="C475" s="63" t="str">
        <f>'Padrão EPP'!C475</f>
        <v>ES</v>
      </c>
      <c r="D475" s="63" t="str">
        <f>'Padrão EPP'!D475</f>
        <v>INTERIOR</v>
      </c>
      <c r="E475" s="63">
        <f>'Padrão EPP'!E475/2</f>
        <v>0</v>
      </c>
      <c r="F475" s="67">
        <v>3.0000000000000001E-3</v>
      </c>
      <c r="G475" s="67">
        <v>2E-3</v>
      </c>
      <c r="H475" s="63"/>
    </row>
    <row r="476" spans="1:8" x14ac:dyDescent="0.25">
      <c r="A476" s="63"/>
      <c r="B476" s="63">
        <f>'Padrão EPP'!B476</f>
        <v>30</v>
      </c>
      <c r="C476" s="63" t="str">
        <f>'Padrão EPP'!C476</f>
        <v>ES</v>
      </c>
      <c r="D476" s="63" t="str">
        <f>'Padrão EPP'!D476</f>
        <v>INTERIOR</v>
      </c>
      <c r="E476" s="63">
        <f>'Padrão EPP'!E476/2</f>
        <v>0</v>
      </c>
      <c r="F476" s="67">
        <v>3.0000000000000001E-3</v>
      </c>
      <c r="G476" s="67">
        <v>2E-3</v>
      </c>
      <c r="H476" s="63"/>
    </row>
    <row r="477" spans="1:8" x14ac:dyDescent="0.25">
      <c r="A477" s="63"/>
      <c r="B477" s="63">
        <f>'Padrão EPP'!B477</f>
        <v>0</v>
      </c>
      <c r="C477" s="63" t="str">
        <f>'Padrão EPP'!C477</f>
        <v>ES</v>
      </c>
      <c r="D477" s="63" t="str">
        <f>'Padrão EPP'!D477</f>
        <v>INTERIOR</v>
      </c>
      <c r="E477" s="63">
        <f>'Padrão EPP'!E477/2</f>
        <v>1.5214394455252955</v>
      </c>
      <c r="F477" s="67">
        <v>3.0000000000000001E-3</v>
      </c>
      <c r="G477" s="67">
        <v>2E-3</v>
      </c>
      <c r="H477" s="63"/>
    </row>
    <row r="478" spans="1:8" x14ac:dyDescent="0.25">
      <c r="A478" s="63"/>
      <c r="B478" s="63">
        <f>'Padrão EPP'!B478</f>
        <v>0.25</v>
      </c>
      <c r="C478" s="63" t="str">
        <f>'Padrão EPP'!C478</f>
        <v>ES</v>
      </c>
      <c r="D478" s="63" t="str">
        <f>'Padrão EPP'!D478</f>
        <v>INTERIOR II</v>
      </c>
      <c r="E478" s="63">
        <f>'Padrão EPP'!E478/2</f>
        <v>9.4158098984704282</v>
      </c>
      <c r="F478" s="67">
        <v>3.0000000000000001E-3</v>
      </c>
      <c r="G478" s="67">
        <v>2E-3</v>
      </c>
      <c r="H478" s="63"/>
    </row>
    <row r="479" spans="1:8" x14ac:dyDescent="0.25">
      <c r="A479" s="63"/>
      <c r="B479" s="63">
        <f>'Padrão EPP'!B479</f>
        <v>0.5</v>
      </c>
      <c r="C479" s="63" t="str">
        <f>'Padrão EPP'!C479</f>
        <v>ES</v>
      </c>
      <c r="D479" s="63" t="str">
        <f>'Padrão EPP'!D479</f>
        <v>INTERIOR II</v>
      </c>
      <c r="E479" s="63">
        <f>'Padrão EPP'!E479/2</f>
        <v>9.6351141140719427</v>
      </c>
      <c r="F479" s="67">
        <v>3.0000000000000001E-3</v>
      </c>
      <c r="G479" s="67">
        <v>2E-3</v>
      </c>
      <c r="H479" s="63"/>
    </row>
    <row r="480" spans="1:8" x14ac:dyDescent="0.25">
      <c r="A480" s="63"/>
      <c r="B480" s="63">
        <f>'Padrão EPP'!B480</f>
        <v>0.75</v>
      </c>
      <c r="C480" s="63" t="str">
        <f>'Padrão EPP'!C480</f>
        <v>ES</v>
      </c>
      <c r="D480" s="63" t="str">
        <f>'Padrão EPP'!D480</f>
        <v>INTERIOR II</v>
      </c>
      <c r="E480" s="63">
        <f>'Padrão EPP'!E480/2</f>
        <v>9.7665930335449715</v>
      </c>
      <c r="F480" s="67">
        <v>3.0000000000000001E-3</v>
      </c>
      <c r="G480" s="67">
        <v>2E-3</v>
      </c>
      <c r="H480" s="63"/>
    </row>
    <row r="481" spans="1:8" x14ac:dyDescent="0.25">
      <c r="A481" s="63"/>
      <c r="B481" s="63">
        <f>'Padrão EPP'!B481</f>
        <v>1</v>
      </c>
      <c r="C481" s="63" t="str">
        <f>'Padrão EPP'!C481</f>
        <v>ES</v>
      </c>
      <c r="D481" s="63" t="str">
        <f>'Padrão EPP'!D481</f>
        <v>INTERIOR II</v>
      </c>
      <c r="E481" s="63">
        <f>'Padrão EPP'!E481/2</f>
        <v>10.144163122221308</v>
      </c>
      <c r="F481" s="67">
        <v>3.0000000000000001E-3</v>
      </c>
      <c r="G481" s="67">
        <v>2E-3</v>
      </c>
      <c r="H481" s="63"/>
    </row>
    <row r="482" spans="1:8" x14ac:dyDescent="0.25">
      <c r="A482" s="63"/>
      <c r="B482" s="63">
        <f>'Padrão EPP'!B482</f>
        <v>2</v>
      </c>
      <c r="C482" s="63" t="str">
        <f>'Padrão EPP'!C482</f>
        <v>ES</v>
      </c>
      <c r="D482" s="63" t="str">
        <f>'Padrão EPP'!D482</f>
        <v>INTERIOR II</v>
      </c>
      <c r="E482" s="63">
        <f>'Padrão EPP'!E482/2</f>
        <v>10.863846035959927</v>
      </c>
      <c r="F482" s="67">
        <v>3.0000000000000001E-3</v>
      </c>
      <c r="G482" s="67">
        <v>2E-3</v>
      </c>
      <c r="H482" s="63"/>
    </row>
    <row r="483" spans="1:8" x14ac:dyDescent="0.25">
      <c r="A483" s="63"/>
      <c r="B483" s="63">
        <f>'Padrão EPP'!B483</f>
        <v>3</v>
      </c>
      <c r="C483" s="63" t="str">
        <f>'Padrão EPP'!C483</f>
        <v>ES</v>
      </c>
      <c r="D483" s="63" t="str">
        <f>'Padrão EPP'!D483</f>
        <v>INTERIOR II</v>
      </c>
      <c r="E483" s="63">
        <f>'Padrão EPP'!E483/2</f>
        <v>11.830287014045282</v>
      </c>
      <c r="F483" s="67">
        <v>3.0000000000000001E-3</v>
      </c>
      <c r="G483" s="67">
        <v>2E-3</v>
      </c>
      <c r="H483" s="63"/>
    </row>
    <row r="484" spans="1:8" x14ac:dyDescent="0.25">
      <c r="A484" s="63"/>
      <c r="B484" s="63">
        <f>'Padrão EPP'!B484</f>
        <v>4</v>
      </c>
      <c r="C484" s="63" t="str">
        <f>'Padrão EPP'!C484</f>
        <v>ES</v>
      </c>
      <c r="D484" s="63" t="str">
        <f>'Padrão EPP'!D484</f>
        <v>INTERIOR II</v>
      </c>
      <c r="E484" s="63">
        <f>'Padrão EPP'!E484/2</f>
        <v>12.831979144180167</v>
      </c>
      <c r="F484" s="67">
        <v>3.0000000000000001E-3</v>
      </c>
      <c r="G484" s="67">
        <v>2E-3</v>
      </c>
      <c r="H484" s="63"/>
    </row>
    <row r="485" spans="1:8" x14ac:dyDescent="0.25">
      <c r="A485" s="63"/>
      <c r="B485" s="63">
        <f>'Padrão EPP'!B485</f>
        <v>5</v>
      </c>
      <c r="C485" s="63" t="str">
        <f>'Padrão EPP'!C485</f>
        <v>ES</v>
      </c>
      <c r="D485" s="63" t="str">
        <f>'Padrão EPP'!D485</f>
        <v>INTERIOR II</v>
      </c>
      <c r="E485" s="63">
        <f>'Padrão EPP'!E485/2</f>
        <v>13.588758623440253</v>
      </c>
      <c r="F485" s="67">
        <v>3.0000000000000001E-3</v>
      </c>
      <c r="G485" s="67">
        <v>2E-3</v>
      </c>
      <c r="H485" s="63"/>
    </row>
    <row r="486" spans="1:8" x14ac:dyDescent="0.25">
      <c r="A486" s="63"/>
      <c r="B486" s="63">
        <f>'Padrão EPP'!B486</f>
        <v>6</v>
      </c>
      <c r="C486" s="63" t="str">
        <f>'Padrão EPP'!C486</f>
        <v>ES</v>
      </c>
      <c r="D486" s="63" t="str">
        <f>'Padrão EPP'!D486</f>
        <v>INTERIOR II</v>
      </c>
      <c r="E486" s="63">
        <f>'Padrão EPP'!E486/2</f>
        <v>15.753440896180415</v>
      </c>
      <c r="F486" s="67">
        <v>3.0000000000000001E-3</v>
      </c>
      <c r="G486" s="67">
        <v>2E-3</v>
      </c>
      <c r="H486" s="63"/>
    </row>
    <row r="487" spans="1:8" x14ac:dyDescent="0.25">
      <c r="A487" s="63"/>
      <c r="B487" s="63">
        <f>'Padrão EPP'!B487</f>
        <v>7</v>
      </c>
      <c r="C487" s="63" t="str">
        <f>'Padrão EPP'!C487</f>
        <v>ES</v>
      </c>
      <c r="D487" s="63" t="str">
        <f>'Padrão EPP'!D487</f>
        <v>INTERIOR II</v>
      </c>
      <c r="E487" s="63">
        <f>'Padrão EPP'!E487/2</f>
        <v>17.162508561189835</v>
      </c>
      <c r="F487" s="67">
        <v>3.0000000000000001E-3</v>
      </c>
      <c r="G487" s="67">
        <v>2E-3</v>
      </c>
      <c r="H487" s="63"/>
    </row>
    <row r="488" spans="1:8" x14ac:dyDescent="0.25">
      <c r="A488" s="63"/>
      <c r="B488" s="63">
        <f>'Padrão EPP'!B488</f>
        <v>8</v>
      </c>
      <c r="C488" s="63" t="str">
        <f>'Padrão EPP'!C488</f>
        <v>ES</v>
      </c>
      <c r="D488" s="63" t="str">
        <f>'Padrão EPP'!D488</f>
        <v>INTERIOR II</v>
      </c>
      <c r="E488" s="63">
        <f>'Padrão EPP'!E488/2</f>
        <v>18.618048067478774</v>
      </c>
      <c r="F488" s="67">
        <v>3.0000000000000001E-3</v>
      </c>
      <c r="G488" s="67">
        <v>2E-3</v>
      </c>
      <c r="H488" s="63"/>
    </row>
    <row r="489" spans="1:8" x14ac:dyDescent="0.25">
      <c r="A489" s="63"/>
      <c r="B489" s="63">
        <f>'Padrão EPP'!B489</f>
        <v>9</v>
      </c>
      <c r="C489" s="63" t="str">
        <f>'Padrão EPP'!C489</f>
        <v>ES</v>
      </c>
      <c r="D489" s="63" t="str">
        <f>'Padrão EPP'!D489</f>
        <v>INTERIOR II</v>
      </c>
      <c r="E489" s="63">
        <f>'Padrão EPP'!E489/2</f>
        <v>20.427037597364169</v>
      </c>
      <c r="F489" s="67">
        <v>3.0000000000000001E-3</v>
      </c>
      <c r="G489" s="67">
        <v>2E-3</v>
      </c>
      <c r="H489" s="63"/>
    </row>
    <row r="490" spans="1:8" x14ac:dyDescent="0.25">
      <c r="A490" s="63"/>
      <c r="B490" s="63">
        <f>'Padrão EPP'!B490</f>
        <v>10</v>
      </c>
      <c r="C490" s="63" t="str">
        <f>'Padrão EPP'!C490</f>
        <v>ES</v>
      </c>
      <c r="D490" s="63" t="str">
        <f>'Padrão EPP'!D490</f>
        <v>INTERIOR II</v>
      </c>
      <c r="E490" s="63">
        <f>'Padrão EPP'!E490/2</f>
        <v>21.908082761854864</v>
      </c>
      <c r="F490" s="67">
        <v>3.0000000000000001E-3</v>
      </c>
      <c r="G490" s="67">
        <v>2E-3</v>
      </c>
      <c r="H490" s="63"/>
    </row>
    <row r="491" spans="1:8" x14ac:dyDescent="0.25">
      <c r="A491" s="63"/>
      <c r="B491" s="63">
        <f>'Padrão EPP'!B491</f>
        <v>11</v>
      </c>
      <c r="C491" s="63" t="str">
        <f>'Padrão EPP'!C491</f>
        <v>ES</v>
      </c>
      <c r="D491" s="63" t="str">
        <f>'Padrão EPP'!D491</f>
        <v>INTERIOR II</v>
      </c>
      <c r="E491" s="63">
        <f>'Padrão EPP'!E491/2</f>
        <v>0</v>
      </c>
      <c r="F491" s="67">
        <v>3.0000000000000001E-3</v>
      </c>
      <c r="G491" s="67">
        <v>2E-3</v>
      </c>
      <c r="H491" s="63"/>
    </row>
    <row r="492" spans="1:8" x14ac:dyDescent="0.25">
      <c r="A492" s="63"/>
      <c r="B492" s="63">
        <f>'Padrão EPP'!B492</f>
        <v>12</v>
      </c>
      <c r="C492" s="63" t="str">
        <f>'Padrão EPP'!C492</f>
        <v>ES</v>
      </c>
      <c r="D492" s="63" t="str">
        <f>'Padrão EPP'!D492</f>
        <v>INTERIOR II</v>
      </c>
      <c r="E492" s="63">
        <f>'Padrão EPP'!E492/2</f>
        <v>0</v>
      </c>
      <c r="F492" s="67">
        <v>3.0000000000000001E-3</v>
      </c>
      <c r="G492" s="67">
        <v>2E-3</v>
      </c>
      <c r="H492" s="63"/>
    </row>
    <row r="493" spans="1:8" x14ac:dyDescent="0.25">
      <c r="A493" s="63"/>
      <c r="B493" s="63">
        <f>'Padrão EPP'!B493</f>
        <v>13</v>
      </c>
      <c r="C493" s="63" t="str">
        <f>'Padrão EPP'!C493</f>
        <v>ES</v>
      </c>
      <c r="D493" s="63" t="str">
        <f>'Padrão EPP'!D493</f>
        <v>INTERIOR II</v>
      </c>
      <c r="E493" s="63">
        <f>'Padrão EPP'!E493/2</f>
        <v>0</v>
      </c>
      <c r="F493" s="67">
        <v>3.0000000000000001E-3</v>
      </c>
      <c r="G493" s="67">
        <v>2E-3</v>
      </c>
      <c r="H493" s="63"/>
    </row>
    <row r="494" spans="1:8" x14ac:dyDescent="0.25">
      <c r="A494" s="63"/>
      <c r="B494" s="63">
        <f>'Padrão EPP'!B494</f>
        <v>14</v>
      </c>
      <c r="C494" s="63" t="str">
        <f>'Padrão EPP'!C494</f>
        <v>ES</v>
      </c>
      <c r="D494" s="63" t="str">
        <f>'Padrão EPP'!D494</f>
        <v>INTERIOR II</v>
      </c>
      <c r="E494" s="63">
        <f>'Padrão EPP'!E494/2</f>
        <v>0</v>
      </c>
      <c r="F494" s="67">
        <v>3.0000000000000001E-3</v>
      </c>
      <c r="G494" s="67">
        <v>2E-3</v>
      </c>
      <c r="H494" s="63"/>
    </row>
    <row r="495" spans="1:8" x14ac:dyDescent="0.25">
      <c r="A495" s="63"/>
      <c r="B495" s="63">
        <f>'Padrão EPP'!B495</f>
        <v>15</v>
      </c>
      <c r="C495" s="63" t="str">
        <f>'Padrão EPP'!C495</f>
        <v>ES</v>
      </c>
      <c r="D495" s="63" t="str">
        <f>'Padrão EPP'!D495</f>
        <v>INTERIOR II</v>
      </c>
      <c r="E495" s="63">
        <f>'Padrão EPP'!E495/2</f>
        <v>0</v>
      </c>
      <c r="F495" s="67">
        <v>3.0000000000000001E-3</v>
      </c>
      <c r="G495" s="67">
        <v>2E-3</v>
      </c>
      <c r="H495" s="63"/>
    </row>
    <row r="496" spans="1:8" x14ac:dyDescent="0.25">
      <c r="A496" s="63"/>
      <c r="B496" s="63">
        <f>'Padrão EPP'!B496</f>
        <v>16</v>
      </c>
      <c r="C496" s="63" t="str">
        <f>'Padrão EPP'!C496</f>
        <v>ES</v>
      </c>
      <c r="D496" s="63" t="str">
        <f>'Padrão EPP'!D496</f>
        <v>INTERIOR II</v>
      </c>
      <c r="E496" s="63">
        <f>'Padrão EPP'!E496/2</f>
        <v>0</v>
      </c>
      <c r="F496" s="67">
        <v>3.0000000000000001E-3</v>
      </c>
      <c r="G496" s="67">
        <v>2E-3</v>
      </c>
      <c r="H496" s="63"/>
    </row>
    <row r="497" spans="1:8" x14ac:dyDescent="0.25">
      <c r="A497" s="63"/>
      <c r="B497" s="63">
        <f>'Padrão EPP'!B497</f>
        <v>17</v>
      </c>
      <c r="C497" s="63" t="str">
        <f>'Padrão EPP'!C497</f>
        <v>ES</v>
      </c>
      <c r="D497" s="63" t="str">
        <f>'Padrão EPP'!D497</f>
        <v>INTERIOR II</v>
      </c>
      <c r="E497" s="63">
        <f>'Padrão EPP'!E497/2</f>
        <v>0</v>
      </c>
      <c r="F497" s="67">
        <v>3.0000000000000001E-3</v>
      </c>
      <c r="G497" s="67">
        <v>2E-3</v>
      </c>
      <c r="H497" s="63"/>
    </row>
    <row r="498" spans="1:8" x14ac:dyDescent="0.25">
      <c r="A498" s="63"/>
      <c r="B498" s="63">
        <f>'Padrão EPP'!B498</f>
        <v>18</v>
      </c>
      <c r="C498" s="63" t="str">
        <f>'Padrão EPP'!C498</f>
        <v>ES</v>
      </c>
      <c r="D498" s="63" t="str">
        <f>'Padrão EPP'!D498</f>
        <v>INTERIOR II</v>
      </c>
      <c r="E498" s="63">
        <f>'Padrão EPP'!E498/2</f>
        <v>0</v>
      </c>
      <c r="F498" s="67">
        <v>3.0000000000000001E-3</v>
      </c>
      <c r="G498" s="67">
        <v>2E-3</v>
      </c>
      <c r="H498" s="63"/>
    </row>
    <row r="499" spans="1:8" x14ac:dyDescent="0.25">
      <c r="A499" s="63"/>
      <c r="B499" s="63">
        <f>'Padrão EPP'!B499</f>
        <v>19</v>
      </c>
      <c r="C499" s="63" t="str">
        <f>'Padrão EPP'!C499</f>
        <v>ES</v>
      </c>
      <c r="D499" s="63" t="str">
        <f>'Padrão EPP'!D499</f>
        <v>INTERIOR II</v>
      </c>
      <c r="E499" s="63">
        <f>'Padrão EPP'!E499/2</f>
        <v>0</v>
      </c>
      <c r="F499" s="67">
        <v>3.0000000000000001E-3</v>
      </c>
      <c r="G499" s="67">
        <v>2E-3</v>
      </c>
      <c r="H499" s="63"/>
    </row>
    <row r="500" spans="1:8" x14ac:dyDescent="0.25">
      <c r="A500" s="63"/>
      <c r="B500" s="63">
        <f>'Padrão EPP'!B500</f>
        <v>20</v>
      </c>
      <c r="C500" s="63" t="str">
        <f>'Padrão EPP'!C500</f>
        <v>ES</v>
      </c>
      <c r="D500" s="63" t="str">
        <f>'Padrão EPP'!D500</f>
        <v>INTERIOR II</v>
      </c>
      <c r="E500" s="63">
        <f>'Padrão EPP'!E500/2</f>
        <v>0</v>
      </c>
      <c r="F500" s="67">
        <v>3.0000000000000001E-3</v>
      </c>
      <c r="G500" s="67">
        <v>2E-3</v>
      </c>
      <c r="H500" s="63"/>
    </row>
    <row r="501" spans="1:8" x14ac:dyDescent="0.25">
      <c r="A501" s="63"/>
      <c r="B501" s="63">
        <f>'Padrão EPP'!B501</f>
        <v>21</v>
      </c>
      <c r="C501" s="63" t="str">
        <f>'Padrão EPP'!C501</f>
        <v>ES</v>
      </c>
      <c r="D501" s="63" t="str">
        <f>'Padrão EPP'!D501</f>
        <v>INTERIOR II</v>
      </c>
      <c r="E501" s="63">
        <f>'Padrão EPP'!E501/2</f>
        <v>0</v>
      </c>
      <c r="F501" s="67">
        <v>3.0000000000000001E-3</v>
      </c>
      <c r="G501" s="67">
        <v>2E-3</v>
      </c>
      <c r="H501" s="63"/>
    </row>
    <row r="502" spans="1:8" x14ac:dyDescent="0.25">
      <c r="A502" s="63"/>
      <c r="B502" s="63">
        <f>'Padrão EPP'!B502</f>
        <v>22</v>
      </c>
      <c r="C502" s="63" t="str">
        <f>'Padrão EPP'!C502</f>
        <v>ES</v>
      </c>
      <c r="D502" s="63" t="str">
        <f>'Padrão EPP'!D502</f>
        <v>INTERIOR II</v>
      </c>
      <c r="E502" s="63">
        <f>'Padrão EPP'!E502/2</f>
        <v>0</v>
      </c>
      <c r="F502" s="67">
        <v>3.0000000000000001E-3</v>
      </c>
      <c r="G502" s="67">
        <v>2E-3</v>
      </c>
      <c r="H502" s="63"/>
    </row>
    <row r="503" spans="1:8" x14ac:dyDescent="0.25">
      <c r="A503" s="63"/>
      <c r="B503" s="63">
        <f>'Padrão EPP'!B503</f>
        <v>23</v>
      </c>
      <c r="C503" s="63" t="str">
        <f>'Padrão EPP'!C503</f>
        <v>ES</v>
      </c>
      <c r="D503" s="63" t="str">
        <f>'Padrão EPP'!D503</f>
        <v>INTERIOR II</v>
      </c>
      <c r="E503" s="63">
        <f>'Padrão EPP'!E503/2</f>
        <v>0</v>
      </c>
      <c r="F503" s="67">
        <v>3.0000000000000001E-3</v>
      </c>
      <c r="G503" s="67">
        <v>2E-3</v>
      </c>
      <c r="H503" s="63"/>
    </row>
    <row r="504" spans="1:8" x14ac:dyDescent="0.25">
      <c r="A504" s="63"/>
      <c r="B504" s="63">
        <f>'Padrão EPP'!B504</f>
        <v>24</v>
      </c>
      <c r="C504" s="63" t="str">
        <f>'Padrão EPP'!C504</f>
        <v>ES</v>
      </c>
      <c r="D504" s="63" t="str">
        <f>'Padrão EPP'!D504</f>
        <v>INTERIOR II</v>
      </c>
      <c r="E504" s="63">
        <f>'Padrão EPP'!E504/2</f>
        <v>0</v>
      </c>
      <c r="F504" s="67">
        <v>3.0000000000000001E-3</v>
      </c>
      <c r="G504" s="67">
        <v>2E-3</v>
      </c>
      <c r="H504" s="63"/>
    </row>
    <row r="505" spans="1:8" x14ac:dyDescent="0.25">
      <c r="A505" s="63"/>
      <c r="B505" s="63">
        <f>'Padrão EPP'!B505</f>
        <v>25</v>
      </c>
      <c r="C505" s="63" t="str">
        <f>'Padrão EPP'!C505</f>
        <v>ES</v>
      </c>
      <c r="D505" s="63" t="str">
        <f>'Padrão EPP'!D505</f>
        <v>INTERIOR II</v>
      </c>
      <c r="E505" s="63">
        <f>'Padrão EPP'!E505/2</f>
        <v>0</v>
      </c>
      <c r="F505" s="67">
        <v>3.0000000000000001E-3</v>
      </c>
      <c r="G505" s="67">
        <v>2E-3</v>
      </c>
      <c r="H505" s="63"/>
    </row>
    <row r="506" spans="1:8" x14ac:dyDescent="0.25">
      <c r="A506" s="63"/>
      <c r="B506" s="63">
        <f>'Padrão EPP'!B506</f>
        <v>26</v>
      </c>
      <c r="C506" s="63" t="str">
        <f>'Padrão EPP'!C506</f>
        <v>ES</v>
      </c>
      <c r="D506" s="63" t="str">
        <f>'Padrão EPP'!D506</f>
        <v>INTERIOR II</v>
      </c>
      <c r="E506" s="63">
        <f>'Padrão EPP'!E506/2</f>
        <v>0</v>
      </c>
      <c r="F506" s="67">
        <v>3.0000000000000001E-3</v>
      </c>
      <c r="G506" s="67">
        <v>2E-3</v>
      </c>
      <c r="H506" s="63"/>
    </row>
    <row r="507" spans="1:8" x14ac:dyDescent="0.25">
      <c r="A507" s="63"/>
      <c r="B507" s="63">
        <f>'Padrão EPP'!B507</f>
        <v>27</v>
      </c>
      <c r="C507" s="63" t="str">
        <f>'Padrão EPP'!C507</f>
        <v>ES</v>
      </c>
      <c r="D507" s="63" t="str">
        <f>'Padrão EPP'!D507</f>
        <v>INTERIOR II</v>
      </c>
      <c r="E507" s="63">
        <f>'Padrão EPP'!E507/2</f>
        <v>0</v>
      </c>
      <c r="F507" s="67">
        <v>3.0000000000000001E-3</v>
      </c>
      <c r="G507" s="67">
        <v>2E-3</v>
      </c>
      <c r="H507" s="63"/>
    </row>
    <row r="508" spans="1:8" x14ac:dyDescent="0.25">
      <c r="A508" s="63"/>
      <c r="B508" s="63">
        <f>'Padrão EPP'!B508</f>
        <v>28</v>
      </c>
      <c r="C508" s="63" t="str">
        <f>'Padrão EPP'!C508</f>
        <v>ES</v>
      </c>
      <c r="D508" s="63" t="str">
        <f>'Padrão EPP'!D508</f>
        <v>INTERIOR II</v>
      </c>
      <c r="E508" s="63">
        <f>'Padrão EPP'!E508/2</f>
        <v>0</v>
      </c>
      <c r="F508" s="67">
        <v>3.0000000000000001E-3</v>
      </c>
      <c r="G508" s="67">
        <v>2E-3</v>
      </c>
      <c r="H508" s="63"/>
    </row>
    <row r="509" spans="1:8" x14ac:dyDescent="0.25">
      <c r="A509" s="63"/>
      <c r="B509" s="63">
        <f>'Padrão EPP'!B509</f>
        <v>29</v>
      </c>
      <c r="C509" s="63" t="str">
        <f>'Padrão EPP'!C509</f>
        <v>ES</v>
      </c>
      <c r="D509" s="63" t="str">
        <f>'Padrão EPP'!D509</f>
        <v>INTERIOR II</v>
      </c>
      <c r="E509" s="63">
        <f>'Padrão EPP'!E509/2</f>
        <v>0</v>
      </c>
      <c r="F509" s="67">
        <v>3.0000000000000001E-3</v>
      </c>
      <c r="G509" s="67">
        <v>2E-3</v>
      </c>
      <c r="H509" s="63"/>
    </row>
    <row r="510" spans="1:8" x14ac:dyDescent="0.25">
      <c r="A510" s="63"/>
      <c r="B510" s="63">
        <f>'Padrão EPP'!B510</f>
        <v>30</v>
      </c>
      <c r="C510" s="63" t="str">
        <f>'Padrão EPP'!C510</f>
        <v>ES</v>
      </c>
      <c r="D510" s="63" t="str">
        <f>'Padrão EPP'!D510</f>
        <v>INTERIOR II</v>
      </c>
      <c r="E510" s="63">
        <f>'Padrão EPP'!E510/2</f>
        <v>0</v>
      </c>
      <c r="F510" s="67">
        <v>3.0000000000000001E-3</v>
      </c>
      <c r="G510" s="67">
        <v>2E-3</v>
      </c>
      <c r="H510" s="63"/>
    </row>
    <row r="511" spans="1:8" x14ac:dyDescent="0.25">
      <c r="A511" s="63"/>
      <c r="B511" s="63">
        <f>'Padrão EPP'!B511</f>
        <v>0</v>
      </c>
      <c r="C511" s="63" t="str">
        <f>'Padrão EPP'!C511</f>
        <v>ES</v>
      </c>
      <c r="D511" s="63" t="str">
        <f>'Padrão EPP'!D511</f>
        <v>INTERIOR II</v>
      </c>
      <c r="E511" s="63">
        <f>'Padrão EPP'!E511/2</f>
        <v>1.5214394455252955</v>
      </c>
      <c r="F511" s="67">
        <v>3.0000000000000001E-3</v>
      </c>
      <c r="G511" s="67">
        <v>2E-3</v>
      </c>
      <c r="H511" s="63"/>
    </row>
    <row r="512" spans="1:8" x14ac:dyDescent="0.25">
      <c r="A512" s="63"/>
      <c r="B512" s="63">
        <f>'Padrão EPP'!B512</f>
        <v>0.25</v>
      </c>
      <c r="C512" s="63" t="str">
        <f>'Padrão EPP'!C512</f>
        <v>ES</v>
      </c>
      <c r="D512" s="63" t="str">
        <f>'Padrão EPP'!D512</f>
        <v>REDESPACHO</v>
      </c>
      <c r="E512" s="63">
        <f>'Padrão EPP'!E512/2</f>
        <v>13.878191603419443</v>
      </c>
      <c r="F512" s="67">
        <v>3.0000000000000001E-3</v>
      </c>
      <c r="G512" s="67">
        <v>2E-3</v>
      </c>
      <c r="H512" s="63"/>
    </row>
    <row r="513" spans="1:8" x14ac:dyDescent="0.25">
      <c r="A513" s="63"/>
      <c r="B513" s="63">
        <f>'Padrão EPP'!B513</f>
        <v>0.5</v>
      </c>
      <c r="C513" s="63" t="str">
        <f>'Padrão EPP'!C513</f>
        <v>ES</v>
      </c>
      <c r="D513" s="63" t="str">
        <f>'Padrão EPP'!D513</f>
        <v>REDESPACHO</v>
      </c>
      <c r="E513" s="63">
        <f>'Padrão EPP'!E513/2</f>
        <v>14.395522483248909</v>
      </c>
      <c r="F513" s="67">
        <v>3.0000000000000001E-3</v>
      </c>
      <c r="G513" s="67">
        <v>2E-3</v>
      </c>
      <c r="H513" s="63"/>
    </row>
    <row r="514" spans="1:8" x14ac:dyDescent="0.25">
      <c r="A514" s="63"/>
      <c r="B514" s="63">
        <f>'Padrão EPP'!B514</f>
        <v>0.75</v>
      </c>
      <c r="C514" s="63" t="str">
        <f>'Padrão EPP'!C514</f>
        <v>ES</v>
      </c>
      <c r="D514" s="63" t="str">
        <f>'Padrão EPP'!D514</f>
        <v>REDESPACHO</v>
      </c>
      <c r="E514" s="63">
        <f>'Padrão EPP'!E514/2</f>
        <v>14.837969596882466</v>
      </c>
      <c r="F514" s="67">
        <v>3.0000000000000001E-3</v>
      </c>
      <c r="G514" s="67">
        <v>2E-3</v>
      </c>
      <c r="H514" s="63"/>
    </row>
    <row r="515" spans="1:8" x14ac:dyDescent="0.25">
      <c r="A515" s="63"/>
      <c r="B515" s="63">
        <f>'Padrão EPP'!B515</f>
        <v>1</v>
      </c>
      <c r="C515" s="63" t="str">
        <f>'Padrão EPP'!C515</f>
        <v>ES</v>
      </c>
      <c r="D515" s="63" t="str">
        <f>'Padrão EPP'!D515</f>
        <v>REDESPACHO</v>
      </c>
      <c r="E515" s="63">
        <f>'Padrão EPP'!E515/2</f>
        <v>15.242823522008708</v>
      </c>
      <c r="F515" s="67">
        <v>3.0000000000000001E-3</v>
      </c>
      <c r="G515" s="67">
        <v>2E-3</v>
      </c>
      <c r="H515" s="63"/>
    </row>
    <row r="516" spans="1:8" x14ac:dyDescent="0.25">
      <c r="A516" s="63"/>
      <c r="B516" s="63">
        <f>'Padrão EPP'!B516</f>
        <v>2</v>
      </c>
      <c r="C516" s="63" t="str">
        <f>'Padrão EPP'!C516</f>
        <v>ES</v>
      </c>
      <c r="D516" s="63" t="str">
        <f>'Padrão EPP'!D516</f>
        <v>REDESPACHO</v>
      </c>
      <c r="E516" s="63">
        <f>'Padrão EPP'!E516/2</f>
        <v>16.256662937462927</v>
      </c>
      <c r="F516" s="67">
        <v>3.0000000000000001E-3</v>
      </c>
      <c r="G516" s="67">
        <v>2E-3</v>
      </c>
      <c r="H516" s="63"/>
    </row>
    <row r="517" spans="1:8" x14ac:dyDescent="0.25">
      <c r="A517" s="63"/>
      <c r="B517" s="63">
        <f>'Padrão EPP'!B517</f>
        <v>3</v>
      </c>
      <c r="C517" s="63" t="str">
        <f>'Padrão EPP'!C517</f>
        <v>ES</v>
      </c>
      <c r="D517" s="63" t="str">
        <f>'Padrão EPP'!D517</f>
        <v>REDESPACHO</v>
      </c>
      <c r="E517" s="63">
        <f>'Padrão EPP'!E517/2</f>
        <v>19.870770246763236</v>
      </c>
      <c r="F517" s="67">
        <v>3.0000000000000001E-3</v>
      </c>
      <c r="G517" s="67">
        <v>2E-3</v>
      </c>
      <c r="H517" s="63"/>
    </row>
    <row r="518" spans="1:8" x14ac:dyDescent="0.25">
      <c r="A518" s="63"/>
      <c r="B518" s="63">
        <f>'Padrão EPP'!B518</f>
        <v>4</v>
      </c>
      <c r="C518" s="63" t="str">
        <f>'Padrão EPP'!C518</f>
        <v>ES</v>
      </c>
      <c r="D518" s="63" t="str">
        <f>'Padrão EPP'!D518</f>
        <v>REDESPACHO</v>
      </c>
      <c r="E518" s="63">
        <f>'Padrão EPP'!E518/2</f>
        <v>21.65636219225107</v>
      </c>
      <c r="F518" s="67">
        <v>3.0000000000000001E-3</v>
      </c>
      <c r="G518" s="67">
        <v>2E-3</v>
      </c>
      <c r="H518" s="63"/>
    </row>
    <row r="519" spans="1:8" x14ac:dyDescent="0.25">
      <c r="A519" s="63"/>
      <c r="B519" s="63">
        <f>'Padrão EPP'!B519</f>
        <v>5</v>
      </c>
      <c r="C519" s="63" t="str">
        <f>'Padrão EPP'!C519</f>
        <v>ES</v>
      </c>
      <c r="D519" s="63" t="str">
        <f>'Padrão EPP'!D519</f>
        <v>REDESPACHO</v>
      </c>
      <c r="E519" s="63">
        <f>'Padrão EPP'!E519/2</f>
        <v>23.237089039078469</v>
      </c>
      <c r="F519" s="67">
        <v>3.0000000000000001E-3</v>
      </c>
      <c r="G519" s="67">
        <v>2E-3</v>
      </c>
      <c r="H519" s="63"/>
    </row>
    <row r="520" spans="1:8" x14ac:dyDescent="0.25">
      <c r="A520" s="63"/>
      <c r="B520" s="63">
        <f>'Padrão EPP'!B520</f>
        <v>6</v>
      </c>
      <c r="C520" s="63" t="str">
        <f>'Padrão EPP'!C520</f>
        <v>ES</v>
      </c>
      <c r="D520" s="63" t="str">
        <f>'Padrão EPP'!D520</f>
        <v>REDESPACHO</v>
      </c>
      <c r="E520" s="63">
        <f>'Padrão EPP'!E520/2</f>
        <v>25.690775116559397</v>
      </c>
      <c r="F520" s="67">
        <v>3.0000000000000001E-3</v>
      </c>
      <c r="G520" s="67">
        <v>2E-3</v>
      </c>
      <c r="H520" s="63"/>
    </row>
    <row r="521" spans="1:8" x14ac:dyDescent="0.25">
      <c r="A521" s="63"/>
      <c r="B521" s="63">
        <f>'Padrão EPP'!B521</f>
        <v>7</v>
      </c>
      <c r="C521" s="63" t="str">
        <f>'Padrão EPP'!C521</f>
        <v>ES</v>
      </c>
      <c r="D521" s="63" t="str">
        <f>'Padrão EPP'!D521</f>
        <v>REDESPACHO</v>
      </c>
      <c r="E521" s="63">
        <f>'Padrão EPP'!E521/2</f>
        <v>28.456913302659757</v>
      </c>
      <c r="F521" s="67">
        <v>3.0000000000000001E-3</v>
      </c>
      <c r="G521" s="67">
        <v>2E-3</v>
      </c>
      <c r="H521" s="63"/>
    </row>
    <row r="522" spans="1:8" x14ac:dyDescent="0.25">
      <c r="A522" s="63"/>
      <c r="B522" s="63">
        <f>'Padrão EPP'!B522</f>
        <v>8</v>
      </c>
      <c r="C522" s="63" t="str">
        <f>'Padrão EPP'!C522</f>
        <v>ES</v>
      </c>
      <c r="D522" s="63" t="str">
        <f>'Padrão EPP'!D522</f>
        <v>REDESPACHO</v>
      </c>
      <c r="E522" s="63">
        <f>'Padrão EPP'!E522/2</f>
        <v>31.369920431365394</v>
      </c>
      <c r="F522" s="67">
        <v>3.0000000000000001E-3</v>
      </c>
      <c r="G522" s="67">
        <v>2E-3</v>
      </c>
      <c r="H522" s="63"/>
    </row>
    <row r="523" spans="1:8" x14ac:dyDescent="0.25">
      <c r="A523" s="63"/>
      <c r="B523" s="63">
        <f>'Padrão EPP'!B523</f>
        <v>9</v>
      </c>
      <c r="C523" s="63" t="str">
        <f>'Padrão EPP'!C523</f>
        <v>ES</v>
      </c>
      <c r="D523" s="63" t="str">
        <f>'Padrão EPP'!D523</f>
        <v>REDESPACHO</v>
      </c>
      <c r="E523" s="63">
        <f>'Padrão EPP'!E523/2</f>
        <v>34.444483396936853</v>
      </c>
      <c r="F523" s="67">
        <v>3.0000000000000001E-3</v>
      </c>
      <c r="G523" s="67">
        <v>2E-3</v>
      </c>
      <c r="H523" s="63"/>
    </row>
    <row r="524" spans="1:8" x14ac:dyDescent="0.25">
      <c r="A524" s="63"/>
      <c r="B524" s="63">
        <f>'Padrão EPP'!B524</f>
        <v>10</v>
      </c>
      <c r="C524" s="63" t="str">
        <f>'Padrão EPP'!C524</f>
        <v>ES</v>
      </c>
      <c r="D524" s="63" t="str">
        <f>'Padrão EPP'!D524</f>
        <v>REDESPACHO</v>
      </c>
      <c r="E524" s="63">
        <f>'Padrão EPP'!E524/2</f>
        <v>37.696757783060676</v>
      </c>
      <c r="F524" s="67">
        <v>3.0000000000000001E-3</v>
      </c>
      <c r="G524" s="67">
        <v>2E-3</v>
      </c>
      <c r="H524" s="63"/>
    </row>
    <row r="525" spans="1:8" x14ac:dyDescent="0.25">
      <c r="A525" s="63"/>
      <c r="B525" s="63">
        <f>'Padrão EPP'!B525</f>
        <v>11</v>
      </c>
      <c r="C525" s="63" t="str">
        <f>'Padrão EPP'!C525</f>
        <v>ES</v>
      </c>
      <c r="D525" s="63" t="str">
        <f>'Padrão EPP'!D525</f>
        <v>REDESPACHO</v>
      </c>
      <c r="E525" s="63">
        <f>'Padrão EPP'!E525/2</f>
        <v>0</v>
      </c>
      <c r="F525" s="67">
        <v>3.0000000000000001E-3</v>
      </c>
      <c r="G525" s="67">
        <v>2E-3</v>
      </c>
      <c r="H525" s="63"/>
    </row>
    <row r="526" spans="1:8" x14ac:dyDescent="0.25">
      <c r="A526" s="63"/>
      <c r="B526" s="63">
        <f>'Padrão EPP'!B526</f>
        <v>12</v>
      </c>
      <c r="C526" s="63" t="str">
        <f>'Padrão EPP'!C526</f>
        <v>ES</v>
      </c>
      <c r="D526" s="63" t="str">
        <f>'Padrão EPP'!D526</f>
        <v>REDESPACHO</v>
      </c>
      <c r="E526" s="63">
        <f>'Padrão EPP'!E526/2</f>
        <v>0</v>
      </c>
      <c r="F526" s="67">
        <v>3.0000000000000001E-3</v>
      </c>
      <c r="G526" s="67">
        <v>2E-3</v>
      </c>
      <c r="H526" s="63"/>
    </row>
    <row r="527" spans="1:8" x14ac:dyDescent="0.25">
      <c r="A527" s="63"/>
      <c r="B527" s="63">
        <f>'Padrão EPP'!B527</f>
        <v>13</v>
      </c>
      <c r="C527" s="63" t="str">
        <f>'Padrão EPP'!C527</f>
        <v>ES</v>
      </c>
      <c r="D527" s="63" t="str">
        <f>'Padrão EPP'!D527</f>
        <v>REDESPACHO</v>
      </c>
      <c r="E527" s="63">
        <f>'Padrão EPP'!E527/2</f>
        <v>0</v>
      </c>
      <c r="F527" s="67">
        <v>3.0000000000000001E-3</v>
      </c>
      <c r="G527" s="67">
        <v>2E-3</v>
      </c>
      <c r="H527" s="63"/>
    </row>
    <row r="528" spans="1:8" x14ac:dyDescent="0.25">
      <c r="A528" s="63"/>
      <c r="B528" s="63">
        <f>'Padrão EPP'!B528</f>
        <v>14</v>
      </c>
      <c r="C528" s="63" t="str">
        <f>'Padrão EPP'!C528</f>
        <v>ES</v>
      </c>
      <c r="D528" s="63" t="str">
        <f>'Padrão EPP'!D528</f>
        <v>REDESPACHO</v>
      </c>
      <c r="E528" s="63">
        <f>'Padrão EPP'!E528/2</f>
        <v>0</v>
      </c>
      <c r="F528" s="67">
        <v>3.0000000000000001E-3</v>
      </c>
      <c r="G528" s="67">
        <v>2E-3</v>
      </c>
      <c r="H528" s="63"/>
    </row>
    <row r="529" spans="1:8" x14ac:dyDescent="0.25">
      <c r="A529" s="63"/>
      <c r="B529" s="63">
        <f>'Padrão EPP'!B529</f>
        <v>15</v>
      </c>
      <c r="C529" s="63" t="str">
        <f>'Padrão EPP'!C529</f>
        <v>ES</v>
      </c>
      <c r="D529" s="63" t="str">
        <f>'Padrão EPP'!D529</f>
        <v>REDESPACHO</v>
      </c>
      <c r="E529" s="63">
        <f>'Padrão EPP'!E529/2</f>
        <v>0</v>
      </c>
      <c r="F529" s="67">
        <v>3.0000000000000001E-3</v>
      </c>
      <c r="G529" s="67">
        <v>2E-3</v>
      </c>
      <c r="H529" s="63"/>
    </row>
    <row r="530" spans="1:8" x14ac:dyDescent="0.25">
      <c r="A530" s="63"/>
      <c r="B530" s="63">
        <f>'Padrão EPP'!B530</f>
        <v>16</v>
      </c>
      <c r="C530" s="63" t="str">
        <f>'Padrão EPP'!C530</f>
        <v>ES</v>
      </c>
      <c r="D530" s="63" t="str">
        <f>'Padrão EPP'!D530</f>
        <v>REDESPACHO</v>
      </c>
      <c r="E530" s="63">
        <f>'Padrão EPP'!E530/2</f>
        <v>0</v>
      </c>
      <c r="F530" s="67">
        <v>3.0000000000000001E-3</v>
      </c>
      <c r="G530" s="67">
        <v>2E-3</v>
      </c>
      <c r="H530" s="63"/>
    </row>
    <row r="531" spans="1:8" x14ac:dyDescent="0.25">
      <c r="A531" s="63"/>
      <c r="B531" s="63">
        <f>'Padrão EPP'!B531</f>
        <v>17</v>
      </c>
      <c r="C531" s="63" t="str">
        <f>'Padrão EPP'!C531</f>
        <v>ES</v>
      </c>
      <c r="D531" s="63" t="str">
        <f>'Padrão EPP'!D531</f>
        <v>REDESPACHO</v>
      </c>
      <c r="E531" s="63">
        <f>'Padrão EPP'!E531/2</f>
        <v>0</v>
      </c>
      <c r="F531" s="67">
        <v>3.0000000000000001E-3</v>
      </c>
      <c r="G531" s="67">
        <v>2E-3</v>
      </c>
      <c r="H531" s="63"/>
    </row>
    <row r="532" spans="1:8" x14ac:dyDescent="0.25">
      <c r="A532" s="63"/>
      <c r="B532" s="63">
        <f>'Padrão EPP'!B532</f>
        <v>18</v>
      </c>
      <c r="C532" s="63" t="str">
        <f>'Padrão EPP'!C532</f>
        <v>ES</v>
      </c>
      <c r="D532" s="63" t="str">
        <f>'Padrão EPP'!D532</f>
        <v>REDESPACHO</v>
      </c>
      <c r="E532" s="63">
        <f>'Padrão EPP'!E532/2</f>
        <v>0</v>
      </c>
      <c r="F532" s="67">
        <v>3.0000000000000001E-3</v>
      </c>
      <c r="G532" s="67">
        <v>2E-3</v>
      </c>
      <c r="H532" s="63"/>
    </row>
    <row r="533" spans="1:8" x14ac:dyDescent="0.25">
      <c r="A533" s="63"/>
      <c r="B533" s="63">
        <f>'Padrão EPP'!B533</f>
        <v>19</v>
      </c>
      <c r="C533" s="63" t="str">
        <f>'Padrão EPP'!C533</f>
        <v>ES</v>
      </c>
      <c r="D533" s="63" t="str">
        <f>'Padrão EPP'!D533</f>
        <v>REDESPACHO</v>
      </c>
      <c r="E533" s="63">
        <f>'Padrão EPP'!E533/2</f>
        <v>0</v>
      </c>
      <c r="F533" s="67">
        <v>3.0000000000000001E-3</v>
      </c>
      <c r="G533" s="67">
        <v>2E-3</v>
      </c>
      <c r="H533" s="63"/>
    </row>
    <row r="534" spans="1:8" x14ac:dyDescent="0.25">
      <c r="A534" s="63"/>
      <c r="B534" s="63">
        <f>'Padrão EPP'!B534</f>
        <v>20</v>
      </c>
      <c r="C534" s="63" t="str">
        <f>'Padrão EPP'!C534</f>
        <v>ES</v>
      </c>
      <c r="D534" s="63" t="str">
        <f>'Padrão EPP'!D534</f>
        <v>REDESPACHO</v>
      </c>
      <c r="E534" s="63">
        <f>'Padrão EPP'!E534/2</f>
        <v>0</v>
      </c>
      <c r="F534" s="67">
        <v>3.0000000000000001E-3</v>
      </c>
      <c r="G534" s="67">
        <v>2E-3</v>
      </c>
      <c r="H534" s="63"/>
    </row>
    <row r="535" spans="1:8" x14ac:dyDescent="0.25">
      <c r="A535" s="63"/>
      <c r="B535" s="63">
        <f>'Padrão EPP'!B535</f>
        <v>21</v>
      </c>
      <c r="C535" s="63" t="str">
        <f>'Padrão EPP'!C535</f>
        <v>ES</v>
      </c>
      <c r="D535" s="63" t="str">
        <f>'Padrão EPP'!D535</f>
        <v>REDESPACHO</v>
      </c>
      <c r="E535" s="63">
        <f>'Padrão EPP'!E535/2</f>
        <v>0</v>
      </c>
      <c r="F535" s="67">
        <v>3.0000000000000001E-3</v>
      </c>
      <c r="G535" s="67">
        <v>2E-3</v>
      </c>
      <c r="H535" s="63"/>
    </row>
    <row r="536" spans="1:8" x14ac:dyDescent="0.25">
      <c r="A536" s="63"/>
      <c r="B536" s="63">
        <f>'Padrão EPP'!B536</f>
        <v>22</v>
      </c>
      <c r="C536" s="63" t="str">
        <f>'Padrão EPP'!C536</f>
        <v>ES</v>
      </c>
      <c r="D536" s="63" t="str">
        <f>'Padrão EPP'!D536</f>
        <v>REDESPACHO</v>
      </c>
      <c r="E536" s="63">
        <f>'Padrão EPP'!E536/2</f>
        <v>0</v>
      </c>
      <c r="F536" s="67">
        <v>3.0000000000000001E-3</v>
      </c>
      <c r="G536" s="67">
        <v>2E-3</v>
      </c>
      <c r="H536" s="63"/>
    </row>
    <row r="537" spans="1:8" x14ac:dyDescent="0.25">
      <c r="A537" s="63"/>
      <c r="B537" s="63">
        <f>'Padrão EPP'!B537</f>
        <v>23</v>
      </c>
      <c r="C537" s="63" t="str">
        <f>'Padrão EPP'!C537</f>
        <v>ES</v>
      </c>
      <c r="D537" s="63" t="str">
        <f>'Padrão EPP'!D537</f>
        <v>REDESPACHO</v>
      </c>
      <c r="E537" s="63">
        <f>'Padrão EPP'!E537/2</f>
        <v>0</v>
      </c>
      <c r="F537" s="67">
        <v>3.0000000000000001E-3</v>
      </c>
      <c r="G537" s="67">
        <v>2E-3</v>
      </c>
      <c r="H537" s="63"/>
    </row>
    <row r="538" spans="1:8" x14ac:dyDescent="0.25">
      <c r="A538" s="63"/>
      <c r="B538" s="63">
        <f>'Padrão EPP'!B538</f>
        <v>24</v>
      </c>
      <c r="C538" s="63" t="str">
        <f>'Padrão EPP'!C538</f>
        <v>ES</v>
      </c>
      <c r="D538" s="63" t="str">
        <f>'Padrão EPP'!D538</f>
        <v>REDESPACHO</v>
      </c>
      <c r="E538" s="63">
        <f>'Padrão EPP'!E538/2</f>
        <v>0</v>
      </c>
      <c r="F538" s="67">
        <v>3.0000000000000001E-3</v>
      </c>
      <c r="G538" s="67">
        <v>2E-3</v>
      </c>
      <c r="H538" s="63"/>
    </row>
    <row r="539" spans="1:8" x14ac:dyDescent="0.25">
      <c r="A539" s="63"/>
      <c r="B539" s="63">
        <f>'Padrão EPP'!B539</f>
        <v>25</v>
      </c>
      <c r="C539" s="63" t="str">
        <f>'Padrão EPP'!C539</f>
        <v>ES</v>
      </c>
      <c r="D539" s="63" t="str">
        <f>'Padrão EPP'!D539</f>
        <v>REDESPACHO</v>
      </c>
      <c r="E539" s="63">
        <f>'Padrão EPP'!E539/2</f>
        <v>0</v>
      </c>
      <c r="F539" s="67">
        <v>3.0000000000000001E-3</v>
      </c>
      <c r="G539" s="67">
        <v>2E-3</v>
      </c>
      <c r="H539" s="63"/>
    </row>
    <row r="540" spans="1:8" x14ac:dyDescent="0.25">
      <c r="A540" s="63"/>
      <c r="B540" s="63">
        <f>'Padrão EPP'!B540</f>
        <v>26</v>
      </c>
      <c r="C540" s="63" t="str">
        <f>'Padrão EPP'!C540</f>
        <v>ES</v>
      </c>
      <c r="D540" s="63" t="str">
        <f>'Padrão EPP'!D540</f>
        <v>REDESPACHO</v>
      </c>
      <c r="E540" s="63">
        <f>'Padrão EPP'!E540/2</f>
        <v>0</v>
      </c>
      <c r="F540" s="67">
        <v>3.0000000000000001E-3</v>
      </c>
      <c r="G540" s="67">
        <v>2E-3</v>
      </c>
      <c r="H540" s="63"/>
    </row>
    <row r="541" spans="1:8" x14ac:dyDescent="0.25">
      <c r="A541" s="63"/>
      <c r="B541" s="63">
        <f>'Padrão EPP'!B541</f>
        <v>27</v>
      </c>
      <c r="C541" s="63" t="str">
        <f>'Padrão EPP'!C541</f>
        <v>ES</v>
      </c>
      <c r="D541" s="63" t="str">
        <f>'Padrão EPP'!D541</f>
        <v>REDESPACHO</v>
      </c>
      <c r="E541" s="63">
        <f>'Padrão EPP'!E541/2</f>
        <v>0</v>
      </c>
      <c r="F541" s="67">
        <v>3.0000000000000001E-3</v>
      </c>
      <c r="G541" s="67">
        <v>2E-3</v>
      </c>
      <c r="H541" s="63"/>
    </row>
    <row r="542" spans="1:8" x14ac:dyDescent="0.25">
      <c r="A542" s="63"/>
      <c r="B542" s="63">
        <f>'Padrão EPP'!B542</f>
        <v>28</v>
      </c>
      <c r="C542" s="63" t="str">
        <f>'Padrão EPP'!C542</f>
        <v>ES</v>
      </c>
      <c r="D542" s="63" t="str">
        <f>'Padrão EPP'!D542</f>
        <v>REDESPACHO</v>
      </c>
      <c r="E542" s="63">
        <f>'Padrão EPP'!E542/2</f>
        <v>0</v>
      </c>
      <c r="F542" s="67">
        <v>3.0000000000000001E-3</v>
      </c>
      <c r="G542" s="67">
        <v>2E-3</v>
      </c>
      <c r="H542" s="63"/>
    </row>
    <row r="543" spans="1:8" x14ac:dyDescent="0.25">
      <c r="A543" s="63"/>
      <c r="B543" s="63">
        <f>'Padrão EPP'!B543</f>
        <v>29</v>
      </c>
      <c r="C543" s="63" t="str">
        <f>'Padrão EPP'!C543</f>
        <v>ES</v>
      </c>
      <c r="D543" s="63" t="str">
        <f>'Padrão EPP'!D543</f>
        <v>REDESPACHO</v>
      </c>
      <c r="E543" s="63">
        <f>'Padrão EPP'!E543/2</f>
        <v>0</v>
      </c>
      <c r="F543" s="67">
        <v>3.0000000000000001E-3</v>
      </c>
      <c r="G543" s="67">
        <v>2E-3</v>
      </c>
      <c r="H543" s="63"/>
    </row>
    <row r="544" spans="1:8" x14ac:dyDescent="0.25">
      <c r="A544" s="63"/>
      <c r="B544" s="63">
        <f>'Padrão EPP'!B544</f>
        <v>30</v>
      </c>
      <c r="C544" s="63" t="str">
        <f>'Padrão EPP'!C544</f>
        <v>ES</v>
      </c>
      <c r="D544" s="63" t="str">
        <f>'Padrão EPP'!D544</f>
        <v>REDESPACHO</v>
      </c>
      <c r="E544" s="63">
        <f>'Padrão EPP'!E544/2</f>
        <v>0</v>
      </c>
      <c r="F544" s="67">
        <v>3.0000000000000001E-3</v>
      </c>
      <c r="G544" s="67">
        <v>2E-3</v>
      </c>
      <c r="H544" s="63"/>
    </row>
    <row r="545" spans="1:8" x14ac:dyDescent="0.25">
      <c r="A545" s="63"/>
      <c r="B545" s="63">
        <f>'Padrão EPP'!B545</f>
        <v>0</v>
      </c>
      <c r="C545" s="63" t="str">
        <f>'Padrão EPP'!C545</f>
        <v>ES</v>
      </c>
      <c r="D545" s="63" t="str">
        <f>'Padrão EPP'!D545</f>
        <v>REDESPACHO</v>
      </c>
      <c r="E545" s="63">
        <f>'Padrão EPP'!E545/2</f>
        <v>1.5214394455252955</v>
      </c>
      <c r="F545" s="67">
        <v>3.0000000000000001E-3</v>
      </c>
      <c r="G545" s="67">
        <v>2E-3</v>
      </c>
      <c r="H545" s="63"/>
    </row>
    <row r="546" spans="1:8" x14ac:dyDescent="0.25">
      <c r="A546" s="63"/>
      <c r="B546" s="63">
        <f>'Padrão EPP'!B546</f>
        <v>0.25</v>
      </c>
      <c r="C546" s="63" t="str">
        <f>'Padrão EPP'!C546</f>
        <v>PR</v>
      </c>
      <c r="D546" s="63" t="str">
        <f>'Padrão EPP'!D546</f>
        <v>CAPITAL</v>
      </c>
      <c r="E546" s="63">
        <f>'Padrão EPP'!E546/2</f>
        <v>5.8548469427011804</v>
      </c>
      <c r="F546" s="67">
        <v>3.0000000000000001E-3</v>
      </c>
      <c r="G546" s="67">
        <v>2E-3</v>
      </c>
      <c r="H546" s="63"/>
    </row>
    <row r="547" spans="1:8" x14ac:dyDescent="0.25">
      <c r="A547" s="63"/>
      <c r="B547" s="63">
        <f>'Padrão EPP'!B547</f>
        <v>0.5</v>
      </c>
      <c r="C547" s="63" t="str">
        <f>'Padrão EPP'!C547</f>
        <v>PR</v>
      </c>
      <c r="D547" s="63" t="str">
        <f>'Padrão EPP'!D547</f>
        <v>CAPITAL</v>
      </c>
      <c r="E547" s="63">
        <f>'Padrão EPP'!E547/2</f>
        <v>6.0032956989748731</v>
      </c>
      <c r="F547" s="67">
        <v>3.0000000000000001E-3</v>
      </c>
      <c r="G547" s="67">
        <v>2E-3</v>
      </c>
      <c r="H547" s="63"/>
    </row>
    <row r="548" spans="1:8" x14ac:dyDescent="0.25">
      <c r="A548" s="63"/>
      <c r="B548" s="63">
        <f>'Padrão EPP'!B548</f>
        <v>0.75</v>
      </c>
      <c r="C548" s="63" t="str">
        <f>'Padrão EPP'!C548</f>
        <v>PR</v>
      </c>
      <c r="D548" s="63" t="str">
        <f>'Padrão EPP'!D548</f>
        <v>CAPITAL</v>
      </c>
      <c r="E548" s="63">
        <f>'Padrão EPP'!E548/2</f>
        <v>6.4317445234864454</v>
      </c>
      <c r="F548" s="67">
        <v>3.0000000000000001E-3</v>
      </c>
      <c r="G548" s="67">
        <v>2E-3</v>
      </c>
      <c r="H548" s="63"/>
    </row>
    <row r="549" spans="1:8" x14ac:dyDescent="0.25">
      <c r="A549" s="63"/>
      <c r="B549" s="63">
        <f>'Padrão EPP'!B549</f>
        <v>1</v>
      </c>
      <c r="C549" s="63" t="str">
        <f>'Padrão EPP'!C549</f>
        <v>PR</v>
      </c>
      <c r="D549" s="63" t="str">
        <f>'Padrão EPP'!D549</f>
        <v>CAPITAL</v>
      </c>
      <c r="E549" s="63">
        <f>'Padrão EPP'!E549/2</f>
        <v>6.6114609493214163</v>
      </c>
      <c r="F549" s="67">
        <v>3.0000000000000001E-3</v>
      </c>
      <c r="G549" s="67">
        <v>2E-3</v>
      </c>
      <c r="H549" s="63"/>
    </row>
    <row r="550" spans="1:8" x14ac:dyDescent="0.25">
      <c r="A550" s="63"/>
      <c r="B550" s="63">
        <f>'Padrão EPP'!B550</f>
        <v>2</v>
      </c>
      <c r="C550" s="63" t="str">
        <f>'Padrão EPP'!C550</f>
        <v>PR</v>
      </c>
      <c r="D550" s="63" t="str">
        <f>'Padrão EPP'!D550</f>
        <v>CAPITAL</v>
      </c>
      <c r="E550" s="63">
        <f>'Padrão EPP'!E550/2</f>
        <v>7.6342654184448087</v>
      </c>
      <c r="F550" s="67">
        <v>3.0000000000000001E-3</v>
      </c>
      <c r="G550" s="67">
        <v>2E-3</v>
      </c>
      <c r="H550" s="63"/>
    </row>
    <row r="551" spans="1:8" x14ac:dyDescent="0.25">
      <c r="A551" s="63"/>
      <c r="B551" s="63">
        <f>'Padrão EPP'!B551</f>
        <v>3</v>
      </c>
      <c r="C551" s="63" t="str">
        <f>'Padrão EPP'!C551</f>
        <v>PR</v>
      </c>
      <c r="D551" s="63" t="str">
        <f>'Padrão EPP'!D551</f>
        <v>CAPITAL</v>
      </c>
      <c r="E551" s="63">
        <f>'Padrão EPP'!E551/2</f>
        <v>8.5779998597240024</v>
      </c>
      <c r="F551" s="67">
        <v>3.0000000000000001E-3</v>
      </c>
      <c r="G551" s="67">
        <v>2E-3</v>
      </c>
      <c r="H551" s="63"/>
    </row>
    <row r="552" spans="1:8" x14ac:dyDescent="0.25">
      <c r="A552" s="63"/>
      <c r="B552" s="63">
        <f>'Padrão EPP'!B552</f>
        <v>4</v>
      </c>
      <c r="C552" s="63" t="str">
        <f>'Padrão EPP'!C552</f>
        <v>PR</v>
      </c>
      <c r="D552" s="63" t="str">
        <f>'Padrão EPP'!D552</f>
        <v>CAPITAL</v>
      </c>
      <c r="E552" s="63">
        <f>'Padrão EPP'!E552/2</f>
        <v>9.5990136868498972</v>
      </c>
      <c r="F552" s="67">
        <v>3.0000000000000001E-3</v>
      </c>
      <c r="G552" s="67">
        <v>2E-3</v>
      </c>
      <c r="H552" s="63"/>
    </row>
    <row r="553" spans="1:8" x14ac:dyDescent="0.25">
      <c r="A553" s="63"/>
      <c r="B553" s="63">
        <f>'Padrão EPP'!B553</f>
        <v>5</v>
      </c>
      <c r="C553" s="63" t="str">
        <f>'Padrão EPP'!C553</f>
        <v>PR</v>
      </c>
      <c r="D553" s="63" t="str">
        <f>'Padrão EPP'!D553</f>
        <v>CAPITAL</v>
      </c>
      <c r="E553" s="63">
        <f>'Padrão EPP'!E553/2</f>
        <v>11.435044409497435</v>
      </c>
      <c r="F553" s="67">
        <v>3.0000000000000001E-3</v>
      </c>
      <c r="G553" s="67">
        <v>2E-3</v>
      </c>
      <c r="H553" s="63"/>
    </row>
    <row r="554" spans="1:8" x14ac:dyDescent="0.25">
      <c r="A554" s="63"/>
      <c r="B554" s="63">
        <f>'Padrão EPP'!B554</f>
        <v>6</v>
      </c>
      <c r="C554" s="63" t="str">
        <f>'Padrão EPP'!C554</f>
        <v>PR</v>
      </c>
      <c r="D554" s="63" t="str">
        <f>'Padrão EPP'!D554</f>
        <v>CAPITAL</v>
      </c>
      <c r="E554" s="63">
        <f>'Padrão EPP'!E554/2</f>
        <v>12.451737480478151</v>
      </c>
      <c r="F554" s="67">
        <v>3.0000000000000001E-3</v>
      </c>
      <c r="G554" s="67">
        <v>2E-3</v>
      </c>
      <c r="H554" s="63"/>
    </row>
    <row r="555" spans="1:8" x14ac:dyDescent="0.25">
      <c r="A555" s="63"/>
      <c r="B555" s="63">
        <f>'Padrão EPP'!B555</f>
        <v>7</v>
      </c>
      <c r="C555" s="63" t="str">
        <f>'Padrão EPP'!C555</f>
        <v>PR</v>
      </c>
      <c r="D555" s="63" t="str">
        <f>'Padrão EPP'!D555</f>
        <v>CAPITAL</v>
      </c>
      <c r="E555" s="63">
        <f>'Padrão EPP'!E555/2</f>
        <v>13.508597775964676</v>
      </c>
      <c r="F555" s="67">
        <v>3.0000000000000001E-3</v>
      </c>
      <c r="G555" s="67">
        <v>2E-3</v>
      </c>
      <c r="H555" s="63"/>
    </row>
    <row r="556" spans="1:8" x14ac:dyDescent="0.25">
      <c r="A556" s="63"/>
      <c r="B556" s="63">
        <f>'Padrão EPP'!B556</f>
        <v>8</v>
      </c>
      <c r="C556" s="63" t="str">
        <f>'Padrão EPP'!C556</f>
        <v>PR</v>
      </c>
      <c r="D556" s="63" t="str">
        <f>'Padrão EPP'!D556</f>
        <v>CAPITAL</v>
      </c>
      <c r="E556" s="63">
        <f>'Padrão EPP'!E556/2</f>
        <v>14.6096420184076</v>
      </c>
      <c r="F556" s="67">
        <v>3.0000000000000001E-3</v>
      </c>
      <c r="G556" s="67">
        <v>2E-3</v>
      </c>
      <c r="H556" s="63"/>
    </row>
    <row r="557" spans="1:8" x14ac:dyDescent="0.25">
      <c r="A557" s="63"/>
      <c r="B557" s="63">
        <f>'Padrão EPP'!B557</f>
        <v>9</v>
      </c>
      <c r="C557" s="63" t="str">
        <f>'Padrão EPP'!C557</f>
        <v>PR</v>
      </c>
      <c r="D557" s="63" t="str">
        <f>'Padrão EPP'!D557</f>
        <v>CAPITAL</v>
      </c>
      <c r="E557" s="63">
        <f>'Padrão EPP'!E557/2</f>
        <v>15.759288602502561</v>
      </c>
      <c r="F557" s="67">
        <v>3.0000000000000001E-3</v>
      </c>
      <c r="G557" s="67">
        <v>2E-3</v>
      </c>
      <c r="H557" s="63"/>
    </row>
    <row r="558" spans="1:8" x14ac:dyDescent="0.25">
      <c r="A558" s="63"/>
      <c r="B558" s="63">
        <f>'Padrão EPP'!B558</f>
        <v>10</v>
      </c>
      <c r="C558" s="63" t="str">
        <f>'Padrão EPP'!C558</f>
        <v>PR</v>
      </c>
      <c r="D558" s="63" t="str">
        <f>'Padrão EPP'!D558</f>
        <v>CAPITAL</v>
      </c>
      <c r="E558" s="63">
        <f>'Padrão EPP'!E558/2</f>
        <v>16.685156119248209</v>
      </c>
      <c r="F558" s="67">
        <v>3.0000000000000001E-3</v>
      </c>
      <c r="G558" s="67">
        <v>2E-3</v>
      </c>
      <c r="H558" s="63"/>
    </row>
    <row r="559" spans="1:8" x14ac:dyDescent="0.25">
      <c r="A559" s="63"/>
      <c r="B559" s="63">
        <f>'Padrão EPP'!B559</f>
        <v>11</v>
      </c>
      <c r="C559" s="63" t="str">
        <f>'Padrão EPP'!C559</f>
        <v>PR</v>
      </c>
      <c r="D559" s="63" t="str">
        <f>'Padrão EPP'!D559</f>
        <v>CAPITAL</v>
      </c>
      <c r="E559" s="63">
        <f>'Padrão EPP'!E559/2</f>
        <v>0</v>
      </c>
      <c r="F559" s="67">
        <v>3.0000000000000001E-3</v>
      </c>
      <c r="G559" s="67">
        <v>2E-3</v>
      </c>
      <c r="H559" s="63"/>
    </row>
    <row r="560" spans="1:8" x14ac:dyDescent="0.25">
      <c r="A560" s="63"/>
      <c r="B560" s="63">
        <f>'Padrão EPP'!B560</f>
        <v>12</v>
      </c>
      <c r="C560" s="63" t="str">
        <f>'Padrão EPP'!C560</f>
        <v>PR</v>
      </c>
      <c r="D560" s="63" t="str">
        <f>'Padrão EPP'!D560</f>
        <v>CAPITAL</v>
      </c>
      <c r="E560" s="63">
        <f>'Padrão EPP'!E560/2</f>
        <v>0</v>
      </c>
      <c r="F560" s="67">
        <v>3.0000000000000001E-3</v>
      </c>
      <c r="G560" s="67">
        <v>2E-3</v>
      </c>
      <c r="H560" s="63"/>
    </row>
    <row r="561" spans="1:8" x14ac:dyDescent="0.25">
      <c r="A561" s="63"/>
      <c r="B561" s="63">
        <f>'Padrão EPP'!B561</f>
        <v>13</v>
      </c>
      <c r="C561" s="63" t="str">
        <f>'Padrão EPP'!C561</f>
        <v>PR</v>
      </c>
      <c r="D561" s="63" t="str">
        <f>'Padrão EPP'!D561</f>
        <v>CAPITAL</v>
      </c>
      <c r="E561" s="63">
        <f>'Padrão EPP'!E561/2</f>
        <v>0</v>
      </c>
      <c r="F561" s="67">
        <v>3.0000000000000001E-3</v>
      </c>
      <c r="G561" s="67">
        <v>2E-3</v>
      </c>
      <c r="H561" s="63"/>
    </row>
    <row r="562" spans="1:8" x14ac:dyDescent="0.25">
      <c r="A562" s="63"/>
      <c r="B562" s="63">
        <f>'Padrão EPP'!B562</f>
        <v>14</v>
      </c>
      <c r="C562" s="63" t="str">
        <f>'Padrão EPP'!C562</f>
        <v>PR</v>
      </c>
      <c r="D562" s="63" t="str">
        <f>'Padrão EPP'!D562</f>
        <v>CAPITAL</v>
      </c>
      <c r="E562" s="63">
        <f>'Padrão EPP'!E562/2</f>
        <v>0</v>
      </c>
      <c r="F562" s="67">
        <v>3.0000000000000001E-3</v>
      </c>
      <c r="G562" s="67">
        <v>2E-3</v>
      </c>
      <c r="H562" s="63"/>
    </row>
    <row r="563" spans="1:8" x14ac:dyDescent="0.25">
      <c r="A563" s="63"/>
      <c r="B563" s="63">
        <f>'Padrão EPP'!B563</f>
        <v>15</v>
      </c>
      <c r="C563" s="63" t="str">
        <f>'Padrão EPP'!C563</f>
        <v>PR</v>
      </c>
      <c r="D563" s="63" t="str">
        <f>'Padrão EPP'!D563</f>
        <v>CAPITAL</v>
      </c>
      <c r="E563" s="63">
        <f>'Padrão EPP'!E563/2</f>
        <v>0</v>
      </c>
      <c r="F563" s="67">
        <v>3.0000000000000001E-3</v>
      </c>
      <c r="G563" s="67">
        <v>2E-3</v>
      </c>
      <c r="H563" s="63"/>
    </row>
    <row r="564" spans="1:8" x14ac:dyDescent="0.25">
      <c r="A564" s="63"/>
      <c r="B564" s="63">
        <f>'Padrão EPP'!B564</f>
        <v>16</v>
      </c>
      <c r="C564" s="63" t="str">
        <f>'Padrão EPP'!C564</f>
        <v>PR</v>
      </c>
      <c r="D564" s="63" t="str">
        <f>'Padrão EPP'!D564</f>
        <v>CAPITAL</v>
      </c>
      <c r="E564" s="63">
        <f>'Padrão EPP'!E564/2</f>
        <v>0</v>
      </c>
      <c r="F564" s="67">
        <v>3.0000000000000001E-3</v>
      </c>
      <c r="G564" s="67">
        <v>2E-3</v>
      </c>
      <c r="H564" s="63"/>
    </row>
    <row r="565" spans="1:8" x14ac:dyDescent="0.25">
      <c r="A565" s="63"/>
      <c r="B565" s="63">
        <f>'Padrão EPP'!B565</f>
        <v>17</v>
      </c>
      <c r="C565" s="63" t="str">
        <f>'Padrão EPP'!C565</f>
        <v>PR</v>
      </c>
      <c r="D565" s="63" t="str">
        <f>'Padrão EPP'!D565</f>
        <v>CAPITAL</v>
      </c>
      <c r="E565" s="63">
        <f>'Padrão EPP'!E565/2</f>
        <v>0</v>
      </c>
      <c r="F565" s="67">
        <v>3.0000000000000001E-3</v>
      </c>
      <c r="G565" s="67">
        <v>2E-3</v>
      </c>
      <c r="H565" s="63"/>
    </row>
    <row r="566" spans="1:8" x14ac:dyDescent="0.25">
      <c r="A566" s="63"/>
      <c r="B566" s="63">
        <f>'Padrão EPP'!B566</f>
        <v>18</v>
      </c>
      <c r="C566" s="63" t="str">
        <f>'Padrão EPP'!C566</f>
        <v>PR</v>
      </c>
      <c r="D566" s="63" t="str">
        <f>'Padrão EPP'!D566</f>
        <v>CAPITAL</v>
      </c>
      <c r="E566" s="63">
        <f>'Padrão EPP'!E566/2</f>
        <v>0</v>
      </c>
      <c r="F566" s="67">
        <v>3.0000000000000001E-3</v>
      </c>
      <c r="G566" s="67">
        <v>2E-3</v>
      </c>
      <c r="H566" s="63"/>
    </row>
    <row r="567" spans="1:8" x14ac:dyDescent="0.25">
      <c r="A567" s="63"/>
      <c r="B567" s="63">
        <f>'Padrão EPP'!B567</f>
        <v>19</v>
      </c>
      <c r="C567" s="63" t="str">
        <f>'Padrão EPP'!C567</f>
        <v>PR</v>
      </c>
      <c r="D567" s="63" t="str">
        <f>'Padrão EPP'!D567</f>
        <v>CAPITAL</v>
      </c>
      <c r="E567" s="63">
        <f>'Padrão EPP'!E567/2</f>
        <v>0</v>
      </c>
      <c r="F567" s="67">
        <v>3.0000000000000001E-3</v>
      </c>
      <c r="G567" s="67">
        <v>2E-3</v>
      </c>
      <c r="H567" s="63"/>
    </row>
    <row r="568" spans="1:8" x14ac:dyDescent="0.25">
      <c r="A568" s="63"/>
      <c r="B568" s="63">
        <f>'Padrão EPP'!B568</f>
        <v>20</v>
      </c>
      <c r="C568" s="63" t="str">
        <f>'Padrão EPP'!C568</f>
        <v>PR</v>
      </c>
      <c r="D568" s="63" t="str">
        <f>'Padrão EPP'!D568</f>
        <v>CAPITAL</v>
      </c>
      <c r="E568" s="63">
        <f>'Padrão EPP'!E568/2</f>
        <v>0</v>
      </c>
      <c r="F568" s="67">
        <v>3.0000000000000001E-3</v>
      </c>
      <c r="G568" s="67">
        <v>2E-3</v>
      </c>
      <c r="H568" s="63"/>
    </row>
    <row r="569" spans="1:8" x14ac:dyDescent="0.25">
      <c r="A569" s="63"/>
      <c r="B569" s="63">
        <f>'Padrão EPP'!B569</f>
        <v>21</v>
      </c>
      <c r="C569" s="63" t="str">
        <f>'Padrão EPP'!C569</f>
        <v>PR</v>
      </c>
      <c r="D569" s="63" t="str">
        <f>'Padrão EPP'!D569</f>
        <v>CAPITAL</v>
      </c>
      <c r="E569" s="63">
        <f>'Padrão EPP'!E569/2</f>
        <v>0</v>
      </c>
      <c r="F569" s="67">
        <v>3.0000000000000001E-3</v>
      </c>
      <c r="G569" s="67">
        <v>2E-3</v>
      </c>
      <c r="H569" s="63"/>
    </row>
    <row r="570" spans="1:8" x14ac:dyDescent="0.25">
      <c r="A570" s="63"/>
      <c r="B570" s="63">
        <f>'Padrão EPP'!B570</f>
        <v>22</v>
      </c>
      <c r="C570" s="63" t="str">
        <f>'Padrão EPP'!C570</f>
        <v>PR</v>
      </c>
      <c r="D570" s="63" t="str">
        <f>'Padrão EPP'!D570</f>
        <v>CAPITAL</v>
      </c>
      <c r="E570" s="63">
        <f>'Padrão EPP'!E570/2</f>
        <v>0</v>
      </c>
      <c r="F570" s="67">
        <v>3.0000000000000001E-3</v>
      </c>
      <c r="G570" s="67">
        <v>2E-3</v>
      </c>
      <c r="H570" s="63"/>
    </row>
    <row r="571" spans="1:8" x14ac:dyDescent="0.25">
      <c r="A571" s="63"/>
      <c r="B571" s="63">
        <f>'Padrão EPP'!B571</f>
        <v>23</v>
      </c>
      <c r="C571" s="63" t="str">
        <f>'Padrão EPP'!C571</f>
        <v>PR</v>
      </c>
      <c r="D571" s="63" t="str">
        <f>'Padrão EPP'!D571</f>
        <v>CAPITAL</v>
      </c>
      <c r="E571" s="63">
        <f>'Padrão EPP'!E571/2</f>
        <v>0</v>
      </c>
      <c r="F571" s="67">
        <v>3.0000000000000001E-3</v>
      </c>
      <c r="G571" s="67">
        <v>2E-3</v>
      </c>
      <c r="H571" s="63"/>
    </row>
    <row r="572" spans="1:8" x14ac:dyDescent="0.25">
      <c r="A572" s="63"/>
      <c r="B572" s="63">
        <f>'Padrão EPP'!B572</f>
        <v>24</v>
      </c>
      <c r="C572" s="63" t="str">
        <f>'Padrão EPP'!C572</f>
        <v>PR</v>
      </c>
      <c r="D572" s="63" t="str">
        <f>'Padrão EPP'!D572</f>
        <v>CAPITAL</v>
      </c>
      <c r="E572" s="63">
        <f>'Padrão EPP'!E572/2</f>
        <v>0</v>
      </c>
      <c r="F572" s="67">
        <v>3.0000000000000001E-3</v>
      </c>
      <c r="G572" s="67">
        <v>2E-3</v>
      </c>
      <c r="H572" s="63"/>
    </row>
    <row r="573" spans="1:8" x14ac:dyDescent="0.25">
      <c r="A573" s="63"/>
      <c r="B573" s="63">
        <f>'Padrão EPP'!B573</f>
        <v>25</v>
      </c>
      <c r="C573" s="63" t="str">
        <f>'Padrão EPP'!C573</f>
        <v>PR</v>
      </c>
      <c r="D573" s="63" t="str">
        <f>'Padrão EPP'!D573</f>
        <v>CAPITAL</v>
      </c>
      <c r="E573" s="63">
        <f>'Padrão EPP'!E573/2</f>
        <v>0</v>
      </c>
      <c r="F573" s="67">
        <v>3.0000000000000001E-3</v>
      </c>
      <c r="G573" s="67">
        <v>2E-3</v>
      </c>
      <c r="H573" s="63"/>
    </row>
    <row r="574" spans="1:8" x14ac:dyDescent="0.25">
      <c r="A574" s="63"/>
      <c r="B574" s="63">
        <f>'Padrão EPP'!B574</f>
        <v>26</v>
      </c>
      <c r="C574" s="63" t="str">
        <f>'Padrão EPP'!C574</f>
        <v>PR</v>
      </c>
      <c r="D574" s="63" t="str">
        <f>'Padrão EPP'!D574</f>
        <v>CAPITAL</v>
      </c>
      <c r="E574" s="63">
        <f>'Padrão EPP'!E574/2</f>
        <v>0</v>
      </c>
      <c r="F574" s="67">
        <v>3.0000000000000001E-3</v>
      </c>
      <c r="G574" s="67">
        <v>2E-3</v>
      </c>
      <c r="H574" s="63"/>
    </row>
    <row r="575" spans="1:8" x14ac:dyDescent="0.25">
      <c r="A575" s="63"/>
      <c r="B575" s="63">
        <f>'Padrão EPP'!B575</f>
        <v>27</v>
      </c>
      <c r="C575" s="63" t="str">
        <f>'Padrão EPP'!C575</f>
        <v>PR</v>
      </c>
      <c r="D575" s="63" t="str">
        <f>'Padrão EPP'!D575</f>
        <v>CAPITAL</v>
      </c>
      <c r="E575" s="63">
        <f>'Padrão EPP'!E575/2</f>
        <v>0</v>
      </c>
      <c r="F575" s="67">
        <v>3.0000000000000001E-3</v>
      </c>
      <c r="G575" s="67">
        <v>2E-3</v>
      </c>
      <c r="H575" s="63"/>
    </row>
    <row r="576" spans="1:8" x14ac:dyDescent="0.25">
      <c r="A576" s="63"/>
      <c r="B576" s="63">
        <f>'Padrão EPP'!B576</f>
        <v>28</v>
      </c>
      <c r="C576" s="63" t="str">
        <f>'Padrão EPP'!C576</f>
        <v>PR</v>
      </c>
      <c r="D576" s="63" t="str">
        <f>'Padrão EPP'!D576</f>
        <v>CAPITAL</v>
      </c>
      <c r="E576" s="63">
        <f>'Padrão EPP'!E576/2</f>
        <v>0</v>
      </c>
      <c r="F576" s="67">
        <v>3.0000000000000001E-3</v>
      </c>
      <c r="G576" s="67">
        <v>2E-3</v>
      </c>
      <c r="H576" s="63"/>
    </row>
    <row r="577" spans="1:8" x14ac:dyDescent="0.25">
      <c r="A577" s="63"/>
      <c r="B577" s="63">
        <f>'Padrão EPP'!B577</f>
        <v>29</v>
      </c>
      <c r="C577" s="63" t="str">
        <f>'Padrão EPP'!C577</f>
        <v>PR</v>
      </c>
      <c r="D577" s="63" t="str">
        <f>'Padrão EPP'!D577</f>
        <v>CAPITAL</v>
      </c>
      <c r="E577" s="63">
        <f>'Padrão EPP'!E577/2</f>
        <v>0</v>
      </c>
      <c r="F577" s="67">
        <v>3.0000000000000001E-3</v>
      </c>
      <c r="G577" s="67">
        <v>2E-3</v>
      </c>
      <c r="H577" s="63"/>
    </row>
    <row r="578" spans="1:8" x14ac:dyDescent="0.25">
      <c r="A578" s="63"/>
      <c r="B578" s="63">
        <f>'Padrão EPP'!B578</f>
        <v>30</v>
      </c>
      <c r="C578" s="63" t="str">
        <f>'Padrão EPP'!C578</f>
        <v>PR</v>
      </c>
      <c r="D578" s="63" t="str">
        <f>'Padrão EPP'!D578</f>
        <v>CAPITAL</v>
      </c>
      <c r="E578" s="63">
        <f>'Padrão EPP'!E578/2</f>
        <v>0</v>
      </c>
      <c r="F578" s="67">
        <v>3.0000000000000001E-3</v>
      </c>
      <c r="G578" s="67">
        <v>2E-3</v>
      </c>
      <c r="H578" s="63"/>
    </row>
    <row r="579" spans="1:8" x14ac:dyDescent="0.25">
      <c r="A579" s="63"/>
      <c r="B579" s="63">
        <f>'Padrão EPP'!B579</f>
        <v>0</v>
      </c>
      <c r="C579" s="63" t="str">
        <f>'Padrão EPP'!C579</f>
        <v>PR</v>
      </c>
      <c r="D579" s="63" t="str">
        <f>'Padrão EPP'!D579</f>
        <v>CAPITAL</v>
      </c>
      <c r="E579" s="63">
        <f>'Padrão EPP'!E579/2</f>
        <v>1.5214394455252955</v>
      </c>
      <c r="F579" s="67">
        <v>3.0000000000000001E-3</v>
      </c>
      <c r="G579" s="67">
        <v>2E-3</v>
      </c>
      <c r="H579" s="63"/>
    </row>
    <row r="580" spans="1:8" x14ac:dyDescent="0.25">
      <c r="A580" s="63"/>
      <c r="B580" s="63">
        <f>'Padrão EPP'!B580</f>
        <v>0.25</v>
      </c>
      <c r="C580" s="63" t="str">
        <f>'Padrão EPP'!C580</f>
        <v>PR</v>
      </c>
      <c r="D580" s="63" t="str">
        <f>'Padrão EPP'!D580</f>
        <v>INTERIOR</v>
      </c>
      <c r="E580" s="63">
        <f>'Padrão EPP'!E580/2</f>
        <v>8.1720891732805683</v>
      </c>
      <c r="F580" s="67">
        <v>3.0000000000000001E-3</v>
      </c>
      <c r="G580" s="67">
        <v>2E-3</v>
      </c>
      <c r="H580" s="63"/>
    </row>
    <row r="581" spans="1:8" x14ac:dyDescent="0.25">
      <c r="A581" s="63"/>
      <c r="B581" s="63">
        <f>'Padrão EPP'!B581</f>
        <v>0.5</v>
      </c>
      <c r="C581" s="63" t="str">
        <f>'Padrão EPP'!C581</f>
        <v>PR</v>
      </c>
      <c r="D581" s="63" t="str">
        <f>'Padrão EPP'!D581</f>
        <v>INTERIOR</v>
      </c>
      <c r="E581" s="63">
        <f>'Padrão EPP'!E581/2</f>
        <v>8.3832668612911547</v>
      </c>
      <c r="F581" s="67">
        <v>3.0000000000000001E-3</v>
      </c>
      <c r="G581" s="67">
        <v>2E-3</v>
      </c>
      <c r="H581" s="63"/>
    </row>
    <row r="582" spans="1:8" x14ac:dyDescent="0.25">
      <c r="A582" s="63"/>
      <c r="B582" s="63">
        <f>'Padrão EPP'!B582</f>
        <v>0.75</v>
      </c>
      <c r="C582" s="63" t="str">
        <f>'Padrão EPP'!C582</f>
        <v>PR</v>
      </c>
      <c r="D582" s="63" t="str">
        <f>'Padrão EPP'!D582</f>
        <v>INTERIOR</v>
      </c>
      <c r="E582" s="63">
        <f>'Padrão EPP'!E582/2</f>
        <v>8.8545543978125867</v>
      </c>
      <c r="F582" s="67">
        <v>3.0000000000000001E-3</v>
      </c>
      <c r="G582" s="67">
        <v>2E-3</v>
      </c>
      <c r="H582" s="63"/>
    </row>
    <row r="583" spans="1:8" x14ac:dyDescent="0.25">
      <c r="A583" s="63"/>
      <c r="B583" s="63">
        <f>'Padrão EPP'!B583</f>
        <v>1</v>
      </c>
      <c r="C583" s="63" t="str">
        <f>'Padrão EPP'!C583</f>
        <v>PR</v>
      </c>
      <c r="D583" s="63" t="str">
        <f>'Padrão EPP'!D583</f>
        <v>INTERIOR</v>
      </c>
      <c r="E583" s="63">
        <f>'Padrão EPP'!E583/2</f>
        <v>9.2728802273238227</v>
      </c>
      <c r="F583" s="67">
        <v>3.0000000000000001E-3</v>
      </c>
      <c r="G583" s="67">
        <v>2E-3</v>
      </c>
      <c r="H583" s="63"/>
    </row>
    <row r="584" spans="1:8" x14ac:dyDescent="0.25">
      <c r="A584" s="63"/>
      <c r="B584" s="63">
        <f>'Padrão EPP'!B584</f>
        <v>2</v>
      </c>
      <c r="C584" s="63" t="str">
        <f>'Padrão EPP'!C584</f>
        <v>PR</v>
      </c>
      <c r="D584" s="63" t="str">
        <f>'Padrão EPP'!D584</f>
        <v>INTERIOR</v>
      </c>
      <c r="E584" s="63">
        <f>'Padrão EPP'!E584/2</f>
        <v>10.05361656724077</v>
      </c>
      <c r="F584" s="67">
        <v>3.0000000000000001E-3</v>
      </c>
      <c r="G584" s="67">
        <v>2E-3</v>
      </c>
      <c r="H584" s="63"/>
    </row>
    <row r="585" spans="1:8" x14ac:dyDescent="0.25">
      <c r="A585" s="63"/>
      <c r="B585" s="63">
        <f>'Padrão EPP'!B585</f>
        <v>3</v>
      </c>
      <c r="C585" s="63" t="str">
        <f>'Padrão EPP'!C585</f>
        <v>PR</v>
      </c>
      <c r="D585" s="63" t="str">
        <f>'Padrão EPP'!D585</f>
        <v>INTERIOR</v>
      </c>
      <c r="E585" s="63">
        <f>'Padrão EPP'!E585/2</f>
        <v>10.620475753275839</v>
      </c>
      <c r="F585" s="67">
        <v>3.0000000000000001E-3</v>
      </c>
      <c r="G585" s="67">
        <v>2E-3</v>
      </c>
      <c r="H585" s="63"/>
    </row>
    <row r="586" spans="1:8" x14ac:dyDescent="0.25">
      <c r="A586" s="63"/>
      <c r="B586" s="63">
        <f>'Padrão EPP'!B586</f>
        <v>4</v>
      </c>
      <c r="C586" s="63" t="str">
        <f>'Padrão EPP'!C586</f>
        <v>PR</v>
      </c>
      <c r="D586" s="63" t="str">
        <f>'Padrão EPP'!D586</f>
        <v>INTERIOR</v>
      </c>
      <c r="E586" s="63">
        <f>'Padrão EPP'!E586/2</f>
        <v>11.278507807858869</v>
      </c>
      <c r="F586" s="67">
        <v>3.0000000000000001E-3</v>
      </c>
      <c r="G586" s="67">
        <v>2E-3</v>
      </c>
      <c r="H586" s="63"/>
    </row>
    <row r="587" spans="1:8" x14ac:dyDescent="0.25">
      <c r="A587" s="63"/>
      <c r="B587" s="63">
        <f>'Padrão EPP'!B587</f>
        <v>5</v>
      </c>
      <c r="C587" s="63" t="str">
        <f>'Padrão EPP'!C587</f>
        <v>PR</v>
      </c>
      <c r="D587" s="63" t="str">
        <f>'Padrão EPP'!D587</f>
        <v>INTERIOR</v>
      </c>
      <c r="E587" s="63">
        <f>'Padrão EPP'!E587/2</f>
        <v>13.028056135263729</v>
      </c>
      <c r="F587" s="67">
        <v>3.0000000000000001E-3</v>
      </c>
      <c r="G587" s="67">
        <v>2E-3</v>
      </c>
      <c r="H587" s="63"/>
    </row>
    <row r="588" spans="1:8" x14ac:dyDescent="0.25">
      <c r="A588" s="63"/>
      <c r="B588" s="63">
        <f>'Padrão EPP'!B588</f>
        <v>6</v>
      </c>
      <c r="C588" s="63" t="str">
        <f>'Padrão EPP'!C588</f>
        <v>PR</v>
      </c>
      <c r="D588" s="63" t="str">
        <f>'Padrão EPP'!D588</f>
        <v>INTERIOR</v>
      </c>
      <c r="E588" s="63">
        <f>'Padrão EPP'!E588/2</f>
        <v>15.071138085184973</v>
      </c>
      <c r="F588" s="67">
        <v>3.0000000000000001E-3</v>
      </c>
      <c r="G588" s="67">
        <v>2E-3</v>
      </c>
      <c r="H588" s="63"/>
    </row>
    <row r="589" spans="1:8" x14ac:dyDescent="0.25">
      <c r="A589" s="63"/>
      <c r="B589" s="63">
        <f>'Padrão EPP'!B589</f>
        <v>7</v>
      </c>
      <c r="C589" s="63" t="str">
        <f>'Padrão EPP'!C589</f>
        <v>PR</v>
      </c>
      <c r="D589" s="63" t="str">
        <f>'Padrão EPP'!D589</f>
        <v>INTERIOR</v>
      </c>
      <c r="E589" s="63">
        <f>'Padrão EPP'!E589/2</f>
        <v>16.470265524131889</v>
      </c>
      <c r="F589" s="67">
        <v>3.0000000000000001E-3</v>
      </c>
      <c r="G589" s="67">
        <v>2E-3</v>
      </c>
      <c r="H589" s="63"/>
    </row>
    <row r="590" spans="1:8" x14ac:dyDescent="0.25">
      <c r="A590" s="63"/>
      <c r="B590" s="63">
        <f>'Padrão EPP'!B590</f>
        <v>8</v>
      </c>
      <c r="C590" s="63" t="str">
        <f>'Padrão EPP'!C590</f>
        <v>PR</v>
      </c>
      <c r="D590" s="63" t="str">
        <f>'Padrão EPP'!D590</f>
        <v>INTERIOR</v>
      </c>
      <c r="E590" s="63">
        <f>'Padrão EPP'!E590/2</f>
        <v>17.960367639662696</v>
      </c>
      <c r="F590" s="67">
        <v>3.0000000000000001E-3</v>
      </c>
      <c r="G590" s="67">
        <v>2E-3</v>
      </c>
      <c r="H590" s="63"/>
    </row>
    <row r="591" spans="1:8" x14ac:dyDescent="0.25">
      <c r="A591" s="63"/>
      <c r="B591" s="63">
        <f>'Padrão EPP'!B591</f>
        <v>9</v>
      </c>
      <c r="C591" s="63" t="str">
        <f>'Padrão EPP'!C591</f>
        <v>PR</v>
      </c>
      <c r="D591" s="63" t="str">
        <f>'Padrão EPP'!D591</f>
        <v>INTERIOR</v>
      </c>
      <c r="E591" s="63">
        <f>'Padrão EPP'!E591/2</f>
        <v>19.31416335070989</v>
      </c>
      <c r="F591" s="67">
        <v>3.0000000000000001E-3</v>
      </c>
      <c r="G591" s="67">
        <v>2E-3</v>
      </c>
      <c r="H591" s="63"/>
    </row>
    <row r="592" spans="1:8" x14ac:dyDescent="0.25">
      <c r="A592" s="63"/>
      <c r="B592" s="63">
        <f>'Padrão EPP'!B592</f>
        <v>10</v>
      </c>
      <c r="C592" s="63" t="str">
        <f>'Padrão EPP'!C592</f>
        <v>PR</v>
      </c>
      <c r="D592" s="63" t="str">
        <f>'Padrão EPP'!D592</f>
        <v>INTERIOR</v>
      </c>
      <c r="E592" s="63">
        <f>'Padrão EPP'!E592/2</f>
        <v>20.619603680264486</v>
      </c>
      <c r="F592" s="67">
        <v>3.0000000000000001E-3</v>
      </c>
      <c r="G592" s="67">
        <v>2E-3</v>
      </c>
      <c r="H592" s="63"/>
    </row>
    <row r="593" spans="1:8" x14ac:dyDescent="0.25">
      <c r="A593" s="63"/>
      <c r="B593" s="63">
        <f>'Padrão EPP'!B593</f>
        <v>11</v>
      </c>
      <c r="C593" s="63" t="str">
        <f>'Padrão EPP'!C593</f>
        <v>PR</v>
      </c>
      <c r="D593" s="63" t="str">
        <f>'Padrão EPP'!D593</f>
        <v>INTERIOR</v>
      </c>
      <c r="E593" s="63">
        <f>'Padrão EPP'!E593/2</f>
        <v>0</v>
      </c>
      <c r="F593" s="67">
        <v>3.0000000000000001E-3</v>
      </c>
      <c r="G593" s="67">
        <v>2E-3</v>
      </c>
      <c r="H593" s="63"/>
    </row>
    <row r="594" spans="1:8" x14ac:dyDescent="0.25">
      <c r="A594" s="63"/>
      <c r="B594" s="63">
        <f>'Padrão EPP'!B594</f>
        <v>12</v>
      </c>
      <c r="C594" s="63" t="str">
        <f>'Padrão EPP'!C594</f>
        <v>PR</v>
      </c>
      <c r="D594" s="63" t="str">
        <f>'Padrão EPP'!D594</f>
        <v>INTERIOR</v>
      </c>
      <c r="E594" s="63">
        <f>'Padrão EPP'!E594/2</f>
        <v>0</v>
      </c>
      <c r="F594" s="67">
        <v>3.0000000000000001E-3</v>
      </c>
      <c r="G594" s="67">
        <v>2E-3</v>
      </c>
      <c r="H594" s="63"/>
    </row>
    <row r="595" spans="1:8" x14ac:dyDescent="0.25">
      <c r="A595" s="63"/>
      <c r="B595" s="63">
        <f>'Padrão EPP'!B595</f>
        <v>13</v>
      </c>
      <c r="C595" s="63" t="str">
        <f>'Padrão EPP'!C595</f>
        <v>PR</v>
      </c>
      <c r="D595" s="63" t="str">
        <f>'Padrão EPP'!D595</f>
        <v>INTERIOR</v>
      </c>
      <c r="E595" s="63">
        <f>'Padrão EPP'!E595/2</f>
        <v>0</v>
      </c>
      <c r="F595" s="67">
        <v>3.0000000000000001E-3</v>
      </c>
      <c r="G595" s="67">
        <v>2E-3</v>
      </c>
      <c r="H595" s="63"/>
    </row>
    <row r="596" spans="1:8" x14ac:dyDescent="0.25">
      <c r="A596" s="63"/>
      <c r="B596" s="63">
        <f>'Padrão EPP'!B596</f>
        <v>14</v>
      </c>
      <c r="C596" s="63" t="str">
        <f>'Padrão EPP'!C596</f>
        <v>PR</v>
      </c>
      <c r="D596" s="63" t="str">
        <f>'Padrão EPP'!D596</f>
        <v>INTERIOR</v>
      </c>
      <c r="E596" s="63">
        <f>'Padrão EPP'!E596/2</f>
        <v>0</v>
      </c>
      <c r="F596" s="67">
        <v>3.0000000000000001E-3</v>
      </c>
      <c r="G596" s="67">
        <v>2E-3</v>
      </c>
      <c r="H596" s="63"/>
    </row>
    <row r="597" spans="1:8" x14ac:dyDescent="0.25">
      <c r="A597" s="63"/>
      <c r="B597" s="63">
        <f>'Padrão EPP'!B597</f>
        <v>15</v>
      </c>
      <c r="C597" s="63" t="str">
        <f>'Padrão EPP'!C597</f>
        <v>PR</v>
      </c>
      <c r="D597" s="63" t="str">
        <f>'Padrão EPP'!D597</f>
        <v>INTERIOR</v>
      </c>
      <c r="E597" s="63">
        <f>'Padrão EPP'!E597/2</f>
        <v>0</v>
      </c>
      <c r="F597" s="67">
        <v>3.0000000000000001E-3</v>
      </c>
      <c r="G597" s="67">
        <v>2E-3</v>
      </c>
      <c r="H597" s="63"/>
    </row>
    <row r="598" spans="1:8" x14ac:dyDescent="0.25">
      <c r="A598" s="63"/>
      <c r="B598" s="63">
        <f>'Padrão EPP'!B598</f>
        <v>16</v>
      </c>
      <c r="C598" s="63" t="str">
        <f>'Padrão EPP'!C598</f>
        <v>PR</v>
      </c>
      <c r="D598" s="63" t="str">
        <f>'Padrão EPP'!D598</f>
        <v>INTERIOR</v>
      </c>
      <c r="E598" s="63">
        <f>'Padrão EPP'!E598/2</f>
        <v>0</v>
      </c>
      <c r="F598" s="67">
        <v>3.0000000000000001E-3</v>
      </c>
      <c r="G598" s="67">
        <v>2E-3</v>
      </c>
      <c r="H598" s="63"/>
    </row>
    <row r="599" spans="1:8" x14ac:dyDescent="0.25">
      <c r="A599" s="63"/>
      <c r="B599" s="63">
        <f>'Padrão EPP'!B599</f>
        <v>17</v>
      </c>
      <c r="C599" s="63" t="str">
        <f>'Padrão EPP'!C599</f>
        <v>PR</v>
      </c>
      <c r="D599" s="63" t="str">
        <f>'Padrão EPP'!D599</f>
        <v>INTERIOR</v>
      </c>
      <c r="E599" s="63">
        <f>'Padrão EPP'!E599/2</f>
        <v>0</v>
      </c>
      <c r="F599" s="67">
        <v>3.0000000000000001E-3</v>
      </c>
      <c r="G599" s="67">
        <v>2E-3</v>
      </c>
      <c r="H599" s="63"/>
    </row>
    <row r="600" spans="1:8" x14ac:dyDescent="0.25">
      <c r="A600" s="63"/>
      <c r="B600" s="63">
        <f>'Padrão EPP'!B600</f>
        <v>18</v>
      </c>
      <c r="C600" s="63" t="str">
        <f>'Padrão EPP'!C600</f>
        <v>PR</v>
      </c>
      <c r="D600" s="63" t="str">
        <f>'Padrão EPP'!D600</f>
        <v>INTERIOR</v>
      </c>
      <c r="E600" s="63">
        <f>'Padrão EPP'!E600/2</f>
        <v>0</v>
      </c>
      <c r="F600" s="67">
        <v>3.0000000000000001E-3</v>
      </c>
      <c r="G600" s="67">
        <v>2E-3</v>
      </c>
      <c r="H600" s="63"/>
    </row>
    <row r="601" spans="1:8" x14ac:dyDescent="0.25">
      <c r="A601" s="63"/>
      <c r="B601" s="63">
        <f>'Padrão EPP'!B601</f>
        <v>19</v>
      </c>
      <c r="C601" s="63" t="str">
        <f>'Padrão EPP'!C601</f>
        <v>PR</v>
      </c>
      <c r="D601" s="63" t="str">
        <f>'Padrão EPP'!D601</f>
        <v>INTERIOR</v>
      </c>
      <c r="E601" s="63">
        <f>'Padrão EPP'!E601/2</f>
        <v>0</v>
      </c>
      <c r="F601" s="67">
        <v>3.0000000000000001E-3</v>
      </c>
      <c r="G601" s="67">
        <v>2E-3</v>
      </c>
      <c r="H601" s="63"/>
    </row>
    <row r="602" spans="1:8" x14ac:dyDescent="0.25">
      <c r="A602" s="63"/>
      <c r="B602" s="63">
        <f>'Padrão EPP'!B602</f>
        <v>20</v>
      </c>
      <c r="C602" s="63" t="str">
        <f>'Padrão EPP'!C602</f>
        <v>PR</v>
      </c>
      <c r="D602" s="63" t="str">
        <f>'Padrão EPP'!D602</f>
        <v>INTERIOR</v>
      </c>
      <c r="E602" s="63">
        <f>'Padrão EPP'!E602/2</f>
        <v>0</v>
      </c>
      <c r="F602" s="67">
        <v>3.0000000000000001E-3</v>
      </c>
      <c r="G602" s="67">
        <v>2E-3</v>
      </c>
      <c r="H602" s="63"/>
    </row>
    <row r="603" spans="1:8" x14ac:dyDescent="0.25">
      <c r="A603" s="63"/>
      <c r="B603" s="63">
        <f>'Padrão EPP'!B603</f>
        <v>21</v>
      </c>
      <c r="C603" s="63" t="str">
        <f>'Padrão EPP'!C603</f>
        <v>PR</v>
      </c>
      <c r="D603" s="63" t="str">
        <f>'Padrão EPP'!D603</f>
        <v>INTERIOR</v>
      </c>
      <c r="E603" s="63">
        <f>'Padrão EPP'!E603/2</f>
        <v>0</v>
      </c>
      <c r="F603" s="67">
        <v>3.0000000000000001E-3</v>
      </c>
      <c r="G603" s="67">
        <v>2E-3</v>
      </c>
      <c r="H603" s="63"/>
    </row>
    <row r="604" spans="1:8" x14ac:dyDescent="0.25">
      <c r="A604" s="63"/>
      <c r="B604" s="63">
        <f>'Padrão EPP'!B604</f>
        <v>22</v>
      </c>
      <c r="C604" s="63" t="str">
        <f>'Padrão EPP'!C604</f>
        <v>PR</v>
      </c>
      <c r="D604" s="63" t="str">
        <f>'Padrão EPP'!D604</f>
        <v>INTERIOR</v>
      </c>
      <c r="E604" s="63">
        <f>'Padrão EPP'!E604/2</f>
        <v>0</v>
      </c>
      <c r="F604" s="67">
        <v>3.0000000000000001E-3</v>
      </c>
      <c r="G604" s="67">
        <v>2E-3</v>
      </c>
      <c r="H604" s="63"/>
    </row>
    <row r="605" spans="1:8" x14ac:dyDescent="0.25">
      <c r="A605" s="63"/>
      <c r="B605" s="63">
        <f>'Padrão EPP'!B605</f>
        <v>23</v>
      </c>
      <c r="C605" s="63" t="str">
        <f>'Padrão EPP'!C605</f>
        <v>PR</v>
      </c>
      <c r="D605" s="63" t="str">
        <f>'Padrão EPP'!D605</f>
        <v>INTERIOR</v>
      </c>
      <c r="E605" s="63">
        <f>'Padrão EPP'!E605/2</f>
        <v>0</v>
      </c>
      <c r="F605" s="67">
        <v>3.0000000000000001E-3</v>
      </c>
      <c r="G605" s="67">
        <v>2E-3</v>
      </c>
      <c r="H605" s="63"/>
    </row>
    <row r="606" spans="1:8" x14ac:dyDescent="0.25">
      <c r="A606" s="63"/>
      <c r="B606" s="63">
        <f>'Padrão EPP'!B606</f>
        <v>24</v>
      </c>
      <c r="C606" s="63" t="str">
        <f>'Padrão EPP'!C606</f>
        <v>PR</v>
      </c>
      <c r="D606" s="63" t="str">
        <f>'Padrão EPP'!D606</f>
        <v>INTERIOR</v>
      </c>
      <c r="E606" s="63">
        <f>'Padrão EPP'!E606/2</f>
        <v>0</v>
      </c>
      <c r="F606" s="67">
        <v>3.0000000000000001E-3</v>
      </c>
      <c r="G606" s="67">
        <v>2E-3</v>
      </c>
      <c r="H606" s="63"/>
    </row>
    <row r="607" spans="1:8" x14ac:dyDescent="0.25">
      <c r="A607" s="63"/>
      <c r="B607" s="63">
        <f>'Padrão EPP'!B607</f>
        <v>25</v>
      </c>
      <c r="C607" s="63" t="str">
        <f>'Padrão EPP'!C607</f>
        <v>PR</v>
      </c>
      <c r="D607" s="63" t="str">
        <f>'Padrão EPP'!D607</f>
        <v>INTERIOR</v>
      </c>
      <c r="E607" s="63">
        <f>'Padrão EPP'!E607/2</f>
        <v>0</v>
      </c>
      <c r="F607" s="67">
        <v>3.0000000000000001E-3</v>
      </c>
      <c r="G607" s="67">
        <v>2E-3</v>
      </c>
      <c r="H607" s="63"/>
    </row>
    <row r="608" spans="1:8" x14ac:dyDescent="0.25">
      <c r="A608" s="63"/>
      <c r="B608" s="63">
        <f>'Padrão EPP'!B608</f>
        <v>26</v>
      </c>
      <c r="C608" s="63" t="str">
        <f>'Padrão EPP'!C608</f>
        <v>PR</v>
      </c>
      <c r="D608" s="63" t="str">
        <f>'Padrão EPP'!D608</f>
        <v>INTERIOR</v>
      </c>
      <c r="E608" s="63">
        <f>'Padrão EPP'!E608/2</f>
        <v>0</v>
      </c>
      <c r="F608" s="67">
        <v>3.0000000000000001E-3</v>
      </c>
      <c r="G608" s="67">
        <v>2E-3</v>
      </c>
      <c r="H608" s="63"/>
    </row>
    <row r="609" spans="1:8" x14ac:dyDescent="0.25">
      <c r="A609" s="63"/>
      <c r="B609" s="63">
        <f>'Padrão EPP'!B609</f>
        <v>27</v>
      </c>
      <c r="C609" s="63" t="str">
        <f>'Padrão EPP'!C609</f>
        <v>PR</v>
      </c>
      <c r="D609" s="63" t="str">
        <f>'Padrão EPP'!D609</f>
        <v>INTERIOR</v>
      </c>
      <c r="E609" s="63">
        <f>'Padrão EPP'!E609/2</f>
        <v>0</v>
      </c>
      <c r="F609" s="67">
        <v>3.0000000000000001E-3</v>
      </c>
      <c r="G609" s="67">
        <v>2E-3</v>
      </c>
      <c r="H609" s="63"/>
    </row>
    <row r="610" spans="1:8" x14ac:dyDescent="0.25">
      <c r="A610" s="63"/>
      <c r="B610" s="63">
        <f>'Padrão EPP'!B610</f>
        <v>28</v>
      </c>
      <c r="C610" s="63" t="str">
        <f>'Padrão EPP'!C610</f>
        <v>PR</v>
      </c>
      <c r="D610" s="63" t="str">
        <f>'Padrão EPP'!D610</f>
        <v>INTERIOR</v>
      </c>
      <c r="E610" s="63">
        <f>'Padrão EPP'!E610/2</f>
        <v>0</v>
      </c>
      <c r="F610" s="67">
        <v>3.0000000000000001E-3</v>
      </c>
      <c r="G610" s="67">
        <v>2E-3</v>
      </c>
      <c r="H610" s="63"/>
    </row>
    <row r="611" spans="1:8" x14ac:dyDescent="0.25">
      <c r="A611" s="63"/>
      <c r="B611" s="63">
        <f>'Padrão EPP'!B611</f>
        <v>29</v>
      </c>
      <c r="C611" s="63" t="str">
        <f>'Padrão EPP'!C611</f>
        <v>PR</v>
      </c>
      <c r="D611" s="63" t="str">
        <f>'Padrão EPP'!D611</f>
        <v>INTERIOR</v>
      </c>
      <c r="E611" s="63">
        <f>'Padrão EPP'!E611/2</f>
        <v>0</v>
      </c>
      <c r="F611" s="67">
        <v>3.0000000000000001E-3</v>
      </c>
      <c r="G611" s="67">
        <v>2E-3</v>
      </c>
      <c r="H611" s="63"/>
    </row>
    <row r="612" spans="1:8" x14ac:dyDescent="0.25">
      <c r="A612" s="63"/>
      <c r="B612" s="63">
        <f>'Padrão EPP'!B612</f>
        <v>30</v>
      </c>
      <c r="C612" s="63" t="str">
        <f>'Padrão EPP'!C612</f>
        <v>PR</v>
      </c>
      <c r="D612" s="63" t="str">
        <f>'Padrão EPP'!D612</f>
        <v>INTERIOR</v>
      </c>
      <c r="E612" s="63">
        <f>'Padrão EPP'!E612/2</f>
        <v>0</v>
      </c>
      <c r="F612" s="67">
        <v>3.0000000000000001E-3</v>
      </c>
      <c r="G612" s="67">
        <v>2E-3</v>
      </c>
      <c r="H612" s="63"/>
    </row>
    <row r="613" spans="1:8" x14ac:dyDescent="0.25">
      <c r="A613" s="63"/>
      <c r="B613" s="63">
        <f>'Padrão EPP'!B613</f>
        <v>0</v>
      </c>
      <c r="C613" s="63" t="str">
        <f>'Padrão EPP'!C613</f>
        <v>PR</v>
      </c>
      <c r="D613" s="63" t="str">
        <f>'Padrão EPP'!D613</f>
        <v>INTERIOR</v>
      </c>
      <c r="E613" s="63">
        <f>'Padrão EPP'!E613/2</f>
        <v>1.5214394455252955</v>
      </c>
      <c r="F613" s="67">
        <v>3.0000000000000001E-3</v>
      </c>
      <c r="G613" s="67">
        <v>2E-3</v>
      </c>
      <c r="H613" s="63"/>
    </row>
    <row r="614" spans="1:8" x14ac:dyDescent="0.25">
      <c r="A614" s="63"/>
      <c r="B614" s="63">
        <f>'Padrão EPP'!B614</f>
        <v>0.25</v>
      </c>
      <c r="C614" s="63" t="str">
        <f>'Padrão EPP'!C614</f>
        <v>PR</v>
      </c>
      <c r="D614" s="63" t="str">
        <f>'Padrão EPP'!D614</f>
        <v>INTERIOR II</v>
      </c>
      <c r="E614" s="63">
        <f>'Padrão EPP'!E614/2</f>
        <v>9.5638763491847989</v>
      </c>
      <c r="F614" s="67">
        <v>3.0000000000000001E-3</v>
      </c>
      <c r="G614" s="67">
        <v>2E-3</v>
      </c>
      <c r="H614" s="63"/>
    </row>
    <row r="615" spans="1:8" x14ac:dyDescent="0.25">
      <c r="A615" s="63"/>
      <c r="B615" s="63">
        <f>'Padrão EPP'!B615</f>
        <v>0.5</v>
      </c>
      <c r="C615" s="63" t="str">
        <f>'Padrão EPP'!C615</f>
        <v>PR</v>
      </c>
      <c r="D615" s="63" t="str">
        <f>'Padrão EPP'!D615</f>
        <v>INTERIOR II</v>
      </c>
      <c r="E615" s="63">
        <f>'Padrão EPP'!E615/2</f>
        <v>9.7943773438038573</v>
      </c>
      <c r="F615" s="67">
        <v>3.0000000000000001E-3</v>
      </c>
      <c r="G615" s="67">
        <v>2E-3</v>
      </c>
      <c r="H615" s="63"/>
    </row>
    <row r="616" spans="1:8" x14ac:dyDescent="0.25">
      <c r="A616" s="63"/>
      <c r="B616" s="63">
        <f>'Padrão EPP'!B616</f>
        <v>0.75</v>
      </c>
      <c r="C616" s="63" t="str">
        <f>'Padrão EPP'!C616</f>
        <v>PR</v>
      </c>
      <c r="D616" s="63" t="str">
        <f>'Padrão EPP'!D616</f>
        <v>INTERIOR II</v>
      </c>
      <c r="E616" s="63">
        <f>'Padrão EPP'!E616/2</f>
        <v>9.9461059130689495</v>
      </c>
      <c r="F616" s="67">
        <v>3.0000000000000001E-3</v>
      </c>
      <c r="G616" s="67">
        <v>2E-3</v>
      </c>
      <c r="H616" s="63"/>
    </row>
    <row r="617" spans="1:8" x14ac:dyDescent="0.25">
      <c r="A617" s="63"/>
      <c r="B617" s="63">
        <f>'Padrão EPP'!B617</f>
        <v>1</v>
      </c>
      <c r="C617" s="63" t="str">
        <f>'Padrão EPP'!C617</f>
        <v>PR</v>
      </c>
      <c r="D617" s="63" t="str">
        <f>'Padrão EPP'!D617</f>
        <v>INTERIOR II</v>
      </c>
      <c r="E617" s="63">
        <f>'Padrão EPP'!E617/2</f>
        <v>10.32227886303337</v>
      </c>
      <c r="F617" s="67">
        <v>3.0000000000000001E-3</v>
      </c>
      <c r="G617" s="67">
        <v>2E-3</v>
      </c>
      <c r="H617" s="63"/>
    </row>
    <row r="618" spans="1:8" x14ac:dyDescent="0.25">
      <c r="A618" s="63"/>
      <c r="B618" s="63">
        <f>'Padrão EPP'!B618</f>
        <v>2</v>
      </c>
      <c r="C618" s="63" t="str">
        <f>'Padrão EPP'!C618</f>
        <v>PR</v>
      </c>
      <c r="D618" s="63" t="str">
        <f>'Padrão EPP'!D618</f>
        <v>INTERIOR II</v>
      </c>
      <c r="E618" s="63">
        <f>'Padrão EPP'!E618/2</f>
        <v>11.010112109017564</v>
      </c>
      <c r="F618" s="67">
        <v>3.0000000000000001E-3</v>
      </c>
      <c r="G618" s="67">
        <v>2E-3</v>
      </c>
      <c r="H618" s="63"/>
    </row>
    <row r="619" spans="1:8" x14ac:dyDescent="0.25">
      <c r="A619" s="63"/>
      <c r="B619" s="63">
        <f>'Padrão EPP'!B619</f>
        <v>3</v>
      </c>
      <c r="C619" s="63" t="str">
        <f>'Padrão EPP'!C619</f>
        <v>PR</v>
      </c>
      <c r="D619" s="63" t="str">
        <f>'Padrão EPP'!D619</f>
        <v>INTERIOR II</v>
      </c>
      <c r="E619" s="63">
        <f>'Padrão EPP'!E619/2</f>
        <v>12.002217869865069</v>
      </c>
      <c r="F619" s="67">
        <v>3.0000000000000001E-3</v>
      </c>
      <c r="G619" s="67">
        <v>2E-3</v>
      </c>
      <c r="H619" s="63"/>
    </row>
    <row r="620" spans="1:8" x14ac:dyDescent="0.25">
      <c r="A620" s="63"/>
      <c r="B620" s="63">
        <f>'Padrão EPP'!B620</f>
        <v>4</v>
      </c>
      <c r="C620" s="63" t="str">
        <f>'Padrão EPP'!C620</f>
        <v>PR</v>
      </c>
      <c r="D620" s="63" t="str">
        <f>'Padrão EPP'!D620</f>
        <v>INTERIOR II</v>
      </c>
      <c r="E620" s="63">
        <f>'Padrão EPP'!E620/2</f>
        <v>13.037791132835894</v>
      </c>
      <c r="F620" s="67">
        <v>3.0000000000000001E-3</v>
      </c>
      <c r="G620" s="67">
        <v>2E-3</v>
      </c>
      <c r="H620" s="63"/>
    </row>
    <row r="621" spans="1:8" x14ac:dyDescent="0.25">
      <c r="A621" s="63"/>
      <c r="B621" s="63">
        <f>'Padrão EPP'!B621</f>
        <v>5</v>
      </c>
      <c r="C621" s="63" t="str">
        <f>'Padrão EPP'!C621</f>
        <v>PR</v>
      </c>
      <c r="D621" s="63" t="str">
        <f>'Padrão EPP'!D621</f>
        <v>INTERIOR II</v>
      </c>
      <c r="E621" s="63">
        <f>'Padrão EPP'!E621/2</f>
        <v>14.121178648142379</v>
      </c>
      <c r="F621" s="67">
        <v>3.0000000000000001E-3</v>
      </c>
      <c r="G621" s="67">
        <v>2E-3</v>
      </c>
      <c r="H621" s="63"/>
    </row>
    <row r="622" spans="1:8" x14ac:dyDescent="0.25">
      <c r="A622" s="63"/>
      <c r="B622" s="63">
        <f>'Padrão EPP'!B622</f>
        <v>6</v>
      </c>
      <c r="C622" s="63" t="str">
        <f>'Padrão EPP'!C622</f>
        <v>PR</v>
      </c>
      <c r="D622" s="63" t="str">
        <f>'Padrão EPP'!D622</f>
        <v>INTERIOR II</v>
      </c>
      <c r="E622" s="63">
        <f>'Padrão EPP'!E622/2</f>
        <v>16.139392728665484</v>
      </c>
      <c r="F622" s="67">
        <v>3.0000000000000001E-3</v>
      </c>
      <c r="G622" s="67">
        <v>2E-3</v>
      </c>
      <c r="H622" s="63"/>
    </row>
    <row r="623" spans="1:8" x14ac:dyDescent="0.25">
      <c r="A623" s="63"/>
      <c r="B623" s="63">
        <f>'Padrão EPP'!B623</f>
        <v>7</v>
      </c>
      <c r="C623" s="63" t="str">
        <f>'Padrão EPP'!C623</f>
        <v>PR</v>
      </c>
      <c r="D623" s="63" t="str">
        <f>'Padrão EPP'!D623</f>
        <v>INTERIOR II</v>
      </c>
      <c r="E623" s="63">
        <f>'Padrão EPP'!E623/2</f>
        <v>17.114472415274182</v>
      </c>
      <c r="F623" s="67">
        <v>3.0000000000000001E-3</v>
      </c>
      <c r="G623" s="67">
        <v>2E-3</v>
      </c>
      <c r="H623" s="63"/>
    </row>
    <row r="624" spans="1:8" x14ac:dyDescent="0.25">
      <c r="A624" s="63"/>
      <c r="B624" s="63">
        <f>'Padrão EPP'!B624</f>
        <v>8</v>
      </c>
      <c r="C624" s="63" t="str">
        <f>'Padrão EPP'!C624</f>
        <v>PR</v>
      </c>
      <c r="D624" s="63" t="str">
        <f>'Padrão EPP'!D624</f>
        <v>INTERIOR II</v>
      </c>
      <c r="E624" s="63">
        <f>'Padrão EPP'!E624/2</f>
        <v>18.146855615159684</v>
      </c>
      <c r="F624" s="67">
        <v>3.0000000000000001E-3</v>
      </c>
      <c r="G624" s="67">
        <v>2E-3</v>
      </c>
      <c r="H624" s="63"/>
    </row>
    <row r="625" spans="1:8" x14ac:dyDescent="0.25">
      <c r="A625" s="63"/>
      <c r="B625" s="63">
        <f>'Padrão EPP'!B625</f>
        <v>9</v>
      </c>
      <c r="C625" s="63" t="str">
        <f>'Padrão EPP'!C625</f>
        <v>PR</v>
      </c>
      <c r="D625" s="63" t="str">
        <f>'Padrão EPP'!D625</f>
        <v>INTERIOR II</v>
      </c>
      <c r="E625" s="63">
        <f>'Padrão EPP'!E625/2</f>
        <v>19.615071085990003</v>
      </c>
      <c r="F625" s="67">
        <v>3.0000000000000001E-3</v>
      </c>
      <c r="G625" s="67">
        <v>2E-3</v>
      </c>
      <c r="H625" s="63"/>
    </row>
    <row r="626" spans="1:8" x14ac:dyDescent="0.25">
      <c r="A626" s="63"/>
      <c r="B626" s="63">
        <f>'Padrão EPP'!B626</f>
        <v>10</v>
      </c>
      <c r="C626" s="63" t="str">
        <f>'Padrão EPP'!C626</f>
        <v>PR</v>
      </c>
      <c r="D626" s="63" t="str">
        <f>'Padrão EPP'!D626</f>
        <v>INTERIOR II</v>
      </c>
      <c r="E626" s="63">
        <f>'Padrão EPP'!E626/2</f>
        <v>20.678904811250778</v>
      </c>
      <c r="F626" s="67">
        <v>3.0000000000000001E-3</v>
      </c>
      <c r="G626" s="67">
        <v>2E-3</v>
      </c>
      <c r="H626" s="63"/>
    </row>
    <row r="627" spans="1:8" x14ac:dyDescent="0.25">
      <c r="A627" s="63"/>
      <c r="B627" s="63">
        <f>'Padrão EPP'!B627</f>
        <v>11</v>
      </c>
      <c r="C627" s="63" t="str">
        <f>'Padrão EPP'!C627</f>
        <v>PR</v>
      </c>
      <c r="D627" s="63" t="str">
        <f>'Padrão EPP'!D627</f>
        <v>INTERIOR II</v>
      </c>
      <c r="E627" s="63">
        <f>'Padrão EPP'!E627/2</f>
        <v>0</v>
      </c>
      <c r="F627" s="67">
        <v>3.0000000000000001E-3</v>
      </c>
      <c r="G627" s="67">
        <v>2E-3</v>
      </c>
      <c r="H627" s="63"/>
    </row>
    <row r="628" spans="1:8" x14ac:dyDescent="0.25">
      <c r="A628" s="63"/>
      <c r="B628" s="63">
        <f>'Padrão EPP'!B628</f>
        <v>12</v>
      </c>
      <c r="C628" s="63" t="str">
        <f>'Padrão EPP'!C628</f>
        <v>PR</v>
      </c>
      <c r="D628" s="63" t="str">
        <f>'Padrão EPP'!D628</f>
        <v>INTERIOR II</v>
      </c>
      <c r="E628" s="63">
        <f>'Padrão EPP'!E628/2</f>
        <v>0</v>
      </c>
      <c r="F628" s="67">
        <v>3.0000000000000001E-3</v>
      </c>
      <c r="G628" s="67">
        <v>2E-3</v>
      </c>
      <c r="H628" s="63"/>
    </row>
    <row r="629" spans="1:8" x14ac:dyDescent="0.25">
      <c r="A629" s="63"/>
      <c r="B629" s="63">
        <f>'Padrão EPP'!B629</f>
        <v>13</v>
      </c>
      <c r="C629" s="63" t="str">
        <f>'Padrão EPP'!C629</f>
        <v>PR</v>
      </c>
      <c r="D629" s="63" t="str">
        <f>'Padrão EPP'!D629</f>
        <v>INTERIOR II</v>
      </c>
      <c r="E629" s="63">
        <f>'Padrão EPP'!E629/2</f>
        <v>0</v>
      </c>
      <c r="F629" s="67">
        <v>3.0000000000000001E-3</v>
      </c>
      <c r="G629" s="67">
        <v>2E-3</v>
      </c>
      <c r="H629" s="63"/>
    </row>
    <row r="630" spans="1:8" x14ac:dyDescent="0.25">
      <c r="A630" s="63"/>
      <c r="B630" s="63">
        <f>'Padrão EPP'!B630</f>
        <v>14</v>
      </c>
      <c r="C630" s="63" t="str">
        <f>'Padrão EPP'!C630</f>
        <v>PR</v>
      </c>
      <c r="D630" s="63" t="str">
        <f>'Padrão EPP'!D630</f>
        <v>INTERIOR II</v>
      </c>
      <c r="E630" s="63">
        <f>'Padrão EPP'!E630/2</f>
        <v>0</v>
      </c>
      <c r="F630" s="67">
        <v>3.0000000000000001E-3</v>
      </c>
      <c r="G630" s="67">
        <v>2E-3</v>
      </c>
      <c r="H630" s="63"/>
    </row>
    <row r="631" spans="1:8" x14ac:dyDescent="0.25">
      <c r="A631" s="63"/>
      <c r="B631" s="63">
        <f>'Padrão EPP'!B631</f>
        <v>15</v>
      </c>
      <c r="C631" s="63" t="str">
        <f>'Padrão EPP'!C631</f>
        <v>PR</v>
      </c>
      <c r="D631" s="63" t="str">
        <f>'Padrão EPP'!D631</f>
        <v>INTERIOR II</v>
      </c>
      <c r="E631" s="63">
        <f>'Padrão EPP'!E631/2</f>
        <v>0</v>
      </c>
      <c r="F631" s="67">
        <v>3.0000000000000001E-3</v>
      </c>
      <c r="G631" s="67">
        <v>2E-3</v>
      </c>
      <c r="H631" s="63"/>
    </row>
    <row r="632" spans="1:8" x14ac:dyDescent="0.25">
      <c r="A632" s="63"/>
      <c r="B632" s="63">
        <f>'Padrão EPP'!B632</f>
        <v>16</v>
      </c>
      <c r="C632" s="63" t="str">
        <f>'Padrão EPP'!C632</f>
        <v>PR</v>
      </c>
      <c r="D632" s="63" t="str">
        <f>'Padrão EPP'!D632</f>
        <v>INTERIOR II</v>
      </c>
      <c r="E632" s="63">
        <f>'Padrão EPP'!E632/2</f>
        <v>0</v>
      </c>
      <c r="F632" s="67">
        <v>3.0000000000000001E-3</v>
      </c>
      <c r="G632" s="67">
        <v>2E-3</v>
      </c>
      <c r="H632" s="63"/>
    </row>
    <row r="633" spans="1:8" x14ac:dyDescent="0.25">
      <c r="A633" s="63"/>
      <c r="B633" s="63">
        <f>'Padrão EPP'!B633</f>
        <v>17</v>
      </c>
      <c r="C633" s="63" t="str">
        <f>'Padrão EPP'!C633</f>
        <v>PR</v>
      </c>
      <c r="D633" s="63" t="str">
        <f>'Padrão EPP'!D633</f>
        <v>INTERIOR II</v>
      </c>
      <c r="E633" s="63">
        <f>'Padrão EPP'!E633/2</f>
        <v>0</v>
      </c>
      <c r="F633" s="67">
        <v>3.0000000000000001E-3</v>
      </c>
      <c r="G633" s="67">
        <v>2E-3</v>
      </c>
      <c r="H633" s="63"/>
    </row>
    <row r="634" spans="1:8" x14ac:dyDescent="0.25">
      <c r="A634" s="63"/>
      <c r="B634" s="63">
        <f>'Padrão EPP'!B634</f>
        <v>18</v>
      </c>
      <c r="C634" s="63" t="str">
        <f>'Padrão EPP'!C634</f>
        <v>PR</v>
      </c>
      <c r="D634" s="63" t="str">
        <f>'Padrão EPP'!D634</f>
        <v>INTERIOR II</v>
      </c>
      <c r="E634" s="63">
        <f>'Padrão EPP'!E634/2</f>
        <v>0</v>
      </c>
      <c r="F634" s="67">
        <v>3.0000000000000001E-3</v>
      </c>
      <c r="G634" s="67">
        <v>2E-3</v>
      </c>
      <c r="H634" s="63"/>
    </row>
    <row r="635" spans="1:8" x14ac:dyDescent="0.25">
      <c r="A635" s="63"/>
      <c r="B635" s="63">
        <f>'Padrão EPP'!B635</f>
        <v>19</v>
      </c>
      <c r="C635" s="63" t="str">
        <f>'Padrão EPP'!C635</f>
        <v>PR</v>
      </c>
      <c r="D635" s="63" t="str">
        <f>'Padrão EPP'!D635</f>
        <v>INTERIOR II</v>
      </c>
      <c r="E635" s="63">
        <f>'Padrão EPP'!E635/2</f>
        <v>0</v>
      </c>
      <c r="F635" s="67">
        <v>3.0000000000000001E-3</v>
      </c>
      <c r="G635" s="67">
        <v>2E-3</v>
      </c>
      <c r="H635" s="63"/>
    </row>
    <row r="636" spans="1:8" x14ac:dyDescent="0.25">
      <c r="A636" s="63"/>
      <c r="B636" s="63">
        <f>'Padrão EPP'!B636</f>
        <v>20</v>
      </c>
      <c r="C636" s="63" t="str">
        <f>'Padrão EPP'!C636</f>
        <v>PR</v>
      </c>
      <c r="D636" s="63" t="str">
        <f>'Padrão EPP'!D636</f>
        <v>INTERIOR II</v>
      </c>
      <c r="E636" s="63">
        <f>'Padrão EPP'!E636/2</f>
        <v>0</v>
      </c>
      <c r="F636" s="67">
        <v>3.0000000000000001E-3</v>
      </c>
      <c r="G636" s="67">
        <v>2E-3</v>
      </c>
      <c r="H636" s="63"/>
    </row>
    <row r="637" spans="1:8" x14ac:dyDescent="0.25">
      <c r="A637" s="63"/>
      <c r="B637" s="63">
        <f>'Padrão EPP'!B637</f>
        <v>21</v>
      </c>
      <c r="C637" s="63" t="str">
        <f>'Padrão EPP'!C637</f>
        <v>PR</v>
      </c>
      <c r="D637" s="63" t="str">
        <f>'Padrão EPP'!D637</f>
        <v>INTERIOR II</v>
      </c>
      <c r="E637" s="63">
        <f>'Padrão EPP'!E637/2</f>
        <v>0</v>
      </c>
      <c r="F637" s="67">
        <v>3.0000000000000001E-3</v>
      </c>
      <c r="G637" s="67">
        <v>2E-3</v>
      </c>
      <c r="H637" s="63"/>
    </row>
    <row r="638" spans="1:8" x14ac:dyDescent="0.25">
      <c r="A638" s="63"/>
      <c r="B638" s="63">
        <f>'Padrão EPP'!B638</f>
        <v>22</v>
      </c>
      <c r="C638" s="63" t="str">
        <f>'Padrão EPP'!C638</f>
        <v>PR</v>
      </c>
      <c r="D638" s="63" t="str">
        <f>'Padrão EPP'!D638</f>
        <v>INTERIOR II</v>
      </c>
      <c r="E638" s="63">
        <f>'Padrão EPP'!E638/2</f>
        <v>0</v>
      </c>
      <c r="F638" s="67">
        <v>3.0000000000000001E-3</v>
      </c>
      <c r="G638" s="67">
        <v>2E-3</v>
      </c>
      <c r="H638" s="63"/>
    </row>
    <row r="639" spans="1:8" x14ac:dyDescent="0.25">
      <c r="A639" s="63"/>
      <c r="B639" s="63">
        <f>'Padrão EPP'!B639</f>
        <v>23</v>
      </c>
      <c r="C639" s="63" t="str">
        <f>'Padrão EPP'!C639</f>
        <v>PR</v>
      </c>
      <c r="D639" s="63" t="str">
        <f>'Padrão EPP'!D639</f>
        <v>INTERIOR II</v>
      </c>
      <c r="E639" s="63">
        <f>'Padrão EPP'!E639/2</f>
        <v>0</v>
      </c>
      <c r="F639" s="67">
        <v>3.0000000000000001E-3</v>
      </c>
      <c r="G639" s="67">
        <v>2E-3</v>
      </c>
      <c r="H639" s="63"/>
    </row>
    <row r="640" spans="1:8" x14ac:dyDescent="0.25">
      <c r="A640" s="63"/>
      <c r="B640" s="63">
        <f>'Padrão EPP'!B640</f>
        <v>24</v>
      </c>
      <c r="C640" s="63" t="str">
        <f>'Padrão EPP'!C640</f>
        <v>PR</v>
      </c>
      <c r="D640" s="63" t="str">
        <f>'Padrão EPP'!D640</f>
        <v>INTERIOR II</v>
      </c>
      <c r="E640" s="63">
        <f>'Padrão EPP'!E640/2</f>
        <v>0</v>
      </c>
      <c r="F640" s="67">
        <v>3.0000000000000001E-3</v>
      </c>
      <c r="G640" s="67">
        <v>2E-3</v>
      </c>
      <c r="H640" s="63"/>
    </row>
    <row r="641" spans="1:8" x14ac:dyDescent="0.25">
      <c r="A641" s="63"/>
      <c r="B641" s="63">
        <f>'Padrão EPP'!B641</f>
        <v>25</v>
      </c>
      <c r="C641" s="63" t="str">
        <f>'Padrão EPP'!C641</f>
        <v>PR</v>
      </c>
      <c r="D641" s="63" t="str">
        <f>'Padrão EPP'!D641</f>
        <v>INTERIOR II</v>
      </c>
      <c r="E641" s="63">
        <f>'Padrão EPP'!E641/2</f>
        <v>0</v>
      </c>
      <c r="F641" s="67">
        <v>3.0000000000000001E-3</v>
      </c>
      <c r="G641" s="67">
        <v>2E-3</v>
      </c>
      <c r="H641" s="63"/>
    </row>
    <row r="642" spans="1:8" x14ac:dyDescent="0.25">
      <c r="A642" s="63"/>
      <c r="B642" s="63">
        <f>'Padrão EPP'!B642</f>
        <v>26</v>
      </c>
      <c r="C642" s="63" t="str">
        <f>'Padrão EPP'!C642</f>
        <v>PR</v>
      </c>
      <c r="D642" s="63" t="str">
        <f>'Padrão EPP'!D642</f>
        <v>INTERIOR II</v>
      </c>
      <c r="E642" s="63">
        <f>'Padrão EPP'!E642/2</f>
        <v>0</v>
      </c>
      <c r="F642" s="67">
        <v>3.0000000000000001E-3</v>
      </c>
      <c r="G642" s="67">
        <v>2E-3</v>
      </c>
      <c r="H642" s="63"/>
    </row>
    <row r="643" spans="1:8" x14ac:dyDescent="0.25">
      <c r="A643" s="63"/>
      <c r="B643" s="63">
        <f>'Padrão EPP'!B643</f>
        <v>27</v>
      </c>
      <c r="C643" s="63" t="str">
        <f>'Padrão EPP'!C643</f>
        <v>PR</v>
      </c>
      <c r="D643" s="63" t="str">
        <f>'Padrão EPP'!D643</f>
        <v>INTERIOR II</v>
      </c>
      <c r="E643" s="63">
        <f>'Padrão EPP'!E643/2</f>
        <v>0</v>
      </c>
      <c r="F643" s="67">
        <v>3.0000000000000001E-3</v>
      </c>
      <c r="G643" s="67">
        <v>2E-3</v>
      </c>
      <c r="H643" s="63"/>
    </row>
    <row r="644" spans="1:8" x14ac:dyDescent="0.25">
      <c r="A644" s="63"/>
      <c r="B644" s="63">
        <f>'Padrão EPP'!B644</f>
        <v>28</v>
      </c>
      <c r="C644" s="63" t="str">
        <f>'Padrão EPP'!C644</f>
        <v>PR</v>
      </c>
      <c r="D644" s="63" t="str">
        <f>'Padrão EPP'!D644</f>
        <v>INTERIOR II</v>
      </c>
      <c r="E644" s="63">
        <f>'Padrão EPP'!E644/2</f>
        <v>0</v>
      </c>
      <c r="F644" s="67">
        <v>3.0000000000000001E-3</v>
      </c>
      <c r="G644" s="67">
        <v>2E-3</v>
      </c>
      <c r="H644" s="63"/>
    </row>
    <row r="645" spans="1:8" x14ac:dyDescent="0.25">
      <c r="A645" s="63"/>
      <c r="B645" s="63">
        <f>'Padrão EPP'!B645</f>
        <v>29</v>
      </c>
      <c r="C645" s="63" t="str">
        <f>'Padrão EPP'!C645</f>
        <v>PR</v>
      </c>
      <c r="D645" s="63" t="str">
        <f>'Padrão EPP'!D645</f>
        <v>INTERIOR II</v>
      </c>
      <c r="E645" s="63">
        <f>'Padrão EPP'!E645/2</f>
        <v>0</v>
      </c>
      <c r="F645" s="67">
        <v>3.0000000000000001E-3</v>
      </c>
      <c r="G645" s="67">
        <v>2E-3</v>
      </c>
      <c r="H645" s="63"/>
    </row>
    <row r="646" spans="1:8" x14ac:dyDescent="0.25">
      <c r="A646" s="63"/>
      <c r="B646" s="63">
        <f>'Padrão EPP'!B646</f>
        <v>30</v>
      </c>
      <c r="C646" s="63" t="str">
        <f>'Padrão EPP'!C646</f>
        <v>PR</v>
      </c>
      <c r="D646" s="63" t="str">
        <f>'Padrão EPP'!D646</f>
        <v>INTERIOR II</v>
      </c>
      <c r="E646" s="63">
        <f>'Padrão EPP'!E646/2</f>
        <v>0</v>
      </c>
      <c r="F646" s="67">
        <v>3.0000000000000001E-3</v>
      </c>
      <c r="G646" s="67">
        <v>2E-3</v>
      </c>
      <c r="H646" s="63"/>
    </row>
    <row r="647" spans="1:8" x14ac:dyDescent="0.25">
      <c r="A647" s="63"/>
      <c r="B647" s="63">
        <f>'Padrão EPP'!B647</f>
        <v>0</v>
      </c>
      <c r="C647" s="63" t="str">
        <f>'Padrão EPP'!C647</f>
        <v>PR</v>
      </c>
      <c r="D647" s="63" t="str">
        <f>'Padrão EPP'!D647</f>
        <v>INTERIOR II</v>
      </c>
      <c r="E647" s="63">
        <f>'Padrão EPP'!E647/2</f>
        <v>1.5214394455252955</v>
      </c>
      <c r="F647" s="67">
        <v>3.0000000000000001E-3</v>
      </c>
      <c r="G647" s="67">
        <v>2E-3</v>
      </c>
      <c r="H647" s="63"/>
    </row>
    <row r="648" spans="1:8" x14ac:dyDescent="0.25">
      <c r="A648" s="63"/>
      <c r="B648" s="63">
        <f>'Padrão EPP'!B648</f>
        <v>0.25</v>
      </c>
      <c r="C648" s="63" t="str">
        <f>'Padrão EPP'!C648</f>
        <v>PR</v>
      </c>
      <c r="D648" s="63" t="str">
        <f>'Padrão EPP'!D648</f>
        <v>REDESPACHO</v>
      </c>
      <c r="E648" s="63">
        <f>'Padrão EPP'!E648/2</f>
        <v>13.28699879702854</v>
      </c>
      <c r="F648" s="67">
        <v>3.0000000000000001E-3</v>
      </c>
      <c r="G648" s="67">
        <v>2E-3</v>
      </c>
      <c r="H648" s="63"/>
    </row>
    <row r="649" spans="1:8" x14ac:dyDescent="0.25">
      <c r="A649" s="63"/>
      <c r="B649" s="63">
        <f>'Padrão EPP'!B649</f>
        <v>0.5</v>
      </c>
      <c r="C649" s="63" t="str">
        <f>'Padrão EPP'!C649</f>
        <v>PR</v>
      </c>
      <c r="D649" s="63" t="str">
        <f>'Padrão EPP'!D649</f>
        <v>REDESPACHO</v>
      </c>
      <c r="E649" s="63">
        <f>'Padrão EPP'!E649/2</f>
        <v>13.840903575596895</v>
      </c>
      <c r="F649" s="67">
        <v>3.0000000000000001E-3</v>
      </c>
      <c r="G649" s="67">
        <v>2E-3</v>
      </c>
      <c r="H649" s="63"/>
    </row>
    <row r="650" spans="1:8" x14ac:dyDescent="0.25">
      <c r="A650" s="63"/>
      <c r="B650" s="63">
        <f>'Padrão EPP'!B650</f>
        <v>0.75</v>
      </c>
      <c r="C650" s="63" t="str">
        <f>'Padrão EPP'!C650</f>
        <v>PR</v>
      </c>
      <c r="D650" s="63" t="str">
        <f>'Padrão EPP'!D650</f>
        <v>REDESPACHO</v>
      </c>
      <c r="E650" s="63">
        <f>'Padrão EPP'!E650/2</f>
        <v>14.017225242639805</v>
      </c>
      <c r="F650" s="67">
        <v>3.0000000000000001E-3</v>
      </c>
      <c r="G650" s="67">
        <v>2E-3</v>
      </c>
      <c r="H650" s="63"/>
    </row>
    <row r="651" spans="1:8" x14ac:dyDescent="0.25">
      <c r="A651" s="63"/>
      <c r="B651" s="63">
        <f>'Padrão EPP'!B651</f>
        <v>1</v>
      </c>
      <c r="C651" s="63" t="str">
        <f>'Padrão EPP'!C651</f>
        <v>PR</v>
      </c>
      <c r="D651" s="63" t="str">
        <f>'Padrão EPP'!D651</f>
        <v>REDESPACHO</v>
      </c>
      <c r="E651" s="63">
        <f>'Padrão EPP'!E651/2</f>
        <v>14.771139217392211</v>
      </c>
      <c r="F651" s="67">
        <v>3.0000000000000001E-3</v>
      </c>
      <c r="G651" s="67">
        <v>2E-3</v>
      </c>
      <c r="H651" s="63"/>
    </row>
    <row r="652" spans="1:8" x14ac:dyDescent="0.25">
      <c r="A652" s="63"/>
      <c r="B652" s="63">
        <f>'Padrão EPP'!B652</f>
        <v>2</v>
      </c>
      <c r="C652" s="63" t="str">
        <f>'Padrão EPP'!C652</f>
        <v>PR</v>
      </c>
      <c r="D652" s="63" t="str">
        <f>'Padrão EPP'!D652</f>
        <v>REDESPACHO</v>
      </c>
      <c r="E652" s="63">
        <f>'Padrão EPP'!E652/2</f>
        <v>15.506253010438565</v>
      </c>
      <c r="F652" s="67">
        <v>3.0000000000000001E-3</v>
      </c>
      <c r="G652" s="67">
        <v>2E-3</v>
      </c>
      <c r="H652" s="63"/>
    </row>
    <row r="653" spans="1:8" x14ac:dyDescent="0.25">
      <c r="A653" s="63"/>
      <c r="B653" s="63">
        <f>'Padrão EPP'!B653</f>
        <v>3</v>
      </c>
      <c r="C653" s="63" t="str">
        <f>'Padrão EPP'!C653</f>
        <v>PR</v>
      </c>
      <c r="D653" s="63" t="str">
        <f>'Padrão EPP'!D653</f>
        <v>REDESPACHO</v>
      </c>
      <c r="E653" s="63">
        <f>'Padrão EPP'!E653/2</f>
        <v>19.057583966432421</v>
      </c>
      <c r="F653" s="67">
        <v>3.0000000000000001E-3</v>
      </c>
      <c r="G653" s="67">
        <v>2E-3</v>
      </c>
      <c r="H653" s="63"/>
    </row>
    <row r="654" spans="1:8" x14ac:dyDescent="0.25">
      <c r="A654" s="63"/>
      <c r="B654" s="63">
        <f>'Padrão EPP'!B654</f>
        <v>4</v>
      </c>
      <c r="C654" s="63" t="str">
        <f>'Padrão EPP'!C654</f>
        <v>PR</v>
      </c>
      <c r="D654" s="63" t="str">
        <f>'Padrão EPP'!D654</f>
        <v>REDESPACHO</v>
      </c>
      <c r="E654" s="63">
        <f>'Padrão EPP'!E654/2</f>
        <v>20.780399558613798</v>
      </c>
      <c r="F654" s="67">
        <v>3.0000000000000001E-3</v>
      </c>
      <c r="G654" s="67">
        <v>2E-3</v>
      </c>
      <c r="H654" s="63"/>
    </row>
    <row r="655" spans="1:8" x14ac:dyDescent="0.25">
      <c r="A655" s="63"/>
      <c r="B655" s="63">
        <f>'Padrão EPP'!B655</f>
        <v>5</v>
      </c>
      <c r="C655" s="63" t="str">
        <f>'Padrão EPP'!C655</f>
        <v>PR</v>
      </c>
      <c r="D655" s="63" t="str">
        <f>'Padrão EPP'!D655</f>
        <v>REDESPACHO</v>
      </c>
      <c r="E655" s="63">
        <f>'Padrão EPP'!E655/2</f>
        <v>22.61355996116729</v>
      </c>
      <c r="F655" s="67">
        <v>3.0000000000000001E-3</v>
      </c>
      <c r="G655" s="67">
        <v>2E-3</v>
      </c>
      <c r="H655" s="63"/>
    </row>
    <row r="656" spans="1:8" x14ac:dyDescent="0.25">
      <c r="A656" s="63"/>
      <c r="B656" s="63">
        <f>'Padrão EPP'!B656</f>
        <v>6</v>
      </c>
      <c r="C656" s="63" t="str">
        <f>'Padrão EPP'!C656</f>
        <v>PR</v>
      </c>
      <c r="D656" s="63" t="str">
        <f>'Padrão EPP'!D656</f>
        <v>REDESPACHO</v>
      </c>
      <c r="E656" s="63">
        <f>'Padrão EPP'!E656/2</f>
        <v>24.604601789811614</v>
      </c>
      <c r="F656" s="67">
        <v>3.0000000000000001E-3</v>
      </c>
      <c r="G656" s="67">
        <v>2E-3</v>
      </c>
      <c r="H656" s="63"/>
    </row>
    <row r="657" spans="1:8" x14ac:dyDescent="0.25">
      <c r="A657" s="63"/>
      <c r="B657" s="63">
        <f>'Padrão EPP'!B657</f>
        <v>7</v>
      </c>
      <c r="C657" s="63" t="str">
        <f>'Padrão EPP'!C657</f>
        <v>PR</v>
      </c>
      <c r="D657" s="63" t="str">
        <f>'Padrão EPP'!D657</f>
        <v>REDESPACHO</v>
      </c>
      <c r="E657" s="63">
        <f>'Padrão EPP'!E657/2</f>
        <v>26.82602316749086</v>
      </c>
      <c r="F657" s="67">
        <v>3.0000000000000001E-3</v>
      </c>
      <c r="G657" s="67">
        <v>2E-3</v>
      </c>
      <c r="H657" s="63"/>
    </row>
    <row r="658" spans="1:8" x14ac:dyDescent="0.25">
      <c r="A658" s="63"/>
      <c r="B658" s="63">
        <f>'Padrão EPP'!B658</f>
        <v>8</v>
      </c>
      <c r="C658" s="63" t="str">
        <f>'Padrão EPP'!C658</f>
        <v>PR</v>
      </c>
      <c r="D658" s="63" t="str">
        <f>'Padrão EPP'!D658</f>
        <v>REDESPACHO</v>
      </c>
      <c r="E658" s="63">
        <f>'Padrão EPP'!E658/2</f>
        <v>29.194313487775386</v>
      </c>
      <c r="F658" s="67">
        <v>3.0000000000000001E-3</v>
      </c>
      <c r="G658" s="67">
        <v>2E-3</v>
      </c>
      <c r="H658" s="63"/>
    </row>
    <row r="659" spans="1:8" x14ac:dyDescent="0.25">
      <c r="A659" s="63"/>
      <c r="B659" s="63">
        <f>'Padrão EPP'!B659</f>
        <v>9</v>
      </c>
      <c r="C659" s="63" t="str">
        <f>'Padrão EPP'!C659</f>
        <v>PR</v>
      </c>
      <c r="D659" s="63" t="str">
        <f>'Padrão EPP'!D659</f>
        <v>REDESPACHO</v>
      </c>
      <c r="E659" s="63">
        <f>'Padrão EPP'!E659/2</f>
        <v>31.724159644925731</v>
      </c>
      <c r="F659" s="67">
        <v>3.0000000000000001E-3</v>
      </c>
      <c r="G659" s="67">
        <v>2E-3</v>
      </c>
      <c r="H659" s="63"/>
    </row>
    <row r="660" spans="1:8" x14ac:dyDescent="0.25">
      <c r="A660" s="63"/>
      <c r="B660" s="63">
        <f>'Padrão EPP'!B660</f>
        <v>10</v>
      </c>
      <c r="C660" s="63" t="str">
        <f>'Padrão EPP'!C660</f>
        <v>PR</v>
      </c>
      <c r="D660" s="63" t="str">
        <f>'Padrão EPP'!D660</f>
        <v>REDESPACHO</v>
      </c>
      <c r="E660" s="63">
        <f>'Padrão EPP'!E660/2</f>
        <v>34.43171722262845</v>
      </c>
      <c r="F660" s="67">
        <v>3.0000000000000001E-3</v>
      </c>
      <c r="G660" s="67">
        <v>2E-3</v>
      </c>
      <c r="H660" s="63"/>
    </row>
    <row r="661" spans="1:8" x14ac:dyDescent="0.25">
      <c r="A661" s="63"/>
      <c r="B661" s="63">
        <f>'Padrão EPP'!B661</f>
        <v>11</v>
      </c>
      <c r="C661" s="63" t="str">
        <f>'Padrão EPP'!C661</f>
        <v>PR</v>
      </c>
      <c r="D661" s="63" t="str">
        <f>'Padrão EPP'!D661</f>
        <v>REDESPACHO</v>
      </c>
      <c r="E661" s="63">
        <f>'Padrão EPP'!E661/2</f>
        <v>0</v>
      </c>
      <c r="F661" s="67">
        <v>3.0000000000000001E-3</v>
      </c>
      <c r="G661" s="67">
        <v>2E-3</v>
      </c>
      <c r="H661" s="63"/>
    </row>
    <row r="662" spans="1:8" x14ac:dyDescent="0.25">
      <c r="A662" s="63"/>
      <c r="B662" s="63">
        <f>'Padrão EPP'!B662</f>
        <v>12</v>
      </c>
      <c r="C662" s="63" t="str">
        <f>'Padrão EPP'!C662</f>
        <v>PR</v>
      </c>
      <c r="D662" s="63" t="str">
        <f>'Padrão EPP'!D662</f>
        <v>REDESPACHO</v>
      </c>
      <c r="E662" s="63">
        <f>'Padrão EPP'!E662/2</f>
        <v>0</v>
      </c>
      <c r="F662" s="67">
        <v>3.0000000000000001E-3</v>
      </c>
      <c r="G662" s="67">
        <v>2E-3</v>
      </c>
      <c r="H662" s="63"/>
    </row>
    <row r="663" spans="1:8" x14ac:dyDescent="0.25">
      <c r="A663" s="63"/>
      <c r="B663" s="63">
        <f>'Padrão EPP'!B663</f>
        <v>13</v>
      </c>
      <c r="C663" s="63" t="str">
        <f>'Padrão EPP'!C663</f>
        <v>PR</v>
      </c>
      <c r="D663" s="63" t="str">
        <f>'Padrão EPP'!D663</f>
        <v>REDESPACHO</v>
      </c>
      <c r="E663" s="63">
        <f>'Padrão EPP'!E663/2</f>
        <v>0</v>
      </c>
      <c r="F663" s="67">
        <v>3.0000000000000001E-3</v>
      </c>
      <c r="G663" s="67">
        <v>2E-3</v>
      </c>
      <c r="H663" s="63"/>
    </row>
    <row r="664" spans="1:8" x14ac:dyDescent="0.25">
      <c r="A664" s="63"/>
      <c r="B664" s="63">
        <f>'Padrão EPP'!B664</f>
        <v>14</v>
      </c>
      <c r="C664" s="63" t="str">
        <f>'Padrão EPP'!C664</f>
        <v>PR</v>
      </c>
      <c r="D664" s="63" t="str">
        <f>'Padrão EPP'!D664</f>
        <v>REDESPACHO</v>
      </c>
      <c r="E664" s="63">
        <f>'Padrão EPP'!E664/2</f>
        <v>0</v>
      </c>
      <c r="F664" s="67">
        <v>3.0000000000000001E-3</v>
      </c>
      <c r="G664" s="67">
        <v>2E-3</v>
      </c>
      <c r="H664" s="63"/>
    </row>
    <row r="665" spans="1:8" x14ac:dyDescent="0.25">
      <c r="A665" s="63"/>
      <c r="B665" s="63">
        <f>'Padrão EPP'!B665</f>
        <v>15</v>
      </c>
      <c r="C665" s="63" t="str">
        <f>'Padrão EPP'!C665</f>
        <v>PR</v>
      </c>
      <c r="D665" s="63" t="str">
        <f>'Padrão EPP'!D665</f>
        <v>REDESPACHO</v>
      </c>
      <c r="E665" s="63">
        <f>'Padrão EPP'!E665/2</f>
        <v>0</v>
      </c>
      <c r="F665" s="67">
        <v>3.0000000000000001E-3</v>
      </c>
      <c r="G665" s="67">
        <v>2E-3</v>
      </c>
      <c r="H665" s="63"/>
    </row>
    <row r="666" spans="1:8" x14ac:dyDescent="0.25">
      <c r="A666" s="63"/>
      <c r="B666" s="63">
        <f>'Padrão EPP'!B666</f>
        <v>16</v>
      </c>
      <c r="C666" s="63" t="str">
        <f>'Padrão EPP'!C666</f>
        <v>PR</v>
      </c>
      <c r="D666" s="63" t="str">
        <f>'Padrão EPP'!D666</f>
        <v>REDESPACHO</v>
      </c>
      <c r="E666" s="63">
        <f>'Padrão EPP'!E666/2</f>
        <v>0</v>
      </c>
      <c r="F666" s="67">
        <v>3.0000000000000001E-3</v>
      </c>
      <c r="G666" s="67">
        <v>2E-3</v>
      </c>
      <c r="H666" s="63"/>
    </row>
    <row r="667" spans="1:8" x14ac:dyDescent="0.25">
      <c r="A667" s="63"/>
      <c r="B667" s="63">
        <f>'Padrão EPP'!B667</f>
        <v>17</v>
      </c>
      <c r="C667" s="63" t="str">
        <f>'Padrão EPP'!C667</f>
        <v>PR</v>
      </c>
      <c r="D667" s="63" t="str">
        <f>'Padrão EPP'!D667</f>
        <v>REDESPACHO</v>
      </c>
      <c r="E667" s="63">
        <f>'Padrão EPP'!E667/2</f>
        <v>0</v>
      </c>
      <c r="F667" s="67">
        <v>3.0000000000000001E-3</v>
      </c>
      <c r="G667" s="67">
        <v>2E-3</v>
      </c>
      <c r="H667" s="63"/>
    </row>
    <row r="668" spans="1:8" x14ac:dyDescent="0.25">
      <c r="A668" s="63"/>
      <c r="B668" s="63">
        <f>'Padrão EPP'!B668</f>
        <v>18</v>
      </c>
      <c r="C668" s="63" t="str">
        <f>'Padrão EPP'!C668</f>
        <v>PR</v>
      </c>
      <c r="D668" s="63" t="str">
        <f>'Padrão EPP'!D668</f>
        <v>REDESPACHO</v>
      </c>
      <c r="E668" s="63">
        <f>'Padrão EPP'!E668/2</f>
        <v>0</v>
      </c>
      <c r="F668" s="67">
        <v>3.0000000000000001E-3</v>
      </c>
      <c r="G668" s="67">
        <v>2E-3</v>
      </c>
      <c r="H668" s="63"/>
    </row>
    <row r="669" spans="1:8" x14ac:dyDescent="0.25">
      <c r="A669" s="63"/>
      <c r="B669" s="63">
        <f>'Padrão EPP'!B669</f>
        <v>19</v>
      </c>
      <c r="C669" s="63" t="str">
        <f>'Padrão EPP'!C669</f>
        <v>PR</v>
      </c>
      <c r="D669" s="63" t="str">
        <f>'Padrão EPP'!D669</f>
        <v>REDESPACHO</v>
      </c>
      <c r="E669" s="63">
        <f>'Padrão EPP'!E669/2</f>
        <v>0</v>
      </c>
      <c r="F669" s="67">
        <v>3.0000000000000001E-3</v>
      </c>
      <c r="G669" s="67">
        <v>2E-3</v>
      </c>
      <c r="H669" s="63"/>
    </row>
    <row r="670" spans="1:8" x14ac:dyDescent="0.25">
      <c r="A670" s="63"/>
      <c r="B670" s="63">
        <f>'Padrão EPP'!B670</f>
        <v>20</v>
      </c>
      <c r="C670" s="63" t="str">
        <f>'Padrão EPP'!C670</f>
        <v>PR</v>
      </c>
      <c r="D670" s="63" t="str">
        <f>'Padrão EPP'!D670</f>
        <v>REDESPACHO</v>
      </c>
      <c r="E670" s="63">
        <f>'Padrão EPP'!E670/2</f>
        <v>0</v>
      </c>
      <c r="F670" s="67">
        <v>3.0000000000000001E-3</v>
      </c>
      <c r="G670" s="67">
        <v>2E-3</v>
      </c>
      <c r="H670" s="63"/>
    </row>
    <row r="671" spans="1:8" x14ac:dyDescent="0.25">
      <c r="A671" s="63"/>
      <c r="B671" s="63">
        <f>'Padrão EPP'!B671</f>
        <v>21</v>
      </c>
      <c r="C671" s="63" t="str">
        <f>'Padrão EPP'!C671</f>
        <v>PR</v>
      </c>
      <c r="D671" s="63" t="str">
        <f>'Padrão EPP'!D671</f>
        <v>REDESPACHO</v>
      </c>
      <c r="E671" s="63">
        <f>'Padrão EPP'!E671/2</f>
        <v>0</v>
      </c>
      <c r="F671" s="67">
        <v>3.0000000000000001E-3</v>
      </c>
      <c r="G671" s="67">
        <v>2E-3</v>
      </c>
      <c r="H671" s="63"/>
    </row>
    <row r="672" spans="1:8" x14ac:dyDescent="0.25">
      <c r="A672" s="63"/>
      <c r="B672" s="63">
        <f>'Padrão EPP'!B672</f>
        <v>22</v>
      </c>
      <c r="C672" s="63" t="str">
        <f>'Padrão EPP'!C672</f>
        <v>PR</v>
      </c>
      <c r="D672" s="63" t="str">
        <f>'Padrão EPP'!D672</f>
        <v>REDESPACHO</v>
      </c>
      <c r="E672" s="63">
        <f>'Padrão EPP'!E672/2</f>
        <v>0</v>
      </c>
      <c r="F672" s="67">
        <v>3.0000000000000001E-3</v>
      </c>
      <c r="G672" s="67">
        <v>2E-3</v>
      </c>
      <c r="H672" s="63"/>
    </row>
    <row r="673" spans="1:8" x14ac:dyDescent="0.25">
      <c r="A673" s="63"/>
      <c r="B673" s="63">
        <f>'Padrão EPP'!B673</f>
        <v>23</v>
      </c>
      <c r="C673" s="63" t="str">
        <f>'Padrão EPP'!C673</f>
        <v>PR</v>
      </c>
      <c r="D673" s="63" t="str">
        <f>'Padrão EPP'!D673</f>
        <v>REDESPACHO</v>
      </c>
      <c r="E673" s="63">
        <f>'Padrão EPP'!E673/2</f>
        <v>0</v>
      </c>
      <c r="F673" s="67">
        <v>3.0000000000000001E-3</v>
      </c>
      <c r="G673" s="67">
        <v>2E-3</v>
      </c>
      <c r="H673" s="63"/>
    </row>
    <row r="674" spans="1:8" x14ac:dyDescent="0.25">
      <c r="A674" s="63"/>
      <c r="B674" s="63">
        <f>'Padrão EPP'!B674</f>
        <v>24</v>
      </c>
      <c r="C674" s="63" t="str">
        <f>'Padrão EPP'!C674</f>
        <v>PR</v>
      </c>
      <c r="D674" s="63" t="str">
        <f>'Padrão EPP'!D674</f>
        <v>REDESPACHO</v>
      </c>
      <c r="E674" s="63">
        <f>'Padrão EPP'!E674/2</f>
        <v>0</v>
      </c>
      <c r="F674" s="67">
        <v>3.0000000000000001E-3</v>
      </c>
      <c r="G674" s="67">
        <v>2E-3</v>
      </c>
      <c r="H674" s="63"/>
    </row>
    <row r="675" spans="1:8" x14ac:dyDescent="0.25">
      <c r="A675" s="63"/>
      <c r="B675" s="63">
        <f>'Padrão EPP'!B675</f>
        <v>25</v>
      </c>
      <c r="C675" s="63" t="str">
        <f>'Padrão EPP'!C675</f>
        <v>PR</v>
      </c>
      <c r="D675" s="63" t="str">
        <f>'Padrão EPP'!D675</f>
        <v>REDESPACHO</v>
      </c>
      <c r="E675" s="63">
        <f>'Padrão EPP'!E675/2</f>
        <v>0</v>
      </c>
      <c r="F675" s="67">
        <v>3.0000000000000001E-3</v>
      </c>
      <c r="G675" s="67">
        <v>2E-3</v>
      </c>
      <c r="H675" s="63"/>
    </row>
    <row r="676" spans="1:8" x14ac:dyDescent="0.25">
      <c r="A676" s="63"/>
      <c r="B676" s="63">
        <f>'Padrão EPP'!B676</f>
        <v>26</v>
      </c>
      <c r="C676" s="63" t="str">
        <f>'Padrão EPP'!C676</f>
        <v>PR</v>
      </c>
      <c r="D676" s="63" t="str">
        <f>'Padrão EPP'!D676</f>
        <v>REDESPACHO</v>
      </c>
      <c r="E676" s="63">
        <f>'Padrão EPP'!E676/2</f>
        <v>0</v>
      </c>
      <c r="F676" s="67">
        <v>3.0000000000000001E-3</v>
      </c>
      <c r="G676" s="67">
        <v>2E-3</v>
      </c>
      <c r="H676" s="63"/>
    </row>
    <row r="677" spans="1:8" x14ac:dyDescent="0.25">
      <c r="A677" s="63"/>
      <c r="B677" s="63">
        <f>'Padrão EPP'!B677</f>
        <v>27</v>
      </c>
      <c r="C677" s="63" t="str">
        <f>'Padrão EPP'!C677</f>
        <v>PR</v>
      </c>
      <c r="D677" s="63" t="str">
        <f>'Padrão EPP'!D677</f>
        <v>REDESPACHO</v>
      </c>
      <c r="E677" s="63">
        <f>'Padrão EPP'!E677/2</f>
        <v>0</v>
      </c>
      <c r="F677" s="67">
        <v>3.0000000000000001E-3</v>
      </c>
      <c r="G677" s="67">
        <v>2E-3</v>
      </c>
      <c r="H677" s="63"/>
    </row>
    <row r="678" spans="1:8" x14ac:dyDescent="0.25">
      <c r="A678" s="63"/>
      <c r="B678" s="63">
        <f>'Padrão EPP'!B678</f>
        <v>28</v>
      </c>
      <c r="C678" s="63" t="str">
        <f>'Padrão EPP'!C678</f>
        <v>PR</v>
      </c>
      <c r="D678" s="63" t="str">
        <f>'Padrão EPP'!D678</f>
        <v>REDESPACHO</v>
      </c>
      <c r="E678" s="63">
        <f>'Padrão EPP'!E678/2</f>
        <v>0</v>
      </c>
      <c r="F678" s="67">
        <v>3.0000000000000001E-3</v>
      </c>
      <c r="G678" s="67">
        <v>2E-3</v>
      </c>
      <c r="H678" s="63"/>
    </row>
    <row r="679" spans="1:8" x14ac:dyDescent="0.25">
      <c r="A679" s="63"/>
      <c r="B679" s="63">
        <f>'Padrão EPP'!B679</f>
        <v>29</v>
      </c>
      <c r="C679" s="63" t="str">
        <f>'Padrão EPP'!C679</f>
        <v>PR</v>
      </c>
      <c r="D679" s="63" t="str">
        <f>'Padrão EPP'!D679</f>
        <v>REDESPACHO</v>
      </c>
      <c r="E679" s="63">
        <f>'Padrão EPP'!E679/2</f>
        <v>0</v>
      </c>
      <c r="F679" s="67">
        <v>3.0000000000000001E-3</v>
      </c>
      <c r="G679" s="67">
        <v>2E-3</v>
      </c>
      <c r="H679" s="63"/>
    </row>
    <row r="680" spans="1:8" x14ac:dyDescent="0.25">
      <c r="A680" s="63"/>
      <c r="B680" s="63">
        <f>'Padrão EPP'!B680</f>
        <v>30</v>
      </c>
      <c r="C680" s="63" t="str">
        <f>'Padrão EPP'!C680</f>
        <v>PR</v>
      </c>
      <c r="D680" s="63" t="str">
        <f>'Padrão EPP'!D680</f>
        <v>REDESPACHO</v>
      </c>
      <c r="E680" s="63">
        <f>'Padrão EPP'!E680/2</f>
        <v>0</v>
      </c>
      <c r="F680" s="67">
        <v>3.0000000000000001E-3</v>
      </c>
      <c r="G680" s="67">
        <v>2E-3</v>
      </c>
      <c r="H680" s="63"/>
    </row>
    <row r="681" spans="1:8" x14ac:dyDescent="0.25">
      <c r="A681" s="63"/>
      <c r="B681" s="63">
        <f>'Padrão EPP'!B681</f>
        <v>0</v>
      </c>
      <c r="C681" s="63" t="str">
        <f>'Padrão EPP'!C681</f>
        <v>PR</v>
      </c>
      <c r="D681" s="63" t="str">
        <f>'Padrão EPP'!D681</f>
        <v>REDESPACHO</v>
      </c>
      <c r="E681" s="63">
        <f>'Padrão EPP'!E681/2</f>
        <v>1.5214394455252955</v>
      </c>
      <c r="F681" s="67">
        <v>3.0000000000000001E-3</v>
      </c>
      <c r="G681" s="67">
        <v>2E-3</v>
      </c>
      <c r="H681" s="63"/>
    </row>
    <row r="682" spans="1:8" x14ac:dyDescent="0.25">
      <c r="A682" s="63"/>
      <c r="B682" s="63">
        <f>'Padrão EPP'!B682</f>
        <v>0.25</v>
      </c>
      <c r="C682" s="63" t="str">
        <f>'Padrão EPP'!C682</f>
        <v>SC</v>
      </c>
      <c r="D682" s="63" t="str">
        <f>'Padrão EPP'!D682</f>
        <v>CAPITAL</v>
      </c>
      <c r="E682" s="63">
        <f>'Padrão EPP'!E682/2</f>
        <v>5.9569276087625722</v>
      </c>
      <c r="F682" s="67">
        <v>3.0000000000000001E-3</v>
      </c>
      <c r="G682" s="67">
        <v>2E-3</v>
      </c>
      <c r="H682" s="63"/>
    </row>
    <row r="683" spans="1:8" x14ac:dyDescent="0.25">
      <c r="A683" s="63"/>
      <c r="B683" s="63">
        <f>'Padrão EPP'!B683</f>
        <v>0.5</v>
      </c>
      <c r="C683" s="63" t="str">
        <f>'Padrão EPP'!C683</f>
        <v>SC</v>
      </c>
      <c r="D683" s="63" t="str">
        <f>'Padrão EPP'!D683</f>
        <v>CAPITAL</v>
      </c>
      <c r="E683" s="63">
        <f>'Padrão EPP'!E683/2</f>
        <v>6.1090052957233887</v>
      </c>
      <c r="F683" s="67">
        <v>3.0000000000000001E-3</v>
      </c>
      <c r="G683" s="67">
        <v>2E-3</v>
      </c>
      <c r="H683" s="63"/>
    </row>
    <row r="684" spans="1:8" x14ac:dyDescent="0.25">
      <c r="A684" s="63"/>
      <c r="B684" s="63">
        <f>'Padrão EPP'!B684</f>
        <v>0.75</v>
      </c>
      <c r="C684" s="63" t="str">
        <f>'Padrão EPP'!C684</f>
        <v>SC</v>
      </c>
      <c r="D684" s="63" t="str">
        <f>'Padrão EPP'!D684</f>
        <v>CAPITAL</v>
      </c>
      <c r="E684" s="63">
        <f>'Padrão EPP'!E684/2</f>
        <v>6.5492207190719931</v>
      </c>
      <c r="F684" s="67">
        <v>3.0000000000000001E-3</v>
      </c>
      <c r="G684" s="67">
        <v>2E-3</v>
      </c>
      <c r="H684" s="63"/>
    </row>
    <row r="685" spans="1:8" x14ac:dyDescent="0.25">
      <c r="A685" s="63"/>
      <c r="B685" s="63">
        <f>'Padrão EPP'!B685</f>
        <v>1</v>
      </c>
      <c r="C685" s="63" t="str">
        <f>'Padrão EPP'!C685</f>
        <v>SC</v>
      </c>
      <c r="D685" s="63" t="str">
        <f>'Padrão EPP'!D685</f>
        <v>CAPITAL</v>
      </c>
      <c r="E685" s="63">
        <f>'Padrão EPP'!E685/2</f>
        <v>6.7334615958019262</v>
      </c>
      <c r="F685" s="67">
        <v>3.0000000000000001E-3</v>
      </c>
      <c r="G685" s="67">
        <v>2E-3</v>
      </c>
      <c r="H685" s="63"/>
    </row>
    <row r="686" spans="1:8" x14ac:dyDescent="0.25">
      <c r="A686" s="63"/>
      <c r="B686" s="63">
        <f>'Padrão EPP'!B686</f>
        <v>2</v>
      </c>
      <c r="C686" s="63" t="str">
        <f>'Padrão EPP'!C686</f>
        <v>SC</v>
      </c>
      <c r="D686" s="63" t="str">
        <f>'Padrão EPP'!D686</f>
        <v>CAPITAL</v>
      </c>
      <c r="E686" s="63">
        <f>'Padrão EPP'!E686/2</f>
        <v>7.7815690429441933</v>
      </c>
      <c r="F686" s="67">
        <v>3.0000000000000001E-3</v>
      </c>
      <c r="G686" s="67">
        <v>2E-3</v>
      </c>
      <c r="H686" s="63"/>
    </row>
    <row r="687" spans="1:8" x14ac:dyDescent="0.25">
      <c r="A687" s="63"/>
      <c r="B687" s="63">
        <f>'Padrão EPP'!B687</f>
        <v>3</v>
      </c>
      <c r="C687" s="63" t="str">
        <f>'Padrão EPP'!C687</f>
        <v>SC</v>
      </c>
      <c r="D687" s="63" t="str">
        <f>'Padrão EPP'!D687</f>
        <v>CAPITAL</v>
      </c>
      <c r="E687" s="63">
        <f>'Padrão EPP'!E687/2</f>
        <v>8.7438519265566317</v>
      </c>
      <c r="F687" s="67">
        <v>3.0000000000000001E-3</v>
      </c>
      <c r="G687" s="67">
        <v>2E-3</v>
      </c>
      <c r="H687" s="63"/>
    </row>
    <row r="688" spans="1:8" x14ac:dyDescent="0.25">
      <c r="A688" s="63"/>
      <c r="B688" s="63">
        <f>'Padrão EPP'!B688</f>
        <v>4</v>
      </c>
      <c r="C688" s="63" t="str">
        <f>'Padrão EPP'!C688</f>
        <v>SC</v>
      </c>
      <c r="D688" s="63" t="str">
        <f>'Padrão EPP'!D688</f>
        <v>CAPITAL</v>
      </c>
      <c r="E688" s="63">
        <f>'Padrão EPP'!E688/2</f>
        <v>9.7835690645244835</v>
      </c>
      <c r="F688" s="67">
        <v>3.0000000000000001E-3</v>
      </c>
      <c r="G688" s="67">
        <v>2E-3</v>
      </c>
      <c r="H688" s="63"/>
    </row>
    <row r="689" spans="1:8" x14ac:dyDescent="0.25">
      <c r="A689" s="63"/>
      <c r="B689" s="63">
        <f>'Padrão EPP'!B689</f>
        <v>5</v>
      </c>
      <c r="C689" s="63" t="str">
        <f>'Padrão EPP'!C689</f>
        <v>SC</v>
      </c>
      <c r="D689" s="63" t="str">
        <f>'Padrão EPP'!D689</f>
        <v>CAPITAL</v>
      </c>
      <c r="E689" s="63">
        <f>'Padrão EPP'!E689/2</f>
        <v>11.658877762827476</v>
      </c>
      <c r="F689" s="67">
        <v>3.0000000000000001E-3</v>
      </c>
      <c r="G689" s="67">
        <v>2E-3</v>
      </c>
      <c r="H689" s="63"/>
    </row>
    <row r="690" spans="1:8" x14ac:dyDescent="0.25">
      <c r="A690" s="63"/>
      <c r="B690" s="63">
        <f>'Padrão EPP'!B690</f>
        <v>6</v>
      </c>
      <c r="C690" s="63" t="str">
        <f>'Padrão EPP'!C690</f>
        <v>SC</v>
      </c>
      <c r="D690" s="63" t="str">
        <f>'Padrão EPP'!D690</f>
        <v>CAPITAL</v>
      </c>
      <c r="E690" s="63">
        <f>'Padrão EPP'!E690/2</f>
        <v>12.694265485820189</v>
      </c>
      <c r="F690" s="67">
        <v>3.0000000000000001E-3</v>
      </c>
      <c r="G690" s="67">
        <v>2E-3</v>
      </c>
      <c r="H690" s="63"/>
    </row>
    <row r="691" spans="1:8" x14ac:dyDescent="0.25">
      <c r="A691" s="63"/>
      <c r="B691" s="63">
        <f>'Padrão EPP'!B691</f>
        <v>7</v>
      </c>
      <c r="C691" s="63" t="str">
        <f>'Padrão EPP'!C691</f>
        <v>SC</v>
      </c>
      <c r="D691" s="63" t="str">
        <f>'Padrão EPP'!D691</f>
        <v>CAPITAL</v>
      </c>
      <c r="E691" s="63">
        <f>'Padrão EPP'!E691/2</f>
        <v>13.769900928758608</v>
      </c>
      <c r="F691" s="67">
        <v>3.0000000000000001E-3</v>
      </c>
      <c r="G691" s="67">
        <v>2E-3</v>
      </c>
      <c r="H691" s="63"/>
    </row>
    <row r="692" spans="1:8" x14ac:dyDescent="0.25">
      <c r="A692" s="63"/>
      <c r="B692" s="63">
        <f>'Padrão EPP'!B692</f>
        <v>8</v>
      </c>
      <c r="C692" s="63" t="str">
        <f>'Padrão EPP'!C692</f>
        <v>SC</v>
      </c>
      <c r="D692" s="63" t="str">
        <f>'Padrão EPP'!D692</f>
        <v>CAPITAL</v>
      </c>
      <c r="E692" s="63">
        <f>'Padrão EPP'!E692/2</f>
        <v>14.889808863637308</v>
      </c>
      <c r="F692" s="67">
        <v>3.0000000000000001E-3</v>
      </c>
      <c r="G692" s="67">
        <v>2E-3</v>
      </c>
      <c r="H692" s="63"/>
    </row>
    <row r="693" spans="1:8" x14ac:dyDescent="0.25">
      <c r="A693" s="63"/>
      <c r="B693" s="63">
        <f>'Padrão EPP'!B693</f>
        <v>9</v>
      </c>
      <c r="C693" s="63" t="str">
        <f>'Padrão EPP'!C693</f>
        <v>SC</v>
      </c>
      <c r="D693" s="63" t="str">
        <f>'Padrão EPP'!D693</f>
        <v>CAPITAL</v>
      </c>
      <c r="E693" s="63">
        <f>'Padrão EPP'!E693/2</f>
        <v>16.058416539650317</v>
      </c>
      <c r="F693" s="67">
        <v>3.0000000000000001E-3</v>
      </c>
      <c r="G693" s="67">
        <v>2E-3</v>
      </c>
      <c r="H693" s="63"/>
    </row>
    <row r="694" spans="1:8" x14ac:dyDescent="0.25">
      <c r="A694" s="63"/>
      <c r="B694" s="63">
        <f>'Padrão EPP'!B694</f>
        <v>10</v>
      </c>
      <c r="C694" s="63" t="str">
        <f>'Padrão EPP'!C694</f>
        <v>SC</v>
      </c>
      <c r="D694" s="63" t="str">
        <f>'Padrão EPP'!D694</f>
        <v>CAPITAL</v>
      </c>
      <c r="E694" s="63">
        <f>'Padrão EPP'!E694/2</f>
        <v>17.002796693269222</v>
      </c>
      <c r="F694" s="67">
        <v>3.0000000000000001E-3</v>
      </c>
      <c r="G694" s="67">
        <v>2E-3</v>
      </c>
      <c r="H694" s="63"/>
    </row>
    <row r="695" spans="1:8" x14ac:dyDescent="0.25">
      <c r="A695" s="63"/>
      <c r="B695" s="63">
        <f>'Padrão EPP'!B695</f>
        <v>11</v>
      </c>
      <c r="C695" s="63" t="str">
        <f>'Padrão EPP'!C695</f>
        <v>SC</v>
      </c>
      <c r="D695" s="63" t="str">
        <f>'Padrão EPP'!D695</f>
        <v>CAPITAL</v>
      </c>
      <c r="E695" s="63">
        <f>'Padrão EPP'!E695/2</f>
        <v>0</v>
      </c>
      <c r="F695" s="67">
        <v>3.0000000000000001E-3</v>
      </c>
      <c r="G695" s="67">
        <v>2E-3</v>
      </c>
      <c r="H695" s="63"/>
    </row>
    <row r="696" spans="1:8" x14ac:dyDescent="0.25">
      <c r="A696" s="63"/>
      <c r="B696" s="63">
        <f>'Padrão EPP'!B696</f>
        <v>12</v>
      </c>
      <c r="C696" s="63" t="str">
        <f>'Padrão EPP'!C696</f>
        <v>SC</v>
      </c>
      <c r="D696" s="63" t="str">
        <f>'Padrão EPP'!D696</f>
        <v>CAPITAL</v>
      </c>
      <c r="E696" s="63">
        <f>'Padrão EPP'!E696/2</f>
        <v>0</v>
      </c>
      <c r="F696" s="67">
        <v>3.0000000000000001E-3</v>
      </c>
      <c r="G696" s="67">
        <v>2E-3</v>
      </c>
      <c r="H696" s="63"/>
    </row>
    <row r="697" spans="1:8" x14ac:dyDescent="0.25">
      <c r="A697" s="63"/>
      <c r="B697" s="63">
        <f>'Padrão EPP'!B697</f>
        <v>13</v>
      </c>
      <c r="C697" s="63" t="str">
        <f>'Padrão EPP'!C697</f>
        <v>SC</v>
      </c>
      <c r="D697" s="63" t="str">
        <f>'Padrão EPP'!D697</f>
        <v>CAPITAL</v>
      </c>
      <c r="E697" s="63">
        <f>'Padrão EPP'!E697/2</f>
        <v>0</v>
      </c>
      <c r="F697" s="67">
        <v>3.0000000000000001E-3</v>
      </c>
      <c r="G697" s="67">
        <v>2E-3</v>
      </c>
      <c r="H697" s="63"/>
    </row>
    <row r="698" spans="1:8" x14ac:dyDescent="0.25">
      <c r="A698" s="63"/>
      <c r="B698" s="63">
        <f>'Padrão EPP'!B698</f>
        <v>14</v>
      </c>
      <c r="C698" s="63" t="str">
        <f>'Padrão EPP'!C698</f>
        <v>SC</v>
      </c>
      <c r="D698" s="63" t="str">
        <f>'Padrão EPP'!D698</f>
        <v>CAPITAL</v>
      </c>
      <c r="E698" s="63">
        <f>'Padrão EPP'!E698/2</f>
        <v>0</v>
      </c>
      <c r="F698" s="67">
        <v>3.0000000000000001E-3</v>
      </c>
      <c r="G698" s="67">
        <v>2E-3</v>
      </c>
      <c r="H698" s="63"/>
    </row>
    <row r="699" spans="1:8" x14ac:dyDescent="0.25">
      <c r="A699" s="63"/>
      <c r="B699" s="63">
        <f>'Padrão EPP'!B699</f>
        <v>15</v>
      </c>
      <c r="C699" s="63" t="str">
        <f>'Padrão EPP'!C699</f>
        <v>SC</v>
      </c>
      <c r="D699" s="63" t="str">
        <f>'Padrão EPP'!D699</f>
        <v>CAPITAL</v>
      </c>
      <c r="E699" s="63">
        <f>'Padrão EPP'!E699/2</f>
        <v>0</v>
      </c>
      <c r="F699" s="67">
        <v>3.0000000000000001E-3</v>
      </c>
      <c r="G699" s="67">
        <v>2E-3</v>
      </c>
      <c r="H699" s="63"/>
    </row>
    <row r="700" spans="1:8" x14ac:dyDescent="0.25">
      <c r="A700" s="63"/>
      <c r="B700" s="63">
        <f>'Padrão EPP'!B700</f>
        <v>16</v>
      </c>
      <c r="C700" s="63" t="str">
        <f>'Padrão EPP'!C700</f>
        <v>SC</v>
      </c>
      <c r="D700" s="63" t="str">
        <f>'Padrão EPP'!D700</f>
        <v>CAPITAL</v>
      </c>
      <c r="E700" s="63">
        <f>'Padrão EPP'!E700/2</f>
        <v>0</v>
      </c>
      <c r="F700" s="67">
        <v>3.0000000000000001E-3</v>
      </c>
      <c r="G700" s="67">
        <v>2E-3</v>
      </c>
      <c r="H700" s="63"/>
    </row>
    <row r="701" spans="1:8" x14ac:dyDescent="0.25">
      <c r="A701" s="63"/>
      <c r="B701" s="63">
        <f>'Padrão EPP'!B701</f>
        <v>17</v>
      </c>
      <c r="C701" s="63" t="str">
        <f>'Padrão EPP'!C701</f>
        <v>SC</v>
      </c>
      <c r="D701" s="63" t="str">
        <f>'Padrão EPP'!D701</f>
        <v>CAPITAL</v>
      </c>
      <c r="E701" s="63">
        <f>'Padrão EPP'!E701/2</f>
        <v>0</v>
      </c>
      <c r="F701" s="67">
        <v>3.0000000000000001E-3</v>
      </c>
      <c r="G701" s="67">
        <v>2E-3</v>
      </c>
      <c r="H701" s="63"/>
    </row>
    <row r="702" spans="1:8" x14ac:dyDescent="0.25">
      <c r="A702" s="63"/>
      <c r="B702" s="63">
        <f>'Padrão EPP'!B702</f>
        <v>18</v>
      </c>
      <c r="C702" s="63" t="str">
        <f>'Padrão EPP'!C702</f>
        <v>SC</v>
      </c>
      <c r="D702" s="63" t="str">
        <f>'Padrão EPP'!D702</f>
        <v>CAPITAL</v>
      </c>
      <c r="E702" s="63">
        <f>'Padrão EPP'!E702/2</f>
        <v>0</v>
      </c>
      <c r="F702" s="67">
        <v>3.0000000000000001E-3</v>
      </c>
      <c r="G702" s="67">
        <v>2E-3</v>
      </c>
      <c r="H702" s="63"/>
    </row>
    <row r="703" spans="1:8" x14ac:dyDescent="0.25">
      <c r="A703" s="63"/>
      <c r="B703" s="63">
        <f>'Padrão EPP'!B703</f>
        <v>19</v>
      </c>
      <c r="C703" s="63" t="str">
        <f>'Padrão EPP'!C703</f>
        <v>SC</v>
      </c>
      <c r="D703" s="63" t="str">
        <f>'Padrão EPP'!D703</f>
        <v>CAPITAL</v>
      </c>
      <c r="E703" s="63">
        <f>'Padrão EPP'!E703/2</f>
        <v>0</v>
      </c>
      <c r="F703" s="67">
        <v>3.0000000000000001E-3</v>
      </c>
      <c r="G703" s="67">
        <v>2E-3</v>
      </c>
      <c r="H703" s="63"/>
    </row>
    <row r="704" spans="1:8" x14ac:dyDescent="0.25">
      <c r="A704" s="63"/>
      <c r="B704" s="63">
        <f>'Padrão EPP'!B704</f>
        <v>20</v>
      </c>
      <c r="C704" s="63" t="str">
        <f>'Padrão EPP'!C704</f>
        <v>SC</v>
      </c>
      <c r="D704" s="63" t="str">
        <f>'Padrão EPP'!D704</f>
        <v>CAPITAL</v>
      </c>
      <c r="E704" s="63">
        <f>'Padrão EPP'!E704/2</f>
        <v>0</v>
      </c>
      <c r="F704" s="67">
        <v>3.0000000000000001E-3</v>
      </c>
      <c r="G704" s="67">
        <v>2E-3</v>
      </c>
      <c r="H704" s="63"/>
    </row>
    <row r="705" spans="1:8" x14ac:dyDescent="0.25">
      <c r="A705" s="63"/>
      <c r="B705" s="63">
        <f>'Padrão EPP'!B705</f>
        <v>21</v>
      </c>
      <c r="C705" s="63" t="str">
        <f>'Padrão EPP'!C705</f>
        <v>SC</v>
      </c>
      <c r="D705" s="63" t="str">
        <f>'Padrão EPP'!D705</f>
        <v>CAPITAL</v>
      </c>
      <c r="E705" s="63">
        <f>'Padrão EPP'!E705/2</f>
        <v>0</v>
      </c>
      <c r="F705" s="67">
        <v>3.0000000000000001E-3</v>
      </c>
      <c r="G705" s="67">
        <v>2E-3</v>
      </c>
      <c r="H705" s="63"/>
    </row>
    <row r="706" spans="1:8" x14ac:dyDescent="0.25">
      <c r="A706" s="63"/>
      <c r="B706" s="63">
        <f>'Padrão EPP'!B706</f>
        <v>22</v>
      </c>
      <c r="C706" s="63" t="str">
        <f>'Padrão EPP'!C706</f>
        <v>SC</v>
      </c>
      <c r="D706" s="63" t="str">
        <f>'Padrão EPP'!D706</f>
        <v>CAPITAL</v>
      </c>
      <c r="E706" s="63">
        <f>'Padrão EPP'!E706/2</f>
        <v>0</v>
      </c>
      <c r="F706" s="67">
        <v>3.0000000000000001E-3</v>
      </c>
      <c r="G706" s="67">
        <v>2E-3</v>
      </c>
      <c r="H706" s="63"/>
    </row>
    <row r="707" spans="1:8" x14ac:dyDescent="0.25">
      <c r="A707" s="63"/>
      <c r="B707" s="63">
        <f>'Padrão EPP'!B707</f>
        <v>23</v>
      </c>
      <c r="C707" s="63" t="str">
        <f>'Padrão EPP'!C707</f>
        <v>SC</v>
      </c>
      <c r="D707" s="63" t="str">
        <f>'Padrão EPP'!D707</f>
        <v>CAPITAL</v>
      </c>
      <c r="E707" s="63">
        <f>'Padrão EPP'!E707/2</f>
        <v>0</v>
      </c>
      <c r="F707" s="67">
        <v>3.0000000000000001E-3</v>
      </c>
      <c r="G707" s="67">
        <v>2E-3</v>
      </c>
      <c r="H707" s="63"/>
    </row>
    <row r="708" spans="1:8" x14ac:dyDescent="0.25">
      <c r="A708" s="63"/>
      <c r="B708" s="63">
        <f>'Padrão EPP'!B708</f>
        <v>24</v>
      </c>
      <c r="C708" s="63" t="str">
        <f>'Padrão EPP'!C708</f>
        <v>SC</v>
      </c>
      <c r="D708" s="63" t="str">
        <f>'Padrão EPP'!D708</f>
        <v>CAPITAL</v>
      </c>
      <c r="E708" s="63">
        <f>'Padrão EPP'!E708/2</f>
        <v>0</v>
      </c>
      <c r="F708" s="67">
        <v>3.0000000000000001E-3</v>
      </c>
      <c r="G708" s="67">
        <v>2E-3</v>
      </c>
      <c r="H708" s="63"/>
    </row>
    <row r="709" spans="1:8" x14ac:dyDescent="0.25">
      <c r="A709" s="63"/>
      <c r="B709" s="63">
        <f>'Padrão EPP'!B709</f>
        <v>25</v>
      </c>
      <c r="C709" s="63" t="str">
        <f>'Padrão EPP'!C709</f>
        <v>SC</v>
      </c>
      <c r="D709" s="63" t="str">
        <f>'Padrão EPP'!D709</f>
        <v>CAPITAL</v>
      </c>
      <c r="E709" s="63">
        <f>'Padrão EPP'!E709/2</f>
        <v>0</v>
      </c>
      <c r="F709" s="67">
        <v>3.0000000000000001E-3</v>
      </c>
      <c r="G709" s="67">
        <v>2E-3</v>
      </c>
      <c r="H709" s="63"/>
    </row>
    <row r="710" spans="1:8" x14ac:dyDescent="0.25">
      <c r="A710" s="63"/>
      <c r="B710" s="63">
        <f>'Padrão EPP'!B710</f>
        <v>26</v>
      </c>
      <c r="C710" s="63" t="str">
        <f>'Padrão EPP'!C710</f>
        <v>SC</v>
      </c>
      <c r="D710" s="63" t="str">
        <f>'Padrão EPP'!D710</f>
        <v>CAPITAL</v>
      </c>
      <c r="E710" s="63">
        <f>'Padrão EPP'!E710/2</f>
        <v>0</v>
      </c>
      <c r="F710" s="67">
        <v>3.0000000000000001E-3</v>
      </c>
      <c r="G710" s="67">
        <v>2E-3</v>
      </c>
      <c r="H710" s="63"/>
    </row>
    <row r="711" spans="1:8" x14ac:dyDescent="0.25">
      <c r="A711" s="63"/>
      <c r="B711" s="63">
        <f>'Padrão EPP'!B711</f>
        <v>27</v>
      </c>
      <c r="C711" s="63" t="str">
        <f>'Padrão EPP'!C711</f>
        <v>SC</v>
      </c>
      <c r="D711" s="63" t="str">
        <f>'Padrão EPP'!D711</f>
        <v>CAPITAL</v>
      </c>
      <c r="E711" s="63">
        <f>'Padrão EPP'!E711/2</f>
        <v>0</v>
      </c>
      <c r="F711" s="67">
        <v>3.0000000000000001E-3</v>
      </c>
      <c r="G711" s="67">
        <v>2E-3</v>
      </c>
      <c r="H711" s="63"/>
    </row>
    <row r="712" spans="1:8" x14ac:dyDescent="0.25">
      <c r="A712" s="63"/>
      <c r="B712" s="63">
        <f>'Padrão EPP'!B712</f>
        <v>28</v>
      </c>
      <c r="C712" s="63" t="str">
        <f>'Padrão EPP'!C712</f>
        <v>SC</v>
      </c>
      <c r="D712" s="63" t="str">
        <f>'Padrão EPP'!D712</f>
        <v>CAPITAL</v>
      </c>
      <c r="E712" s="63">
        <f>'Padrão EPP'!E712/2</f>
        <v>0</v>
      </c>
      <c r="F712" s="67">
        <v>3.0000000000000001E-3</v>
      </c>
      <c r="G712" s="67">
        <v>2E-3</v>
      </c>
      <c r="H712" s="63"/>
    </row>
    <row r="713" spans="1:8" x14ac:dyDescent="0.25">
      <c r="A713" s="63"/>
      <c r="B713" s="63">
        <f>'Padrão EPP'!B713</f>
        <v>29</v>
      </c>
      <c r="C713" s="63" t="str">
        <f>'Padrão EPP'!C713</f>
        <v>SC</v>
      </c>
      <c r="D713" s="63" t="str">
        <f>'Padrão EPP'!D713</f>
        <v>CAPITAL</v>
      </c>
      <c r="E713" s="63">
        <f>'Padrão EPP'!E713/2</f>
        <v>0</v>
      </c>
      <c r="F713" s="67">
        <v>3.0000000000000001E-3</v>
      </c>
      <c r="G713" s="67">
        <v>2E-3</v>
      </c>
      <c r="H713" s="63"/>
    </row>
    <row r="714" spans="1:8" x14ac:dyDescent="0.25">
      <c r="A714" s="63"/>
      <c r="B714" s="63">
        <f>'Padrão EPP'!B714</f>
        <v>30</v>
      </c>
      <c r="C714" s="63" t="str">
        <f>'Padrão EPP'!C714</f>
        <v>SC</v>
      </c>
      <c r="D714" s="63" t="str">
        <f>'Padrão EPP'!D714</f>
        <v>CAPITAL</v>
      </c>
      <c r="E714" s="63">
        <f>'Padrão EPP'!E714/2</f>
        <v>0</v>
      </c>
      <c r="F714" s="67">
        <v>3.0000000000000001E-3</v>
      </c>
      <c r="G714" s="67">
        <v>2E-3</v>
      </c>
      <c r="H714" s="63"/>
    </row>
    <row r="715" spans="1:8" x14ac:dyDescent="0.25">
      <c r="A715" s="63"/>
      <c r="B715" s="63">
        <f>'Padrão EPP'!B715</f>
        <v>0</v>
      </c>
      <c r="C715" s="63" t="str">
        <f>'Padrão EPP'!C715</f>
        <v>SC</v>
      </c>
      <c r="D715" s="63" t="str">
        <f>'Padrão EPP'!D715</f>
        <v>CAPITAL</v>
      </c>
      <c r="E715" s="63">
        <f>'Padrão EPP'!E715/2</f>
        <v>1.5214394455252955</v>
      </c>
      <c r="F715" s="67">
        <v>3.0000000000000001E-3</v>
      </c>
      <c r="G715" s="67">
        <v>2E-3</v>
      </c>
      <c r="H715" s="63"/>
    </row>
    <row r="716" spans="1:8" x14ac:dyDescent="0.25">
      <c r="A716" s="63"/>
      <c r="B716" s="63">
        <f>'Padrão EPP'!B716</f>
        <v>0.25</v>
      </c>
      <c r="C716" s="63" t="str">
        <f>'Padrão EPP'!C716</f>
        <v>SC</v>
      </c>
      <c r="D716" s="63" t="str">
        <f>'Padrão EPP'!D716</f>
        <v>INTERIOR</v>
      </c>
      <c r="E716" s="63">
        <f>'Padrão EPP'!E716/2</f>
        <v>8.3156805195673531</v>
      </c>
      <c r="F716" s="67">
        <v>3.0000000000000001E-3</v>
      </c>
      <c r="G716" s="67">
        <v>2E-3</v>
      </c>
      <c r="H716" s="63"/>
    </row>
    <row r="717" spans="1:8" x14ac:dyDescent="0.25">
      <c r="A717" s="63"/>
      <c r="B717" s="63">
        <f>'Padrão EPP'!B717</f>
        <v>0.5</v>
      </c>
      <c r="C717" s="63" t="str">
        <f>'Padrão EPP'!C717</f>
        <v>SC</v>
      </c>
      <c r="D717" s="63" t="str">
        <f>'Padrão EPP'!D717</f>
        <v>INTERIOR</v>
      </c>
      <c r="E717" s="63">
        <f>'Padrão EPP'!E717/2</f>
        <v>8.5300900682279526</v>
      </c>
      <c r="F717" s="67">
        <v>3.0000000000000001E-3</v>
      </c>
      <c r="G717" s="67">
        <v>2E-3</v>
      </c>
      <c r="H717" s="63"/>
    </row>
    <row r="718" spans="1:8" x14ac:dyDescent="0.25">
      <c r="A718" s="63"/>
      <c r="B718" s="63">
        <f>'Padrão EPP'!B718</f>
        <v>0.75</v>
      </c>
      <c r="C718" s="63" t="str">
        <f>'Padrão EPP'!C718</f>
        <v>SC</v>
      </c>
      <c r="D718" s="63" t="str">
        <f>'Padrão EPP'!D718</f>
        <v>INTERIOR</v>
      </c>
      <c r="E718" s="63">
        <f>'Padrão EPP'!E718/2</f>
        <v>9.0120855019666912</v>
      </c>
      <c r="F718" s="67">
        <v>3.0000000000000001E-3</v>
      </c>
      <c r="G718" s="67">
        <v>2E-3</v>
      </c>
      <c r="H718" s="63"/>
    </row>
    <row r="719" spans="1:8" x14ac:dyDescent="0.25">
      <c r="A719" s="63"/>
      <c r="B719" s="63">
        <f>'Padrão EPP'!B719</f>
        <v>1</v>
      </c>
      <c r="C719" s="63" t="str">
        <f>'Padrão EPP'!C719</f>
        <v>SC</v>
      </c>
      <c r="D719" s="63" t="str">
        <f>'Padrão EPP'!D719</f>
        <v>INTERIOR</v>
      </c>
      <c r="E719" s="63">
        <f>'Padrão EPP'!E719/2</f>
        <v>9.4340583186640146</v>
      </c>
      <c r="F719" s="67">
        <v>3.0000000000000001E-3</v>
      </c>
      <c r="G719" s="67">
        <v>2E-3</v>
      </c>
      <c r="H719" s="63"/>
    </row>
    <row r="720" spans="1:8" x14ac:dyDescent="0.25">
      <c r="A720" s="63"/>
      <c r="B720" s="63">
        <f>'Padrão EPP'!B720</f>
        <v>2</v>
      </c>
      <c r="C720" s="63" t="str">
        <f>'Padrão EPP'!C720</f>
        <v>SC</v>
      </c>
      <c r="D720" s="63" t="str">
        <f>'Padrão EPP'!D720</f>
        <v>INTERIOR</v>
      </c>
      <c r="E720" s="63">
        <f>'Padrão EPP'!E720/2</f>
        <v>10.294088603853025</v>
      </c>
      <c r="F720" s="67">
        <v>3.0000000000000001E-3</v>
      </c>
      <c r="G720" s="67">
        <v>2E-3</v>
      </c>
      <c r="H720" s="63"/>
    </row>
    <row r="721" spans="1:8" x14ac:dyDescent="0.25">
      <c r="A721" s="63"/>
      <c r="B721" s="63">
        <f>'Padrão EPP'!B721</f>
        <v>3</v>
      </c>
      <c r="C721" s="63" t="str">
        <f>'Padrão EPP'!C721</f>
        <v>SC</v>
      </c>
      <c r="D721" s="63" t="str">
        <f>'Padrão EPP'!D721</f>
        <v>INTERIOR</v>
      </c>
      <c r="E721" s="63">
        <f>'Padrão EPP'!E721/2</f>
        <v>11.432129914277915</v>
      </c>
      <c r="F721" s="67">
        <v>3.0000000000000001E-3</v>
      </c>
      <c r="G721" s="67">
        <v>2E-3</v>
      </c>
      <c r="H721" s="63"/>
    </row>
    <row r="722" spans="1:8" x14ac:dyDescent="0.25">
      <c r="A722" s="63"/>
      <c r="B722" s="63">
        <f>'Padrão EPP'!B722</f>
        <v>4</v>
      </c>
      <c r="C722" s="63" t="str">
        <f>'Padrão EPP'!C722</f>
        <v>SC</v>
      </c>
      <c r="D722" s="63" t="str">
        <f>'Padrão EPP'!D722</f>
        <v>INTERIOR</v>
      </c>
      <c r="E722" s="63">
        <f>'Padrão EPP'!E722/2</f>
        <v>12.661526804410176</v>
      </c>
      <c r="F722" s="67">
        <v>3.0000000000000001E-3</v>
      </c>
      <c r="G722" s="67">
        <v>2E-3</v>
      </c>
      <c r="H722" s="63"/>
    </row>
    <row r="723" spans="1:8" x14ac:dyDescent="0.25">
      <c r="A723" s="63"/>
      <c r="B723" s="63">
        <f>'Padrão EPP'!B723</f>
        <v>5</v>
      </c>
      <c r="C723" s="63" t="str">
        <f>'Padrão EPP'!C723</f>
        <v>SC</v>
      </c>
      <c r="D723" s="63" t="str">
        <f>'Padrão EPP'!D723</f>
        <v>INTERIOR</v>
      </c>
      <c r="E723" s="63">
        <f>'Padrão EPP'!E723/2</f>
        <v>14.010907818519017</v>
      </c>
      <c r="F723" s="67">
        <v>3.0000000000000001E-3</v>
      </c>
      <c r="G723" s="67">
        <v>2E-3</v>
      </c>
      <c r="H723" s="63"/>
    </row>
    <row r="724" spans="1:8" x14ac:dyDescent="0.25">
      <c r="A724" s="63"/>
      <c r="B724" s="63">
        <f>'Padrão EPP'!B724</f>
        <v>6</v>
      </c>
      <c r="C724" s="63" t="str">
        <f>'Padrão EPP'!C724</f>
        <v>SC</v>
      </c>
      <c r="D724" s="63" t="str">
        <f>'Padrão EPP'!D724</f>
        <v>INTERIOR</v>
      </c>
      <c r="E724" s="63">
        <f>'Padrão EPP'!E724/2</f>
        <v>15.431827098243117</v>
      </c>
      <c r="F724" s="67">
        <v>3.0000000000000001E-3</v>
      </c>
      <c r="G724" s="67">
        <v>2E-3</v>
      </c>
      <c r="H724" s="63"/>
    </row>
    <row r="725" spans="1:8" x14ac:dyDescent="0.25">
      <c r="A725" s="63"/>
      <c r="B725" s="63">
        <f>'Padrão EPP'!B725</f>
        <v>7</v>
      </c>
      <c r="C725" s="63" t="str">
        <f>'Padrão EPP'!C725</f>
        <v>SC</v>
      </c>
      <c r="D725" s="63" t="str">
        <f>'Padrão EPP'!D725</f>
        <v>INTERIOR</v>
      </c>
      <c r="E725" s="63">
        <f>'Padrão EPP'!E725/2</f>
        <v>16.933486562063266</v>
      </c>
      <c r="F725" s="67">
        <v>3.0000000000000001E-3</v>
      </c>
      <c r="G725" s="67">
        <v>2E-3</v>
      </c>
      <c r="H725" s="63"/>
    </row>
    <row r="726" spans="1:8" x14ac:dyDescent="0.25">
      <c r="A726" s="63"/>
      <c r="B726" s="63">
        <f>'Padrão EPP'!B726</f>
        <v>8</v>
      </c>
      <c r="C726" s="63" t="str">
        <f>'Padrão EPP'!C726</f>
        <v>SC</v>
      </c>
      <c r="D726" s="63" t="str">
        <f>'Padrão EPP'!D726</f>
        <v>INTERIOR</v>
      </c>
      <c r="E726" s="63">
        <f>'Padrão EPP'!E726/2</f>
        <v>18.526303016448448</v>
      </c>
      <c r="F726" s="67">
        <v>3.0000000000000001E-3</v>
      </c>
      <c r="G726" s="67">
        <v>2E-3</v>
      </c>
      <c r="H726" s="63"/>
    </row>
    <row r="727" spans="1:8" x14ac:dyDescent="0.25">
      <c r="A727" s="63"/>
      <c r="B727" s="63">
        <f>'Padrão EPP'!B727</f>
        <v>9</v>
      </c>
      <c r="C727" s="63" t="str">
        <f>'Padrão EPP'!C727</f>
        <v>SC</v>
      </c>
      <c r="D727" s="63" t="str">
        <f>'Padrão EPP'!D727</f>
        <v>INTERIOR</v>
      </c>
      <c r="E727" s="63">
        <f>'Padrão EPP'!E727/2</f>
        <v>19.982539907222783</v>
      </c>
      <c r="F727" s="67">
        <v>3.0000000000000001E-3</v>
      </c>
      <c r="G727" s="67">
        <v>2E-3</v>
      </c>
      <c r="H727" s="63"/>
    </row>
    <row r="728" spans="1:8" x14ac:dyDescent="0.25">
      <c r="A728" s="63"/>
      <c r="B728" s="63">
        <f>'Padrão EPP'!B728</f>
        <v>10</v>
      </c>
      <c r="C728" s="63" t="str">
        <f>'Padrão EPP'!C728</f>
        <v>SC</v>
      </c>
      <c r="D728" s="63" t="str">
        <f>'Padrão EPP'!D728</f>
        <v>INTERIOR</v>
      </c>
      <c r="E728" s="63">
        <f>'Padrão EPP'!E728/2</f>
        <v>21.390324511932398</v>
      </c>
      <c r="F728" s="67">
        <v>3.0000000000000001E-3</v>
      </c>
      <c r="G728" s="67">
        <v>2E-3</v>
      </c>
      <c r="H728" s="63"/>
    </row>
    <row r="729" spans="1:8" x14ac:dyDescent="0.25">
      <c r="A729" s="63"/>
      <c r="B729" s="63">
        <f>'Padrão EPP'!B729</f>
        <v>11</v>
      </c>
      <c r="C729" s="63" t="str">
        <f>'Padrão EPP'!C729</f>
        <v>SC</v>
      </c>
      <c r="D729" s="63" t="str">
        <f>'Padrão EPP'!D729</f>
        <v>INTERIOR</v>
      </c>
      <c r="E729" s="63">
        <f>'Padrão EPP'!E729/2</f>
        <v>0</v>
      </c>
      <c r="F729" s="67">
        <v>3.0000000000000001E-3</v>
      </c>
      <c r="G729" s="67">
        <v>2E-3</v>
      </c>
      <c r="H729" s="63"/>
    </row>
    <row r="730" spans="1:8" x14ac:dyDescent="0.25">
      <c r="A730" s="63"/>
      <c r="B730" s="63">
        <f>'Padrão EPP'!B730</f>
        <v>12</v>
      </c>
      <c r="C730" s="63" t="str">
        <f>'Padrão EPP'!C730</f>
        <v>SC</v>
      </c>
      <c r="D730" s="63" t="str">
        <f>'Padrão EPP'!D730</f>
        <v>INTERIOR</v>
      </c>
      <c r="E730" s="63">
        <f>'Padrão EPP'!E730/2</f>
        <v>0</v>
      </c>
      <c r="F730" s="67">
        <v>3.0000000000000001E-3</v>
      </c>
      <c r="G730" s="67">
        <v>2E-3</v>
      </c>
      <c r="H730" s="63"/>
    </row>
    <row r="731" spans="1:8" x14ac:dyDescent="0.25">
      <c r="A731" s="63"/>
      <c r="B731" s="63">
        <f>'Padrão EPP'!B731</f>
        <v>13</v>
      </c>
      <c r="C731" s="63" t="str">
        <f>'Padrão EPP'!C731</f>
        <v>SC</v>
      </c>
      <c r="D731" s="63" t="str">
        <f>'Padrão EPP'!D731</f>
        <v>INTERIOR</v>
      </c>
      <c r="E731" s="63">
        <f>'Padrão EPP'!E731/2</f>
        <v>0</v>
      </c>
      <c r="F731" s="67">
        <v>3.0000000000000001E-3</v>
      </c>
      <c r="G731" s="67">
        <v>2E-3</v>
      </c>
      <c r="H731" s="63"/>
    </row>
    <row r="732" spans="1:8" x14ac:dyDescent="0.25">
      <c r="A732" s="63"/>
      <c r="B732" s="63">
        <f>'Padrão EPP'!B732</f>
        <v>14</v>
      </c>
      <c r="C732" s="63" t="str">
        <f>'Padrão EPP'!C732</f>
        <v>SC</v>
      </c>
      <c r="D732" s="63" t="str">
        <f>'Padrão EPP'!D732</f>
        <v>INTERIOR</v>
      </c>
      <c r="E732" s="63">
        <f>'Padrão EPP'!E732/2</f>
        <v>0</v>
      </c>
      <c r="F732" s="67">
        <v>3.0000000000000001E-3</v>
      </c>
      <c r="G732" s="67">
        <v>2E-3</v>
      </c>
      <c r="H732" s="63"/>
    </row>
    <row r="733" spans="1:8" x14ac:dyDescent="0.25">
      <c r="A733" s="63"/>
      <c r="B733" s="63">
        <f>'Padrão EPP'!B733</f>
        <v>15</v>
      </c>
      <c r="C733" s="63" t="str">
        <f>'Padrão EPP'!C733</f>
        <v>SC</v>
      </c>
      <c r="D733" s="63" t="str">
        <f>'Padrão EPP'!D733</f>
        <v>INTERIOR</v>
      </c>
      <c r="E733" s="63">
        <f>'Padrão EPP'!E733/2</f>
        <v>0</v>
      </c>
      <c r="F733" s="67">
        <v>3.0000000000000001E-3</v>
      </c>
      <c r="G733" s="67">
        <v>2E-3</v>
      </c>
      <c r="H733" s="63"/>
    </row>
    <row r="734" spans="1:8" x14ac:dyDescent="0.25">
      <c r="A734" s="63"/>
      <c r="B734" s="63">
        <f>'Padrão EPP'!B734</f>
        <v>16</v>
      </c>
      <c r="C734" s="63" t="str">
        <f>'Padrão EPP'!C734</f>
        <v>SC</v>
      </c>
      <c r="D734" s="63" t="str">
        <f>'Padrão EPP'!D734</f>
        <v>INTERIOR</v>
      </c>
      <c r="E734" s="63">
        <f>'Padrão EPP'!E734/2</f>
        <v>0</v>
      </c>
      <c r="F734" s="67">
        <v>3.0000000000000001E-3</v>
      </c>
      <c r="G734" s="67">
        <v>2E-3</v>
      </c>
      <c r="H734" s="63"/>
    </row>
    <row r="735" spans="1:8" x14ac:dyDescent="0.25">
      <c r="A735" s="63"/>
      <c r="B735" s="63">
        <f>'Padrão EPP'!B735</f>
        <v>17</v>
      </c>
      <c r="C735" s="63" t="str">
        <f>'Padrão EPP'!C735</f>
        <v>SC</v>
      </c>
      <c r="D735" s="63" t="str">
        <f>'Padrão EPP'!D735</f>
        <v>INTERIOR</v>
      </c>
      <c r="E735" s="63">
        <f>'Padrão EPP'!E735/2</f>
        <v>0</v>
      </c>
      <c r="F735" s="67">
        <v>3.0000000000000001E-3</v>
      </c>
      <c r="G735" s="67">
        <v>2E-3</v>
      </c>
      <c r="H735" s="63"/>
    </row>
    <row r="736" spans="1:8" x14ac:dyDescent="0.25">
      <c r="A736" s="63"/>
      <c r="B736" s="63">
        <f>'Padrão EPP'!B736</f>
        <v>18</v>
      </c>
      <c r="C736" s="63" t="str">
        <f>'Padrão EPP'!C736</f>
        <v>SC</v>
      </c>
      <c r="D736" s="63" t="str">
        <f>'Padrão EPP'!D736</f>
        <v>INTERIOR</v>
      </c>
      <c r="E736" s="63">
        <f>'Padrão EPP'!E736/2</f>
        <v>0</v>
      </c>
      <c r="F736" s="67">
        <v>3.0000000000000001E-3</v>
      </c>
      <c r="G736" s="67">
        <v>2E-3</v>
      </c>
      <c r="H736" s="63"/>
    </row>
    <row r="737" spans="1:8" x14ac:dyDescent="0.25">
      <c r="A737" s="63"/>
      <c r="B737" s="63">
        <f>'Padrão EPP'!B737</f>
        <v>19</v>
      </c>
      <c r="C737" s="63" t="str">
        <f>'Padrão EPP'!C737</f>
        <v>SC</v>
      </c>
      <c r="D737" s="63" t="str">
        <f>'Padrão EPP'!D737</f>
        <v>INTERIOR</v>
      </c>
      <c r="E737" s="63">
        <f>'Padrão EPP'!E737/2</f>
        <v>0</v>
      </c>
      <c r="F737" s="67">
        <v>3.0000000000000001E-3</v>
      </c>
      <c r="G737" s="67">
        <v>2E-3</v>
      </c>
      <c r="H737" s="63"/>
    </row>
    <row r="738" spans="1:8" x14ac:dyDescent="0.25">
      <c r="A738" s="63"/>
      <c r="B738" s="63">
        <f>'Padrão EPP'!B738</f>
        <v>20</v>
      </c>
      <c r="C738" s="63" t="str">
        <f>'Padrão EPP'!C738</f>
        <v>SC</v>
      </c>
      <c r="D738" s="63" t="str">
        <f>'Padrão EPP'!D738</f>
        <v>INTERIOR</v>
      </c>
      <c r="E738" s="63">
        <f>'Padrão EPP'!E738/2</f>
        <v>0</v>
      </c>
      <c r="F738" s="67">
        <v>3.0000000000000001E-3</v>
      </c>
      <c r="G738" s="67">
        <v>2E-3</v>
      </c>
      <c r="H738" s="63"/>
    </row>
    <row r="739" spans="1:8" x14ac:dyDescent="0.25">
      <c r="A739" s="63"/>
      <c r="B739" s="63">
        <f>'Padrão EPP'!B739</f>
        <v>21</v>
      </c>
      <c r="C739" s="63" t="str">
        <f>'Padrão EPP'!C739</f>
        <v>SC</v>
      </c>
      <c r="D739" s="63" t="str">
        <f>'Padrão EPP'!D739</f>
        <v>INTERIOR</v>
      </c>
      <c r="E739" s="63">
        <f>'Padrão EPP'!E739/2</f>
        <v>0</v>
      </c>
      <c r="F739" s="67">
        <v>3.0000000000000001E-3</v>
      </c>
      <c r="G739" s="67">
        <v>2E-3</v>
      </c>
      <c r="H739" s="63"/>
    </row>
    <row r="740" spans="1:8" x14ac:dyDescent="0.25">
      <c r="A740" s="63"/>
      <c r="B740" s="63">
        <f>'Padrão EPP'!B740</f>
        <v>22</v>
      </c>
      <c r="C740" s="63" t="str">
        <f>'Padrão EPP'!C740</f>
        <v>SC</v>
      </c>
      <c r="D740" s="63" t="str">
        <f>'Padrão EPP'!D740</f>
        <v>INTERIOR</v>
      </c>
      <c r="E740" s="63">
        <f>'Padrão EPP'!E740/2</f>
        <v>0</v>
      </c>
      <c r="F740" s="67">
        <v>3.0000000000000001E-3</v>
      </c>
      <c r="G740" s="67">
        <v>2E-3</v>
      </c>
      <c r="H740" s="63"/>
    </row>
    <row r="741" spans="1:8" x14ac:dyDescent="0.25">
      <c r="A741" s="63"/>
      <c r="B741" s="63">
        <f>'Padrão EPP'!B741</f>
        <v>23</v>
      </c>
      <c r="C741" s="63" t="str">
        <f>'Padrão EPP'!C741</f>
        <v>SC</v>
      </c>
      <c r="D741" s="63" t="str">
        <f>'Padrão EPP'!D741</f>
        <v>INTERIOR</v>
      </c>
      <c r="E741" s="63">
        <f>'Padrão EPP'!E741/2</f>
        <v>0</v>
      </c>
      <c r="F741" s="67">
        <v>3.0000000000000001E-3</v>
      </c>
      <c r="G741" s="67">
        <v>2E-3</v>
      </c>
      <c r="H741" s="63"/>
    </row>
    <row r="742" spans="1:8" x14ac:dyDescent="0.25">
      <c r="A742" s="63"/>
      <c r="B742" s="63">
        <f>'Padrão EPP'!B742</f>
        <v>24</v>
      </c>
      <c r="C742" s="63" t="str">
        <f>'Padrão EPP'!C742</f>
        <v>SC</v>
      </c>
      <c r="D742" s="63" t="str">
        <f>'Padrão EPP'!D742</f>
        <v>INTERIOR</v>
      </c>
      <c r="E742" s="63">
        <f>'Padrão EPP'!E742/2</f>
        <v>0</v>
      </c>
      <c r="F742" s="67">
        <v>3.0000000000000001E-3</v>
      </c>
      <c r="G742" s="67">
        <v>2E-3</v>
      </c>
      <c r="H742" s="63"/>
    </row>
    <row r="743" spans="1:8" x14ac:dyDescent="0.25">
      <c r="A743" s="63"/>
      <c r="B743" s="63">
        <f>'Padrão EPP'!B743</f>
        <v>25</v>
      </c>
      <c r="C743" s="63" t="str">
        <f>'Padrão EPP'!C743</f>
        <v>SC</v>
      </c>
      <c r="D743" s="63" t="str">
        <f>'Padrão EPP'!D743</f>
        <v>INTERIOR</v>
      </c>
      <c r="E743" s="63">
        <f>'Padrão EPP'!E743/2</f>
        <v>0</v>
      </c>
      <c r="F743" s="67">
        <v>3.0000000000000001E-3</v>
      </c>
      <c r="G743" s="67">
        <v>2E-3</v>
      </c>
      <c r="H743" s="63"/>
    </row>
    <row r="744" spans="1:8" x14ac:dyDescent="0.25">
      <c r="A744" s="63"/>
      <c r="B744" s="63">
        <f>'Padrão EPP'!B744</f>
        <v>26</v>
      </c>
      <c r="C744" s="63" t="str">
        <f>'Padrão EPP'!C744</f>
        <v>SC</v>
      </c>
      <c r="D744" s="63" t="str">
        <f>'Padrão EPP'!D744</f>
        <v>INTERIOR</v>
      </c>
      <c r="E744" s="63">
        <f>'Padrão EPP'!E744/2</f>
        <v>0</v>
      </c>
      <c r="F744" s="67">
        <v>3.0000000000000001E-3</v>
      </c>
      <c r="G744" s="67">
        <v>2E-3</v>
      </c>
      <c r="H744" s="63"/>
    </row>
    <row r="745" spans="1:8" x14ac:dyDescent="0.25">
      <c r="A745" s="63"/>
      <c r="B745" s="63">
        <f>'Padrão EPP'!B745</f>
        <v>27</v>
      </c>
      <c r="C745" s="63" t="str">
        <f>'Padrão EPP'!C745</f>
        <v>SC</v>
      </c>
      <c r="D745" s="63" t="str">
        <f>'Padrão EPP'!D745</f>
        <v>INTERIOR</v>
      </c>
      <c r="E745" s="63">
        <f>'Padrão EPP'!E745/2</f>
        <v>0</v>
      </c>
      <c r="F745" s="67">
        <v>3.0000000000000001E-3</v>
      </c>
      <c r="G745" s="67">
        <v>2E-3</v>
      </c>
      <c r="H745" s="63"/>
    </row>
    <row r="746" spans="1:8" x14ac:dyDescent="0.25">
      <c r="A746" s="63"/>
      <c r="B746" s="63">
        <f>'Padrão EPP'!B746</f>
        <v>28</v>
      </c>
      <c r="C746" s="63" t="str">
        <f>'Padrão EPP'!C746</f>
        <v>SC</v>
      </c>
      <c r="D746" s="63" t="str">
        <f>'Padrão EPP'!D746</f>
        <v>INTERIOR</v>
      </c>
      <c r="E746" s="63">
        <f>'Padrão EPP'!E746/2</f>
        <v>0</v>
      </c>
      <c r="F746" s="67">
        <v>3.0000000000000001E-3</v>
      </c>
      <c r="G746" s="67">
        <v>2E-3</v>
      </c>
      <c r="H746" s="63"/>
    </row>
    <row r="747" spans="1:8" x14ac:dyDescent="0.25">
      <c r="A747" s="63"/>
      <c r="B747" s="63">
        <f>'Padrão EPP'!B747</f>
        <v>29</v>
      </c>
      <c r="C747" s="63" t="str">
        <f>'Padrão EPP'!C747</f>
        <v>SC</v>
      </c>
      <c r="D747" s="63" t="str">
        <f>'Padrão EPP'!D747</f>
        <v>INTERIOR</v>
      </c>
      <c r="E747" s="63">
        <f>'Padrão EPP'!E747/2</f>
        <v>0</v>
      </c>
      <c r="F747" s="67">
        <v>3.0000000000000001E-3</v>
      </c>
      <c r="G747" s="67">
        <v>2E-3</v>
      </c>
      <c r="H747" s="63"/>
    </row>
    <row r="748" spans="1:8" x14ac:dyDescent="0.25">
      <c r="A748" s="63"/>
      <c r="B748" s="63">
        <f>'Padrão EPP'!B748</f>
        <v>30</v>
      </c>
      <c r="C748" s="63" t="str">
        <f>'Padrão EPP'!C748</f>
        <v>SC</v>
      </c>
      <c r="D748" s="63" t="str">
        <f>'Padrão EPP'!D748</f>
        <v>INTERIOR</v>
      </c>
      <c r="E748" s="63">
        <f>'Padrão EPP'!E748/2</f>
        <v>0</v>
      </c>
      <c r="F748" s="67">
        <v>3.0000000000000001E-3</v>
      </c>
      <c r="G748" s="67">
        <v>2E-3</v>
      </c>
      <c r="H748" s="63"/>
    </row>
    <row r="749" spans="1:8" x14ac:dyDescent="0.25">
      <c r="A749" s="63"/>
      <c r="B749" s="63">
        <f>'Padrão EPP'!B749</f>
        <v>0</v>
      </c>
      <c r="C749" s="63" t="str">
        <f>'Padrão EPP'!C749</f>
        <v>SC</v>
      </c>
      <c r="D749" s="63" t="str">
        <f>'Padrão EPP'!D749</f>
        <v>INTERIOR</v>
      </c>
      <c r="E749" s="63">
        <f>'Padrão EPP'!E749/2</f>
        <v>1.5214394455252955</v>
      </c>
      <c r="F749" s="67">
        <v>3.0000000000000001E-3</v>
      </c>
      <c r="G749" s="67">
        <v>2E-3</v>
      </c>
      <c r="H749" s="63"/>
    </row>
    <row r="750" spans="1:8" x14ac:dyDescent="0.25">
      <c r="A750" s="63"/>
      <c r="B750" s="63">
        <f>'Padrão EPP'!B750</f>
        <v>0.25</v>
      </c>
      <c r="C750" s="63" t="str">
        <f>'Padrão EPP'!C750</f>
        <v>SC</v>
      </c>
      <c r="D750" s="63" t="str">
        <f>'Padrão EPP'!D750</f>
        <v>INTERIOR II</v>
      </c>
      <c r="E750" s="63">
        <f>'Padrão EPP'!E750/2</f>
        <v>9.7378469479754006</v>
      </c>
      <c r="F750" s="67">
        <v>3.0000000000000001E-3</v>
      </c>
      <c r="G750" s="67">
        <v>2E-3</v>
      </c>
      <c r="H750" s="63"/>
    </row>
    <row r="751" spans="1:8" x14ac:dyDescent="0.25">
      <c r="A751" s="63"/>
      <c r="B751" s="63">
        <f>'Padrão EPP'!B751</f>
        <v>0.5</v>
      </c>
      <c r="C751" s="63" t="str">
        <f>'Padrão EPP'!C751</f>
        <v>SC</v>
      </c>
      <c r="D751" s="63" t="str">
        <f>'Padrão EPP'!D751</f>
        <v>INTERIOR II</v>
      </c>
      <c r="E751" s="63">
        <f>'Padrão EPP'!E751/2</f>
        <v>10.012226353090213</v>
      </c>
      <c r="F751" s="67">
        <v>3.0000000000000001E-3</v>
      </c>
      <c r="G751" s="67">
        <v>2E-3</v>
      </c>
      <c r="H751" s="63"/>
    </row>
    <row r="752" spans="1:8" x14ac:dyDescent="0.25">
      <c r="A752" s="63"/>
      <c r="B752" s="63">
        <f>'Padrão EPP'!B752</f>
        <v>0.75</v>
      </c>
      <c r="C752" s="63" t="str">
        <f>'Padrão EPP'!C752</f>
        <v>SC</v>
      </c>
      <c r="D752" s="63" t="str">
        <f>'Padrão EPP'!D752</f>
        <v>INTERIOR II</v>
      </c>
      <c r="E752" s="63">
        <f>'Padrão EPP'!E752/2</f>
        <v>10.437549564246471</v>
      </c>
      <c r="F752" s="67">
        <v>3.0000000000000001E-3</v>
      </c>
      <c r="G752" s="67">
        <v>2E-3</v>
      </c>
      <c r="H752" s="63"/>
    </row>
    <row r="753" spans="1:8" x14ac:dyDescent="0.25">
      <c r="A753" s="63"/>
      <c r="B753" s="63">
        <f>'Padrão EPP'!B753</f>
        <v>1</v>
      </c>
      <c r="C753" s="63" t="str">
        <f>'Padrão EPP'!C753</f>
        <v>SC</v>
      </c>
      <c r="D753" s="63" t="str">
        <f>'Padrão EPP'!D753</f>
        <v>INTERIOR II</v>
      </c>
      <c r="E753" s="63">
        <f>'Padrão EPP'!E753/2</f>
        <v>10.866675092973226</v>
      </c>
      <c r="F753" s="67">
        <v>3.0000000000000001E-3</v>
      </c>
      <c r="G753" s="67">
        <v>2E-3</v>
      </c>
      <c r="H753" s="63"/>
    </row>
    <row r="754" spans="1:8" x14ac:dyDescent="0.25">
      <c r="A754" s="63"/>
      <c r="B754" s="63">
        <f>'Padrão EPP'!B754</f>
        <v>2</v>
      </c>
      <c r="C754" s="63" t="str">
        <f>'Padrão EPP'!C754</f>
        <v>SC</v>
      </c>
      <c r="D754" s="63" t="str">
        <f>'Padrão EPP'!D754</f>
        <v>INTERIOR II</v>
      </c>
      <c r="E754" s="63">
        <f>'Padrão EPP'!E754/2</f>
        <v>11.930777809159066</v>
      </c>
      <c r="F754" s="67">
        <v>3.0000000000000001E-3</v>
      </c>
      <c r="G754" s="67">
        <v>2E-3</v>
      </c>
      <c r="H754" s="63"/>
    </row>
    <row r="755" spans="1:8" x14ac:dyDescent="0.25">
      <c r="A755" s="63"/>
      <c r="B755" s="63">
        <f>'Padrão EPP'!B755</f>
        <v>3</v>
      </c>
      <c r="C755" s="63" t="str">
        <f>'Padrão EPP'!C755</f>
        <v>SC</v>
      </c>
      <c r="D755" s="63" t="str">
        <f>'Padrão EPP'!D755</f>
        <v>INTERIOR II</v>
      </c>
      <c r="E755" s="63">
        <f>'Padrão EPP'!E755/2</f>
        <v>13.299762804767045</v>
      </c>
      <c r="F755" s="67">
        <v>3.0000000000000001E-3</v>
      </c>
      <c r="G755" s="67">
        <v>2E-3</v>
      </c>
      <c r="H755" s="63"/>
    </row>
    <row r="756" spans="1:8" x14ac:dyDescent="0.25">
      <c r="A756" s="63"/>
      <c r="B756" s="63">
        <f>'Padrão EPP'!B756</f>
        <v>4</v>
      </c>
      <c r="C756" s="63" t="str">
        <f>'Padrão EPP'!C756</f>
        <v>SC</v>
      </c>
      <c r="D756" s="63" t="str">
        <f>'Padrão EPP'!D756</f>
        <v>INTERIOR II</v>
      </c>
      <c r="E756" s="63">
        <f>'Padrão EPP'!E756/2</f>
        <v>14.712302411721049</v>
      </c>
      <c r="F756" s="67">
        <v>3.0000000000000001E-3</v>
      </c>
      <c r="G756" s="67">
        <v>2E-3</v>
      </c>
      <c r="H756" s="63"/>
    </row>
    <row r="757" spans="1:8" x14ac:dyDescent="0.25">
      <c r="A757" s="63"/>
      <c r="B757" s="63">
        <f>'Padrão EPP'!B757</f>
        <v>5</v>
      </c>
      <c r="C757" s="63" t="str">
        <f>'Padrão EPP'!C757</f>
        <v>SC</v>
      </c>
      <c r="D757" s="63" t="str">
        <f>'Padrão EPP'!D757</f>
        <v>INTERIOR II</v>
      </c>
      <c r="E757" s="63">
        <f>'Padrão EPP'!E757/2</f>
        <v>16.172752091155676</v>
      </c>
      <c r="F757" s="67">
        <v>3.0000000000000001E-3</v>
      </c>
      <c r="G757" s="67">
        <v>2E-3</v>
      </c>
      <c r="H757" s="63"/>
    </row>
    <row r="758" spans="1:8" x14ac:dyDescent="0.25">
      <c r="A758" s="63"/>
      <c r="B758" s="63">
        <f>'Padrão EPP'!B758</f>
        <v>6</v>
      </c>
      <c r="C758" s="63" t="str">
        <f>'Padrão EPP'!C758</f>
        <v>SC</v>
      </c>
      <c r="D758" s="63" t="str">
        <f>'Padrão EPP'!D758</f>
        <v>INTERIOR II</v>
      </c>
      <c r="E758" s="63">
        <f>'Padrão EPP'!E758/2</f>
        <v>18.53698397901038</v>
      </c>
      <c r="F758" s="67">
        <v>3.0000000000000001E-3</v>
      </c>
      <c r="G758" s="67">
        <v>2E-3</v>
      </c>
      <c r="H758" s="63"/>
    </row>
    <row r="759" spans="1:8" x14ac:dyDescent="0.25">
      <c r="A759" s="63"/>
      <c r="B759" s="63">
        <f>'Padrão EPP'!B759</f>
        <v>7</v>
      </c>
      <c r="C759" s="63" t="str">
        <f>'Padrão EPP'!C759</f>
        <v>SC</v>
      </c>
      <c r="D759" s="63" t="str">
        <f>'Padrão EPP'!D759</f>
        <v>INTERIOR II</v>
      </c>
      <c r="E759" s="63">
        <f>'Padrão EPP'!E759/2</f>
        <v>19.768640226032844</v>
      </c>
      <c r="F759" s="67">
        <v>3.0000000000000001E-3</v>
      </c>
      <c r="G759" s="67">
        <v>2E-3</v>
      </c>
      <c r="H759" s="63"/>
    </row>
    <row r="760" spans="1:8" x14ac:dyDescent="0.25">
      <c r="A760" s="63"/>
      <c r="B760" s="63">
        <f>'Padrão EPP'!B760</f>
        <v>8</v>
      </c>
      <c r="C760" s="63" t="str">
        <f>'Padrão EPP'!C760</f>
        <v>SC</v>
      </c>
      <c r="D760" s="63" t="str">
        <f>'Padrão EPP'!D760</f>
        <v>INTERIOR II</v>
      </c>
      <c r="E760" s="63">
        <f>'Padrão EPP'!E760/2</f>
        <v>21.057714823032047</v>
      </c>
      <c r="F760" s="67">
        <v>3.0000000000000001E-3</v>
      </c>
      <c r="G760" s="67">
        <v>2E-3</v>
      </c>
      <c r="H760" s="63"/>
    </row>
    <row r="761" spans="1:8" x14ac:dyDescent="0.25">
      <c r="A761" s="63"/>
      <c r="B761" s="63">
        <f>'Padrão EPP'!B761</f>
        <v>9</v>
      </c>
      <c r="C761" s="63" t="str">
        <f>'Padrão EPP'!C761</f>
        <v>SC</v>
      </c>
      <c r="D761" s="63" t="str">
        <f>'Padrão EPP'!D761</f>
        <v>INTERIOR II</v>
      </c>
      <c r="E761" s="63">
        <f>'Padrão EPP'!E761/2</f>
        <v>22.783495102340716</v>
      </c>
      <c r="F761" s="67">
        <v>3.0000000000000001E-3</v>
      </c>
      <c r="G761" s="67">
        <v>2E-3</v>
      </c>
      <c r="H761" s="63"/>
    </row>
    <row r="762" spans="1:8" x14ac:dyDescent="0.25">
      <c r="A762" s="63"/>
      <c r="B762" s="63">
        <f>'Padrão EPP'!B762</f>
        <v>10</v>
      </c>
      <c r="C762" s="63" t="str">
        <f>'Padrão EPP'!C762</f>
        <v>SC</v>
      </c>
      <c r="D762" s="63" t="str">
        <f>'Padrão EPP'!D762</f>
        <v>INTERIOR II</v>
      </c>
      <c r="E762" s="63">
        <f>'Padrão EPP'!E762/2</f>
        <v>24.10408325182015</v>
      </c>
      <c r="F762" s="67">
        <v>3.0000000000000001E-3</v>
      </c>
      <c r="G762" s="67">
        <v>2E-3</v>
      </c>
      <c r="H762" s="63"/>
    </row>
    <row r="763" spans="1:8" x14ac:dyDescent="0.25">
      <c r="A763" s="63"/>
      <c r="B763" s="63">
        <f>'Padrão EPP'!B763</f>
        <v>11</v>
      </c>
      <c r="C763" s="63" t="str">
        <f>'Padrão EPP'!C763</f>
        <v>SC</v>
      </c>
      <c r="D763" s="63" t="str">
        <f>'Padrão EPP'!D763</f>
        <v>INTERIOR II</v>
      </c>
      <c r="E763" s="63">
        <f>'Padrão EPP'!E763/2</f>
        <v>0</v>
      </c>
      <c r="F763" s="67">
        <v>3.0000000000000001E-3</v>
      </c>
      <c r="G763" s="67">
        <v>2E-3</v>
      </c>
      <c r="H763" s="63"/>
    </row>
    <row r="764" spans="1:8" x14ac:dyDescent="0.25">
      <c r="A764" s="63"/>
      <c r="B764" s="63">
        <f>'Padrão EPP'!B764</f>
        <v>12</v>
      </c>
      <c r="C764" s="63" t="str">
        <f>'Padrão EPP'!C764</f>
        <v>SC</v>
      </c>
      <c r="D764" s="63" t="str">
        <f>'Padrão EPP'!D764</f>
        <v>INTERIOR II</v>
      </c>
      <c r="E764" s="63">
        <f>'Padrão EPP'!E764/2</f>
        <v>0</v>
      </c>
      <c r="F764" s="67">
        <v>3.0000000000000001E-3</v>
      </c>
      <c r="G764" s="67">
        <v>2E-3</v>
      </c>
      <c r="H764" s="63"/>
    </row>
    <row r="765" spans="1:8" x14ac:dyDescent="0.25">
      <c r="A765" s="63"/>
      <c r="B765" s="63">
        <f>'Padrão EPP'!B765</f>
        <v>13</v>
      </c>
      <c r="C765" s="63" t="str">
        <f>'Padrão EPP'!C765</f>
        <v>SC</v>
      </c>
      <c r="D765" s="63" t="str">
        <f>'Padrão EPP'!D765</f>
        <v>INTERIOR II</v>
      </c>
      <c r="E765" s="63">
        <f>'Padrão EPP'!E765/2</f>
        <v>0</v>
      </c>
      <c r="F765" s="67">
        <v>3.0000000000000001E-3</v>
      </c>
      <c r="G765" s="67">
        <v>2E-3</v>
      </c>
      <c r="H765" s="63"/>
    </row>
    <row r="766" spans="1:8" x14ac:dyDescent="0.25">
      <c r="A766" s="63"/>
      <c r="B766" s="63">
        <f>'Padrão EPP'!B766</f>
        <v>14</v>
      </c>
      <c r="C766" s="63" t="str">
        <f>'Padrão EPP'!C766</f>
        <v>SC</v>
      </c>
      <c r="D766" s="63" t="str">
        <f>'Padrão EPP'!D766</f>
        <v>INTERIOR II</v>
      </c>
      <c r="E766" s="63">
        <f>'Padrão EPP'!E766/2</f>
        <v>0</v>
      </c>
      <c r="F766" s="67">
        <v>3.0000000000000001E-3</v>
      </c>
      <c r="G766" s="67">
        <v>2E-3</v>
      </c>
      <c r="H766" s="63"/>
    </row>
    <row r="767" spans="1:8" x14ac:dyDescent="0.25">
      <c r="A767" s="63"/>
      <c r="B767" s="63">
        <f>'Padrão EPP'!B767</f>
        <v>15</v>
      </c>
      <c r="C767" s="63" t="str">
        <f>'Padrão EPP'!C767</f>
        <v>SC</v>
      </c>
      <c r="D767" s="63" t="str">
        <f>'Padrão EPP'!D767</f>
        <v>INTERIOR II</v>
      </c>
      <c r="E767" s="63">
        <f>'Padrão EPP'!E767/2</f>
        <v>0</v>
      </c>
      <c r="F767" s="67">
        <v>3.0000000000000001E-3</v>
      </c>
      <c r="G767" s="67">
        <v>2E-3</v>
      </c>
      <c r="H767" s="63"/>
    </row>
    <row r="768" spans="1:8" x14ac:dyDescent="0.25">
      <c r="A768" s="63"/>
      <c r="B768" s="63">
        <f>'Padrão EPP'!B768</f>
        <v>16</v>
      </c>
      <c r="C768" s="63" t="str">
        <f>'Padrão EPP'!C768</f>
        <v>SC</v>
      </c>
      <c r="D768" s="63" t="str">
        <f>'Padrão EPP'!D768</f>
        <v>INTERIOR II</v>
      </c>
      <c r="E768" s="63">
        <f>'Padrão EPP'!E768/2</f>
        <v>0</v>
      </c>
      <c r="F768" s="67">
        <v>3.0000000000000001E-3</v>
      </c>
      <c r="G768" s="67">
        <v>2E-3</v>
      </c>
      <c r="H768" s="63"/>
    </row>
    <row r="769" spans="1:8" x14ac:dyDescent="0.25">
      <c r="A769" s="63"/>
      <c r="B769" s="63">
        <f>'Padrão EPP'!B769</f>
        <v>17</v>
      </c>
      <c r="C769" s="63" t="str">
        <f>'Padrão EPP'!C769</f>
        <v>SC</v>
      </c>
      <c r="D769" s="63" t="str">
        <f>'Padrão EPP'!D769</f>
        <v>INTERIOR II</v>
      </c>
      <c r="E769" s="63">
        <f>'Padrão EPP'!E769/2</f>
        <v>0</v>
      </c>
      <c r="F769" s="67">
        <v>3.0000000000000001E-3</v>
      </c>
      <c r="G769" s="67">
        <v>2E-3</v>
      </c>
      <c r="H769" s="63"/>
    </row>
    <row r="770" spans="1:8" x14ac:dyDescent="0.25">
      <c r="A770" s="63"/>
      <c r="B770" s="63">
        <f>'Padrão EPP'!B770</f>
        <v>18</v>
      </c>
      <c r="C770" s="63" t="str">
        <f>'Padrão EPP'!C770</f>
        <v>SC</v>
      </c>
      <c r="D770" s="63" t="str">
        <f>'Padrão EPP'!D770</f>
        <v>INTERIOR II</v>
      </c>
      <c r="E770" s="63">
        <f>'Padrão EPP'!E770/2</f>
        <v>0</v>
      </c>
      <c r="F770" s="67">
        <v>3.0000000000000001E-3</v>
      </c>
      <c r="G770" s="67">
        <v>2E-3</v>
      </c>
      <c r="H770" s="63"/>
    </row>
    <row r="771" spans="1:8" x14ac:dyDescent="0.25">
      <c r="A771" s="63"/>
      <c r="B771" s="63">
        <f>'Padrão EPP'!B771</f>
        <v>19</v>
      </c>
      <c r="C771" s="63" t="str">
        <f>'Padrão EPP'!C771</f>
        <v>SC</v>
      </c>
      <c r="D771" s="63" t="str">
        <f>'Padrão EPP'!D771</f>
        <v>INTERIOR II</v>
      </c>
      <c r="E771" s="63">
        <f>'Padrão EPP'!E771/2</f>
        <v>0</v>
      </c>
      <c r="F771" s="67">
        <v>3.0000000000000001E-3</v>
      </c>
      <c r="G771" s="67">
        <v>2E-3</v>
      </c>
      <c r="H771" s="63"/>
    </row>
    <row r="772" spans="1:8" x14ac:dyDescent="0.25">
      <c r="A772" s="63"/>
      <c r="B772" s="63">
        <f>'Padrão EPP'!B772</f>
        <v>20</v>
      </c>
      <c r="C772" s="63" t="str">
        <f>'Padrão EPP'!C772</f>
        <v>SC</v>
      </c>
      <c r="D772" s="63" t="str">
        <f>'Padrão EPP'!D772</f>
        <v>INTERIOR II</v>
      </c>
      <c r="E772" s="63">
        <f>'Padrão EPP'!E772/2</f>
        <v>0</v>
      </c>
      <c r="F772" s="67">
        <v>3.0000000000000001E-3</v>
      </c>
      <c r="G772" s="67">
        <v>2E-3</v>
      </c>
      <c r="H772" s="63"/>
    </row>
    <row r="773" spans="1:8" x14ac:dyDescent="0.25">
      <c r="A773" s="63"/>
      <c r="B773" s="63">
        <f>'Padrão EPP'!B773</f>
        <v>21</v>
      </c>
      <c r="C773" s="63" t="str">
        <f>'Padrão EPP'!C773</f>
        <v>SC</v>
      </c>
      <c r="D773" s="63" t="str">
        <f>'Padrão EPP'!D773</f>
        <v>INTERIOR II</v>
      </c>
      <c r="E773" s="63">
        <f>'Padrão EPP'!E773/2</f>
        <v>0</v>
      </c>
      <c r="F773" s="67">
        <v>3.0000000000000001E-3</v>
      </c>
      <c r="G773" s="67">
        <v>2E-3</v>
      </c>
      <c r="H773" s="63"/>
    </row>
    <row r="774" spans="1:8" x14ac:dyDescent="0.25">
      <c r="A774" s="63"/>
      <c r="B774" s="63">
        <f>'Padrão EPP'!B774</f>
        <v>22</v>
      </c>
      <c r="C774" s="63" t="str">
        <f>'Padrão EPP'!C774</f>
        <v>SC</v>
      </c>
      <c r="D774" s="63" t="str">
        <f>'Padrão EPP'!D774</f>
        <v>INTERIOR II</v>
      </c>
      <c r="E774" s="63">
        <f>'Padrão EPP'!E774/2</f>
        <v>0</v>
      </c>
      <c r="F774" s="67">
        <v>3.0000000000000001E-3</v>
      </c>
      <c r="G774" s="67">
        <v>2E-3</v>
      </c>
      <c r="H774" s="63"/>
    </row>
    <row r="775" spans="1:8" x14ac:dyDescent="0.25">
      <c r="A775" s="63"/>
      <c r="B775" s="63">
        <f>'Padrão EPP'!B775</f>
        <v>23</v>
      </c>
      <c r="C775" s="63" t="str">
        <f>'Padrão EPP'!C775</f>
        <v>SC</v>
      </c>
      <c r="D775" s="63" t="str">
        <f>'Padrão EPP'!D775</f>
        <v>INTERIOR II</v>
      </c>
      <c r="E775" s="63">
        <f>'Padrão EPP'!E775/2</f>
        <v>0</v>
      </c>
      <c r="F775" s="67">
        <v>3.0000000000000001E-3</v>
      </c>
      <c r="G775" s="67">
        <v>2E-3</v>
      </c>
      <c r="H775" s="63"/>
    </row>
    <row r="776" spans="1:8" x14ac:dyDescent="0.25">
      <c r="A776" s="63"/>
      <c r="B776" s="63">
        <f>'Padrão EPP'!B776</f>
        <v>24</v>
      </c>
      <c r="C776" s="63" t="str">
        <f>'Padrão EPP'!C776</f>
        <v>SC</v>
      </c>
      <c r="D776" s="63" t="str">
        <f>'Padrão EPP'!D776</f>
        <v>INTERIOR II</v>
      </c>
      <c r="E776" s="63">
        <f>'Padrão EPP'!E776/2</f>
        <v>0</v>
      </c>
      <c r="F776" s="67">
        <v>3.0000000000000001E-3</v>
      </c>
      <c r="G776" s="67">
        <v>2E-3</v>
      </c>
      <c r="H776" s="63"/>
    </row>
    <row r="777" spans="1:8" x14ac:dyDescent="0.25">
      <c r="A777" s="63"/>
      <c r="B777" s="63">
        <f>'Padrão EPP'!B777</f>
        <v>25</v>
      </c>
      <c r="C777" s="63" t="str">
        <f>'Padrão EPP'!C777</f>
        <v>SC</v>
      </c>
      <c r="D777" s="63" t="str">
        <f>'Padrão EPP'!D777</f>
        <v>INTERIOR II</v>
      </c>
      <c r="E777" s="63">
        <f>'Padrão EPP'!E777/2</f>
        <v>0</v>
      </c>
      <c r="F777" s="67">
        <v>3.0000000000000001E-3</v>
      </c>
      <c r="G777" s="67">
        <v>2E-3</v>
      </c>
      <c r="H777" s="63"/>
    </row>
    <row r="778" spans="1:8" x14ac:dyDescent="0.25">
      <c r="A778" s="63"/>
      <c r="B778" s="63">
        <f>'Padrão EPP'!B778</f>
        <v>26</v>
      </c>
      <c r="C778" s="63" t="str">
        <f>'Padrão EPP'!C778</f>
        <v>SC</v>
      </c>
      <c r="D778" s="63" t="str">
        <f>'Padrão EPP'!D778</f>
        <v>INTERIOR II</v>
      </c>
      <c r="E778" s="63">
        <f>'Padrão EPP'!E778/2</f>
        <v>0</v>
      </c>
      <c r="F778" s="67">
        <v>3.0000000000000001E-3</v>
      </c>
      <c r="G778" s="67">
        <v>2E-3</v>
      </c>
      <c r="H778" s="63"/>
    </row>
    <row r="779" spans="1:8" x14ac:dyDescent="0.25">
      <c r="A779" s="63"/>
      <c r="B779" s="63">
        <f>'Padrão EPP'!B779</f>
        <v>27</v>
      </c>
      <c r="C779" s="63" t="str">
        <f>'Padrão EPP'!C779</f>
        <v>SC</v>
      </c>
      <c r="D779" s="63" t="str">
        <f>'Padrão EPP'!D779</f>
        <v>INTERIOR II</v>
      </c>
      <c r="E779" s="63">
        <f>'Padrão EPP'!E779/2</f>
        <v>0</v>
      </c>
      <c r="F779" s="67">
        <v>3.0000000000000001E-3</v>
      </c>
      <c r="G779" s="67">
        <v>2E-3</v>
      </c>
      <c r="H779" s="63"/>
    </row>
    <row r="780" spans="1:8" x14ac:dyDescent="0.25">
      <c r="A780" s="63"/>
      <c r="B780" s="63">
        <f>'Padrão EPP'!B780</f>
        <v>28</v>
      </c>
      <c r="C780" s="63" t="str">
        <f>'Padrão EPP'!C780</f>
        <v>SC</v>
      </c>
      <c r="D780" s="63" t="str">
        <f>'Padrão EPP'!D780</f>
        <v>INTERIOR II</v>
      </c>
      <c r="E780" s="63">
        <f>'Padrão EPP'!E780/2</f>
        <v>0</v>
      </c>
      <c r="F780" s="67">
        <v>3.0000000000000001E-3</v>
      </c>
      <c r="G780" s="67">
        <v>2E-3</v>
      </c>
      <c r="H780" s="63"/>
    </row>
    <row r="781" spans="1:8" x14ac:dyDescent="0.25">
      <c r="A781" s="63"/>
      <c r="B781" s="63">
        <f>'Padrão EPP'!B781</f>
        <v>29</v>
      </c>
      <c r="C781" s="63" t="str">
        <f>'Padrão EPP'!C781</f>
        <v>SC</v>
      </c>
      <c r="D781" s="63" t="str">
        <f>'Padrão EPP'!D781</f>
        <v>INTERIOR II</v>
      </c>
      <c r="E781" s="63">
        <f>'Padrão EPP'!E781/2</f>
        <v>0</v>
      </c>
      <c r="F781" s="67">
        <v>3.0000000000000001E-3</v>
      </c>
      <c r="G781" s="67">
        <v>2E-3</v>
      </c>
      <c r="H781" s="63"/>
    </row>
    <row r="782" spans="1:8" x14ac:dyDescent="0.25">
      <c r="A782" s="63"/>
      <c r="B782" s="63">
        <f>'Padrão EPP'!B782</f>
        <v>30</v>
      </c>
      <c r="C782" s="63" t="str">
        <f>'Padrão EPP'!C782</f>
        <v>SC</v>
      </c>
      <c r="D782" s="63" t="str">
        <f>'Padrão EPP'!D782</f>
        <v>INTERIOR II</v>
      </c>
      <c r="E782" s="63">
        <f>'Padrão EPP'!E782/2</f>
        <v>0</v>
      </c>
      <c r="F782" s="67">
        <v>3.0000000000000001E-3</v>
      </c>
      <c r="G782" s="67">
        <v>2E-3</v>
      </c>
      <c r="H782" s="63"/>
    </row>
    <row r="783" spans="1:8" x14ac:dyDescent="0.25">
      <c r="A783" s="63"/>
      <c r="B783" s="63">
        <f>'Padrão EPP'!B783</f>
        <v>0</v>
      </c>
      <c r="C783" s="63" t="str">
        <f>'Padrão EPP'!C783</f>
        <v>SC</v>
      </c>
      <c r="D783" s="63" t="str">
        <f>'Padrão EPP'!D783</f>
        <v>INTERIOR II</v>
      </c>
      <c r="E783" s="63">
        <f>'Padrão EPP'!E783/2</f>
        <v>1.5214394455252955</v>
      </c>
      <c r="F783" s="67">
        <v>3.0000000000000001E-3</v>
      </c>
      <c r="G783" s="67">
        <v>2E-3</v>
      </c>
      <c r="H783" s="63"/>
    </row>
    <row r="784" spans="1:8" x14ac:dyDescent="0.25">
      <c r="A784" s="63"/>
      <c r="B784" s="63">
        <f>'Padrão EPP'!B784</f>
        <v>0.25</v>
      </c>
      <c r="C784" s="63" t="str">
        <f>'Padrão EPP'!C784</f>
        <v>SC</v>
      </c>
      <c r="D784" s="63" t="str">
        <f>'Padrão EPP'!D784</f>
        <v>REDESPACHO</v>
      </c>
      <c r="E784" s="63">
        <f>'Padrão EPP'!E784/2</f>
        <v>13.471730888069889</v>
      </c>
      <c r="F784" s="67">
        <v>3.0000000000000001E-3</v>
      </c>
      <c r="G784" s="67">
        <v>2E-3</v>
      </c>
      <c r="H784" s="63"/>
    </row>
    <row r="785" spans="1:8" x14ac:dyDescent="0.25">
      <c r="A785" s="63"/>
      <c r="B785" s="63">
        <f>'Padrão EPP'!B785</f>
        <v>0.5</v>
      </c>
      <c r="C785" s="63" t="str">
        <f>'Padrão EPP'!C785</f>
        <v>SC</v>
      </c>
      <c r="D785" s="63" t="str">
        <f>'Padrão EPP'!D785</f>
        <v>REDESPACHO</v>
      </c>
      <c r="E785" s="63">
        <f>'Padrão EPP'!E785/2</f>
        <v>14.074124448625957</v>
      </c>
      <c r="F785" s="67">
        <v>3.0000000000000001E-3</v>
      </c>
      <c r="G785" s="67">
        <v>2E-3</v>
      </c>
      <c r="H785" s="63"/>
    </row>
    <row r="786" spans="1:8" x14ac:dyDescent="0.25">
      <c r="A786" s="63"/>
      <c r="B786" s="63">
        <f>'Padrão EPP'!B786</f>
        <v>0.75</v>
      </c>
      <c r="C786" s="63" t="str">
        <f>'Padrão EPP'!C786</f>
        <v>SC</v>
      </c>
      <c r="D786" s="63" t="str">
        <f>'Padrão EPP'!D786</f>
        <v>REDESPACHO</v>
      </c>
      <c r="E786" s="63">
        <f>'Padrão EPP'!E786/2</f>
        <v>14.554166958655843</v>
      </c>
      <c r="F786" s="67">
        <v>3.0000000000000001E-3</v>
      </c>
      <c r="G786" s="67">
        <v>2E-3</v>
      </c>
      <c r="H786" s="63"/>
    </row>
    <row r="787" spans="1:8" x14ac:dyDescent="0.25">
      <c r="A787" s="63"/>
      <c r="B787" s="63">
        <f>'Padrão EPP'!B787</f>
        <v>1</v>
      </c>
      <c r="C787" s="63" t="str">
        <f>'Padrão EPP'!C787</f>
        <v>SC</v>
      </c>
      <c r="D787" s="63" t="str">
        <f>'Padrão EPP'!D787</f>
        <v>REDESPACHO</v>
      </c>
      <c r="E787" s="63">
        <f>'Padrão EPP'!E787/2</f>
        <v>15.366635478879695</v>
      </c>
      <c r="F787" s="67">
        <v>3.0000000000000001E-3</v>
      </c>
      <c r="G787" s="67">
        <v>2E-3</v>
      </c>
      <c r="H787" s="63"/>
    </row>
    <row r="788" spans="1:8" x14ac:dyDescent="0.25">
      <c r="A788" s="63"/>
      <c r="B788" s="63">
        <f>'Padrão EPP'!B788</f>
        <v>2</v>
      </c>
      <c r="C788" s="63" t="str">
        <f>'Padrão EPP'!C788</f>
        <v>SC</v>
      </c>
      <c r="D788" s="63" t="str">
        <f>'Padrão EPP'!D788</f>
        <v>REDESPACHO</v>
      </c>
      <c r="E788" s="63">
        <f>'Padrão EPP'!E788/2</f>
        <v>16.519536096963332</v>
      </c>
      <c r="F788" s="67">
        <v>3.0000000000000001E-3</v>
      </c>
      <c r="G788" s="67">
        <v>2E-3</v>
      </c>
      <c r="H788" s="63"/>
    </row>
    <row r="789" spans="1:8" x14ac:dyDescent="0.25">
      <c r="A789" s="63"/>
      <c r="B789" s="63">
        <f>'Padrão EPP'!B789</f>
        <v>3</v>
      </c>
      <c r="C789" s="63" t="str">
        <f>'Padrão EPP'!C789</f>
        <v>SC</v>
      </c>
      <c r="D789" s="63" t="str">
        <f>'Padrão EPP'!D789</f>
        <v>REDESPACHO</v>
      </c>
      <c r="E789" s="63">
        <f>'Padrão EPP'!E789/2</f>
        <v>20.488653877994473</v>
      </c>
      <c r="F789" s="67">
        <v>3.0000000000000001E-3</v>
      </c>
      <c r="G789" s="67">
        <v>2E-3</v>
      </c>
      <c r="H789" s="63"/>
    </row>
    <row r="790" spans="1:8" x14ac:dyDescent="0.25">
      <c r="A790" s="63"/>
      <c r="B790" s="63">
        <f>'Padrão EPP'!B790</f>
        <v>4</v>
      </c>
      <c r="C790" s="63" t="str">
        <f>'Padrão EPP'!C790</f>
        <v>SC</v>
      </c>
      <c r="D790" s="63" t="str">
        <f>'Padrão EPP'!D790</f>
        <v>REDESPACHO</v>
      </c>
      <c r="E790" s="63">
        <f>'Padrão EPP'!E790/2</f>
        <v>22.629256295213157</v>
      </c>
      <c r="F790" s="67">
        <v>3.0000000000000001E-3</v>
      </c>
      <c r="G790" s="67">
        <v>2E-3</v>
      </c>
      <c r="H790" s="63"/>
    </row>
    <row r="791" spans="1:8" x14ac:dyDescent="0.25">
      <c r="A791" s="63"/>
      <c r="B791" s="63">
        <f>'Padrão EPP'!B791</f>
        <v>5</v>
      </c>
      <c r="C791" s="63" t="str">
        <f>'Padrão EPP'!C791</f>
        <v>SC</v>
      </c>
      <c r="D791" s="63" t="str">
        <f>'Padrão EPP'!D791</f>
        <v>REDESPACHO</v>
      </c>
      <c r="E791" s="63">
        <f>'Padrão EPP'!E791/2</f>
        <v>24.880203522803917</v>
      </c>
      <c r="F791" s="67">
        <v>3.0000000000000001E-3</v>
      </c>
      <c r="G791" s="67">
        <v>2E-3</v>
      </c>
      <c r="H791" s="63"/>
    </row>
    <row r="792" spans="1:8" x14ac:dyDescent="0.25">
      <c r="A792" s="63"/>
      <c r="B792" s="63">
        <f>'Padrão EPP'!B792</f>
        <v>6</v>
      </c>
      <c r="C792" s="63" t="str">
        <f>'Padrão EPP'!C792</f>
        <v>SC</v>
      </c>
      <c r="D792" s="63" t="str">
        <f>'Padrão EPP'!D792</f>
        <v>REDESPACHO</v>
      </c>
      <c r="E792" s="63">
        <f>'Padrão EPP'!E792/2</f>
        <v>27.252530041804025</v>
      </c>
      <c r="F792" s="67">
        <v>3.0000000000000001E-3</v>
      </c>
      <c r="G792" s="67">
        <v>2E-3</v>
      </c>
      <c r="H792" s="63"/>
    </row>
    <row r="793" spans="1:8" x14ac:dyDescent="0.25">
      <c r="A793" s="63"/>
      <c r="B793" s="63">
        <f>'Padrão EPP'!B793</f>
        <v>7</v>
      </c>
      <c r="C793" s="63" t="str">
        <f>'Padrão EPP'!C793</f>
        <v>SC</v>
      </c>
      <c r="D793" s="63" t="str">
        <f>'Padrão EPP'!D793</f>
        <v>REDESPACHO</v>
      </c>
      <c r="E793" s="63">
        <f>'Padrão EPP'!E793/2</f>
        <v>29.7583737813544</v>
      </c>
      <c r="F793" s="67">
        <v>3.0000000000000001E-3</v>
      </c>
      <c r="G793" s="67">
        <v>2E-3</v>
      </c>
      <c r="H793" s="63"/>
    </row>
    <row r="794" spans="1:8" x14ac:dyDescent="0.25">
      <c r="A794" s="63"/>
      <c r="B794" s="63">
        <f>'Padrão EPP'!B794</f>
        <v>8</v>
      </c>
      <c r="C794" s="63" t="str">
        <f>'Padrão EPP'!C794</f>
        <v>SC</v>
      </c>
      <c r="D794" s="63" t="str">
        <f>'Padrão EPP'!D794</f>
        <v>REDESPACHO</v>
      </c>
      <c r="E794" s="63">
        <f>'Padrão EPP'!E794/2</f>
        <v>32.411086463510031</v>
      </c>
      <c r="F794" s="67">
        <v>3.0000000000000001E-3</v>
      </c>
      <c r="G794" s="67">
        <v>2E-3</v>
      </c>
      <c r="H794" s="63"/>
    </row>
    <row r="795" spans="1:8" x14ac:dyDescent="0.25">
      <c r="A795" s="63"/>
      <c r="B795" s="63">
        <f>'Padrão EPP'!B795</f>
        <v>9</v>
      </c>
      <c r="C795" s="63" t="str">
        <f>'Padrão EPP'!C795</f>
        <v>SC</v>
      </c>
      <c r="D795" s="63" t="str">
        <f>'Padrão EPP'!D795</f>
        <v>REDESPACHO</v>
      </c>
      <c r="E795" s="63">
        <f>'Padrão EPP'!E795/2</f>
        <v>35.225354982531513</v>
      </c>
      <c r="F795" s="67">
        <v>3.0000000000000001E-3</v>
      </c>
      <c r="G795" s="67">
        <v>2E-3</v>
      </c>
      <c r="H795" s="63"/>
    </row>
    <row r="796" spans="1:8" x14ac:dyDescent="0.25">
      <c r="A796" s="63"/>
      <c r="B796" s="63">
        <f>'Padrão EPP'!B796</f>
        <v>10</v>
      </c>
      <c r="C796" s="63" t="str">
        <f>'Padrão EPP'!C796</f>
        <v>SC</v>
      </c>
      <c r="D796" s="63" t="str">
        <f>'Padrão EPP'!D796</f>
        <v>REDESPACHO</v>
      </c>
      <c r="E796" s="63">
        <f>'Padrão EPP'!E796/2</f>
        <v>38.217334922105351</v>
      </c>
      <c r="F796" s="67">
        <v>3.0000000000000001E-3</v>
      </c>
      <c r="G796" s="67">
        <v>2E-3</v>
      </c>
      <c r="H796" s="63"/>
    </row>
    <row r="797" spans="1:8" x14ac:dyDescent="0.25">
      <c r="A797" s="63"/>
      <c r="B797" s="63">
        <f>'Padrão EPP'!B797</f>
        <v>11</v>
      </c>
      <c r="C797" s="63" t="str">
        <f>'Padrão EPP'!C797</f>
        <v>SC</v>
      </c>
      <c r="D797" s="63" t="str">
        <f>'Padrão EPP'!D797</f>
        <v>REDESPACHO</v>
      </c>
      <c r="E797" s="63">
        <f>'Padrão EPP'!E797/2</f>
        <v>0</v>
      </c>
      <c r="F797" s="67">
        <v>3.0000000000000001E-3</v>
      </c>
      <c r="G797" s="67">
        <v>2E-3</v>
      </c>
      <c r="H797" s="63"/>
    </row>
    <row r="798" spans="1:8" x14ac:dyDescent="0.25">
      <c r="A798" s="63"/>
      <c r="B798" s="63">
        <f>'Padrão EPP'!B798</f>
        <v>12</v>
      </c>
      <c r="C798" s="63" t="str">
        <f>'Padrão EPP'!C798</f>
        <v>SC</v>
      </c>
      <c r="D798" s="63" t="str">
        <f>'Padrão EPP'!D798</f>
        <v>REDESPACHO</v>
      </c>
      <c r="E798" s="63">
        <f>'Padrão EPP'!E798/2</f>
        <v>0</v>
      </c>
      <c r="F798" s="67">
        <v>3.0000000000000001E-3</v>
      </c>
      <c r="G798" s="67">
        <v>2E-3</v>
      </c>
      <c r="H798" s="63"/>
    </row>
    <row r="799" spans="1:8" x14ac:dyDescent="0.25">
      <c r="A799" s="63"/>
      <c r="B799" s="63">
        <f>'Padrão EPP'!B799</f>
        <v>13</v>
      </c>
      <c r="C799" s="63" t="str">
        <f>'Padrão EPP'!C799</f>
        <v>SC</v>
      </c>
      <c r="D799" s="63" t="str">
        <f>'Padrão EPP'!D799</f>
        <v>REDESPACHO</v>
      </c>
      <c r="E799" s="63">
        <f>'Padrão EPP'!E799/2</f>
        <v>0</v>
      </c>
      <c r="F799" s="67">
        <v>3.0000000000000001E-3</v>
      </c>
      <c r="G799" s="67">
        <v>2E-3</v>
      </c>
      <c r="H799" s="63"/>
    </row>
    <row r="800" spans="1:8" x14ac:dyDescent="0.25">
      <c r="A800" s="63"/>
      <c r="B800" s="63">
        <f>'Padrão EPP'!B800</f>
        <v>14</v>
      </c>
      <c r="C800" s="63" t="str">
        <f>'Padrão EPP'!C800</f>
        <v>SC</v>
      </c>
      <c r="D800" s="63" t="str">
        <f>'Padrão EPP'!D800</f>
        <v>REDESPACHO</v>
      </c>
      <c r="E800" s="63">
        <f>'Padrão EPP'!E800/2</f>
        <v>0</v>
      </c>
      <c r="F800" s="67">
        <v>3.0000000000000001E-3</v>
      </c>
      <c r="G800" s="67">
        <v>2E-3</v>
      </c>
      <c r="H800" s="63"/>
    </row>
    <row r="801" spans="1:8" x14ac:dyDescent="0.25">
      <c r="A801" s="63"/>
      <c r="B801" s="63">
        <f>'Padrão EPP'!B801</f>
        <v>15</v>
      </c>
      <c r="C801" s="63" t="str">
        <f>'Padrão EPP'!C801</f>
        <v>SC</v>
      </c>
      <c r="D801" s="63" t="str">
        <f>'Padrão EPP'!D801</f>
        <v>REDESPACHO</v>
      </c>
      <c r="E801" s="63">
        <f>'Padrão EPP'!E801/2</f>
        <v>0</v>
      </c>
      <c r="F801" s="67">
        <v>3.0000000000000001E-3</v>
      </c>
      <c r="G801" s="67">
        <v>2E-3</v>
      </c>
      <c r="H801" s="63"/>
    </row>
    <row r="802" spans="1:8" x14ac:dyDescent="0.25">
      <c r="A802" s="63"/>
      <c r="B802" s="63">
        <f>'Padrão EPP'!B802</f>
        <v>16</v>
      </c>
      <c r="C802" s="63" t="str">
        <f>'Padrão EPP'!C802</f>
        <v>SC</v>
      </c>
      <c r="D802" s="63" t="str">
        <f>'Padrão EPP'!D802</f>
        <v>REDESPACHO</v>
      </c>
      <c r="E802" s="63">
        <f>'Padrão EPP'!E802/2</f>
        <v>0</v>
      </c>
      <c r="F802" s="67">
        <v>3.0000000000000001E-3</v>
      </c>
      <c r="G802" s="67">
        <v>2E-3</v>
      </c>
      <c r="H802" s="63"/>
    </row>
    <row r="803" spans="1:8" x14ac:dyDescent="0.25">
      <c r="A803" s="63"/>
      <c r="B803" s="63">
        <f>'Padrão EPP'!B803</f>
        <v>17</v>
      </c>
      <c r="C803" s="63" t="str">
        <f>'Padrão EPP'!C803</f>
        <v>SC</v>
      </c>
      <c r="D803" s="63" t="str">
        <f>'Padrão EPP'!D803</f>
        <v>REDESPACHO</v>
      </c>
      <c r="E803" s="63">
        <f>'Padrão EPP'!E803/2</f>
        <v>0</v>
      </c>
      <c r="F803" s="67">
        <v>3.0000000000000001E-3</v>
      </c>
      <c r="G803" s="67">
        <v>2E-3</v>
      </c>
      <c r="H803" s="63"/>
    </row>
    <row r="804" spans="1:8" x14ac:dyDescent="0.25">
      <c r="A804" s="63"/>
      <c r="B804" s="63">
        <f>'Padrão EPP'!B804</f>
        <v>18</v>
      </c>
      <c r="C804" s="63" t="str">
        <f>'Padrão EPP'!C804</f>
        <v>SC</v>
      </c>
      <c r="D804" s="63" t="str">
        <f>'Padrão EPP'!D804</f>
        <v>REDESPACHO</v>
      </c>
      <c r="E804" s="63">
        <f>'Padrão EPP'!E804/2</f>
        <v>0</v>
      </c>
      <c r="F804" s="67">
        <v>3.0000000000000001E-3</v>
      </c>
      <c r="G804" s="67">
        <v>2E-3</v>
      </c>
      <c r="H804" s="63"/>
    </row>
    <row r="805" spans="1:8" x14ac:dyDescent="0.25">
      <c r="A805" s="63"/>
      <c r="B805" s="63">
        <f>'Padrão EPP'!B805</f>
        <v>19</v>
      </c>
      <c r="C805" s="63" t="str">
        <f>'Padrão EPP'!C805</f>
        <v>SC</v>
      </c>
      <c r="D805" s="63" t="str">
        <f>'Padrão EPP'!D805</f>
        <v>REDESPACHO</v>
      </c>
      <c r="E805" s="63">
        <f>'Padrão EPP'!E805/2</f>
        <v>0</v>
      </c>
      <c r="F805" s="67">
        <v>3.0000000000000001E-3</v>
      </c>
      <c r="G805" s="67">
        <v>2E-3</v>
      </c>
      <c r="H805" s="63"/>
    </row>
    <row r="806" spans="1:8" x14ac:dyDescent="0.25">
      <c r="A806" s="63"/>
      <c r="B806" s="63">
        <f>'Padrão EPP'!B806</f>
        <v>20</v>
      </c>
      <c r="C806" s="63" t="str">
        <f>'Padrão EPP'!C806</f>
        <v>SC</v>
      </c>
      <c r="D806" s="63" t="str">
        <f>'Padrão EPP'!D806</f>
        <v>REDESPACHO</v>
      </c>
      <c r="E806" s="63">
        <f>'Padrão EPP'!E806/2</f>
        <v>0</v>
      </c>
      <c r="F806" s="67">
        <v>3.0000000000000001E-3</v>
      </c>
      <c r="G806" s="67">
        <v>2E-3</v>
      </c>
      <c r="H806" s="63"/>
    </row>
    <row r="807" spans="1:8" x14ac:dyDescent="0.25">
      <c r="A807" s="63"/>
      <c r="B807" s="63">
        <f>'Padrão EPP'!B807</f>
        <v>21</v>
      </c>
      <c r="C807" s="63" t="str">
        <f>'Padrão EPP'!C807</f>
        <v>SC</v>
      </c>
      <c r="D807" s="63" t="str">
        <f>'Padrão EPP'!D807</f>
        <v>REDESPACHO</v>
      </c>
      <c r="E807" s="63">
        <f>'Padrão EPP'!E807/2</f>
        <v>0</v>
      </c>
      <c r="F807" s="67">
        <v>3.0000000000000001E-3</v>
      </c>
      <c r="G807" s="67">
        <v>2E-3</v>
      </c>
      <c r="H807" s="63"/>
    </row>
    <row r="808" spans="1:8" x14ac:dyDescent="0.25">
      <c r="A808" s="63"/>
      <c r="B808" s="63">
        <f>'Padrão EPP'!B808</f>
        <v>22</v>
      </c>
      <c r="C808" s="63" t="str">
        <f>'Padrão EPP'!C808</f>
        <v>SC</v>
      </c>
      <c r="D808" s="63" t="str">
        <f>'Padrão EPP'!D808</f>
        <v>REDESPACHO</v>
      </c>
      <c r="E808" s="63">
        <f>'Padrão EPP'!E808/2</f>
        <v>0</v>
      </c>
      <c r="F808" s="67">
        <v>3.0000000000000001E-3</v>
      </c>
      <c r="G808" s="67">
        <v>2E-3</v>
      </c>
      <c r="H808" s="63"/>
    </row>
    <row r="809" spans="1:8" x14ac:dyDescent="0.25">
      <c r="A809" s="63"/>
      <c r="B809" s="63">
        <f>'Padrão EPP'!B809</f>
        <v>23</v>
      </c>
      <c r="C809" s="63" t="str">
        <f>'Padrão EPP'!C809</f>
        <v>SC</v>
      </c>
      <c r="D809" s="63" t="str">
        <f>'Padrão EPP'!D809</f>
        <v>REDESPACHO</v>
      </c>
      <c r="E809" s="63">
        <f>'Padrão EPP'!E809/2</f>
        <v>0</v>
      </c>
      <c r="F809" s="67">
        <v>3.0000000000000001E-3</v>
      </c>
      <c r="G809" s="67">
        <v>2E-3</v>
      </c>
      <c r="H809" s="63"/>
    </row>
    <row r="810" spans="1:8" x14ac:dyDescent="0.25">
      <c r="A810" s="63"/>
      <c r="B810" s="63">
        <f>'Padrão EPP'!B810</f>
        <v>24</v>
      </c>
      <c r="C810" s="63" t="str">
        <f>'Padrão EPP'!C810</f>
        <v>SC</v>
      </c>
      <c r="D810" s="63" t="str">
        <f>'Padrão EPP'!D810</f>
        <v>REDESPACHO</v>
      </c>
      <c r="E810" s="63">
        <f>'Padrão EPP'!E810/2</f>
        <v>0</v>
      </c>
      <c r="F810" s="67">
        <v>3.0000000000000001E-3</v>
      </c>
      <c r="G810" s="67">
        <v>2E-3</v>
      </c>
      <c r="H810" s="63"/>
    </row>
    <row r="811" spans="1:8" x14ac:dyDescent="0.25">
      <c r="A811" s="63"/>
      <c r="B811" s="63">
        <f>'Padrão EPP'!B811</f>
        <v>25</v>
      </c>
      <c r="C811" s="63" t="str">
        <f>'Padrão EPP'!C811</f>
        <v>SC</v>
      </c>
      <c r="D811" s="63" t="str">
        <f>'Padrão EPP'!D811</f>
        <v>REDESPACHO</v>
      </c>
      <c r="E811" s="63">
        <f>'Padrão EPP'!E811/2</f>
        <v>0</v>
      </c>
      <c r="F811" s="67">
        <v>3.0000000000000001E-3</v>
      </c>
      <c r="G811" s="67">
        <v>2E-3</v>
      </c>
      <c r="H811" s="63"/>
    </row>
    <row r="812" spans="1:8" x14ac:dyDescent="0.25">
      <c r="A812" s="63"/>
      <c r="B812" s="63">
        <f>'Padrão EPP'!B812</f>
        <v>26</v>
      </c>
      <c r="C812" s="63" t="str">
        <f>'Padrão EPP'!C812</f>
        <v>SC</v>
      </c>
      <c r="D812" s="63" t="str">
        <f>'Padrão EPP'!D812</f>
        <v>REDESPACHO</v>
      </c>
      <c r="E812" s="63">
        <f>'Padrão EPP'!E812/2</f>
        <v>0</v>
      </c>
      <c r="F812" s="67">
        <v>3.0000000000000001E-3</v>
      </c>
      <c r="G812" s="67">
        <v>2E-3</v>
      </c>
      <c r="H812" s="63"/>
    </row>
    <row r="813" spans="1:8" x14ac:dyDescent="0.25">
      <c r="A813" s="63"/>
      <c r="B813" s="63">
        <f>'Padrão EPP'!B813</f>
        <v>27</v>
      </c>
      <c r="C813" s="63" t="str">
        <f>'Padrão EPP'!C813</f>
        <v>SC</v>
      </c>
      <c r="D813" s="63" t="str">
        <f>'Padrão EPP'!D813</f>
        <v>REDESPACHO</v>
      </c>
      <c r="E813" s="63">
        <f>'Padrão EPP'!E813/2</f>
        <v>0</v>
      </c>
      <c r="F813" s="67">
        <v>3.0000000000000001E-3</v>
      </c>
      <c r="G813" s="67">
        <v>2E-3</v>
      </c>
      <c r="H813" s="63"/>
    </row>
    <row r="814" spans="1:8" x14ac:dyDescent="0.25">
      <c r="A814" s="63"/>
      <c r="B814" s="63">
        <f>'Padrão EPP'!B814</f>
        <v>28</v>
      </c>
      <c r="C814" s="63" t="str">
        <f>'Padrão EPP'!C814</f>
        <v>SC</v>
      </c>
      <c r="D814" s="63" t="str">
        <f>'Padrão EPP'!D814</f>
        <v>REDESPACHO</v>
      </c>
      <c r="E814" s="63">
        <f>'Padrão EPP'!E814/2</f>
        <v>0</v>
      </c>
      <c r="F814" s="67">
        <v>3.0000000000000001E-3</v>
      </c>
      <c r="G814" s="67">
        <v>2E-3</v>
      </c>
      <c r="H814" s="63"/>
    </row>
    <row r="815" spans="1:8" x14ac:dyDescent="0.25">
      <c r="A815" s="63"/>
      <c r="B815" s="63">
        <f>'Padrão EPP'!B815</f>
        <v>29</v>
      </c>
      <c r="C815" s="63" t="str">
        <f>'Padrão EPP'!C815</f>
        <v>SC</v>
      </c>
      <c r="D815" s="63" t="str">
        <f>'Padrão EPP'!D815</f>
        <v>REDESPACHO</v>
      </c>
      <c r="E815" s="63">
        <f>'Padrão EPP'!E815/2</f>
        <v>0</v>
      </c>
      <c r="F815" s="67">
        <v>3.0000000000000001E-3</v>
      </c>
      <c r="G815" s="67">
        <v>2E-3</v>
      </c>
      <c r="H815" s="63"/>
    </row>
    <row r="816" spans="1:8" x14ac:dyDescent="0.25">
      <c r="A816" s="63"/>
      <c r="B816" s="63">
        <f>'Padrão EPP'!B816</f>
        <v>30</v>
      </c>
      <c r="C816" s="63" t="str">
        <f>'Padrão EPP'!C816</f>
        <v>SC</v>
      </c>
      <c r="D816" s="63" t="str">
        <f>'Padrão EPP'!D816</f>
        <v>REDESPACHO</v>
      </c>
      <c r="E816" s="63">
        <f>'Padrão EPP'!E816/2</f>
        <v>0</v>
      </c>
      <c r="F816" s="67">
        <v>3.0000000000000001E-3</v>
      </c>
      <c r="G816" s="67">
        <v>2E-3</v>
      </c>
      <c r="H816" s="63"/>
    </row>
    <row r="817" spans="1:8" x14ac:dyDescent="0.25">
      <c r="A817" s="63"/>
      <c r="B817" s="63">
        <f>'Padrão EPP'!B817</f>
        <v>0</v>
      </c>
      <c r="C817" s="63" t="str">
        <f>'Padrão EPP'!C817</f>
        <v>SC</v>
      </c>
      <c r="D817" s="63" t="str">
        <f>'Padrão EPP'!D817</f>
        <v>REDESPACHO</v>
      </c>
      <c r="E817" s="63">
        <f>'Padrão EPP'!E817/2</f>
        <v>1.5214394455252955</v>
      </c>
      <c r="F817" s="67">
        <v>3.0000000000000001E-3</v>
      </c>
      <c r="G817" s="67">
        <v>2E-3</v>
      </c>
      <c r="H817" s="63"/>
    </row>
    <row r="818" spans="1:8" x14ac:dyDescent="0.25">
      <c r="A818" s="63"/>
      <c r="B818" s="63">
        <f>'Padrão EPP'!B818</f>
        <v>0.25</v>
      </c>
      <c r="C818" s="63" t="str">
        <f>'Padrão EPP'!C818</f>
        <v>RS</v>
      </c>
      <c r="D818" s="63" t="str">
        <f>'Padrão EPP'!D818</f>
        <v>CAPITAL</v>
      </c>
      <c r="E818" s="63">
        <f>'Padrão EPP'!E818/2</f>
        <v>6.2708150754703968</v>
      </c>
      <c r="F818" s="67">
        <v>3.0000000000000001E-3</v>
      </c>
      <c r="G818" s="67">
        <v>2E-3</v>
      </c>
      <c r="H818" s="63"/>
    </row>
    <row r="819" spans="1:8" x14ac:dyDescent="0.25">
      <c r="A819" s="63"/>
      <c r="B819" s="63">
        <f>'Padrão EPP'!B819</f>
        <v>0.5</v>
      </c>
      <c r="C819" s="63" t="str">
        <f>'Padrão EPP'!C819</f>
        <v>RS</v>
      </c>
      <c r="D819" s="63" t="str">
        <f>'Padrão EPP'!D819</f>
        <v>CAPITAL</v>
      </c>
      <c r="E819" s="63">
        <f>'Padrão EPP'!E819/2</f>
        <v>6.4316512703246413</v>
      </c>
      <c r="F819" s="67">
        <v>3.0000000000000001E-3</v>
      </c>
      <c r="G819" s="67">
        <v>2E-3</v>
      </c>
      <c r="H819" s="63"/>
    </row>
    <row r="820" spans="1:8" x14ac:dyDescent="0.25">
      <c r="A820" s="63"/>
      <c r="B820" s="63">
        <f>'Padrão EPP'!B820</f>
        <v>0.75</v>
      </c>
      <c r="C820" s="63" t="str">
        <f>'Padrão EPP'!C820</f>
        <v>RS</v>
      </c>
      <c r="D820" s="63" t="str">
        <f>'Padrão EPP'!D820</f>
        <v>CAPITAL</v>
      </c>
      <c r="E820" s="63">
        <f>'Padrão EPP'!E820/2</f>
        <v>6.8981390485100258</v>
      </c>
      <c r="F820" s="67">
        <v>3.0000000000000001E-3</v>
      </c>
      <c r="G820" s="67">
        <v>2E-3</v>
      </c>
      <c r="H820" s="63"/>
    </row>
    <row r="821" spans="1:8" x14ac:dyDescent="0.25">
      <c r="A821" s="63"/>
      <c r="B821" s="63">
        <f>'Padrão EPP'!B821</f>
        <v>1</v>
      </c>
      <c r="C821" s="63" t="str">
        <f>'Padrão EPP'!C821</f>
        <v>RS</v>
      </c>
      <c r="D821" s="63" t="str">
        <f>'Padrão EPP'!D821</f>
        <v>CAPITAL</v>
      </c>
      <c r="E821" s="63">
        <f>'Padrão EPP'!E821/2</f>
        <v>7.0930840504412904</v>
      </c>
      <c r="F821" s="67">
        <v>3.0000000000000001E-3</v>
      </c>
      <c r="G821" s="67">
        <v>2E-3</v>
      </c>
      <c r="H821" s="63"/>
    </row>
    <row r="822" spans="1:8" x14ac:dyDescent="0.25">
      <c r="A822" s="63"/>
      <c r="B822" s="63">
        <f>'Padrão EPP'!B822</f>
        <v>2</v>
      </c>
      <c r="C822" s="63" t="str">
        <f>'Padrão EPP'!C822</f>
        <v>RS</v>
      </c>
      <c r="D822" s="63" t="str">
        <f>'Padrão EPP'!D822</f>
        <v>CAPITAL</v>
      </c>
      <c r="E822" s="63">
        <f>'Padrão EPP'!E822/2</f>
        <v>8.2017676428972539</v>
      </c>
      <c r="F822" s="67">
        <v>3.0000000000000001E-3</v>
      </c>
      <c r="G822" s="67">
        <v>2E-3</v>
      </c>
      <c r="H822" s="63"/>
    </row>
    <row r="823" spans="1:8" x14ac:dyDescent="0.25">
      <c r="A823" s="63"/>
      <c r="B823" s="63">
        <f>'Padrão EPP'!B823</f>
        <v>3</v>
      </c>
      <c r="C823" s="63" t="str">
        <f>'Padrão EPP'!C823</f>
        <v>RS</v>
      </c>
      <c r="D823" s="63" t="str">
        <f>'Padrão EPP'!D823</f>
        <v>CAPITAL</v>
      </c>
      <c r="E823" s="63">
        <f>'Padrão EPP'!E823/2</f>
        <v>9.5120003788612753</v>
      </c>
      <c r="F823" s="67">
        <v>3.0000000000000001E-3</v>
      </c>
      <c r="G823" s="67">
        <v>2E-3</v>
      </c>
      <c r="H823" s="63"/>
    </row>
    <row r="824" spans="1:8" x14ac:dyDescent="0.25">
      <c r="A824" s="63"/>
      <c r="B824" s="63">
        <f>'Padrão EPP'!B824</f>
        <v>4</v>
      </c>
      <c r="C824" s="63" t="str">
        <f>'Padrão EPP'!C824</f>
        <v>RS</v>
      </c>
      <c r="D824" s="63" t="str">
        <f>'Padrão EPP'!D824</f>
        <v>CAPITAL</v>
      </c>
      <c r="E824" s="63">
        <f>'Padrão EPP'!E824/2</f>
        <v>11.259239001553098</v>
      </c>
      <c r="F824" s="67">
        <v>3.0000000000000001E-3</v>
      </c>
      <c r="G824" s="67">
        <v>2E-3</v>
      </c>
      <c r="H824" s="63"/>
    </row>
    <row r="825" spans="1:8" x14ac:dyDescent="0.25">
      <c r="A825" s="63"/>
      <c r="B825" s="63">
        <f>'Padrão EPP'!B825</f>
        <v>5</v>
      </c>
      <c r="C825" s="63" t="str">
        <f>'Padrão EPP'!C825</f>
        <v>RS</v>
      </c>
      <c r="D825" s="63" t="str">
        <f>'Padrão EPP'!D825</f>
        <v>CAPITAL</v>
      </c>
      <c r="E825" s="63">
        <f>'Padrão EPP'!E825/2</f>
        <v>13.127197465078622</v>
      </c>
      <c r="F825" s="67">
        <v>3.0000000000000001E-3</v>
      </c>
      <c r="G825" s="67">
        <v>2E-3</v>
      </c>
      <c r="H825" s="63"/>
    </row>
    <row r="826" spans="1:8" x14ac:dyDescent="0.25">
      <c r="A826" s="63"/>
      <c r="B826" s="63">
        <f>'Padrão EPP'!B826</f>
        <v>6</v>
      </c>
      <c r="C826" s="63" t="str">
        <f>'Padrão EPP'!C826</f>
        <v>RS</v>
      </c>
      <c r="D826" s="63" t="str">
        <f>'Padrão EPP'!D826</f>
        <v>CAPITAL</v>
      </c>
      <c r="E826" s="63">
        <f>'Padrão EPP'!E826/2</f>
        <v>14.869926280504684</v>
      </c>
      <c r="F826" s="67">
        <v>3.0000000000000001E-3</v>
      </c>
      <c r="G826" s="67">
        <v>2E-3</v>
      </c>
      <c r="H826" s="63"/>
    </row>
    <row r="827" spans="1:8" x14ac:dyDescent="0.25">
      <c r="A827" s="63"/>
      <c r="B827" s="63">
        <f>'Padrão EPP'!B827</f>
        <v>7</v>
      </c>
      <c r="C827" s="63" t="str">
        <f>'Padrão EPP'!C827</f>
        <v>RS</v>
      </c>
      <c r="D827" s="63" t="str">
        <f>'Padrão EPP'!D827</f>
        <v>CAPITAL</v>
      </c>
      <c r="E827" s="63">
        <f>'Padrão EPP'!E827/2</f>
        <v>16.654579804207522</v>
      </c>
      <c r="F827" s="67">
        <v>3.0000000000000001E-3</v>
      </c>
      <c r="G827" s="67">
        <v>2E-3</v>
      </c>
      <c r="H827" s="63"/>
    </row>
    <row r="828" spans="1:8" x14ac:dyDescent="0.25">
      <c r="A828" s="63"/>
      <c r="B828" s="63">
        <f>'Padrão EPP'!B828</f>
        <v>8</v>
      </c>
      <c r="C828" s="63" t="str">
        <f>'Padrão EPP'!C828</f>
        <v>RS</v>
      </c>
      <c r="D828" s="63" t="str">
        <f>'Padrão EPP'!D828</f>
        <v>CAPITAL</v>
      </c>
      <c r="E828" s="63">
        <f>'Padrão EPP'!E828/2</f>
        <v>18.485350507014807</v>
      </c>
      <c r="F828" s="67">
        <v>3.0000000000000001E-3</v>
      </c>
      <c r="G828" s="67">
        <v>2E-3</v>
      </c>
      <c r="H828" s="63"/>
    </row>
    <row r="829" spans="1:8" x14ac:dyDescent="0.25">
      <c r="A829" s="63"/>
      <c r="B829" s="63">
        <f>'Padrão EPP'!B829</f>
        <v>9</v>
      </c>
      <c r="C829" s="63" t="str">
        <f>'Padrão EPP'!C829</f>
        <v>RS</v>
      </c>
      <c r="D829" s="63" t="str">
        <f>'Padrão EPP'!D829</f>
        <v>CAPITAL</v>
      </c>
      <c r="E829" s="63">
        <f>'Padrão EPP'!E829/2</f>
        <v>20.36685010683701</v>
      </c>
      <c r="F829" s="67">
        <v>3.0000000000000001E-3</v>
      </c>
      <c r="G829" s="67">
        <v>2E-3</v>
      </c>
      <c r="H829" s="63"/>
    </row>
    <row r="830" spans="1:8" x14ac:dyDescent="0.25">
      <c r="A830" s="63"/>
      <c r="B830" s="63">
        <f>'Padrão EPP'!B830</f>
        <v>10</v>
      </c>
      <c r="C830" s="63" t="str">
        <f>'Padrão EPP'!C830</f>
        <v>RS</v>
      </c>
      <c r="D830" s="63" t="str">
        <f>'Padrão EPP'!D830</f>
        <v>CAPITAL</v>
      </c>
      <c r="E830" s="63">
        <f>'Padrão EPP'!E830/2</f>
        <v>22.014779370832013</v>
      </c>
      <c r="F830" s="67">
        <v>3.0000000000000001E-3</v>
      </c>
      <c r="G830" s="67">
        <v>2E-3</v>
      </c>
      <c r="H830" s="63"/>
    </row>
    <row r="831" spans="1:8" x14ac:dyDescent="0.25">
      <c r="A831" s="63"/>
      <c r="B831" s="63">
        <f>'Padrão EPP'!B831</f>
        <v>11</v>
      </c>
      <c r="C831" s="63" t="str">
        <f>'Padrão EPP'!C831</f>
        <v>RS</v>
      </c>
      <c r="D831" s="63" t="str">
        <f>'Padrão EPP'!D831</f>
        <v>CAPITAL</v>
      </c>
      <c r="E831" s="63">
        <f>'Padrão EPP'!E831/2</f>
        <v>0</v>
      </c>
      <c r="F831" s="67">
        <v>3.0000000000000001E-3</v>
      </c>
      <c r="G831" s="67">
        <v>2E-3</v>
      </c>
      <c r="H831" s="63"/>
    </row>
    <row r="832" spans="1:8" x14ac:dyDescent="0.25">
      <c r="A832" s="63"/>
      <c r="B832" s="63">
        <f>'Padrão EPP'!B832</f>
        <v>12</v>
      </c>
      <c r="C832" s="63" t="str">
        <f>'Padrão EPP'!C832</f>
        <v>RS</v>
      </c>
      <c r="D832" s="63" t="str">
        <f>'Padrão EPP'!D832</f>
        <v>CAPITAL</v>
      </c>
      <c r="E832" s="63">
        <f>'Padrão EPP'!E832/2</f>
        <v>0</v>
      </c>
      <c r="F832" s="67">
        <v>3.0000000000000001E-3</v>
      </c>
      <c r="G832" s="67">
        <v>2E-3</v>
      </c>
      <c r="H832" s="63"/>
    </row>
    <row r="833" spans="1:8" x14ac:dyDescent="0.25">
      <c r="A833" s="63"/>
      <c r="B833" s="63">
        <f>'Padrão EPP'!B833</f>
        <v>13</v>
      </c>
      <c r="C833" s="63" t="str">
        <f>'Padrão EPP'!C833</f>
        <v>RS</v>
      </c>
      <c r="D833" s="63" t="str">
        <f>'Padrão EPP'!D833</f>
        <v>CAPITAL</v>
      </c>
      <c r="E833" s="63">
        <f>'Padrão EPP'!E833/2</f>
        <v>0</v>
      </c>
      <c r="F833" s="67">
        <v>3.0000000000000001E-3</v>
      </c>
      <c r="G833" s="67">
        <v>2E-3</v>
      </c>
      <c r="H833" s="63"/>
    </row>
    <row r="834" spans="1:8" x14ac:dyDescent="0.25">
      <c r="A834" s="63"/>
      <c r="B834" s="63">
        <f>'Padrão EPP'!B834</f>
        <v>14</v>
      </c>
      <c r="C834" s="63" t="str">
        <f>'Padrão EPP'!C834</f>
        <v>RS</v>
      </c>
      <c r="D834" s="63" t="str">
        <f>'Padrão EPP'!D834</f>
        <v>CAPITAL</v>
      </c>
      <c r="E834" s="63">
        <f>'Padrão EPP'!E834/2</f>
        <v>0</v>
      </c>
      <c r="F834" s="67">
        <v>3.0000000000000001E-3</v>
      </c>
      <c r="G834" s="67">
        <v>2E-3</v>
      </c>
      <c r="H834" s="63"/>
    </row>
    <row r="835" spans="1:8" x14ac:dyDescent="0.25">
      <c r="A835" s="63"/>
      <c r="B835" s="63">
        <f>'Padrão EPP'!B835</f>
        <v>15</v>
      </c>
      <c r="C835" s="63" t="str">
        <f>'Padrão EPP'!C835</f>
        <v>RS</v>
      </c>
      <c r="D835" s="63" t="str">
        <f>'Padrão EPP'!D835</f>
        <v>CAPITAL</v>
      </c>
      <c r="E835" s="63">
        <f>'Padrão EPP'!E835/2</f>
        <v>0</v>
      </c>
      <c r="F835" s="67">
        <v>3.0000000000000001E-3</v>
      </c>
      <c r="G835" s="67">
        <v>2E-3</v>
      </c>
      <c r="H835" s="63"/>
    </row>
    <row r="836" spans="1:8" x14ac:dyDescent="0.25">
      <c r="A836" s="63"/>
      <c r="B836" s="63">
        <f>'Padrão EPP'!B836</f>
        <v>16</v>
      </c>
      <c r="C836" s="63" t="str">
        <f>'Padrão EPP'!C836</f>
        <v>RS</v>
      </c>
      <c r="D836" s="63" t="str">
        <f>'Padrão EPP'!D836</f>
        <v>CAPITAL</v>
      </c>
      <c r="E836" s="63">
        <f>'Padrão EPP'!E836/2</f>
        <v>0</v>
      </c>
      <c r="F836" s="67">
        <v>3.0000000000000001E-3</v>
      </c>
      <c r="G836" s="67">
        <v>2E-3</v>
      </c>
      <c r="H836" s="63"/>
    </row>
    <row r="837" spans="1:8" x14ac:dyDescent="0.25">
      <c r="A837" s="63"/>
      <c r="B837" s="63">
        <f>'Padrão EPP'!B837</f>
        <v>17</v>
      </c>
      <c r="C837" s="63" t="str">
        <f>'Padrão EPP'!C837</f>
        <v>RS</v>
      </c>
      <c r="D837" s="63" t="str">
        <f>'Padrão EPP'!D837</f>
        <v>CAPITAL</v>
      </c>
      <c r="E837" s="63">
        <f>'Padrão EPP'!E837/2</f>
        <v>0</v>
      </c>
      <c r="F837" s="67">
        <v>3.0000000000000001E-3</v>
      </c>
      <c r="G837" s="67">
        <v>2E-3</v>
      </c>
      <c r="H837" s="63"/>
    </row>
    <row r="838" spans="1:8" x14ac:dyDescent="0.25">
      <c r="A838" s="63"/>
      <c r="B838" s="63">
        <f>'Padrão EPP'!B838</f>
        <v>18</v>
      </c>
      <c r="C838" s="63" t="str">
        <f>'Padrão EPP'!C838</f>
        <v>RS</v>
      </c>
      <c r="D838" s="63" t="str">
        <f>'Padrão EPP'!D838</f>
        <v>CAPITAL</v>
      </c>
      <c r="E838" s="63">
        <f>'Padrão EPP'!E838/2</f>
        <v>0</v>
      </c>
      <c r="F838" s="67">
        <v>3.0000000000000001E-3</v>
      </c>
      <c r="G838" s="67">
        <v>2E-3</v>
      </c>
      <c r="H838" s="63"/>
    </row>
    <row r="839" spans="1:8" x14ac:dyDescent="0.25">
      <c r="A839" s="63"/>
      <c r="B839" s="63">
        <f>'Padrão EPP'!B839</f>
        <v>19</v>
      </c>
      <c r="C839" s="63" t="str">
        <f>'Padrão EPP'!C839</f>
        <v>RS</v>
      </c>
      <c r="D839" s="63" t="str">
        <f>'Padrão EPP'!D839</f>
        <v>CAPITAL</v>
      </c>
      <c r="E839" s="63">
        <f>'Padrão EPP'!E839/2</f>
        <v>0</v>
      </c>
      <c r="F839" s="67">
        <v>3.0000000000000001E-3</v>
      </c>
      <c r="G839" s="67">
        <v>2E-3</v>
      </c>
      <c r="H839" s="63"/>
    </row>
    <row r="840" spans="1:8" x14ac:dyDescent="0.25">
      <c r="A840" s="63"/>
      <c r="B840" s="63">
        <f>'Padrão EPP'!B840</f>
        <v>20</v>
      </c>
      <c r="C840" s="63" t="str">
        <f>'Padrão EPP'!C840</f>
        <v>RS</v>
      </c>
      <c r="D840" s="63" t="str">
        <f>'Padrão EPP'!D840</f>
        <v>CAPITAL</v>
      </c>
      <c r="E840" s="63">
        <f>'Padrão EPP'!E840/2</f>
        <v>0</v>
      </c>
      <c r="F840" s="67">
        <v>3.0000000000000001E-3</v>
      </c>
      <c r="G840" s="67">
        <v>2E-3</v>
      </c>
      <c r="H840" s="63"/>
    </row>
    <row r="841" spans="1:8" x14ac:dyDescent="0.25">
      <c r="A841" s="63"/>
      <c r="B841" s="63">
        <f>'Padrão EPP'!B841</f>
        <v>21</v>
      </c>
      <c r="C841" s="63" t="str">
        <f>'Padrão EPP'!C841</f>
        <v>RS</v>
      </c>
      <c r="D841" s="63" t="str">
        <f>'Padrão EPP'!D841</f>
        <v>CAPITAL</v>
      </c>
      <c r="E841" s="63">
        <f>'Padrão EPP'!E841/2</f>
        <v>0</v>
      </c>
      <c r="F841" s="67">
        <v>3.0000000000000001E-3</v>
      </c>
      <c r="G841" s="67">
        <v>2E-3</v>
      </c>
      <c r="H841" s="63"/>
    </row>
    <row r="842" spans="1:8" x14ac:dyDescent="0.25">
      <c r="A842" s="63"/>
      <c r="B842" s="63">
        <f>'Padrão EPP'!B842</f>
        <v>22</v>
      </c>
      <c r="C842" s="63" t="str">
        <f>'Padrão EPP'!C842</f>
        <v>RS</v>
      </c>
      <c r="D842" s="63" t="str">
        <f>'Padrão EPP'!D842</f>
        <v>CAPITAL</v>
      </c>
      <c r="E842" s="63">
        <f>'Padrão EPP'!E842/2</f>
        <v>0</v>
      </c>
      <c r="F842" s="67">
        <v>3.0000000000000001E-3</v>
      </c>
      <c r="G842" s="67">
        <v>2E-3</v>
      </c>
      <c r="H842" s="63"/>
    </row>
    <row r="843" spans="1:8" x14ac:dyDescent="0.25">
      <c r="A843" s="63"/>
      <c r="B843" s="63">
        <f>'Padrão EPP'!B843</f>
        <v>23</v>
      </c>
      <c r="C843" s="63" t="str">
        <f>'Padrão EPP'!C843</f>
        <v>RS</v>
      </c>
      <c r="D843" s="63" t="str">
        <f>'Padrão EPP'!D843</f>
        <v>CAPITAL</v>
      </c>
      <c r="E843" s="63">
        <f>'Padrão EPP'!E843/2</f>
        <v>0</v>
      </c>
      <c r="F843" s="67">
        <v>3.0000000000000001E-3</v>
      </c>
      <c r="G843" s="67">
        <v>2E-3</v>
      </c>
      <c r="H843" s="63"/>
    </row>
    <row r="844" spans="1:8" x14ac:dyDescent="0.25">
      <c r="A844" s="63"/>
      <c r="B844" s="63">
        <f>'Padrão EPP'!B844</f>
        <v>24</v>
      </c>
      <c r="C844" s="63" t="str">
        <f>'Padrão EPP'!C844</f>
        <v>RS</v>
      </c>
      <c r="D844" s="63" t="str">
        <f>'Padrão EPP'!D844</f>
        <v>CAPITAL</v>
      </c>
      <c r="E844" s="63">
        <f>'Padrão EPP'!E844/2</f>
        <v>0</v>
      </c>
      <c r="F844" s="67">
        <v>3.0000000000000001E-3</v>
      </c>
      <c r="G844" s="67">
        <v>2E-3</v>
      </c>
      <c r="H844" s="63"/>
    </row>
    <row r="845" spans="1:8" x14ac:dyDescent="0.25">
      <c r="A845" s="63"/>
      <c r="B845" s="63">
        <f>'Padrão EPP'!B845</f>
        <v>25</v>
      </c>
      <c r="C845" s="63" t="str">
        <f>'Padrão EPP'!C845</f>
        <v>RS</v>
      </c>
      <c r="D845" s="63" t="str">
        <f>'Padrão EPP'!D845</f>
        <v>CAPITAL</v>
      </c>
      <c r="E845" s="63">
        <f>'Padrão EPP'!E845/2</f>
        <v>0</v>
      </c>
      <c r="F845" s="67">
        <v>3.0000000000000001E-3</v>
      </c>
      <c r="G845" s="67">
        <v>2E-3</v>
      </c>
      <c r="H845" s="63"/>
    </row>
    <row r="846" spans="1:8" x14ac:dyDescent="0.25">
      <c r="A846" s="63"/>
      <c r="B846" s="63">
        <f>'Padrão EPP'!B846</f>
        <v>26</v>
      </c>
      <c r="C846" s="63" t="str">
        <f>'Padrão EPP'!C846</f>
        <v>RS</v>
      </c>
      <c r="D846" s="63" t="str">
        <f>'Padrão EPP'!D846</f>
        <v>CAPITAL</v>
      </c>
      <c r="E846" s="63">
        <f>'Padrão EPP'!E846/2</f>
        <v>0</v>
      </c>
      <c r="F846" s="67">
        <v>3.0000000000000001E-3</v>
      </c>
      <c r="G846" s="67">
        <v>2E-3</v>
      </c>
      <c r="H846" s="63"/>
    </row>
    <row r="847" spans="1:8" x14ac:dyDescent="0.25">
      <c r="A847" s="63"/>
      <c r="B847" s="63">
        <f>'Padrão EPP'!B847</f>
        <v>27</v>
      </c>
      <c r="C847" s="63" t="str">
        <f>'Padrão EPP'!C847</f>
        <v>RS</v>
      </c>
      <c r="D847" s="63" t="str">
        <f>'Padrão EPP'!D847</f>
        <v>CAPITAL</v>
      </c>
      <c r="E847" s="63">
        <f>'Padrão EPP'!E847/2</f>
        <v>0</v>
      </c>
      <c r="F847" s="67">
        <v>3.0000000000000001E-3</v>
      </c>
      <c r="G847" s="67">
        <v>2E-3</v>
      </c>
      <c r="H847" s="63"/>
    </row>
    <row r="848" spans="1:8" x14ac:dyDescent="0.25">
      <c r="A848" s="63"/>
      <c r="B848" s="63">
        <f>'Padrão EPP'!B848</f>
        <v>28</v>
      </c>
      <c r="C848" s="63" t="str">
        <f>'Padrão EPP'!C848</f>
        <v>RS</v>
      </c>
      <c r="D848" s="63" t="str">
        <f>'Padrão EPP'!D848</f>
        <v>CAPITAL</v>
      </c>
      <c r="E848" s="63">
        <f>'Padrão EPP'!E848/2</f>
        <v>0</v>
      </c>
      <c r="F848" s="67">
        <v>3.0000000000000001E-3</v>
      </c>
      <c r="G848" s="67">
        <v>2E-3</v>
      </c>
      <c r="H848" s="63"/>
    </row>
    <row r="849" spans="1:8" x14ac:dyDescent="0.25">
      <c r="A849" s="63"/>
      <c r="B849" s="63">
        <f>'Padrão EPP'!B849</f>
        <v>29</v>
      </c>
      <c r="C849" s="63" t="str">
        <f>'Padrão EPP'!C849</f>
        <v>RS</v>
      </c>
      <c r="D849" s="63" t="str">
        <f>'Padrão EPP'!D849</f>
        <v>CAPITAL</v>
      </c>
      <c r="E849" s="63">
        <f>'Padrão EPP'!E849/2</f>
        <v>0</v>
      </c>
      <c r="F849" s="67">
        <v>3.0000000000000001E-3</v>
      </c>
      <c r="G849" s="67">
        <v>2E-3</v>
      </c>
      <c r="H849" s="63"/>
    </row>
    <row r="850" spans="1:8" x14ac:dyDescent="0.25">
      <c r="A850" s="63"/>
      <c r="B850" s="63">
        <f>'Padrão EPP'!B850</f>
        <v>30</v>
      </c>
      <c r="C850" s="63" t="str">
        <f>'Padrão EPP'!C850</f>
        <v>RS</v>
      </c>
      <c r="D850" s="63" t="str">
        <f>'Padrão EPP'!D850</f>
        <v>CAPITAL</v>
      </c>
      <c r="E850" s="63">
        <f>'Padrão EPP'!E850/2</f>
        <v>0</v>
      </c>
      <c r="F850" s="67">
        <v>3.0000000000000001E-3</v>
      </c>
      <c r="G850" s="67">
        <v>2E-3</v>
      </c>
      <c r="H850" s="63"/>
    </row>
    <row r="851" spans="1:8" x14ac:dyDescent="0.25">
      <c r="A851" s="63"/>
      <c r="B851" s="63">
        <f>'Padrão EPP'!B851</f>
        <v>0</v>
      </c>
      <c r="C851" s="63" t="str">
        <f>'Padrão EPP'!C851</f>
        <v>RS</v>
      </c>
      <c r="D851" s="63" t="str">
        <f>'Padrão EPP'!D851</f>
        <v>CAPITAL</v>
      </c>
      <c r="E851" s="63">
        <f>'Padrão EPP'!E851/2</f>
        <v>1.5214394455252955</v>
      </c>
      <c r="F851" s="67">
        <v>3.0000000000000001E-3</v>
      </c>
      <c r="G851" s="67">
        <v>2E-3</v>
      </c>
      <c r="H851" s="63"/>
    </row>
    <row r="852" spans="1:8" x14ac:dyDescent="0.25">
      <c r="A852" s="63"/>
      <c r="B852" s="63">
        <f>'Padrão EPP'!B852</f>
        <v>0.25</v>
      </c>
      <c r="C852" s="63" t="str">
        <f>'Padrão EPP'!C852</f>
        <v>RS</v>
      </c>
      <c r="D852" s="63" t="str">
        <f>'Padrão EPP'!D852</f>
        <v>INTERIOR</v>
      </c>
      <c r="E852" s="63">
        <f>'Padrão EPP'!E852/2</f>
        <v>8.7546514010781546</v>
      </c>
      <c r="F852" s="67">
        <v>3.0000000000000001E-3</v>
      </c>
      <c r="G852" s="67">
        <v>2E-3</v>
      </c>
      <c r="H852" s="63"/>
    </row>
    <row r="853" spans="1:8" x14ac:dyDescent="0.25">
      <c r="A853" s="63"/>
      <c r="B853" s="63">
        <f>'Padrão EPP'!B853</f>
        <v>0.5</v>
      </c>
      <c r="C853" s="63" t="str">
        <f>'Padrão EPP'!C853</f>
        <v>RS</v>
      </c>
      <c r="D853" s="63" t="str">
        <f>'Padrão EPP'!D853</f>
        <v>INTERIOR</v>
      </c>
      <c r="E853" s="63">
        <f>'Padrão EPP'!E853/2</f>
        <v>8.9800365607897188</v>
      </c>
      <c r="F853" s="67">
        <v>3.0000000000000001E-3</v>
      </c>
      <c r="G853" s="67">
        <v>2E-3</v>
      </c>
      <c r="H853" s="63"/>
    </row>
    <row r="854" spans="1:8" x14ac:dyDescent="0.25">
      <c r="A854" s="63"/>
      <c r="B854" s="63">
        <f>'Padrão EPP'!B854</f>
        <v>0.75</v>
      </c>
      <c r="C854" s="63" t="str">
        <f>'Padrão EPP'!C854</f>
        <v>RS</v>
      </c>
      <c r="D854" s="63" t="str">
        <f>'Padrão EPP'!D854</f>
        <v>INTERIOR</v>
      </c>
      <c r="E854" s="63">
        <f>'Padrão EPP'!E854/2</f>
        <v>9.4892131009125631</v>
      </c>
      <c r="F854" s="67">
        <v>3.0000000000000001E-3</v>
      </c>
      <c r="G854" s="67">
        <v>2E-3</v>
      </c>
      <c r="H854" s="63"/>
    </row>
    <row r="855" spans="1:8" x14ac:dyDescent="0.25">
      <c r="A855" s="63"/>
      <c r="B855" s="63">
        <f>'Padrão EPP'!B855</f>
        <v>1</v>
      </c>
      <c r="C855" s="63" t="str">
        <f>'Padrão EPP'!C855</f>
        <v>RS</v>
      </c>
      <c r="D855" s="63" t="str">
        <f>'Padrão EPP'!D855</f>
        <v>INTERIOR</v>
      </c>
      <c r="E855" s="63">
        <f>'Padrão EPP'!E855/2</f>
        <v>9.9308099981623847</v>
      </c>
      <c r="F855" s="67">
        <v>3.0000000000000001E-3</v>
      </c>
      <c r="G855" s="67">
        <v>2E-3</v>
      </c>
      <c r="H855" s="63"/>
    </row>
    <row r="856" spans="1:8" x14ac:dyDescent="0.25">
      <c r="A856" s="63"/>
      <c r="B856" s="63">
        <f>'Padrão EPP'!B856</f>
        <v>2</v>
      </c>
      <c r="C856" s="63" t="str">
        <f>'Padrão EPP'!C856</f>
        <v>RS</v>
      </c>
      <c r="D856" s="63" t="str">
        <f>'Padrão EPP'!D856</f>
        <v>INTERIOR</v>
      </c>
      <c r="E856" s="63">
        <f>'Padrão EPP'!E856/2</f>
        <v>10.802605846812083</v>
      </c>
      <c r="F856" s="67">
        <v>3.0000000000000001E-3</v>
      </c>
      <c r="G856" s="67">
        <v>2E-3</v>
      </c>
      <c r="H856" s="63"/>
    </row>
    <row r="857" spans="1:8" x14ac:dyDescent="0.25">
      <c r="A857" s="63"/>
      <c r="B857" s="63">
        <f>'Padrão EPP'!B857</f>
        <v>3</v>
      </c>
      <c r="C857" s="63" t="str">
        <f>'Padrão EPP'!C857</f>
        <v>RS</v>
      </c>
      <c r="D857" s="63" t="str">
        <f>'Padrão EPP'!D857</f>
        <v>INTERIOR</v>
      </c>
      <c r="E857" s="63">
        <f>'Padrão EPP'!E857/2</f>
        <v>12.171173447789021</v>
      </c>
      <c r="F857" s="67">
        <v>3.0000000000000001E-3</v>
      </c>
      <c r="G857" s="67">
        <v>2E-3</v>
      </c>
      <c r="H857" s="63"/>
    </row>
    <row r="858" spans="1:8" x14ac:dyDescent="0.25">
      <c r="A858" s="63"/>
      <c r="B858" s="63">
        <f>'Padrão EPP'!B858</f>
        <v>4</v>
      </c>
      <c r="C858" s="63" t="str">
        <f>'Padrão EPP'!C858</f>
        <v>RS</v>
      </c>
      <c r="D858" s="63" t="str">
        <f>'Padrão EPP'!D858</f>
        <v>INTERIOR</v>
      </c>
      <c r="E858" s="63">
        <f>'Padrão EPP'!E858/2</f>
        <v>13.63490311096114</v>
      </c>
      <c r="F858" s="67">
        <v>3.0000000000000001E-3</v>
      </c>
      <c r="G858" s="67">
        <v>2E-3</v>
      </c>
      <c r="H858" s="63"/>
    </row>
    <row r="859" spans="1:8" x14ac:dyDescent="0.25">
      <c r="A859" s="63"/>
      <c r="B859" s="63">
        <f>'Padrão EPP'!B859</f>
        <v>5</v>
      </c>
      <c r="C859" s="63" t="str">
        <f>'Padrão EPP'!C859</f>
        <v>RS</v>
      </c>
      <c r="D859" s="63" t="str">
        <f>'Padrão EPP'!D859</f>
        <v>INTERIOR</v>
      </c>
      <c r="E859" s="63">
        <f>'Padrão EPP'!E859/2</f>
        <v>15.223616236608859</v>
      </c>
      <c r="F859" s="67">
        <v>3.0000000000000001E-3</v>
      </c>
      <c r="G859" s="67">
        <v>2E-3</v>
      </c>
      <c r="H859" s="63"/>
    </row>
    <row r="860" spans="1:8" x14ac:dyDescent="0.25">
      <c r="A860" s="63"/>
      <c r="B860" s="63">
        <f>'Padrão EPP'!B860</f>
        <v>6</v>
      </c>
      <c r="C860" s="63" t="str">
        <f>'Padrão EPP'!C860</f>
        <v>RS</v>
      </c>
      <c r="D860" s="63" t="str">
        <f>'Padrão EPP'!D860</f>
        <v>INTERIOR</v>
      </c>
      <c r="E860" s="63">
        <f>'Padrão EPP'!E860/2</f>
        <v>16.886848388939136</v>
      </c>
      <c r="F860" s="67">
        <v>3.0000000000000001E-3</v>
      </c>
      <c r="G860" s="67">
        <v>2E-3</v>
      </c>
      <c r="H860" s="63"/>
    </row>
    <row r="861" spans="1:8" x14ac:dyDescent="0.25">
      <c r="A861" s="63"/>
      <c r="B861" s="63">
        <f>'Padrão EPP'!B861</f>
        <v>7</v>
      </c>
      <c r="C861" s="63" t="str">
        <f>'Padrão EPP'!C861</f>
        <v>RS</v>
      </c>
      <c r="D861" s="63" t="str">
        <f>'Padrão EPP'!D861</f>
        <v>INTERIOR</v>
      </c>
      <c r="E861" s="63">
        <f>'Padrão EPP'!E861/2</f>
        <v>18.834051224751828</v>
      </c>
      <c r="F861" s="67">
        <v>3.0000000000000001E-3</v>
      </c>
      <c r="G861" s="67">
        <v>2E-3</v>
      </c>
      <c r="H861" s="63"/>
    </row>
    <row r="862" spans="1:8" x14ac:dyDescent="0.25">
      <c r="A862" s="63"/>
      <c r="B862" s="63">
        <f>'Padrão EPP'!B862</f>
        <v>8</v>
      </c>
      <c r="C862" s="63" t="str">
        <f>'Padrão EPP'!C862</f>
        <v>RS</v>
      </c>
      <c r="D862" s="63" t="str">
        <f>'Padrão EPP'!D862</f>
        <v>INTERIOR</v>
      </c>
      <c r="E862" s="63">
        <f>'Padrão EPP'!E862/2</f>
        <v>20.897828044941686</v>
      </c>
      <c r="F862" s="67">
        <v>3.0000000000000001E-3</v>
      </c>
      <c r="G862" s="67">
        <v>2E-3</v>
      </c>
      <c r="H862" s="63"/>
    </row>
    <row r="863" spans="1:8" x14ac:dyDescent="0.25">
      <c r="A863" s="63"/>
      <c r="B863" s="63">
        <f>'Padrão EPP'!B863</f>
        <v>9</v>
      </c>
      <c r="C863" s="63" t="str">
        <f>'Padrão EPP'!C863</f>
        <v>RS</v>
      </c>
      <c r="D863" s="63" t="str">
        <f>'Padrão EPP'!D863</f>
        <v>INTERIOR</v>
      </c>
      <c r="E863" s="63">
        <f>'Padrão EPP'!E863/2</f>
        <v>22.819334486370256</v>
      </c>
      <c r="F863" s="67">
        <v>3.0000000000000001E-3</v>
      </c>
      <c r="G863" s="67">
        <v>2E-3</v>
      </c>
      <c r="H863" s="63"/>
    </row>
    <row r="864" spans="1:8" x14ac:dyDescent="0.25">
      <c r="A864" s="63"/>
      <c r="B864" s="63">
        <f>'Padrão EPP'!B864</f>
        <v>10</v>
      </c>
      <c r="C864" s="63" t="str">
        <f>'Padrão EPP'!C864</f>
        <v>RS</v>
      </c>
      <c r="D864" s="63" t="str">
        <f>'Padrão EPP'!D864</f>
        <v>INTERIOR</v>
      </c>
      <c r="E864" s="63">
        <f>'Padrão EPP'!E864/2</f>
        <v>24.690369796481409</v>
      </c>
      <c r="F864" s="67">
        <v>3.0000000000000001E-3</v>
      </c>
      <c r="G864" s="67">
        <v>2E-3</v>
      </c>
      <c r="H864" s="63"/>
    </row>
    <row r="865" spans="1:8" x14ac:dyDescent="0.25">
      <c r="A865" s="63"/>
      <c r="B865" s="63">
        <f>'Padrão EPP'!B865</f>
        <v>11</v>
      </c>
      <c r="C865" s="63" t="str">
        <f>'Padrão EPP'!C865</f>
        <v>RS</v>
      </c>
      <c r="D865" s="63" t="str">
        <f>'Padrão EPP'!D865</f>
        <v>INTERIOR</v>
      </c>
      <c r="E865" s="63">
        <f>'Padrão EPP'!E865/2</f>
        <v>0</v>
      </c>
      <c r="F865" s="67">
        <v>3.0000000000000001E-3</v>
      </c>
      <c r="G865" s="67">
        <v>2E-3</v>
      </c>
      <c r="H865" s="63"/>
    </row>
    <row r="866" spans="1:8" x14ac:dyDescent="0.25">
      <c r="A866" s="63"/>
      <c r="B866" s="63">
        <f>'Padrão EPP'!B866</f>
        <v>12</v>
      </c>
      <c r="C866" s="63" t="str">
        <f>'Padrão EPP'!C866</f>
        <v>RS</v>
      </c>
      <c r="D866" s="63" t="str">
        <f>'Padrão EPP'!D866</f>
        <v>INTERIOR</v>
      </c>
      <c r="E866" s="63">
        <f>'Padrão EPP'!E866/2</f>
        <v>0</v>
      </c>
      <c r="F866" s="67">
        <v>3.0000000000000001E-3</v>
      </c>
      <c r="G866" s="67">
        <v>2E-3</v>
      </c>
      <c r="H866" s="63"/>
    </row>
    <row r="867" spans="1:8" x14ac:dyDescent="0.25">
      <c r="A867" s="63"/>
      <c r="B867" s="63">
        <f>'Padrão EPP'!B867</f>
        <v>13</v>
      </c>
      <c r="C867" s="63" t="str">
        <f>'Padrão EPP'!C867</f>
        <v>RS</v>
      </c>
      <c r="D867" s="63" t="str">
        <f>'Padrão EPP'!D867</f>
        <v>INTERIOR</v>
      </c>
      <c r="E867" s="63">
        <f>'Padrão EPP'!E867/2</f>
        <v>0</v>
      </c>
      <c r="F867" s="67">
        <v>3.0000000000000001E-3</v>
      </c>
      <c r="G867" s="67">
        <v>2E-3</v>
      </c>
      <c r="H867" s="63"/>
    </row>
    <row r="868" spans="1:8" x14ac:dyDescent="0.25">
      <c r="A868" s="63"/>
      <c r="B868" s="63">
        <f>'Padrão EPP'!B868</f>
        <v>14</v>
      </c>
      <c r="C868" s="63" t="str">
        <f>'Padrão EPP'!C868</f>
        <v>RS</v>
      </c>
      <c r="D868" s="63" t="str">
        <f>'Padrão EPP'!D868</f>
        <v>INTERIOR</v>
      </c>
      <c r="E868" s="63">
        <f>'Padrão EPP'!E868/2</f>
        <v>0</v>
      </c>
      <c r="F868" s="67">
        <v>3.0000000000000001E-3</v>
      </c>
      <c r="G868" s="67">
        <v>2E-3</v>
      </c>
      <c r="H868" s="63"/>
    </row>
    <row r="869" spans="1:8" x14ac:dyDescent="0.25">
      <c r="A869" s="63"/>
      <c r="B869" s="63">
        <f>'Padrão EPP'!B869</f>
        <v>15</v>
      </c>
      <c r="C869" s="63" t="str">
        <f>'Padrão EPP'!C869</f>
        <v>RS</v>
      </c>
      <c r="D869" s="63" t="str">
        <f>'Padrão EPP'!D869</f>
        <v>INTERIOR</v>
      </c>
      <c r="E869" s="63">
        <f>'Padrão EPP'!E869/2</f>
        <v>0</v>
      </c>
      <c r="F869" s="67">
        <v>3.0000000000000001E-3</v>
      </c>
      <c r="G869" s="67">
        <v>2E-3</v>
      </c>
      <c r="H869" s="63"/>
    </row>
    <row r="870" spans="1:8" x14ac:dyDescent="0.25">
      <c r="A870" s="63"/>
      <c r="B870" s="63">
        <f>'Padrão EPP'!B870</f>
        <v>16</v>
      </c>
      <c r="C870" s="63" t="str">
        <f>'Padrão EPP'!C870</f>
        <v>RS</v>
      </c>
      <c r="D870" s="63" t="str">
        <f>'Padrão EPP'!D870</f>
        <v>INTERIOR</v>
      </c>
      <c r="E870" s="63">
        <f>'Padrão EPP'!E870/2</f>
        <v>0</v>
      </c>
      <c r="F870" s="67">
        <v>3.0000000000000001E-3</v>
      </c>
      <c r="G870" s="67">
        <v>2E-3</v>
      </c>
      <c r="H870" s="63"/>
    </row>
    <row r="871" spans="1:8" x14ac:dyDescent="0.25">
      <c r="A871" s="63"/>
      <c r="B871" s="63">
        <f>'Padrão EPP'!B871</f>
        <v>17</v>
      </c>
      <c r="C871" s="63" t="str">
        <f>'Padrão EPP'!C871</f>
        <v>RS</v>
      </c>
      <c r="D871" s="63" t="str">
        <f>'Padrão EPP'!D871</f>
        <v>INTERIOR</v>
      </c>
      <c r="E871" s="63">
        <f>'Padrão EPP'!E871/2</f>
        <v>0</v>
      </c>
      <c r="F871" s="67">
        <v>3.0000000000000001E-3</v>
      </c>
      <c r="G871" s="67">
        <v>2E-3</v>
      </c>
      <c r="H871" s="63"/>
    </row>
    <row r="872" spans="1:8" x14ac:dyDescent="0.25">
      <c r="A872" s="63"/>
      <c r="B872" s="63">
        <f>'Padrão EPP'!B872</f>
        <v>18</v>
      </c>
      <c r="C872" s="63" t="str">
        <f>'Padrão EPP'!C872</f>
        <v>RS</v>
      </c>
      <c r="D872" s="63" t="str">
        <f>'Padrão EPP'!D872</f>
        <v>INTERIOR</v>
      </c>
      <c r="E872" s="63">
        <f>'Padrão EPP'!E872/2</f>
        <v>0</v>
      </c>
      <c r="F872" s="67">
        <v>3.0000000000000001E-3</v>
      </c>
      <c r="G872" s="67">
        <v>2E-3</v>
      </c>
      <c r="H872" s="63"/>
    </row>
    <row r="873" spans="1:8" x14ac:dyDescent="0.25">
      <c r="A873" s="63"/>
      <c r="B873" s="63">
        <f>'Padrão EPP'!B873</f>
        <v>19</v>
      </c>
      <c r="C873" s="63" t="str">
        <f>'Padrão EPP'!C873</f>
        <v>RS</v>
      </c>
      <c r="D873" s="63" t="str">
        <f>'Padrão EPP'!D873</f>
        <v>INTERIOR</v>
      </c>
      <c r="E873" s="63">
        <f>'Padrão EPP'!E873/2</f>
        <v>0</v>
      </c>
      <c r="F873" s="67">
        <v>3.0000000000000001E-3</v>
      </c>
      <c r="G873" s="67">
        <v>2E-3</v>
      </c>
      <c r="H873" s="63"/>
    </row>
    <row r="874" spans="1:8" x14ac:dyDescent="0.25">
      <c r="A874" s="63"/>
      <c r="B874" s="63">
        <f>'Padrão EPP'!B874</f>
        <v>20</v>
      </c>
      <c r="C874" s="63" t="str">
        <f>'Padrão EPP'!C874</f>
        <v>RS</v>
      </c>
      <c r="D874" s="63" t="str">
        <f>'Padrão EPP'!D874</f>
        <v>INTERIOR</v>
      </c>
      <c r="E874" s="63">
        <f>'Padrão EPP'!E874/2</f>
        <v>0</v>
      </c>
      <c r="F874" s="67">
        <v>3.0000000000000001E-3</v>
      </c>
      <c r="G874" s="67">
        <v>2E-3</v>
      </c>
      <c r="H874" s="63"/>
    </row>
    <row r="875" spans="1:8" x14ac:dyDescent="0.25">
      <c r="A875" s="63"/>
      <c r="B875" s="63">
        <f>'Padrão EPP'!B875</f>
        <v>21</v>
      </c>
      <c r="C875" s="63" t="str">
        <f>'Padrão EPP'!C875</f>
        <v>RS</v>
      </c>
      <c r="D875" s="63" t="str">
        <f>'Padrão EPP'!D875</f>
        <v>INTERIOR</v>
      </c>
      <c r="E875" s="63">
        <f>'Padrão EPP'!E875/2</f>
        <v>0</v>
      </c>
      <c r="F875" s="67">
        <v>3.0000000000000001E-3</v>
      </c>
      <c r="G875" s="67">
        <v>2E-3</v>
      </c>
      <c r="H875" s="63"/>
    </row>
    <row r="876" spans="1:8" x14ac:dyDescent="0.25">
      <c r="A876" s="63"/>
      <c r="B876" s="63">
        <f>'Padrão EPP'!B876</f>
        <v>22</v>
      </c>
      <c r="C876" s="63" t="str">
        <f>'Padrão EPP'!C876</f>
        <v>RS</v>
      </c>
      <c r="D876" s="63" t="str">
        <f>'Padrão EPP'!D876</f>
        <v>INTERIOR</v>
      </c>
      <c r="E876" s="63">
        <f>'Padrão EPP'!E876/2</f>
        <v>0</v>
      </c>
      <c r="F876" s="67">
        <v>3.0000000000000001E-3</v>
      </c>
      <c r="G876" s="67">
        <v>2E-3</v>
      </c>
      <c r="H876" s="63"/>
    </row>
    <row r="877" spans="1:8" x14ac:dyDescent="0.25">
      <c r="A877" s="63"/>
      <c r="B877" s="63">
        <f>'Padrão EPP'!B877</f>
        <v>23</v>
      </c>
      <c r="C877" s="63" t="str">
        <f>'Padrão EPP'!C877</f>
        <v>RS</v>
      </c>
      <c r="D877" s="63" t="str">
        <f>'Padrão EPP'!D877</f>
        <v>INTERIOR</v>
      </c>
      <c r="E877" s="63">
        <f>'Padrão EPP'!E877/2</f>
        <v>0</v>
      </c>
      <c r="F877" s="67">
        <v>3.0000000000000001E-3</v>
      </c>
      <c r="G877" s="67">
        <v>2E-3</v>
      </c>
      <c r="H877" s="63"/>
    </row>
    <row r="878" spans="1:8" x14ac:dyDescent="0.25">
      <c r="A878" s="63"/>
      <c r="B878" s="63">
        <f>'Padrão EPP'!B878</f>
        <v>24</v>
      </c>
      <c r="C878" s="63" t="str">
        <f>'Padrão EPP'!C878</f>
        <v>RS</v>
      </c>
      <c r="D878" s="63" t="str">
        <f>'Padrão EPP'!D878</f>
        <v>INTERIOR</v>
      </c>
      <c r="E878" s="63">
        <f>'Padrão EPP'!E878/2</f>
        <v>0</v>
      </c>
      <c r="F878" s="67">
        <v>3.0000000000000001E-3</v>
      </c>
      <c r="G878" s="67">
        <v>2E-3</v>
      </c>
      <c r="H878" s="63"/>
    </row>
    <row r="879" spans="1:8" x14ac:dyDescent="0.25">
      <c r="A879" s="63"/>
      <c r="B879" s="63">
        <f>'Padrão EPP'!B879</f>
        <v>25</v>
      </c>
      <c r="C879" s="63" t="str">
        <f>'Padrão EPP'!C879</f>
        <v>RS</v>
      </c>
      <c r="D879" s="63" t="str">
        <f>'Padrão EPP'!D879</f>
        <v>INTERIOR</v>
      </c>
      <c r="E879" s="63">
        <f>'Padrão EPP'!E879/2</f>
        <v>0</v>
      </c>
      <c r="F879" s="67">
        <v>3.0000000000000001E-3</v>
      </c>
      <c r="G879" s="67">
        <v>2E-3</v>
      </c>
      <c r="H879" s="63"/>
    </row>
    <row r="880" spans="1:8" x14ac:dyDescent="0.25">
      <c r="A880" s="63"/>
      <c r="B880" s="63">
        <f>'Padrão EPP'!B880</f>
        <v>26</v>
      </c>
      <c r="C880" s="63" t="str">
        <f>'Padrão EPP'!C880</f>
        <v>RS</v>
      </c>
      <c r="D880" s="63" t="str">
        <f>'Padrão EPP'!D880</f>
        <v>INTERIOR</v>
      </c>
      <c r="E880" s="63">
        <f>'Padrão EPP'!E880/2</f>
        <v>0</v>
      </c>
      <c r="F880" s="67">
        <v>3.0000000000000001E-3</v>
      </c>
      <c r="G880" s="67">
        <v>2E-3</v>
      </c>
      <c r="H880" s="63"/>
    </row>
    <row r="881" spans="1:8" x14ac:dyDescent="0.25">
      <c r="A881" s="63"/>
      <c r="B881" s="63">
        <f>'Padrão EPP'!B881</f>
        <v>27</v>
      </c>
      <c r="C881" s="63" t="str">
        <f>'Padrão EPP'!C881</f>
        <v>RS</v>
      </c>
      <c r="D881" s="63" t="str">
        <f>'Padrão EPP'!D881</f>
        <v>INTERIOR</v>
      </c>
      <c r="E881" s="63">
        <f>'Padrão EPP'!E881/2</f>
        <v>0</v>
      </c>
      <c r="F881" s="67">
        <v>3.0000000000000001E-3</v>
      </c>
      <c r="G881" s="67">
        <v>2E-3</v>
      </c>
      <c r="H881" s="63"/>
    </row>
    <row r="882" spans="1:8" x14ac:dyDescent="0.25">
      <c r="A882" s="63"/>
      <c r="B882" s="63">
        <f>'Padrão EPP'!B882</f>
        <v>28</v>
      </c>
      <c r="C882" s="63" t="str">
        <f>'Padrão EPP'!C882</f>
        <v>RS</v>
      </c>
      <c r="D882" s="63" t="str">
        <f>'Padrão EPP'!D882</f>
        <v>INTERIOR</v>
      </c>
      <c r="E882" s="63">
        <f>'Padrão EPP'!E882/2</f>
        <v>0</v>
      </c>
      <c r="F882" s="67">
        <v>3.0000000000000001E-3</v>
      </c>
      <c r="G882" s="67">
        <v>2E-3</v>
      </c>
      <c r="H882" s="63"/>
    </row>
    <row r="883" spans="1:8" x14ac:dyDescent="0.25">
      <c r="A883" s="63"/>
      <c r="B883" s="63">
        <f>'Padrão EPP'!B883</f>
        <v>29</v>
      </c>
      <c r="C883" s="63" t="str">
        <f>'Padrão EPP'!C883</f>
        <v>RS</v>
      </c>
      <c r="D883" s="63" t="str">
        <f>'Padrão EPP'!D883</f>
        <v>INTERIOR</v>
      </c>
      <c r="E883" s="63">
        <f>'Padrão EPP'!E883/2</f>
        <v>0</v>
      </c>
      <c r="F883" s="67">
        <v>3.0000000000000001E-3</v>
      </c>
      <c r="G883" s="67">
        <v>2E-3</v>
      </c>
      <c r="H883" s="63"/>
    </row>
    <row r="884" spans="1:8" x14ac:dyDescent="0.25">
      <c r="A884" s="63"/>
      <c r="B884" s="63">
        <f>'Padrão EPP'!B884</f>
        <v>30</v>
      </c>
      <c r="C884" s="63" t="str">
        <f>'Padrão EPP'!C884</f>
        <v>RS</v>
      </c>
      <c r="D884" s="63" t="str">
        <f>'Padrão EPP'!D884</f>
        <v>INTERIOR</v>
      </c>
      <c r="E884" s="63">
        <f>'Padrão EPP'!E884/2</f>
        <v>0</v>
      </c>
      <c r="F884" s="67">
        <v>3.0000000000000001E-3</v>
      </c>
      <c r="G884" s="67">
        <v>2E-3</v>
      </c>
      <c r="H884" s="63"/>
    </row>
    <row r="885" spans="1:8" x14ac:dyDescent="0.25">
      <c r="A885" s="63"/>
      <c r="B885" s="63">
        <f>'Padrão EPP'!B885</f>
        <v>0</v>
      </c>
      <c r="C885" s="63" t="str">
        <f>'Padrão EPP'!C885</f>
        <v>RS</v>
      </c>
      <c r="D885" s="63" t="str">
        <f>'Padrão EPP'!D885</f>
        <v>INTERIOR</v>
      </c>
      <c r="E885" s="63">
        <f>'Padrão EPP'!E885/2</f>
        <v>1.5214394455252955</v>
      </c>
      <c r="F885" s="67">
        <v>3.0000000000000001E-3</v>
      </c>
      <c r="G885" s="67">
        <v>2E-3</v>
      </c>
      <c r="H885" s="63"/>
    </row>
    <row r="886" spans="1:8" x14ac:dyDescent="0.25">
      <c r="A886" s="63"/>
      <c r="B886" s="63">
        <f>'Padrão EPP'!B886</f>
        <v>0.25</v>
      </c>
      <c r="C886" s="63" t="str">
        <f>'Padrão EPP'!C886</f>
        <v>RS</v>
      </c>
      <c r="D886" s="63" t="str">
        <f>'Padrão EPP'!D886</f>
        <v>INTERIOR II</v>
      </c>
      <c r="E886" s="63">
        <f>'Padrão EPP'!E886/2</f>
        <v>10.164373596916226</v>
      </c>
      <c r="F886" s="67">
        <v>3.0000000000000001E-3</v>
      </c>
      <c r="G886" s="67">
        <v>2E-3</v>
      </c>
      <c r="H886" s="63"/>
    </row>
    <row r="887" spans="1:8" x14ac:dyDescent="0.25">
      <c r="A887" s="63"/>
      <c r="B887" s="63">
        <f>'Padrão EPP'!B887</f>
        <v>0.5</v>
      </c>
      <c r="C887" s="63" t="str">
        <f>'Padrão EPP'!C887</f>
        <v>RS</v>
      </c>
      <c r="D887" s="63" t="str">
        <f>'Padrão EPP'!D887</f>
        <v>INTERIOR II</v>
      </c>
      <c r="E887" s="63">
        <f>'Padrão EPP'!E887/2</f>
        <v>10.450733589293534</v>
      </c>
      <c r="F887" s="67">
        <v>3.0000000000000001E-3</v>
      </c>
      <c r="G887" s="67">
        <v>2E-3</v>
      </c>
      <c r="H887" s="63"/>
    </row>
    <row r="888" spans="1:8" x14ac:dyDescent="0.25">
      <c r="A888" s="63"/>
      <c r="B888" s="63">
        <f>'Padrão EPP'!B888</f>
        <v>0.75</v>
      </c>
      <c r="C888" s="63" t="str">
        <f>'Padrão EPP'!C888</f>
        <v>RS</v>
      </c>
      <c r="D888" s="63" t="str">
        <f>'Padrão EPP'!D888</f>
        <v>INTERIOR II</v>
      </c>
      <c r="E888" s="63">
        <f>'Padrão EPP'!E888/2</f>
        <v>10.894847015935611</v>
      </c>
      <c r="F888" s="67">
        <v>3.0000000000000001E-3</v>
      </c>
      <c r="G888" s="67">
        <v>2E-3</v>
      </c>
      <c r="H888" s="63"/>
    </row>
    <row r="889" spans="1:8" x14ac:dyDescent="0.25">
      <c r="A889" s="63"/>
      <c r="B889" s="63">
        <f>'Padrão EPP'!B889</f>
        <v>1</v>
      </c>
      <c r="C889" s="63" t="str">
        <f>'Padrão EPP'!C889</f>
        <v>RS</v>
      </c>
      <c r="D889" s="63" t="str">
        <f>'Padrão EPP'!D889</f>
        <v>INTERIOR II</v>
      </c>
      <c r="E889" s="63">
        <f>'Padrão EPP'!E889/2</f>
        <v>11.342921190046958</v>
      </c>
      <c r="F889" s="67">
        <v>3.0000000000000001E-3</v>
      </c>
      <c r="G889" s="67">
        <v>2E-3</v>
      </c>
      <c r="H889" s="63"/>
    </row>
    <row r="890" spans="1:8" x14ac:dyDescent="0.25">
      <c r="A890" s="63"/>
      <c r="B890" s="63">
        <f>'Padrão EPP'!B890</f>
        <v>2</v>
      </c>
      <c r="C890" s="63" t="str">
        <f>'Padrão EPP'!C890</f>
        <v>RS</v>
      </c>
      <c r="D890" s="63" t="str">
        <f>'Padrão EPP'!D890</f>
        <v>INTERIOR II</v>
      </c>
      <c r="E890" s="63">
        <f>'Padrão EPP'!E890/2</f>
        <v>12.569807860287364</v>
      </c>
      <c r="F890" s="67">
        <v>3.0000000000000001E-3</v>
      </c>
      <c r="G890" s="67">
        <v>2E-3</v>
      </c>
      <c r="H890" s="63"/>
    </row>
    <row r="891" spans="1:8" x14ac:dyDescent="0.25">
      <c r="A891" s="63"/>
      <c r="B891" s="63">
        <f>'Padrão EPP'!B891</f>
        <v>3</v>
      </c>
      <c r="C891" s="63" t="str">
        <f>'Padrão EPP'!C891</f>
        <v>RS</v>
      </c>
      <c r="D891" s="63" t="str">
        <f>'Padrão EPP'!D891</f>
        <v>INTERIOR II</v>
      </c>
      <c r="E891" s="63">
        <f>'Padrão EPP'!E891/2</f>
        <v>14.215563380520223</v>
      </c>
      <c r="F891" s="67">
        <v>3.0000000000000001E-3</v>
      </c>
      <c r="G891" s="67">
        <v>2E-3</v>
      </c>
      <c r="H891" s="63"/>
    </row>
    <row r="892" spans="1:8" x14ac:dyDescent="0.25">
      <c r="A892" s="63"/>
      <c r="B892" s="63">
        <f>'Padrão EPP'!B892</f>
        <v>4</v>
      </c>
      <c r="C892" s="63" t="str">
        <f>'Padrão EPP'!C892</f>
        <v>RS</v>
      </c>
      <c r="D892" s="63" t="str">
        <f>'Padrão EPP'!D892</f>
        <v>INTERIOR II</v>
      </c>
      <c r="E892" s="63">
        <f>'Padrão EPP'!E892/2</f>
        <v>15.90668828757185</v>
      </c>
      <c r="F892" s="67">
        <v>3.0000000000000001E-3</v>
      </c>
      <c r="G892" s="67">
        <v>2E-3</v>
      </c>
      <c r="H892" s="63"/>
    </row>
    <row r="893" spans="1:8" x14ac:dyDescent="0.25">
      <c r="A893" s="63"/>
      <c r="B893" s="63">
        <f>'Padrão EPP'!B893</f>
        <v>5</v>
      </c>
      <c r="C893" s="63" t="str">
        <f>'Padrão EPP'!C893</f>
        <v>RS</v>
      </c>
      <c r="D893" s="63" t="str">
        <f>'Padrão EPP'!D893</f>
        <v>INTERIOR II</v>
      </c>
      <c r="E893" s="63">
        <f>'Padrão EPP'!E893/2</f>
        <v>17.647719520124134</v>
      </c>
      <c r="F893" s="67">
        <v>3.0000000000000001E-3</v>
      </c>
      <c r="G893" s="67">
        <v>2E-3</v>
      </c>
      <c r="H893" s="63"/>
    </row>
    <row r="894" spans="1:8" x14ac:dyDescent="0.25">
      <c r="A894" s="63"/>
      <c r="B894" s="63">
        <f>'Padrão EPP'!B894</f>
        <v>6</v>
      </c>
      <c r="C894" s="63" t="str">
        <f>'Padrão EPP'!C894</f>
        <v>RS</v>
      </c>
      <c r="D894" s="63" t="str">
        <f>'Padrão EPP'!D894</f>
        <v>INTERIOR II</v>
      </c>
      <c r="E894" s="63">
        <f>'Padrão EPP'!E894/2</f>
        <v>20.33019055311399</v>
      </c>
      <c r="F894" s="67">
        <v>3.0000000000000001E-3</v>
      </c>
      <c r="G894" s="67">
        <v>2E-3</v>
      </c>
      <c r="H894" s="63"/>
    </row>
    <row r="895" spans="1:8" x14ac:dyDescent="0.25">
      <c r="A895" s="63"/>
      <c r="B895" s="63">
        <f>'Padrão EPP'!B895</f>
        <v>7</v>
      </c>
      <c r="C895" s="63" t="str">
        <f>'Padrão EPP'!C895</f>
        <v>RS</v>
      </c>
      <c r="D895" s="63" t="str">
        <f>'Padrão EPP'!D895</f>
        <v>INTERIOR II</v>
      </c>
      <c r="E895" s="63">
        <f>'Padrão EPP'!E895/2</f>
        <v>22.072734883629099</v>
      </c>
      <c r="F895" s="67">
        <v>3.0000000000000001E-3</v>
      </c>
      <c r="G895" s="67">
        <v>2E-3</v>
      </c>
      <c r="H895" s="63"/>
    </row>
    <row r="896" spans="1:8" x14ac:dyDescent="0.25">
      <c r="A896" s="63"/>
      <c r="B896" s="63">
        <f>'Padrão EPP'!B896</f>
        <v>8</v>
      </c>
      <c r="C896" s="63" t="str">
        <f>'Padrão EPP'!C896</f>
        <v>RS</v>
      </c>
      <c r="D896" s="63" t="str">
        <f>'Padrão EPP'!D896</f>
        <v>INTERIOR II</v>
      </c>
      <c r="E896" s="63">
        <f>'Padrão EPP'!E896/2</f>
        <v>23.901032538416299</v>
      </c>
      <c r="F896" s="67">
        <v>3.0000000000000001E-3</v>
      </c>
      <c r="G896" s="67">
        <v>2E-3</v>
      </c>
      <c r="H896" s="63"/>
    </row>
    <row r="897" spans="1:8" x14ac:dyDescent="0.25">
      <c r="A897" s="63"/>
      <c r="B897" s="63">
        <f>'Padrão EPP'!B897</f>
        <v>9</v>
      </c>
      <c r="C897" s="63" t="str">
        <f>'Padrão EPP'!C897</f>
        <v>RS</v>
      </c>
      <c r="D897" s="63" t="str">
        <f>'Padrão EPP'!D897</f>
        <v>INTERIOR II</v>
      </c>
      <c r="E897" s="63">
        <f>'Padrão EPP'!E897/2</f>
        <v>26.184231945609174</v>
      </c>
      <c r="F897" s="67">
        <v>3.0000000000000001E-3</v>
      </c>
      <c r="G897" s="67">
        <v>2E-3</v>
      </c>
      <c r="H897" s="63"/>
    </row>
    <row r="898" spans="1:8" x14ac:dyDescent="0.25">
      <c r="A898" s="63"/>
      <c r="B898" s="63">
        <f>'Padrão EPP'!B898</f>
        <v>10</v>
      </c>
      <c r="C898" s="63" t="str">
        <f>'Padrão EPP'!C898</f>
        <v>RS</v>
      </c>
      <c r="D898" s="63" t="str">
        <f>'Padrão EPP'!D898</f>
        <v>INTERIOR II</v>
      </c>
      <c r="E898" s="63">
        <f>'Padrão EPP'!E898/2</f>
        <v>28.045356217563278</v>
      </c>
      <c r="F898" s="67">
        <v>3.0000000000000001E-3</v>
      </c>
      <c r="G898" s="67">
        <v>2E-3</v>
      </c>
      <c r="H898" s="63"/>
    </row>
    <row r="899" spans="1:8" x14ac:dyDescent="0.25">
      <c r="A899" s="63"/>
      <c r="B899" s="63">
        <f>'Padrão EPP'!B899</f>
        <v>11</v>
      </c>
      <c r="C899" s="63" t="str">
        <f>'Padrão EPP'!C899</f>
        <v>RS</v>
      </c>
      <c r="D899" s="63" t="str">
        <f>'Padrão EPP'!D899</f>
        <v>INTERIOR II</v>
      </c>
      <c r="E899" s="63">
        <f>'Padrão EPP'!E899/2</f>
        <v>0</v>
      </c>
      <c r="F899" s="67">
        <v>3.0000000000000001E-3</v>
      </c>
      <c r="G899" s="67">
        <v>2E-3</v>
      </c>
      <c r="H899" s="63"/>
    </row>
    <row r="900" spans="1:8" x14ac:dyDescent="0.25">
      <c r="A900" s="63"/>
      <c r="B900" s="63">
        <f>'Padrão EPP'!B900</f>
        <v>12</v>
      </c>
      <c r="C900" s="63" t="str">
        <f>'Padrão EPP'!C900</f>
        <v>RS</v>
      </c>
      <c r="D900" s="63" t="str">
        <f>'Padrão EPP'!D900</f>
        <v>INTERIOR II</v>
      </c>
      <c r="E900" s="63">
        <f>'Padrão EPP'!E900/2</f>
        <v>0</v>
      </c>
      <c r="F900" s="67">
        <v>3.0000000000000001E-3</v>
      </c>
      <c r="G900" s="67">
        <v>2E-3</v>
      </c>
      <c r="H900" s="63"/>
    </row>
    <row r="901" spans="1:8" x14ac:dyDescent="0.25">
      <c r="A901" s="63"/>
      <c r="B901" s="63">
        <f>'Padrão EPP'!B901</f>
        <v>13</v>
      </c>
      <c r="C901" s="63" t="str">
        <f>'Padrão EPP'!C901</f>
        <v>RS</v>
      </c>
      <c r="D901" s="63" t="str">
        <f>'Padrão EPP'!D901</f>
        <v>INTERIOR II</v>
      </c>
      <c r="E901" s="63">
        <f>'Padrão EPP'!E901/2</f>
        <v>0</v>
      </c>
      <c r="F901" s="67">
        <v>3.0000000000000001E-3</v>
      </c>
      <c r="G901" s="67">
        <v>2E-3</v>
      </c>
      <c r="H901" s="63"/>
    </row>
    <row r="902" spans="1:8" x14ac:dyDescent="0.25">
      <c r="A902" s="63"/>
      <c r="B902" s="63">
        <f>'Padrão EPP'!B902</f>
        <v>14</v>
      </c>
      <c r="C902" s="63" t="str">
        <f>'Padrão EPP'!C902</f>
        <v>RS</v>
      </c>
      <c r="D902" s="63" t="str">
        <f>'Padrão EPP'!D902</f>
        <v>INTERIOR II</v>
      </c>
      <c r="E902" s="63">
        <f>'Padrão EPP'!E902/2</f>
        <v>0</v>
      </c>
      <c r="F902" s="67">
        <v>3.0000000000000001E-3</v>
      </c>
      <c r="G902" s="67">
        <v>2E-3</v>
      </c>
      <c r="H902" s="63"/>
    </row>
    <row r="903" spans="1:8" x14ac:dyDescent="0.25">
      <c r="A903" s="63"/>
      <c r="B903" s="63">
        <f>'Padrão EPP'!B903</f>
        <v>15</v>
      </c>
      <c r="C903" s="63" t="str">
        <f>'Padrão EPP'!C903</f>
        <v>RS</v>
      </c>
      <c r="D903" s="63" t="str">
        <f>'Padrão EPP'!D903</f>
        <v>INTERIOR II</v>
      </c>
      <c r="E903" s="63">
        <f>'Padrão EPP'!E903/2</f>
        <v>0</v>
      </c>
      <c r="F903" s="67">
        <v>3.0000000000000001E-3</v>
      </c>
      <c r="G903" s="67">
        <v>2E-3</v>
      </c>
      <c r="H903" s="63"/>
    </row>
    <row r="904" spans="1:8" x14ac:dyDescent="0.25">
      <c r="A904" s="63"/>
      <c r="B904" s="63">
        <f>'Padrão EPP'!B904</f>
        <v>16</v>
      </c>
      <c r="C904" s="63" t="str">
        <f>'Padrão EPP'!C904</f>
        <v>RS</v>
      </c>
      <c r="D904" s="63" t="str">
        <f>'Padrão EPP'!D904</f>
        <v>INTERIOR II</v>
      </c>
      <c r="E904" s="63">
        <f>'Padrão EPP'!E904/2</f>
        <v>0</v>
      </c>
      <c r="F904" s="67">
        <v>3.0000000000000001E-3</v>
      </c>
      <c r="G904" s="67">
        <v>2E-3</v>
      </c>
      <c r="H904" s="63"/>
    </row>
    <row r="905" spans="1:8" x14ac:dyDescent="0.25">
      <c r="A905" s="63"/>
      <c r="B905" s="63">
        <f>'Padrão EPP'!B905</f>
        <v>17</v>
      </c>
      <c r="C905" s="63" t="str">
        <f>'Padrão EPP'!C905</f>
        <v>RS</v>
      </c>
      <c r="D905" s="63" t="str">
        <f>'Padrão EPP'!D905</f>
        <v>INTERIOR II</v>
      </c>
      <c r="E905" s="63">
        <f>'Padrão EPP'!E905/2</f>
        <v>0</v>
      </c>
      <c r="F905" s="67">
        <v>3.0000000000000001E-3</v>
      </c>
      <c r="G905" s="67">
        <v>2E-3</v>
      </c>
      <c r="H905" s="63"/>
    </row>
    <row r="906" spans="1:8" x14ac:dyDescent="0.25">
      <c r="A906" s="63"/>
      <c r="B906" s="63">
        <f>'Padrão EPP'!B906</f>
        <v>18</v>
      </c>
      <c r="C906" s="63" t="str">
        <f>'Padrão EPP'!C906</f>
        <v>RS</v>
      </c>
      <c r="D906" s="63" t="str">
        <f>'Padrão EPP'!D906</f>
        <v>INTERIOR II</v>
      </c>
      <c r="E906" s="63">
        <f>'Padrão EPP'!E906/2</f>
        <v>0</v>
      </c>
      <c r="F906" s="67">
        <v>3.0000000000000001E-3</v>
      </c>
      <c r="G906" s="67">
        <v>2E-3</v>
      </c>
      <c r="H906" s="63"/>
    </row>
    <row r="907" spans="1:8" x14ac:dyDescent="0.25">
      <c r="A907" s="63"/>
      <c r="B907" s="63">
        <f>'Padrão EPP'!B907</f>
        <v>19</v>
      </c>
      <c r="C907" s="63" t="str">
        <f>'Padrão EPP'!C907</f>
        <v>RS</v>
      </c>
      <c r="D907" s="63" t="str">
        <f>'Padrão EPP'!D907</f>
        <v>INTERIOR II</v>
      </c>
      <c r="E907" s="63">
        <f>'Padrão EPP'!E907/2</f>
        <v>0</v>
      </c>
      <c r="F907" s="67">
        <v>3.0000000000000001E-3</v>
      </c>
      <c r="G907" s="67">
        <v>2E-3</v>
      </c>
      <c r="H907" s="63"/>
    </row>
    <row r="908" spans="1:8" x14ac:dyDescent="0.25">
      <c r="A908" s="63"/>
      <c r="B908" s="63">
        <f>'Padrão EPP'!B908</f>
        <v>20</v>
      </c>
      <c r="C908" s="63" t="str">
        <f>'Padrão EPP'!C908</f>
        <v>RS</v>
      </c>
      <c r="D908" s="63" t="str">
        <f>'Padrão EPP'!D908</f>
        <v>INTERIOR II</v>
      </c>
      <c r="E908" s="63">
        <f>'Padrão EPP'!E908/2</f>
        <v>0</v>
      </c>
      <c r="F908" s="67">
        <v>3.0000000000000001E-3</v>
      </c>
      <c r="G908" s="67">
        <v>2E-3</v>
      </c>
      <c r="H908" s="63"/>
    </row>
    <row r="909" spans="1:8" x14ac:dyDescent="0.25">
      <c r="A909" s="63"/>
      <c r="B909" s="63">
        <f>'Padrão EPP'!B909</f>
        <v>21</v>
      </c>
      <c r="C909" s="63" t="str">
        <f>'Padrão EPP'!C909</f>
        <v>RS</v>
      </c>
      <c r="D909" s="63" t="str">
        <f>'Padrão EPP'!D909</f>
        <v>INTERIOR II</v>
      </c>
      <c r="E909" s="63">
        <f>'Padrão EPP'!E909/2</f>
        <v>0</v>
      </c>
      <c r="F909" s="67">
        <v>3.0000000000000001E-3</v>
      </c>
      <c r="G909" s="67">
        <v>2E-3</v>
      </c>
      <c r="H909" s="63"/>
    </row>
    <row r="910" spans="1:8" x14ac:dyDescent="0.25">
      <c r="A910" s="63"/>
      <c r="B910" s="63">
        <f>'Padrão EPP'!B910</f>
        <v>22</v>
      </c>
      <c r="C910" s="63" t="str">
        <f>'Padrão EPP'!C910</f>
        <v>RS</v>
      </c>
      <c r="D910" s="63" t="str">
        <f>'Padrão EPP'!D910</f>
        <v>INTERIOR II</v>
      </c>
      <c r="E910" s="63">
        <f>'Padrão EPP'!E910/2</f>
        <v>0</v>
      </c>
      <c r="F910" s="67">
        <v>3.0000000000000001E-3</v>
      </c>
      <c r="G910" s="67">
        <v>2E-3</v>
      </c>
      <c r="H910" s="63"/>
    </row>
    <row r="911" spans="1:8" x14ac:dyDescent="0.25">
      <c r="A911" s="63"/>
      <c r="B911" s="63">
        <f>'Padrão EPP'!B911</f>
        <v>23</v>
      </c>
      <c r="C911" s="63" t="str">
        <f>'Padrão EPP'!C911</f>
        <v>RS</v>
      </c>
      <c r="D911" s="63" t="str">
        <f>'Padrão EPP'!D911</f>
        <v>INTERIOR II</v>
      </c>
      <c r="E911" s="63">
        <f>'Padrão EPP'!E911/2</f>
        <v>0</v>
      </c>
      <c r="F911" s="67">
        <v>3.0000000000000001E-3</v>
      </c>
      <c r="G911" s="67">
        <v>2E-3</v>
      </c>
      <c r="H911" s="63"/>
    </row>
    <row r="912" spans="1:8" x14ac:dyDescent="0.25">
      <c r="A912" s="63"/>
      <c r="B912" s="63">
        <f>'Padrão EPP'!B912</f>
        <v>24</v>
      </c>
      <c r="C912" s="63" t="str">
        <f>'Padrão EPP'!C912</f>
        <v>RS</v>
      </c>
      <c r="D912" s="63" t="str">
        <f>'Padrão EPP'!D912</f>
        <v>INTERIOR II</v>
      </c>
      <c r="E912" s="63">
        <f>'Padrão EPP'!E912/2</f>
        <v>0</v>
      </c>
      <c r="F912" s="67">
        <v>3.0000000000000001E-3</v>
      </c>
      <c r="G912" s="67">
        <v>2E-3</v>
      </c>
      <c r="H912" s="63"/>
    </row>
    <row r="913" spans="1:8" x14ac:dyDescent="0.25">
      <c r="A913" s="63"/>
      <c r="B913" s="63">
        <f>'Padrão EPP'!B913</f>
        <v>25</v>
      </c>
      <c r="C913" s="63" t="str">
        <f>'Padrão EPP'!C913</f>
        <v>RS</v>
      </c>
      <c r="D913" s="63" t="str">
        <f>'Padrão EPP'!D913</f>
        <v>INTERIOR II</v>
      </c>
      <c r="E913" s="63">
        <f>'Padrão EPP'!E913/2</f>
        <v>0</v>
      </c>
      <c r="F913" s="67">
        <v>3.0000000000000001E-3</v>
      </c>
      <c r="G913" s="67">
        <v>2E-3</v>
      </c>
      <c r="H913" s="63"/>
    </row>
    <row r="914" spans="1:8" x14ac:dyDescent="0.25">
      <c r="A914" s="63"/>
      <c r="B914" s="63">
        <f>'Padrão EPP'!B914</f>
        <v>26</v>
      </c>
      <c r="C914" s="63" t="str">
        <f>'Padrão EPP'!C914</f>
        <v>RS</v>
      </c>
      <c r="D914" s="63" t="str">
        <f>'Padrão EPP'!D914</f>
        <v>INTERIOR II</v>
      </c>
      <c r="E914" s="63">
        <f>'Padrão EPP'!E914/2</f>
        <v>0</v>
      </c>
      <c r="F914" s="67">
        <v>3.0000000000000001E-3</v>
      </c>
      <c r="G914" s="67">
        <v>2E-3</v>
      </c>
      <c r="H914" s="63"/>
    </row>
    <row r="915" spans="1:8" x14ac:dyDescent="0.25">
      <c r="A915" s="63"/>
      <c r="B915" s="63">
        <f>'Padrão EPP'!B915</f>
        <v>27</v>
      </c>
      <c r="C915" s="63" t="str">
        <f>'Padrão EPP'!C915</f>
        <v>RS</v>
      </c>
      <c r="D915" s="63" t="str">
        <f>'Padrão EPP'!D915</f>
        <v>INTERIOR II</v>
      </c>
      <c r="E915" s="63">
        <f>'Padrão EPP'!E915/2</f>
        <v>0</v>
      </c>
      <c r="F915" s="67">
        <v>3.0000000000000001E-3</v>
      </c>
      <c r="G915" s="67">
        <v>2E-3</v>
      </c>
      <c r="H915" s="63"/>
    </row>
    <row r="916" spans="1:8" x14ac:dyDescent="0.25">
      <c r="A916" s="63"/>
      <c r="B916" s="63">
        <f>'Padrão EPP'!B916</f>
        <v>28</v>
      </c>
      <c r="C916" s="63" t="str">
        <f>'Padrão EPP'!C916</f>
        <v>RS</v>
      </c>
      <c r="D916" s="63" t="str">
        <f>'Padrão EPP'!D916</f>
        <v>INTERIOR II</v>
      </c>
      <c r="E916" s="63">
        <f>'Padrão EPP'!E916/2</f>
        <v>0</v>
      </c>
      <c r="F916" s="67">
        <v>3.0000000000000001E-3</v>
      </c>
      <c r="G916" s="67">
        <v>2E-3</v>
      </c>
      <c r="H916" s="63"/>
    </row>
    <row r="917" spans="1:8" x14ac:dyDescent="0.25">
      <c r="A917" s="63"/>
      <c r="B917" s="63">
        <f>'Padrão EPP'!B917</f>
        <v>29</v>
      </c>
      <c r="C917" s="63" t="str">
        <f>'Padrão EPP'!C917</f>
        <v>RS</v>
      </c>
      <c r="D917" s="63" t="str">
        <f>'Padrão EPP'!D917</f>
        <v>INTERIOR II</v>
      </c>
      <c r="E917" s="63">
        <f>'Padrão EPP'!E917/2</f>
        <v>0</v>
      </c>
      <c r="F917" s="67">
        <v>3.0000000000000001E-3</v>
      </c>
      <c r="G917" s="67">
        <v>2E-3</v>
      </c>
      <c r="H917" s="63"/>
    </row>
    <row r="918" spans="1:8" x14ac:dyDescent="0.25">
      <c r="A918" s="63"/>
      <c r="B918" s="63">
        <f>'Padrão EPP'!B918</f>
        <v>30</v>
      </c>
      <c r="C918" s="63" t="str">
        <f>'Padrão EPP'!C918</f>
        <v>RS</v>
      </c>
      <c r="D918" s="63" t="str">
        <f>'Padrão EPP'!D918</f>
        <v>INTERIOR II</v>
      </c>
      <c r="E918" s="63">
        <f>'Padrão EPP'!E918/2</f>
        <v>0</v>
      </c>
      <c r="F918" s="67">
        <v>3.0000000000000001E-3</v>
      </c>
      <c r="G918" s="67">
        <v>2E-3</v>
      </c>
      <c r="H918" s="63"/>
    </row>
    <row r="919" spans="1:8" x14ac:dyDescent="0.25">
      <c r="A919" s="63"/>
      <c r="B919" s="63">
        <f>'Padrão EPP'!B919</f>
        <v>0</v>
      </c>
      <c r="C919" s="63" t="str">
        <f>'Padrão EPP'!C919</f>
        <v>RS</v>
      </c>
      <c r="D919" s="63" t="str">
        <f>'Padrão EPP'!D919</f>
        <v>INTERIOR II</v>
      </c>
      <c r="E919" s="63">
        <f>'Padrão EPP'!E919/2</f>
        <v>1.5214394455252955</v>
      </c>
      <c r="F919" s="67">
        <v>3.0000000000000001E-3</v>
      </c>
      <c r="G919" s="67">
        <v>2E-3</v>
      </c>
      <c r="H919" s="63"/>
    </row>
    <row r="920" spans="1:8" x14ac:dyDescent="0.25">
      <c r="A920" s="63"/>
      <c r="B920" s="63">
        <f>'Padrão EPP'!B920</f>
        <v>0.25</v>
      </c>
      <c r="C920" s="63" t="str">
        <f>'Padrão EPP'!C920</f>
        <v>RS</v>
      </c>
      <c r="D920" s="63" t="str">
        <f>'Padrão EPP'!D920</f>
        <v>REDESPACHO</v>
      </c>
      <c r="E920" s="63">
        <f>'Padrão EPP'!E920/2</f>
        <v>13.76713742269405</v>
      </c>
      <c r="F920" s="67">
        <v>3.0000000000000001E-3</v>
      </c>
      <c r="G920" s="67">
        <v>2E-3</v>
      </c>
      <c r="H920" s="63"/>
    </row>
    <row r="921" spans="1:8" x14ac:dyDescent="0.25">
      <c r="A921" s="63"/>
      <c r="B921" s="63">
        <f>'Padrão EPP'!B921</f>
        <v>0.5</v>
      </c>
      <c r="C921" s="63" t="str">
        <f>'Padrão EPP'!C921</f>
        <v>RS</v>
      </c>
      <c r="D921" s="63" t="str">
        <f>'Padrão EPP'!D921</f>
        <v>REDESPACHO</v>
      </c>
      <c r="E921" s="63">
        <f>'Padrão EPP'!E921/2</f>
        <v>14.37732175829165</v>
      </c>
      <c r="F921" s="67">
        <v>3.0000000000000001E-3</v>
      </c>
      <c r="G921" s="67">
        <v>2E-3</v>
      </c>
      <c r="H921" s="63"/>
    </row>
    <row r="922" spans="1:8" x14ac:dyDescent="0.25">
      <c r="A922" s="63"/>
      <c r="B922" s="63">
        <f>'Padrão EPP'!B922</f>
        <v>0.75</v>
      </c>
      <c r="C922" s="63" t="str">
        <f>'Padrão EPP'!C922</f>
        <v>RS</v>
      </c>
      <c r="D922" s="63" t="str">
        <f>'Padrão EPP'!D922</f>
        <v>REDESPACHO</v>
      </c>
      <c r="E922" s="63">
        <f>'Padrão EPP'!E922/2</f>
        <v>14.872550544720296</v>
      </c>
      <c r="F922" s="67">
        <v>3.0000000000000001E-3</v>
      </c>
      <c r="G922" s="67">
        <v>2E-3</v>
      </c>
      <c r="H922" s="63"/>
    </row>
    <row r="923" spans="1:8" x14ac:dyDescent="0.25">
      <c r="A923" s="63"/>
      <c r="B923" s="63">
        <f>'Padrão EPP'!B923</f>
        <v>1</v>
      </c>
      <c r="C923" s="63" t="str">
        <f>'Padrão EPP'!C923</f>
        <v>RS</v>
      </c>
      <c r="D923" s="63" t="str">
        <f>'Padrão EPP'!D923</f>
        <v>REDESPACHO</v>
      </c>
      <c r="E923" s="63">
        <f>'Padrão EPP'!E923/2</f>
        <v>15.70020534134291</v>
      </c>
      <c r="F923" s="67">
        <v>3.0000000000000001E-3</v>
      </c>
      <c r="G923" s="67">
        <v>2E-3</v>
      </c>
      <c r="H923" s="63"/>
    </row>
    <row r="924" spans="1:8" x14ac:dyDescent="0.25">
      <c r="A924" s="63"/>
      <c r="B924" s="63">
        <f>'Padrão EPP'!B924</f>
        <v>2</v>
      </c>
      <c r="C924" s="63" t="str">
        <f>'Padrão EPP'!C924</f>
        <v>RS</v>
      </c>
      <c r="D924" s="63" t="str">
        <f>'Padrão EPP'!D924</f>
        <v>REDESPACHO</v>
      </c>
      <c r="E924" s="63">
        <f>'Padrão EPP'!E924/2</f>
        <v>17.027927767911351</v>
      </c>
      <c r="F924" s="67">
        <v>3.0000000000000001E-3</v>
      </c>
      <c r="G924" s="67">
        <v>2E-3</v>
      </c>
      <c r="H924" s="63"/>
    </row>
    <row r="925" spans="1:8" x14ac:dyDescent="0.25">
      <c r="A925" s="63"/>
      <c r="B925" s="63">
        <f>'Padrão EPP'!B925</f>
        <v>3</v>
      </c>
      <c r="C925" s="63" t="str">
        <f>'Padrão EPP'!C925</f>
        <v>RS</v>
      </c>
      <c r="D925" s="63" t="str">
        <f>'Padrão EPP'!D925</f>
        <v>REDESPACHO</v>
      </c>
      <c r="E925" s="63">
        <f>'Padrão EPP'!E925/2</f>
        <v>21.28440418216179</v>
      </c>
      <c r="F925" s="67">
        <v>3.0000000000000001E-3</v>
      </c>
      <c r="G925" s="67">
        <v>2E-3</v>
      </c>
      <c r="H925" s="63"/>
    </row>
    <row r="926" spans="1:8" x14ac:dyDescent="0.25">
      <c r="A926" s="63"/>
      <c r="B926" s="63">
        <f>'Padrão EPP'!B926</f>
        <v>4</v>
      </c>
      <c r="C926" s="63" t="str">
        <f>'Padrão EPP'!C926</f>
        <v>RS</v>
      </c>
      <c r="D926" s="63" t="str">
        <f>'Padrão EPP'!D926</f>
        <v>REDESPACHO</v>
      </c>
      <c r="E926" s="63">
        <f>'Padrão EPP'!E926/2</f>
        <v>23.712365232599758</v>
      </c>
      <c r="F926" s="67">
        <v>3.0000000000000001E-3</v>
      </c>
      <c r="G926" s="67">
        <v>2E-3</v>
      </c>
      <c r="H926" s="63"/>
    </row>
    <row r="927" spans="1:8" x14ac:dyDescent="0.25">
      <c r="A927" s="63"/>
      <c r="B927" s="63">
        <f>'Padrão EPP'!B927</f>
        <v>5</v>
      </c>
      <c r="C927" s="63" t="str">
        <f>'Padrão EPP'!C927</f>
        <v>RS</v>
      </c>
      <c r="D927" s="63" t="str">
        <f>'Padrão EPP'!D927</f>
        <v>REDESPACHO</v>
      </c>
      <c r="E927" s="63">
        <f>'Padrão EPP'!E927/2</f>
        <v>26.250671093409835</v>
      </c>
      <c r="F927" s="67">
        <v>3.0000000000000001E-3</v>
      </c>
      <c r="G927" s="67">
        <v>2E-3</v>
      </c>
      <c r="H927" s="63"/>
    </row>
    <row r="928" spans="1:8" x14ac:dyDescent="0.25">
      <c r="A928" s="63"/>
      <c r="B928" s="63">
        <f>'Padrão EPP'!B928</f>
        <v>6</v>
      </c>
      <c r="C928" s="63" t="str">
        <f>'Padrão EPP'!C928</f>
        <v>RS</v>
      </c>
      <c r="D928" s="63" t="str">
        <f>'Padrão EPP'!D928</f>
        <v>REDESPACHO</v>
      </c>
      <c r="E928" s="63">
        <f>'Padrão EPP'!E928/2</f>
        <v>28.910356245629245</v>
      </c>
      <c r="F928" s="67">
        <v>3.0000000000000001E-3</v>
      </c>
      <c r="G928" s="67">
        <v>2E-3</v>
      </c>
      <c r="H928" s="63"/>
    </row>
    <row r="929" spans="1:8" x14ac:dyDescent="0.25">
      <c r="A929" s="63"/>
      <c r="B929" s="63">
        <f>'Padrão EPP'!B929</f>
        <v>7</v>
      </c>
      <c r="C929" s="63" t="str">
        <f>'Padrão EPP'!C929</f>
        <v>RS</v>
      </c>
      <c r="D929" s="63" t="str">
        <f>'Padrão EPP'!D929</f>
        <v>REDESPACHO</v>
      </c>
      <c r="E929" s="63">
        <f>'Padrão EPP'!E929/2</f>
        <v>31.9700470517976</v>
      </c>
      <c r="F929" s="67">
        <v>3.0000000000000001E-3</v>
      </c>
      <c r="G929" s="67">
        <v>2E-3</v>
      </c>
      <c r="H929" s="63"/>
    </row>
    <row r="930" spans="1:8" x14ac:dyDescent="0.25">
      <c r="A930" s="63"/>
      <c r="B930" s="63">
        <f>'Padrão EPP'!B930</f>
        <v>8</v>
      </c>
      <c r="C930" s="63" t="str">
        <f>'Padrão EPP'!C930</f>
        <v>RS</v>
      </c>
      <c r="D930" s="63" t="str">
        <f>'Padrão EPP'!D930</f>
        <v>REDESPACHO</v>
      </c>
      <c r="E930" s="63">
        <f>'Padrão EPP'!E930/2</f>
        <v>35.20543184840048</v>
      </c>
      <c r="F930" s="67">
        <v>3.0000000000000001E-3</v>
      </c>
      <c r="G930" s="67">
        <v>2E-3</v>
      </c>
      <c r="H930" s="63"/>
    </row>
    <row r="931" spans="1:8" x14ac:dyDescent="0.25">
      <c r="A931" s="63"/>
      <c r="B931" s="63">
        <f>'Padrão EPP'!B931</f>
        <v>9</v>
      </c>
      <c r="C931" s="63" t="str">
        <f>'Padrão EPP'!C931</f>
        <v>RS</v>
      </c>
      <c r="D931" s="63" t="str">
        <f>'Padrão EPP'!D931</f>
        <v>REDESPACHO</v>
      </c>
      <c r="E931" s="63">
        <f>'Padrão EPP'!E931/2</f>
        <v>38.602372481869175</v>
      </c>
      <c r="F931" s="67">
        <v>3.0000000000000001E-3</v>
      </c>
      <c r="G931" s="67">
        <v>2E-3</v>
      </c>
      <c r="H931" s="63"/>
    </row>
    <row r="932" spans="1:8" x14ac:dyDescent="0.25">
      <c r="A932" s="63"/>
      <c r="B932" s="63">
        <f>'Padrão EPP'!B932</f>
        <v>10</v>
      </c>
      <c r="C932" s="63" t="str">
        <f>'Padrão EPP'!C932</f>
        <v>RS</v>
      </c>
      <c r="D932" s="63" t="str">
        <f>'Padrão EPP'!D932</f>
        <v>REDESPACHO</v>
      </c>
      <c r="E932" s="63">
        <f>'Padrão EPP'!E932/2</f>
        <v>42.177024535890247</v>
      </c>
      <c r="F932" s="67">
        <v>3.0000000000000001E-3</v>
      </c>
      <c r="G932" s="67">
        <v>2E-3</v>
      </c>
      <c r="H932" s="63"/>
    </row>
    <row r="933" spans="1:8" x14ac:dyDescent="0.25">
      <c r="A933" s="63"/>
      <c r="B933" s="63">
        <f>'Padrão EPP'!B933</f>
        <v>11</v>
      </c>
      <c r="C933" s="63" t="str">
        <f>'Padrão EPP'!C933</f>
        <v>RS</v>
      </c>
      <c r="D933" s="63" t="str">
        <f>'Padrão EPP'!D933</f>
        <v>REDESPACHO</v>
      </c>
      <c r="E933" s="63">
        <f>'Padrão EPP'!E933/2</f>
        <v>0</v>
      </c>
      <c r="F933" s="67">
        <v>3.0000000000000001E-3</v>
      </c>
      <c r="G933" s="67">
        <v>2E-3</v>
      </c>
      <c r="H933" s="63"/>
    </row>
    <row r="934" spans="1:8" x14ac:dyDescent="0.25">
      <c r="A934" s="63"/>
      <c r="B934" s="63">
        <f>'Padrão EPP'!B934</f>
        <v>12</v>
      </c>
      <c r="C934" s="63" t="str">
        <f>'Padrão EPP'!C934</f>
        <v>RS</v>
      </c>
      <c r="D934" s="63" t="str">
        <f>'Padrão EPP'!D934</f>
        <v>REDESPACHO</v>
      </c>
      <c r="E934" s="63">
        <f>'Padrão EPP'!E934/2</f>
        <v>0</v>
      </c>
      <c r="F934" s="67">
        <v>3.0000000000000001E-3</v>
      </c>
      <c r="G934" s="67">
        <v>2E-3</v>
      </c>
      <c r="H934" s="63"/>
    </row>
    <row r="935" spans="1:8" x14ac:dyDescent="0.25">
      <c r="A935" s="63"/>
      <c r="B935" s="63">
        <f>'Padrão EPP'!B935</f>
        <v>13</v>
      </c>
      <c r="C935" s="63" t="str">
        <f>'Padrão EPP'!C935</f>
        <v>RS</v>
      </c>
      <c r="D935" s="63" t="str">
        <f>'Padrão EPP'!D935</f>
        <v>REDESPACHO</v>
      </c>
      <c r="E935" s="63">
        <f>'Padrão EPP'!E935/2</f>
        <v>0</v>
      </c>
      <c r="F935" s="67">
        <v>3.0000000000000001E-3</v>
      </c>
      <c r="G935" s="67">
        <v>2E-3</v>
      </c>
      <c r="H935" s="63"/>
    </row>
    <row r="936" spans="1:8" x14ac:dyDescent="0.25">
      <c r="A936" s="63"/>
      <c r="B936" s="63">
        <f>'Padrão EPP'!B936</f>
        <v>14</v>
      </c>
      <c r="C936" s="63" t="str">
        <f>'Padrão EPP'!C936</f>
        <v>RS</v>
      </c>
      <c r="D936" s="63" t="str">
        <f>'Padrão EPP'!D936</f>
        <v>REDESPACHO</v>
      </c>
      <c r="E936" s="63">
        <f>'Padrão EPP'!E936/2</f>
        <v>0</v>
      </c>
      <c r="F936" s="67">
        <v>3.0000000000000001E-3</v>
      </c>
      <c r="G936" s="67">
        <v>2E-3</v>
      </c>
      <c r="H936" s="63"/>
    </row>
    <row r="937" spans="1:8" x14ac:dyDescent="0.25">
      <c r="A937" s="63"/>
      <c r="B937" s="63">
        <f>'Padrão EPP'!B937</f>
        <v>15</v>
      </c>
      <c r="C937" s="63" t="str">
        <f>'Padrão EPP'!C937</f>
        <v>RS</v>
      </c>
      <c r="D937" s="63" t="str">
        <f>'Padrão EPP'!D937</f>
        <v>REDESPACHO</v>
      </c>
      <c r="E937" s="63">
        <f>'Padrão EPP'!E937/2</f>
        <v>0</v>
      </c>
      <c r="F937" s="67">
        <v>3.0000000000000001E-3</v>
      </c>
      <c r="G937" s="67">
        <v>2E-3</v>
      </c>
      <c r="H937" s="63"/>
    </row>
    <row r="938" spans="1:8" x14ac:dyDescent="0.25">
      <c r="A938" s="63"/>
      <c r="B938" s="63">
        <f>'Padrão EPP'!B938</f>
        <v>16</v>
      </c>
      <c r="C938" s="63" t="str">
        <f>'Padrão EPP'!C938</f>
        <v>RS</v>
      </c>
      <c r="D938" s="63" t="str">
        <f>'Padrão EPP'!D938</f>
        <v>REDESPACHO</v>
      </c>
      <c r="E938" s="63">
        <f>'Padrão EPP'!E938/2</f>
        <v>0</v>
      </c>
      <c r="F938" s="67">
        <v>3.0000000000000001E-3</v>
      </c>
      <c r="G938" s="67">
        <v>2E-3</v>
      </c>
      <c r="H938" s="63"/>
    </row>
    <row r="939" spans="1:8" x14ac:dyDescent="0.25">
      <c r="A939" s="63"/>
      <c r="B939" s="63">
        <f>'Padrão EPP'!B939</f>
        <v>17</v>
      </c>
      <c r="C939" s="63" t="str">
        <f>'Padrão EPP'!C939</f>
        <v>RS</v>
      </c>
      <c r="D939" s="63" t="str">
        <f>'Padrão EPP'!D939</f>
        <v>REDESPACHO</v>
      </c>
      <c r="E939" s="63">
        <f>'Padrão EPP'!E939/2</f>
        <v>0</v>
      </c>
      <c r="F939" s="67">
        <v>3.0000000000000001E-3</v>
      </c>
      <c r="G939" s="67">
        <v>2E-3</v>
      </c>
      <c r="H939" s="63"/>
    </row>
    <row r="940" spans="1:8" x14ac:dyDescent="0.25">
      <c r="A940" s="63"/>
      <c r="B940" s="63">
        <f>'Padrão EPP'!B940</f>
        <v>18</v>
      </c>
      <c r="C940" s="63" t="str">
        <f>'Padrão EPP'!C940</f>
        <v>RS</v>
      </c>
      <c r="D940" s="63" t="str">
        <f>'Padrão EPP'!D940</f>
        <v>REDESPACHO</v>
      </c>
      <c r="E940" s="63">
        <f>'Padrão EPP'!E940/2</f>
        <v>0</v>
      </c>
      <c r="F940" s="67">
        <v>3.0000000000000001E-3</v>
      </c>
      <c r="G940" s="67">
        <v>2E-3</v>
      </c>
      <c r="H940" s="63"/>
    </row>
    <row r="941" spans="1:8" x14ac:dyDescent="0.25">
      <c r="A941" s="63"/>
      <c r="B941" s="63">
        <f>'Padrão EPP'!B941</f>
        <v>19</v>
      </c>
      <c r="C941" s="63" t="str">
        <f>'Padrão EPP'!C941</f>
        <v>RS</v>
      </c>
      <c r="D941" s="63" t="str">
        <f>'Padrão EPP'!D941</f>
        <v>REDESPACHO</v>
      </c>
      <c r="E941" s="63">
        <f>'Padrão EPP'!E941/2</f>
        <v>0</v>
      </c>
      <c r="F941" s="67">
        <v>3.0000000000000001E-3</v>
      </c>
      <c r="G941" s="67">
        <v>2E-3</v>
      </c>
      <c r="H941" s="63"/>
    </row>
    <row r="942" spans="1:8" x14ac:dyDescent="0.25">
      <c r="A942" s="63"/>
      <c r="B942" s="63">
        <f>'Padrão EPP'!B942</f>
        <v>20</v>
      </c>
      <c r="C942" s="63" t="str">
        <f>'Padrão EPP'!C942</f>
        <v>RS</v>
      </c>
      <c r="D942" s="63" t="str">
        <f>'Padrão EPP'!D942</f>
        <v>REDESPACHO</v>
      </c>
      <c r="E942" s="63">
        <f>'Padrão EPP'!E942/2</f>
        <v>0</v>
      </c>
      <c r="F942" s="67">
        <v>3.0000000000000001E-3</v>
      </c>
      <c r="G942" s="67">
        <v>2E-3</v>
      </c>
      <c r="H942" s="63"/>
    </row>
    <row r="943" spans="1:8" x14ac:dyDescent="0.25">
      <c r="A943" s="63"/>
      <c r="B943" s="63">
        <f>'Padrão EPP'!B943</f>
        <v>21</v>
      </c>
      <c r="C943" s="63" t="str">
        <f>'Padrão EPP'!C943</f>
        <v>RS</v>
      </c>
      <c r="D943" s="63" t="str">
        <f>'Padrão EPP'!D943</f>
        <v>REDESPACHO</v>
      </c>
      <c r="E943" s="63">
        <f>'Padrão EPP'!E943/2</f>
        <v>0</v>
      </c>
      <c r="F943" s="67">
        <v>3.0000000000000001E-3</v>
      </c>
      <c r="G943" s="67">
        <v>2E-3</v>
      </c>
      <c r="H943" s="63"/>
    </row>
    <row r="944" spans="1:8" x14ac:dyDescent="0.25">
      <c r="A944" s="63"/>
      <c r="B944" s="63">
        <f>'Padrão EPP'!B944</f>
        <v>22</v>
      </c>
      <c r="C944" s="63" t="str">
        <f>'Padrão EPP'!C944</f>
        <v>RS</v>
      </c>
      <c r="D944" s="63" t="str">
        <f>'Padrão EPP'!D944</f>
        <v>REDESPACHO</v>
      </c>
      <c r="E944" s="63">
        <f>'Padrão EPP'!E944/2</f>
        <v>0</v>
      </c>
      <c r="F944" s="67">
        <v>3.0000000000000001E-3</v>
      </c>
      <c r="G944" s="67">
        <v>2E-3</v>
      </c>
      <c r="H944" s="63"/>
    </row>
    <row r="945" spans="1:8" x14ac:dyDescent="0.25">
      <c r="A945" s="63"/>
      <c r="B945" s="63">
        <f>'Padrão EPP'!B945</f>
        <v>23</v>
      </c>
      <c r="C945" s="63" t="str">
        <f>'Padrão EPP'!C945</f>
        <v>RS</v>
      </c>
      <c r="D945" s="63" t="str">
        <f>'Padrão EPP'!D945</f>
        <v>REDESPACHO</v>
      </c>
      <c r="E945" s="63">
        <f>'Padrão EPP'!E945/2</f>
        <v>0</v>
      </c>
      <c r="F945" s="67">
        <v>3.0000000000000001E-3</v>
      </c>
      <c r="G945" s="67">
        <v>2E-3</v>
      </c>
      <c r="H945" s="63"/>
    </row>
    <row r="946" spans="1:8" x14ac:dyDescent="0.25">
      <c r="A946" s="63"/>
      <c r="B946" s="63">
        <f>'Padrão EPP'!B946</f>
        <v>24</v>
      </c>
      <c r="C946" s="63" t="str">
        <f>'Padrão EPP'!C946</f>
        <v>RS</v>
      </c>
      <c r="D946" s="63" t="str">
        <f>'Padrão EPP'!D946</f>
        <v>REDESPACHO</v>
      </c>
      <c r="E946" s="63">
        <f>'Padrão EPP'!E946/2</f>
        <v>0</v>
      </c>
      <c r="F946" s="67">
        <v>3.0000000000000001E-3</v>
      </c>
      <c r="G946" s="67">
        <v>2E-3</v>
      </c>
      <c r="H946" s="63"/>
    </row>
    <row r="947" spans="1:8" x14ac:dyDescent="0.25">
      <c r="A947" s="63"/>
      <c r="B947" s="63">
        <f>'Padrão EPP'!B947</f>
        <v>25</v>
      </c>
      <c r="C947" s="63" t="str">
        <f>'Padrão EPP'!C947</f>
        <v>RS</v>
      </c>
      <c r="D947" s="63" t="str">
        <f>'Padrão EPP'!D947</f>
        <v>REDESPACHO</v>
      </c>
      <c r="E947" s="63">
        <f>'Padrão EPP'!E947/2</f>
        <v>0</v>
      </c>
      <c r="F947" s="67">
        <v>3.0000000000000001E-3</v>
      </c>
      <c r="G947" s="67">
        <v>2E-3</v>
      </c>
      <c r="H947" s="63"/>
    </row>
    <row r="948" spans="1:8" x14ac:dyDescent="0.25">
      <c r="A948" s="63"/>
      <c r="B948" s="63">
        <f>'Padrão EPP'!B948</f>
        <v>26</v>
      </c>
      <c r="C948" s="63" t="str">
        <f>'Padrão EPP'!C948</f>
        <v>RS</v>
      </c>
      <c r="D948" s="63" t="str">
        <f>'Padrão EPP'!D948</f>
        <v>REDESPACHO</v>
      </c>
      <c r="E948" s="63">
        <f>'Padrão EPP'!E948/2</f>
        <v>0</v>
      </c>
      <c r="F948" s="67">
        <v>3.0000000000000001E-3</v>
      </c>
      <c r="G948" s="67">
        <v>2E-3</v>
      </c>
      <c r="H948" s="63"/>
    </row>
    <row r="949" spans="1:8" x14ac:dyDescent="0.25">
      <c r="A949" s="63"/>
      <c r="B949" s="63">
        <f>'Padrão EPP'!B949</f>
        <v>27</v>
      </c>
      <c r="C949" s="63" t="str">
        <f>'Padrão EPP'!C949</f>
        <v>RS</v>
      </c>
      <c r="D949" s="63" t="str">
        <f>'Padrão EPP'!D949</f>
        <v>REDESPACHO</v>
      </c>
      <c r="E949" s="63">
        <f>'Padrão EPP'!E949/2</f>
        <v>0</v>
      </c>
      <c r="F949" s="67">
        <v>3.0000000000000001E-3</v>
      </c>
      <c r="G949" s="67">
        <v>2E-3</v>
      </c>
      <c r="H949" s="63"/>
    </row>
    <row r="950" spans="1:8" x14ac:dyDescent="0.25">
      <c r="A950" s="63"/>
      <c r="B950" s="63">
        <f>'Padrão EPP'!B950</f>
        <v>28</v>
      </c>
      <c r="C950" s="63" t="str">
        <f>'Padrão EPP'!C950</f>
        <v>RS</v>
      </c>
      <c r="D950" s="63" t="str">
        <f>'Padrão EPP'!D950</f>
        <v>REDESPACHO</v>
      </c>
      <c r="E950" s="63">
        <f>'Padrão EPP'!E950/2</f>
        <v>0</v>
      </c>
      <c r="F950" s="67">
        <v>3.0000000000000001E-3</v>
      </c>
      <c r="G950" s="67">
        <v>2E-3</v>
      </c>
      <c r="H950" s="63"/>
    </row>
    <row r="951" spans="1:8" x14ac:dyDescent="0.25">
      <c r="A951" s="63"/>
      <c r="B951" s="63">
        <f>'Padrão EPP'!B951</f>
        <v>29</v>
      </c>
      <c r="C951" s="63" t="str">
        <f>'Padrão EPP'!C951</f>
        <v>RS</v>
      </c>
      <c r="D951" s="63" t="str">
        <f>'Padrão EPP'!D951</f>
        <v>REDESPACHO</v>
      </c>
      <c r="E951" s="63">
        <f>'Padrão EPP'!E951/2</f>
        <v>0</v>
      </c>
      <c r="F951" s="67">
        <v>3.0000000000000001E-3</v>
      </c>
      <c r="G951" s="67">
        <v>2E-3</v>
      </c>
      <c r="H951" s="63"/>
    </row>
    <row r="952" spans="1:8" x14ac:dyDescent="0.25">
      <c r="A952" s="63"/>
      <c r="B952" s="63">
        <f>'Padrão EPP'!B952</f>
        <v>30</v>
      </c>
      <c r="C952" s="63" t="str">
        <f>'Padrão EPP'!C952</f>
        <v>RS</v>
      </c>
      <c r="D952" s="63" t="str">
        <f>'Padrão EPP'!D952</f>
        <v>REDESPACHO</v>
      </c>
      <c r="E952" s="63">
        <f>'Padrão EPP'!E952/2</f>
        <v>0</v>
      </c>
      <c r="F952" s="67">
        <v>3.0000000000000001E-3</v>
      </c>
      <c r="G952" s="67">
        <v>2E-3</v>
      </c>
      <c r="H952" s="63"/>
    </row>
    <row r="953" spans="1:8" x14ac:dyDescent="0.25">
      <c r="A953" s="63"/>
      <c r="B953" s="63">
        <f>'Padrão EPP'!B953</f>
        <v>0</v>
      </c>
      <c r="C953" s="63" t="str">
        <f>'Padrão EPP'!C953</f>
        <v>RS</v>
      </c>
      <c r="D953" s="63" t="str">
        <f>'Padrão EPP'!D953</f>
        <v>REDESPACHO</v>
      </c>
      <c r="E953" s="63">
        <f>'Padrão EPP'!E953/2</f>
        <v>1.5214394455252955</v>
      </c>
      <c r="F953" s="67">
        <v>3.0000000000000001E-3</v>
      </c>
      <c r="G953" s="67">
        <v>2E-3</v>
      </c>
      <c r="H953" s="63"/>
    </row>
    <row r="954" spans="1:8" x14ac:dyDescent="0.25">
      <c r="A954" s="63"/>
      <c r="B954" s="63">
        <f>'Padrão EPP'!B954</f>
        <v>0.25</v>
      </c>
      <c r="C954" s="63" t="str">
        <f>'Padrão EPP'!C954</f>
        <v>DF</v>
      </c>
      <c r="D954" s="63" t="str">
        <f>'Padrão EPP'!D954</f>
        <v>CAPITAL</v>
      </c>
      <c r="E954" s="63">
        <f>'Padrão EPP'!E954/2</f>
        <v>5.5037847462811316</v>
      </c>
      <c r="F954" s="67">
        <v>3.0000000000000001E-3</v>
      </c>
      <c r="G954" s="67">
        <v>2E-3</v>
      </c>
      <c r="H954" s="63"/>
    </row>
    <row r="955" spans="1:8" x14ac:dyDescent="0.25">
      <c r="A955" s="63"/>
      <c r="B955" s="63">
        <f>'Padrão EPP'!B955</f>
        <v>0.5</v>
      </c>
      <c r="C955" s="63" t="str">
        <f>'Padrão EPP'!C955</f>
        <v>DF</v>
      </c>
      <c r="D955" s="63" t="str">
        <f>'Padrão EPP'!D955</f>
        <v>CAPITAL</v>
      </c>
      <c r="E955" s="63">
        <f>'Padrão EPP'!E955/2</f>
        <v>5.7276926188227568</v>
      </c>
      <c r="F955" s="67">
        <v>3.0000000000000001E-3</v>
      </c>
      <c r="G955" s="67">
        <v>2E-3</v>
      </c>
      <c r="H955" s="63"/>
    </row>
    <row r="956" spans="1:8" x14ac:dyDescent="0.25">
      <c r="A956" s="63"/>
      <c r="B956" s="63">
        <f>'Padrão EPP'!B956</f>
        <v>0.75</v>
      </c>
      <c r="C956" s="63" t="str">
        <f>'Padrão EPP'!C956</f>
        <v>DF</v>
      </c>
      <c r="D956" s="63" t="str">
        <f>'Padrão EPP'!D956</f>
        <v>CAPITAL</v>
      </c>
      <c r="E956" s="63">
        <f>'Padrão EPP'!E956/2</f>
        <v>5.9518651731456629</v>
      </c>
      <c r="F956" s="67">
        <v>3.0000000000000001E-3</v>
      </c>
      <c r="G956" s="67">
        <v>2E-3</v>
      </c>
      <c r="H956" s="63"/>
    </row>
    <row r="957" spans="1:8" x14ac:dyDescent="0.25">
      <c r="A957" s="63"/>
      <c r="B957" s="63">
        <f>'Padrão EPP'!B957</f>
        <v>1</v>
      </c>
      <c r="C957" s="63" t="str">
        <f>'Padrão EPP'!C957</f>
        <v>DF</v>
      </c>
      <c r="D957" s="63" t="str">
        <f>'Padrão EPP'!D957</f>
        <v>CAPITAL</v>
      </c>
      <c r="E957" s="63">
        <f>'Padrão EPP'!E957/2</f>
        <v>6.4132317499299853</v>
      </c>
      <c r="F957" s="67">
        <v>3.0000000000000001E-3</v>
      </c>
      <c r="G957" s="67">
        <v>2E-3</v>
      </c>
      <c r="H957" s="63"/>
    </row>
    <row r="958" spans="1:8" x14ac:dyDescent="0.25">
      <c r="A958" s="63"/>
      <c r="B958" s="63">
        <f>'Padrão EPP'!B958</f>
        <v>2</v>
      </c>
      <c r="C958" s="63" t="str">
        <f>'Padrão EPP'!C958</f>
        <v>DF</v>
      </c>
      <c r="D958" s="63" t="str">
        <f>'Padrão EPP'!D958</f>
        <v>CAPITAL</v>
      </c>
      <c r="E958" s="63">
        <f>'Padrão EPP'!E958/2</f>
        <v>8.0004876702365735</v>
      </c>
      <c r="F958" s="67">
        <v>3.0000000000000001E-3</v>
      </c>
      <c r="G958" s="67">
        <v>2E-3</v>
      </c>
      <c r="H958" s="63"/>
    </row>
    <row r="959" spans="1:8" x14ac:dyDescent="0.25">
      <c r="A959" s="63"/>
      <c r="B959" s="63">
        <f>'Padrão EPP'!B959</f>
        <v>3</v>
      </c>
      <c r="C959" s="63" t="str">
        <f>'Padrão EPP'!C959</f>
        <v>DF</v>
      </c>
      <c r="D959" s="63" t="str">
        <f>'Padrão EPP'!D959</f>
        <v>CAPITAL</v>
      </c>
      <c r="E959" s="63">
        <f>'Padrão EPP'!E959/2</f>
        <v>9.4025275419945853</v>
      </c>
      <c r="F959" s="67">
        <v>3.0000000000000001E-3</v>
      </c>
      <c r="G959" s="67">
        <v>2E-3</v>
      </c>
      <c r="H959" s="63"/>
    </row>
    <row r="960" spans="1:8" x14ac:dyDescent="0.25">
      <c r="A960" s="63"/>
      <c r="B960" s="63">
        <f>'Padrão EPP'!B960</f>
        <v>4</v>
      </c>
      <c r="C960" s="63" t="str">
        <f>'Padrão EPP'!C960</f>
        <v>DF</v>
      </c>
      <c r="D960" s="63" t="str">
        <f>'Padrão EPP'!D960</f>
        <v>CAPITAL</v>
      </c>
      <c r="E960" s="63">
        <f>'Padrão EPP'!E960/2</f>
        <v>10.959151948253893</v>
      </c>
      <c r="F960" s="67">
        <v>3.0000000000000001E-3</v>
      </c>
      <c r="G960" s="67">
        <v>2E-3</v>
      </c>
      <c r="H960" s="63"/>
    </row>
    <row r="961" spans="1:8" x14ac:dyDescent="0.25">
      <c r="A961" s="63"/>
      <c r="B961" s="63">
        <f>'Padrão EPP'!B961</f>
        <v>5</v>
      </c>
      <c r="C961" s="63" t="str">
        <f>'Padrão EPP'!C961</f>
        <v>DF</v>
      </c>
      <c r="D961" s="63" t="str">
        <f>'Padrão EPP'!D961</f>
        <v>CAPITAL</v>
      </c>
      <c r="E961" s="63">
        <f>'Padrão EPP'!E961/2</f>
        <v>12.634885249604109</v>
      </c>
      <c r="F961" s="67">
        <v>3.0000000000000001E-3</v>
      </c>
      <c r="G961" s="67">
        <v>2E-3</v>
      </c>
      <c r="H961" s="63"/>
    </row>
    <row r="962" spans="1:8" x14ac:dyDescent="0.25">
      <c r="A962" s="63"/>
      <c r="B962" s="63">
        <f>'Padrão EPP'!B962</f>
        <v>6</v>
      </c>
      <c r="C962" s="63" t="str">
        <f>'Padrão EPP'!C962</f>
        <v>DF</v>
      </c>
      <c r="D962" s="63" t="str">
        <f>'Padrão EPP'!D962</f>
        <v>CAPITAL</v>
      </c>
      <c r="E962" s="63">
        <f>'Padrão EPP'!E962/2</f>
        <v>15.237063238951425</v>
      </c>
      <c r="F962" s="67">
        <v>3.0000000000000001E-3</v>
      </c>
      <c r="G962" s="67">
        <v>2E-3</v>
      </c>
      <c r="H962" s="63"/>
    </row>
    <row r="963" spans="1:8" x14ac:dyDescent="0.25">
      <c r="A963" s="63"/>
      <c r="B963" s="63">
        <f>'Padrão EPP'!B963</f>
        <v>7</v>
      </c>
      <c r="C963" s="63" t="str">
        <f>'Padrão EPP'!C963</f>
        <v>DF</v>
      </c>
      <c r="D963" s="63" t="str">
        <f>'Padrão EPP'!D963</f>
        <v>CAPITAL</v>
      </c>
      <c r="E963" s="63">
        <f>'Padrão EPP'!E963/2</f>
        <v>16.680602804666435</v>
      </c>
      <c r="F963" s="67">
        <v>3.0000000000000001E-3</v>
      </c>
      <c r="G963" s="67">
        <v>2E-3</v>
      </c>
      <c r="H963" s="63"/>
    </row>
    <row r="964" spans="1:8" x14ac:dyDescent="0.25">
      <c r="A964" s="63"/>
      <c r="B964" s="63">
        <f>'Padrão EPP'!B964</f>
        <v>8</v>
      </c>
      <c r="C964" s="63" t="str">
        <f>'Padrão EPP'!C964</f>
        <v>DF</v>
      </c>
      <c r="D964" s="63" t="str">
        <f>'Padrão EPP'!D964</f>
        <v>CAPITAL</v>
      </c>
      <c r="E964" s="63">
        <f>'Padrão EPP'!E964/2</f>
        <v>18.619645514242865</v>
      </c>
      <c r="F964" s="67">
        <v>3.0000000000000001E-3</v>
      </c>
      <c r="G964" s="67">
        <v>2E-3</v>
      </c>
      <c r="H964" s="63"/>
    </row>
    <row r="965" spans="1:8" x14ac:dyDescent="0.25">
      <c r="A965" s="63"/>
      <c r="B965" s="63">
        <f>'Padrão EPP'!B965</f>
        <v>9</v>
      </c>
      <c r="C965" s="63" t="str">
        <f>'Padrão EPP'!C965</f>
        <v>DF</v>
      </c>
      <c r="D965" s="63" t="str">
        <f>'Padrão EPP'!D965</f>
        <v>CAPITAL</v>
      </c>
      <c r="E965" s="63">
        <f>'Padrão EPP'!E965/2</f>
        <v>20.158738793753407</v>
      </c>
      <c r="F965" s="67">
        <v>3.0000000000000001E-3</v>
      </c>
      <c r="G965" s="67">
        <v>2E-3</v>
      </c>
      <c r="H965" s="63"/>
    </row>
    <row r="966" spans="1:8" x14ac:dyDescent="0.25">
      <c r="A966" s="63"/>
      <c r="B966" s="63">
        <f>'Padrão EPP'!B966</f>
        <v>10</v>
      </c>
      <c r="C966" s="63" t="str">
        <f>'Padrão EPP'!C966</f>
        <v>DF</v>
      </c>
      <c r="D966" s="63" t="str">
        <f>'Padrão EPP'!D966</f>
        <v>CAPITAL</v>
      </c>
      <c r="E966" s="63">
        <f>'Padrão EPP'!E966/2</f>
        <v>21.467378616448098</v>
      </c>
      <c r="F966" s="67">
        <v>3.0000000000000001E-3</v>
      </c>
      <c r="G966" s="67">
        <v>2E-3</v>
      </c>
      <c r="H966" s="63"/>
    </row>
    <row r="967" spans="1:8" x14ac:dyDescent="0.25">
      <c r="A967" s="63"/>
      <c r="B967" s="63">
        <f>'Padrão EPP'!B967</f>
        <v>11</v>
      </c>
      <c r="C967" s="63" t="str">
        <f>'Padrão EPP'!C967</f>
        <v>DF</v>
      </c>
      <c r="D967" s="63" t="str">
        <f>'Padrão EPP'!D967</f>
        <v>CAPITAL</v>
      </c>
      <c r="E967" s="63">
        <f>'Padrão EPP'!E967/2</f>
        <v>0</v>
      </c>
      <c r="F967" s="67">
        <v>3.0000000000000001E-3</v>
      </c>
      <c r="G967" s="67">
        <v>2E-3</v>
      </c>
      <c r="H967" s="63"/>
    </row>
    <row r="968" spans="1:8" x14ac:dyDescent="0.25">
      <c r="A968" s="63"/>
      <c r="B968" s="63">
        <f>'Padrão EPP'!B968</f>
        <v>12</v>
      </c>
      <c r="C968" s="63" t="str">
        <f>'Padrão EPP'!C968</f>
        <v>DF</v>
      </c>
      <c r="D968" s="63" t="str">
        <f>'Padrão EPP'!D968</f>
        <v>CAPITAL</v>
      </c>
      <c r="E968" s="63">
        <f>'Padrão EPP'!E968/2</f>
        <v>0</v>
      </c>
      <c r="F968" s="67">
        <v>3.0000000000000001E-3</v>
      </c>
      <c r="G968" s="67">
        <v>2E-3</v>
      </c>
      <c r="H968" s="63"/>
    </row>
    <row r="969" spans="1:8" x14ac:dyDescent="0.25">
      <c r="A969" s="63"/>
      <c r="B969" s="63">
        <f>'Padrão EPP'!B969</f>
        <v>13</v>
      </c>
      <c r="C969" s="63" t="str">
        <f>'Padrão EPP'!C969</f>
        <v>DF</v>
      </c>
      <c r="D969" s="63" t="str">
        <f>'Padrão EPP'!D969</f>
        <v>CAPITAL</v>
      </c>
      <c r="E969" s="63">
        <f>'Padrão EPP'!E969/2</f>
        <v>0</v>
      </c>
      <c r="F969" s="67">
        <v>3.0000000000000001E-3</v>
      </c>
      <c r="G969" s="67">
        <v>2E-3</v>
      </c>
      <c r="H969" s="63"/>
    </row>
    <row r="970" spans="1:8" x14ac:dyDescent="0.25">
      <c r="A970" s="63"/>
      <c r="B970" s="63">
        <f>'Padrão EPP'!B970</f>
        <v>14</v>
      </c>
      <c r="C970" s="63" t="str">
        <f>'Padrão EPP'!C970</f>
        <v>DF</v>
      </c>
      <c r="D970" s="63" t="str">
        <f>'Padrão EPP'!D970</f>
        <v>CAPITAL</v>
      </c>
      <c r="E970" s="63">
        <f>'Padrão EPP'!E970/2</f>
        <v>0</v>
      </c>
      <c r="F970" s="67">
        <v>3.0000000000000001E-3</v>
      </c>
      <c r="G970" s="67">
        <v>2E-3</v>
      </c>
      <c r="H970" s="63"/>
    </row>
    <row r="971" spans="1:8" x14ac:dyDescent="0.25">
      <c r="A971" s="63"/>
      <c r="B971" s="63">
        <f>'Padrão EPP'!B971</f>
        <v>15</v>
      </c>
      <c r="C971" s="63" t="str">
        <f>'Padrão EPP'!C971</f>
        <v>DF</v>
      </c>
      <c r="D971" s="63" t="str">
        <f>'Padrão EPP'!D971</f>
        <v>CAPITAL</v>
      </c>
      <c r="E971" s="63">
        <f>'Padrão EPP'!E971/2</f>
        <v>0</v>
      </c>
      <c r="F971" s="67">
        <v>3.0000000000000001E-3</v>
      </c>
      <c r="G971" s="67">
        <v>2E-3</v>
      </c>
      <c r="H971" s="63"/>
    </row>
    <row r="972" spans="1:8" x14ac:dyDescent="0.25">
      <c r="A972" s="63"/>
      <c r="B972" s="63">
        <f>'Padrão EPP'!B972</f>
        <v>16</v>
      </c>
      <c r="C972" s="63" t="str">
        <f>'Padrão EPP'!C972</f>
        <v>DF</v>
      </c>
      <c r="D972" s="63" t="str">
        <f>'Padrão EPP'!D972</f>
        <v>CAPITAL</v>
      </c>
      <c r="E972" s="63">
        <f>'Padrão EPP'!E972/2</f>
        <v>0</v>
      </c>
      <c r="F972" s="67">
        <v>3.0000000000000001E-3</v>
      </c>
      <c r="G972" s="67">
        <v>2E-3</v>
      </c>
      <c r="H972" s="63"/>
    </row>
    <row r="973" spans="1:8" x14ac:dyDescent="0.25">
      <c r="A973" s="63"/>
      <c r="B973" s="63">
        <f>'Padrão EPP'!B973</f>
        <v>17</v>
      </c>
      <c r="C973" s="63" t="str">
        <f>'Padrão EPP'!C973</f>
        <v>DF</v>
      </c>
      <c r="D973" s="63" t="str">
        <f>'Padrão EPP'!D973</f>
        <v>CAPITAL</v>
      </c>
      <c r="E973" s="63">
        <f>'Padrão EPP'!E973/2</f>
        <v>0</v>
      </c>
      <c r="F973" s="67">
        <v>3.0000000000000001E-3</v>
      </c>
      <c r="G973" s="67">
        <v>2E-3</v>
      </c>
      <c r="H973" s="63"/>
    </row>
    <row r="974" spans="1:8" x14ac:dyDescent="0.25">
      <c r="A974" s="63"/>
      <c r="B974" s="63">
        <f>'Padrão EPP'!B974</f>
        <v>18</v>
      </c>
      <c r="C974" s="63" t="str">
        <f>'Padrão EPP'!C974</f>
        <v>DF</v>
      </c>
      <c r="D974" s="63" t="str">
        <f>'Padrão EPP'!D974</f>
        <v>CAPITAL</v>
      </c>
      <c r="E974" s="63">
        <f>'Padrão EPP'!E974/2</f>
        <v>0</v>
      </c>
      <c r="F974" s="67">
        <v>3.0000000000000001E-3</v>
      </c>
      <c r="G974" s="67">
        <v>2E-3</v>
      </c>
      <c r="H974" s="63"/>
    </row>
    <row r="975" spans="1:8" x14ac:dyDescent="0.25">
      <c r="A975" s="63"/>
      <c r="B975" s="63">
        <f>'Padrão EPP'!B975</f>
        <v>19</v>
      </c>
      <c r="C975" s="63" t="str">
        <f>'Padrão EPP'!C975</f>
        <v>DF</v>
      </c>
      <c r="D975" s="63" t="str">
        <f>'Padrão EPP'!D975</f>
        <v>CAPITAL</v>
      </c>
      <c r="E975" s="63">
        <f>'Padrão EPP'!E975/2</f>
        <v>0</v>
      </c>
      <c r="F975" s="67">
        <v>3.0000000000000001E-3</v>
      </c>
      <c r="G975" s="67">
        <v>2E-3</v>
      </c>
      <c r="H975" s="63"/>
    </row>
    <row r="976" spans="1:8" x14ac:dyDescent="0.25">
      <c r="A976" s="63"/>
      <c r="B976" s="63">
        <f>'Padrão EPP'!B976</f>
        <v>20</v>
      </c>
      <c r="C976" s="63" t="str">
        <f>'Padrão EPP'!C976</f>
        <v>DF</v>
      </c>
      <c r="D976" s="63" t="str">
        <f>'Padrão EPP'!D976</f>
        <v>CAPITAL</v>
      </c>
      <c r="E976" s="63">
        <f>'Padrão EPP'!E976/2</f>
        <v>0</v>
      </c>
      <c r="F976" s="67">
        <v>3.0000000000000001E-3</v>
      </c>
      <c r="G976" s="67">
        <v>2E-3</v>
      </c>
      <c r="H976" s="63"/>
    </row>
    <row r="977" spans="1:8" x14ac:dyDescent="0.25">
      <c r="A977" s="63"/>
      <c r="B977" s="63">
        <f>'Padrão EPP'!B977</f>
        <v>21</v>
      </c>
      <c r="C977" s="63" t="str">
        <f>'Padrão EPP'!C977</f>
        <v>DF</v>
      </c>
      <c r="D977" s="63" t="str">
        <f>'Padrão EPP'!D977</f>
        <v>CAPITAL</v>
      </c>
      <c r="E977" s="63">
        <f>'Padrão EPP'!E977/2</f>
        <v>0</v>
      </c>
      <c r="F977" s="67">
        <v>3.0000000000000001E-3</v>
      </c>
      <c r="G977" s="67">
        <v>2E-3</v>
      </c>
      <c r="H977" s="63"/>
    </row>
    <row r="978" spans="1:8" x14ac:dyDescent="0.25">
      <c r="A978" s="63"/>
      <c r="B978" s="63">
        <f>'Padrão EPP'!B978</f>
        <v>22</v>
      </c>
      <c r="C978" s="63" t="str">
        <f>'Padrão EPP'!C978</f>
        <v>DF</v>
      </c>
      <c r="D978" s="63" t="str">
        <f>'Padrão EPP'!D978</f>
        <v>CAPITAL</v>
      </c>
      <c r="E978" s="63">
        <f>'Padrão EPP'!E978/2</f>
        <v>0</v>
      </c>
      <c r="F978" s="67">
        <v>3.0000000000000001E-3</v>
      </c>
      <c r="G978" s="67">
        <v>2E-3</v>
      </c>
      <c r="H978" s="63"/>
    </row>
    <row r="979" spans="1:8" x14ac:dyDescent="0.25">
      <c r="A979" s="63"/>
      <c r="B979" s="63">
        <f>'Padrão EPP'!B979</f>
        <v>23</v>
      </c>
      <c r="C979" s="63" t="str">
        <f>'Padrão EPP'!C979</f>
        <v>DF</v>
      </c>
      <c r="D979" s="63" t="str">
        <f>'Padrão EPP'!D979</f>
        <v>CAPITAL</v>
      </c>
      <c r="E979" s="63">
        <f>'Padrão EPP'!E979/2</f>
        <v>0</v>
      </c>
      <c r="F979" s="67">
        <v>3.0000000000000001E-3</v>
      </c>
      <c r="G979" s="67">
        <v>2E-3</v>
      </c>
      <c r="H979" s="63"/>
    </row>
    <row r="980" spans="1:8" x14ac:dyDescent="0.25">
      <c r="A980" s="63"/>
      <c r="B980" s="63">
        <f>'Padrão EPP'!B980</f>
        <v>24</v>
      </c>
      <c r="C980" s="63" t="str">
        <f>'Padrão EPP'!C980</f>
        <v>DF</v>
      </c>
      <c r="D980" s="63" t="str">
        <f>'Padrão EPP'!D980</f>
        <v>CAPITAL</v>
      </c>
      <c r="E980" s="63">
        <f>'Padrão EPP'!E980/2</f>
        <v>0</v>
      </c>
      <c r="F980" s="67">
        <v>3.0000000000000001E-3</v>
      </c>
      <c r="G980" s="67">
        <v>2E-3</v>
      </c>
      <c r="H980" s="63"/>
    </row>
    <row r="981" spans="1:8" x14ac:dyDescent="0.25">
      <c r="A981" s="63"/>
      <c r="B981" s="63">
        <f>'Padrão EPP'!B981</f>
        <v>25</v>
      </c>
      <c r="C981" s="63" t="str">
        <f>'Padrão EPP'!C981</f>
        <v>DF</v>
      </c>
      <c r="D981" s="63" t="str">
        <f>'Padrão EPP'!D981</f>
        <v>CAPITAL</v>
      </c>
      <c r="E981" s="63">
        <f>'Padrão EPP'!E981/2</f>
        <v>0</v>
      </c>
      <c r="F981" s="67">
        <v>3.0000000000000001E-3</v>
      </c>
      <c r="G981" s="67">
        <v>2E-3</v>
      </c>
      <c r="H981" s="63"/>
    </row>
    <row r="982" spans="1:8" x14ac:dyDescent="0.25">
      <c r="A982" s="63"/>
      <c r="B982" s="63">
        <f>'Padrão EPP'!B982</f>
        <v>26</v>
      </c>
      <c r="C982" s="63" t="str">
        <f>'Padrão EPP'!C982</f>
        <v>DF</v>
      </c>
      <c r="D982" s="63" t="str">
        <f>'Padrão EPP'!D982</f>
        <v>CAPITAL</v>
      </c>
      <c r="E982" s="63">
        <f>'Padrão EPP'!E982/2</f>
        <v>0</v>
      </c>
      <c r="F982" s="67">
        <v>3.0000000000000001E-3</v>
      </c>
      <c r="G982" s="67">
        <v>2E-3</v>
      </c>
      <c r="H982" s="63"/>
    </row>
    <row r="983" spans="1:8" x14ac:dyDescent="0.25">
      <c r="A983" s="63"/>
      <c r="B983" s="63">
        <f>'Padrão EPP'!B983</f>
        <v>27</v>
      </c>
      <c r="C983" s="63" t="str">
        <f>'Padrão EPP'!C983</f>
        <v>DF</v>
      </c>
      <c r="D983" s="63" t="str">
        <f>'Padrão EPP'!D983</f>
        <v>CAPITAL</v>
      </c>
      <c r="E983" s="63">
        <f>'Padrão EPP'!E983/2</f>
        <v>0</v>
      </c>
      <c r="F983" s="67">
        <v>3.0000000000000001E-3</v>
      </c>
      <c r="G983" s="67">
        <v>2E-3</v>
      </c>
      <c r="H983" s="63"/>
    </row>
    <row r="984" spans="1:8" x14ac:dyDescent="0.25">
      <c r="A984" s="63"/>
      <c r="B984" s="63">
        <f>'Padrão EPP'!B984</f>
        <v>28</v>
      </c>
      <c r="C984" s="63" t="str">
        <f>'Padrão EPP'!C984</f>
        <v>DF</v>
      </c>
      <c r="D984" s="63" t="str">
        <f>'Padrão EPP'!D984</f>
        <v>CAPITAL</v>
      </c>
      <c r="E984" s="63">
        <f>'Padrão EPP'!E984/2</f>
        <v>0</v>
      </c>
      <c r="F984" s="67">
        <v>3.0000000000000001E-3</v>
      </c>
      <c r="G984" s="67">
        <v>2E-3</v>
      </c>
      <c r="H984" s="63"/>
    </row>
    <row r="985" spans="1:8" x14ac:dyDescent="0.25">
      <c r="A985" s="63"/>
      <c r="B985" s="63">
        <f>'Padrão EPP'!B985</f>
        <v>29</v>
      </c>
      <c r="C985" s="63" t="str">
        <f>'Padrão EPP'!C985</f>
        <v>DF</v>
      </c>
      <c r="D985" s="63" t="str">
        <f>'Padrão EPP'!D985</f>
        <v>CAPITAL</v>
      </c>
      <c r="E985" s="63">
        <f>'Padrão EPP'!E985/2</f>
        <v>0</v>
      </c>
      <c r="F985" s="67">
        <v>3.0000000000000001E-3</v>
      </c>
      <c r="G985" s="67">
        <v>2E-3</v>
      </c>
      <c r="H985" s="63"/>
    </row>
    <row r="986" spans="1:8" x14ac:dyDescent="0.25">
      <c r="A986" s="63"/>
      <c r="B986" s="63">
        <f>'Padrão EPP'!B986</f>
        <v>30</v>
      </c>
      <c r="C986" s="63" t="str">
        <f>'Padrão EPP'!C986</f>
        <v>DF</v>
      </c>
      <c r="D986" s="63" t="str">
        <f>'Padrão EPP'!D986</f>
        <v>CAPITAL</v>
      </c>
      <c r="E986" s="63">
        <f>'Padrão EPP'!E986/2</f>
        <v>0</v>
      </c>
      <c r="F986" s="67">
        <v>3.0000000000000001E-3</v>
      </c>
      <c r="G986" s="67">
        <v>2E-3</v>
      </c>
      <c r="H986" s="63"/>
    </row>
    <row r="987" spans="1:8" x14ac:dyDescent="0.25">
      <c r="A987" s="63"/>
      <c r="B987" s="63">
        <f>'Padrão EPP'!B987</f>
        <v>0</v>
      </c>
      <c r="C987" s="63" t="str">
        <f>'Padrão EPP'!C987</f>
        <v>DF</v>
      </c>
      <c r="D987" s="63" t="str">
        <f>'Padrão EPP'!D987</f>
        <v>CAPITAL</v>
      </c>
      <c r="E987" s="63">
        <f>'Padrão EPP'!E987/2</f>
        <v>1.5214394455252955</v>
      </c>
      <c r="F987" s="67">
        <v>3.0000000000000001E-3</v>
      </c>
      <c r="G987" s="67">
        <v>2E-3</v>
      </c>
      <c r="H987" s="63"/>
    </row>
    <row r="988" spans="1:8" x14ac:dyDescent="0.25">
      <c r="A988" s="63"/>
      <c r="B988" s="63">
        <f>'Padrão EPP'!B988</f>
        <v>0.25</v>
      </c>
      <c r="C988" s="63" t="str">
        <f>'Padrão EPP'!C988</f>
        <v>DF</v>
      </c>
      <c r="D988" s="63" t="str">
        <f>'Padrão EPP'!D988</f>
        <v>INTERIOR</v>
      </c>
      <c r="E988" s="63">
        <f>'Padrão EPP'!E988/2</f>
        <v>9.1564812020455886</v>
      </c>
      <c r="F988" s="67">
        <v>3.0000000000000001E-3</v>
      </c>
      <c r="G988" s="67">
        <v>2E-3</v>
      </c>
      <c r="H988" s="63"/>
    </row>
    <row r="989" spans="1:8" x14ac:dyDescent="0.25">
      <c r="A989" s="63"/>
      <c r="B989" s="63">
        <f>'Padrão EPP'!B989</f>
        <v>0.5</v>
      </c>
      <c r="C989" s="63" t="str">
        <f>'Padrão EPP'!C989</f>
        <v>DF</v>
      </c>
      <c r="D989" s="63" t="str">
        <f>'Padrão EPP'!D989</f>
        <v>INTERIOR</v>
      </c>
      <c r="E989" s="63">
        <f>'Padrão EPP'!E989/2</f>
        <v>9.6561792077116788</v>
      </c>
      <c r="F989" s="67">
        <v>3.0000000000000001E-3</v>
      </c>
      <c r="G989" s="67">
        <v>2E-3</v>
      </c>
      <c r="H989" s="63"/>
    </row>
    <row r="990" spans="1:8" x14ac:dyDescent="0.25">
      <c r="A990" s="63"/>
      <c r="B990" s="63">
        <f>'Padrão EPP'!B990</f>
        <v>0.75</v>
      </c>
      <c r="C990" s="63" t="str">
        <f>'Padrão EPP'!C990</f>
        <v>DF</v>
      </c>
      <c r="D990" s="63" t="str">
        <f>'Padrão EPP'!D990</f>
        <v>INTERIOR</v>
      </c>
      <c r="E990" s="63">
        <f>'Padrão EPP'!E990/2</f>
        <v>10.203738125272466</v>
      </c>
      <c r="F990" s="67">
        <v>3.0000000000000001E-3</v>
      </c>
      <c r="G990" s="67">
        <v>2E-3</v>
      </c>
      <c r="H990" s="63"/>
    </row>
    <row r="991" spans="1:8" x14ac:dyDescent="0.25">
      <c r="A991" s="63"/>
      <c r="B991" s="63">
        <f>'Padrão EPP'!B991</f>
        <v>1</v>
      </c>
      <c r="C991" s="63" t="str">
        <f>'Padrão EPP'!C991</f>
        <v>DF</v>
      </c>
      <c r="D991" s="63" t="str">
        <f>'Padrão EPP'!D991</f>
        <v>INTERIOR</v>
      </c>
      <c r="E991" s="63">
        <f>'Padrão EPP'!E991/2</f>
        <v>10.828281020924317</v>
      </c>
      <c r="F991" s="67">
        <v>3.0000000000000001E-3</v>
      </c>
      <c r="G991" s="67">
        <v>2E-3</v>
      </c>
      <c r="H991" s="63"/>
    </row>
    <row r="992" spans="1:8" x14ac:dyDescent="0.25">
      <c r="A992" s="63"/>
      <c r="B992" s="63">
        <f>'Padrão EPP'!B992</f>
        <v>2</v>
      </c>
      <c r="C992" s="63" t="str">
        <f>'Padrão EPP'!C992</f>
        <v>DF</v>
      </c>
      <c r="D992" s="63" t="str">
        <f>'Padrão EPP'!D992</f>
        <v>INTERIOR</v>
      </c>
      <c r="E992" s="63">
        <f>'Padrão EPP'!E992/2</f>
        <v>11.969885952311135</v>
      </c>
      <c r="F992" s="67">
        <v>3.0000000000000001E-3</v>
      </c>
      <c r="G992" s="67">
        <v>2E-3</v>
      </c>
      <c r="H992" s="63"/>
    </row>
    <row r="993" spans="1:8" x14ac:dyDescent="0.25">
      <c r="A993" s="63"/>
      <c r="B993" s="63">
        <f>'Padrão EPP'!B993</f>
        <v>3</v>
      </c>
      <c r="C993" s="63" t="str">
        <f>'Padrão EPP'!C993</f>
        <v>DF</v>
      </c>
      <c r="D993" s="63" t="str">
        <f>'Padrão EPP'!D993</f>
        <v>INTERIOR</v>
      </c>
      <c r="E993" s="63">
        <f>'Padrão EPP'!E993/2</f>
        <v>13.022749114732964</v>
      </c>
      <c r="F993" s="67">
        <v>3.0000000000000001E-3</v>
      </c>
      <c r="G993" s="67">
        <v>2E-3</v>
      </c>
      <c r="H993" s="63"/>
    </row>
    <row r="994" spans="1:8" x14ac:dyDescent="0.25">
      <c r="A994" s="63"/>
      <c r="B994" s="63">
        <f>'Padrão EPP'!B994</f>
        <v>4</v>
      </c>
      <c r="C994" s="63" t="str">
        <f>'Padrão EPP'!C994</f>
        <v>DF</v>
      </c>
      <c r="D994" s="63" t="str">
        <f>'Padrão EPP'!D994</f>
        <v>INTERIOR</v>
      </c>
      <c r="E994" s="63">
        <f>'Padrão EPP'!E994/2</f>
        <v>14.807458742259239</v>
      </c>
      <c r="F994" s="67">
        <v>3.0000000000000001E-3</v>
      </c>
      <c r="G994" s="67">
        <v>2E-3</v>
      </c>
      <c r="H994" s="63"/>
    </row>
    <row r="995" spans="1:8" x14ac:dyDescent="0.25">
      <c r="A995" s="63"/>
      <c r="B995" s="63">
        <f>'Padrão EPP'!B995</f>
        <v>5</v>
      </c>
      <c r="C995" s="63" t="str">
        <f>'Padrão EPP'!C995</f>
        <v>DF</v>
      </c>
      <c r="D995" s="63" t="str">
        <f>'Padrão EPP'!D995</f>
        <v>INTERIOR</v>
      </c>
      <c r="E995" s="63">
        <f>'Padrão EPP'!E995/2</f>
        <v>16.646684053371718</v>
      </c>
      <c r="F995" s="67">
        <v>3.0000000000000001E-3</v>
      </c>
      <c r="G995" s="67">
        <v>2E-3</v>
      </c>
      <c r="H995" s="63"/>
    </row>
    <row r="996" spans="1:8" x14ac:dyDescent="0.25">
      <c r="A996" s="63"/>
      <c r="B996" s="63">
        <f>'Padrão EPP'!B996</f>
        <v>6</v>
      </c>
      <c r="C996" s="63" t="str">
        <f>'Padrão EPP'!C996</f>
        <v>DF</v>
      </c>
      <c r="D996" s="63" t="str">
        <f>'Padrão EPP'!D996</f>
        <v>INTERIOR</v>
      </c>
      <c r="E996" s="63">
        <f>'Padrão EPP'!E996/2</f>
        <v>18.903687595457328</v>
      </c>
      <c r="F996" s="67">
        <v>3.0000000000000001E-3</v>
      </c>
      <c r="G996" s="67">
        <v>2E-3</v>
      </c>
      <c r="H996" s="63"/>
    </row>
    <row r="997" spans="1:8" x14ac:dyDescent="0.25">
      <c r="A997" s="63"/>
      <c r="B997" s="63">
        <f>'Padrão EPP'!B997</f>
        <v>7</v>
      </c>
      <c r="C997" s="63" t="str">
        <f>'Padrão EPP'!C997</f>
        <v>DF</v>
      </c>
      <c r="D997" s="63" t="str">
        <f>'Padrão EPP'!D997</f>
        <v>INTERIOR</v>
      </c>
      <c r="E997" s="63">
        <f>'Padrão EPP'!E997/2</f>
        <v>20.55525056340262</v>
      </c>
      <c r="F997" s="67">
        <v>3.0000000000000001E-3</v>
      </c>
      <c r="G997" s="67">
        <v>2E-3</v>
      </c>
      <c r="H997" s="63"/>
    </row>
    <row r="998" spans="1:8" x14ac:dyDescent="0.25">
      <c r="A998" s="63"/>
      <c r="B998" s="63">
        <f>'Padrão EPP'!B998</f>
        <v>8</v>
      </c>
      <c r="C998" s="63" t="str">
        <f>'Padrão EPP'!C998</f>
        <v>DF</v>
      </c>
      <c r="D998" s="63" t="str">
        <f>'Padrão EPP'!D998</f>
        <v>INTERIOR</v>
      </c>
      <c r="E998" s="63">
        <f>'Padrão EPP'!E998/2</f>
        <v>22.98898921171455</v>
      </c>
      <c r="F998" s="67">
        <v>3.0000000000000001E-3</v>
      </c>
      <c r="G998" s="67">
        <v>2E-3</v>
      </c>
      <c r="H998" s="63"/>
    </row>
    <row r="999" spans="1:8" x14ac:dyDescent="0.25">
      <c r="A999" s="63"/>
      <c r="B999" s="63">
        <f>'Padrão EPP'!B999</f>
        <v>9</v>
      </c>
      <c r="C999" s="63" t="str">
        <f>'Padrão EPP'!C999</f>
        <v>DF</v>
      </c>
      <c r="D999" s="63" t="str">
        <f>'Padrão EPP'!D999</f>
        <v>INTERIOR</v>
      </c>
      <c r="E999" s="63">
        <f>'Padrão EPP'!E999/2</f>
        <v>24.593851218529124</v>
      </c>
      <c r="F999" s="67">
        <v>3.0000000000000001E-3</v>
      </c>
      <c r="G999" s="67">
        <v>2E-3</v>
      </c>
      <c r="H999" s="63"/>
    </row>
    <row r="1000" spans="1:8" x14ac:dyDescent="0.25">
      <c r="A1000" s="63"/>
      <c r="B1000" s="63">
        <f>'Padrão EPP'!B1000</f>
        <v>10</v>
      </c>
      <c r="C1000" s="63" t="str">
        <f>'Padrão EPP'!C1000</f>
        <v>DF</v>
      </c>
      <c r="D1000" s="63" t="str">
        <f>'Padrão EPP'!D1000</f>
        <v>INTERIOR</v>
      </c>
      <c r="E1000" s="63">
        <f>'Padrão EPP'!E1000/2</f>
        <v>26.148897281937767</v>
      </c>
      <c r="F1000" s="67">
        <v>3.0000000000000001E-3</v>
      </c>
      <c r="G1000" s="67">
        <v>2E-3</v>
      </c>
      <c r="H1000" s="63"/>
    </row>
    <row r="1001" spans="1:8" x14ac:dyDescent="0.25">
      <c r="A1001" s="63"/>
      <c r="B1001" s="63">
        <f>'Padrão EPP'!B1001</f>
        <v>11</v>
      </c>
      <c r="C1001" s="63" t="str">
        <f>'Padrão EPP'!C1001</f>
        <v>DF</v>
      </c>
      <c r="D1001" s="63" t="str">
        <f>'Padrão EPP'!D1001</f>
        <v>INTERIOR</v>
      </c>
      <c r="E1001" s="63">
        <f>'Padrão EPP'!E1001/2</f>
        <v>0</v>
      </c>
      <c r="F1001" s="67">
        <v>3.0000000000000001E-3</v>
      </c>
      <c r="G1001" s="67">
        <v>2E-3</v>
      </c>
      <c r="H1001" s="63"/>
    </row>
    <row r="1002" spans="1:8" x14ac:dyDescent="0.25">
      <c r="A1002" s="63"/>
      <c r="B1002" s="63">
        <f>'Padrão EPP'!B1002</f>
        <v>12</v>
      </c>
      <c r="C1002" s="63" t="str">
        <f>'Padrão EPP'!C1002</f>
        <v>DF</v>
      </c>
      <c r="D1002" s="63" t="str">
        <f>'Padrão EPP'!D1002</f>
        <v>INTERIOR</v>
      </c>
      <c r="E1002" s="63">
        <f>'Padrão EPP'!E1002/2</f>
        <v>0</v>
      </c>
      <c r="F1002" s="67">
        <v>3.0000000000000001E-3</v>
      </c>
      <c r="G1002" s="67">
        <v>2E-3</v>
      </c>
      <c r="H1002" s="63"/>
    </row>
    <row r="1003" spans="1:8" x14ac:dyDescent="0.25">
      <c r="A1003" s="63"/>
      <c r="B1003" s="63">
        <f>'Padrão EPP'!B1003</f>
        <v>13</v>
      </c>
      <c r="C1003" s="63" t="str">
        <f>'Padrão EPP'!C1003</f>
        <v>DF</v>
      </c>
      <c r="D1003" s="63" t="str">
        <f>'Padrão EPP'!D1003</f>
        <v>INTERIOR</v>
      </c>
      <c r="E1003" s="63">
        <f>'Padrão EPP'!E1003/2</f>
        <v>0</v>
      </c>
      <c r="F1003" s="67">
        <v>3.0000000000000001E-3</v>
      </c>
      <c r="G1003" s="67">
        <v>2E-3</v>
      </c>
      <c r="H1003" s="63"/>
    </row>
    <row r="1004" spans="1:8" x14ac:dyDescent="0.25">
      <c r="A1004" s="63"/>
      <c r="B1004" s="63">
        <f>'Padrão EPP'!B1004</f>
        <v>14</v>
      </c>
      <c r="C1004" s="63" t="str">
        <f>'Padrão EPP'!C1004</f>
        <v>DF</v>
      </c>
      <c r="D1004" s="63" t="str">
        <f>'Padrão EPP'!D1004</f>
        <v>INTERIOR</v>
      </c>
      <c r="E1004" s="63">
        <f>'Padrão EPP'!E1004/2</f>
        <v>0</v>
      </c>
      <c r="F1004" s="67">
        <v>3.0000000000000001E-3</v>
      </c>
      <c r="G1004" s="67">
        <v>2E-3</v>
      </c>
      <c r="H1004" s="63"/>
    </row>
    <row r="1005" spans="1:8" x14ac:dyDescent="0.25">
      <c r="A1005" s="63"/>
      <c r="B1005" s="63">
        <f>'Padrão EPP'!B1005</f>
        <v>15</v>
      </c>
      <c r="C1005" s="63" t="str">
        <f>'Padrão EPP'!C1005</f>
        <v>DF</v>
      </c>
      <c r="D1005" s="63" t="str">
        <f>'Padrão EPP'!D1005</f>
        <v>INTERIOR</v>
      </c>
      <c r="E1005" s="63">
        <f>'Padrão EPP'!E1005/2</f>
        <v>0</v>
      </c>
      <c r="F1005" s="67">
        <v>3.0000000000000001E-3</v>
      </c>
      <c r="G1005" s="67">
        <v>2E-3</v>
      </c>
      <c r="H1005" s="63"/>
    </row>
    <row r="1006" spans="1:8" x14ac:dyDescent="0.25">
      <c r="A1006" s="63"/>
      <c r="B1006" s="63">
        <f>'Padrão EPP'!B1006</f>
        <v>16</v>
      </c>
      <c r="C1006" s="63" t="str">
        <f>'Padrão EPP'!C1006</f>
        <v>DF</v>
      </c>
      <c r="D1006" s="63" t="str">
        <f>'Padrão EPP'!D1006</f>
        <v>INTERIOR</v>
      </c>
      <c r="E1006" s="63">
        <f>'Padrão EPP'!E1006/2</f>
        <v>0</v>
      </c>
      <c r="F1006" s="67">
        <v>3.0000000000000001E-3</v>
      </c>
      <c r="G1006" s="67">
        <v>2E-3</v>
      </c>
      <c r="H1006" s="63"/>
    </row>
    <row r="1007" spans="1:8" x14ac:dyDescent="0.25">
      <c r="A1007" s="63"/>
      <c r="B1007" s="63">
        <f>'Padrão EPP'!B1007</f>
        <v>17</v>
      </c>
      <c r="C1007" s="63" t="str">
        <f>'Padrão EPP'!C1007</f>
        <v>DF</v>
      </c>
      <c r="D1007" s="63" t="str">
        <f>'Padrão EPP'!D1007</f>
        <v>INTERIOR</v>
      </c>
      <c r="E1007" s="63">
        <f>'Padrão EPP'!E1007/2</f>
        <v>0</v>
      </c>
      <c r="F1007" s="67">
        <v>3.0000000000000001E-3</v>
      </c>
      <c r="G1007" s="67">
        <v>2E-3</v>
      </c>
      <c r="H1007" s="63"/>
    </row>
    <row r="1008" spans="1:8" x14ac:dyDescent="0.25">
      <c r="A1008" s="63"/>
      <c r="B1008" s="63">
        <f>'Padrão EPP'!B1008</f>
        <v>18</v>
      </c>
      <c r="C1008" s="63" t="str">
        <f>'Padrão EPP'!C1008</f>
        <v>DF</v>
      </c>
      <c r="D1008" s="63" t="str">
        <f>'Padrão EPP'!D1008</f>
        <v>INTERIOR</v>
      </c>
      <c r="E1008" s="63">
        <f>'Padrão EPP'!E1008/2</f>
        <v>0</v>
      </c>
      <c r="F1008" s="67">
        <v>3.0000000000000001E-3</v>
      </c>
      <c r="G1008" s="67">
        <v>2E-3</v>
      </c>
      <c r="H1008" s="63"/>
    </row>
    <row r="1009" spans="1:8" x14ac:dyDescent="0.25">
      <c r="A1009" s="63"/>
      <c r="B1009" s="63">
        <f>'Padrão EPP'!B1009</f>
        <v>19</v>
      </c>
      <c r="C1009" s="63" t="str">
        <f>'Padrão EPP'!C1009</f>
        <v>DF</v>
      </c>
      <c r="D1009" s="63" t="str">
        <f>'Padrão EPP'!D1009</f>
        <v>INTERIOR</v>
      </c>
      <c r="E1009" s="63">
        <f>'Padrão EPP'!E1009/2</f>
        <v>0</v>
      </c>
      <c r="F1009" s="67">
        <v>3.0000000000000001E-3</v>
      </c>
      <c r="G1009" s="67">
        <v>2E-3</v>
      </c>
      <c r="H1009" s="63"/>
    </row>
    <row r="1010" spans="1:8" x14ac:dyDescent="0.25">
      <c r="A1010" s="63"/>
      <c r="B1010" s="63">
        <f>'Padrão EPP'!B1010</f>
        <v>20</v>
      </c>
      <c r="C1010" s="63" t="str">
        <f>'Padrão EPP'!C1010</f>
        <v>DF</v>
      </c>
      <c r="D1010" s="63" t="str">
        <f>'Padrão EPP'!D1010</f>
        <v>INTERIOR</v>
      </c>
      <c r="E1010" s="63">
        <f>'Padrão EPP'!E1010/2</f>
        <v>0</v>
      </c>
      <c r="F1010" s="67">
        <v>3.0000000000000001E-3</v>
      </c>
      <c r="G1010" s="67">
        <v>2E-3</v>
      </c>
      <c r="H1010" s="63"/>
    </row>
    <row r="1011" spans="1:8" x14ac:dyDescent="0.25">
      <c r="A1011" s="63"/>
      <c r="B1011" s="63">
        <f>'Padrão EPP'!B1011</f>
        <v>21</v>
      </c>
      <c r="C1011" s="63" t="str">
        <f>'Padrão EPP'!C1011</f>
        <v>DF</v>
      </c>
      <c r="D1011" s="63" t="str">
        <f>'Padrão EPP'!D1011</f>
        <v>INTERIOR</v>
      </c>
      <c r="E1011" s="63">
        <f>'Padrão EPP'!E1011/2</f>
        <v>0</v>
      </c>
      <c r="F1011" s="67">
        <v>3.0000000000000001E-3</v>
      </c>
      <c r="G1011" s="67">
        <v>2E-3</v>
      </c>
      <c r="H1011" s="63"/>
    </row>
    <row r="1012" spans="1:8" x14ac:dyDescent="0.25">
      <c r="A1012" s="63"/>
      <c r="B1012" s="63">
        <f>'Padrão EPP'!B1012</f>
        <v>22</v>
      </c>
      <c r="C1012" s="63" t="str">
        <f>'Padrão EPP'!C1012</f>
        <v>DF</v>
      </c>
      <c r="D1012" s="63" t="str">
        <f>'Padrão EPP'!D1012</f>
        <v>INTERIOR</v>
      </c>
      <c r="E1012" s="63">
        <f>'Padrão EPP'!E1012/2</f>
        <v>0</v>
      </c>
      <c r="F1012" s="67">
        <v>3.0000000000000001E-3</v>
      </c>
      <c r="G1012" s="67">
        <v>2E-3</v>
      </c>
      <c r="H1012" s="63"/>
    </row>
    <row r="1013" spans="1:8" x14ac:dyDescent="0.25">
      <c r="A1013" s="63"/>
      <c r="B1013" s="63">
        <f>'Padrão EPP'!B1013</f>
        <v>23</v>
      </c>
      <c r="C1013" s="63" t="str">
        <f>'Padrão EPP'!C1013</f>
        <v>DF</v>
      </c>
      <c r="D1013" s="63" t="str">
        <f>'Padrão EPP'!D1013</f>
        <v>INTERIOR</v>
      </c>
      <c r="E1013" s="63">
        <f>'Padrão EPP'!E1013/2</f>
        <v>0</v>
      </c>
      <c r="F1013" s="67">
        <v>3.0000000000000001E-3</v>
      </c>
      <c r="G1013" s="67">
        <v>2E-3</v>
      </c>
      <c r="H1013" s="63"/>
    </row>
    <row r="1014" spans="1:8" x14ac:dyDescent="0.25">
      <c r="A1014" s="63"/>
      <c r="B1014" s="63">
        <f>'Padrão EPP'!B1014</f>
        <v>24</v>
      </c>
      <c r="C1014" s="63" t="str">
        <f>'Padrão EPP'!C1014</f>
        <v>DF</v>
      </c>
      <c r="D1014" s="63" t="str">
        <f>'Padrão EPP'!D1014</f>
        <v>INTERIOR</v>
      </c>
      <c r="E1014" s="63">
        <f>'Padrão EPP'!E1014/2</f>
        <v>0</v>
      </c>
      <c r="F1014" s="67">
        <v>3.0000000000000001E-3</v>
      </c>
      <c r="G1014" s="67">
        <v>2E-3</v>
      </c>
      <c r="H1014" s="63"/>
    </row>
    <row r="1015" spans="1:8" x14ac:dyDescent="0.25">
      <c r="A1015" s="63"/>
      <c r="B1015" s="63">
        <f>'Padrão EPP'!B1015</f>
        <v>25</v>
      </c>
      <c r="C1015" s="63" t="str">
        <f>'Padrão EPP'!C1015</f>
        <v>DF</v>
      </c>
      <c r="D1015" s="63" t="str">
        <f>'Padrão EPP'!D1015</f>
        <v>INTERIOR</v>
      </c>
      <c r="E1015" s="63">
        <f>'Padrão EPP'!E1015/2</f>
        <v>0</v>
      </c>
      <c r="F1015" s="67">
        <v>3.0000000000000001E-3</v>
      </c>
      <c r="G1015" s="67">
        <v>2E-3</v>
      </c>
      <c r="H1015" s="63"/>
    </row>
    <row r="1016" spans="1:8" x14ac:dyDescent="0.25">
      <c r="A1016" s="63"/>
      <c r="B1016" s="63">
        <f>'Padrão EPP'!B1016</f>
        <v>26</v>
      </c>
      <c r="C1016" s="63" t="str">
        <f>'Padrão EPP'!C1016</f>
        <v>DF</v>
      </c>
      <c r="D1016" s="63" t="str">
        <f>'Padrão EPP'!D1016</f>
        <v>INTERIOR</v>
      </c>
      <c r="E1016" s="63">
        <f>'Padrão EPP'!E1016/2</f>
        <v>0</v>
      </c>
      <c r="F1016" s="67">
        <v>3.0000000000000001E-3</v>
      </c>
      <c r="G1016" s="67">
        <v>2E-3</v>
      </c>
      <c r="H1016" s="63"/>
    </row>
    <row r="1017" spans="1:8" x14ac:dyDescent="0.25">
      <c r="A1017" s="63"/>
      <c r="B1017" s="63">
        <f>'Padrão EPP'!B1017</f>
        <v>27</v>
      </c>
      <c r="C1017" s="63" t="str">
        <f>'Padrão EPP'!C1017</f>
        <v>DF</v>
      </c>
      <c r="D1017" s="63" t="str">
        <f>'Padrão EPP'!D1017</f>
        <v>INTERIOR</v>
      </c>
      <c r="E1017" s="63">
        <f>'Padrão EPP'!E1017/2</f>
        <v>0</v>
      </c>
      <c r="F1017" s="67">
        <v>3.0000000000000001E-3</v>
      </c>
      <c r="G1017" s="67">
        <v>2E-3</v>
      </c>
      <c r="H1017" s="63"/>
    </row>
    <row r="1018" spans="1:8" x14ac:dyDescent="0.25">
      <c r="A1018" s="63"/>
      <c r="B1018" s="63">
        <f>'Padrão EPP'!B1018</f>
        <v>28</v>
      </c>
      <c r="C1018" s="63" t="str">
        <f>'Padrão EPP'!C1018</f>
        <v>DF</v>
      </c>
      <c r="D1018" s="63" t="str">
        <f>'Padrão EPP'!D1018</f>
        <v>INTERIOR</v>
      </c>
      <c r="E1018" s="63">
        <f>'Padrão EPP'!E1018/2</f>
        <v>0</v>
      </c>
      <c r="F1018" s="67">
        <v>3.0000000000000001E-3</v>
      </c>
      <c r="G1018" s="67">
        <v>2E-3</v>
      </c>
      <c r="H1018" s="63"/>
    </row>
    <row r="1019" spans="1:8" x14ac:dyDescent="0.25">
      <c r="A1019" s="63"/>
      <c r="B1019" s="63">
        <f>'Padrão EPP'!B1019</f>
        <v>29</v>
      </c>
      <c r="C1019" s="63" t="str">
        <f>'Padrão EPP'!C1019</f>
        <v>DF</v>
      </c>
      <c r="D1019" s="63" t="str">
        <f>'Padrão EPP'!D1019</f>
        <v>INTERIOR</v>
      </c>
      <c r="E1019" s="63">
        <f>'Padrão EPP'!E1019/2</f>
        <v>0</v>
      </c>
      <c r="F1019" s="67">
        <v>3.0000000000000001E-3</v>
      </c>
      <c r="G1019" s="67">
        <v>2E-3</v>
      </c>
      <c r="H1019" s="63"/>
    </row>
    <row r="1020" spans="1:8" x14ac:dyDescent="0.25">
      <c r="A1020" s="63"/>
      <c r="B1020" s="63">
        <f>'Padrão EPP'!B1020</f>
        <v>30</v>
      </c>
      <c r="C1020" s="63" t="str">
        <f>'Padrão EPP'!C1020</f>
        <v>DF</v>
      </c>
      <c r="D1020" s="63" t="str">
        <f>'Padrão EPP'!D1020</f>
        <v>INTERIOR</v>
      </c>
      <c r="E1020" s="63">
        <f>'Padrão EPP'!E1020/2</f>
        <v>0</v>
      </c>
      <c r="F1020" s="67">
        <v>3.0000000000000001E-3</v>
      </c>
      <c r="G1020" s="67">
        <v>2E-3</v>
      </c>
      <c r="H1020" s="63"/>
    </row>
    <row r="1021" spans="1:8" x14ac:dyDescent="0.25">
      <c r="A1021" s="63"/>
      <c r="B1021" s="63">
        <f>'Padrão EPP'!B1021</f>
        <v>0</v>
      </c>
      <c r="C1021" s="63" t="str">
        <f>'Padrão EPP'!C1021</f>
        <v>DF</v>
      </c>
      <c r="D1021" s="63" t="str">
        <f>'Padrão EPP'!D1021</f>
        <v>INTERIOR</v>
      </c>
      <c r="E1021" s="63">
        <f>'Padrão EPP'!E1021/2</f>
        <v>1.5214394455252955</v>
      </c>
      <c r="F1021" s="67">
        <v>3.0000000000000001E-3</v>
      </c>
      <c r="G1021" s="67">
        <v>2E-3</v>
      </c>
      <c r="H1021" s="63"/>
    </row>
    <row r="1022" spans="1:8" x14ac:dyDescent="0.25">
      <c r="A1022" s="63"/>
      <c r="B1022" s="63">
        <f>'Padrão EPP'!B1022</f>
        <v>0.25</v>
      </c>
      <c r="C1022" s="63" t="str">
        <f>'Padrão EPP'!C1022</f>
        <v>DF</v>
      </c>
      <c r="D1022" s="63" t="str">
        <f>'Padrão EPP'!D1022</f>
        <v>INTERIOR II</v>
      </c>
      <c r="E1022" s="63">
        <f>'Padrão EPP'!E1022/2</f>
        <v>10.880808326910673</v>
      </c>
      <c r="F1022" s="67">
        <v>3.0000000000000001E-3</v>
      </c>
      <c r="G1022" s="67">
        <v>2E-3</v>
      </c>
      <c r="H1022" s="63"/>
    </row>
    <row r="1023" spans="1:8" x14ac:dyDescent="0.25">
      <c r="A1023" s="63"/>
      <c r="B1023" s="63">
        <f>'Padrão EPP'!B1023</f>
        <v>0.5</v>
      </c>
      <c r="C1023" s="63" t="str">
        <f>'Padrão EPP'!C1023</f>
        <v>DF</v>
      </c>
      <c r="D1023" s="63" t="str">
        <f>'Padrão EPP'!D1023</f>
        <v>INTERIOR II</v>
      </c>
      <c r="E1023" s="63">
        <f>'Padrão EPP'!E1023/2</f>
        <v>11.138323958716505</v>
      </c>
      <c r="F1023" s="67">
        <v>3.0000000000000001E-3</v>
      </c>
      <c r="G1023" s="67">
        <v>2E-3</v>
      </c>
      <c r="H1023" s="63"/>
    </row>
    <row r="1024" spans="1:8" x14ac:dyDescent="0.25">
      <c r="A1024" s="63"/>
      <c r="B1024" s="63">
        <f>'Padrão EPP'!B1024</f>
        <v>0.75</v>
      </c>
      <c r="C1024" s="63" t="str">
        <f>'Padrão EPP'!C1024</f>
        <v>DF</v>
      </c>
      <c r="D1024" s="63" t="str">
        <f>'Padrão EPP'!D1024</f>
        <v>INTERIOR II</v>
      </c>
      <c r="E1024" s="63">
        <f>'Padrão EPP'!E1024/2</f>
        <v>11.299857433285013</v>
      </c>
      <c r="F1024" s="67">
        <v>3.0000000000000001E-3</v>
      </c>
      <c r="G1024" s="67">
        <v>2E-3</v>
      </c>
      <c r="H1024" s="63"/>
    </row>
    <row r="1025" spans="1:8" x14ac:dyDescent="0.25">
      <c r="A1025" s="63"/>
      <c r="B1025" s="63">
        <f>'Padrão EPP'!B1025</f>
        <v>1</v>
      </c>
      <c r="C1025" s="63" t="str">
        <f>'Padrão EPP'!C1025</f>
        <v>DF</v>
      </c>
      <c r="D1025" s="63" t="str">
        <f>'Padrão EPP'!D1025</f>
        <v>INTERIOR II</v>
      </c>
      <c r="E1025" s="63">
        <f>'Padrão EPP'!E1025/2</f>
        <v>11.73230164232861</v>
      </c>
      <c r="F1025" s="67">
        <v>3.0000000000000001E-3</v>
      </c>
      <c r="G1025" s="67">
        <v>2E-3</v>
      </c>
      <c r="H1025" s="63"/>
    </row>
    <row r="1026" spans="1:8" x14ac:dyDescent="0.25">
      <c r="A1026" s="63"/>
      <c r="B1026" s="63">
        <f>'Padrão EPP'!B1026</f>
        <v>2</v>
      </c>
      <c r="C1026" s="63" t="str">
        <f>'Padrão EPP'!C1026</f>
        <v>DF</v>
      </c>
      <c r="D1026" s="63" t="str">
        <f>'Padrão EPP'!D1026</f>
        <v>INTERIOR II</v>
      </c>
      <c r="E1026" s="63">
        <f>'Padrão EPP'!E1026/2</f>
        <v>12.50841042551062</v>
      </c>
      <c r="F1026" s="67">
        <v>3.0000000000000001E-3</v>
      </c>
      <c r="G1026" s="67">
        <v>2E-3</v>
      </c>
      <c r="H1026" s="63"/>
    </row>
    <row r="1027" spans="1:8" x14ac:dyDescent="0.25">
      <c r="A1027" s="63"/>
      <c r="B1027" s="63">
        <f>'Padrão EPP'!B1027</f>
        <v>3</v>
      </c>
      <c r="C1027" s="63" t="str">
        <f>'Padrão EPP'!C1027</f>
        <v>DF</v>
      </c>
      <c r="D1027" s="63" t="str">
        <f>'Padrão EPP'!D1027</f>
        <v>INTERIOR II</v>
      </c>
      <c r="E1027" s="63">
        <f>'Padrão EPP'!E1027/2</f>
        <v>13.775275516777951</v>
      </c>
      <c r="F1027" s="67">
        <v>3.0000000000000001E-3</v>
      </c>
      <c r="G1027" s="67">
        <v>2E-3</v>
      </c>
      <c r="H1027" s="63"/>
    </row>
    <row r="1028" spans="1:8" x14ac:dyDescent="0.25">
      <c r="A1028" s="63"/>
      <c r="B1028" s="63">
        <f>'Padrão EPP'!B1028</f>
        <v>4</v>
      </c>
      <c r="C1028" s="63" t="str">
        <f>'Padrão EPP'!C1028</f>
        <v>DF</v>
      </c>
      <c r="D1028" s="63" t="str">
        <f>'Padrão EPP'!D1028</f>
        <v>INTERIOR II</v>
      </c>
      <c r="E1028" s="63">
        <f>'Padrão EPP'!E1028/2</f>
        <v>15.769810350595787</v>
      </c>
      <c r="F1028" s="67">
        <v>3.0000000000000001E-3</v>
      </c>
      <c r="G1028" s="67">
        <v>2E-3</v>
      </c>
      <c r="H1028" s="63"/>
    </row>
    <row r="1029" spans="1:8" x14ac:dyDescent="0.25">
      <c r="A1029" s="63"/>
      <c r="B1029" s="63">
        <f>'Padrão EPP'!B1029</f>
        <v>5</v>
      </c>
      <c r="C1029" s="63" t="str">
        <f>'Padrão EPP'!C1029</f>
        <v>DF</v>
      </c>
      <c r="D1029" s="63" t="str">
        <f>'Padrão EPP'!D1029</f>
        <v>INTERIOR II</v>
      </c>
      <c r="E1029" s="63">
        <f>'Padrão EPP'!E1029/2</f>
        <v>17.744758340297363</v>
      </c>
      <c r="F1029" s="67">
        <v>3.0000000000000001E-3</v>
      </c>
      <c r="G1029" s="67">
        <v>2E-3</v>
      </c>
      <c r="H1029" s="63"/>
    </row>
    <row r="1030" spans="1:8" x14ac:dyDescent="0.25">
      <c r="A1030" s="63"/>
      <c r="B1030" s="63">
        <f>'Padrão EPP'!B1030</f>
        <v>6</v>
      </c>
      <c r="C1030" s="63" t="str">
        <f>'Padrão EPP'!C1030</f>
        <v>DF</v>
      </c>
      <c r="D1030" s="63" t="str">
        <f>'Padrão EPP'!D1030</f>
        <v>INTERIOR II</v>
      </c>
      <c r="E1030" s="63">
        <f>'Padrão EPP'!E1030/2</f>
        <v>20.993151455601481</v>
      </c>
      <c r="F1030" s="67">
        <v>3.0000000000000001E-3</v>
      </c>
      <c r="G1030" s="67">
        <v>2E-3</v>
      </c>
      <c r="H1030" s="63"/>
    </row>
    <row r="1031" spans="1:8" x14ac:dyDescent="0.25">
      <c r="A1031" s="63"/>
      <c r="B1031" s="63">
        <f>'Padrão EPP'!B1031</f>
        <v>7</v>
      </c>
      <c r="C1031" s="63" t="str">
        <f>'Padrão EPP'!C1031</f>
        <v>DF</v>
      </c>
      <c r="D1031" s="63" t="str">
        <f>'Padrão EPP'!D1031</f>
        <v>INTERIOR II</v>
      </c>
      <c r="E1031" s="63">
        <f>'Padrão EPP'!E1031/2</f>
        <v>22.388640205533342</v>
      </c>
      <c r="F1031" s="67">
        <v>3.0000000000000001E-3</v>
      </c>
      <c r="G1031" s="67">
        <v>2E-3</v>
      </c>
      <c r="H1031" s="63"/>
    </row>
    <row r="1032" spans="1:8" x14ac:dyDescent="0.25">
      <c r="A1032" s="63"/>
      <c r="B1032" s="63">
        <f>'Padrão EPP'!B1032</f>
        <v>8</v>
      </c>
      <c r="C1032" s="63" t="str">
        <f>'Padrão EPP'!C1032</f>
        <v>DF</v>
      </c>
      <c r="D1032" s="63" t="str">
        <f>'Padrão EPP'!D1032</f>
        <v>INTERIOR II</v>
      </c>
      <c r="E1032" s="63">
        <f>'Padrão EPP'!E1032/2</f>
        <v>24.531616443660788</v>
      </c>
      <c r="F1032" s="67">
        <v>3.0000000000000001E-3</v>
      </c>
      <c r="G1032" s="67">
        <v>2E-3</v>
      </c>
      <c r="H1032" s="63"/>
    </row>
    <row r="1033" spans="1:8" x14ac:dyDescent="0.25">
      <c r="A1033" s="63"/>
      <c r="B1033" s="63">
        <f>'Padrão EPP'!B1033</f>
        <v>9</v>
      </c>
      <c r="C1033" s="63" t="str">
        <f>'Padrão EPP'!C1033</f>
        <v>DF</v>
      </c>
      <c r="D1033" s="63" t="str">
        <f>'Padrão EPP'!D1033</f>
        <v>INTERIOR II</v>
      </c>
      <c r="E1033" s="63">
        <f>'Padrão EPP'!E1033/2</f>
        <v>26.435136017876168</v>
      </c>
      <c r="F1033" s="67">
        <v>3.0000000000000001E-3</v>
      </c>
      <c r="G1033" s="67">
        <v>2E-3</v>
      </c>
      <c r="H1033" s="63"/>
    </row>
    <row r="1034" spans="1:8" x14ac:dyDescent="0.25">
      <c r="A1034" s="63"/>
      <c r="B1034" s="63">
        <f>'Padrão EPP'!B1034</f>
        <v>10</v>
      </c>
      <c r="C1034" s="63" t="str">
        <f>'Padrão EPP'!C1034</f>
        <v>DF</v>
      </c>
      <c r="D1034" s="63" t="str">
        <f>'Padrão EPP'!D1034</f>
        <v>INTERIOR II</v>
      </c>
      <c r="E1034" s="63">
        <f>'Padrão EPP'!E1034/2</f>
        <v>27.922059599466131</v>
      </c>
      <c r="F1034" s="67">
        <v>3.0000000000000001E-3</v>
      </c>
      <c r="G1034" s="67">
        <v>2E-3</v>
      </c>
      <c r="H1034" s="63"/>
    </row>
    <row r="1035" spans="1:8" x14ac:dyDescent="0.25">
      <c r="A1035" s="63"/>
      <c r="B1035" s="63">
        <f>'Padrão EPP'!B1035</f>
        <v>11</v>
      </c>
      <c r="C1035" s="63" t="str">
        <f>'Padrão EPP'!C1035</f>
        <v>DF</v>
      </c>
      <c r="D1035" s="63" t="str">
        <f>'Padrão EPP'!D1035</f>
        <v>INTERIOR II</v>
      </c>
      <c r="E1035" s="63">
        <f>'Padrão EPP'!E1035/2</f>
        <v>0</v>
      </c>
      <c r="F1035" s="67">
        <v>3.0000000000000001E-3</v>
      </c>
      <c r="G1035" s="67">
        <v>2E-3</v>
      </c>
      <c r="H1035" s="63"/>
    </row>
    <row r="1036" spans="1:8" x14ac:dyDescent="0.25">
      <c r="A1036" s="63"/>
      <c r="B1036" s="63">
        <f>'Padrão EPP'!B1036</f>
        <v>12</v>
      </c>
      <c r="C1036" s="63" t="str">
        <f>'Padrão EPP'!C1036</f>
        <v>DF</v>
      </c>
      <c r="D1036" s="63" t="str">
        <f>'Padrão EPP'!D1036</f>
        <v>INTERIOR II</v>
      </c>
      <c r="E1036" s="63">
        <f>'Padrão EPP'!E1036/2</f>
        <v>0</v>
      </c>
      <c r="F1036" s="67">
        <v>3.0000000000000001E-3</v>
      </c>
      <c r="G1036" s="67">
        <v>2E-3</v>
      </c>
      <c r="H1036" s="63"/>
    </row>
    <row r="1037" spans="1:8" x14ac:dyDescent="0.25">
      <c r="A1037" s="63"/>
      <c r="B1037" s="63">
        <f>'Padrão EPP'!B1037</f>
        <v>13</v>
      </c>
      <c r="C1037" s="63" t="str">
        <f>'Padrão EPP'!C1037</f>
        <v>DF</v>
      </c>
      <c r="D1037" s="63" t="str">
        <f>'Padrão EPP'!D1037</f>
        <v>INTERIOR II</v>
      </c>
      <c r="E1037" s="63">
        <f>'Padrão EPP'!E1037/2</f>
        <v>0</v>
      </c>
      <c r="F1037" s="67">
        <v>3.0000000000000001E-3</v>
      </c>
      <c r="G1037" s="67">
        <v>2E-3</v>
      </c>
      <c r="H1037" s="63"/>
    </row>
    <row r="1038" spans="1:8" x14ac:dyDescent="0.25">
      <c r="A1038" s="63"/>
      <c r="B1038" s="63">
        <f>'Padrão EPP'!B1038</f>
        <v>14</v>
      </c>
      <c r="C1038" s="63" t="str">
        <f>'Padrão EPP'!C1038</f>
        <v>DF</v>
      </c>
      <c r="D1038" s="63" t="str">
        <f>'Padrão EPP'!D1038</f>
        <v>INTERIOR II</v>
      </c>
      <c r="E1038" s="63">
        <f>'Padrão EPP'!E1038/2</f>
        <v>0</v>
      </c>
      <c r="F1038" s="67">
        <v>3.0000000000000001E-3</v>
      </c>
      <c r="G1038" s="67">
        <v>2E-3</v>
      </c>
      <c r="H1038" s="63"/>
    </row>
    <row r="1039" spans="1:8" x14ac:dyDescent="0.25">
      <c r="A1039" s="63"/>
      <c r="B1039" s="63">
        <f>'Padrão EPP'!B1039</f>
        <v>15</v>
      </c>
      <c r="C1039" s="63" t="str">
        <f>'Padrão EPP'!C1039</f>
        <v>DF</v>
      </c>
      <c r="D1039" s="63" t="str">
        <f>'Padrão EPP'!D1039</f>
        <v>INTERIOR II</v>
      </c>
      <c r="E1039" s="63">
        <f>'Padrão EPP'!E1039/2</f>
        <v>0</v>
      </c>
      <c r="F1039" s="67">
        <v>3.0000000000000001E-3</v>
      </c>
      <c r="G1039" s="67">
        <v>2E-3</v>
      </c>
      <c r="H1039" s="63"/>
    </row>
    <row r="1040" spans="1:8" x14ac:dyDescent="0.25">
      <c r="A1040" s="63"/>
      <c r="B1040" s="63">
        <f>'Padrão EPP'!B1040</f>
        <v>16</v>
      </c>
      <c r="C1040" s="63" t="str">
        <f>'Padrão EPP'!C1040</f>
        <v>DF</v>
      </c>
      <c r="D1040" s="63" t="str">
        <f>'Padrão EPP'!D1040</f>
        <v>INTERIOR II</v>
      </c>
      <c r="E1040" s="63">
        <f>'Padrão EPP'!E1040/2</f>
        <v>0</v>
      </c>
      <c r="F1040" s="67">
        <v>3.0000000000000001E-3</v>
      </c>
      <c r="G1040" s="67">
        <v>2E-3</v>
      </c>
      <c r="H1040" s="63"/>
    </row>
    <row r="1041" spans="1:8" x14ac:dyDescent="0.25">
      <c r="A1041" s="63"/>
      <c r="B1041" s="63">
        <f>'Padrão EPP'!B1041</f>
        <v>17</v>
      </c>
      <c r="C1041" s="63" t="str">
        <f>'Padrão EPP'!C1041</f>
        <v>DF</v>
      </c>
      <c r="D1041" s="63" t="str">
        <f>'Padrão EPP'!D1041</f>
        <v>INTERIOR II</v>
      </c>
      <c r="E1041" s="63">
        <f>'Padrão EPP'!E1041/2</f>
        <v>0</v>
      </c>
      <c r="F1041" s="67">
        <v>3.0000000000000001E-3</v>
      </c>
      <c r="G1041" s="67">
        <v>2E-3</v>
      </c>
      <c r="H1041" s="63"/>
    </row>
    <row r="1042" spans="1:8" x14ac:dyDescent="0.25">
      <c r="A1042" s="63"/>
      <c r="B1042" s="63">
        <f>'Padrão EPP'!B1042</f>
        <v>18</v>
      </c>
      <c r="C1042" s="63" t="str">
        <f>'Padrão EPP'!C1042</f>
        <v>DF</v>
      </c>
      <c r="D1042" s="63" t="str">
        <f>'Padrão EPP'!D1042</f>
        <v>INTERIOR II</v>
      </c>
      <c r="E1042" s="63">
        <f>'Padrão EPP'!E1042/2</f>
        <v>0</v>
      </c>
      <c r="F1042" s="67">
        <v>3.0000000000000001E-3</v>
      </c>
      <c r="G1042" s="67">
        <v>2E-3</v>
      </c>
      <c r="H1042" s="63"/>
    </row>
    <row r="1043" spans="1:8" x14ac:dyDescent="0.25">
      <c r="A1043" s="63"/>
      <c r="B1043" s="63">
        <f>'Padrão EPP'!B1043</f>
        <v>19</v>
      </c>
      <c r="C1043" s="63" t="str">
        <f>'Padrão EPP'!C1043</f>
        <v>DF</v>
      </c>
      <c r="D1043" s="63" t="str">
        <f>'Padrão EPP'!D1043</f>
        <v>INTERIOR II</v>
      </c>
      <c r="E1043" s="63">
        <f>'Padrão EPP'!E1043/2</f>
        <v>0</v>
      </c>
      <c r="F1043" s="67">
        <v>3.0000000000000001E-3</v>
      </c>
      <c r="G1043" s="67">
        <v>2E-3</v>
      </c>
      <c r="H1043" s="63"/>
    </row>
    <row r="1044" spans="1:8" x14ac:dyDescent="0.25">
      <c r="A1044" s="63"/>
      <c r="B1044" s="63">
        <f>'Padrão EPP'!B1044</f>
        <v>20</v>
      </c>
      <c r="C1044" s="63" t="str">
        <f>'Padrão EPP'!C1044</f>
        <v>DF</v>
      </c>
      <c r="D1044" s="63" t="str">
        <f>'Padrão EPP'!D1044</f>
        <v>INTERIOR II</v>
      </c>
      <c r="E1044" s="63">
        <f>'Padrão EPP'!E1044/2</f>
        <v>0</v>
      </c>
      <c r="F1044" s="67">
        <v>3.0000000000000001E-3</v>
      </c>
      <c r="G1044" s="67">
        <v>2E-3</v>
      </c>
      <c r="H1044" s="63"/>
    </row>
    <row r="1045" spans="1:8" x14ac:dyDescent="0.25">
      <c r="A1045" s="63"/>
      <c r="B1045" s="63">
        <f>'Padrão EPP'!B1045</f>
        <v>21</v>
      </c>
      <c r="C1045" s="63" t="str">
        <f>'Padrão EPP'!C1045</f>
        <v>DF</v>
      </c>
      <c r="D1045" s="63" t="str">
        <f>'Padrão EPP'!D1045</f>
        <v>INTERIOR II</v>
      </c>
      <c r="E1045" s="63">
        <f>'Padrão EPP'!E1045/2</f>
        <v>0</v>
      </c>
      <c r="F1045" s="67">
        <v>3.0000000000000001E-3</v>
      </c>
      <c r="G1045" s="67">
        <v>2E-3</v>
      </c>
      <c r="H1045" s="63"/>
    </row>
    <row r="1046" spans="1:8" x14ac:dyDescent="0.25">
      <c r="A1046" s="63"/>
      <c r="B1046" s="63">
        <f>'Padrão EPP'!B1046</f>
        <v>22</v>
      </c>
      <c r="C1046" s="63" t="str">
        <f>'Padrão EPP'!C1046</f>
        <v>DF</v>
      </c>
      <c r="D1046" s="63" t="str">
        <f>'Padrão EPP'!D1046</f>
        <v>INTERIOR II</v>
      </c>
      <c r="E1046" s="63">
        <f>'Padrão EPP'!E1046/2</f>
        <v>0</v>
      </c>
      <c r="F1046" s="67">
        <v>3.0000000000000001E-3</v>
      </c>
      <c r="G1046" s="67">
        <v>2E-3</v>
      </c>
      <c r="H1046" s="63"/>
    </row>
    <row r="1047" spans="1:8" x14ac:dyDescent="0.25">
      <c r="A1047" s="63"/>
      <c r="B1047" s="63">
        <f>'Padrão EPP'!B1047</f>
        <v>23</v>
      </c>
      <c r="C1047" s="63" t="str">
        <f>'Padrão EPP'!C1047</f>
        <v>DF</v>
      </c>
      <c r="D1047" s="63" t="str">
        <f>'Padrão EPP'!D1047</f>
        <v>INTERIOR II</v>
      </c>
      <c r="E1047" s="63">
        <f>'Padrão EPP'!E1047/2</f>
        <v>0</v>
      </c>
      <c r="F1047" s="67">
        <v>3.0000000000000001E-3</v>
      </c>
      <c r="G1047" s="67">
        <v>2E-3</v>
      </c>
      <c r="H1047" s="63"/>
    </row>
    <row r="1048" spans="1:8" x14ac:dyDescent="0.25">
      <c r="A1048" s="63"/>
      <c r="B1048" s="63">
        <f>'Padrão EPP'!B1048</f>
        <v>24</v>
      </c>
      <c r="C1048" s="63" t="str">
        <f>'Padrão EPP'!C1048</f>
        <v>DF</v>
      </c>
      <c r="D1048" s="63" t="str">
        <f>'Padrão EPP'!D1048</f>
        <v>INTERIOR II</v>
      </c>
      <c r="E1048" s="63">
        <f>'Padrão EPP'!E1048/2</f>
        <v>0</v>
      </c>
      <c r="F1048" s="67">
        <v>3.0000000000000001E-3</v>
      </c>
      <c r="G1048" s="67">
        <v>2E-3</v>
      </c>
      <c r="H1048" s="63"/>
    </row>
    <row r="1049" spans="1:8" x14ac:dyDescent="0.25">
      <c r="A1049" s="63"/>
      <c r="B1049" s="63">
        <f>'Padrão EPP'!B1049</f>
        <v>25</v>
      </c>
      <c r="C1049" s="63" t="str">
        <f>'Padrão EPP'!C1049</f>
        <v>DF</v>
      </c>
      <c r="D1049" s="63" t="str">
        <f>'Padrão EPP'!D1049</f>
        <v>INTERIOR II</v>
      </c>
      <c r="E1049" s="63">
        <f>'Padrão EPP'!E1049/2</f>
        <v>0</v>
      </c>
      <c r="F1049" s="67">
        <v>3.0000000000000001E-3</v>
      </c>
      <c r="G1049" s="67">
        <v>2E-3</v>
      </c>
      <c r="H1049" s="63"/>
    </row>
    <row r="1050" spans="1:8" x14ac:dyDescent="0.25">
      <c r="A1050" s="63"/>
      <c r="B1050" s="63">
        <f>'Padrão EPP'!B1050</f>
        <v>26</v>
      </c>
      <c r="C1050" s="63" t="str">
        <f>'Padrão EPP'!C1050</f>
        <v>DF</v>
      </c>
      <c r="D1050" s="63" t="str">
        <f>'Padrão EPP'!D1050</f>
        <v>INTERIOR II</v>
      </c>
      <c r="E1050" s="63">
        <f>'Padrão EPP'!E1050/2</f>
        <v>0</v>
      </c>
      <c r="F1050" s="67">
        <v>3.0000000000000001E-3</v>
      </c>
      <c r="G1050" s="67">
        <v>2E-3</v>
      </c>
      <c r="H1050" s="63"/>
    </row>
    <row r="1051" spans="1:8" x14ac:dyDescent="0.25">
      <c r="A1051" s="63"/>
      <c r="B1051" s="63">
        <f>'Padrão EPP'!B1051</f>
        <v>27</v>
      </c>
      <c r="C1051" s="63" t="str">
        <f>'Padrão EPP'!C1051</f>
        <v>DF</v>
      </c>
      <c r="D1051" s="63" t="str">
        <f>'Padrão EPP'!D1051</f>
        <v>INTERIOR II</v>
      </c>
      <c r="E1051" s="63">
        <f>'Padrão EPP'!E1051/2</f>
        <v>0</v>
      </c>
      <c r="F1051" s="67">
        <v>3.0000000000000001E-3</v>
      </c>
      <c r="G1051" s="67">
        <v>2E-3</v>
      </c>
      <c r="H1051" s="63"/>
    </row>
    <row r="1052" spans="1:8" x14ac:dyDescent="0.25">
      <c r="A1052" s="63"/>
      <c r="B1052" s="63">
        <f>'Padrão EPP'!B1052</f>
        <v>28</v>
      </c>
      <c r="C1052" s="63" t="str">
        <f>'Padrão EPP'!C1052</f>
        <v>DF</v>
      </c>
      <c r="D1052" s="63" t="str">
        <f>'Padrão EPP'!D1052</f>
        <v>INTERIOR II</v>
      </c>
      <c r="E1052" s="63">
        <f>'Padrão EPP'!E1052/2</f>
        <v>0</v>
      </c>
      <c r="F1052" s="67">
        <v>3.0000000000000001E-3</v>
      </c>
      <c r="G1052" s="67">
        <v>2E-3</v>
      </c>
      <c r="H1052" s="63"/>
    </row>
    <row r="1053" spans="1:8" x14ac:dyDescent="0.25">
      <c r="A1053" s="63"/>
      <c r="B1053" s="63">
        <f>'Padrão EPP'!B1053</f>
        <v>29</v>
      </c>
      <c r="C1053" s="63" t="str">
        <f>'Padrão EPP'!C1053</f>
        <v>DF</v>
      </c>
      <c r="D1053" s="63" t="str">
        <f>'Padrão EPP'!D1053</f>
        <v>INTERIOR II</v>
      </c>
      <c r="E1053" s="63">
        <f>'Padrão EPP'!E1053/2</f>
        <v>0</v>
      </c>
      <c r="F1053" s="67">
        <v>3.0000000000000001E-3</v>
      </c>
      <c r="G1053" s="67">
        <v>2E-3</v>
      </c>
      <c r="H1053" s="63"/>
    </row>
    <row r="1054" spans="1:8" x14ac:dyDescent="0.25">
      <c r="A1054" s="63"/>
      <c r="B1054" s="63">
        <f>'Padrão EPP'!B1054</f>
        <v>30</v>
      </c>
      <c r="C1054" s="63" t="str">
        <f>'Padrão EPP'!C1054</f>
        <v>DF</v>
      </c>
      <c r="D1054" s="63" t="str">
        <f>'Padrão EPP'!D1054</f>
        <v>INTERIOR II</v>
      </c>
      <c r="E1054" s="63">
        <f>'Padrão EPP'!E1054/2</f>
        <v>0</v>
      </c>
      <c r="F1054" s="67">
        <v>3.0000000000000001E-3</v>
      </c>
      <c r="G1054" s="67">
        <v>2E-3</v>
      </c>
      <c r="H1054" s="63"/>
    </row>
    <row r="1055" spans="1:8" x14ac:dyDescent="0.25">
      <c r="A1055" s="63"/>
      <c r="B1055" s="63">
        <f>'Padrão EPP'!B1055</f>
        <v>0</v>
      </c>
      <c r="C1055" s="63" t="str">
        <f>'Padrão EPP'!C1055</f>
        <v>DF</v>
      </c>
      <c r="D1055" s="63" t="str">
        <f>'Padrão EPP'!D1055</f>
        <v>INTERIOR II</v>
      </c>
      <c r="E1055" s="63">
        <f>'Padrão EPP'!E1055/2</f>
        <v>1.5214394455252955</v>
      </c>
      <c r="F1055" s="67">
        <v>3.0000000000000001E-3</v>
      </c>
      <c r="G1055" s="67">
        <v>2E-3</v>
      </c>
      <c r="H1055" s="63"/>
    </row>
    <row r="1056" spans="1:8" x14ac:dyDescent="0.25">
      <c r="A1056" s="63"/>
      <c r="B1056" s="63">
        <f>'Padrão EPP'!B1056</f>
        <v>0.25</v>
      </c>
      <c r="C1056" s="63" t="str">
        <f>'Padrão EPP'!C1056</f>
        <v>DF</v>
      </c>
      <c r="D1056" s="63" t="str">
        <f>'Padrão EPP'!D1056</f>
        <v>REDESPACHO</v>
      </c>
      <c r="E1056" s="63">
        <f>'Padrão EPP'!E1056/2</f>
        <v>15.647322101936179</v>
      </c>
      <c r="F1056" s="67">
        <v>3.0000000000000001E-3</v>
      </c>
      <c r="G1056" s="67">
        <v>2E-3</v>
      </c>
      <c r="H1056" s="63"/>
    </row>
    <row r="1057" spans="1:8" x14ac:dyDescent="0.25">
      <c r="A1057" s="63"/>
      <c r="B1057" s="63">
        <f>'Padrão EPP'!B1057</f>
        <v>0.5</v>
      </c>
      <c r="C1057" s="63" t="str">
        <f>'Padrão EPP'!C1057</f>
        <v>DF</v>
      </c>
      <c r="D1057" s="63" t="str">
        <f>'Padrão EPP'!D1057</f>
        <v>REDESPACHO</v>
      </c>
      <c r="E1057" s="63">
        <f>'Padrão EPP'!E1057/2</f>
        <v>15.893231853162471</v>
      </c>
      <c r="F1057" s="67">
        <v>3.0000000000000001E-3</v>
      </c>
      <c r="G1057" s="67">
        <v>2E-3</v>
      </c>
      <c r="H1057" s="63"/>
    </row>
    <row r="1058" spans="1:8" x14ac:dyDescent="0.25">
      <c r="A1058" s="63"/>
      <c r="B1058" s="63">
        <f>'Padrão EPP'!B1058</f>
        <v>0.75</v>
      </c>
      <c r="C1058" s="63" t="str">
        <f>'Padrão EPP'!C1058</f>
        <v>DF</v>
      </c>
      <c r="D1058" s="63" t="str">
        <f>'Padrão EPP'!D1058</f>
        <v>REDESPACHO</v>
      </c>
      <c r="E1058" s="63">
        <f>'Padrão EPP'!E1058/2</f>
        <v>16.337852775820608</v>
      </c>
      <c r="F1058" s="67">
        <v>3.0000000000000001E-3</v>
      </c>
      <c r="G1058" s="67">
        <v>2E-3</v>
      </c>
      <c r="H1058" s="63"/>
    </row>
    <row r="1059" spans="1:8" x14ac:dyDescent="0.25">
      <c r="A1059" s="63"/>
      <c r="B1059" s="63">
        <f>'Padrão EPP'!B1059</f>
        <v>1</v>
      </c>
      <c r="C1059" s="63" t="str">
        <f>'Padrão EPP'!C1059</f>
        <v>DF</v>
      </c>
      <c r="D1059" s="63" t="str">
        <f>'Padrão EPP'!D1059</f>
        <v>REDESPACHO</v>
      </c>
      <c r="E1059" s="63">
        <f>'Padrão EPP'!E1059/2</f>
        <v>17.080121561308097</v>
      </c>
      <c r="F1059" s="67">
        <v>3.0000000000000001E-3</v>
      </c>
      <c r="G1059" s="67">
        <v>2E-3</v>
      </c>
      <c r="H1059" s="63"/>
    </row>
    <row r="1060" spans="1:8" x14ac:dyDescent="0.25">
      <c r="A1060" s="63"/>
      <c r="B1060" s="63">
        <f>'Padrão EPP'!B1060</f>
        <v>2</v>
      </c>
      <c r="C1060" s="63" t="str">
        <f>'Padrão EPP'!C1060</f>
        <v>DF</v>
      </c>
      <c r="D1060" s="63" t="str">
        <f>'Padrão EPP'!D1060</f>
        <v>REDESPACHO</v>
      </c>
      <c r="E1060" s="63">
        <f>'Padrão EPP'!E1060/2</f>
        <v>18.199496758906822</v>
      </c>
      <c r="F1060" s="67">
        <v>3.0000000000000001E-3</v>
      </c>
      <c r="G1060" s="67">
        <v>2E-3</v>
      </c>
      <c r="H1060" s="63"/>
    </row>
    <row r="1061" spans="1:8" x14ac:dyDescent="0.25">
      <c r="A1061" s="63"/>
      <c r="B1061" s="63">
        <f>'Padrão EPP'!B1061</f>
        <v>3</v>
      </c>
      <c r="C1061" s="63" t="str">
        <f>'Padrão EPP'!C1061</f>
        <v>DF</v>
      </c>
      <c r="D1061" s="63" t="str">
        <f>'Padrão EPP'!D1061</f>
        <v>REDESPACHO</v>
      </c>
      <c r="E1061" s="63">
        <f>'Padrão EPP'!E1061/2</f>
        <v>20.717554435696851</v>
      </c>
      <c r="F1061" s="67">
        <v>3.0000000000000001E-3</v>
      </c>
      <c r="G1061" s="67">
        <v>2E-3</v>
      </c>
      <c r="H1061" s="63"/>
    </row>
    <row r="1062" spans="1:8" x14ac:dyDescent="0.25">
      <c r="A1062" s="63"/>
      <c r="B1062" s="63">
        <f>'Padrão EPP'!B1062</f>
        <v>4</v>
      </c>
      <c r="C1062" s="63" t="str">
        <f>'Padrão EPP'!C1062</f>
        <v>DF</v>
      </c>
      <c r="D1062" s="63" t="str">
        <f>'Padrão EPP'!D1062</f>
        <v>REDESPACHO</v>
      </c>
      <c r="E1062" s="63">
        <f>'Padrão EPP'!E1062/2</f>
        <v>25.496346790142354</v>
      </c>
      <c r="F1062" s="67">
        <v>3.0000000000000001E-3</v>
      </c>
      <c r="G1062" s="67">
        <v>2E-3</v>
      </c>
      <c r="H1062" s="63"/>
    </row>
    <row r="1063" spans="1:8" x14ac:dyDescent="0.25">
      <c r="A1063" s="63"/>
      <c r="B1063" s="63">
        <f>'Padrão EPP'!B1063</f>
        <v>5</v>
      </c>
      <c r="C1063" s="63" t="str">
        <f>'Padrão EPP'!C1063</f>
        <v>DF</v>
      </c>
      <c r="D1063" s="63" t="str">
        <f>'Padrão EPP'!D1063</f>
        <v>REDESPACHO</v>
      </c>
      <c r="E1063" s="63">
        <f>'Padrão EPP'!E1063/2</f>
        <v>28.48816697431435</v>
      </c>
      <c r="F1063" s="67">
        <v>3.0000000000000001E-3</v>
      </c>
      <c r="G1063" s="67">
        <v>2E-3</v>
      </c>
      <c r="H1063" s="63"/>
    </row>
    <row r="1064" spans="1:8" x14ac:dyDescent="0.25">
      <c r="A1064" s="63"/>
      <c r="B1064" s="63">
        <f>'Padrão EPP'!B1064</f>
        <v>6</v>
      </c>
      <c r="C1064" s="63" t="str">
        <f>'Padrão EPP'!C1064</f>
        <v>DF</v>
      </c>
      <c r="D1064" s="63" t="str">
        <f>'Padrão EPP'!D1064</f>
        <v>REDESPACHO</v>
      </c>
      <c r="E1064" s="63">
        <f>'Padrão EPP'!E1064/2</f>
        <v>32.772124092297517</v>
      </c>
      <c r="F1064" s="67">
        <v>3.0000000000000001E-3</v>
      </c>
      <c r="G1064" s="67">
        <v>2E-3</v>
      </c>
      <c r="H1064" s="63"/>
    </row>
    <row r="1065" spans="1:8" x14ac:dyDescent="0.25">
      <c r="A1065" s="63"/>
      <c r="B1065" s="63">
        <f>'Padrão EPP'!B1065</f>
        <v>7</v>
      </c>
      <c r="C1065" s="63" t="str">
        <f>'Padrão EPP'!C1065</f>
        <v>DF</v>
      </c>
      <c r="D1065" s="63" t="str">
        <f>'Padrão EPP'!D1065</f>
        <v>REDESPACHO</v>
      </c>
      <c r="E1065" s="63">
        <f>'Padrão EPP'!E1065/2</f>
        <v>36.637504949204967</v>
      </c>
      <c r="F1065" s="67">
        <v>3.0000000000000001E-3</v>
      </c>
      <c r="G1065" s="67">
        <v>2E-3</v>
      </c>
      <c r="H1065" s="63"/>
    </row>
    <row r="1066" spans="1:8" x14ac:dyDescent="0.25">
      <c r="A1066" s="63"/>
      <c r="B1066" s="63">
        <f>'Padrão EPP'!B1066</f>
        <v>8</v>
      </c>
      <c r="C1066" s="63" t="str">
        <f>'Padrão EPP'!C1066</f>
        <v>DF</v>
      </c>
      <c r="D1066" s="63" t="str">
        <f>'Padrão EPP'!D1066</f>
        <v>REDESPACHO</v>
      </c>
      <c r="E1066" s="63">
        <f>'Padrão EPP'!E1066/2</f>
        <v>40.444623736337981</v>
      </c>
      <c r="F1066" s="67">
        <v>3.0000000000000001E-3</v>
      </c>
      <c r="G1066" s="67">
        <v>2E-3</v>
      </c>
      <c r="H1066" s="63"/>
    </row>
    <row r="1067" spans="1:8" x14ac:dyDescent="0.25">
      <c r="A1067" s="63"/>
      <c r="B1067" s="63">
        <f>'Padrão EPP'!B1067</f>
        <v>9</v>
      </c>
      <c r="C1067" s="63" t="str">
        <f>'Padrão EPP'!C1067</f>
        <v>DF</v>
      </c>
      <c r="D1067" s="63" t="str">
        <f>'Padrão EPP'!D1067</f>
        <v>REDESPACHO</v>
      </c>
      <c r="E1067" s="63">
        <f>'Padrão EPP'!E1067/2</f>
        <v>43.651702145059417</v>
      </c>
      <c r="F1067" s="67">
        <v>3.0000000000000001E-3</v>
      </c>
      <c r="G1067" s="67">
        <v>2E-3</v>
      </c>
      <c r="H1067" s="63"/>
    </row>
    <row r="1068" spans="1:8" x14ac:dyDescent="0.25">
      <c r="A1068" s="63"/>
      <c r="B1068" s="63">
        <f>'Padrão EPP'!B1068</f>
        <v>10</v>
      </c>
      <c r="C1068" s="63" t="str">
        <f>'Padrão EPP'!C1068</f>
        <v>DF</v>
      </c>
      <c r="D1068" s="63" t="str">
        <f>'Padrão EPP'!D1068</f>
        <v>REDESPACHO</v>
      </c>
      <c r="E1068" s="63">
        <f>'Padrão EPP'!E1068/2</f>
        <v>47.038529784984028</v>
      </c>
      <c r="F1068" s="67">
        <v>3.0000000000000001E-3</v>
      </c>
      <c r="G1068" s="67">
        <v>2E-3</v>
      </c>
      <c r="H1068" s="63"/>
    </row>
    <row r="1069" spans="1:8" x14ac:dyDescent="0.25">
      <c r="A1069" s="63"/>
      <c r="B1069" s="63">
        <f>'Padrão EPP'!B1069</f>
        <v>11</v>
      </c>
      <c r="C1069" s="63" t="str">
        <f>'Padrão EPP'!C1069</f>
        <v>DF</v>
      </c>
      <c r="D1069" s="63" t="str">
        <f>'Padrão EPP'!D1069</f>
        <v>REDESPACHO</v>
      </c>
      <c r="E1069" s="63">
        <f>'Padrão EPP'!E1069/2</f>
        <v>0</v>
      </c>
      <c r="F1069" s="67">
        <v>3.0000000000000001E-3</v>
      </c>
      <c r="G1069" s="67">
        <v>2E-3</v>
      </c>
      <c r="H1069" s="63"/>
    </row>
    <row r="1070" spans="1:8" x14ac:dyDescent="0.25">
      <c r="A1070" s="63"/>
      <c r="B1070" s="63">
        <f>'Padrão EPP'!B1070</f>
        <v>12</v>
      </c>
      <c r="C1070" s="63" t="str">
        <f>'Padrão EPP'!C1070</f>
        <v>DF</v>
      </c>
      <c r="D1070" s="63" t="str">
        <f>'Padrão EPP'!D1070</f>
        <v>REDESPACHO</v>
      </c>
      <c r="E1070" s="63">
        <f>'Padrão EPP'!E1070/2</f>
        <v>0</v>
      </c>
      <c r="F1070" s="67">
        <v>3.0000000000000001E-3</v>
      </c>
      <c r="G1070" s="67">
        <v>2E-3</v>
      </c>
      <c r="H1070" s="63"/>
    </row>
    <row r="1071" spans="1:8" x14ac:dyDescent="0.25">
      <c r="A1071" s="63"/>
      <c r="B1071" s="63">
        <f>'Padrão EPP'!B1071</f>
        <v>13</v>
      </c>
      <c r="C1071" s="63" t="str">
        <f>'Padrão EPP'!C1071</f>
        <v>DF</v>
      </c>
      <c r="D1071" s="63" t="str">
        <f>'Padrão EPP'!D1071</f>
        <v>REDESPACHO</v>
      </c>
      <c r="E1071" s="63">
        <f>'Padrão EPP'!E1071/2</f>
        <v>0</v>
      </c>
      <c r="F1071" s="67">
        <v>3.0000000000000001E-3</v>
      </c>
      <c r="G1071" s="67">
        <v>2E-3</v>
      </c>
      <c r="H1071" s="63"/>
    </row>
    <row r="1072" spans="1:8" x14ac:dyDescent="0.25">
      <c r="A1072" s="63"/>
      <c r="B1072" s="63">
        <f>'Padrão EPP'!B1072</f>
        <v>14</v>
      </c>
      <c r="C1072" s="63" t="str">
        <f>'Padrão EPP'!C1072</f>
        <v>DF</v>
      </c>
      <c r="D1072" s="63" t="str">
        <f>'Padrão EPP'!D1072</f>
        <v>REDESPACHO</v>
      </c>
      <c r="E1072" s="63">
        <f>'Padrão EPP'!E1072/2</f>
        <v>0</v>
      </c>
      <c r="F1072" s="67">
        <v>3.0000000000000001E-3</v>
      </c>
      <c r="G1072" s="67">
        <v>2E-3</v>
      </c>
      <c r="H1072" s="63"/>
    </row>
    <row r="1073" spans="1:8" x14ac:dyDescent="0.25">
      <c r="A1073" s="63"/>
      <c r="B1073" s="63">
        <f>'Padrão EPP'!B1073</f>
        <v>15</v>
      </c>
      <c r="C1073" s="63" t="str">
        <f>'Padrão EPP'!C1073</f>
        <v>DF</v>
      </c>
      <c r="D1073" s="63" t="str">
        <f>'Padrão EPP'!D1073</f>
        <v>REDESPACHO</v>
      </c>
      <c r="E1073" s="63">
        <f>'Padrão EPP'!E1073/2</f>
        <v>0</v>
      </c>
      <c r="F1073" s="67">
        <v>3.0000000000000001E-3</v>
      </c>
      <c r="G1073" s="67">
        <v>2E-3</v>
      </c>
      <c r="H1073" s="63"/>
    </row>
    <row r="1074" spans="1:8" x14ac:dyDescent="0.25">
      <c r="A1074" s="63"/>
      <c r="B1074" s="63">
        <f>'Padrão EPP'!B1074</f>
        <v>16</v>
      </c>
      <c r="C1074" s="63" t="str">
        <f>'Padrão EPP'!C1074</f>
        <v>DF</v>
      </c>
      <c r="D1074" s="63" t="str">
        <f>'Padrão EPP'!D1074</f>
        <v>REDESPACHO</v>
      </c>
      <c r="E1074" s="63">
        <f>'Padrão EPP'!E1074/2</f>
        <v>0</v>
      </c>
      <c r="F1074" s="67">
        <v>3.0000000000000001E-3</v>
      </c>
      <c r="G1074" s="67">
        <v>2E-3</v>
      </c>
      <c r="H1074" s="63"/>
    </row>
    <row r="1075" spans="1:8" x14ac:dyDescent="0.25">
      <c r="A1075" s="63"/>
      <c r="B1075" s="63">
        <f>'Padrão EPP'!B1075</f>
        <v>17</v>
      </c>
      <c r="C1075" s="63" t="str">
        <f>'Padrão EPP'!C1075</f>
        <v>DF</v>
      </c>
      <c r="D1075" s="63" t="str">
        <f>'Padrão EPP'!D1075</f>
        <v>REDESPACHO</v>
      </c>
      <c r="E1075" s="63">
        <f>'Padrão EPP'!E1075/2</f>
        <v>0</v>
      </c>
      <c r="F1075" s="67">
        <v>3.0000000000000001E-3</v>
      </c>
      <c r="G1075" s="67">
        <v>2E-3</v>
      </c>
      <c r="H1075" s="63"/>
    </row>
    <row r="1076" spans="1:8" x14ac:dyDescent="0.25">
      <c r="A1076" s="63"/>
      <c r="B1076" s="63">
        <f>'Padrão EPP'!B1076</f>
        <v>18</v>
      </c>
      <c r="C1076" s="63" t="str">
        <f>'Padrão EPP'!C1076</f>
        <v>DF</v>
      </c>
      <c r="D1076" s="63" t="str">
        <f>'Padrão EPP'!D1076</f>
        <v>REDESPACHO</v>
      </c>
      <c r="E1076" s="63">
        <f>'Padrão EPP'!E1076/2</f>
        <v>0</v>
      </c>
      <c r="F1076" s="67">
        <v>3.0000000000000001E-3</v>
      </c>
      <c r="G1076" s="67">
        <v>2E-3</v>
      </c>
      <c r="H1076" s="63"/>
    </row>
    <row r="1077" spans="1:8" x14ac:dyDescent="0.25">
      <c r="A1077" s="63"/>
      <c r="B1077" s="63">
        <f>'Padrão EPP'!B1077</f>
        <v>19</v>
      </c>
      <c r="C1077" s="63" t="str">
        <f>'Padrão EPP'!C1077</f>
        <v>DF</v>
      </c>
      <c r="D1077" s="63" t="str">
        <f>'Padrão EPP'!D1077</f>
        <v>REDESPACHO</v>
      </c>
      <c r="E1077" s="63">
        <f>'Padrão EPP'!E1077/2</f>
        <v>0</v>
      </c>
      <c r="F1077" s="67">
        <v>3.0000000000000001E-3</v>
      </c>
      <c r="G1077" s="67">
        <v>2E-3</v>
      </c>
      <c r="H1077" s="63"/>
    </row>
    <row r="1078" spans="1:8" x14ac:dyDescent="0.25">
      <c r="A1078" s="63"/>
      <c r="B1078" s="63">
        <f>'Padrão EPP'!B1078</f>
        <v>20</v>
      </c>
      <c r="C1078" s="63" t="str">
        <f>'Padrão EPP'!C1078</f>
        <v>DF</v>
      </c>
      <c r="D1078" s="63" t="str">
        <f>'Padrão EPP'!D1078</f>
        <v>REDESPACHO</v>
      </c>
      <c r="E1078" s="63">
        <f>'Padrão EPP'!E1078/2</f>
        <v>0</v>
      </c>
      <c r="F1078" s="67">
        <v>3.0000000000000001E-3</v>
      </c>
      <c r="G1078" s="67">
        <v>2E-3</v>
      </c>
      <c r="H1078" s="63"/>
    </row>
    <row r="1079" spans="1:8" x14ac:dyDescent="0.25">
      <c r="A1079" s="63"/>
      <c r="B1079" s="63">
        <f>'Padrão EPP'!B1079</f>
        <v>21</v>
      </c>
      <c r="C1079" s="63" t="str">
        <f>'Padrão EPP'!C1079</f>
        <v>DF</v>
      </c>
      <c r="D1079" s="63" t="str">
        <f>'Padrão EPP'!D1079</f>
        <v>REDESPACHO</v>
      </c>
      <c r="E1079" s="63">
        <f>'Padrão EPP'!E1079/2</f>
        <v>0</v>
      </c>
      <c r="F1079" s="67">
        <v>3.0000000000000001E-3</v>
      </c>
      <c r="G1079" s="67">
        <v>2E-3</v>
      </c>
      <c r="H1079" s="63"/>
    </row>
    <row r="1080" spans="1:8" x14ac:dyDescent="0.25">
      <c r="A1080" s="63"/>
      <c r="B1080" s="63">
        <f>'Padrão EPP'!B1080</f>
        <v>22</v>
      </c>
      <c r="C1080" s="63" t="str">
        <f>'Padrão EPP'!C1080</f>
        <v>DF</v>
      </c>
      <c r="D1080" s="63" t="str">
        <f>'Padrão EPP'!D1080</f>
        <v>REDESPACHO</v>
      </c>
      <c r="E1080" s="63">
        <f>'Padrão EPP'!E1080/2</f>
        <v>0</v>
      </c>
      <c r="F1080" s="67">
        <v>3.0000000000000001E-3</v>
      </c>
      <c r="G1080" s="67">
        <v>2E-3</v>
      </c>
      <c r="H1080" s="63"/>
    </row>
    <row r="1081" spans="1:8" x14ac:dyDescent="0.25">
      <c r="A1081" s="63"/>
      <c r="B1081" s="63">
        <f>'Padrão EPP'!B1081</f>
        <v>23</v>
      </c>
      <c r="C1081" s="63" t="str">
        <f>'Padrão EPP'!C1081</f>
        <v>DF</v>
      </c>
      <c r="D1081" s="63" t="str">
        <f>'Padrão EPP'!D1081</f>
        <v>REDESPACHO</v>
      </c>
      <c r="E1081" s="63">
        <f>'Padrão EPP'!E1081/2</f>
        <v>0</v>
      </c>
      <c r="F1081" s="67">
        <v>3.0000000000000001E-3</v>
      </c>
      <c r="G1081" s="67">
        <v>2E-3</v>
      </c>
      <c r="H1081" s="63"/>
    </row>
    <row r="1082" spans="1:8" x14ac:dyDescent="0.25">
      <c r="A1082" s="63"/>
      <c r="B1082" s="63">
        <f>'Padrão EPP'!B1082</f>
        <v>24</v>
      </c>
      <c r="C1082" s="63" t="str">
        <f>'Padrão EPP'!C1082</f>
        <v>DF</v>
      </c>
      <c r="D1082" s="63" t="str">
        <f>'Padrão EPP'!D1082</f>
        <v>REDESPACHO</v>
      </c>
      <c r="E1082" s="63">
        <f>'Padrão EPP'!E1082/2</f>
        <v>0</v>
      </c>
      <c r="F1082" s="67">
        <v>3.0000000000000001E-3</v>
      </c>
      <c r="G1082" s="67">
        <v>2E-3</v>
      </c>
      <c r="H1082" s="63"/>
    </row>
    <row r="1083" spans="1:8" x14ac:dyDescent="0.25">
      <c r="A1083" s="63"/>
      <c r="B1083" s="63">
        <f>'Padrão EPP'!B1083</f>
        <v>25</v>
      </c>
      <c r="C1083" s="63" t="str">
        <f>'Padrão EPP'!C1083</f>
        <v>DF</v>
      </c>
      <c r="D1083" s="63" t="str">
        <f>'Padrão EPP'!D1083</f>
        <v>REDESPACHO</v>
      </c>
      <c r="E1083" s="63">
        <f>'Padrão EPP'!E1083/2</f>
        <v>0</v>
      </c>
      <c r="F1083" s="67">
        <v>3.0000000000000001E-3</v>
      </c>
      <c r="G1083" s="67">
        <v>2E-3</v>
      </c>
      <c r="H1083" s="63"/>
    </row>
    <row r="1084" spans="1:8" x14ac:dyDescent="0.25">
      <c r="A1084" s="63"/>
      <c r="B1084" s="63">
        <f>'Padrão EPP'!B1084</f>
        <v>26</v>
      </c>
      <c r="C1084" s="63" t="str">
        <f>'Padrão EPP'!C1084</f>
        <v>DF</v>
      </c>
      <c r="D1084" s="63" t="str">
        <f>'Padrão EPP'!D1084</f>
        <v>REDESPACHO</v>
      </c>
      <c r="E1084" s="63">
        <f>'Padrão EPP'!E1084/2</f>
        <v>0</v>
      </c>
      <c r="F1084" s="67">
        <v>3.0000000000000001E-3</v>
      </c>
      <c r="G1084" s="67">
        <v>2E-3</v>
      </c>
      <c r="H1084" s="63"/>
    </row>
    <row r="1085" spans="1:8" x14ac:dyDescent="0.25">
      <c r="A1085" s="63"/>
      <c r="B1085" s="63">
        <f>'Padrão EPP'!B1085</f>
        <v>27</v>
      </c>
      <c r="C1085" s="63" t="str">
        <f>'Padrão EPP'!C1085</f>
        <v>DF</v>
      </c>
      <c r="D1085" s="63" t="str">
        <f>'Padrão EPP'!D1085</f>
        <v>REDESPACHO</v>
      </c>
      <c r="E1085" s="63">
        <f>'Padrão EPP'!E1085/2</f>
        <v>0</v>
      </c>
      <c r="F1085" s="67">
        <v>3.0000000000000001E-3</v>
      </c>
      <c r="G1085" s="67">
        <v>2E-3</v>
      </c>
      <c r="H1085" s="63"/>
    </row>
    <row r="1086" spans="1:8" x14ac:dyDescent="0.25">
      <c r="A1086" s="63"/>
      <c r="B1086" s="63">
        <f>'Padrão EPP'!B1086</f>
        <v>28</v>
      </c>
      <c r="C1086" s="63" t="str">
        <f>'Padrão EPP'!C1086</f>
        <v>DF</v>
      </c>
      <c r="D1086" s="63" t="str">
        <f>'Padrão EPP'!D1086</f>
        <v>REDESPACHO</v>
      </c>
      <c r="E1086" s="63">
        <f>'Padrão EPP'!E1086/2</f>
        <v>0</v>
      </c>
      <c r="F1086" s="67">
        <v>3.0000000000000001E-3</v>
      </c>
      <c r="G1086" s="67">
        <v>2E-3</v>
      </c>
      <c r="H1086" s="63"/>
    </row>
    <row r="1087" spans="1:8" x14ac:dyDescent="0.25">
      <c r="A1087" s="63"/>
      <c r="B1087" s="63">
        <f>'Padrão EPP'!B1087</f>
        <v>29</v>
      </c>
      <c r="C1087" s="63" t="str">
        <f>'Padrão EPP'!C1087</f>
        <v>DF</v>
      </c>
      <c r="D1087" s="63" t="str">
        <f>'Padrão EPP'!D1087</f>
        <v>REDESPACHO</v>
      </c>
      <c r="E1087" s="63">
        <f>'Padrão EPP'!E1087/2</f>
        <v>0</v>
      </c>
      <c r="F1087" s="67">
        <v>3.0000000000000001E-3</v>
      </c>
      <c r="G1087" s="67">
        <v>2E-3</v>
      </c>
      <c r="H1087" s="63"/>
    </row>
    <row r="1088" spans="1:8" x14ac:dyDescent="0.25">
      <c r="A1088" s="63"/>
      <c r="B1088" s="63">
        <f>'Padrão EPP'!B1088</f>
        <v>30</v>
      </c>
      <c r="C1088" s="63" t="str">
        <f>'Padrão EPP'!C1088</f>
        <v>DF</v>
      </c>
      <c r="D1088" s="63" t="str">
        <f>'Padrão EPP'!D1088</f>
        <v>REDESPACHO</v>
      </c>
      <c r="E1088" s="63">
        <f>'Padrão EPP'!E1088/2</f>
        <v>0</v>
      </c>
      <c r="F1088" s="67">
        <v>3.0000000000000001E-3</v>
      </c>
      <c r="G1088" s="67">
        <v>2E-3</v>
      </c>
      <c r="H1088" s="63"/>
    </row>
    <row r="1089" spans="1:8" x14ac:dyDescent="0.25">
      <c r="A1089" s="63"/>
      <c r="B1089" s="63">
        <f>'Padrão EPP'!B1089</f>
        <v>0</v>
      </c>
      <c r="C1089" s="63" t="str">
        <f>'Padrão EPP'!C1089</f>
        <v>DF</v>
      </c>
      <c r="D1089" s="63" t="str">
        <f>'Padrão EPP'!D1089</f>
        <v>REDESPACHO</v>
      </c>
      <c r="E1089" s="63">
        <f>'Padrão EPP'!E1089/2</f>
        <v>1.5214394455252955</v>
      </c>
      <c r="F1089" s="67">
        <v>3.0000000000000001E-3</v>
      </c>
      <c r="G1089" s="67">
        <v>2E-3</v>
      </c>
      <c r="H1089" s="63"/>
    </row>
    <row r="1090" spans="1:8" x14ac:dyDescent="0.25">
      <c r="A1090" s="63"/>
      <c r="B1090" s="63">
        <f>'Padrão EPP'!B1090</f>
        <v>0.25</v>
      </c>
      <c r="C1090" s="63" t="str">
        <f>'Padrão EPP'!C1090</f>
        <v>GO</v>
      </c>
      <c r="D1090" s="63" t="str">
        <f>'Padrão EPP'!D1090</f>
        <v>CAPITAL</v>
      </c>
      <c r="E1090" s="63">
        <f>'Padrão EPP'!E1090/2</f>
        <v>5.739320971723302</v>
      </c>
      <c r="F1090" s="67">
        <v>3.0000000000000001E-3</v>
      </c>
      <c r="G1090" s="67">
        <v>2E-3</v>
      </c>
      <c r="H1090" s="63"/>
    </row>
    <row r="1091" spans="1:8" x14ac:dyDescent="0.25">
      <c r="A1091" s="63"/>
      <c r="B1091" s="63">
        <f>'Padrão EPP'!B1091</f>
        <v>0.5</v>
      </c>
      <c r="C1091" s="63" t="str">
        <f>'Padrão EPP'!C1091</f>
        <v>GO</v>
      </c>
      <c r="D1091" s="63" t="str">
        <f>'Padrão EPP'!D1091</f>
        <v>CAPITAL</v>
      </c>
      <c r="E1091" s="63">
        <f>'Padrão EPP'!E1091/2</f>
        <v>7.1631517146336945</v>
      </c>
      <c r="F1091" s="67">
        <v>3.0000000000000001E-3</v>
      </c>
      <c r="G1091" s="67">
        <v>2E-3</v>
      </c>
      <c r="H1091" s="63"/>
    </row>
    <row r="1092" spans="1:8" x14ac:dyDescent="0.25">
      <c r="A1092" s="63"/>
      <c r="B1092" s="63">
        <f>'Padrão EPP'!B1092</f>
        <v>0.75</v>
      </c>
      <c r="C1092" s="63" t="str">
        <f>'Padrão EPP'!C1092</f>
        <v>GO</v>
      </c>
      <c r="D1092" s="63" t="str">
        <f>'Padrão EPP'!D1092</f>
        <v>CAPITAL</v>
      </c>
      <c r="E1092" s="63">
        <f>'Padrão EPP'!E1092/2</f>
        <v>7.3770872276157817</v>
      </c>
      <c r="F1092" s="67">
        <v>3.0000000000000001E-3</v>
      </c>
      <c r="G1092" s="67">
        <v>2E-3</v>
      </c>
      <c r="H1092" s="63"/>
    </row>
    <row r="1093" spans="1:8" x14ac:dyDescent="0.25">
      <c r="A1093" s="63"/>
      <c r="B1093" s="63">
        <f>'Padrão EPP'!B1093</f>
        <v>1</v>
      </c>
      <c r="C1093" s="63" t="str">
        <f>'Padrão EPP'!C1093</f>
        <v>GO</v>
      </c>
      <c r="D1093" s="63" t="str">
        <f>'Padrão EPP'!D1093</f>
        <v>CAPITAL</v>
      </c>
      <c r="E1093" s="63">
        <f>'Padrão EPP'!E1093/2</f>
        <v>7.6376160174354935</v>
      </c>
      <c r="F1093" s="67">
        <v>3.0000000000000001E-3</v>
      </c>
      <c r="G1093" s="67">
        <v>2E-3</v>
      </c>
      <c r="H1093" s="63"/>
    </row>
    <row r="1094" spans="1:8" x14ac:dyDescent="0.25">
      <c r="A1094" s="63"/>
      <c r="B1094" s="63">
        <f>'Padrão EPP'!B1094</f>
        <v>2</v>
      </c>
      <c r="C1094" s="63" t="str">
        <f>'Padrão EPP'!C1094</f>
        <v>GO</v>
      </c>
      <c r="D1094" s="63" t="str">
        <f>'Padrão EPP'!D1094</f>
        <v>CAPITAL</v>
      </c>
      <c r="E1094" s="63">
        <f>'Padrão EPP'!E1094/2</f>
        <v>8.3768026277809504</v>
      </c>
      <c r="F1094" s="67">
        <v>3.0000000000000001E-3</v>
      </c>
      <c r="G1094" s="67">
        <v>2E-3</v>
      </c>
      <c r="H1094" s="63"/>
    </row>
    <row r="1095" spans="1:8" x14ac:dyDescent="0.25">
      <c r="A1095" s="63"/>
      <c r="B1095" s="63">
        <f>'Padrão EPP'!B1095</f>
        <v>3</v>
      </c>
      <c r="C1095" s="63" t="str">
        <f>'Padrão EPP'!C1095</f>
        <v>GO</v>
      </c>
      <c r="D1095" s="63" t="str">
        <f>'Padrão EPP'!D1095</f>
        <v>CAPITAL</v>
      </c>
      <c r="E1095" s="63">
        <f>'Padrão EPP'!E1095/2</f>
        <v>9.7046325961436946</v>
      </c>
      <c r="F1095" s="67">
        <v>3.0000000000000001E-3</v>
      </c>
      <c r="G1095" s="67">
        <v>2E-3</v>
      </c>
      <c r="H1095" s="63"/>
    </row>
    <row r="1096" spans="1:8" x14ac:dyDescent="0.25">
      <c r="A1096" s="63"/>
      <c r="B1096" s="63">
        <f>'Padrão EPP'!B1096</f>
        <v>4</v>
      </c>
      <c r="C1096" s="63" t="str">
        <f>'Padrão EPP'!C1096</f>
        <v>GO</v>
      </c>
      <c r="D1096" s="63" t="str">
        <f>'Padrão EPP'!D1096</f>
        <v>CAPITAL</v>
      </c>
      <c r="E1096" s="63">
        <f>'Padrão EPP'!E1096/2</f>
        <v>11.302566556309161</v>
      </c>
      <c r="F1096" s="67">
        <v>3.0000000000000001E-3</v>
      </c>
      <c r="G1096" s="67">
        <v>2E-3</v>
      </c>
      <c r="H1096" s="63"/>
    </row>
    <row r="1097" spans="1:8" x14ac:dyDescent="0.25">
      <c r="A1097" s="63"/>
      <c r="B1097" s="63">
        <f>'Padrão EPP'!B1097</f>
        <v>5</v>
      </c>
      <c r="C1097" s="63" t="str">
        <f>'Padrão EPP'!C1097</f>
        <v>GO</v>
      </c>
      <c r="D1097" s="63" t="str">
        <f>'Padrão EPP'!D1097</f>
        <v>CAPITAL</v>
      </c>
      <c r="E1097" s="63">
        <f>'Padrão EPP'!E1097/2</f>
        <v>13.029755964212987</v>
      </c>
      <c r="F1097" s="67">
        <v>3.0000000000000001E-3</v>
      </c>
      <c r="G1097" s="67">
        <v>2E-3</v>
      </c>
      <c r="H1097" s="63"/>
    </row>
    <row r="1098" spans="1:8" x14ac:dyDescent="0.25">
      <c r="A1098" s="63"/>
      <c r="B1098" s="63">
        <f>'Padrão EPP'!B1098</f>
        <v>6</v>
      </c>
      <c r="C1098" s="63" t="str">
        <f>'Padrão EPP'!C1098</f>
        <v>GO</v>
      </c>
      <c r="D1098" s="63" t="str">
        <f>'Padrão EPP'!D1098</f>
        <v>CAPITAL</v>
      </c>
      <c r="E1098" s="63">
        <f>'Padrão EPP'!E1098/2</f>
        <v>15.678114472343132</v>
      </c>
      <c r="F1098" s="67">
        <v>3.0000000000000001E-3</v>
      </c>
      <c r="G1098" s="67">
        <v>2E-3</v>
      </c>
      <c r="H1098" s="63"/>
    </row>
    <row r="1099" spans="1:8" x14ac:dyDescent="0.25">
      <c r="A1099" s="63"/>
      <c r="B1099" s="63">
        <f>'Padrão EPP'!B1099</f>
        <v>7</v>
      </c>
      <c r="C1099" s="63" t="str">
        <f>'Padrão EPP'!C1099</f>
        <v>GO</v>
      </c>
      <c r="D1099" s="63" t="str">
        <f>'Padrão EPP'!D1099</f>
        <v>CAPITAL</v>
      </c>
      <c r="E1099" s="63">
        <f>'Padrão EPP'!E1099/2</f>
        <v>17.165358327606413</v>
      </c>
      <c r="F1099" s="67">
        <v>3.0000000000000001E-3</v>
      </c>
      <c r="G1099" s="67">
        <v>2E-3</v>
      </c>
      <c r="H1099" s="63"/>
    </row>
    <row r="1100" spans="1:8" x14ac:dyDescent="0.25">
      <c r="A1100" s="63"/>
      <c r="B1100" s="63">
        <f>'Padrão EPP'!B1100</f>
        <v>8</v>
      </c>
      <c r="C1100" s="63" t="str">
        <f>'Padrão EPP'!C1100</f>
        <v>GO</v>
      </c>
      <c r="D1100" s="63" t="str">
        <f>'Padrão EPP'!D1100</f>
        <v>CAPITAL</v>
      </c>
      <c r="E1100" s="63">
        <f>'Padrão EPP'!E1100/2</f>
        <v>19.154231501622387</v>
      </c>
      <c r="F1100" s="67">
        <v>3.0000000000000001E-3</v>
      </c>
      <c r="G1100" s="67">
        <v>2E-3</v>
      </c>
      <c r="H1100" s="63"/>
    </row>
    <row r="1101" spans="1:8" x14ac:dyDescent="0.25">
      <c r="A1101" s="63"/>
      <c r="B1101" s="63">
        <f>'Padrão EPP'!B1101</f>
        <v>9</v>
      </c>
      <c r="C1101" s="63" t="str">
        <f>'Padrão EPP'!C1101</f>
        <v>GO</v>
      </c>
      <c r="D1101" s="63" t="str">
        <f>'Padrão EPP'!D1101</f>
        <v>CAPITAL</v>
      </c>
      <c r="E1101" s="63">
        <f>'Padrão EPP'!E1101/2</f>
        <v>20.745169023511313</v>
      </c>
      <c r="F1101" s="67">
        <v>3.0000000000000001E-3</v>
      </c>
      <c r="G1101" s="67">
        <v>2E-3</v>
      </c>
      <c r="H1101" s="63"/>
    </row>
    <row r="1102" spans="1:8" x14ac:dyDescent="0.25">
      <c r="A1102" s="63"/>
      <c r="B1102" s="63">
        <f>'Padrão EPP'!B1102</f>
        <v>10</v>
      </c>
      <c r="C1102" s="63" t="str">
        <f>'Padrão EPP'!C1102</f>
        <v>GO</v>
      </c>
      <c r="D1102" s="63" t="str">
        <f>'Padrão EPP'!D1102</f>
        <v>CAPITAL</v>
      </c>
      <c r="E1102" s="63">
        <f>'Padrão EPP'!E1102/2</f>
        <v>22.086021405068315</v>
      </c>
      <c r="F1102" s="67">
        <v>3.0000000000000001E-3</v>
      </c>
      <c r="G1102" s="67">
        <v>2E-3</v>
      </c>
      <c r="H1102" s="63"/>
    </row>
    <row r="1103" spans="1:8" x14ac:dyDescent="0.25">
      <c r="A1103" s="63"/>
      <c r="B1103" s="63">
        <f>'Padrão EPP'!B1103</f>
        <v>11</v>
      </c>
      <c r="C1103" s="63" t="str">
        <f>'Padrão EPP'!C1103</f>
        <v>GO</v>
      </c>
      <c r="D1103" s="63" t="str">
        <f>'Padrão EPP'!D1103</f>
        <v>CAPITAL</v>
      </c>
      <c r="E1103" s="63">
        <f>'Padrão EPP'!E1103/2</f>
        <v>0</v>
      </c>
      <c r="F1103" s="67">
        <v>3.0000000000000001E-3</v>
      </c>
      <c r="G1103" s="67">
        <v>2E-3</v>
      </c>
      <c r="H1103" s="63"/>
    </row>
    <row r="1104" spans="1:8" x14ac:dyDescent="0.25">
      <c r="A1104" s="63"/>
      <c r="B1104" s="63">
        <f>'Padrão EPP'!B1104</f>
        <v>12</v>
      </c>
      <c r="C1104" s="63" t="str">
        <f>'Padrão EPP'!C1104</f>
        <v>GO</v>
      </c>
      <c r="D1104" s="63" t="str">
        <f>'Padrão EPP'!D1104</f>
        <v>CAPITAL</v>
      </c>
      <c r="E1104" s="63">
        <f>'Padrão EPP'!E1104/2</f>
        <v>0</v>
      </c>
      <c r="F1104" s="67">
        <v>3.0000000000000001E-3</v>
      </c>
      <c r="G1104" s="67">
        <v>2E-3</v>
      </c>
      <c r="H1104" s="63"/>
    </row>
    <row r="1105" spans="1:8" x14ac:dyDescent="0.25">
      <c r="A1105" s="63"/>
      <c r="B1105" s="63">
        <f>'Padrão EPP'!B1105</f>
        <v>13</v>
      </c>
      <c r="C1105" s="63" t="str">
        <f>'Padrão EPP'!C1105</f>
        <v>GO</v>
      </c>
      <c r="D1105" s="63" t="str">
        <f>'Padrão EPP'!D1105</f>
        <v>CAPITAL</v>
      </c>
      <c r="E1105" s="63">
        <f>'Padrão EPP'!E1105/2</f>
        <v>0</v>
      </c>
      <c r="F1105" s="67">
        <v>3.0000000000000001E-3</v>
      </c>
      <c r="G1105" s="67">
        <v>2E-3</v>
      </c>
      <c r="H1105" s="63"/>
    </row>
    <row r="1106" spans="1:8" x14ac:dyDescent="0.25">
      <c r="A1106" s="63"/>
      <c r="B1106" s="63">
        <f>'Padrão EPP'!B1106</f>
        <v>14</v>
      </c>
      <c r="C1106" s="63" t="str">
        <f>'Padrão EPP'!C1106</f>
        <v>GO</v>
      </c>
      <c r="D1106" s="63" t="str">
        <f>'Padrão EPP'!D1106</f>
        <v>CAPITAL</v>
      </c>
      <c r="E1106" s="63">
        <f>'Padrão EPP'!E1106/2</f>
        <v>0</v>
      </c>
      <c r="F1106" s="67">
        <v>3.0000000000000001E-3</v>
      </c>
      <c r="G1106" s="67">
        <v>2E-3</v>
      </c>
      <c r="H1106" s="63"/>
    </row>
    <row r="1107" spans="1:8" x14ac:dyDescent="0.25">
      <c r="A1107" s="63"/>
      <c r="B1107" s="63">
        <f>'Padrão EPP'!B1107</f>
        <v>15</v>
      </c>
      <c r="C1107" s="63" t="str">
        <f>'Padrão EPP'!C1107</f>
        <v>GO</v>
      </c>
      <c r="D1107" s="63" t="str">
        <f>'Padrão EPP'!D1107</f>
        <v>CAPITAL</v>
      </c>
      <c r="E1107" s="63">
        <f>'Padrão EPP'!E1107/2</f>
        <v>0</v>
      </c>
      <c r="F1107" s="67">
        <v>3.0000000000000001E-3</v>
      </c>
      <c r="G1107" s="67">
        <v>2E-3</v>
      </c>
      <c r="H1107" s="63"/>
    </row>
    <row r="1108" spans="1:8" x14ac:dyDescent="0.25">
      <c r="A1108" s="63"/>
      <c r="B1108" s="63">
        <f>'Padrão EPP'!B1108</f>
        <v>16</v>
      </c>
      <c r="C1108" s="63" t="str">
        <f>'Padrão EPP'!C1108</f>
        <v>GO</v>
      </c>
      <c r="D1108" s="63" t="str">
        <f>'Padrão EPP'!D1108</f>
        <v>CAPITAL</v>
      </c>
      <c r="E1108" s="63">
        <f>'Padrão EPP'!E1108/2</f>
        <v>0</v>
      </c>
      <c r="F1108" s="67">
        <v>3.0000000000000001E-3</v>
      </c>
      <c r="G1108" s="67">
        <v>2E-3</v>
      </c>
      <c r="H1108" s="63"/>
    </row>
    <row r="1109" spans="1:8" x14ac:dyDescent="0.25">
      <c r="A1109" s="63"/>
      <c r="B1109" s="63">
        <f>'Padrão EPP'!B1109</f>
        <v>17</v>
      </c>
      <c r="C1109" s="63" t="str">
        <f>'Padrão EPP'!C1109</f>
        <v>GO</v>
      </c>
      <c r="D1109" s="63" t="str">
        <f>'Padrão EPP'!D1109</f>
        <v>CAPITAL</v>
      </c>
      <c r="E1109" s="63">
        <f>'Padrão EPP'!E1109/2</f>
        <v>0</v>
      </c>
      <c r="F1109" s="67">
        <v>3.0000000000000001E-3</v>
      </c>
      <c r="G1109" s="67">
        <v>2E-3</v>
      </c>
      <c r="H1109" s="63"/>
    </row>
    <row r="1110" spans="1:8" x14ac:dyDescent="0.25">
      <c r="A1110" s="63"/>
      <c r="B1110" s="63">
        <f>'Padrão EPP'!B1110</f>
        <v>18</v>
      </c>
      <c r="C1110" s="63" t="str">
        <f>'Padrão EPP'!C1110</f>
        <v>GO</v>
      </c>
      <c r="D1110" s="63" t="str">
        <f>'Padrão EPP'!D1110</f>
        <v>CAPITAL</v>
      </c>
      <c r="E1110" s="63">
        <f>'Padrão EPP'!E1110/2</f>
        <v>0</v>
      </c>
      <c r="F1110" s="67">
        <v>3.0000000000000001E-3</v>
      </c>
      <c r="G1110" s="67">
        <v>2E-3</v>
      </c>
      <c r="H1110" s="63"/>
    </row>
    <row r="1111" spans="1:8" x14ac:dyDescent="0.25">
      <c r="A1111" s="63"/>
      <c r="B1111" s="63">
        <f>'Padrão EPP'!B1111</f>
        <v>19</v>
      </c>
      <c r="C1111" s="63" t="str">
        <f>'Padrão EPP'!C1111</f>
        <v>GO</v>
      </c>
      <c r="D1111" s="63" t="str">
        <f>'Padrão EPP'!D1111</f>
        <v>CAPITAL</v>
      </c>
      <c r="E1111" s="63">
        <f>'Padrão EPP'!E1111/2</f>
        <v>0</v>
      </c>
      <c r="F1111" s="67">
        <v>3.0000000000000001E-3</v>
      </c>
      <c r="G1111" s="67">
        <v>2E-3</v>
      </c>
      <c r="H1111" s="63"/>
    </row>
    <row r="1112" spans="1:8" x14ac:dyDescent="0.25">
      <c r="A1112" s="63"/>
      <c r="B1112" s="63">
        <f>'Padrão EPP'!B1112</f>
        <v>20</v>
      </c>
      <c r="C1112" s="63" t="str">
        <f>'Padrão EPP'!C1112</f>
        <v>GO</v>
      </c>
      <c r="D1112" s="63" t="str">
        <f>'Padrão EPP'!D1112</f>
        <v>CAPITAL</v>
      </c>
      <c r="E1112" s="63">
        <f>'Padrão EPP'!E1112/2</f>
        <v>0</v>
      </c>
      <c r="F1112" s="67">
        <v>3.0000000000000001E-3</v>
      </c>
      <c r="G1112" s="67">
        <v>2E-3</v>
      </c>
      <c r="H1112" s="63"/>
    </row>
    <row r="1113" spans="1:8" x14ac:dyDescent="0.25">
      <c r="A1113" s="63"/>
      <c r="B1113" s="63">
        <f>'Padrão EPP'!B1113</f>
        <v>21</v>
      </c>
      <c r="C1113" s="63" t="str">
        <f>'Padrão EPP'!C1113</f>
        <v>GO</v>
      </c>
      <c r="D1113" s="63" t="str">
        <f>'Padrão EPP'!D1113</f>
        <v>CAPITAL</v>
      </c>
      <c r="E1113" s="63">
        <f>'Padrão EPP'!E1113/2</f>
        <v>0</v>
      </c>
      <c r="F1113" s="67">
        <v>3.0000000000000001E-3</v>
      </c>
      <c r="G1113" s="67">
        <v>2E-3</v>
      </c>
      <c r="H1113" s="63"/>
    </row>
    <row r="1114" spans="1:8" x14ac:dyDescent="0.25">
      <c r="A1114" s="63"/>
      <c r="B1114" s="63">
        <f>'Padrão EPP'!B1114</f>
        <v>22</v>
      </c>
      <c r="C1114" s="63" t="str">
        <f>'Padrão EPP'!C1114</f>
        <v>GO</v>
      </c>
      <c r="D1114" s="63" t="str">
        <f>'Padrão EPP'!D1114</f>
        <v>CAPITAL</v>
      </c>
      <c r="E1114" s="63">
        <f>'Padrão EPP'!E1114/2</f>
        <v>0</v>
      </c>
      <c r="F1114" s="67">
        <v>3.0000000000000001E-3</v>
      </c>
      <c r="G1114" s="67">
        <v>2E-3</v>
      </c>
      <c r="H1114" s="63"/>
    </row>
    <row r="1115" spans="1:8" x14ac:dyDescent="0.25">
      <c r="A1115" s="63"/>
      <c r="B1115" s="63">
        <f>'Padrão EPP'!B1115</f>
        <v>23</v>
      </c>
      <c r="C1115" s="63" t="str">
        <f>'Padrão EPP'!C1115</f>
        <v>GO</v>
      </c>
      <c r="D1115" s="63" t="str">
        <f>'Padrão EPP'!D1115</f>
        <v>CAPITAL</v>
      </c>
      <c r="E1115" s="63">
        <f>'Padrão EPP'!E1115/2</f>
        <v>0</v>
      </c>
      <c r="F1115" s="67">
        <v>3.0000000000000001E-3</v>
      </c>
      <c r="G1115" s="67">
        <v>2E-3</v>
      </c>
      <c r="H1115" s="63"/>
    </row>
    <row r="1116" spans="1:8" x14ac:dyDescent="0.25">
      <c r="A1116" s="63"/>
      <c r="B1116" s="63">
        <f>'Padrão EPP'!B1116</f>
        <v>24</v>
      </c>
      <c r="C1116" s="63" t="str">
        <f>'Padrão EPP'!C1116</f>
        <v>GO</v>
      </c>
      <c r="D1116" s="63" t="str">
        <f>'Padrão EPP'!D1116</f>
        <v>CAPITAL</v>
      </c>
      <c r="E1116" s="63">
        <f>'Padrão EPP'!E1116/2</f>
        <v>0</v>
      </c>
      <c r="F1116" s="67">
        <v>3.0000000000000001E-3</v>
      </c>
      <c r="G1116" s="67">
        <v>2E-3</v>
      </c>
      <c r="H1116" s="63"/>
    </row>
    <row r="1117" spans="1:8" x14ac:dyDescent="0.25">
      <c r="A1117" s="63"/>
      <c r="B1117" s="63">
        <f>'Padrão EPP'!B1117</f>
        <v>25</v>
      </c>
      <c r="C1117" s="63" t="str">
        <f>'Padrão EPP'!C1117</f>
        <v>GO</v>
      </c>
      <c r="D1117" s="63" t="str">
        <f>'Padrão EPP'!D1117</f>
        <v>CAPITAL</v>
      </c>
      <c r="E1117" s="63">
        <f>'Padrão EPP'!E1117/2</f>
        <v>0</v>
      </c>
      <c r="F1117" s="67">
        <v>3.0000000000000001E-3</v>
      </c>
      <c r="G1117" s="67">
        <v>2E-3</v>
      </c>
      <c r="H1117" s="63"/>
    </row>
    <row r="1118" spans="1:8" x14ac:dyDescent="0.25">
      <c r="A1118" s="63"/>
      <c r="B1118" s="63">
        <f>'Padrão EPP'!B1118</f>
        <v>26</v>
      </c>
      <c r="C1118" s="63" t="str">
        <f>'Padrão EPP'!C1118</f>
        <v>GO</v>
      </c>
      <c r="D1118" s="63" t="str">
        <f>'Padrão EPP'!D1118</f>
        <v>CAPITAL</v>
      </c>
      <c r="E1118" s="63">
        <f>'Padrão EPP'!E1118/2</f>
        <v>0</v>
      </c>
      <c r="F1118" s="67">
        <v>3.0000000000000001E-3</v>
      </c>
      <c r="G1118" s="67">
        <v>2E-3</v>
      </c>
      <c r="H1118" s="63"/>
    </row>
    <row r="1119" spans="1:8" x14ac:dyDescent="0.25">
      <c r="A1119" s="63"/>
      <c r="B1119" s="63">
        <f>'Padrão EPP'!B1119</f>
        <v>27</v>
      </c>
      <c r="C1119" s="63" t="str">
        <f>'Padrão EPP'!C1119</f>
        <v>GO</v>
      </c>
      <c r="D1119" s="63" t="str">
        <f>'Padrão EPP'!D1119</f>
        <v>CAPITAL</v>
      </c>
      <c r="E1119" s="63">
        <f>'Padrão EPP'!E1119/2</f>
        <v>0</v>
      </c>
      <c r="F1119" s="67">
        <v>3.0000000000000001E-3</v>
      </c>
      <c r="G1119" s="67">
        <v>2E-3</v>
      </c>
      <c r="H1119" s="63"/>
    </row>
    <row r="1120" spans="1:8" x14ac:dyDescent="0.25">
      <c r="A1120" s="63"/>
      <c r="B1120" s="63">
        <f>'Padrão EPP'!B1120</f>
        <v>28</v>
      </c>
      <c r="C1120" s="63" t="str">
        <f>'Padrão EPP'!C1120</f>
        <v>GO</v>
      </c>
      <c r="D1120" s="63" t="str">
        <f>'Padrão EPP'!D1120</f>
        <v>CAPITAL</v>
      </c>
      <c r="E1120" s="63">
        <f>'Padrão EPP'!E1120/2</f>
        <v>0</v>
      </c>
      <c r="F1120" s="67">
        <v>3.0000000000000001E-3</v>
      </c>
      <c r="G1120" s="67">
        <v>2E-3</v>
      </c>
      <c r="H1120" s="63"/>
    </row>
    <row r="1121" spans="1:8" x14ac:dyDescent="0.25">
      <c r="A1121" s="63"/>
      <c r="B1121" s="63">
        <f>'Padrão EPP'!B1121</f>
        <v>29</v>
      </c>
      <c r="C1121" s="63" t="str">
        <f>'Padrão EPP'!C1121</f>
        <v>GO</v>
      </c>
      <c r="D1121" s="63" t="str">
        <f>'Padrão EPP'!D1121</f>
        <v>CAPITAL</v>
      </c>
      <c r="E1121" s="63">
        <f>'Padrão EPP'!E1121/2</f>
        <v>0</v>
      </c>
      <c r="F1121" s="67">
        <v>3.0000000000000001E-3</v>
      </c>
      <c r="G1121" s="67">
        <v>2E-3</v>
      </c>
      <c r="H1121" s="63"/>
    </row>
    <row r="1122" spans="1:8" x14ac:dyDescent="0.25">
      <c r="A1122" s="63"/>
      <c r="B1122" s="63">
        <f>'Padrão EPP'!B1122</f>
        <v>30</v>
      </c>
      <c r="C1122" s="63" t="str">
        <f>'Padrão EPP'!C1122</f>
        <v>GO</v>
      </c>
      <c r="D1122" s="63" t="str">
        <f>'Padrão EPP'!D1122</f>
        <v>CAPITAL</v>
      </c>
      <c r="E1122" s="63">
        <f>'Padrão EPP'!E1122/2</f>
        <v>0</v>
      </c>
      <c r="F1122" s="67">
        <v>3.0000000000000001E-3</v>
      </c>
      <c r="G1122" s="67">
        <v>2E-3</v>
      </c>
      <c r="H1122" s="63"/>
    </row>
    <row r="1123" spans="1:8" x14ac:dyDescent="0.25">
      <c r="A1123" s="63"/>
      <c r="B1123" s="63">
        <f>'Padrão EPP'!B1123</f>
        <v>0</v>
      </c>
      <c r="C1123" s="63" t="str">
        <f>'Padrão EPP'!C1123</f>
        <v>GO</v>
      </c>
      <c r="D1123" s="63" t="str">
        <f>'Padrão EPP'!D1123</f>
        <v>CAPITAL</v>
      </c>
      <c r="E1123" s="63">
        <f>'Padrão EPP'!E1123/2</f>
        <v>1.5214394455252955</v>
      </c>
      <c r="F1123" s="67">
        <v>3.0000000000000001E-3</v>
      </c>
      <c r="G1123" s="67">
        <v>2E-3</v>
      </c>
      <c r="H1123" s="63"/>
    </row>
    <row r="1124" spans="1:8" x14ac:dyDescent="0.25">
      <c r="A1124" s="63"/>
      <c r="B1124" s="63">
        <f>'Padrão EPP'!B1124</f>
        <v>0.25</v>
      </c>
      <c r="C1124" s="63" t="str">
        <f>'Padrão EPP'!C1124</f>
        <v>GO</v>
      </c>
      <c r="D1124" s="63" t="str">
        <f>'Padrão EPP'!D1124</f>
        <v>INTERIOR</v>
      </c>
      <c r="E1124" s="63">
        <f>'Padrão EPP'!E1124/2</f>
        <v>10.188570235818521</v>
      </c>
      <c r="F1124" s="67">
        <v>3.0000000000000001E-3</v>
      </c>
      <c r="G1124" s="67">
        <v>2E-3</v>
      </c>
      <c r="H1124" s="63"/>
    </row>
    <row r="1125" spans="1:8" x14ac:dyDescent="0.25">
      <c r="A1125" s="63"/>
      <c r="B1125" s="63">
        <f>'Padrão EPP'!B1125</f>
        <v>0.5</v>
      </c>
      <c r="C1125" s="63" t="str">
        <f>'Padrão EPP'!C1125</f>
        <v>GO</v>
      </c>
      <c r="D1125" s="63" t="str">
        <f>'Padrão EPP'!D1125</f>
        <v>INTERIOR</v>
      </c>
      <c r="E1125" s="63">
        <f>'Padrão EPP'!E1125/2</f>
        <v>10.701489383526383</v>
      </c>
      <c r="F1125" s="67">
        <v>3.0000000000000001E-3</v>
      </c>
      <c r="G1125" s="67">
        <v>2E-3</v>
      </c>
      <c r="H1125" s="63"/>
    </row>
    <row r="1126" spans="1:8" x14ac:dyDescent="0.25">
      <c r="A1126" s="63"/>
      <c r="B1126" s="63">
        <f>'Padrão EPP'!B1126</f>
        <v>0.75</v>
      </c>
      <c r="C1126" s="63" t="str">
        <f>'Padrão EPP'!C1126</f>
        <v>GO</v>
      </c>
      <c r="D1126" s="63" t="str">
        <f>'Padrão EPP'!D1126</f>
        <v>INTERIOR</v>
      </c>
      <c r="E1126" s="63">
        <f>'Padrão EPP'!E1126/2</f>
        <v>11.294884490099571</v>
      </c>
      <c r="F1126" s="67">
        <v>3.0000000000000001E-3</v>
      </c>
      <c r="G1126" s="67">
        <v>2E-3</v>
      </c>
      <c r="H1126" s="63"/>
    </row>
    <row r="1127" spans="1:8" x14ac:dyDescent="0.25">
      <c r="A1127" s="63"/>
      <c r="B1127" s="63">
        <f>'Padrão EPP'!B1127</f>
        <v>1</v>
      </c>
      <c r="C1127" s="63" t="str">
        <f>'Padrão EPP'!C1127</f>
        <v>GO</v>
      </c>
      <c r="D1127" s="63" t="str">
        <f>'Padrão EPP'!D1127</f>
        <v>INTERIOR</v>
      </c>
      <c r="E1127" s="63">
        <f>'Padrão EPP'!E1127/2</f>
        <v>12.020198045670387</v>
      </c>
      <c r="F1127" s="67">
        <v>3.0000000000000001E-3</v>
      </c>
      <c r="G1127" s="67">
        <v>2E-3</v>
      </c>
      <c r="H1127" s="63"/>
    </row>
    <row r="1128" spans="1:8" x14ac:dyDescent="0.25">
      <c r="A1128" s="63"/>
      <c r="B1128" s="63">
        <f>'Padrão EPP'!B1128</f>
        <v>2</v>
      </c>
      <c r="C1128" s="63" t="str">
        <f>'Padrão EPP'!C1128</f>
        <v>GO</v>
      </c>
      <c r="D1128" s="63" t="str">
        <f>'Padrão EPP'!D1128</f>
        <v>INTERIOR</v>
      </c>
      <c r="E1128" s="63">
        <f>'Padrão EPP'!E1128/2</f>
        <v>12.724252514295594</v>
      </c>
      <c r="F1128" s="67">
        <v>3.0000000000000001E-3</v>
      </c>
      <c r="G1128" s="67">
        <v>2E-3</v>
      </c>
      <c r="H1128" s="63"/>
    </row>
    <row r="1129" spans="1:8" x14ac:dyDescent="0.25">
      <c r="A1129" s="63"/>
      <c r="B1129" s="63">
        <f>'Padrão EPP'!B1129</f>
        <v>3</v>
      </c>
      <c r="C1129" s="63" t="str">
        <f>'Padrão EPP'!C1129</f>
        <v>GO</v>
      </c>
      <c r="D1129" s="63" t="str">
        <f>'Padrão EPP'!D1129</f>
        <v>INTERIOR</v>
      </c>
      <c r="E1129" s="63">
        <f>'Padrão EPP'!E1129/2</f>
        <v>14.054936557005819</v>
      </c>
      <c r="F1129" s="67">
        <v>3.0000000000000001E-3</v>
      </c>
      <c r="G1129" s="67">
        <v>2E-3</v>
      </c>
      <c r="H1129" s="63"/>
    </row>
    <row r="1130" spans="1:8" x14ac:dyDescent="0.25">
      <c r="A1130" s="63"/>
      <c r="B1130" s="63">
        <f>'Padrão EPP'!B1130</f>
        <v>4</v>
      </c>
      <c r="C1130" s="63" t="str">
        <f>'Padrão EPP'!C1130</f>
        <v>GO</v>
      </c>
      <c r="D1130" s="63" t="str">
        <f>'Padrão EPP'!D1130</f>
        <v>INTERIOR</v>
      </c>
      <c r="E1130" s="63">
        <f>'Padrão EPP'!E1130/2</f>
        <v>15.487548675344382</v>
      </c>
      <c r="F1130" s="67">
        <v>3.0000000000000001E-3</v>
      </c>
      <c r="G1130" s="67">
        <v>2E-3</v>
      </c>
      <c r="H1130" s="63"/>
    </row>
    <row r="1131" spans="1:8" x14ac:dyDescent="0.25">
      <c r="A1131" s="63"/>
      <c r="B1131" s="63">
        <f>'Padrão EPP'!B1131</f>
        <v>5</v>
      </c>
      <c r="C1131" s="63" t="str">
        <f>'Padrão EPP'!C1131</f>
        <v>GO</v>
      </c>
      <c r="D1131" s="63" t="str">
        <f>'Padrão EPP'!D1131</f>
        <v>INTERIOR</v>
      </c>
      <c r="E1131" s="63">
        <f>'Padrão EPP'!E1131/2</f>
        <v>17.185289264447828</v>
      </c>
      <c r="F1131" s="67">
        <v>3.0000000000000001E-3</v>
      </c>
      <c r="G1131" s="67">
        <v>2E-3</v>
      </c>
      <c r="H1131" s="63"/>
    </row>
    <row r="1132" spans="1:8" x14ac:dyDescent="0.25">
      <c r="A1132" s="63"/>
      <c r="B1132" s="63">
        <f>'Padrão EPP'!B1132</f>
        <v>6</v>
      </c>
      <c r="C1132" s="63" t="str">
        <f>'Padrão EPP'!C1132</f>
        <v>GO</v>
      </c>
      <c r="D1132" s="63" t="str">
        <f>'Padrão EPP'!D1132</f>
        <v>INTERIOR</v>
      </c>
      <c r="E1132" s="63">
        <f>'Padrão EPP'!E1132/2</f>
        <v>19.506593737115455</v>
      </c>
      <c r="F1132" s="67">
        <v>3.0000000000000001E-3</v>
      </c>
      <c r="G1132" s="67">
        <v>2E-3</v>
      </c>
      <c r="H1132" s="63"/>
    </row>
    <row r="1133" spans="1:8" x14ac:dyDescent="0.25">
      <c r="A1133" s="63"/>
      <c r="B1133" s="63">
        <f>'Padrão EPP'!B1133</f>
        <v>7</v>
      </c>
      <c r="C1133" s="63" t="str">
        <f>'Padrão EPP'!C1133</f>
        <v>GO</v>
      </c>
      <c r="D1133" s="63" t="str">
        <f>'Padrão EPP'!D1133</f>
        <v>INTERIOR</v>
      </c>
      <c r="E1133" s="63">
        <f>'Padrão EPP'!E1133/2</f>
        <v>21.226086977318317</v>
      </c>
      <c r="F1133" s="67">
        <v>3.0000000000000001E-3</v>
      </c>
      <c r="G1133" s="67">
        <v>2E-3</v>
      </c>
      <c r="H1133" s="63"/>
    </row>
    <row r="1134" spans="1:8" x14ac:dyDescent="0.25">
      <c r="A1134" s="63"/>
      <c r="B1134" s="63">
        <f>'Padrão EPP'!B1134</f>
        <v>8</v>
      </c>
      <c r="C1134" s="63" t="str">
        <f>'Padrão EPP'!C1134</f>
        <v>GO</v>
      </c>
      <c r="D1134" s="63" t="str">
        <f>'Padrão EPP'!D1134</f>
        <v>INTERIOR</v>
      </c>
      <c r="E1134" s="63">
        <f>'Padrão EPP'!E1134/2</f>
        <v>23.739182124132792</v>
      </c>
      <c r="F1134" s="67">
        <v>3.0000000000000001E-3</v>
      </c>
      <c r="G1134" s="67">
        <v>2E-3</v>
      </c>
      <c r="H1134" s="63"/>
    </row>
    <row r="1135" spans="1:8" x14ac:dyDescent="0.25">
      <c r="A1135" s="63"/>
      <c r="B1135" s="63">
        <f>'Padrão EPP'!B1135</f>
        <v>9</v>
      </c>
      <c r="C1135" s="63" t="str">
        <f>'Padrão EPP'!C1135</f>
        <v>GO</v>
      </c>
      <c r="D1135" s="63" t="str">
        <f>'Padrão EPP'!D1135</f>
        <v>INTERIOR</v>
      </c>
      <c r="E1135" s="63">
        <f>'Padrão EPP'!E1135/2</f>
        <v>25.40799607933219</v>
      </c>
      <c r="F1135" s="67">
        <v>3.0000000000000001E-3</v>
      </c>
      <c r="G1135" s="67">
        <v>2E-3</v>
      </c>
      <c r="H1135" s="63"/>
    </row>
    <row r="1136" spans="1:8" x14ac:dyDescent="0.25">
      <c r="A1136" s="63"/>
      <c r="B1136" s="63">
        <f>'Padrão EPP'!B1136</f>
        <v>10</v>
      </c>
      <c r="C1136" s="63" t="str">
        <f>'Padrão EPP'!C1136</f>
        <v>GO</v>
      </c>
      <c r="D1136" s="63" t="str">
        <f>'Padrão EPP'!D1136</f>
        <v>INTERIOR</v>
      </c>
      <c r="E1136" s="63">
        <f>'Padrão EPP'!E1136/2</f>
        <v>27.022750410651021</v>
      </c>
      <c r="F1136" s="67">
        <v>3.0000000000000001E-3</v>
      </c>
      <c r="G1136" s="67">
        <v>2E-3</v>
      </c>
      <c r="H1136" s="63"/>
    </row>
    <row r="1137" spans="1:8" x14ac:dyDescent="0.25">
      <c r="A1137" s="63"/>
      <c r="B1137" s="63">
        <f>'Padrão EPP'!B1137</f>
        <v>11</v>
      </c>
      <c r="C1137" s="63" t="str">
        <f>'Padrão EPP'!C1137</f>
        <v>GO</v>
      </c>
      <c r="D1137" s="63" t="str">
        <f>'Padrão EPP'!D1137</f>
        <v>INTERIOR</v>
      </c>
      <c r="E1137" s="63">
        <f>'Padrão EPP'!E1137/2</f>
        <v>0</v>
      </c>
      <c r="F1137" s="67">
        <v>3.0000000000000001E-3</v>
      </c>
      <c r="G1137" s="67">
        <v>2E-3</v>
      </c>
      <c r="H1137" s="63"/>
    </row>
    <row r="1138" spans="1:8" x14ac:dyDescent="0.25">
      <c r="A1138" s="63"/>
      <c r="B1138" s="63">
        <f>'Padrão EPP'!B1138</f>
        <v>12</v>
      </c>
      <c r="C1138" s="63" t="str">
        <f>'Padrão EPP'!C1138</f>
        <v>GO</v>
      </c>
      <c r="D1138" s="63" t="str">
        <f>'Padrão EPP'!D1138</f>
        <v>INTERIOR</v>
      </c>
      <c r="E1138" s="63">
        <f>'Padrão EPP'!E1138/2</f>
        <v>0</v>
      </c>
      <c r="F1138" s="67">
        <v>3.0000000000000001E-3</v>
      </c>
      <c r="G1138" s="67">
        <v>2E-3</v>
      </c>
      <c r="H1138" s="63"/>
    </row>
    <row r="1139" spans="1:8" x14ac:dyDescent="0.25">
      <c r="A1139" s="63"/>
      <c r="B1139" s="63">
        <f>'Padrão EPP'!B1139</f>
        <v>13</v>
      </c>
      <c r="C1139" s="63" t="str">
        <f>'Padrão EPP'!C1139</f>
        <v>GO</v>
      </c>
      <c r="D1139" s="63" t="str">
        <f>'Padrão EPP'!D1139</f>
        <v>INTERIOR</v>
      </c>
      <c r="E1139" s="63">
        <f>'Padrão EPP'!E1139/2</f>
        <v>0</v>
      </c>
      <c r="F1139" s="67">
        <v>3.0000000000000001E-3</v>
      </c>
      <c r="G1139" s="67">
        <v>2E-3</v>
      </c>
      <c r="H1139" s="63"/>
    </row>
    <row r="1140" spans="1:8" x14ac:dyDescent="0.25">
      <c r="A1140" s="63"/>
      <c r="B1140" s="63">
        <f>'Padrão EPP'!B1140</f>
        <v>14</v>
      </c>
      <c r="C1140" s="63" t="str">
        <f>'Padrão EPP'!C1140</f>
        <v>GO</v>
      </c>
      <c r="D1140" s="63" t="str">
        <f>'Padrão EPP'!D1140</f>
        <v>INTERIOR</v>
      </c>
      <c r="E1140" s="63">
        <f>'Padrão EPP'!E1140/2</f>
        <v>0</v>
      </c>
      <c r="F1140" s="67">
        <v>3.0000000000000001E-3</v>
      </c>
      <c r="G1140" s="67">
        <v>2E-3</v>
      </c>
      <c r="H1140" s="63"/>
    </row>
    <row r="1141" spans="1:8" x14ac:dyDescent="0.25">
      <c r="A1141" s="63"/>
      <c r="B1141" s="63">
        <f>'Padrão EPP'!B1141</f>
        <v>15</v>
      </c>
      <c r="C1141" s="63" t="str">
        <f>'Padrão EPP'!C1141</f>
        <v>GO</v>
      </c>
      <c r="D1141" s="63" t="str">
        <f>'Padrão EPP'!D1141</f>
        <v>INTERIOR</v>
      </c>
      <c r="E1141" s="63">
        <f>'Padrão EPP'!E1141/2</f>
        <v>0</v>
      </c>
      <c r="F1141" s="67">
        <v>3.0000000000000001E-3</v>
      </c>
      <c r="G1141" s="67">
        <v>2E-3</v>
      </c>
      <c r="H1141" s="63"/>
    </row>
    <row r="1142" spans="1:8" x14ac:dyDescent="0.25">
      <c r="A1142" s="63"/>
      <c r="B1142" s="63">
        <f>'Padrão EPP'!B1142</f>
        <v>16</v>
      </c>
      <c r="C1142" s="63" t="str">
        <f>'Padrão EPP'!C1142</f>
        <v>GO</v>
      </c>
      <c r="D1142" s="63" t="str">
        <f>'Padrão EPP'!D1142</f>
        <v>INTERIOR</v>
      </c>
      <c r="E1142" s="63">
        <f>'Padrão EPP'!E1142/2</f>
        <v>0</v>
      </c>
      <c r="F1142" s="67">
        <v>3.0000000000000001E-3</v>
      </c>
      <c r="G1142" s="67">
        <v>2E-3</v>
      </c>
      <c r="H1142" s="63"/>
    </row>
    <row r="1143" spans="1:8" x14ac:dyDescent="0.25">
      <c r="A1143" s="63"/>
      <c r="B1143" s="63">
        <f>'Padrão EPP'!B1143</f>
        <v>17</v>
      </c>
      <c r="C1143" s="63" t="str">
        <f>'Padrão EPP'!C1143</f>
        <v>GO</v>
      </c>
      <c r="D1143" s="63" t="str">
        <f>'Padrão EPP'!D1143</f>
        <v>INTERIOR</v>
      </c>
      <c r="E1143" s="63">
        <f>'Padrão EPP'!E1143/2</f>
        <v>0</v>
      </c>
      <c r="F1143" s="67">
        <v>3.0000000000000001E-3</v>
      </c>
      <c r="G1143" s="67">
        <v>2E-3</v>
      </c>
      <c r="H1143" s="63"/>
    </row>
    <row r="1144" spans="1:8" x14ac:dyDescent="0.25">
      <c r="A1144" s="63"/>
      <c r="B1144" s="63">
        <f>'Padrão EPP'!B1144</f>
        <v>18</v>
      </c>
      <c r="C1144" s="63" t="str">
        <f>'Padrão EPP'!C1144</f>
        <v>GO</v>
      </c>
      <c r="D1144" s="63" t="str">
        <f>'Padrão EPP'!D1144</f>
        <v>INTERIOR</v>
      </c>
      <c r="E1144" s="63">
        <f>'Padrão EPP'!E1144/2</f>
        <v>0</v>
      </c>
      <c r="F1144" s="67">
        <v>3.0000000000000001E-3</v>
      </c>
      <c r="G1144" s="67">
        <v>2E-3</v>
      </c>
      <c r="H1144" s="63"/>
    </row>
    <row r="1145" spans="1:8" x14ac:dyDescent="0.25">
      <c r="A1145" s="63"/>
      <c r="B1145" s="63">
        <f>'Padrão EPP'!B1145</f>
        <v>19</v>
      </c>
      <c r="C1145" s="63" t="str">
        <f>'Padrão EPP'!C1145</f>
        <v>GO</v>
      </c>
      <c r="D1145" s="63" t="str">
        <f>'Padrão EPP'!D1145</f>
        <v>INTERIOR</v>
      </c>
      <c r="E1145" s="63">
        <f>'Padrão EPP'!E1145/2</f>
        <v>0</v>
      </c>
      <c r="F1145" s="67">
        <v>3.0000000000000001E-3</v>
      </c>
      <c r="G1145" s="67">
        <v>2E-3</v>
      </c>
      <c r="H1145" s="63"/>
    </row>
    <row r="1146" spans="1:8" x14ac:dyDescent="0.25">
      <c r="A1146" s="63"/>
      <c r="B1146" s="63">
        <f>'Padrão EPP'!B1146</f>
        <v>20</v>
      </c>
      <c r="C1146" s="63" t="str">
        <f>'Padrão EPP'!C1146</f>
        <v>GO</v>
      </c>
      <c r="D1146" s="63" t="str">
        <f>'Padrão EPP'!D1146</f>
        <v>INTERIOR</v>
      </c>
      <c r="E1146" s="63">
        <f>'Padrão EPP'!E1146/2</f>
        <v>0</v>
      </c>
      <c r="F1146" s="67">
        <v>3.0000000000000001E-3</v>
      </c>
      <c r="G1146" s="67">
        <v>2E-3</v>
      </c>
      <c r="H1146" s="63"/>
    </row>
    <row r="1147" spans="1:8" x14ac:dyDescent="0.25">
      <c r="A1147" s="63"/>
      <c r="B1147" s="63">
        <f>'Padrão EPP'!B1147</f>
        <v>21</v>
      </c>
      <c r="C1147" s="63" t="str">
        <f>'Padrão EPP'!C1147</f>
        <v>GO</v>
      </c>
      <c r="D1147" s="63" t="str">
        <f>'Padrão EPP'!D1147</f>
        <v>INTERIOR</v>
      </c>
      <c r="E1147" s="63">
        <f>'Padrão EPP'!E1147/2</f>
        <v>0</v>
      </c>
      <c r="F1147" s="67">
        <v>3.0000000000000001E-3</v>
      </c>
      <c r="G1147" s="67">
        <v>2E-3</v>
      </c>
      <c r="H1147" s="63"/>
    </row>
    <row r="1148" spans="1:8" x14ac:dyDescent="0.25">
      <c r="A1148" s="63"/>
      <c r="B1148" s="63">
        <f>'Padrão EPP'!B1148</f>
        <v>22</v>
      </c>
      <c r="C1148" s="63" t="str">
        <f>'Padrão EPP'!C1148</f>
        <v>GO</v>
      </c>
      <c r="D1148" s="63" t="str">
        <f>'Padrão EPP'!D1148</f>
        <v>INTERIOR</v>
      </c>
      <c r="E1148" s="63">
        <f>'Padrão EPP'!E1148/2</f>
        <v>0</v>
      </c>
      <c r="F1148" s="67">
        <v>3.0000000000000001E-3</v>
      </c>
      <c r="G1148" s="67">
        <v>2E-3</v>
      </c>
      <c r="H1148" s="63"/>
    </row>
    <row r="1149" spans="1:8" x14ac:dyDescent="0.25">
      <c r="A1149" s="63"/>
      <c r="B1149" s="63">
        <f>'Padrão EPP'!B1149</f>
        <v>23</v>
      </c>
      <c r="C1149" s="63" t="str">
        <f>'Padrão EPP'!C1149</f>
        <v>GO</v>
      </c>
      <c r="D1149" s="63" t="str">
        <f>'Padrão EPP'!D1149</f>
        <v>INTERIOR</v>
      </c>
      <c r="E1149" s="63">
        <f>'Padrão EPP'!E1149/2</f>
        <v>0</v>
      </c>
      <c r="F1149" s="67">
        <v>3.0000000000000001E-3</v>
      </c>
      <c r="G1149" s="67">
        <v>2E-3</v>
      </c>
      <c r="H1149" s="63"/>
    </row>
    <row r="1150" spans="1:8" x14ac:dyDescent="0.25">
      <c r="A1150" s="63"/>
      <c r="B1150" s="63">
        <f>'Padrão EPP'!B1150</f>
        <v>24</v>
      </c>
      <c r="C1150" s="63" t="str">
        <f>'Padrão EPP'!C1150</f>
        <v>GO</v>
      </c>
      <c r="D1150" s="63" t="str">
        <f>'Padrão EPP'!D1150</f>
        <v>INTERIOR</v>
      </c>
      <c r="E1150" s="63">
        <f>'Padrão EPP'!E1150/2</f>
        <v>0</v>
      </c>
      <c r="F1150" s="67">
        <v>3.0000000000000001E-3</v>
      </c>
      <c r="G1150" s="67">
        <v>2E-3</v>
      </c>
      <c r="H1150" s="63"/>
    </row>
    <row r="1151" spans="1:8" x14ac:dyDescent="0.25">
      <c r="A1151" s="63"/>
      <c r="B1151" s="63">
        <f>'Padrão EPP'!B1151</f>
        <v>25</v>
      </c>
      <c r="C1151" s="63" t="str">
        <f>'Padrão EPP'!C1151</f>
        <v>GO</v>
      </c>
      <c r="D1151" s="63" t="str">
        <f>'Padrão EPP'!D1151</f>
        <v>INTERIOR</v>
      </c>
      <c r="E1151" s="63">
        <f>'Padrão EPP'!E1151/2</f>
        <v>0</v>
      </c>
      <c r="F1151" s="67">
        <v>3.0000000000000001E-3</v>
      </c>
      <c r="G1151" s="67">
        <v>2E-3</v>
      </c>
      <c r="H1151" s="63"/>
    </row>
    <row r="1152" spans="1:8" x14ac:dyDescent="0.25">
      <c r="A1152" s="63"/>
      <c r="B1152" s="63">
        <f>'Padrão EPP'!B1152</f>
        <v>26</v>
      </c>
      <c r="C1152" s="63" t="str">
        <f>'Padrão EPP'!C1152</f>
        <v>GO</v>
      </c>
      <c r="D1152" s="63" t="str">
        <f>'Padrão EPP'!D1152</f>
        <v>INTERIOR</v>
      </c>
      <c r="E1152" s="63">
        <f>'Padrão EPP'!E1152/2</f>
        <v>0</v>
      </c>
      <c r="F1152" s="67">
        <v>3.0000000000000001E-3</v>
      </c>
      <c r="G1152" s="67">
        <v>2E-3</v>
      </c>
      <c r="H1152" s="63"/>
    </row>
    <row r="1153" spans="1:8" x14ac:dyDescent="0.25">
      <c r="A1153" s="63"/>
      <c r="B1153" s="63">
        <f>'Padrão EPP'!B1153</f>
        <v>27</v>
      </c>
      <c r="C1153" s="63" t="str">
        <f>'Padrão EPP'!C1153</f>
        <v>GO</v>
      </c>
      <c r="D1153" s="63" t="str">
        <f>'Padrão EPP'!D1153</f>
        <v>INTERIOR</v>
      </c>
      <c r="E1153" s="63">
        <f>'Padrão EPP'!E1153/2</f>
        <v>0</v>
      </c>
      <c r="F1153" s="67">
        <v>3.0000000000000001E-3</v>
      </c>
      <c r="G1153" s="67">
        <v>2E-3</v>
      </c>
      <c r="H1153" s="63"/>
    </row>
    <row r="1154" spans="1:8" x14ac:dyDescent="0.25">
      <c r="A1154" s="63"/>
      <c r="B1154" s="63">
        <f>'Padrão EPP'!B1154</f>
        <v>28</v>
      </c>
      <c r="C1154" s="63" t="str">
        <f>'Padrão EPP'!C1154</f>
        <v>GO</v>
      </c>
      <c r="D1154" s="63" t="str">
        <f>'Padrão EPP'!D1154</f>
        <v>INTERIOR</v>
      </c>
      <c r="E1154" s="63">
        <f>'Padrão EPP'!E1154/2</f>
        <v>0</v>
      </c>
      <c r="F1154" s="67">
        <v>3.0000000000000001E-3</v>
      </c>
      <c r="G1154" s="67">
        <v>2E-3</v>
      </c>
      <c r="H1154" s="63"/>
    </row>
    <row r="1155" spans="1:8" x14ac:dyDescent="0.25">
      <c r="A1155" s="63"/>
      <c r="B1155" s="63">
        <f>'Padrão EPP'!B1155</f>
        <v>29</v>
      </c>
      <c r="C1155" s="63" t="str">
        <f>'Padrão EPP'!C1155</f>
        <v>GO</v>
      </c>
      <c r="D1155" s="63" t="str">
        <f>'Padrão EPP'!D1155</f>
        <v>INTERIOR</v>
      </c>
      <c r="E1155" s="63">
        <f>'Padrão EPP'!E1155/2</f>
        <v>0</v>
      </c>
      <c r="F1155" s="67">
        <v>3.0000000000000001E-3</v>
      </c>
      <c r="G1155" s="67">
        <v>2E-3</v>
      </c>
      <c r="H1155" s="63"/>
    </row>
    <row r="1156" spans="1:8" x14ac:dyDescent="0.25">
      <c r="A1156" s="63"/>
      <c r="B1156" s="63">
        <f>'Padrão EPP'!B1156</f>
        <v>30</v>
      </c>
      <c r="C1156" s="63" t="str">
        <f>'Padrão EPP'!C1156</f>
        <v>GO</v>
      </c>
      <c r="D1156" s="63" t="str">
        <f>'Padrão EPP'!D1156</f>
        <v>INTERIOR</v>
      </c>
      <c r="E1156" s="63">
        <f>'Padrão EPP'!E1156/2</f>
        <v>0</v>
      </c>
      <c r="F1156" s="67">
        <v>3.0000000000000001E-3</v>
      </c>
      <c r="G1156" s="67">
        <v>2E-3</v>
      </c>
      <c r="H1156" s="63"/>
    </row>
    <row r="1157" spans="1:8" x14ac:dyDescent="0.25">
      <c r="A1157" s="63"/>
      <c r="B1157" s="63">
        <f>'Padrão EPP'!B1157</f>
        <v>0</v>
      </c>
      <c r="C1157" s="63" t="str">
        <f>'Padrão EPP'!C1157</f>
        <v>GO</v>
      </c>
      <c r="D1157" s="63" t="str">
        <f>'Padrão EPP'!D1157</f>
        <v>INTERIOR</v>
      </c>
      <c r="E1157" s="63">
        <f>'Padrão EPP'!E1157/2</f>
        <v>1.5214394455252955</v>
      </c>
      <c r="F1157" s="67">
        <v>3.0000000000000001E-3</v>
      </c>
      <c r="G1157" s="67">
        <v>2E-3</v>
      </c>
      <c r="H1157" s="63"/>
    </row>
    <row r="1158" spans="1:8" x14ac:dyDescent="0.25">
      <c r="A1158" s="63"/>
      <c r="B1158" s="63">
        <f>'Padrão EPP'!B1158</f>
        <v>0.25</v>
      </c>
      <c r="C1158" s="63" t="str">
        <f>'Padrão EPP'!C1158</f>
        <v>GO</v>
      </c>
      <c r="D1158" s="63" t="str">
        <f>'Padrão EPP'!D1158</f>
        <v>INTERIOR II</v>
      </c>
      <c r="E1158" s="63">
        <f>'Padrão EPP'!E1158/2</f>
        <v>12.064590785846635</v>
      </c>
      <c r="F1158" s="67">
        <v>3.0000000000000001E-3</v>
      </c>
      <c r="G1158" s="67">
        <v>2E-3</v>
      </c>
      <c r="H1158" s="63"/>
    </row>
    <row r="1159" spans="1:8" x14ac:dyDescent="0.25">
      <c r="A1159" s="63"/>
      <c r="B1159" s="63">
        <f>'Padrão EPP'!B1159</f>
        <v>0.5</v>
      </c>
      <c r="C1159" s="63" t="str">
        <f>'Padrão EPP'!C1159</f>
        <v>GO</v>
      </c>
      <c r="D1159" s="63" t="str">
        <f>'Padrão EPP'!D1159</f>
        <v>INTERIOR II</v>
      </c>
      <c r="E1159" s="63">
        <f>'Padrão EPP'!E1159/2</f>
        <v>12.668963301598318</v>
      </c>
      <c r="F1159" s="67">
        <v>3.0000000000000001E-3</v>
      </c>
      <c r="G1159" s="67">
        <v>2E-3</v>
      </c>
      <c r="H1159" s="63"/>
    </row>
    <row r="1160" spans="1:8" x14ac:dyDescent="0.25">
      <c r="A1160" s="63"/>
      <c r="B1160" s="63">
        <f>'Padrão EPP'!B1160</f>
        <v>0.75</v>
      </c>
      <c r="C1160" s="63" t="str">
        <f>'Padrão EPP'!C1160</f>
        <v>GO</v>
      </c>
      <c r="D1160" s="63" t="str">
        <f>'Padrão EPP'!D1160</f>
        <v>INTERIOR II</v>
      </c>
      <c r="E1160" s="63">
        <f>'Padrão EPP'!E1160/2</f>
        <v>13.369562726911141</v>
      </c>
      <c r="F1160" s="67">
        <v>3.0000000000000001E-3</v>
      </c>
      <c r="G1160" s="67">
        <v>2E-3</v>
      </c>
      <c r="H1160" s="63"/>
    </row>
    <row r="1161" spans="1:8" x14ac:dyDescent="0.25">
      <c r="A1161" s="63"/>
      <c r="B1161" s="63">
        <f>'Padrão EPP'!B1161</f>
        <v>1</v>
      </c>
      <c r="C1161" s="63" t="str">
        <f>'Padrão EPP'!C1161</f>
        <v>GO</v>
      </c>
      <c r="D1161" s="63" t="str">
        <f>'Padrão EPP'!D1161</f>
        <v>INTERIOR II</v>
      </c>
      <c r="E1161" s="63">
        <f>'Padrão EPP'!E1161/2</f>
        <v>13.959264728435596</v>
      </c>
      <c r="F1161" s="67">
        <v>3.0000000000000001E-3</v>
      </c>
      <c r="G1161" s="67">
        <v>2E-3</v>
      </c>
      <c r="H1161" s="63"/>
    </row>
    <row r="1162" spans="1:8" x14ac:dyDescent="0.25">
      <c r="A1162" s="63"/>
      <c r="B1162" s="63">
        <f>'Padrão EPP'!B1162</f>
        <v>2</v>
      </c>
      <c r="C1162" s="63" t="str">
        <f>'Padrão EPP'!C1162</f>
        <v>GO</v>
      </c>
      <c r="D1162" s="63" t="str">
        <f>'Padrão EPP'!D1162</f>
        <v>INTERIOR II</v>
      </c>
      <c r="E1162" s="63">
        <f>'Padrão EPP'!E1162/2</f>
        <v>14.783619853126233</v>
      </c>
      <c r="F1162" s="67">
        <v>3.0000000000000001E-3</v>
      </c>
      <c r="G1162" s="67">
        <v>2E-3</v>
      </c>
      <c r="H1162" s="63"/>
    </row>
    <row r="1163" spans="1:8" x14ac:dyDescent="0.25">
      <c r="A1163" s="63"/>
      <c r="B1163" s="63">
        <f>'Padrão EPP'!B1163</f>
        <v>3</v>
      </c>
      <c r="C1163" s="63" t="str">
        <f>'Padrão EPP'!C1163</f>
        <v>GO</v>
      </c>
      <c r="D1163" s="63" t="str">
        <f>'Padrão EPP'!D1163</f>
        <v>INTERIOR II</v>
      </c>
      <c r="E1163" s="63">
        <f>'Padrão EPP'!E1163/2</f>
        <v>16.384162132876753</v>
      </c>
      <c r="F1163" s="67">
        <v>3.0000000000000001E-3</v>
      </c>
      <c r="G1163" s="67">
        <v>2E-3</v>
      </c>
      <c r="H1163" s="63"/>
    </row>
    <row r="1164" spans="1:8" x14ac:dyDescent="0.25">
      <c r="A1164" s="63"/>
      <c r="B1164" s="63">
        <f>'Padrão EPP'!B1164</f>
        <v>4</v>
      </c>
      <c r="C1164" s="63" t="str">
        <f>'Padrão EPP'!C1164</f>
        <v>GO</v>
      </c>
      <c r="D1164" s="63" t="str">
        <f>'Padrão EPP'!D1164</f>
        <v>INTERIOR II</v>
      </c>
      <c r="E1164" s="63">
        <f>'Padrão EPP'!E1164/2</f>
        <v>18.033299558467945</v>
      </c>
      <c r="F1164" s="67">
        <v>3.0000000000000001E-3</v>
      </c>
      <c r="G1164" s="67">
        <v>2E-3</v>
      </c>
      <c r="H1164" s="63"/>
    </row>
    <row r="1165" spans="1:8" x14ac:dyDescent="0.25">
      <c r="A1165" s="63"/>
      <c r="B1165" s="63">
        <f>'Padrão EPP'!B1165</f>
        <v>5</v>
      </c>
      <c r="C1165" s="63" t="str">
        <f>'Padrão EPP'!C1165</f>
        <v>GO</v>
      </c>
      <c r="D1165" s="63" t="str">
        <f>'Padrão EPP'!D1165</f>
        <v>INTERIOR II</v>
      </c>
      <c r="E1165" s="63">
        <f>'Padrão EPP'!E1165/2</f>
        <v>19.735891644483903</v>
      </c>
      <c r="F1165" s="67">
        <v>3.0000000000000001E-3</v>
      </c>
      <c r="G1165" s="67">
        <v>2E-3</v>
      </c>
      <c r="H1165" s="63"/>
    </row>
    <row r="1166" spans="1:8" x14ac:dyDescent="0.25">
      <c r="A1166" s="63"/>
      <c r="B1166" s="63">
        <f>'Padrão EPP'!B1166</f>
        <v>6</v>
      </c>
      <c r="C1166" s="63" t="str">
        <f>'Padrão EPP'!C1166</f>
        <v>GO</v>
      </c>
      <c r="D1166" s="63" t="str">
        <f>'Padrão EPP'!D1166</f>
        <v>INTERIOR II</v>
      </c>
      <c r="E1166" s="63">
        <f>'Padrão EPP'!E1166/2</f>
        <v>22.44685980984244</v>
      </c>
      <c r="F1166" s="67">
        <v>3.0000000000000001E-3</v>
      </c>
      <c r="G1166" s="67">
        <v>2E-3</v>
      </c>
      <c r="H1166" s="63"/>
    </row>
    <row r="1167" spans="1:8" x14ac:dyDescent="0.25">
      <c r="A1167" s="63"/>
      <c r="B1167" s="63">
        <f>'Padrão EPP'!B1167</f>
        <v>7</v>
      </c>
      <c r="C1167" s="63" t="str">
        <f>'Padrão EPP'!C1167</f>
        <v>GO</v>
      </c>
      <c r="D1167" s="63" t="str">
        <f>'Padrão EPP'!D1167</f>
        <v>INTERIOR II</v>
      </c>
      <c r="E1167" s="63">
        <f>'Padrão EPP'!E1167/2</f>
        <v>23.894180413187364</v>
      </c>
      <c r="F1167" s="67">
        <v>3.0000000000000001E-3</v>
      </c>
      <c r="G1167" s="67">
        <v>2E-3</v>
      </c>
      <c r="H1167" s="63"/>
    </row>
    <row r="1168" spans="1:8" x14ac:dyDescent="0.25">
      <c r="A1168" s="63"/>
      <c r="B1168" s="63">
        <f>'Padrão EPP'!B1168</f>
        <v>8</v>
      </c>
      <c r="C1168" s="63" t="str">
        <f>'Padrão EPP'!C1168</f>
        <v>GO</v>
      </c>
      <c r="D1168" s="63" t="str">
        <f>'Padrão EPP'!D1168</f>
        <v>INTERIOR II</v>
      </c>
      <c r="E1168" s="63">
        <f>'Padrão EPP'!E1168/2</f>
        <v>25.405564338527807</v>
      </c>
      <c r="F1168" s="67">
        <v>3.0000000000000001E-3</v>
      </c>
      <c r="G1168" s="67">
        <v>2E-3</v>
      </c>
      <c r="H1168" s="63"/>
    </row>
    <row r="1169" spans="1:8" x14ac:dyDescent="0.25">
      <c r="A1169" s="63"/>
      <c r="B1169" s="63">
        <f>'Padrão EPP'!B1169</f>
        <v>9</v>
      </c>
      <c r="C1169" s="63" t="str">
        <f>'Padrão EPP'!C1169</f>
        <v>GO</v>
      </c>
      <c r="D1169" s="63" t="str">
        <f>'Padrão EPP'!D1169</f>
        <v>INTERIOR II</v>
      </c>
      <c r="E1169" s="63">
        <f>'Padrão EPP'!E1169/2</f>
        <v>27.404193486944351</v>
      </c>
      <c r="F1169" s="67">
        <v>3.0000000000000001E-3</v>
      </c>
      <c r="G1169" s="67">
        <v>2E-3</v>
      </c>
      <c r="H1169" s="63"/>
    </row>
    <row r="1170" spans="1:8" x14ac:dyDescent="0.25">
      <c r="A1170" s="63"/>
      <c r="B1170" s="63">
        <f>'Padrão EPP'!B1170</f>
        <v>10</v>
      </c>
      <c r="C1170" s="63" t="str">
        <f>'Padrão EPP'!C1170</f>
        <v>GO</v>
      </c>
      <c r="D1170" s="63" t="str">
        <f>'Padrão EPP'!D1170</f>
        <v>INTERIOR II</v>
      </c>
      <c r="E1170" s="63">
        <f>'Padrão EPP'!E1170/2</f>
        <v>28.950737998762524</v>
      </c>
      <c r="F1170" s="67">
        <v>3.0000000000000001E-3</v>
      </c>
      <c r="G1170" s="67">
        <v>2E-3</v>
      </c>
      <c r="H1170" s="63"/>
    </row>
    <row r="1171" spans="1:8" x14ac:dyDescent="0.25">
      <c r="A1171" s="63"/>
      <c r="B1171" s="63">
        <f>'Padrão EPP'!B1171</f>
        <v>11</v>
      </c>
      <c r="C1171" s="63" t="str">
        <f>'Padrão EPP'!C1171</f>
        <v>GO</v>
      </c>
      <c r="D1171" s="63" t="str">
        <f>'Padrão EPP'!D1171</f>
        <v>INTERIOR II</v>
      </c>
      <c r="E1171" s="63">
        <f>'Padrão EPP'!E1171/2</f>
        <v>0</v>
      </c>
      <c r="F1171" s="67">
        <v>3.0000000000000001E-3</v>
      </c>
      <c r="G1171" s="67">
        <v>2E-3</v>
      </c>
      <c r="H1171" s="63"/>
    </row>
    <row r="1172" spans="1:8" x14ac:dyDescent="0.25">
      <c r="A1172" s="63"/>
      <c r="B1172" s="63">
        <f>'Padrão EPP'!B1172</f>
        <v>12</v>
      </c>
      <c r="C1172" s="63" t="str">
        <f>'Padrão EPP'!C1172</f>
        <v>GO</v>
      </c>
      <c r="D1172" s="63" t="str">
        <f>'Padrão EPP'!D1172</f>
        <v>INTERIOR II</v>
      </c>
      <c r="E1172" s="63">
        <f>'Padrão EPP'!E1172/2</f>
        <v>0</v>
      </c>
      <c r="F1172" s="67">
        <v>3.0000000000000001E-3</v>
      </c>
      <c r="G1172" s="67">
        <v>2E-3</v>
      </c>
      <c r="H1172" s="63"/>
    </row>
    <row r="1173" spans="1:8" x14ac:dyDescent="0.25">
      <c r="A1173" s="63"/>
      <c r="B1173" s="63">
        <f>'Padrão EPP'!B1173</f>
        <v>13</v>
      </c>
      <c r="C1173" s="63" t="str">
        <f>'Padrão EPP'!C1173</f>
        <v>GO</v>
      </c>
      <c r="D1173" s="63" t="str">
        <f>'Padrão EPP'!D1173</f>
        <v>INTERIOR II</v>
      </c>
      <c r="E1173" s="63">
        <f>'Padrão EPP'!E1173/2</f>
        <v>0</v>
      </c>
      <c r="F1173" s="67">
        <v>3.0000000000000001E-3</v>
      </c>
      <c r="G1173" s="67">
        <v>2E-3</v>
      </c>
      <c r="H1173" s="63"/>
    </row>
    <row r="1174" spans="1:8" x14ac:dyDescent="0.25">
      <c r="A1174" s="63"/>
      <c r="B1174" s="63">
        <f>'Padrão EPP'!B1174</f>
        <v>14</v>
      </c>
      <c r="C1174" s="63" t="str">
        <f>'Padrão EPP'!C1174</f>
        <v>GO</v>
      </c>
      <c r="D1174" s="63" t="str">
        <f>'Padrão EPP'!D1174</f>
        <v>INTERIOR II</v>
      </c>
      <c r="E1174" s="63">
        <f>'Padrão EPP'!E1174/2</f>
        <v>0</v>
      </c>
      <c r="F1174" s="67">
        <v>3.0000000000000001E-3</v>
      </c>
      <c r="G1174" s="67">
        <v>2E-3</v>
      </c>
      <c r="H1174" s="63"/>
    </row>
    <row r="1175" spans="1:8" x14ac:dyDescent="0.25">
      <c r="A1175" s="63"/>
      <c r="B1175" s="63">
        <f>'Padrão EPP'!B1175</f>
        <v>15</v>
      </c>
      <c r="C1175" s="63" t="str">
        <f>'Padrão EPP'!C1175</f>
        <v>GO</v>
      </c>
      <c r="D1175" s="63" t="str">
        <f>'Padrão EPP'!D1175</f>
        <v>INTERIOR II</v>
      </c>
      <c r="E1175" s="63">
        <f>'Padrão EPP'!E1175/2</f>
        <v>0</v>
      </c>
      <c r="F1175" s="67">
        <v>3.0000000000000001E-3</v>
      </c>
      <c r="G1175" s="67">
        <v>2E-3</v>
      </c>
      <c r="H1175" s="63"/>
    </row>
    <row r="1176" spans="1:8" x14ac:dyDescent="0.25">
      <c r="A1176" s="63"/>
      <c r="B1176" s="63">
        <f>'Padrão EPP'!B1176</f>
        <v>16</v>
      </c>
      <c r="C1176" s="63" t="str">
        <f>'Padrão EPP'!C1176</f>
        <v>GO</v>
      </c>
      <c r="D1176" s="63" t="str">
        <f>'Padrão EPP'!D1176</f>
        <v>INTERIOR II</v>
      </c>
      <c r="E1176" s="63">
        <f>'Padrão EPP'!E1176/2</f>
        <v>0</v>
      </c>
      <c r="F1176" s="67">
        <v>3.0000000000000001E-3</v>
      </c>
      <c r="G1176" s="67">
        <v>2E-3</v>
      </c>
      <c r="H1176" s="63"/>
    </row>
    <row r="1177" spans="1:8" x14ac:dyDescent="0.25">
      <c r="A1177" s="63"/>
      <c r="B1177" s="63">
        <f>'Padrão EPP'!B1177</f>
        <v>17</v>
      </c>
      <c r="C1177" s="63" t="str">
        <f>'Padrão EPP'!C1177</f>
        <v>GO</v>
      </c>
      <c r="D1177" s="63" t="str">
        <f>'Padrão EPP'!D1177</f>
        <v>INTERIOR II</v>
      </c>
      <c r="E1177" s="63">
        <f>'Padrão EPP'!E1177/2</f>
        <v>0</v>
      </c>
      <c r="F1177" s="67">
        <v>3.0000000000000001E-3</v>
      </c>
      <c r="G1177" s="67">
        <v>2E-3</v>
      </c>
      <c r="H1177" s="63"/>
    </row>
    <row r="1178" spans="1:8" x14ac:dyDescent="0.25">
      <c r="A1178" s="63"/>
      <c r="B1178" s="63">
        <f>'Padrão EPP'!B1178</f>
        <v>18</v>
      </c>
      <c r="C1178" s="63" t="str">
        <f>'Padrão EPP'!C1178</f>
        <v>GO</v>
      </c>
      <c r="D1178" s="63" t="str">
        <f>'Padrão EPP'!D1178</f>
        <v>INTERIOR II</v>
      </c>
      <c r="E1178" s="63">
        <f>'Padrão EPP'!E1178/2</f>
        <v>0</v>
      </c>
      <c r="F1178" s="67">
        <v>3.0000000000000001E-3</v>
      </c>
      <c r="G1178" s="67">
        <v>2E-3</v>
      </c>
      <c r="H1178" s="63"/>
    </row>
    <row r="1179" spans="1:8" x14ac:dyDescent="0.25">
      <c r="A1179" s="63"/>
      <c r="B1179" s="63">
        <f>'Padrão EPP'!B1179</f>
        <v>19</v>
      </c>
      <c r="C1179" s="63" t="str">
        <f>'Padrão EPP'!C1179</f>
        <v>GO</v>
      </c>
      <c r="D1179" s="63" t="str">
        <f>'Padrão EPP'!D1179</f>
        <v>INTERIOR II</v>
      </c>
      <c r="E1179" s="63">
        <f>'Padrão EPP'!E1179/2</f>
        <v>0</v>
      </c>
      <c r="F1179" s="67">
        <v>3.0000000000000001E-3</v>
      </c>
      <c r="G1179" s="67">
        <v>2E-3</v>
      </c>
      <c r="H1179" s="63"/>
    </row>
    <row r="1180" spans="1:8" x14ac:dyDescent="0.25">
      <c r="A1180" s="63"/>
      <c r="B1180" s="63">
        <f>'Padrão EPP'!B1180</f>
        <v>20</v>
      </c>
      <c r="C1180" s="63" t="str">
        <f>'Padrão EPP'!C1180</f>
        <v>GO</v>
      </c>
      <c r="D1180" s="63" t="str">
        <f>'Padrão EPP'!D1180</f>
        <v>INTERIOR II</v>
      </c>
      <c r="E1180" s="63">
        <f>'Padrão EPP'!E1180/2</f>
        <v>0</v>
      </c>
      <c r="F1180" s="67">
        <v>3.0000000000000001E-3</v>
      </c>
      <c r="G1180" s="67">
        <v>2E-3</v>
      </c>
      <c r="H1180" s="63"/>
    </row>
    <row r="1181" spans="1:8" x14ac:dyDescent="0.25">
      <c r="A1181" s="63"/>
      <c r="B1181" s="63">
        <f>'Padrão EPP'!B1181</f>
        <v>21</v>
      </c>
      <c r="C1181" s="63" t="str">
        <f>'Padrão EPP'!C1181</f>
        <v>GO</v>
      </c>
      <c r="D1181" s="63" t="str">
        <f>'Padrão EPP'!D1181</f>
        <v>INTERIOR II</v>
      </c>
      <c r="E1181" s="63">
        <f>'Padrão EPP'!E1181/2</f>
        <v>0</v>
      </c>
      <c r="F1181" s="67">
        <v>3.0000000000000001E-3</v>
      </c>
      <c r="G1181" s="67">
        <v>2E-3</v>
      </c>
      <c r="H1181" s="63"/>
    </row>
    <row r="1182" spans="1:8" x14ac:dyDescent="0.25">
      <c r="A1182" s="63"/>
      <c r="B1182" s="63">
        <f>'Padrão EPP'!B1182</f>
        <v>22</v>
      </c>
      <c r="C1182" s="63" t="str">
        <f>'Padrão EPP'!C1182</f>
        <v>GO</v>
      </c>
      <c r="D1182" s="63" t="str">
        <f>'Padrão EPP'!D1182</f>
        <v>INTERIOR II</v>
      </c>
      <c r="E1182" s="63">
        <f>'Padrão EPP'!E1182/2</f>
        <v>0</v>
      </c>
      <c r="F1182" s="67">
        <v>3.0000000000000001E-3</v>
      </c>
      <c r="G1182" s="67">
        <v>2E-3</v>
      </c>
      <c r="H1182" s="63"/>
    </row>
    <row r="1183" spans="1:8" x14ac:dyDescent="0.25">
      <c r="A1183" s="63"/>
      <c r="B1183" s="63">
        <f>'Padrão EPP'!B1183</f>
        <v>23</v>
      </c>
      <c r="C1183" s="63" t="str">
        <f>'Padrão EPP'!C1183</f>
        <v>GO</v>
      </c>
      <c r="D1183" s="63" t="str">
        <f>'Padrão EPP'!D1183</f>
        <v>INTERIOR II</v>
      </c>
      <c r="E1183" s="63">
        <f>'Padrão EPP'!E1183/2</f>
        <v>0</v>
      </c>
      <c r="F1183" s="67">
        <v>3.0000000000000001E-3</v>
      </c>
      <c r="G1183" s="67">
        <v>2E-3</v>
      </c>
      <c r="H1183" s="63"/>
    </row>
    <row r="1184" spans="1:8" x14ac:dyDescent="0.25">
      <c r="A1184" s="63"/>
      <c r="B1184" s="63">
        <f>'Padrão EPP'!B1184</f>
        <v>24</v>
      </c>
      <c r="C1184" s="63" t="str">
        <f>'Padrão EPP'!C1184</f>
        <v>GO</v>
      </c>
      <c r="D1184" s="63" t="str">
        <f>'Padrão EPP'!D1184</f>
        <v>INTERIOR II</v>
      </c>
      <c r="E1184" s="63">
        <f>'Padrão EPP'!E1184/2</f>
        <v>0</v>
      </c>
      <c r="F1184" s="67">
        <v>3.0000000000000001E-3</v>
      </c>
      <c r="G1184" s="67">
        <v>2E-3</v>
      </c>
      <c r="H1184" s="63"/>
    </row>
    <row r="1185" spans="1:8" x14ac:dyDescent="0.25">
      <c r="A1185" s="63"/>
      <c r="B1185" s="63">
        <f>'Padrão EPP'!B1185</f>
        <v>25</v>
      </c>
      <c r="C1185" s="63" t="str">
        <f>'Padrão EPP'!C1185</f>
        <v>GO</v>
      </c>
      <c r="D1185" s="63" t="str">
        <f>'Padrão EPP'!D1185</f>
        <v>INTERIOR II</v>
      </c>
      <c r="E1185" s="63">
        <f>'Padrão EPP'!E1185/2</f>
        <v>0</v>
      </c>
      <c r="F1185" s="67">
        <v>3.0000000000000001E-3</v>
      </c>
      <c r="G1185" s="67">
        <v>2E-3</v>
      </c>
      <c r="H1185" s="63"/>
    </row>
    <row r="1186" spans="1:8" x14ac:dyDescent="0.25">
      <c r="A1186" s="63"/>
      <c r="B1186" s="63">
        <f>'Padrão EPP'!B1186</f>
        <v>26</v>
      </c>
      <c r="C1186" s="63" t="str">
        <f>'Padrão EPP'!C1186</f>
        <v>GO</v>
      </c>
      <c r="D1186" s="63" t="str">
        <f>'Padrão EPP'!D1186</f>
        <v>INTERIOR II</v>
      </c>
      <c r="E1186" s="63">
        <f>'Padrão EPP'!E1186/2</f>
        <v>0</v>
      </c>
      <c r="F1186" s="67">
        <v>3.0000000000000001E-3</v>
      </c>
      <c r="G1186" s="67">
        <v>2E-3</v>
      </c>
      <c r="H1186" s="63"/>
    </row>
    <row r="1187" spans="1:8" x14ac:dyDescent="0.25">
      <c r="A1187" s="63"/>
      <c r="B1187" s="63">
        <f>'Padrão EPP'!B1187</f>
        <v>27</v>
      </c>
      <c r="C1187" s="63" t="str">
        <f>'Padrão EPP'!C1187</f>
        <v>GO</v>
      </c>
      <c r="D1187" s="63" t="str">
        <f>'Padrão EPP'!D1187</f>
        <v>INTERIOR II</v>
      </c>
      <c r="E1187" s="63">
        <f>'Padrão EPP'!E1187/2</f>
        <v>0</v>
      </c>
      <c r="F1187" s="67">
        <v>3.0000000000000001E-3</v>
      </c>
      <c r="G1187" s="67">
        <v>2E-3</v>
      </c>
      <c r="H1187" s="63"/>
    </row>
    <row r="1188" spans="1:8" x14ac:dyDescent="0.25">
      <c r="A1188" s="63"/>
      <c r="B1188" s="63">
        <f>'Padrão EPP'!B1188</f>
        <v>28</v>
      </c>
      <c r="C1188" s="63" t="str">
        <f>'Padrão EPP'!C1188</f>
        <v>GO</v>
      </c>
      <c r="D1188" s="63" t="str">
        <f>'Padrão EPP'!D1188</f>
        <v>INTERIOR II</v>
      </c>
      <c r="E1188" s="63">
        <f>'Padrão EPP'!E1188/2</f>
        <v>0</v>
      </c>
      <c r="F1188" s="67">
        <v>3.0000000000000001E-3</v>
      </c>
      <c r="G1188" s="67">
        <v>2E-3</v>
      </c>
      <c r="H1188" s="63"/>
    </row>
    <row r="1189" spans="1:8" x14ac:dyDescent="0.25">
      <c r="A1189" s="63"/>
      <c r="B1189" s="63">
        <f>'Padrão EPP'!B1189</f>
        <v>29</v>
      </c>
      <c r="C1189" s="63" t="str">
        <f>'Padrão EPP'!C1189</f>
        <v>GO</v>
      </c>
      <c r="D1189" s="63" t="str">
        <f>'Padrão EPP'!D1189</f>
        <v>INTERIOR II</v>
      </c>
      <c r="E1189" s="63">
        <f>'Padrão EPP'!E1189/2</f>
        <v>0</v>
      </c>
      <c r="F1189" s="67">
        <v>3.0000000000000001E-3</v>
      </c>
      <c r="G1189" s="67">
        <v>2E-3</v>
      </c>
      <c r="H1189" s="63"/>
    </row>
    <row r="1190" spans="1:8" x14ac:dyDescent="0.25">
      <c r="A1190" s="63"/>
      <c r="B1190" s="63">
        <f>'Padrão EPP'!B1190</f>
        <v>30</v>
      </c>
      <c r="C1190" s="63" t="str">
        <f>'Padrão EPP'!C1190</f>
        <v>GO</v>
      </c>
      <c r="D1190" s="63" t="str">
        <f>'Padrão EPP'!D1190</f>
        <v>INTERIOR II</v>
      </c>
      <c r="E1190" s="63">
        <f>'Padrão EPP'!E1190/2</f>
        <v>0</v>
      </c>
      <c r="F1190" s="67">
        <v>3.0000000000000001E-3</v>
      </c>
      <c r="G1190" s="67">
        <v>2E-3</v>
      </c>
      <c r="H1190" s="63"/>
    </row>
    <row r="1191" spans="1:8" x14ac:dyDescent="0.25">
      <c r="A1191" s="63"/>
      <c r="B1191" s="63">
        <f>'Padrão EPP'!B1191</f>
        <v>0</v>
      </c>
      <c r="C1191" s="63" t="str">
        <f>'Padrão EPP'!C1191</f>
        <v>GO</v>
      </c>
      <c r="D1191" s="63" t="str">
        <f>'Padrão EPP'!D1191</f>
        <v>INTERIOR II</v>
      </c>
      <c r="E1191" s="63">
        <f>'Padrão EPP'!E1191/2</f>
        <v>1.5214394455252955</v>
      </c>
      <c r="F1191" s="67">
        <v>3.0000000000000001E-3</v>
      </c>
      <c r="G1191" s="67">
        <v>2E-3</v>
      </c>
      <c r="H1191" s="63"/>
    </row>
    <row r="1192" spans="1:8" x14ac:dyDescent="0.25">
      <c r="A1192" s="63"/>
      <c r="B1192" s="63">
        <f>'Padrão EPP'!B1192</f>
        <v>0.25</v>
      </c>
      <c r="C1192" s="63" t="str">
        <f>'Padrão EPP'!C1192</f>
        <v>GO</v>
      </c>
      <c r="D1192" s="63" t="str">
        <f>'Padrão EPP'!D1192</f>
        <v>REDESPACHO</v>
      </c>
      <c r="E1192" s="63">
        <f>'Padrão EPP'!E1192/2</f>
        <v>16.361594000441393</v>
      </c>
      <c r="F1192" s="67">
        <v>3.0000000000000001E-3</v>
      </c>
      <c r="G1192" s="67">
        <v>2E-3</v>
      </c>
      <c r="H1192" s="63"/>
    </row>
    <row r="1193" spans="1:8" x14ac:dyDescent="0.25">
      <c r="A1193" s="63"/>
      <c r="B1193" s="63">
        <f>'Padrão EPP'!B1193</f>
        <v>0.5</v>
      </c>
      <c r="C1193" s="63" t="str">
        <f>'Padrão EPP'!C1193</f>
        <v>GO</v>
      </c>
      <c r="D1193" s="63" t="str">
        <f>'Padrão EPP'!D1193</f>
        <v>REDESPACHO</v>
      </c>
      <c r="E1193" s="63">
        <f>'Padrão EPP'!E1193/2</f>
        <v>17.461791646879707</v>
      </c>
      <c r="F1193" s="67">
        <v>3.0000000000000001E-3</v>
      </c>
      <c r="G1193" s="67">
        <v>2E-3</v>
      </c>
      <c r="H1193" s="63"/>
    </row>
    <row r="1194" spans="1:8" x14ac:dyDescent="0.25">
      <c r="A1194" s="63"/>
      <c r="B1194" s="63">
        <f>'Padrão EPP'!B1194</f>
        <v>0.75</v>
      </c>
      <c r="C1194" s="63" t="str">
        <f>'Padrão EPP'!C1194</f>
        <v>GO</v>
      </c>
      <c r="D1194" s="63" t="str">
        <f>'Padrão EPP'!D1194</f>
        <v>REDESPACHO</v>
      </c>
      <c r="E1194" s="63">
        <f>'Padrão EPP'!E1194/2</f>
        <v>18.364020057356534</v>
      </c>
      <c r="F1194" s="67">
        <v>3.0000000000000001E-3</v>
      </c>
      <c r="G1194" s="67">
        <v>2E-3</v>
      </c>
      <c r="H1194" s="63"/>
    </row>
    <row r="1195" spans="1:8" x14ac:dyDescent="0.25">
      <c r="A1195" s="63"/>
      <c r="B1195" s="63">
        <f>'Padrão EPP'!B1195</f>
        <v>1</v>
      </c>
      <c r="C1195" s="63" t="str">
        <f>'Padrão EPP'!C1195</f>
        <v>GO</v>
      </c>
      <c r="D1195" s="63" t="str">
        <f>'Padrão EPP'!D1195</f>
        <v>REDESPACHO</v>
      </c>
      <c r="E1195" s="63">
        <f>'Padrão EPP'!E1195/2</f>
        <v>19.455459060400631</v>
      </c>
      <c r="F1195" s="67">
        <v>3.0000000000000001E-3</v>
      </c>
      <c r="G1195" s="67">
        <v>2E-3</v>
      </c>
      <c r="H1195" s="63"/>
    </row>
    <row r="1196" spans="1:8" x14ac:dyDescent="0.25">
      <c r="A1196" s="63"/>
      <c r="B1196" s="63">
        <f>'Padrão EPP'!B1196</f>
        <v>2</v>
      </c>
      <c r="C1196" s="63" t="str">
        <f>'Padrão EPP'!C1196</f>
        <v>GO</v>
      </c>
      <c r="D1196" s="63" t="str">
        <f>'Padrão EPP'!D1196</f>
        <v>REDESPACHO</v>
      </c>
      <c r="E1196" s="63">
        <f>'Padrão EPP'!E1196/2</f>
        <v>20.81157054949303</v>
      </c>
      <c r="F1196" s="67">
        <v>3.0000000000000001E-3</v>
      </c>
      <c r="G1196" s="67">
        <v>2E-3</v>
      </c>
      <c r="H1196" s="63"/>
    </row>
    <row r="1197" spans="1:8" x14ac:dyDescent="0.25">
      <c r="A1197" s="63"/>
      <c r="B1197" s="63">
        <f>'Padrão EPP'!B1197</f>
        <v>3</v>
      </c>
      <c r="C1197" s="63" t="str">
        <f>'Padrão EPP'!C1197</f>
        <v>GO</v>
      </c>
      <c r="D1197" s="63" t="str">
        <f>'Padrão EPP'!D1197</f>
        <v>REDESPACHO</v>
      </c>
      <c r="E1197" s="63">
        <f>'Padrão EPP'!E1197/2</f>
        <v>23.028483487151114</v>
      </c>
      <c r="F1197" s="67">
        <v>3.0000000000000001E-3</v>
      </c>
      <c r="G1197" s="67">
        <v>2E-3</v>
      </c>
      <c r="H1197" s="63"/>
    </row>
    <row r="1198" spans="1:8" x14ac:dyDescent="0.25">
      <c r="A1198" s="63"/>
      <c r="B1198" s="63">
        <f>'Padrão EPP'!B1198</f>
        <v>4</v>
      </c>
      <c r="C1198" s="63" t="str">
        <f>'Padrão EPP'!C1198</f>
        <v>GO</v>
      </c>
      <c r="D1198" s="63" t="str">
        <f>'Padrão EPP'!D1198</f>
        <v>REDESPACHO</v>
      </c>
      <c r="E1198" s="63">
        <f>'Padrão EPP'!E1198/2</f>
        <v>26.419570854873985</v>
      </c>
      <c r="F1198" s="67">
        <v>3.0000000000000001E-3</v>
      </c>
      <c r="G1198" s="67">
        <v>2E-3</v>
      </c>
      <c r="H1198" s="63"/>
    </row>
    <row r="1199" spans="1:8" x14ac:dyDescent="0.25">
      <c r="A1199" s="63"/>
      <c r="B1199" s="63">
        <f>'Padrão EPP'!B1199</f>
        <v>5</v>
      </c>
      <c r="C1199" s="63" t="str">
        <f>'Padrão EPP'!C1199</f>
        <v>GO</v>
      </c>
      <c r="D1199" s="63" t="str">
        <f>'Padrão EPP'!D1199</f>
        <v>REDESPACHO</v>
      </c>
      <c r="E1199" s="63">
        <f>'Padrão EPP'!E1199/2</f>
        <v>28.949596973882681</v>
      </c>
      <c r="F1199" s="67">
        <v>3.0000000000000001E-3</v>
      </c>
      <c r="G1199" s="67">
        <v>2E-3</v>
      </c>
      <c r="H1199" s="63"/>
    </row>
    <row r="1200" spans="1:8" x14ac:dyDescent="0.25">
      <c r="A1200" s="63"/>
      <c r="B1200" s="63">
        <f>'Padrão EPP'!B1200</f>
        <v>6</v>
      </c>
      <c r="C1200" s="63" t="str">
        <f>'Padrão EPP'!C1200</f>
        <v>GO</v>
      </c>
      <c r="D1200" s="63" t="str">
        <f>'Padrão EPP'!D1200</f>
        <v>REDESPACHO</v>
      </c>
      <c r="E1200" s="63">
        <f>'Padrão EPP'!E1200/2</f>
        <v>32.319157810387686</v>
      </c>
      <c r="F1200" s="67">
        <v>3.0000000000000001E-3</v>
      </c>
      <c r="G1200" s="67">
        <v>2E-3</v>
      </c>
      <c r="H1200" s="63"/>
    </row>
    <row r="1201" spans="1:8" x14ac:dyDescent="0.25">
      <c r="A1201" s="63"/>
      <c r="B1201" s="63">
        <f>'Padrão EPP'!B1201</f>
        <v>7</v>
      </c>
      <c r="C1201" s="63" t="str">
        <f>'Padrão EPP'!C1201</f>
        <v>GO</v>
      </c>
      <c r="D1201" s="63" t="str">
        <f>'Padrão EPP'!D1201</f>
        <v>REDESPACHO</v>
      </c>
      <c r="E1201" s="63">
        <f>'Padrão EPP'!E1201/2</f>
        <v>36.008387635477845</v>
      </c>
      <c r="F1201" s="67">
        <v>3.0000000000000001E-3</v>
      </c>
      <c r="G1201" s="67">
        <v>2E-3</v>
      </c>
      <c r="H1201" s="63"/>
    </row>
    <row r="1202" spans="1:8" x14ac:dyDescent="0.25">
      <c r="A1202" s="63"/>
      <c r="B1202" s="63">
        <f>'Padrão EPP'!B1202</f>
        <v>8</v>
      </c>
      <c r="C1202" s="63" t="str">
        <f>'Padrão EPP'!C1202</f>
        <v>GO</v>
      </c>
      <c r="D1202" s="63" t="str">
        <f>'Padrão EPP'!D1202</f>
        <v>REDESPACHO</v>
      </c>
      <c r="E1202" s="63">
        <f>'Padrão EPP'!E1202/2</f>
        <v>38.937870831030679</v>
      </c>
      <c r="F1202" s="67">
        <v>3.0000000000000001E-3</v>
      </c>
      <c r="G1202" s="67">
        <v>2E-3</v>
      </c>
      <c r="H1202" s="63"/>
    </row>
    <row r="1203" spans="1:8" x14ac:dyDescent="0.25">
      <c r="A1203" s="63"/>
      <c r="B1203" s="63">
        <f>'Padrão EPP'!B1203</f>
        <v>9</v>
      </c>
      <c r="C1203" s="63" t="str">
        <f>'Padrão EPP'!C1203</f>
        <v>GO</v>
      </c>
      <c r="D1203" s="63" t="str">
        <f>'Padrão EPP'!D1203</f>
        <v>REDESPACHO</v>
      </c>
      <c r="E1203" s="63">
        <f>'Padrão EPP'!E1203/2</f>
        <v>42.019548432048843</v>
      </c>
      <c r="F1203" s="67">
        <v>3.0000000000000001E-3</v>
      </c>
      <c r="G1203" s="67">
        <v>2E-3</v>
      </c>
      <c r="H1203" s="63"/>
    </row>
    <row r="1204" spans="1:8" x14ac:dyDescent="0.25">
      <c r="A1204" s="63"/>
      <c r="B1204" s="63">
        <f>'Padrão EPP'!B1204</f>
        <v>10</v>
      </c>
      <c r="C1204" s="63" t="str">
        <f>'Padrão EPP'!C1204</f>
        <v>GO</v>
      </c>
      <c r="D1204" s="63" t="str">
        <f>'Padrão EPP'!D1204</f>
        <v>REDESPACHO</v>
      </c>
      <c r="E1204" s="63">
        <f>'Padrão EPP'!E1204/2</f>
        <v>45.267117935024309</v>
      </c>
      <c r="F1204" s="67">
        <v>3.0000000000000001E-3</v>
      </c>
      <c r="G1204" s="67">
        <v>2E-3</v>
      </c>
      <c r="H1204" s="63"/>
    </row>
    <row r="1205" spans="1:8" x14ac:dyDescent="0.25">
      <c r="A1205" s="63"/>
      <c r="B1205" s="63">
        <f>'Padrão EPP'!B1205</f>
        <v>11</v>
      </c>
      <c r="C1205" s="63" t="str">
        <f>'Padrão EPP'!C1205</f>
        <v>GO</v>
      </c>
      <c r="D1205" s="63" t="str">
        <f>'Padrão EPP'!D1205</f>
        <v>REDESPACHO</v>
      </c>
      <c r="E1205" s="63">
        <f>'Padrão EPP'!E1205/2</f>
        <v>0</v>
      </c>
      <c r="F1205" s="67">
        <v>3.0000000000000001E-3</v>
      </c>
      <c r="G1205" s="67">
        <v>2E-3</v>
      </c>
      <c r="H1205" s="63"/>
    </row>
    <row r="1206" spans="1:8" x14ac:dyDescent="0.25">
      <c r="A1206" s="63"/>
      <c r="B1206" s="63">
        <f>'Padrão EPP'!B1206</f>
        <v>12</v>
      </c>
      <c r="C1206" s="63" t="str">
        <f>'Padrão EPP'!C1206</f>
        <v>GO</v>
      </c>
      <c r="D1206" s="63" t="str">
        <f>'Padrão EPP'!D1206</f>
        <v>REDESPACHO</v>
      </c>
      <c r="E1206" s="63">
        <f>'Padrão EPP'!E1206/2</f>
        <v>0</v>
      </c>
      <c r="F1206" s="67">
        <v>3.0000000000000001E-3</v>
      </c>
      <c r="G1206" s="67">
        <v>2E-3</v>
      </c>
      <c r="H1206" s="63"/>
    </row>
    <row r="1207" spans="1:8" x14ac:dyDescent="0.25">
      <c r="A1207" s="63"/>
      <c r="B1207" s="63">
        <f>'Padrão EPP'!B1207</f>
        <v>13</v>
      </c>
      <c r="C1207" s="63" t="str">
        <f>'Padrão EPP'!C1207</f>
        <v>GO</v>
      </c>
      <c r="D1207" s="63" t="str">
        <f>'Padrão EPP'!D1207</f>
        <v>REDESPACHO</v>
      </c>
      <c r="E1207" s="63">
        <f>'Padrão EPP'!E1207/2</f>
        <v>0</v>
      </c>
      <c r="F1207" s="67">
        <v>3.0000000000000001E-3</v>
      </c>
      <c r="G1207" s="67">
        <v>2E-3</v>
      </c>
      <c r="H1207" s="63"/>
    </row>
    <row r="1208" spans="1:8" x14ac:dyDescent="0.25">
      <c r="A1208" s="63"/>
      <c r="B1208" s="63">
        <f>'Padrão EPP'!B1208</f>
        <v>14</v>
      </c>
      <c r="C1208" s="63" t="str">
        <f>'Padrão EPP'!C1208</f>
        <v>GO</v>
      </c>
      <c r="D1208" s="63" t="str">
        <f>'Padrão EPP'!D1208</f>
        <v>REDESPACHO</v>
      </c>
      <c r="E1208" s="63">
        <f>'Padrão EPP'!E1208/2</f>
        <v>0</v>
      </c>
      <c r="F1208" s="67">
        <v>3.0000000000000001E-3</v>
      </c>
      <c r="G1208" s="67">
        <v>2E-3</v>
      </c>
      <c r="H1208" s="63"/>
    </row>
    <row r="1209" spans="1:8" x14ac:dyDescent="0.25">
      <c r="A1209" s="63"/>
      <c r="B1209" s="63">
        <f>'Padrão EPP'!B1209</f>
        <v>15</v>
      </c>
      <c r="C1209" s="63" t="str">
        <f>'Padrão EPP'!C1209</f>
        <v>GO</v>
      </c>
      <c r="D1209" s="63" t="str">
        <f>'Padrão EPP'!D1209</f>
        <v>REDESPACHO</v>
      </c>
      <c r="E1209" s="63">
        <f>'Padrão EPP'!E1209/2</f>
        <v>0</v>
      </c>
      <c r="F1209" s="67">
        <v>3.0000000000000001E-3</v>
      </c>
      <c r="G1209" s="67">
        <v>2E-3</v>
      </c>
      <c r="H1209" s="63"/>
    </row>
    <row r="1210" spans="1:8" x14ac:dyDescent="0.25">
      <c r="A1210" s="63"/>
      <c r="B1210" s="63">
        <f>'Padrão EPP'!B1210</f>
        <v>16</v>
      </c>
      <c r="C1210" s="63" t="str">
        <f>'Padrão EPP'!C1210</f>
        <v>GO</v>
      </c>
      <c r="D1210" s="63" t="str">
        <f>'Padrão EPP'!D1210</f>
        <v>REDESPACHO</v>
      </c>
      <c r="E1210" s="63">
        <f>'Padrão EPP'!E1210/2</f>
        <v>0</v>
      </c>
      <c r="F1210" s="67">
        <v>3.0000000000000001E-3</v>
      </c>
      <c r="G1210" s="67">
        <v>2E-3</v>
      </c>
      <c r="H1210" s="63"/>
    </row>
    <row r="1211" spans="1:8" x14ac:dyDescent="0.25">
      <c r="A1211" s="63"/>
      <c r="B1211" s="63">
        <f>'Padrão EPP'!B1211</f>
        <v>17</v>
      </c>
      <c r="C1211" s="63" t="str">
        <f>'Padrão EPP'!C1211</f>
        <v>GO</v>
      </c>
      <c r="D1211" s="63" t="str">
        <f>'Padrão EPP'!D1211</f>
        <v>REDESPACHO</v>
      </c>
      <c r="E1211" s="63">
        <f>'Padrão EPP'!E1211/2</f>
        <v>0</v>
      </c>
      <c r="F1211" s="67">
        <v>3.0000000000000001E-3</v>
      </c>
      <c r="G1211" s="67">
        <v>2E-3</v>
      </c>
      <c r="H1211" s="63"/>
    </row>
    <row r="1212" spans="1:8" x14ac:dyDescent="0.25">
      <c r="A1212" s="63"/>
      <c r="B1212" s="63">
        <f>'Padrão EPP'!B1212</f>
        <v>18</v>
      </c>
      <c r="C1212" s="63" t="str">
        <f>'Padrão EPP'!C1212</f>
        <v>GO</v>
      </c>
      <c r="D1212" s="63" t="str">
        <f>'Padrão EPP'!D1212</f>
        <v>REDESPACHO</v>
      </c>
      <c r="E1212" s="63">
        <f>'Padrão EPP'!E1212/2</f>
        <v>0</v>
      </c>
      <c r="F1212" s="67">
        <v>3.0000000000000001E-3</v>
      </c>
      <c r="G1212" s="67">
        <v>2E-3</v>
      </c>
      <c r="H1212" s="63"/>
    </row>
    <row r="1213" spans="1:8" x14ac:dyDescent="0.25">
      <c r="A1213" s="63"/>
      <c r="B1213" s="63">
        <f>'Padrão EPP'!B1213</f>
        <v>19</v>
      </c>
      <c r="C1213" s="63" t="str">
        <f>'Padrão EPP'!C1213</f>
        <v>GO</v>
      </c>
      <c r="D1213" s="63" t="str">
        <f>'Padrão EPP'!D1213</f>
        <v>REDESPACHO</v>
      </c>
      <c r="E1213" s="63">
        <f>'Padrão EPP'!E1213/2</f>
        <v>0</v>
      </c>
      <c r="F1213" s="67">
        <v>3.0000000000000001E-3</v>
      </c>
      <c r="G1213" s="67">
        <v>2E-3</v>
      </c>
      <c r="H1213" s="63"/>
    </row>
    <row r="1214" spans="1:8" x14ac:dyDescent="0.25">
      <c r="A1214" s="63"/>
      <c r="B1214" s="63">
        <f>'Padrão EPP'!B1214</f>
        <v>20</v>
      </c>
      <c r="C1214" s="63" t="str">
        <f>'Padrão EPP'!C1214</f>
        <v>GO</v>
      </c>
      <c r="D1214" s="63" t="str">
        <f>'Padrão EPP'!D1214</f>
        <v>REDESPACHO</v>
      </c>
      <c r="E1214" s="63">
        <f>'Padrão EPP'!E1214/2</f>
        <v>0</v>
      </c>
      <c r="F1214" s="67">
        <v>3.0000000000000001E-3</v>
      </c>
      <c r="G1214" s="67">
        <v>2E-3</v>
      </c>
      <c r="H1214" s="63"/>
    </row>
    <row r="1215" spans="1:8" x14ac:dyDescent="0.25">
      <c r="A1215" s="63"/>
      <c r="B1215" s="63">
        <f>'Padrão EPP'!B1215</f>
        <v>21</v>
      </c>
      <c r="C1215" s="63" t="str">
        <f>'Padrão EPP'!C1215</f>
        <v>GO</v>
      </c>
      <c r="D1215" s="63" t="str">
        <f>'Padrão EPP'!D1215</f>
        <v>REDESPACHO</v>
      </c>
      <c r="E1215" s="63">
        <f>'Padrão EPP'!E1215/2</f>
        <v>0</v>
      </c>
      <c r="F1215" s="67">
        <v>3.0000000000000001E-3</v>
      </c>
      <c r="G1215" s="67">
        <v>2E-3</v>
      </c>
      <c r="H1215" s="63"/>
    </row>
    <row r="1216" spans="1:8" x14ac:dyDescent="0.25">
      <c r="A1216" s="63"/>
      <c r="B1216" s="63">
        <f>'Padrão EPP'!B1216</f>
        <v>22</v>
      </c>
      <c r="C1216" s="63" t="str">
        <f>'Padrão EPP'!C1216</f>
        <v>GO</v>
      </c>
      <c r="D1216" s="63" t="str">
        <f>'Padrão EPP'!D1216</f>
        <v>REDESPACHO</v>
      </c>
      <c r="E1216" s="63">
        <f>'Padrão EPP'!E1216/2</f>
        <v>0</v>
      </c>
      <c r="F1216" s="67">
        <v>3.0000000000000001E-3</v>
      </c>
      <c r="G1216" s="67">
        <v>2E-3</v>
      </c>
      <c r="H1216" s="63"/>
    </row>
    <row r="1217" spans="1:8" x14ac:dyDescent="0.25">
      <c r="A1217" s="63"/>
      <c r="B1217" s="63">
        <f>'Padrão EPP'!B1217</f>
        <v>23</v>
      </c>
      <c r="C1217" s="63" t="str">
        <f>'Padrão EPP'!C1217</f>
        <v>GO</v>
      </c>
      <c r="D1217" s="63" t="str">
        <f>'Padrão EPP'!D1217</f>
        <v>REDESPACHO</v>
      </c>
      <c r="E1217" s="63">
        <f>'Padrão EPP'!E1217/2</f>
        <v>0</v>
      </c>
      <c r="F1217" s="67">
        <v>3.0000000000000001E-3</v>
      </c>
      <c r="G1217" s="67">
        <v>2E-3</v>
      </c>
      <c r="H1217" s="63"/>
    </row>
    <row r="1218" spans="1:8" x14ac:dyDescent="0.25">
      <c r="A1218" s="63"/>
      <c r="B1218" s="63">
        <f>'Padrão EPP'!B1218</f>
        <v>24</v>
      </c>
      <c r="C1218" s="63" t="str">
        <f>'Padrão EPP'!C1218</f>
        <v>GO</v>
      </c>
      <c r="D1218" s="63" t="str">
        <f>'Padrão EPP'!D1218</f>
        <v>REDESPACHO</v>
      </c>
      <c r="E1218" s="63">
        <f>'Padrão EPP'!E1218/2</f>
        <v>0</v>
      </c>
      <c r="F1218" s="67">
        <v>3.0000000000000001E-3</v>
      </c>
      <c r="G1218" s="67">
        <v>2E-3</v>
      </c>
      <c r="H1218" s="63"/>
    </row>
    <row r="1219" spans="1:8" x14ac:dyDescent="0.25">
      <c r="A1219" s="63"/>
      <c r="B1219" s="63">
        <f>'Padrão EPP'!B1219</f>
        <v>25</v>
      </c>
      <c r="C1219" s="63" t="str">
        <f>'Padrão EPP'!C1219</f>
        <v>GO</v>
      </c>
      <c r="D1219" s="63" t="str">
        <f>'Padrão EPP'!D1219</f>
        <v>REDESPACHO</v>
      </c>
      <c r="E1219" s="63">
        <f>'Padrão EPP'!E1219/2</f>
        <v>0</v>
      </c>
      <c r="F1219" s="67">
        <v>3.0000000000000001E-3</v>
      </c>
      <c r="G1219" s="67">
        <v>2E-3</v>
      </c>
      <c r="H1219" s="63"/>
    </row>
    <row r="1220" spans="1:8" x14ac:dyDescent="0.25">
      <c r="A1220" s="63"/>
      <c r="B1220" s="63">
        <f>'Padrão EPP'!B1220</f>
        <v>26</v>
      </c>
      <c r="C1220" s="63" t="str">
        <f>'Padrão EPP'!C1220</f>
        <v>GO</v>
      </c>
      <c r="D1220" s="63" t="str">
        <f>'Padrão EPP'!D1220</f>
        <v>REDESPACHO</v>
      </c>
      <c r="E1220" s="63">
        <f>'Padrão EPP'!E1220/2</f>
        <v>0</v>
      </c>
      <c r="F1220" s="67">
        <v>3.0000000000000001E-3</v>
      </c>
      <c r="G1220" s="67">
        <v>2E-3</v>
      </c>
      <c r="H1220" s="63"/>
    </row>
    <row r="1221" spans="1:8" x14ac:dyDescent="0.25">
      <c r="A1221" s="63"/>
      <c r="B1221" s="63">
        <f>'Padrão EPP'!B1221</f>
        <v>27</v>
      </c>
      <c r="C1221" s="63" t="str">
        <f>'Padrão EPP'!C1221</f>
        <v>GO</v>
      </c>
      <c r="D1221" s="63" t="str">
        <f>'Padrão EPP'!D1221</f>
        <v>REDESPACHO</v>
      </c>
      <c r="E1221" s="63">
        <f>'Padrão EPP'!E1221/2</f>
        <v>0</v>
      </c>
      <c r="F1221" s="67">
        <v>3.0000000000000001E-3</v>
      </c>
      <c r="G1221" s="67">
        <v>2E-3</v>
      </c>
      <c r="H1221" s="63"/>
    </row>
    <row r="1222" spans="1:8" x14ac:dyDescent="0.25">
      <c r="A1222" s="63"/>
      <c r="B1222" s="63">
        <f>'Padrão EPP'!B1222</f>
        <v>28</v>
      </c>
      <c r="C1222" s="63" t="str">
        <f>'Padrão EPP'!C1222</f>
        <v>GO</v>
      </c>
      <c r="D1222" s="63" t="str">
        <f>'Padrão EPP'!D1222</f>
        <v>REDESPACHO</v>
      </c>
      <c r="E1222" s="63">
        <f>'Padrão EPP'!E1222/2</f>
        <v>0</v>
      </c>
      <c r="F1222" s="67">
        <v>3.0000000000000001E-3</v>
      </c>
      <c r="G1222" s="67">
        <v>2E-3</v>
      </c>
      <c r="H1222" s="63"/>
    </row>
    <row r="1223" spans="1:8" x14ac:dyDescent="0.25">
      <c r="A1223" s="63"/>
      <c r="B1223" s="63">
        <f>'Padrão EPP'!B1223</f>
        <v>29</v>
      </c>
      <c r="C1223" s="63" t="str">
        <f>'Padrão EPP'!C1223</f>
        <v>GO</v>
      </c>
      <c r="D1223" s="63" t="str">
        <f>'Padrão EPP'!D1223</f>
        <v>REDESPACHO</v>
      </c>
      <c r="E1223" s="63">
        <f>'Padrão EPP'!E1223/2</f>
        <v>0</v>
      </c>
      <c r="F1223" s="67">
        <v>3.0000000000000001E-3</v>
      </c>
      <c r="G1223" s="67">
        <v>2E-3</v>
      </c>
      <c r="H1223" s="63"/>
    </row>
    <row r="1224" spans="1:8" x14ac:dyDescent="0.25">
      <c r="A1224" s="63"/>
      <c r="B1224" s="63">
        <f>'Padrão EPP'!B1224</f>
        <v>30</v>
      </c>
      <c r="C1224" s="63" t="str">
        <f>'Padrão EPP'!C1224</f>
        <v>GO</v>
      </c>
      <c r="D1224" s="63" t="str">
        <f>'Padrão EPP'!D1224</f>
        <v>REDESPACHO</v>
      </c>
      <c r="E1224" s="63">
        <f>'Padrão EPP'!E1224/2</f>
        <v>0</v>
      </c>
      <c r="F1224" s="67">
        <v>3.0000000000000001E-3</v>
      </c>
      <c r="G1224" s="67">
        <v>2E-3</v>
      </c>
      <c r="H1224" s="63"/>
    </row>
    <row r="1225" spans="1:8" x14ac:dyDescent="0.25">
      <c r="A1225" s="63"/>
      <c r="B1225" s="63">
        <f>'Padrão EPP'!B1225</f>
        <v>0</v>
      </c>
      <c r="C1225" s="63" t="str">
        <f>'Padrão EPP'!C1225</f>
        <v>GO</v>
      </c>
      <c r="D1225" s="63" t="str">
        <f>'Padrão EPP'!D1225</f>
        <v>REDESPACHO</v>
      </c>
      <c r="E1225" s="63">
        <f>'Padrão EPP'!E1225/2</f>
        <v>1.5214394455252955</v>
      </c>
      <c r="F1225" s="67">
        <v>3.0000000000000001E-3</v>
      </c>
      <c r="G1225" s="67">
        <v>2E-3</v>
      </c>
      <c r="H1225" s="63"/>
    </row>
    <row r="1226" spans="1:8" x14ac:dyDescent="0.25">
      <c r="A1226" s="63"/>
      <c r="B1226" s="63">
        <f>'Padrão EPP'!B1226</f>
        <v>0.25</v>
      </c>
      <c r="C1226" s="63" t="str">
        <f>'Padrão EPP'!C1226</f>
        <v>MS</v>
      </c>
      <c r="D1226" s="63" t="str">
        <f>'Padrão EPP'!D1226</f>
        <v>CAPITAL</v>
      </c>
      <c r="E1226" s="63">
        <f>'Padrão EPP'!E1226/2</f>
        <v>6.4226999151299209</v>
      </c>
      <c r="F1226" s="67">
        <v>3.0000000000000001E-3</v>
      </c>
      <c r="G1226" s="67">
        <v>2E-3</v>
      </c>
      <c r="H1226" s="63"/>
    </row>
    <row r="1227" spans="1:8" x14ac:dyDescent="0.25">
      <c r="A1227" s="63"/>
      <c r="B1227" s="63">
        <f>'Padrão EPP'!B1227</f>
        <v>0.5</v>
      </c>
      <c r="C1227" s="63" t="str">
        <f>'Padrão EPP'!C1227</f>
        <v>MS</v>
      </c>
      <c r="D1227" s="63" t="str">
        <f>'Padrão EPP'!D1227</f>
        <v>CAPITAL</v>
      </c>
      <c r="E1227" s="63">
        <f>'Padrão EPP'!E1227/2</f>
        <v>7.3185430371732361</v>
      </c>
      <c r="F1227" s="67">
        <v>3.0000000000000001E-3</v>
      </c>
      <c r="G1227" s="67">
        <v>2E-3</v>
      </c>
      <c r="H1227" s="63"/>
    </row>
    <row r="1228" spans="1:8" x14ac:dyDescent="0.25">
      <c r="A1228" s="63"/>
      <c r="B1228" s="63">
        <f>'Padrão EPP'!B1228</f>
        <v>0.75</v>
      </c>
      <c r="C1228" s="63" t="str">
        <f>'Padrão EPP'!C1228</f>
        <v>MS</v>
      </c>
      <c r="D1228" s="63" t="str">
        <f>'Padrão EPP'!D1228</f>
        <v>CAPITAL</v>
      </c>
      <c r="E1228" s="63">
        <f>'Padrão EPP'!E1228/2</f>
        <v>7.5498931199319577</v>
      </c>
      <c r="F1228" s="67">
        <v>3.0000000000000001E-3</v>
      </c>
      <c r="G1228" s="67">
        <v>2E-3</v>
      </c>
      <c r="H1228" s="63"/>
    </row>
    <row r="1229" spans="1:8" x14ac:dyDescent="0.25">
      <c r="A1229" s="63"/>
      <c r="B1229" s="63">
        <f>'Padrão EPP'!B1229</f>
        <v>1</v>
      </c>
      <c r="C1229" s="63" t="str">
        <f>'Padrão EPP'!C1229</f>
        <v>MS</v>
      </c>
      <c r="D1229" s="63" t="str">
        <f>'Padrão EPP'!D1229</f>
        <v>CAPITAL</v>
      </c>
      <c r="E1229" s="63">
        <f>'Padrão EPP'!E1229/2</f>
        <v>7.8329850217508721</v>
      </c>
      <c r="F1229" s="67">
        <v>3.0000000000000001E-3</v>
      </c>
      <c r="G1229" s="67">
        <v>2E-3</v>
      </c>
      <c r="H1229" s="63"/>
    </row>
    <row r="1230" spans="1:8" x14ac:dyDescent="0.25">
      <c r="A1230" s="63"/>
      <c r="B1230" s="63">
        <f>'Padrão EPP'!B1230</f>
        <v>2</v>
      </c>
      <c r="C1230" s="63" t="str">
        <f>'Padrão EPP'!C1230</f>
        <v>MS</v>
      </c>
      <c r="D1230" s="63" t="str">
        <f>'Padrão EPP'!D1230</f>
        <v>CAPITAL</v>
      </c>
      <c r="E1230" s="63">
        <f>'Padrão EPP'!E1230/2</f>
        <v>8.9174453131626894</v>
      </c>
      <c r="F1230" s="67">
        <v>3.0000000000000001E-3</v>
      </c>
      <c r="G1230" s="67">
        <v>2E-3</v>
      </c>
      <c r="H1230" s="63"/>
    </row>
    <row r="1231" spans="1:8" x14ac:dyDescent="0.25">
      <c r="A1231" s="63"/>
      <c r="B1231" s="63">
        <f>'Padrão EPP'!B1231</f>
        <v>3</v>
      </c>
      <c r="C1231" s="63" t="str">
        <f>'Padrão EPP'!C1231</f>
        <v>MS</v>
      </c>
      <c r="D1231" s="63" t="str">
        <f>'Padrão EPP'!D1231</f>
        <v>CAPITAL</v>
      </c>
      <c r="E1231" s="63">
        <f>'Padrão EPP'!E1231/2</f>
        <v>10.859102862034828</v>
      </c>
      <c r="F1231" s="67">
        <v>3.0000000000000001E-3</v>
      </c>
      <c r="G1231" s="67">
        <v>2E-3</v>
      </c>
      <c r="H1231" s="63"/>
    </row>
    <row r="1232" spans="1:8" x14ac:dyDescent="0.25">
      <c r="A1232" s="63"/>
      <c r="B1232" s="63">
        <f>'Padrão EPP'!B1232</f>
        <v>4</v>
      </c>
      <c r="C1232" s="63" t="str">
        <f>'Padrão EPP'!C1232</f>
        <v>MS</v>
      </c>
      <c r="D1232" s="63" t="str">
        <f>'Padrão EPP'!D1232</f>
        <v>CAPITAL</v>
      </c>
      <c r="E1232" s="63">
        <f>'Padrão EPP'!E1232/2</f>
        <v>13.075237064740069</v>
      </c>
      <c r="F1232" s="67">
        <v>3.0000000000000001E-3</v>
      </c>
      <c r="G1232" s="67">
        <v>2E-3</v>
      </c>
      <c r="H1232" s="63"/>
    </row>
    <row r="1233" spans="1:8" x14ac:dyDescent="0.25">
      <c r="A1233" s="63"/>
      <c r="B1233" s="63">
        <f>'Padrão EPP'!B1233</f>
        <v>5</v>
      </c>
      <c r="C1233" s="63" t="str">
        <f>'Padrão EPP'!C1233</f>
        <v>MS</v>
      </c>
      <c r="D1233" s="63" t="str">
        <f>'Padrão EPP'!D1233</f>
        <v>CAPITAL</v>
      </c>
      <c r="E1233" s="63">
        <f>'Padrão EPP'!E1233/2</f>
        <v>15.20764008595874</v>
      </c>
      <c r="F1233" s="67">
        <v>3.0000000000000001E-3</v>
      </c>
      <c r="G1233" s="67">
        <v>2E-3</v>
      </c>
      <c r="H1233" s="63"/>
    </row>
    <row r="1234" spans="1:8" x14ac:dyDescent="0.25">
      <c r="A1234" s="63"/>
      <c r="B1234" s="63">
        <f>'Padrão EPP'!B1234</f>
        <v>6</v>
      </c>
      <c r="C1234" s="63" t="str">
        <f>'Padrão EPP'!C1234</f>
        <v>MS</v>
      </c>
      <c r="D1234" s="63" t="str">
        <f>'Padrão EPP'!D1234</f>
        <v>CAPITAL</v>
      </c>
      <c r="E1234" s="63">
        <f>'Padrão EPP'!E1234/2</f>
        <v>17.22142692678694</v>
      </c>
      <c r="F1234" s="67">
        <v>3.0000000000000001E-3</v>
      </c>
      <c r="G1234" s="67">
        <v>2E-3</v>
      </c>
      <c r="H1234" s="63"/>
    </row>
    <row r="1235" spans="1:8" x14ac:dyDescent="0.25">
      <c r="A1235" s="63"/>
      <c r="B1235" s="63">
        <f>'Padrão EPP'!B1235</f>
        <v>7</v>
      </c>
      <c r="C1235" s="63" t="str">
        <f>'Padrão EPP'!C1235</f>
        <v>MS</v>
      </c>
      <c r="D1235" s="63" t="str">
        <f>'Padrão EPP'!D1235</f>
        <v>CAPITAL</v>
      </c>
      <c r="E1235" s="63">
        <f>'Padrão EPP'!E1235/2</f>
        <v>19.473000122693605</v>
      </c>
      <c r="F1235" s="67">
        <v>3.0000000000000001E-3</v>
      </c>
      <c r="G1235" s="67">
        <v>2E-3</v>
      </c>
      <c r="H1235" s="63"/>
    </row>
    <row r="1236" spans="1:8" x14ac:dyDescent="0.25">
      <c r="A1236" s="63"/>
      <c r="B1236" s="63">
        <f>'Padrão EPP'!B1236</f>
        <v>8</v>
      </c>
      <c r="C1236" s="63" t="str">
        <f>'Padrão EPP'!C1236</f>
        <v>MS</v>
      </c>
      <c r="D1236" s="63" t="str">
        <f>'Padrão EPP'!D1236</f>
        <v>CAPITAL</v>
      </c>
      <c r="E1236" s="63">
        <f>'Padrão EPP'!E1236/2</f>
        <v>21.570179295561545</v>
      </c>
      <c r="F1236" s="67">
        <v>3.0000000000000001E-3</v>
      </c>
      <c r="G1236" s="67">
        <v>2E-3</v>
      </c>
      <c r="H1236" s="63"/>
    </row>
    <row r="1237" spans="1:8" x14ac:dyDescent="0.25">
      <c r="A1237" s="63"/>
      <c r="B1237" s="63">
        <f>'Padrão EPP'!B1237</f>
        <v>9</v>
      </c>
      <c r="C1237" s="63" t="str">
        <f>'Padrão EPP'!C1237</f>
        <v>MS</v>
      </c>
      <c r="D1237" s="63" t="str">
        <f>'Padrão EPP'!D1237</f>
        <v>CAPITAL</v>
      </c>
      <c r="E1237" s="63">
        <f>'Padrão EPP'!E1237/2</f>
        <v>23.715408335938086</v>
      </c>
      <c r="F1237" s="67">
        <v>3.0000000000000001E-3</v>
      </c>
      <c r="G1237" s="67">
        <v>2E-3</v>
      </c>
      <c r="H1237" s="63"/>
    </row>
    <row r="1238" spans="1:8" x14ac:dyDescent="0.25">
      <c r="A1238" s="63"/>
      <c r="B1238" s="63">
        <f>'Padrão EPP'!B1238</f>
        <v>10</v>
      </c>
      <c r="C1238" s="63" t="str">
        <f>'Padrão EPP'!C1238</f>
        <v>MS</v>
      </c>
      <c r="D1238" s="63" t="str">
        <f>'Padrão EPP'!D1238</f>
        <v>CAPITAL</v>
      </c>
      <c r="E1238" s="63">
        <f>'Padrão EPP'!E1238/2</f>
        <v>25.837477778545242</v>
      </c>
      <c r="F1238" s="67">
        <v>3.0000000000000001E-3</v>
      </c>
      <c r="G1238" s="67">
        <v>2E-3</v>
      </c>
      <c r="H1238" s="63"/>
    </row>
    <row r="1239" spans="1:8" x14ac:dyDescent="0.25">
      <c r="A1239" s="63"/>
      <c r="B1239" s="63">
        <f>'Padrão EPP'!B1239</f>
        <v>11</v>
      </c>
      <c r="C1239" s="63" t="str">
        <f>'Padrão EPP'!C1239</f>
        <v>MS</v>
      </c>
      <c r="D1239" s="63" t="str">
        <f>'Padrão EPP'!D1239</f>
        <v>CAPITAL</v>
      </c>
      <c r="E1239" s="63">
        <f>'Padrão EPP'!E1239/2</f>
        <v>0</v>
      </c>
      <c r="F1239" s="67">
        <v>3.0000000000000001E-3</v>
      </c>
      <c r="G1239" s="67">
        <v>2E-3</v>
      </c>
      <c r="H1239" s="63"/>
    </row>
    <row r="1240" spans="1:8" x14ac:dyDescent="0.25">
      <c r="A1240" s="63"/>
      <c r="B1240" s="63">
        <f>'Padrão EPP'!B1240</f>
        <v>12</v>
      </c>
      <c r="C1240" s="63" t="str">
        <f>'Padrão EPP'!C1240</f>
        <v>MS</v>
      </c>
      <c r="D1240" s="63" t="str">
        <f>'Padrão EPP'!D1240</f>
        <v>CAPITAL</v>
      </c>
      <c r="E1240" s="63">
        <f>'Padrão EPP'!E1240/2</f>
        <v>0</v>
      </c>
      <c r="F1240" s="67">
        <v>3.0000000000000001E-3</v>
      </c>
      <c r="G1240" s="67">
        <v>2E-3</v>
      </c>
      <c r="H1240" s="63"/>
    </row>
    <row r="1241" spans="1:8" x14ac:dyDescent="0.25">
      <c r="A1241" s="63"/>
      <c r="B1241" s="63">
        <f>'Padrão EPP'!B1241</f>
        <v>13</v>
      </c>
      <c r="C1241" s="63" t="str">
        <f>'Padrão EPP'!C1241</f>
        <v>MS</v>
      </c>
      <c r="D1241" s="63" t="str">
        <f>'Padrão EPP'!D1241</f>
        <v>CAPITAL</v>
      </c>
      <c r="E1241" s="63">
        <f>'Padrão EPP'!E1241/2</f>
        <v>0</v>
      </c>
      <c r="F1241" s="67">
        <v>3.0000000000000001E-3</v>
      </c>
      <c r="G1241" s="67">
        <v>2E-3</v>
      </c>
      <c r="H1241" s="63"/>
    </row>
    <row r="1242" spans="1:8" x14ac:dyDescent="0.25">
      <c r="A1242" s="63"/>
      <c r="B1242" s="63">
        <f>'Padrão EPP'!B1242</f>
        <v>14</v>
      </c>
      <c r="C1242" s="63" t="str">
        <f>'Padrão EPP'!C1242</f>
        <v>MS</v>
      </c>
      <c r="D1242" s="63" t="str">
        <f>'Padrão EPP'!D1242</f>
        <v>CAPITAL</v>
      </c>
      <c r="E1242" s="63">
        <f>'Padrão EPP'!E1242/2</f>
        <v>0</v>
      </c>
      <c r="F1242" s="67">
        <v>3.0000000000000001E-3</v>
      </c>
      <c r="G1242" s="67">
        <v>2E-3</v>
      </c>
      <c r="H1242" s="63"/>
    </row>
    <row r="1243" spans="1:8" x14ac:dyDescent="0.25">
      <c r="A1243" s="63"/>
      <c r="B1243" s="63">
        <f>'Padrão EPP'!B1243</f>
        <v>15</v>
      </c>
      <c r="C1243" s="63" t="str">
        <f>'Padrão EPP'!C1243</f>
        <v>MS</v>
      </c>
      <c r="D1243" s="63" t="str">
        <f>'Padrão EPP'!D1243</f>
        <v>CAPITAL</v>
      </c>
      <c r="E1243" s="63">
        <f>'Padrão EPP'!E1243/2</f>
        <v>0</v>
      </c>
      <c r="F1243" s="67">
        <v>3.0000000000000001E-3</v>
      </c>
      <c r="G1243" s="67">
        <v>2E-3</v>
      </c>
      <c r="H1243" s="63"/>
    </row>
    <row r="1244" spans="1:8" x14ac:dyDescent="0.25">
      <c r="A1244" s="63"/>
      <c r="B1244" s="63">
        <f>'Padrão EPP'!B1244</f>
        <v>16</v>
      </c>
      <c r="C1244" s="63" t="str">
        <f>'Padrão EPP'!C1244</f>
        <v>MS</v>
      </c>
      <c r="D1244" s="63" t="str">
        <f>'Padrão EPP'!D1244</f>
        <v>CAPITAL</v>
      </c>
      <c r="E1244" s="63">
        <f>'Padrão EPP'!E1244/2</f>
        <v>0</v>
      </c>
      <c r="F1244" s="67">
        <v>3.0000000000000001E-3</v>
      </c>
      <c r="G1244" s="67">
        <v>2E-3</v>
      </c>
      <c r="H1244" s="63"/>
    </row>
    <row r="1245" spans="1:8" x14ac:dyDescent="0.25">
      <c r="A1245" s="63"/>
      <c r="B1245" s="63">
        <f>'Padrão EPP'!B1245</f>
        <v>17</v>
      </c>
      <c r="C1245" s="63" t="str">
        <f>'Padrão EPP'!C1245</f>
        <v>MS</v>
      </c>
      <c r="D1245" s="63" t="str">
        <f>'Padrão EPP'!D1245</f>
        <v>CAPITAL</v>
      </c>
      <c r="E1245" s="63">
        <f>'Padrão EPP'!E1245/2</f>
        <v>0</v>
      </c>
      <c r="F1245" s="67">
        <v>3.0000000000000001E-3</v>
      </c>
      <c r="G1245" s="67">
        <v>2E-3</v>
      </c>
      <c r="H1245" s="63"/>
    </row>
    <row r="1246" spans="1:8" x14ac:dyDescent="0.25">
      <c r="A1246" s="63"/>
      <c r="B1246" s="63">
        <f>'Padrão EPP'!B1246</f>
        <v>18</v>
      </c>
      <c r="C1246" s="63" t="str">
        <f>'Padrão EPP'!C1246</f>
        <v>MS</v>
      </c>
      <c r="D1246" s="63" t="str">
        <f>'Padrão EPP'!D1246</f>
        <v>CAPITAL</v>
      </c>
      <c r="E1246" s="63">
        <f>'Padrão EPP'!E1246/2</f>
        <v>0</v>
      </c>
      <c r="F1246" s="67">
        <v>3.0000000000000001E-3</v>
      </c>
      <c r="G1246" s="67">
        <v>2E-3</v>
      </c>
      <c r="H1246" s="63"/>
    </row>
    <row r="1247" spans="1:8" x14ac:dyDescent="0.25">
      <c r="A1247" s="63"/>
      <c r="B1247" s="63">
        <f>'Padrão EPP'!B1247</f>
        <v>19</v>
      </c>
      <c r="C1247" s="63" t="str">
        <f>'Padrão EPP'!C1247</f>
        <v>MS</v>
      </c>
      <c r="D1247" s="63" t="str">
        <f>'Padrão EPP'!D1247</f>
        <v>CAPITAL</v>
      </c>
      <c r="E1247" s="63">
        <f>'Padrão EPP'!E1247/2</f>
        <v>0</v>
      </c>
      <c r="F1247" s="67">
        <v>3.0000000000000001E-3</v>
      </c>
      <c r="G1247" s="67">
        <v>2E-3</v>
      </c>
      <c r="H1247" s="63"/>
    </row>
    <row r="1248" spans="1:8" x14ac:dyDescent="0.25">
      <c r="A1248" s="63"/>
      <c r="B1248" s="63">
        <f>'Padrão EPP'!B1248</f>
        <v>20</v>
      </c>
      <c r="C1248" s="63" t="str">
        <f>'Padrão EPP'!C1248</f>
        <v>MS</v>
      </c>
      <c r="D1248" s="63" t="str">
        <f>'Padrão EPP'!D1248</f>
        <v>CAPITAL</v>
      </c>
      <c r="E1248" s="63">
        <f>'Padrão EPP'!E1248/2</f>
        <v>0</v>
      </c>
      <c r="F1248" s="67">
        <v>3.0000000000000001E-3</v>
      </c>
      <c r="G1248" s="67">
        <v>2E-3</v>
      </c>
      <c r="H1248" s="63"/>
    </row>
    <row r="1249" spans="1:8" x14ac:dyDescent="0.25">
      <c r="A1249" s="63"/>
      <c r="B1249" s="63">
        <f>'Padrão EPP'!B1249</f>
        <v>21</v>
      </c>
      <c r="C1249" s="63" t="str">
        <f>'Padrão EPP'!C1249</f>
        <v>MS</v>
      </c>
      <c r="D1249" s="63" t="str">
        <f>'Padrão EPP'!D1249</f>
        <v>CAPITAL</v>
      </c>
      <c r="E1249" s="63">
        <f>'Padrão EPP'!E1249/2</f>
        <v>0</v>
      </c>
      <c r="F1249" s="67">
        <v>3.0000000000000001E-3</v>
      </c>
      <c r="G1249" s="67">
        <v>2E-3</v>
      </c>
      <c r="H1249" s="63"/>
    </row>
    <row r="1250" spans="1:8" x14ac:dyDescent="0.25">
      <c r="A1250" s="63"/>
      <c r="B1250" s="63">
        <f>'Padrão EPP'!B1250</f>
        <v>22</v>
      </c>
      <c r="C1250" s="63" t="str">
        <f>'Padrão EPP'!C1250</f>
        <v>MS</v>
      </c>
      <c r="D1250" s="63" t="str">
        <f>'Padrão EPP'!D1250</f>
        <v>CAPITAL</v>
      </c>
      <c r="E1250" s="63">
        <f>'Padrão EPP'!E1250/2</f>
        <v>0</v>
      </c>
      <c r="F1250" s="67">
        <v>3.0000000000000001E-3</v>
      </c>
      <c r="G1250" s="67">
        <v>2E-3</v>
      </c>
      <c r="H1250" s="63"/>
    </row>
    <row r="1251" spans="1:8" x14ac:dyDescent="0.25">
      <c r="A1251" s="63"/>
      <c r="B1251" s="63">
        <f>'Padrão EPP'!B1251</f>
        <v>23</v>
      </c>
      <c r="C1251" s="63" t="str">
        <f>'Padrão EPP'!C1251</f>
        <v>MS</v>
      </c>
      <c r="D1251" s="63" t="str">
        <f>'Padrão EPP'!D1251</f>
        <v>CAPITAL</v>
      </c>
      <c r="E1251" s="63">
        <f>'Padrão EPP'!E1251/2</f>
        <v>0</v>
      </c>
      <c r="F1251" s="67">
        <v>3.0000000000000001E-3</v>
      </c>
      <c r="G1251" s="67">
        <v>2E-3</v>
      </c>
      <c r="H1251" s="63"/>
    </row>
    <row r="1252" spans="1:8" x14ac:dyDescent="0.25">
      <c r="A1252" s="63"/>
      <c r="B1252" s="63">
        <f>'Padrão EPP'!B1252</f>
        <v>24</v>
      </c>
      <c r="C1252" s="63" t="str">
        <f>'Padrão EPP'!C1252</f>
        <v>MS</v>
      </c>
      <c r="D1252" s="63" t="str">
        <f>'Padrão EPP'!D1252</f>
        <v>CAPITAL</v>
      </c>
      <c r="E1252" s="63">
        <f>'Padrão EPP'!E1252/2</f>
        <v>0</v>
      </c>
      <c r="F1252" s="67">
        <v>3.0000000000000001E-3</v>
      </c>
      <c r="G1252" s="67">
        <v>2E-3</v>
      </c>
      <c r="H1252" s="63"/>
    </row>
    <row r="1253" spans="1:8" x14ac:dyDescent="0.25">
      <c r="A1253" s="63"/>
      <c r="B1253" s="63">
        <f>'Padrão EPP'!B1253</f>
        <v>25</v>
      </c>
      <c r="C1253" s="63" t="str">
        <f>'Padrão EPP'!C1253</f>
        <v>MS</v>
      </c>
      <c r="D1253" s="63" t="str">
        <f>'Padrão EPP'!D1253</f>
        <v>CAPITAL</v>
      </c>
      <c r="E1253" s="63">
        <f>'Padrão EPP'!E1253/2</f>
        <v>0</v>
      </c>
      <c r="F1253" s="67">
        <v>3.0000000000000001E-3</v>
      </c>
      <c r="G1253" s="67">
        <v>2E-3</v>
      </c>
      <c r="H1253" s="63"/>
    </row>
    <row r="1254" spans="1:8" x14ac:dyDescent="0.25">
      <c r="A1254" s="63"/>
      <c r="B1254" s="63">
        <f>'Padrão EPP'!B1254</f>
        <v>26</v>
      </c>
      <c r="C1254" s="63" t="str">
        <f>'Padrão EPP'!C1254</f>
        <v>MS</v>
      </c>
      <c r="D1254" s="63" t="str">
        <f>'Padrão EPP'!D1254</f>
        <v>CAPITAL</v>
      </c>
      <c r="E1254" s="63">
        <f>'Padrão EPP'!E1254/2</f>
        <v>0</v>
      </c>
      <c r="F1254" s="67">
        <v>3.0000000000000001E-3</v>
      </c>
      <c r="G1254" s="67">
        <v>2E-3</v>
      </c>
      <c r="H1254" s="63"/>
    </row>
    <row r="1255" spans="1:8" x14ac:dyDescent="0.25">
      <c r="A1255" s="63"/>
      <c r="B1255" s="63">
        <f>'Padrão EPP'!B1255</f>
        <v>27</v>
      </c>
      <c r="C1255" s="63" t="str">
        <f>'Padrão EPP'!C1255</f>
        <v>MS</v>
      </c>
      <c r="D1255" s="63" t="str">
        <f>'Padrão EPP'!D1255</f>
        <v>CAPITAL</v>
      </c>
      <c r="E1255" s="63">
        <f>'Padrão EPP'!E1255/2</f>
        <v>0</v>
      </c>
      <c r="F1255" s="67">
        <v>3.0000000000000001E-3</v>
      </c>
      <c r="G1255" s="67">
        <v>2E-3</v>
      </c>
      <c r="H1255" s="63"/>
    </row>
    <row r="1256" spans="1:8" x14ac:dyDescent="0.25">
      <c r="A1256" s="63"/>
      <c r="B1256" s="63">
        <f>'Padrão EPP'!B1256</f>
        <v>28</v>
      </c>
      <c r="C1256" s="63" t="str">
        <f>'Padrão EPP'!C1256</f>
        <v>MS</v>
      </c>
      <c r="D1256" s="63" t="str">
        <f>'Padrão EPP'!D1256</f>
        <v>CAPITAL</v>
      </c>
      <c r="E1256" s="63">
        <f>'Padrão EPP'!E1256/2</f>
        <v>0</v>
      </c>
      <c r="F1256" s="67">
        <v>3.0000000000000001E-3</v>
      </c>
      <c r="G1256" s="67">
        <v>2E-3</v>
      </c>
      <c r="H1256" s="63"/>
    </row>
    <row r="1257" spans="1:8" x14ac:dyDescent="0.25">
      <c r="A1257" s="63"/>
      <c r="B1257" s="63">
        <f>'Padrão EPP'!B1257</f>
        <v>29</v>
      </c>
      <c r="C1257" s="63" t="str">
        <f>'Padrão EPP'!C1257</f>
        <v>MS</v>
      </c>
      <c r="D1257" s="63" t="str">
        <f>'Padrão EPP'!D1257</f>
        <v>CAPITAL</v>
      </c>
      <c r="E1257" s="63">
        <f>'Padrão EPP'!E1257/2</f>
        <v>0</v>
      </c>
      <c r="F1257" s="67">
        <v>3.0000000000000001E-3</v>
      </c>
      <c r="G1257" s="67">
        <v>2E-3</v>
      </c>
      <c r="H1257" s="63"/>
    </row>
    <row r="1258" spans="1:8" x14ac:dyDescent="0.25">
      <c r="A1258" s="63"/>
      <c r="B1258" s="63">
        <f>'Padrão EPP'!B1258</f>
        <v>30</v>
      </c>
      <c r="C1258" s="63" t="str">
        <f>'Padrão EPP'!C1258</f>
        <v>MS</v>
      </c>
      <c r="D1258" s="63" t="str">
        <f>'Padrão EPP'!D1258</f>
        <v>CAPITAL</v>
      </c>
      <c r="E1258" s="63">
        <f>'Padrão EPP'!E1258/2</f>
        <v>0</v>
      </c>
      <c r="F1258" s="67">
        <v>3.0000000000000001E-3</v>
      </c>
      <c r="G1258" s="67">
        <v>2E-3</v>
      </c>
      <c r="H1258" s="63"/>
    </row>
    <row r="1259" spans="1:8" x14ac:dyDescent="0.25">
      <c r="A1259" s="63"/>
      <c r="B1259" s="63">
        <f>'Padrão EPP'!B1259</f>
        <v>0</v>
      </c>
      <c r="C1259" s="63" t="str">
        <f>'Padrão EPP'!C1259</f>
        <v>MS</v>
      </c>
      <c r="D1259" s="63" t="str">
        <f>'Padrão EPP'!D1259</f>
        <v>CAPITAL</v>
      </c>
      <c r="E1259" s="63">
        <f>'Padrão EPP'!E1259/2</f>
        <v>1.5214394455252955</v>
      </c>
      <c r="F1259" s="67">
        <v>3.0000000000000001E-3</v>
      </c>
      <c r="G1259" s="67">
        <v>2E-3</v>
      </c>
      <c r="H1259" s="63"/>
    </row>
    <row r="1260" spans="1:8" x14ac:dyDescent="0.25">
      <c r="A1260" s="63"/>
      <c r="B1260" s="63">
        <f>'Padrão EPP'!B1260</f>
        <v>0.25</v>
      </c>
      <c r="C1260" s="63" t="str">
        <f>'Padrão EPP'!C1260</f>
        <v>MS</v>
      </c>
      <c r="D1260" s="63" t="str">
        <f>'Padrão EPP'!D1260</f>
        <v>INTERIOR</v>
      </c>
      <c r="E1260" s="63">
        <f>'Padrão EPP'!E1260/2</f>
        <v>12.516924647800311</v>
      </c>
      <c r="F1260" s="67">
        <v>3.0000000000000001E-3</v>
      </c>
      <c r="G1260" s="67">
        <v>2E-3</v>
      </c>
      <c r="H1260" s="63"/>
    </row>
    <row r="1261" spans="1:8" x14ac:dyDescent="0.25">
      <c r="A1261" s="63"/>
      <c r="B1261" s="63">
        <f>'Padrão EPP'!B1261</f>
        <v>0.5</v>
      </c>
      <c r="C1261" s="63" t="str">
        <f>'Padrão EPP'!C1261</f>
        <v>MS</v>
      </c>
      <c r="D1261" s="63" t="str">
        <f>'Padrão EPP'!D1261</f>
        <v>INTERIOR</v>
      </c>
      <c r="E1261" s="63">
        <f>'Padrão EPP'!E1261/2</f>
        <v>12.964357137425026</v>
      </c>
      <c r="F1261" s="67">
        <v>3.0000000000000001E-3</v>
      </c>
      <c r="G1261" s="67">
        <v>2E-3</v>
      </c>
      <c r="H1261" s="63"/>
    </row>
    <row r="1262" spans="1:8" x14ac:dyDescent="0.25">
      <c r="A1262" s="63"/>
      <c r="B1262" s="63">
        <f>'Padrão EPP'!B1262</f>
        <v>0.75</v>
      </c>
      <c r="C1262" s="63" t="str">
        <f>'Padrão EPP'!C1262</f>
        <v>MS</v>
      </c>
      <c r="D1262" s="63" t="str">
        <f>'Padrão EPP'!D1262</f>
        <v>INTERIOR</v>
      </c>
      <c r="E1262" s="63">
        <f>'Padrão EPP'!E1262/2</f>
        <v>14.148163807610599</v>
      </c>
      <c r="F1262" s="67">
        <v>3.0000000000000001E-3</v>
      </c>
      <c r="G1262" s="67">
        <v>2E-3</v>
      </c>
      <c r="H1262" s="63"/>
    </row>
    <row r="1263" spans="1:8" x14ac:dyDescent="0.25">
      <c r="A1263" s="63"/>
      <c r="B1263" s="63">
        <f>'Padrão EPP'!B1263</f>
        <v>1</v>
      </c>
      <c r="C1263" s="63" t="str">
        <f>'Padrão EPP'!C1263</f>
        <v>MS</v>
      </c>
      <c r="D1263" s="63" t="str">
        <f>'Padrão EPP'!D1263</f>
        <v>INTERIOR</v>
      </c>
      <c r="E1263" s="63">
        <f>'Padrão EPP'!E1263/2</f>
        <v>14.459325709691958</v>
      </c>
      <c r="F1263" s="67">
        <v>3.0000000000000001E-3</v>
      </c>
      <c r="G1263" s="67">
        <v>2E-3</v>
      </c>
      <c r="H1263" s="63"/>
    </row>
    <row r="1264" spans="1:8" x14ac:dyDescent="0.25">
      <c r="A1264" s="63"/>
      <c r="B1264" s="63">
        <f>'Padrão EPP'!B1264</f>
        <v>2</v>
      </c>
      <c r="C1264" s="63" t="str">
        <f>'Padrão EPP'!C1264</f>
        <v>MS</v>
      </c>
      <c r="D1264" s="63" t="str">
        <f>'Padrão EPP'!D1264</f>
        <v>INTERIOR</v>
      </c>
      <c r="E1264" s="63">
        <f>'Padrão EPP'!E1264/2</f>
        <v>15.663403316894017</v>
      </c>
      <c r="F1264" s="67">
        <v>3.0000000000000001E-3</v>
      </c>
      <c r="G1264" s="67">
        <v>2E-3</v>
      </c>
      <c r="H1264" s="63"/>
    </row>
    <row r="1265" spans="1:8" x14ac:dyDescent="0.25">
      <c r="A1265" s="63"/>
      <c r="B1265" s="63">
        <f>'Padrão EPP'!B1265</f>
        <v>3</v>
      </c>
      <c r="C1265" s="63" t="str">
        <f>'Padrão EPP'!C1265</f>
        <v>MS</v>
      </c>
      <c r="D1265" s="63" t="str">
        <f>'Padrão EPP'!D1265</f>
        <v>INTERIOR</v>
      </c>
      <c r="E1265" s="63">
        <f>'Padrão EPP'!E1265/2</f>
        <v>17.10038773040079</v>
      </c>
      <c r="F1265" s="67">
        <v>3.0000000000000001E-3</v>
      </c>
      <c r="G1265" s="67">
        <v>2E-3</v>
      </c>
      <c r="H1265" s="63"/>
    </row>
    <row r="1266" spans="1:8" x14ac:dyDescent="0.25">
      <c r="A1266" s="63"/>
      <c r="B1266" s="63">
        <f>'Padrão EPP'!B1266</f>
        <v>4</v>
      </c>
      <c r="C1266" s="63" t="str">
        <f>'Padrão EPP'!C1266</f>
        <v>MS</v>
      </c>
      <c r="D1266" s="63" t="str">
        <f>'Padrão EPP'!D1266</f>
        <v>INTERIOR</v>
      </c>
      <c r="E1266" s="63">
        <f>'Padrão EPP'!E1266/2</f>
        <v>18.816257201576448</v>
      </c>
      <c r="F1266" s="67">
        <v>3.0000000000000001E-3</v>
      </c>
      <c r="G1266" s="67">
        <v>2E-3</v>
      </c>
      <c r="H1266" s="63"/>
    </row>
    <row r="1267" spans="1:8" x14ac:dyDescent="0.25">
      <c r="A1267" s="63"/>
      <c r="B1267" s="63">
        <f>'Padrão EPP'!B1267</f>
        <v>5</v>
      </c>
      <c r="C1267" s="63" t="str">
        <f>'Padrão EPP'!C1267</f>
        <v>MS</v>
      </c>
      <c r="D1267" s="63" t="str">
        <f>'Padrão EPP'!D1267</f>
        <v>INTERIOR</v>
      </c>
      <c r="E1267" s="63">
        <f>'Padrão EPP'!E1267/2</f>
        <v>20.469096110101326</v>
      </c>
      <c r="F1267" s="67">
        <v>3.0000000000000001E-3</v>
      </c>
      <c r="G1267" s="67">
        <v>2E-3</v>
      </c>
      <c r="H1267" s="63"/>
    </row>
    <row r="1268" spans="1:8" x14ac:dyDescent="0.25">
      <c r="A1268" s="63"/>
      <c r="B1268" s="63">
        <f>'Padrão EPP'!B1268</f>
        <v>6</v>
      </c>
      <c r="C1268" s="63" t="str">
        <f>'Padrão EPP'!C1268</f>
        <v>MS</v>
      </c>
      <c r="D1268" s="63" t="str">
        <f>'Padrão EPP'!D1268</f>
        <v>INTERIOR</v>
      </c>
      <c r="E1268" s="63">
        <f>'Padrão EPP'!E1268/2</f>
        <v>22.301418886637578</v>
      </c>
      <c r="F1268" s="67">
        <v>3.0000000000000001E-3</v>
      </c>
      <c r="G1268" s="67">
        <v>2E-3</v>
      </c>
      <c r="H1268" s="63"/>
    </row>
    <row r="1269" spans="1:8" x14ac:dyDescent="0.25">
      <c r="A1269" s="63"/>
      <c r="B1269" s="63">
        <f>'Padrão EPP'!B1269</f>
        <v>7</v>
      </c>
      <c r="C1269" s="63" t="str">
        <f>'Padrão EPP'!C1269</f>
        <v>MS</v>
      </c>
      <c r="D1269" s="63" t="str">
        <f>'Padrão EPP'!D1269</f>
        <v>INTERIOR</v>
      </c>
      <c r="E1269" s="63">
        <f>'Padrão EPP'!E1269/2</f>
        <v>24.169884014686346</v>
      </c>
      <c r="F1269" s="67">
        <v>3.0000000000000001E-3</v>
      </c>
      <c r="G1269" s="67">
        <v>2E-3</v>
      </c>
      <c r="H1269" s="63"/>
    </row>
    <row r="1270" spans="1:8" x14ac:dyDescent="0.25">
      <c r="A1270" s="63"/>
      <c r="B1270" s="63">
        <f>'Padrão EPP'!B1270</f>
        <v>8</v>
      </c>
      <c r="C1270" s="63" t="str">
        <f>'Padrão EPP'!C1270</f>
        <v>MS</v>
      </c>
      <c r="D1270" s="63" t="str">
        <f>'Padrão EPP'!D1270</f>
        <v>INTERIOR</v>
      </c>
      <c r="E1270" s="63">
        <f>'Padrão EPP'!E1270/2</f>
        <v>26.193647347605065</v>
      </c>
      <c r="F1270" s="67">
        <v>3.0000000000000001E-3</v>
      </c>
      <c r="G1270" s="67">
        <v>2E-3</v>
      </c>
      <c r="H1270" s="63"/>
    </row>
    <row r="1271" spans="1:8" x14ac:dyDescent="0.25">
      <c r="A1271" s="63"/>
      <c r="B1271" s="63">
        <f>'Padrão EPP'!B1271</f>
        <v>9</v>
      </c>
      <c r="C1271" s="63" t="str">
        <f>'Padrão EPP'!C1271</f>
        <v>MS</v>
      </c>
      <c r="D1271" s="63" t="str">
        <f>'Padrão EPP'!D1271</f>
        <v>INTERIOR</v>
      </c>
      <c r="E1271" s="63">
        <f>'Padrão EPP'!E1271/2</f>
        <v>28.068087546580482</v>
      </c>
      <c r="F1271" s="67">
        <v>3.0000000000000001E-3</v>
      </c>
      <c r="G1271" s="67">
        <v>2E-3</v>
      </c>
      <c r="H1271" s="63"/>
    </row>
    <row r="1272" spans="1:8" x14ac:dyDescent="0.25">
      <c r="A1272" s="63"/>
      <c r="B1272" s="63">
        <f>'Padrão EPP'!B1272</f>
        <v>10</v>
      </c>
      <c r="C1272" s="63" t="str">
        <f>'Padrão EPP'!C1272</f>
        <v>MS</v>
      </c>
      <c r="D1272" s="63" t="str">
        <f>'Padrão EPP'!D1272</f>
        <v>INTERIOR</v>
      </c>
      <c r="E1272" s="63">
        <f>'Padrão EPP'!E1272/2</f>
        <v>30.025353566317406</v>
      </c>
      <c r="F1272" s="67">
        <v>3.0000000000000001E-3</v>
      </c>
      <c r="G1272" s="67">
        <v>2E-3</v>
      </c>
      <c r="H1272" s="63"/>
    </row>
    <row r="1273" spans="1:8" x14ac:dyDescent="0.25">
      <c r="A1273" s="63"/>
      <c r="B1273" s="63">
        <f>'Padrão EPP'!B1273</f>
        <v>11</v>
      </c>
      <c r="C1273" s="63" t="str">
        <f>'Padrão EPP'!C1273</f>
        <v>MS</v>
      </c>
      <c r="D1273" s="63" t="str">
        <f>'Padrão EPP'!D1273</f>
        <v>INTERIOR</v>
      </c>
      <c r="E1273" s="63">
        <f>'Padrão EPP'!E1273/2</f>
        <v>0</v>
      </c>
      <c r="F1273" s="67">
        <v>3.0000000000000001E-3</v>
      </c>
      <c r="G1273" s="67">
        <v>2E-3</v>
      </c>
      <c r="H1273" s="63"/>
    </row>
    <row r="1274" spans="1:8" x14ac:dyDescent="0.25">
      <c r="A1274" s="63"/>
      <c r="B1274" s="63">
        <f>'Padrão EPP'!B1274</f>
        <v>12</v>
      </c>
      <c r="C1274" s="63" t="str">
        <f>'Padrão EPP'!C1274</f>
        <v>MS</v>
      </c>
      <c r="D1274" s="63" t="str">
        <f>'Padrão EPP'!D1274</f>
        <v>INTERIOR</v>
      </c>
      <c r="E1274" s="63">
        <f>'Padrão EPP'!E1274/2</f>
        <v>0</v>
      </c>
      <c r="F1274" s="67">
        <v>3.0000000000000001E-3</v>
      </c>
      <c r="G1274" s="67">
        <v>2E-3</v>
      </c>
      <c r="H1274" s="63"/>
    </row>
    <row r="1275" spans="1:8" x14ac:dyDescent="0.25">
      <c r="A1275" s="63"/>
      <c r="B1275" s="63">
        <f>'Padrão EPP'!B1275</f>
        <v>13</v>
      </c>
      <c r="C1275" s="63" t="str">
        <f>'Padrão EPP'!C1275</f>
        <v>MS</v>
      </c>
      <c r="D1275" s="63" t="str">
        <f>'Padrão EPP'!D1275</f>
        <v>INTERIOR</v>
      </c>
      <c r="E1275" s="63">
        <f>'Padrão EPP'!E1275/2</f>
        <v>0</v>
      </c>
      <c r="F1275" s="67">
        <v>3.0000000000000001E-3</v>
      </c>
      <c r="G1275" s="67">
        <v>2E-3</v>
      </c>
      <c r="H1275" s="63"/>
    </row>
    <row r="1276" spans="1:8" x14ac:dyDescent="0.25">
      <c r="A1276" s="63"/>
      <c r="B1276" s="63">
        <f>'Padrão EPP'!B1276</f>
        <v>14</v>
      </c>
      <c r="C1276" s="63" t="str">
        <f>'Padrão EPP'!C1276</f>
        <v>MS</v>
      </c>
      <c r="D1276" s="63" t="str">
        <f>'Padrão EPP'!D1276</f>
        <v>INTERIOR</v>
      </c>
      <c r="E1276" s="63">
        <f>'Padrão EPP'!E1276/2</f>
        <v>0</v>
      </c>
      <c r="F1276" s="67">
        <v>3.0000000000000001E-3</v>
      </c>
      <c r="G1276" s="67">
        <v>2E-3</v>
      </c>
      <c r="H1276" s="63"/>
    </row>
    <row r="1277" spans="1:8" x14ac:dyDescent="0.25">
      <c r="A1277" s="63"/>
      <c r="B1277" s="63">
        <f>'Padrão EPP'!B1277</f>
        <v>15</v>
      </c>
      <c r="C1277" s="63" t="str">
        <f>'Padrão EPP'!C1277</f>
        <v>MS</v>
      </c>
      <c r="D1277" s="63" t="str">
        <f>'Padrão EPP'!D1277</f>
        <v>INTERIOR</v>
      </c>
      <c r="E1277" s="63">
        <f>'Padrão EPP'!E1277/2</f>
        <v>0</v>
      </c>
      <c r="F1277" s="67">
        <v>3.0000000000000001E-3</v>
      </c>
      <c r="G1277" s="67">
        <v>2E-3</v>
      </c>
      <c r="H1277" s="63"/>
    </row>
    <row r="1278" spans="1:8" x14ac:dyDescent="0.25">
      <c r="A1278" s="63"/>
      <c r="B1278" s="63">
        <f>'Padrão EPP'!B1278</f>
        <v>16</v>
      </c>
      <c r="C1278" s="63" t="str">
        <f>'Padrão EPP'!C1278</f>
        <v>MS</v>
      </c>
      <c r="D1278" s="63" t="str">
        <f>'Padrão EPP'!D1278</f>
        <v>INTERIOR</v>
      </c>
      <c r="E1278" s="63">
        <f>'Padrão EPP'!E1278/2</f>
        <v>0</v>
      </c>
      <c r="F1278" s="67">
        <v>3.0000000000000001E-3</v>
      </c>
      <c r="G1278" s="67">
        <v>2E-3</v>
      </c>
      <c r="H1278" s="63"/>
    </row>
    <row r="1279" spans="1:8" x14ac:dyDescent="0.25">
      <c r="A1279" s="63"/>
      <c r="B1279" s="63">
        <f>'Padrão EPP'!B1279</f>
        <v>17</v>
      </c>
      <c r="C1279" s="63" t="str">
        <f>'Padrão EPP'!C1279</f>
        <v>MS</v>
      </c>
      <c r="D1279" s="63" t="str">
        <f>'Padrão EPP'!D1279</f>
        <v>INTERIOR</v>
      </c>
      <c r="E1279" s="63">
        <f>'Padrão EPP'!E1279/2</f>
        <v>0</v>
      </c>
      <c r="F1279" s="67">
        <v>3.0000000000000001E-3</v>
      </c>
      <c r="G1279" s="67">
        <v>2E-3</v>
      </c>
      <c r="H1279" s="63"/>
    </row>
    <row r="1280" spans="1:8" x14ac:dyDescent="0.25">
      <c r="A1280" s="63"/>
      <c r="B1280" s="63">
        <f>'Padrão EPP'!B1280</f>
        <v>18</v>
      </c>
      <c r="C1280" s="63" t="str">
        <f>'Padrão EPP'!C1280</f>
        <v>MS</v>
      </c>
      <c r="D1280" s="63" t="str">
        <f>'Padrão EPP'!D1280</f>
        <v>INTERIOR</v>
      </c>
      <c r="E1280" s="63">
        <f>'Padrão EPP'!E1280/2</f>
        <v>0</v>
      </c>
      <c r="F1280" s="67">
        <v>3.0000000000000001E-3</v>
      </c>
      <c r="G1280" s="67">
        <v>2E-3</v>
      </c>
      <c r="H1280" s="63"/>
    </row>
    <row r="1281" spans="1:8" x14ac:dyDescent="0.25">
      <c r="A1281" s="63"/>
      <c r="B1281" s="63">
        <f>'Padrão EPP'!B1281</f>
        <v>19</v>
      </c>
      <c r="C1281" s="63" t="str">
        <f>'Padrão EPP'!C1281</f>
        <v>MS</v>
      </c>
      <c r="D1281" s="63" t="str">
        <f>'Padrão EPP'!D1281</f>
        <v>INTERIOR</v>
      </c>
      <c r="E1281" s="63">
        <f>'Padrão EPP'!E1281/2</f>
        <v>0</v>
      </c>
      <c r="F1281" s="67">
        <v>3.0000000000000001E-3</v>
      </c>
      <c r="G1281" s="67">
        <v>2E-3</v>
      </c>
      <c r="H1281" s="63"/>
    </row>
    <row r="1282" spans="1:8" x14ac:dyDescent="0.25">
      <c r="A1282" s="63"/>
      <c r="B1282" s="63">
        <f>'Padrão EPP'!B1282</f>
        <v>20</v>
      </c>
      <c r="C1282" s="63" t="str">
        <f>'Padrão EPP'!C1282</f>
        <v>MS</v>
      </c>
      <c r="D1282" s="63" t="str">
        <f>'Padrão EPP'!D1282</f>
        <v>INTERIOR</v>
      </c>
      <c r="E1282" s="63">
        <f>'Padrão EPP'!E1282/2</f>
        <v>0</v>
      </c>
      <c r="F1282" s="67">
        <v>3.0000000000000001E-3</v>
      </c>
      <c r="G1282" s="67">
        <v>2E-3</v>
      </c>
      <c r="H1282" s="63"/>
    </row>
    <row r="1283" spans="1:8" x14ac:dyDescent="0.25">
      <c r="A1283" s="63"/>
      <c r="B1283" s="63">
        <f>'Padrão EPP'!B1283</f>
        <v>21</v>
      </c>
      <c r="C1283" s="63" t="str">
        <f>'Padrão EPP'!C1283</f>
        <v>MS</v>
      </c>
      <c r="D1283" s="63" t="str">
        <f>'Padrão EPP'!D1283</f>
        <v>INTERIOR</v>
      </c>
      <c r="E1283" s="63">
        <f>'Padrão EPP'!E1283/2</f>
        <v>0</v>
      </c>
      <c r="F1283" s="67">
        <v>3.0000000000000001E-3</v>
      </c>
      <c r="G1283" s="67">
        <v>2E-3</v>
      </c>
      <c r="H1283" s="63"/>
    </row>
    <row r="1284" spans="1:8" x14ac:dyDescent="0.25">
      <c r="A1284" s="63"/>
      <c r="B1284" s="63">
        <f>'Padrão EPP'!B1284</f>
        <v>22</v>
      </c>
      <c r="C1284" s="63" t="str">
        <f>'Padrão EPP'!C1284</f>
        <v>MS</v>
      </c>
      <c r="D1284" s="63" t="str">
        <f>'Padrão EPP'!D1284</f>
        <v>INTERIOR</v>
      </c>
      <c r="E1284" s="63">
        <f>'Padrão EPP'!E1284/2</f>
        <v>0</v>
      </c>
      <c r="F1284" s="67">
        <v>3.0000000000000001E-3</v>
      </c>
      <c r="G1284" s="67">
        <v>2E-3</v>
      </c>
      <c r="H1284" s="63"/>
    </row>
    <row r="1285" spans="1:8" x14ac:dyDescent="0.25">
      <c r="A1285" s="63"/>
      <c r="B1285" s="63">
        <f>'Padrão EPP'!B1285</f>
        <v>23</v>
      </c>
      <c r="C1285" s="63" t="str">
        <f>'Padrão EPP'!C1285</f>
        <v>MS</v>
      </c>
      <c r="D1285" s="63" t="str">
        <f>'Padrão EPP'!D1285</f>
        <v>INTERIOR</v>
      </c>
      <c r="E1285" s="63">
        <f>'Padrão EPP'!E1285/2</f>
        <v>0</v>
      </c>
      <c r="F1285" s="67">
        <v>3.0000000000000001E-3</v>
      </c>
      <c r="G1285" s="67">
        <v>2E-3</v>
      </c>
      <c r="H1285" s="63"/>
    </row>
    <row r="1286" spans="1:8" x14ac:dyDescent="0.25">
      <c r="A1286" s="63"/>
      <c r="B1286" s="63">
        <f>'Padrão EPP'!B1286</f>
        <v>24</v>
      </c>
      <c r="C1286" s="63" t="str">
        <f>'Padrão EPP'!C1286</f>
        <v>MS</v>
      </c>
      <c r="D1286" s="63" t="str">
        <f>'Padrão EPP'!D1286</f>
        <v>INTERIOR</v>
      </c>
      <c r="E1286" s="63">
        <f>'Padrão EPP'!E1286/2</f>
        <v>0</v>
      </c>
      <c r="F1286" s="67">
        <v>3.0000000000000001E-3</v>
      </c>
      <c r="G1286" s="67">
        <v>2E-3</v>
      </c>
      <c r="H1286" s="63"/>
    </row>
    <row r="1287" spans="1:8" x14ac:dyDescent="0.25">
      <c r="A1287" s="63"/>
      <c r="B1287" s="63">
        <f>'Padrão EPP'!B1287</f>
        <v>25</v>
      </c>
      <c r="C1287" s="63" t="str">
        <f>'Padrão EPP'!C1287</f>
        <v>MS</v>
      </c>
      <c r="D1287" s="63" t="str">
        <f>'Padrão EPP'!D1287</f>
        <v>INTERIOR</v>
      </c>
      <c r="E1287" s="63">
        <f>'Padrão EPP'!E1287/2</f>
        <v>0</v>
      </c>
      <c r="F1287" s="67">
        <v>3.0000000000000001E-3</v>
      </c>
      <c r="G1287" s="67">
        <v>2E-3</v>
      </c>
      <c r="H1287" s="63"/>
    </row>
    <row r="1288" spans="1:8" x14ac:dyDescent="0.25">
      <c r="A1288" s="63"/>
      <c r="B1288" s="63">
        <f>'Padrão EPP'!B1288</f>
        <v>26</v>
      </c>
      <c r="C1288" s="63" t="str">
        <f>'Padrão EPP'!C1288</f>
        <v>MS</v>
      </c>
      <c r="D1288" s="63" t="str">
        <f>'Padrão EPP'!D1288</f>
        <v>INTERIOR</v>
      </c>
      <c r="E1288" s="63">
        <f>'Padrão EPP'!E1288/2</f>
        <v>0</v>
      </c>
      <c r="F1288" s="67">
        <v>3.0000000000000001E-3</v>
      </c>
      <c r="G1288" s="67">
        <v>2E-3</v>
      </c>
      <c r="H1288" s="63"/>
    </row>
    <row r="1289" spans="1:8" x14ac:dyDescent="0.25">
      <c r="A1289" s="63"/>
      <c r="B1289" s="63">
        <f>'Padrão EPP'!B1289</f>
        <v>27</v>
      </c>
      <c r="C1289" s="63" t="str">
        <f>'Padrão EPP'!C1289</f>
        <v>MS</v>
      </c>
      <c r="D1289" s="63" t="str">
        <f>'Padrão EPP'!D1289</f>
        <v>INTERIOR</v>
      </c>
      <c r="E1289" s="63">
        <f>'Padrão EPP'!E1289/2</f>
        <v>0</v>
      </c>
      <c r="F1289" s="67">
        <v>3.0000000000000001E-3</v>
      </c>
      <c r="G1289" s="67">
        <v>2E-3</v>
      </c>
      <c r="H1289" s="63"/>
    </row>
    <row r="1290" spans="1:8" x14ac:dyDescent="0.25">
      <c r="A1290" s="63"/>
      <c r="B1290" s="63">
        <f>'Padrão EPP'!B1290</f>
        <v>28</v>
      </c>
      <c r="C1290" s="63" t="str">
        <f>'Padrão EPP'!C1290</f>
        <v>MS</v>
      </c>
      <c r="D1290" s="63" t="str">
        <f>'Padrão EPP'!D1290</f>
        <v>INTERIOR</v>
      </c>
      <c r="E1290" s="63">
        <f>'Padrão EPP'!E1290/2</f>
        <v>0</v>
      </c>
      <c r="F1290" s="67">
        <v>3.0000000000000001E-3</v>
      </c>
      <c r="G1290" s="67">
        <v>2E-3</v>
      </c>
      <c r="H1290" s="63"/>
    </row>
    <row r="1291" spans="1:8" x14ac:dyDescent="0.25">
      <c r="A1291" s="63"/>
      <c r="B1291" s="63">
        <f>'Padrão EPP'!B1291</f>
        <v>29</v>
      </c>
      <c r="C1291" s="63" t="str">
        <f>'Padrão EPP'!C1291</f>
        <v>MS</v>
      </c>
      <c r="D1291" s="63" t="str">
        <f>'Padrão EPP'!D1291</f>
        <v>INTERIOR</v>
      </c>
      <c r="E1291" s="63">
        <f>'Padrão EPP'!E1291/2</f>
        <v>0</v>
      </c>
      <c r="F1291" s="67">
        <v>3.0000000000000001E-3</v>
      </c>
      <c r="G1291" s="67">
        <v>2E-3</v>
      </c>
      <c r="H1291" s="63"/>
    </row>
    <row r="1292" spans="1:8" x14ac:dyDescent="0.25">
      <c r="A1292" s="63"/>
      <c r="B1292" s="63">
        <f>'Padrão EPP'!B1292</f>
        <v>30</v>
      </c>
      <c r="C1292" s="63" t="str">
        <f>'Padrão EPP'!C1292</f>
        <v>MS</v>
      </c>
      <c r="D1292" s="63" t="str">
        <f>'Padrão EPP'!D1292</f>
        <v>INTERIOR</v>
      </c>
      <c r="E1292" s="63">
        <f>'Padrão EPP'!E1292/2</f>
        <v>0</v>
      </c>
      <c r="F1292" s="67">
        <v>3.0000000000000001E-3</v>
      </c>
      <c r="G1292" s="67">
        <v>2E-3</v>
      </c>
      <c r="H1292" s="63"/>
    </row>
    <row r="1293" spans="1:8" x14ac:dyDescent="0.25">
      <c r="A1293" s="63"/>
      <c r="B1293" s="63">
        <f>'Padrão EPP'!B1293</f>
        <v>0</v>
      </c>
      <c r="C1293" s="63" t="str">
        <f>'Padrão EPP'!C1293</f>
        <v>MS</v>
      </c>
      <c r="D1293" s="63" t="str">
        <f>'Padrão EPP'!D1293</f>
        <v>INTERIOR</v>
      </c>
      <c r="E1293" s="63">
        <f>'Padrão EPP'!E1293/2</f>
        <v>1.5214394455252955</v>
      </c>
      <c r="F1293" s="67">
        <v>3.0000000000000001E-3</v>
      </c>
      <c r="G1293" s="67">
        <v>2E-3</v>
      </c>
      <c r="H1293" s="63"/>
    </row>
    <row r="1294" spans="1:8" x14ac:dyDescent="0.25">
      <c r="A1294" s="63"/>
      <c r="B1294" s="63">
        <f>'Padrão EPP'!B1294</f>
        <v>0.25</v>
      </c>
      <c r="C1294" s="63" t="str">
        <f>'Padrão EPP'!C1294</f>
        <v>MS</v>
      </c>
      <c r="D1294" s="63" t="str">
        <f>'Padrão EPP'!D1294</f>
        <v>INTERIOR II</v>
      </c>
      <c r="E1294" s="63">
        <f>'Padrão EPP'!E1294/2</f>
        <v>12.895007326271031</v>
      </c>
      <c r="F1294" s="67">
        <v>3.0000000000000001E-3</v>
      </c>
      <c r="G1294" s="67">
        <v>2E-3</v>
      </c>
      <c r="H1294" s="63"/>
    </row>
    <row r="1295" spans="1:8" x14ac:dyDescent="0.25">
      <c r="A1295" s="63"/>
      <c r="B1295" s="63">
        <f>'Padrão EPP'!B1295</f>
        <v>0.5</v>
      </c>
      <c r="C1295" s="63" t="str">
        <f>'Padrão EPP'!C1295</f>
        <v>MS</v>
      </c>
      <c r="D1295" s="63" t="str">
        <f>'Padrão EPP'!D1295</f>
        <v>INTERIOR II</v>
      </c>
      <c r="E1295" s="63">
        <f>'Padrão EPP'!E1295/2</f>
        <v>13.35419346609158</v>
      </c>
      <c r="F1295" s="67">
        <v>3.0000000000000001E-3</v>
      </c>
      <c r="G1295" s="67">
        <v>2E-3</v>
      </c>
      <c r="H1295" s="63"/>
    </row>
    <row r="1296" spans="1:8" x14ac:dyDescent="0.25">
      <c r="A1296" s="63"/>
      <c r="B1296" s="63">
        <f>'Padrão EPP'!B1296</f>
        <v>0.75</v>
      </c>
      <c r="C1296" s="63" t="str">
        <f>'Padrão EPP'!C1296</f>
        <v>MS</v>
      </c>
      <c r="D1296" s="63" t="str">
        <f>'Padrão EPP'!D1296</f>
        <v>INTERIOR II</v>
      </c>
      <c r="E1296" s="63">
        <f>'Padrão EPP'!E1296/2</f>
        <v>14.550840560749142</v>
      </c>
      <c r="F1296" s="67">
        <v>3.0000000000000001E-3</v>
      </c>
      <c r="G1296" s="67">
        <v>2E-3</v>
      </c>
      <c r="H1296" s="63"/>
    </row>
    <row r="1297" spans="1:8" x14ac:dyDescent="0.25">
      <c r="A1297" s="63"/>
      <c r="B1297" s="63">
        <f>'Padrão EPP'!B1297</f>
        <v>1</v>
      </c>
      <c r="C1297" s="63" t="str">
        <f>'Padrão EPP'!C1297</f>
        <v>MS</v>
      </c>
      <c r="D1297" s="63" t="str">
        <f>'Padrão EPP'!D1297</f>
        <v>INTERIOR II</v>
      </c>
      <c r="E1297" s="63">
        <f>'Padrão EPP'!E1297/2</f>
        <v>14.675939161315165</v>
      </c>
      <c r="F1297" s="67">
        <v>3.0000000000000001E-3</v>
      </c>
      <c r="G1297" s="67">
        <v>2E-3</v>
      </c>
      <c r="H1297" s="63"/>
    </row>
    <row r="1298" spans="1:8" x14ac:dyDescent="0.25">
      <c r="A1298" s="63"/>
      <c r="B1298" s="63">
        <f>'Padrão EPP'!B1298</f>
        <v>2</v>
      </c>
      <c r="C1298" s="63" t="str">
        <f>'Padrão EPP'!C1298</f>
        <v>MS</v>
      </c>
      <c r="D1298" s="63" t="str">
        <f>'Padrão EPP'!D1298</f>
        <v>INTERIOR II</v>
      </c>
      <c r="E1298" s="63">
        <f>'Padrão EPP'!E1298/2</f>
        <v>15.887473793225283</v>
      </c>
      <c r="F1298" s="67">
        <v>3.0000000000000001E-3</v>
      </c>
      <c r="G1298" s="67">
        <v>2E-3</v>
      </c>
      <c r="H1298" s="63"/>
    </row>
    <row r="1299" spans="1:8" x14ac:dyDescent="0.25">
      <c r="A1299" s="63"/>
      <c r="B1299" s="63">
        <f>'Padrão EPP'!B1299</f>
        <v>3</v>
      </c>
      <c r="C1299" s="63" t="str">
        <f>'Padrão EPP'!C1299</f>
        <v>MS</v>
      </c>
      <c r="D1299" s="63" t="str">
        <f>'Padrão EPP'!D1299</f>
        <v>INTERIOR II</v>
      </c>
      <c r="E1299" s="63">
        <f>'Padrão EPP'!E1299/2</f>
        <v>17.399932893850924</v>
      </c>
      <c r="F1299" s="67">
        <v>3.0000000000000001E-3</v>
      </c>
      <c r="G1299" s="67">
        <v>2E-3</v>
      </c>
      <c r="H1299" s="63"/>
    </row>
    <row r="1300" spans="1:8" x14ac:dyDescent="0.25">
      <c r="A1300" s="63"/>
      <c r="B1300" s="63">
        <f>'Padrão EPP'!B1300</f>
        <v>4</v>
      </c>
      <c r="C1300" s="63" t="str">
        <f>'Padrão EPP'!C1300</f>
        <v>MS</v>
      </c>
      <c r="D1300" s="63" t="str">
        <f>'Padrão EPP'!D1300</f>
        <v>INTERIOR II</v>
      </c>
      <c r="E1300" s="63">
        <f>'Padrão EPP'!E1300/2</f>
        <v>19.144285513447265</v>
      </c>
      <c r="F1300" s="67">
        <v>3.0000000000000001E-3</v>
      </c>
      <c r="G1300" s="67">
        <v>2E-3</v>
      </c>
      <c r="H1300" s="63"/>
    </row>
    <row r="1301" spans="1:8" x14ac:dyDescent="0.25">
      <c r="A1301" s="63"/>
      <c r="B1301" s="63">
        <f>'Padrão EPP'!B1301</f>
        <v>5</v>
      </c>
      <c r="C1301" s="63" t="str">
        <f>'Padrão EPP'!C1301</f>
        <v>MS</v>
      </c>
      <c r="D1301" s="63" t="str">
        <f>'Padrão EPP'!D1301</f>
        <v>INTERIOR II</v>
      </c>
      <c r="E1301" s="63">
        <f>'Padrão EPP'!E1301/2</f>
        <v>20.754287505039649</v>
      </c>
      <c r="F1301" s="67">
        <v>3.0000000000000001E-3</v>
      </c>
      <c r="G1301" s="67">
        <v>2E-3</v>
      </c>
      <c r="H1301" s="63"/>
    </row>
    <row r="1302" spans="1:8" x14ac:dyDescent="0.25">
      <c r="A1302" s="63"/>
      <c r="B1302" s="63">
        <f>'Padrão EPP'!B1302</f>
        <v>6</v>
      </c>
      <c r="C1302" s="63" t="str">
        <f>'Padrão EPP'!C1302</f>
        <v>MS</v>
      </c>
      <c r="D1302" s="63" t="str">
        <f>'Padrão EPP'!D1302</f>
        <v>INTERIOR II</v>
      </c>
      <c r="E1302" s="63">
        <f>'Padrão EPP'!E1302/2</f>
        <v>23.365322566742929</v>
      </c>
      <c r="F1302" s="67">
        <v>3.0000000000000001E-3</v>
      </c>
      <c r="G1302" s="67">
        <v>2E-3</v>
      </c>
      <c r="H1302" s="63"/>
    </row>
    <row r="1303" spans="1:8" x14ac:dyDescent="0.25">
      <c r="A1303" s="63"/>
      <c r="B1303" s="63">
        <f>'Padrão EPP'!B1303</f>
        <v>7</v>
      </c>
      <c r="C1303" s="63" t="str">
        <f>'Padrão EPP'!C1303</f>
        <v>MS</v>
      </c>
      <c r="D1303" s="63" t="str">
        <f>'Padrão EPP'!D1303</f>
        <v>INTERIOR II</v>
      </c>
      <c r="E1303" s="63">
        <f>'Padrão EPP'!E1303/2</f>
        <v>24.814891147073951</v>
      </c>
      <c r="F1303" s="67">
        <v>3.0000000000000001E-3</v>
      </c>
      <c r="G1303" s="67">
        <v>2E-3</v>
      </c>
      <c r="H1303" s="63"/>
    </row>
    <row r="1304" spans="1:8" x14ac:dyDescent="0.25">
      <c r="A1304" s="63"/>
      <c r="B1304" s="63">
        <f>'Padrão EPP'!B1304</f>
        <v>8</v>
      </c>
      <c r="C1304" s="63" t="str">
        <f>'Padrão EPP'!C1304</f>
        <v>MS</v>
      </c>
      <c r="D1304" s="63" t="str">
        <f>'Padrão EPP'!D1304</f>
        <v>INTERIOR II</v>
      </c>
      <c r="E1304" s="63">
        <f>'Padrão EPP'!E1304/2</f>
        <v>26.386522657743889</v>
      </c>
      <c r="F1304" s="67">
        <v>3.0000000000000001E-3</v>
      </c>
      <c r="G1304" s="67">
        <v>2E-3</v>
      </c>
      <c r="H1304" s="63"/>
    </row>
    <row r="1305" spans="1:8" x14ac:dyDescent="0.25">
      <c r="A1305" s="63"/>
      <c r="B1305" s="63">
        <f>'Padrão EPP'!B1305</f>
        <v>9</v>
      </c>
      <c r="C1305" s="63" t="str">
        <f>'Padrão EPP'!C1305</f>
        <v>MS</v>
      </c>
      <c r="D1305" s="63" t="str">
        <f>'Padrão EPP'!D1305</f>
        <v>INTERIOR II</v>
      </c>
      <c r="E1305" s="63">
        <f>'Padrão EPP'!E1305/2</f>
        <v>28.374659681851686</v>
      </c>
      <c r="F1305" s="67">
        <v>3.0000000000000001E-3</v>
      </c>
      <c r="G1305" s="67">
        <v>2E-3</v>
      </c>
      <c r="H1305" s="63"/>
    </row>
    <row r="1306" spans="1:8" x14ac:dyDescent="0.25">
      <c r="A1306" s="63"/>
      <c r="B1306" s="63">
        <f>'Padrão EPP'!B1306</f>
        <v>10</v>
      </c>
      <c r="C1306" s="63" t="str">
        <f>'Padrão EPP'!C1306</f>
        <v>MS</v>
      </c>
      <c r="D1306" s="63" t="str">
        <f>'Padrão EPP'!D1306</f>
        <v>INTERIOR II</v>
      </c>
      <c r="E1306" s="63">
        <f>'Padrão EPP'!E1306/2</f>
        <v>30.093644459376623</v>
      </c>
      <c r="F1306" s="67">
        <v>3.0000000000000001E-3</v>
      </c>
      <c r="G1306" s="67">
        <v>2E-3</v>
      </c>
      <c r="H1306" s="63"/>
    </row>
    <row r="1307" spans="1:8" x14ac:dyDescent="0.25">
      <c r="A1307" s="63"/>
      <c r="B1307" s="63">
        <f>'Padrão EPP'!B1307</f>
        <v>11</v>
      </c>
      <c r="C1307" s="63" t="str">
        <f>'Padrão EPP'!C1307</f>
        <v>MS</v>
      </c>
      <c r="D1307" s="63" t="str">
        <f>'Padrão EPP'!D1307</f>
        <v>INTERIOR II</v>
      </c>
      <c r="E1307" s="63">
        <f>'Padrão EPP'!E1307/2</f>
        <v>0</v>
      </c>
      <c r="F1307" s="67">
        <v>3.0000000000000001E-3</v>
      </c>
      <c r="G1307" s="67">
        <v>2E-3</v>
      </c>
      <c r="H1307" s="63"/>
    </row>
    <row r="1308" spans="1:8" x14ac:dyDescent="0.25">
      <c r="A1308" s="63"/>
      <c r="B1308" s="63">
        <f>'Padrão EPP'!B1308</f>
        <v>12</v>
      </c>
      <c r="C1308" s="63" t="str">
        <f>'Padrão EPP'!C1308</f>
        <v>MS</v>
      </c>
      <c r="D1308" s="63" t="str">
        <f>'Padrão EPP'!D1308</f>
        <v>INTERIOR II</v>
      </c>
      <c r="E1308" s="63">
        <f>'Padrão EPP'!E1308/2</f>
        <v>0</v>
      </c>
      <c r="F1308" s="67">
        <v>3.0000000000000001E-3</v>
      </c>
      <c r="G1308" s="67">
        <v>2E-3</v>
      </c>
      <c r="H1308" s="63"/>
    </row>
    <row r="1309" spans="1:8" x14ac:dyDescent="0.25">
      <c r="A1309" s="63"/>
      <c r="B1309" s="63">
        <f>'Padrão EPP'!B1309</f>
        <v>13</v>
      </c>
      <c r="C1309" s="63" t="str">
        <f>'Padrão EPP'!C1309</f>
        <v>MS</v>
      </c>
      <c r="D1309" s="63" t="str">
        <f>'Padrão EPP'!D1309</f>
        <v>INTERIOR II</v>
      </c>
      <c r="E1309" s="63">
        <f>'Padrão EPP'!E1309/2</f>
        <v>0</v>
      </c>
      <c r="F1309" s="67">
        <v>3.0000000000000001E-3</v>
      </c>
      <c r="G1309" s="67">
        <v>2E-3</v>
      </c>
      <c r="H1309" s="63"/>
    </row>
    <row r="1310" spans="1:8" x14ac:dyDescent="0.25">
      <c r="A1310" s="63"/>
      <c r="B1310" s="63">
        <f>'Padrão EPP'!B1310</f>
        <v>14</v>
      </c>
      <c r="C1310" s="63" t="str">
        <f>'Padrão EPP'!C1310</f>
        <v>MS</v>
      </c>
      <c r="D1310" s="63" t="str">
        <f>'Padrão EPP'!D1310</f>
        <v>INTERIOR II</v>
      </c>
      <c r="E1310" s="63">
        <f>'Padrão EPP'!E1310/2</f>
        <v>0</v>
      </c>
      <c r="F1310" s="67">
        <v>3.0000000000000001E-3</v>
      </c>
      <c r="G1310" s="67">
        <v>2E-3</v>
      </c>
      <c r="H1310" s="63"/>
    </row>
    <row r="1311" spans="1:8" x14ac:dyDescent="0.25">
      <c r="A1311" s="63"/>
      <c r="B1311" s="63">
        <f>'Padrão EPP'!B1311</f>
        <v>15</v>
      </c>
      <c r="C1311" s="63" t="str">
        <f>'Padrão EPP'!C1311</f>
        <v>MS</v>
      </c>
      <c r="D1311" s="63" t="str">
        <f>'Padrão EPP'!D1311</f>
        <v>INTERIOR II</v>
      </c>
      <c r="E1311" s="63">
        <f>'Padrão EPP'!E1311/2</f>
        <v>0</v>
      </c>
      <c r="F1311" s="67">
        <v>3.0000000000000001E-3</v>
      </c>
      <c r="G1311" s="67">
        <v>2E-3</v>
      </c>
      <c r="H1311" s="63"/>
    </row>
    <row r="1312" spans="1:8" x14ac:dyDescent="0.25">
      <c r="A1312" s="63"/>
      <c r="B1312" s="63">
        <f>'Padrão EPP'!B1312</f>
        <v>16</v>
      </c>
      <c r="C1312" s="63" t="str">
        <f>'Padrão EPP'!C1312</f>
        <v>MS</v>
      </c>
      <c r="D1312" s="63" t="str">
        <f>'Padrão EPP'!D1312</f>
        <v>INTERIOR II</v>
      </c>
      <c r="E1312" s="63">
        <f>'Padrão EPP'!E1312/2</f>
        <v>0</v>
      </c>
      <c r="F1312" s="67">
        <v>3.0000000000000001E-3</v>
      </c>
      <c r="G1312" s="67">
        <v>2E-3</v>
      </c>
      <c r="H1312" s="63"/>
    </row>
    <row r="1313" spans="1:8" x14ac:dyDescent="0.25">
      <c r="A1313" s="63"/>
      <c r="B1313" s="63">
        <f>'Padrão EPP'!B1313</f>
        <v>17</v>
      </c>
      <c r="C1313" s="63" t="str">
        <f>'Padrão EPP'!C1313</f>
        <v>MS</v>
      </c>
      <c r="D1313" s="63" t="str">
        <f>'Padrão EPP'!D1313</f>
        <v>INTERIOR II</v>
      </c>
      <c r="E1313" s="63">
        <f>'Padrão EPP'!E1313/2</f>
        <v>0</v>
      </c>
      <c r="F1313" s="67">
        <v>3.0000000000000001E-3</v>
      </c>
      <c r="G1313" s="67">
        <v>2E-3</v>
      </c>
      <c r="H1313" s="63"/>
    </row>
    <row r="1314" spans="1:8" x14ac:dyDescent="0.25">
      <c r="A1314" s="63"/>
      <c r="B1314" s="63">
        <f>'Padrão EPP'!B1314</f>
        <v>18</v>
      </c>
      <c r="C1314" s="63" t="str">
        <f>'Padrão EPP'!C1314</f>
        <v>MS</v>
      </c>
      <c r="D1314" s="63" t="str">
        <f>'Padrão EPP'!D1314</f>
        <v>INTERIOR II</v>
      </c>
      <c r="E1314" s="63">
        <f>'Padrão EPP'!E1314/2</f>
        <v>0</v>
      </c>
      <c r="F1314" s="67">
        <v>3.0000000000000001E-3</v>
      </c>
      <c r="G1314" s="67">
        <v>2E-3</v>
      </c>
      <c r="H1314" s="63"/>
    </row>
    <row r="1315" spans="1:8" x14ac:dyDescent="0.25">
      <c r="A1315" s="63"/>
      <c r="B1315" s="63">
        <f>'Padrão EPP'!B1315</f>
        <v>19</v>
      </c>
      <c r="C1315" s="63" t="str">
        <f>'Padrão EPP'!C1315</f>
        <v>MS</v>
      </c>
      <c r="D1315" s="63" t="str">
        <f>'Padrão EPP'!D1315</f>
        <v>INTERIOR II</v>
      </c>
      <c r="E1315" s="63">
        <f>'Padrão EPP'!E1315/2</f>
        <v>0</v>
      </c>
      <c r="F1315" s="67">
        <v>3.0000000000000001E-3</v>
      </c>
      <c r="G1315" s="67">
        <v>2E-3</v>
      </c>
      <c r="H1315" s="63"/>
    </row>
    <row r="1316" spans="1:8" x14ac:dyDescent="0.25">
      <c r="A1316" s="63"/>
      <c r="B1316" s="63">
        <f>'Padrão EPP'!B1316</f>
        <v>20</v>
      </c>
      <c r="C1316" s="63" t="str">
        <f>'Padrão EPP'!C1316</f>
        <v>MS</v>
      </c>
      <c r="D1316" s="63" t="str">
        <f>'Padrão EPP'!D1316</f>
        <v>INTERIOR II</v>
      </c>
      <c r="E1316" s="63">
        <f>'Padrão EPP'!E1316/2</f>
        <v>0</v>
      </c>
      <c r="F1316" s="67">
        <v>3.0000000000000001E-3</v>
      </c>
      <c r="G1316" s="67">
        <v>2E-3</v>
      </c>
      <c r="H1316" s="63"/>
    </row>
    <row r="1317" spans="1:8" x14ac:dyDescent="0.25">
      <c r="A1317" s="63"/>
      <c r="B1317" s="63">
        <f>'Padrão EPP'!B1317</f>
        <v>21</v>
      </c>
      <c r="C1317" s="63" t="str">
        <f>'Padrão EPP'!C1317</f>
        <v>MS</v>
      </c>
      <c r="D1317" s="63" t="str">
        <f>'Padrão EPP'!D1317</f>
        <v>INTERIOR II</v>
      </c>
      <c r="E1317" s="63">
        <f>'Padrão EPP'!E1317/2</f>
        <v>0</v>
      </c>
      <c r="F1317" s="67">
        <v>3.0000000000000001E-3</v>
      </c>
      <c r="G1317" s="67">
        <v>2E-3</v>
      </c>
      <c r="H1317" s="63"/>
    </row>
    <row r="1318" spans="1:8" x14ac:dyDescent="0.25">
      <c r="A1318" s="63"/>
      <c r="B1318" s="63">
        <f>'Padrão EPP'!B1318</f>
        <v>22</v>
      </c>
      <c r="C1318" s="63" t="str">
        <f>'Padrão EPP'!C1318</f>
        <v>MS</v>
      </c>
      <c r="D1318" s="63" t="str">
        <f>'Padrão EPP'!D1318</f>
        <v>INTERIOR II</v>
      </c>
      <c r="E1318" s="63">
        <f>'Padrão EPP'!E1318/2</f>
        <v>0</v>
      </c>
      <c r="F1318" s="67">
        <v>3.0000000000000001E-3</v>
      </c>
      <c r="G1318" s="67">
        <v>2E-3</v>
      </c>
      <c r="H1318" s="63"/>
    </row>
    <row r="1319" spans="1:8" x14ac:dyDescent="0.25">
      <c r="A1319" s="63"/>
      <c r="B1319" s="63">
        <f>'Padrão EPP'!B1319</f>
        <v>23</v>
      </c>
      <c r="C1319" s="63" t="str">
        <f>'Padrão EPP'!C1319</f>
        <v>MS</v>
      </c>
      <c r="D1319" s="63" t="str">
        <f>'Padrão EPP'!D1319</f>
        <v>INTERIOR II</v>
      </c>
      <c r="E1319" s="63">
        <f>'Padrão EPP'!E1319/2</f>
        <v>0</v>
      </c>
      <c r="F1319" s="67">
        <v>3.0000000000000001E-3</v>
      </c>
      <c r="G1319" s="67">
        <v>2E-3</v>
      </c>
      <c r="H1319" s="63"/>
    </row>
    <row r="1320" spans="1:8" x14ac:dyDescent="0.25">
      <c r="A1320" s="63"/>
      <c r="B1320" s="63">
        <f>'Padrão EPP'!B1320</f>
        <v>24</v>
      </c>
      <c r="C1320" s="63" t="str">
        <f>'Padrão EPP'!C1320</f>
        <v>MS</v>
      </c>
      <c r="D1320" s="63" t="str">
        <f>'Padrão EPP'!D1320</f>
        <v>INTERIOR II</v>
      </c>
      <c r="E1320" s="63">
        <f>'Padrão EPP'!E1320/2</f>
        <v>0</v>
      </c>
      <c r="F1320" s="67">
        <v>3.0000000000000001E-3</v>
      </c>
      <c r="G1320" s="67">
        <v>2E-3</v>
      </c>
      <c r="H1320" s="63"/>
    </row>
    <row r="1321" spans="1:8" x14ac:dyDescent="0.25">
      <c r="A1321" s="63"/>
      <c r="B1321" s="63">
        <f>'Padrão EPP'!B1321</f>
        <v>25</v>
      </c>
      <c r="C1321" s="63" t="str">
        <f>'Padrão EPP'!C1321</f>
        <v>MS</v>
      </c>
      <c r="D1321" s="63" t="str">
        <f>'Padrão EPP'!D1321</f>
        <v>INTERIOR II</v>
      </c>
      <c r="E1321" s="63">
        <f>'Padrão EPP'!E1321/2</f>
        <v>0</v>
      </c>
      <c r="F1321" s="67">
        <v>3.0000000000000001E-3</v>
      </c>
      <c r="G1321" s="67">
        <v>2E-3</v>
      </c>
      <c r="H1321" s="63"/>
    </row>
    <row r="1322" spans="1:8" x14ac:dyDescent="0.25">
      <c r="A1322" s="63"/>
      <c r="B1322" s="63">
        <f>'Padrão EPP'!B1322</f>
        <v>26</v>
      </c>
      <c r="C1322" s="63" t="str">
        <f>'Padrão EPP'!C1322</f>
        <v>MS</v>
      </c>
      <c r="D1322" s="63" t="str">
        <f>'Padrão EPP'!D1322</f>
        <v>INTERIOR II</v>
      </c>
      <c r="E1322" s="63">
        <f>'Padrão EPP'!E1322/2</f>
        <v>0</v>
      </c>
      <c r="F1322" s="67">
        <v>3.0000000000000001E-3</v>
      </c>
      <c r="G1322" s="67">
        <v>2E-3</v>
      </c>
      <c r="H1322" s="63"/>
    </row>
    <row r="1323" spans="1:8" x14ac:dyDescent="0.25">
      <c r="A1323" s="63"/>
      <c r="B1323" s="63">
        <f>'Padrão EPP'!B1323</f>
        <v>27</v>
      </c>
      <c r="C1323" s="63" t="str">
        <f>'Padrão EPP'!C1323</f>
        <v>MS</v>
      </c>
      <c r="D1323" s="63" t="str">
        <f>'Padrão EPP'!D1323</f>
        <v>INTERIOR II</v>
      </c>
      <c r="E1323" s="63">
        <f>'Padrão EPP'!E1323/2</f>
        <v>0</v>
      </c>
      <c r="F1323" s="67">
        <v>3.0000000000000001E-3</v>
      </c>
      <c r="G1323" s="67">
        <v>2E-3</v>
      </c>
      <c r="H1323" s="63"/>
    </row>
    <row r="1324" spans="1:8" x14ac:dyDescent="0.25">
      <c r="A1324" s="63"/>
      <c r="B1324" s="63">
        <f>'Padrão EPP'!B1324</f>
        <v>28</v>
      </c>
      <c r="C1324" s="63" t="str">
        <f>'Padrão EPP'!C1324</f>
        <v>MS</v>
      </c>
      <c r="D1324" s="63" t="str">
        <f>'Padrão EPP'!D1324</f>
        <v>INTERIOR II</v>
      </c>
      <c r="E1324" s="63">
        <f>'Padrão EPP'!E1324/2</f>
        <v>0</v>
      </c>
      <c r="F1324" s="67">
        <v>3.0000000000000001E-3</v>
      </c>
      <c r="G1324" s="67">
        <v>2E-3</v>
      </c>
      <c r="H1324" s="63"/>
    </row>
    <row r="1325" spans="1:8" x14ac:dyDescent="0.25">
      <c r="A1325" s="63"/>
      <c r="B1325" s="63">
        <f>'Padrão EPP'!B1325</f>
        <v>29</v>
      </c>
      <c r="C1325" s="63" t="str">
        <f>'Padrão EPP'!C1325</f>
        <v>MS</v>
      </c>
      <c r="D1325" s="63" t="str">
        <f>'Padrão EPP'!D1325</f>
        <v>INTERIOR II</v>
      </c>
      <c r="E1325" s="63">
        <f>'Padrão EPP'!E1325/2</f>
        <v>0</v>
      </c>
      <c r="F1325" s="67">
        <v>3.0000000000000001E-3</v>
      </c>
      <c r="G1325" s="67">
        <v>2E-3</v>
      </c>
      <c r="H1325" s="63"/>
    </row>
    <row r="1326" spans="1:8" x14ac:dyDescent="0.25">
      <c r="A1326" s="63"/>
      <c r="B1326" s="63">
        <f>'Padrão EPP'!B1326</f>
        <v>30</v>
      </c>
      <c r="C1326" s="63" t="str">
        <f>'Padrão EPP'!C1326</f>
        <v>MS</v>
      </c>
      <c r="D1326" s="63" t="str">
        <f>'Padrão EPP'!D1326</f>
        <v>INTERIOR II</v>
      </c>
      <c r="E1326" s="63">
        <f>'Padrão EPP'!E1326/2</f>
        <v>0</v>
      </c>
      <c r="F1326" s="67">
        <v>3.0000000000000001E-3</v>
      </c>
      <c r="G1326" s="67">
        <v>2E-3</v>
      </c>
      <c r="H1326" s="63"/>
    </row>
    <row r="1327" spans="1:8" x14ac:dyDescent="0.25">
      <c r="A1327" s="63"/>
      <c r="B1327" s="63">
        <f>'Padrão EPP'!B1327</f>
        <v>0</v>
      </c>
      <c r="C1327" s="63" t="str">
        <f>'Padrão EPP'!C1327</f>
        <v>MS</v>
      </c>
      <c r="D1327" s="63" t="str">
        <f>'Padrão EPP'!D1327</f>
        <v>INTERIOR II</v>
      </c>
      <c r="E1327" s="63">
        <f>'Padrão EPP'!E1327/2</f>
        <v>1.5214394455252955</v>
      </c>
      <c r="F1327" s="67">
        <v>3.0000000000000001E-3</v>
      </c>
      <c r="G1327" s="67">
        <v>2E-3</v>
      </c>
      <c r="H1327" s="63"/>
    </row>
    <row r="1328" spans="1:8" x14ac:dyDescent="0.25">
      <c r="A1328" s="63"/>
      <c r="B1328" s="63">
        <f>'Padrão EPP'!B1328</f>
        <v>0.25</v>
      </c>
      <c r="C1328" s="63" t="str">
        <f>'Padrão EPP'!C1328</f>
        <v>MS</v>
      </c>
      <c r="D1328" s="63" t="str">
        <f>'Padrão EPP'!D1328</f>
        <v>REDESPACHO</v>
      </c>
      <c r="E1328" s="63">
        <f>'Padrão EPP'!E1328/2</f>
        <v>18.902916283947754</v>
      </c>
      <c r="F1328" s="67">
        <v>3.0000000000000001E-3</v>
      </c>
      <c r="G1328" s="67">
        <v>2E-3</v>
      </c>
      <c r="H1328" s="63"/>
    </row>
    <row r="1329" spans="1:8" x14ac:dyDescent="0.25">
      <c r="A1329" s="63"/>
      <c r="B1329" s="63">
        <f>'Padrão EPP'!B1329</f>
        <v>0.5</v>
      </c>
      <c r="C1329" s="63" t="str">
        <f>'Padrão EPP'!C1329</f>
        <v>MS</v>
      </c>
      <c r="D1329" s="63" t="str">
        <f>'Padrão EPP'!D1329</f>
        <v>REDESPACHO</v>
      </c>
      <c r="E1329" s="63">
        <f>'Padrão EPP'!E1329/2</f>
        <v>19.686102692304612</v>
      </c>
      <c r="F1329" s="67">
        <v>3.0000000000000001E-3</v>
      </c>
      <c r="G1329" s="67">
        <v>2E-3</v>
      </c>
      <c r="H1329" s="63"/>
    </row>
    <row r="1330" spans="1:8" x14ac:dyDescent="0.25">
      <c r="A1330" s="63"/>
      <c r="B1330" s="63">
        <f>'Padrão EPP'!B1330</f>
        <v>0.75</v>
      </c>
      <c r="C1330" s="63" t="str">
        <f>'Padrão EPP'!C1330</f>
        <v>MS</v>
      </c>
      <c r="D1330" s="63" t="str">
        <f>'Padrão EPP'!D1330</f>
        <v>REDESPACHO</v>
      </c>
      <c r="E1330" s="63">
        <f>'Padrão EPP'!E1330/2</f>
        <v>20.977004973236831</v>
      </c>
      <c r="F1330" s="67">
        <v>3.0000000000000001E-3</v>
      </c>
      <c r="G1330" s="67">
        <v>2E-3</v>
      </c>
      <c r="H1330" s="63"/>
    </row>
    <row r="1331" spans="1:8" x14ac:dyDescent="0.25">
      <c r="A1331" s="63"/>
      <c r="B1331" s="63">
        <f>'Padrão EPP'!B1331</f>
        <v>1</v>
      </c>
      <c r="C1331" s="63" t="str">
        <f>'Padrão EPP'!C1331</f>
        <v>MS</v>
      </c>
      <c r="D1331" s="63" t="str">
        <f>'Padrão EPP'!D1331</f>
        <v>REDESPACHO</v>
      </c>
      <c r="E1331" s="63">
        <f>'Padrão EPP'!E1331/2</f>
        <v>21.382700363717188</v>
      </c>
      <c r="F1331" s="67">
        <v>3.0000000000000001E-3</v>
      </c>
      <c r="G1331" s="67">
        <v>2E-3</v>
      </c>
      <c r="H1331" s="63"/>
    </row>
    <row r="1332" spans="1:8" x14ac:dyDescent="0.25">
      <c r="A1332" s="63"/>
      <c r="B1332" s="63">
        <f>'Padrão EPP'!B1332</f>
        <v>2</v>
      </c>
      <c r="C1332" s="63" t="str">
        <f>'Padrão EPP'!C1332</f>
        <v>MS</v>
      </c>
      <c r="D1332" s="63" t="str">
        <f>'Padrão EPP'!D1332</f>
        <v>REDESPACHO</v>
      </c>
      <c r="E1332" s="63">
        <f>'Padrão EPP'!E1332/2</f>
        <v>22.68362716239093</v>
      </c>
      <c r="F1332" s="67">
        <v>3.0000000000000001E-3</v>
      </c>
      <c r="G1332" s="67">
        <v>2E-3</v>
      </c>
      <c r="H1332" s="63"/>
    </row>
    <row r="1333" spans="1:8" x14ac:dyDescent="0.25">
      <c r="A1333" s="63"/>
      <c r="B1333" s="63">
        <f>'Padrão EPP'!B1333</f>
        <v>3</v>
      </c>
      <c r="C1333" s="63" t="str">
        <f>'Padrão EPP'!C1333</f>
        <v>MS</v>
      </c>
      <c r="D1333" s="63" t="str">
        <f>'Padrão EPP'!D1333</f>
        <v>REDESPACHO</v>
      </c>
      <c r="E1333" s="63">
        <f>'Padrão EPP'!E1333/2</f>
        <v>24.867225124522363</v>
      </c>
      <c r="F1333" s="67">
        <v>3.0000000000000001E-3</v>
      </c>
      <c r="G1333" s="67">
        <v>2E-3</v>
      </c>
      <c r="H1333" s="63"/>
    </row>
    <row r="1334" spans="1:8" x14ac:dyDescent="0.25">
      <c r="A1334" s="63"/>
      <c r="B1334" s="63">
        <f>'Padrão EPP'!B1334</f>
        <v>4</v>
      </c>
      <c r="C1334" s="63" t="str">
        <f>'Padrão EPP'!C1334</f>
        <v>MS</v>
      </c>
      <c r="D1334" s="63" t="str">
        <f>'Padrão EPP'!D1334</f>
        <v>REDESPACHO</v>
      </c>
      <c r="E1334" s="63">
        <f>'Padrão EPP'!E1334/2</f>
        <v>27.358791337209336</v>
      </c>
      <c r="F1334" s="67">
        <v>3.0000000000000001E-3</v>
      </c>
      <c r="G1334" s="67">
        <v>2E-3</v>
      </c>
      <c r="H1334" s="63"/>
    </row>
    <row r="1335" spans="1:8" x14ac:dyDescent="0.25">
      <c r="A1335" s="63"/>
      <c r="B1335" s="63">
        <f>'Padrão EPP'!B1335</f>
        <v>5</v>
      </c>
      <c r="C1335" s="63" t="str">
        <f>'Padrão EPP'!C1335</f>
        <v>MS</v>
      </c>
      <c r="D1335" s="63" t="str">
        <f>'Padrão EPP'!D1335</f>
        <v>REDESPACHO</v>
      </c>
      <c r="E1335" s="63">
        <f>'Padrão EPP'!E1335/2</f>
        <v>29.756418737872103</v>
      </c>
      <c r="F1335" s="67">
        <v>3.0000000000000001E-3</v>
      </c>
      <c r="G1335" s="67">
        <v>2E-3</v>
      </c>
      <c r="H1335" s="63"/>
    </row>
    <row r="1336" spans="1:8" x14ac:dyDescent="0.25">
      <c r="A1336" s="63"/>
      <c r="B1336" s="63">
        <f>'Padrão EPP'!B1336</f>
        <v>6</v>
      </c>
      <c r="C1336" s="63" t="str">
        <f>'Padrão EPP'!C1336</f>
        <v>MS</v>
      </c>
      <c r="D1336" s="63" t="str">
        <f>'Padrão EPP'!D1336</f>
        <v>REDESPACHO</v>
      </c>
      <c r="E1336" s="63">
        <f>'Padrão EPP'!E1336/2</f>
        <v>32.393808878601163</v>
      </c>
      <c r="F1336" s="67">
        <v>3.0000000000000001E-3</v>
      </c>
      <c r="G1336" s="67">
        <v>2E-3</v>
      </c>
      <c r="H1336" s="63"/>
    </row>
    <row r="1337" spans="1:8" x14ac:dyDescent="0.25">
      <c r="A1337" s="63"/>
      <c r="B1337" s="63">
        <f>'Padrão EPP'!B1337</f>
        <v>7</v>
      </c>
      <c r="C1337" s="63" t="str">
        <f>'Padrão EPP'!C1337</f>
        <v>MS</v>
      </c>
      <c r="D1337" s="63" t="str">
        <f>'Padrão EPP'!D1337</f>
        <v>REDESPACHO</v>
      </c>
      <c r="E1337" s="63">
        <f>'Padrão EPP'!E1337/2</f>
        <v>35.11329927460099</v>
      </c>
      <c r="F1337" s="67">
        <v>3.0000000000000001E-3</v>
      </c>
      <c r="G1337" s="67">
        <v>2E-3</v>
      </c>
      <c r="H1337" s="63"/>
    </row>
    <row r="1338" spans="1:8" x14ac:dyDescent="0.25">
      <c r="A1338" s="63"/>
      <c r="B1338" s="63">
        <f>'Padrão EPP'!B1338</f>
        <v>8</v>
      </c>
      <c r="C1338" s="63" t="str">
        <f>'Padrão EPP'!C1338</f>
        <v>MS</v>
      </c>
      <c r="D1338" s="63" t="str">
        <f>'Padrão EPP'!D1338</f>
        <v>REDESPACHO</v>
      </c>
      <c r="E1338" s="63">
        <f>'Padrão EPP'!E1338/2</f>
        <v>38.049036157501519</v>
      </c>
      <c r="F1338" s="67">
        <v>3.0000000000000001E-3</v>
      </c>
      <c r="G1338" s="67">
        <v>2E-3</v>
      </c>
      <c r="H1338" s="63"/>
    </row>
    <row r="1339" spans="1:8" x14ac:dyDescent="0.25">
      <c r="A1339" s="63"/>
      <c r="B1339" s="63">
        <f>'Padrão EPP'!B1339</f>
        <v>9</v>
      </c>
      <c r="C1339" s="63" t="str">
        <f>'Padrão EPP'!C1339</f>
        <v>MS</v>
      </c>
      <c r="D1339" s="63" t="str">
        <f>'Padrão EPP'!D1339</f>
        <v>REDESPACHO</v>
      </c>
      <c r="E1339" s="63">
        <f>'Padrão EPP'!E1339/2</f>
        <v>41.126577454670752</v>
      </c>
      <c r="F1339" s="67">
        <v>3.0000000000000001E-3</v>
      </c>
      <c r="G1339" s="67">
        <v>2E-3</v>
      </c>
      <c r="H1339" s="63"/>
    </row>
    <row r="1340" spans="1:8" x14ac:dyDescent="0.25">
      <c r="A1340" s="63"/>
      <c r="B1340" s="63">
        <f>'Padrão EPP'!B1340</f>
        <v>10</v>
      </c>
      <c r="C1340" s="63" t="str">
        <f>'Padrão EPP'!C1340</f>
        <v>MS</v>
      </c>
      <c r="D1340" s="63" t="str">
        <f>'Padrão EPP'!D1340</f>
        <v>REDESPACHO</v>
      </c>
      <c r="E1340" s="63">
        <f>'Padrão EPP'!E1340/2</f>
        <v>44.523174848771255</v>
      </c>
      <c r="F1340" s="67">
        <v>3.0000000000000001E-3</v>
      </c>
      <c r="G1340" s="67">
        <v>2E-3</v>
      </c>
      <c r="H1340" s="63"/>
    </row>
    <row r="1341" spans="1:8" x14ac:dyDescent="0.25">
      <c r="A1341" s="63"/>
      <c r="B1341" s="63">
        <f>'Padrão EPP'!B1341</f>
        <v>11</v>
      </c>
      <c r="C1341" s="63" t="str">
        <f>'Padrão EPP'!C1341</f>
        <v>MS</v>
      </c>
      <c r="D1341" s="63" t="str">
        <f>'Padrão EPP'!D1341</f>
        <v>REDESPACHO</v>
      </c>
      <c r="E1341" s="63">
        <f>'Padrão EPP'!E1341/2</f>
        <v>0</v>
      </c>
      <c r="F1341" s="67">
        <v>3.0000000000000001E-3</v>
      </c>
      <c r="G1341" s="67">
        <v>2E-3</v>
      </c>
      <c r="H1341" s="63"/>
    </row>
    <row r="1342" spans="1:8" x14ac:dyDescent="0.25">
      <c r="A1342" s="63"/>
      <c r="B1342" s="63">
        <f>'Padrão EPP'!B1342</f>
        <v>12</v>
      </c>
      <c r="C1342" s="63" t="str">
        <f>'Padrão EPP'!C1342</f>
        <v>MS</v>
      </c>
      <c r="D1342" s="63" t="str">
        <f>'Padrão EPP'!D1342</f>
        <v>REDESPACHO</v>
      </c>
      <c r="E1342" s="63">
        <f>'Padrão EPP'!E1342/2</f>
        <v>0</v>
      </c>
      <c r="F1342" s="67">
        <v>3.0000000000000001E-3</v>
      </c>
      <c r="G1342" s="67">
        <v>2E-3</v>
      </c>
      <c r="H1342" s="63"/>
    </row>
    <row r="1343" spans="1:8" x14ac:dyDescent="0.25">
      <c r="A1343" s="63"/>
      <c r="B1343" s="63">
        <f>'Padrão EPP'!B1343</f>
        <v>13</v>
      </c>
      <c r="C1343" s="63" t="str">
        <f>'Padrão EPP'!C1343</f>
        <v>MS</v>
      </c>
      <c r="D1343" s="63" t="str">
        <f>'Padrão EPP'!D1343</f>
        <v>REDESPACHO</v>
      </c>
      <c r="E1343" s="63">
        <f>'Padrão EPP'!E1343/2</f>
        <v>0</v>
      </c>
      <c r="F1343" s="67">
        <v>3.0000000000000001E-3</v>
      </c>
      <c r="G1343" s="67">
        <v>2E-3</v>
      </c>
      <c r="H1343" s="63"/>
    </row>
    <row r="1344" spans="1:8" x14ac:dyDescent="0.25">
      <c r="A1344" s="63"/>
      <c r="B1344" s="63">
        <f>'Padrão EPP'!B1344</f>
        <v>14</v>
      </c>
      <c r="C1344" s="63" t="str">
        <f>'Padrão EPP'!C1344</f>
        <v>MS</v>
      </c>
      <c r="D1344" s="63" t="str">
        <f>'Padrão EPP'!D1344</f>
        <v>REDESPACHO</v>
      </c>
      <c r="E1344" s="63">
        <f>'Padrão EPP'!E1344/2</f>
        <v>0</v>
      </c>
      <c r="F1344" s="67">
        <v>3.0000000000000001E-3</v>
      </c>
      <c r="G1344" s="67">
        <v>2E-3</v>
      </c>
      <c r="H1344" s="63"/>
    </row>
    <row r="1345" spans="1:8" x14ac:dyDescent="0.25">
      <c r="A1345" s="63"/>
      <c r="B1345" s="63">
        <f>'Padrão EPP'!B1345</f>
        <v>15</v>
      </c>
      <c r="C1345" s="63" t="str">
        <f>'Padrão EPP'!C1345</f>
        <v>MS</v>
      </c>
      <c r="D1345" s="63" t="str">
        <f>'Padrão EPP'!D1345</f>
        <v>REDESPACHO</v>
      </c>
      <c r="E1345" s="63">
        <f>'Padrão EPP'!E1345/2</f>
        <v>0</v>
      </c>
      <c r="F1345" s="67">
        <v>3.0000000000000001E-3</v>
      </c>
      <c r="G1345" s="67">
        <v>2E-3</v>
      </c>
      <c r="H1345" s="63"/>
    </row>
    <row r="1346" spans="1:8" x14ac:dyDescent="0.25">
      <c r="A1346" s="63"/>
      <c r="B1346" s="63">
        <f>'Padrão EPP'!B1346</f>
        <v>16</v>
      </c>
      <c r="C1346" s="63" t="str">
        <f>'Padrão EPP'!C1346</f>
        <v>MS</v>
      </c>
      <c r="D1346" s="63" t="str">
        <f>'Padrão EPP'!D1346</f>
        <v>REDESPACHO</v>
      </c>
      <c r="E1346" s="63">
        <f>'Padrão EPP'!E1346/2</f>
        <v>0</v>
      </c>
      <c r="F1346" s="67">
        <v>3.0000000000000001E-3</v>
      </c>
      <c r="G1346" s="67">
        <v>2E-3</v>
      </c>
      <c r="H1346" s="63"/>
    </row>
    <row r="1347" spans="1:8" x14ac:dyDescent="0.25">
      <c r="A1347" s="63"/>
      <c r="B1347" s="63">
        <f>'Padrão EPP'!B1347</f>
        <v>17</v>
      </c>
      <c r="C1347" s="63" t="str">
        <f>'Padrão EPP'!C1347</f>
        <v>MS</v>
      </c>
      <c r="D1347" s="63" t="str">
        <f>'Padrão EPP'!D1347</f>
        <v>REDESPACHO</v>
      </c>
      <c r="E1347" s="63">
        <f>'Padrão EPP'!E1347/2</f>
        <v>0</v>
      </c>
      <c r="F1347" s="67">
        <v>3.0000000000000001E-3</v>
      </c>
      <c r="G1347" s="67">
        <v>2E-3</v>
      </c>
      <c r="H1347" s="63"/>
    </row>
    <row r="1348" spans="1:8" x14ac:dyDescent="0.25">
      <c r="A1348" s="63"/>
      <c r="B1348" s="63">
        <f>'Padrão EPP'!B1348</f>
        <v>18</v>
      </c>
      <c r="C1348" s="63" t="str">
        <f>'Padrão EPP'!C1348</f>
        <v>MS</v>
      </c>
      <c r="D1348" s="63" t="str">
        <f>'Padrão EPP'!D1348</f>
        <v>REDESPACHO</v>
      </c>
      <c r="E1348" s="63">
        <f>'Padrão EPP'!E1348/2</f>
        <v>0</v>
      </c>
      <c r="F1348" s="67">
        <v>3.0000000000000001E-3</v>
      </c>
      <c r="G1348" s="67">
        <v>2E-3</v>
      </c>
      <c r="H1348" s="63"/>
    </row>
    <row r="1349" spans="1:8" x14ac:dyDescent="0.25">
      <c r="A1349" s="63"/>
      <c r="B1349" s="63">
        <f>'Padrão EPP'!B1349</f>
        <v>19</v>
      </c>
      <c r="C1349" s="63" t="str">
        <f>'Padrão EPP'!C1349</f>
        <v>MS</v>
      </c>
      <c r="D1349" s="63" t="str">
        <f>'Padrão EPP'!D1349</f>
        <v>REDESPACHO</v>
      </c>
      <c r="E1349" s="63">
        <f>'Padrão EPP'!E1349/2</f>
        <v>0</v>
      </c>
      <c r="F1349" s="67">
        <v>3.0000000000000001E-3</v>
      </c>
      <c r="G1349" s="67">
        <v>2E-3</v>
      </c>
      <c r="H1349" s="63"/>
    </row>
    <row r="1350" spans="1:8" x14ac:dyDescent="0.25">
      <c r="A1350" s="63"/>
      <c r="B1350" s="63">
        <f>'Padrão EPP'!B1350</f>
        <v>20</v>
      </c>
      <c r="C1350" s="63" t="str">
        <f>'Padrão EPP'!C1350</f>
        <v>MS</v>
      </c>
      <c r="D1350" s="63" t="str">
        <f>'Padrão EPP'!D1350</f>
        <v>REDESPACHO</v>
      </c>
      <c r="E1350" s="63">
        <f>'Padrão EPP'!E1350/2</f>
        <v>0</v>
      </c>
      <c r="F1350" s="67">
        <v>3.0000000000000001E-3</v>
      </c>
      <c r="G1350" s="67">
        <v>2E-3</v>
      </c>
      <c r="H1350" s="63"/>
    </row>
    <row r="1351" spans="1:8" x14ac:dyDescent="0.25">
      <c r="A1351" s="63"/>
      <c r="B1351" s="63">
        <f>'Padrão EPP'!B1351</f>
        <v>21</v>
      </c>
      <c r="C1351" s="63" t="str">
        <f>'Padrão EPP'!C1351</f>
        <v>MS</v>
      </c>
      <c r="D1351" s="63" t="str">
        <f>'Padrão EPP'!D1351</f>
        <v>REDESPACHO</v>
      </c>
      <c r="E1351" s="63">
        <f>'Padrão EPP'!E1351/2</f>
        <v>0</v>
      </c>
      <c r="F1351" s="67">
        <v>3.0000000000000001E-3</v>
      </c>
      <c r="G1351" s="67">
        <v>2E-3</v>
      </c>
      <c r="H1351" s="63"/>
    </row>
    <row r="1352" spans="1:8" x14ac:dyDescent="0.25">
      <c r="A1352" s="63"/>
      <c r="B1352" s="63">
        <f>'Padrão EPP'!B1352</f>
        <v>22</v>
      </c>
      <c r="C1352" s="63" t="str">
        <f>'Padrão EPP'!C1352</f>
        <v>MS</v>
      </c>
      <c r="D1352" s="63" t="str">
        <f>'Padrão EPP'!D1352</f>
        <v>REDESPACHO</v>
      </c>
      <c r="E1352" s="63">
        <f>'Padrão EPP'!E1352/2</f>
        <v>0</v>
      </c>
      <c r="F1352" s="67">
        <v>3.0000000000000001E-3</v>
      </c>
      <c r="G1352" s="67">
        <v>2E-3</v>
      </c>
      <c r="H1352" s="63"/>
    </row>
    <row r="1353" spans="1:8" x14ac:dyDescent="0.25">
      <c r="A1353" s="63"/>
      <c r="B1353" s="63">
        <f>'Padrão EPP'!B1353</f>
        <v>23</v>
      </c>
      <c r="C1353" s="63" t="str">
        <f>'Padrão EPP'!C1353</f>
        <v>MS</v>
      </c>
      <c r="D1353" s="63" t="str">
        <f>'Padrão EPP'!D1353</f>
        <v>REDESPACHO</v>
      </c>
      <c r="E1353" s="63">
        <f>'Padrão EPP'!E1353/2</f>
        <v>0</v>
      </c>
      <c r="F1353" s="67">
        <v>3.0000000000000001E-3</v>
      </c>
      <c r="G1353" s="67">
        <v>2E-3</v>
      </c>
      <c r="H1353" s="63"/>
    </row>
    <row r="1354" spans="1:8" x14ac:dyDescent="0.25">
      <c r="A1354" s="63"/>
      <c r="B1354" s="63">
        <f>'Padrão EPP'!B1354</f>
        <v>24</v>
      </c>
      <c r="C1354" s="63" t="str">
        <f>'Padrão EPP'!C1354</f>
        <v>MS</v>
      </c>
      <c r="D1354" s="63" t="str">
        <f>'Padrão EPP'!D1354</f>
        <v>REDESPACHO</v>
      </c>
      <c r="E1354" s="63">
        <f>'Padrão EPP'!E1354/2</f>
        <v>0</v>
      </c>
      <c r="F1354" s="67">
        <v>3.0000000000000001E-3</v>
      </c>
      <c r="G1354" s="67">
        <v>2E-3</v>
      </c>
      <c r="H1354" s="63"/>
    </row>
    <row r="1355" spans="1:8" x14ac:dyDescent="0.25">
      <c r="A1355" s="63"/>
      <c r="B1355" s="63">
        <f>'Padrão EPP'!B1355</f>
        <v>25</v>
      </c>
      <c r="C1355" s="63" t="str">
        <f>'Padrão EPP'!C1355</f>
        <v>MS</v>
      </c>
      <c r="D1355" s="63" t="str">
        <f>'Padrão EPP'!D1355</f>
        <v>REDESPACHO</v>
      </c>
      <c r="E1355" s="63">
        <f>'Padrão EPP'!E1355/2</f>
        <v>0</v>
      </c>
      <c r="F1355" s="67">
        <v>3.0000000000000001E-3</v>
      </c>
      <c r="G1355" s="67">
        <v>2E-3</v>
      </c>
      <c r="H1355" s="63"/>
    </row>
    <row r="1356" spans="1:8" x14ac:dyDescent="0.25">
      <c r="A1356" s="63"/>
      <c r="B1356" s="63">
        <f>'Padrão EPP'!B1356</f>
        <v>26</v>
      </c>
      <c r="C1356" s="63" t="str">
        <f>'Padrão EPP'!C1356</f>
        <v>MS</v>
      </c>
      <c r="D1356" s="63" t="str">
        <f>'Padrão EPP'!D1356</f>
        <v>REDESPACHO</v>
      </c>
      <c r="E1356" s="63">
        <f>'Padrão EPP'!E1356/2</f>
        <v>0</v>
      </c>
      <c r="F1356" s="67">
        <v>3.0000000000000001E-3</v>
      </c>
      <c r="G1356" s="67">
        <v>2E-3</v>
      </c>
      <c r="H1356" s="63"/>
    </row>
    <row r="1357" spans="1:8" x14ac:dyDescent="0.25">
      <c r="A1357" s="63"/>
      <c r="B1357" s="63">
        <f>'Padrão EPP'!B1357</f>
        <v>27</v>
      </c>
      <c r="C1357" s="63" t="str">
        <f>'Padrão EPP'!C1357</f>
        <v>MS</v>
      </c>
      <c r="D1357" s="63" t="str">
        <f>'Padrão EPP'!D1357</f>
        <v>REDESPACHO</v>
      </c>
      <c r="E1357" s="63">
        <f>'Padrão EPP'!E1357/2</f>
        <v>0</v>
      </c>
      <c r="F1357" s="67">
        <v>3.0000000000000001E-3</v>
      </c>
      <c r="G1357" s="67">
        <v>2E-3</v>
      </c>
      <c r="H1357" s="63"/>
    </row>
    <row r="1358" spans="1:8" x14ac:dyDescent="0.25">
      <c r="A1358" s="63"/>
      <c r="B1358" s="63">
        <f>'Padrão EPP'!B1358</f>
        <v>28</v>
      </c>
      <c r="C1358" s="63" t="str">
        <f>'Padrão EPP'!C1358</f>
        <v>MS</v>
      </c>
      <c r="D1358" s="63" t="str">
        <f>'Padrão EPP'!D1358</f>
        <v>REDESPACHO</v>
      </c>
      <c r="E1358" s="63">
        <f>'Padrão EPP'!E1358/2</f>
        <v>0</v>
      </c>
      <c r="F1358" s="67">
        <v>3.0000000000000001E-3</v>
      </c>
      <c r="G1358" s="67">
        <v>2E-3</v>
      </c>
      <c r="H1358" s="63"/>
    </row>
    <row r="1359" spans="1:8" x14ac:dyDescent="0.25">
      <c r="A1359" s="63"/>
      <c r="B1359" s="63">
        <f>'Padrão EPP'!B1359</f>
        <v>29</v>
      </c>
      <c r="C1359" s="63" t="str">
        <f>'Padrão EPP'!C1359</f>
        <v>MS</v>
      </c>
      <c r="D1359" s="63" t="str">
        <f>'Padrão EPP'!D1359</f>
        <v>REDESPACHO</v>
      </c>
      <c r="E1359" s="63">
        <f>'Padrão EPP'!E1359/2</f>
        <v>0</v>
      </c>
      <c r="F1359" s="67">
        <v>3.0000000000000001E-3</v>
      </c>
      <c r="G1359" s="67">
        <v>2E-3</v>
      </c>
      <c r="H1359" s="63"/>
    </row>
    <row r="1360" spans="1:8" x14ac:dyDescent="0.25">
      <c r="A1360" s="63"/>
      <c r="B1360" s="63">
        <f>'Padrão EPP'!B1360</f>
        <v>30</v>
      </c>
      <c r="C1360" s="63" t="str">
        <f>'Padrão EPP'!C1360</f>
        <v>MS</v>
      </c>
      <c r="D1360" s="63" t="str">
        <f>'Padrão EPP'!D1360</f>
        <v>REDESPACHO</v>
      </c>
      <c r="E1360" s="63">
        <f>'Padrão EPP'!E1360/2</f>
        <v>0</v>
      </c>
      <c r="F1360" s="67">
        <v>3.0000000000000001E-3</v>
      </c>
      <c r="G1360" s="67">
        <v>2E-3</v>
      </c>
      <c r="H1360" s="63"/>
    </row>
    <row r="1361" spans="1:8" x14ac:dyDescent="0.25">
      <c r="A1361" s="63"/>
      <c r="B1361" s="63">
        <f>'Padrão EPP'!B1361</f>
        <v>0</v>
      </c>
      <c r="C1361" s="63" t="str">
        <f>'Padrão EPP'!C1361</f>
        <v>MS</v>
      </c>
      <c r="D1361" s="63" t="str">
        <f>'Padrão EPP'!D1361</f>
        <v>REDESPACHO</v>
      </c>
      <c r="E1361" s="63">
        <f>'Padrão EPP'!E1361/2</f>
        <v>1.5214394455252955</v>
      </c>
      <c r="F1361" s="67">
        <v>3.0000000000000001E-3</v>
      </c>
      <c r="G1361" s="67">
        <v>2E-3</v>
      </c>
      <c r="H1361" s="63"/>
    </row>
    <row r="1362" spans="1:8" x14ac:dyDescent="0.25">
      <c r="A1362" s="63"/>
      <c r="B1362" s="63">
        <f>'Padrão EPP'!B1362</f>
        <v>0.25</v>
      </c>
      <c r="C1362" s="63" t="str">
        <f>'Padrão EPP'!C1362</f>
        <v>MT</v>
      </c>
      <c r="D1362" s="63" t="str">
        <f>'Padrão EPP'!D1362</f>
        <v>CAPITAL</v>
      </c>
      <c r="E1362" s="63">
        <f>'Padrão EPP'!E1362/2</f>
        <v>6.8396798170381823</v>
      </c>
      <c r="F1362" s="67">
        <v>3.0000000000000001E-3</v>
      </c>
      <c r="G1362" s="67">
        <v>2E-3</v>
      </c>
      <c r="H1362" s="63"/>
    </row>
    <row r="1363" spans="1:8" x14ac:dyDescent="0.25">
      <c r="A1363" s="63"/>
      <c r="B1363" s="63">
        <f>'Padrão EPP'!B1363</f>
        <v>0.5</v>
      </c>
      <c r="C1363" s="63" t="str">
        <f>'Padrão EPP'!C1363</f>
        <v>MT</v>
      </c>
      <c r="D1363" s="63" t="str">
        <f>'Padrão EPP'!D1363</f>
        <v>CAPITAL</v>
      </c>
      <c r="E1363" s="63">
        <f>'Padrão EPP'!E1363/2</f>
        <v>7.5852851981668286</v>
      </c>
      <c r="F1363" s="67">
        <v>3.0000000000000001E-3</v>
      </c>
      <c r="G1363" s="67">
        <v>2E-3</v>
      </c>
      <c r="H1363" s="63"/>
    </row>
    <row r="1364" spans="1:8" x14ac:dyDescent="0.25">
      <c r="A1364" s="63"/>
      <c r="B1364" s="63">
        <f>'Padrão EPP'!B1364</f>
        <v>0.75</v>
      </c>
      <c r="C1364" s="63" t="str">
        <f>'Padrão EPP'!C1364</f>
        <v>MT</v>
      </c>
      <c r="D1364" s="63" t="str">
        <f>'Padrão EPP'!D1364</f>
        <v>CAPITAL</v>
      </c>
      <c r="E1364" s="63">
        <f>'Padrão EPP'!E1364/2</f>
        <v>7.852394069600809</v>
      </c>
      <c r="F1364" s="67">
        <v>3.0000000000000001E-3</v>
      </c>
      <c r="G1364" s="67">
        <v>2E-3</v>
      </c>
      <c r="H1364" s="63"/>
    </row>
    <row r="1365" spans="1:8" x14ac:dyDescent="0.25">
      <c r="A1365" s="63"/>
      <c r="B1365" s="63">
        <f>'Padrão EPP'!B1365</f>
        <v>1</v>
      </c>
      <c r="C1365" s="63" t="str">
        <f>'Padrão EPP'!C1365</f>
        <v>MT</v>
      </c>
      <c r="D1365" s="63" t="str">
        <f>'Padrão EPP'!D1365</f>
        <v>CAPITAL</v>
      </c>
      <c r="E1365" s="63">
        <f>'Padrão EPP'!E1365/2</f>
        <v>8.6594626307175382</v>
      </c>
      <c r="F1365" s="67">
        <v>3.0000000000000001E-3</v>
      </c>
      <c r="G1365" s="67">
        <v>2E-3</v>
      </c>
      <c r="H1365" s="63"/>
    </row>
    <row r="1366" spans="1:8" x14ac:dyDescent="0.25">
      <c r="A1366" s="63"/>
      <c r="B1366" s="63">
        <f>'Padrão EPP'!B1366</f>
        <v>2</v>
      </c>
      <c r="C1366" s="63" t="str">
        <f>'Padrão EPP'!C1366</f>
        <v>MT</v>
      </c>
      <c r="D1366" s="63" t="str">
        <f>'Padrão EPP'!D1366</f>
        <v>CAPITAL</v>
      </c>
      <c r="E1366" s="63">
        <f>'Padrão EPP'!E1366/2</f>
        <v>10.240848805885374</v>
      </c>
      <c r="F1366" s="67">
        <v>3.0000000000000001E-3</v>
      </c>
      <c r="G1366" s="67">
        <v>2E-3</v>
      </c>
      <c r="H1366" s="63"/>
    </row>
    <row r="1367" spans="1:8" x14ac:dyDescent="0.25">
      <c r="A1367" s="63"/>
      <c r="B1367" s="63">
        <f>'Padrão EPP'!B1367</f>
        <v>3</v>
      </c>
      <c r="C1367" s="63" t="str">
        <f>'Padrão EPP'!C1367</f>
        <v>MT</v>
      </c>
      <c r="D1367" s="63" t="str">
        <f>'Padrão EPP'!D1367</f>
        <v>CAPITAL</v>
      </c>
      <c r="E1367" s="63">
        <f>'Padrão EPP'!E1367/2</f>
        <v>12.920583985890373</v>
      </c>
      <c r="F1367" s="67">
        <v>3.0000000000000001E-3</v>
      </c>
      <c r="G1367" s="67">
        <v>2E-3</v>
      </c>
      <c r="H1367" s="63"/>
    </row>
    <row r="1368" spans="1:8" x14ac:dyDescent="0.25">
      <c r="A1368" s="63"/>
      <c r="B1368" s="63">
        <f>'Padrão EPP'!B1368</f>
        <v>4</v>
      </c>
      <c r="C1368" s="63" t="str">
        <f>'Padrão EPP'!C1368</f>
        <v>MT</v>
      </c>
      <c r="D1368" s="63" t="str">
        <f>'Padrão EPP'!D1368</f>
        <v>CAPITAL</v>
      </c>
      <c r="E1368" s="63">
        <f>'Padrão EPP'!E1368/2</f>
        <v>15.882167839585078</v>
      </c>
      <c r="F1368" s="67">
        <v>3.0000000000000001E-3</v>
      </c>
      <c r="G1368" s="67">
        <v>2E-3</v>
      </c>
      <c r="H1368" s="63"/>
    </row>
    <row r="1369" spans="1:8" x14ac:dyDescent="0.25">
      <c r="A1369" s="63"/>
      <c r="B1369" s="63">
        <f>'Padrão EPP'!B1369</f>
        <v>5</v>
      </c>
      <c r="C1369" s="63" t="str">
        <f>'Padrão EPP'!C1369</f>
        <v>MT</v>
      </c>
      <c r="D1369" s="63" t="str">
        <f>'Padrão EPP'!D1369</f>
        <v>CAPITAL</v>
      </c>
      <c r="E1369" s="63">
        <f>'Padrão EPP'!E1369/2</f>
        <v>18.771053756812151</v>
      </c>
      <c r="F1369" s="67">
        <v>3.0000000000000001E-3</v>
      </c>
      <c r="G1369" s="67">
        <v>2E-3</v>
      </c>
      <c r="H1369" s="63"/>
    </row>
    <row r="1370" spans="1:8" x14ac:dyDescent="0.25">
      <c r="A1370" s="63"/>
      <c r="B1370" s="63">
        <f>'Padrão EPP'!B1370</f>
        <v>6</v>
      </c>
      <c r="C1370" s="63" t="str">
        <f>'Padrão EPP'!C1370</f>
        <v>MT</v>
      </c>
      <c r="D1370" s="63" t="str">
        <f>'Padrão EPP'!D1370</f>
        <v>CAPITAL</v>
      </c>
      <c r="E1370" s="63">
        <f>'Padrão EPP'!E1370/2</f>
        <v>21.529878072733876</v>
      </c>
      <c r="F1370" s="67">
        <v>3.0000000000000001E-3</v>
      </c>
      <c r="G1370" s="67">
        <v>2E-3</v>
      </c>
      <c r="H1370" s="63"/>
    </row>
    <row r="1371" spans="1:8" x14ac:dyDescent="0.25">
      <c r="A1371" s="63"/>
      <c r="B1371" s="63">
        <f>'Padrão EPP'!B1371</f>
        <v>7</v>
      </c>
      <c r="C1371" s="63" t="str">
        <f>'Padrão EPP'!C1371</f>
        <v>MT</v>
      </c>
      <c r="D1371" s="63" t="str">
        <f>'Padrão EPP'!D1371</f>
        <v>CAPITAL</v>
      </c>
      <c r="E1371" s="63">
        <f>'Padrão EPP'!E1371/2</f>
        <v>24.530320471605577</v>
      </c>
      <c r="F1371" s="67">
        <v>3.0000000000000001E-3</v>
      </c>
      <c r="G1371" s="67">
        <v>2E-3</v>
      </c>
      <c r="H1371" s="63"/>
    </row>
    <row r="1372" spans="1:8" x14ac:dyDescent="0.25">
      <c r="A1372" s="63"/>
      <c r="B1372" s="63">
        <f>'Padrão EPP'!B1372</f>
        <v>8</v>
      </c>
      <c r="C1372" s="63" t="str">
        <f>'Padrão EPP'!C1372</f>
        <v>MT</v>
      </c>
      <c r="D1372" s="63" t="str">
        <f>'Padrão EPP'!D1372</f>
        <v>CAPITAL</v>
      </c>
      <c r="E1372" s="63">
        <f>'Padrão EPP'!E1372/2</f>
        <v>27.380583748097184</v>
      </c>
      <c r="F1372" s="67">
        <v>3.0000000000000001E-3</v>
      </c>
      <c r="G1372" s="67">
        <v>2E-3</v>
      </c>
      <c r="H1372" s="63"/>
    </row>
    <row r="1373" spans="1:8" x14ac:dyDescent="0.25">
      <c r="A1373" s="63"/>
      <c r="B1373" s="63">
        <f>'Padrão EPP'!B1373</f>
        <v>9</v>
      </c>
      <c r="C1373" s="63" t="str">
        <f>'Padrão EPP'!C1373</f>
        <v>MT</v>
      </c>
      <c r="D1373" s="63" t="str">
        <f>'Padrão EPP'!D1373</f>
        <v>CAPITAL</v>
      </c>
      <c r="E1373" s="63">
        <f>'Padrão EPP'!E1373/2</f>
        <v>30.283533282821935</v>
      </c>
      <c r="F1373" s="67">
        <v>3.0000000000000001E-3</v>
      </c>
      <c r="G1373" s="67">
        <v>2E-3</v>
      </c>
      <c r="H1373" s="63"/>
    </row>
    <row r="1374" spans="1:8" x14ac:dyDescent="0.25">
      <c r="A1374" s="63"/>
      <c r="B1374" s="63">
        <f>'Padrão EPP'!B1374</f>
        <v>10</v>
      </c>
      <c r="C1374" s="63" t="str">
        <f>'Padrão EPP'!C1374</f>
        <v>MT</v>
      </c>
      <c r="D1374" s="63" t="str">
        <f>'Padrão EPP'!D1374</f>
        <v>CAPITAL</v>
      </c>
      <c r="E1374" s="63">
        <f>'Padrão EPP'!E1374/2</f>
        <v>33.14197595219855</v>
      </c>
      <c r="F1374" s="67">
        <v>3.0000000000000001E-3</v>
      </c>
      <c r="G1374" s="67">
        <v>2E-3</v>
      </c>
      <c r="H1374" s="63"/>
    </row>
    <row r="1375" spans="1:8" x14ac:dyDescent="0.25">
      <c r="A1375" s="63"/>
      <c r="B1375" s="63">
        <f>'Padrão EPP'!B1375</f>
        <v>11</v>
      </c>
      <c r="C1375" s="63" t="str">
        <f>'Padrão EPP'!C1375</f>
        <v>MT</v>
      </c>
      <c r="D1375" s="63" t="str">
        <f>'Padrão EPP'!D1375</f>
        <v>CAPITAL</v>
      </c>
      <c r="E1375" s="63">
        <f>'Padrão EPP'!E1375/2</f>
        <v>0</v>
      </c>
      <c r="F1375" s="67">
        <v>3.0000000000000001E-3</v>
      </c>
      <c r="G1375" s="67">
        <v>2E-3</v>
      </c>
      <c r="H1375" s="63"/>
    </row>
    <row r="1376" spans="1:8" x14ac:dyDescent="0.25">
      <c r="A1376" s="63"/>
      <c r="B1376" s="63">
        <f>'Padrão EPP'!B1376</f>
        <v>12</v>
      </c>
      <c r="C1376" s="63" t="str">
        <f>'Padrão EPP'!C1376</f>
        <v>MT</v>
      </c>
      <c r="D1376" s="63" t="str">
        <f>'Padrão EPP'!D1376</f>
        <v>CAPITAL</v>
      </c>
      <c r="E1376" s="63">
        <f>'Padrão EPP'!E1376/2</f>
        <v>0</v>
      </c>
      <c r="F1376" s="67">
        <v>3.0000000000000001E-3</v>
      </c>
      <c r="G1376" s="67">
        <v>2E-3</v>
      </c>
      <c r="H1376" s="63"/>
    </row>
    <row r="1377" spans="1:8" x14ac:dyDescent="0.25">
      <c r="A1377" s="63"/>
      <c r="B1377" s="63">
        <f>'Padrão EPP'!B1377</f>
        <v>13</v>
      </c>
      <c r="C1377" s="63" t="str">
        <f>'Padrão EPP'!C1377</f>
        <v>MT</v>
      </c>
      <c r="D1377" s="63" t="str">
        <f>'Padrão EPP'!D1377</f>
        <v>CAPITAL</v>
      </c>
      <c r="E1377" s="63">
        <f>'Padrão EPP'!E1377/2</f>
        <v>0</v>
      </c>
      <c r="F1377" s="67">
        <v>3.0000000000000001E-3</v>
      </c>
      <c r="G1377" s="67">
        <v>2E-3</v>
      </c>
      <c r="H1377" s="63"/>
    </row>
    <row r="1378" spans="1:8" x14ac:dyDescent="0.25">
      <c r="A1378" s="63"/>
      <c r="B1378" s="63">
        <f>'Padrão EPP'!B1378</f>
        <v>14</v>
      </c>
      <c r="C1378" s="63" t="str">
        <f>'Padrão EPP'!C1378</f>
        <v>MT</v>
      </c>
      <c r="D1378" s="63" t="str">
        <f>'Padrão EPP'!D1378</f>
        <v>CAPITAL</v>
      </c>
      <c r="E1378" s="63">
        <f>'Padrão EPP'!E1378/2</f>
        <v>0</v>
      </c>
      <c r="F1378" s="67">
        <v>3.0000000000000001E-3</v>
      </c>
      <c r="G1378" s="67">
        <v>2E-3</v>
      </c>
      <c r="H1378" s="63"/>
    </row>
    <row r="1379" spans="1:8" x14ac:dyDescent="0.25">
      <c r="A1379" s="63"/>
      <c r="B1379" s="63">
        <f>'Padrão EPP'!B1379</f>
        <v>15</v>
      </c>
      <c r="C1379" s="63" t="str">
        <f>'Padrão EPP'!C1379</f>
        <v>MT</v>
      </c>
      <c r="D1379" s="63" t="str">
        <f>'Padrão EPP'!D1379</f>
        <v>CAPITAL</v>
      </c>
      <c r="E1379" s="63">
        <f>'Padrão EPP'!E1379/2</f>
        <v>0</v>
      </c>
      <c r="F1379" s="67">
        <v>3.0000000000000001E-3</v>
      </c>
      <c r="G1379" s="67">
        <v>2E-3</v>
      </c>
      <c r="H1379" s="63"/>
    </row>
    <row r="1380" spans="1:8" x14ac:dyDescent="0.25">
      <c r="A1380" s="63"/>
      <c r="B1380" s="63">
        <f>'Padrão EPP'!B1380</f>
        <v>16</v>
      </c>
      <c r="C1380" s="63" t="str">
        <f>'Padrão EPP'!C1380</f>
        <v>MT</v>
      </c>
      <c r="D1380" s="63" t="str">
        <f>'Padrão EPP'!D1380</f>
        <v>CAPITAL</v>
      </c>
      <c r="E1380" s="63">
        <f>'Padrão EPP'!E1380/2</f>
        <v>0</v>
      </c>
      <c r="F1380" s="67">
        <v>3.0000000000000001E-3</v>
      </c>
      <c r="G1380" s="67">
        <v>2E-3</v>
      </c>
      <c r="H1380" s="63"/>
    </row>
    <row r="1381" spans="1:8" x14ac:dyDescent="0.25">
      <c r="A1381" s="63"/>
      <c r="B1381" s="63">
        <f>'Padrão EPP'!B1381</f>
        <v>17</v>
      </c>
      <c r="C1381" s="63" t="str">
        <f>'Padrão EPP'!C1381</f>
        <v>MT</v>
      </c>
      <c r="D1381" s="63" t="str">
        <f>'Padrão EPP'!D1381</f>
        <v>CAPITAL</v>
      </c>
      <c r="E1381" s="63">
        <f>'Padrão EPP'!E1381/2</f>
        <v>0</v>
      </c>
      <c r="F1381" s="67">
        <v>3.0000000000000001E-3</v>
      </c>
      <c r="G1381" s="67">
        <v>2E-3</v>
      </c>
      <c r="H1381" s="63"/>
    </row>
    <row r="1382" spans="1:8" x14ac:dyDescent="0.25">
      <c r="A1382" s="63"/>
      <c r="B1382" s="63">
        <f>'Padrão EPP'!B1382</f>
        <v>18</v>
      </c>
      <c r="C1382" s="63" t="str">
        <f>'Padrão EPP'!C1382</f>
        <v>MT</v>
      </c>
      <c r="D1382" s="63" t="str">
        <f>'Padrão EPP'!D1382</f>
        <v>CAPITAL</v>
      </c>
      <c r="E1382" s="63">
        <f>'Padrão EPP'!E1382/2</f>
        <v>0</v>
      </c>
      <c r="F1382" s="67">
        <v>3.0000000000000001E-3</v>
      </c>
      <c r="G1382" s="67">
        <v>2E-3</v>
      </c>
      <c r="H1382" s="63"/>
    </row>
    <row r="1383" spans="1:8" x14ac:dyDescent="0.25">
      <c r="A1383" s="63"/>
      <c r="B1383" s="63">
        <f>'Padrão EPP'!B1383</f>
        <v>19</v>
      </c>
      <c r="C1383" s="63" t="str">
        <f>'Padrão EPP'!C1383</f>
        <v>MT</v>
      </c>
      <c r="D1383" s="63" t="str">
        <f>'Padrão EPP'!D1383</f>
        <v>CAPITAL</v>
      </c>
      <c r="E1383" s="63">
        <f>'Padrão EPP'!E1383/2</f>
        <v>0</v>
      </c>
      <c r="F1383" s="67">
        <v>3.0000000000000001E-3</v>
      </c>
      <c r="G1383" s="67">
        <v>2E-3</v>
      </c>
      <c r="H1383" s="63"/>
    </row>
    <row r="1384" spans="1:8" x14ac:dyDescent="0.25">
      <c r="A1384" s="63"/>
      <c r="B1384" s="63">
        <f>'Padrão EPP'!B1384</f>
        <v>20</v>
      </c>
      <c r="C1384" s="63" t="str">
        <f>'Padrão EPP'!C1384</f>
        <v>MT</v>
      </c>
      <c r="D1384" s="63" t="str">
        <f>'Padrão EPP'!D1384</f>
        <v>CAPITAL</v>
      </c>
      <c r="E1384" s="63">
        <f>'Padrão EPP'!E1384/2</f>
        <v>0</v>
      </c>
      <c r="F1384" s="67">
        <v>3.0000000000000001E-3</v>
      </c>
      <c r="G1384" s="67">
        <v>2E-3</v>
      </c>
      <c r="H1384" s="63"/>
    </row>
    <row r="1385" spans="1:8" x14ac:dyDescent="0.25">
      <c r="A1385" s="63"/>
      <c r="B1385" s="63">
        <f>'Padrão EPP'!B1385</f>
        <v>21</v>
      </c>
      <c r="C1385" s="63" t="str">
        <f>'Padrão EPP'!C1385</f>
        <v>MT</v>
      </c>
      <c r="D1385" s="63" t="str">
        <f>'Padrão EPP'!D1385</f>
        <v>CAPITAL</v>
      </c>
      <c r="E1385" s="63">
        <f>'Padrão EPP'!E1385/2</f>
        <v>0</v>
      </c>
      <c r="F1385" s="67">
        <v>3.0000000000000001E-3</v>
      </c>
      <c r="G1385" s="67">
        <v>2E-3</v>
      </c>
      <c r="H1385" s="63"/>
    </row>
    <row r="1386" spans="1:8" x14ac:dyDescent="0.25">
      <c r="A1386" s="63"/>
      <c r="B1386" s="63">
        <f>'Padrão EPP'!B1386</f>
        <v>22</v>
      </c>
      <c r="C1386" s="63" t="str">
        <f>'Padrão EPP'!C1386</f>
        <v>MT</v>
      </c>
      <c r="D1386" s="63" t="str">
        <f>'Padrão EPP'!D1386</f>
        <v>CAPITAL</v>
      </c>
      <c r="E1386" s="63">
        <f>'Padrão EPP'!E1386/2</f>
        <v>0</v>
      </c>
      <c r="F1386" s="67">
        <v>3.0000000000000001E-3</v>
      </c>
      <c r="G1386" s="67">
        <v>2E-3</v>
      </c>
      <c r="H1386" s="63"/>
    </row>
    <row r="1387" spans="1:8" x14ac:dyDescent="0.25">
      <c r="A1387" s="63"/>
      <c r="B1387" s="63">
        <f>'Padrão EPP'!B1387</f>
        <v>23</v>
      </c>
      <c r="C1387" s="63" t="str">
        <f>'Padrão EPP'!C1387</f>
        <v>MT</v>
      </c>
      <c r="D1387" s="63" t="str">
        <f>'Padrão EPP'!D1387</f>
        <v>CAPITAL</v>
      </c>
      <c r="E1387" s="63">
        <f>'Padrão EPP'!E1387/2</f>
        <v>0</v>
      </c>
      <c r="F1387" s="67">
        <v>3.0000000000000001E-3</v>
      </c>
      <c r="G1387" s="67">
        <v>2E-3</v>
      </c>
      <c r="H1387" s="63"/>
    </row>
    <row r="1388" spans="1:8" x14ac:dyDescent="0.25">
      <c r="A1388" s="63"/>
      <c r="B1388" s="63">
        <f>'Padrão EPP'!B1388</f>
        <v>24</v>
      </c>
      <c r="C1388" s="63" t="str">
        <f>'Padrão EPP'!C1388</f>
        <v>MT</v>
      </c>
      <c r="D1388" s="63" t="str">
        <f>'Padrão EPP'!D1388</f>
        <v>CAPITAL</v>
      </c>
      <c r="E1388" s="63">
        <f>'Padrão EPP'!E1388/2</f>
        <v>0</v>
      </c>
      <c r="F1388" s="67">
        <v>3.0000000000000001E-3</v>
      </c>
      <c r="G1388" s="67">
        <v>2E-3</v>
      </c>
      <c r="H1388" s="63"/>
    </row>
    <row r="1389" spans="1:8" x14ac:dyDescent="0.25">
      <c r="A1389" s="63"/>
      <c r="B1389" s="63">
        <f>'Padrão EPP'!B1389</f>
        <v>25</v>
      </c>
      <c r="C1389" s="63" t="str">
        <f>'Padrão EPP'!C1389</f>
        <v>MT</v>
      </c>
      <c r="D1389" s="63" t="str">
        <f>'Padrão EPP'!D1389</f>
        <v>CAPITAL</v>
      </c>
      <c r="E1389" s="63">
        <f>'Padrão EPP'!E1389/2</f>
        <v>0</v>
      </c>
      <c r="F1389" s="67">
        <v>3.0000000000000001E-3</v>
      </c>
      <c r="G1389" s="67">
        <v>2E-3</v>
      </c>
      <c r="H1389" s="63"/>
    </row>
    <row r="1390" spans="1:8" x14ac:dyDescent="0.25">
      <c r="A1390" s="63"/>
      <c r="B1390" s="63">
        <f>'Padrão EPP'!B1390</f>
        <v>26</v>
      </c>
      <c r="C1390" s="63" t="str">
        <f>'Padrão EPP'!C1390</f>
        <v>MT</v>
      </c>
      <c r="D1390" s="63" t="str">
        <f>'Padrão EPP'!D1390</f>
        <v>CAPITAL</v>
      </c>
      <c r="E1390" s="63">
        <f>'Padrão EPP'!E1390/2</f>
        <v>0</v>
      </c>
      <c r="F1390" s="67">
        <v>3.0000000000000001E-3</v>
      </c>
      <c r="G1390" s="67">
        <v>2E-3</v>
      </c>
      <c r="H1390" s="63"/>
    </row>
    <row r="1391" spans="1:8" x14ac:dyDescent="0.25">
      <c r="A1391" s="63"/>
      <c r="B1391" s="63">
        <f>'Padrão EPP'!B1391</f>
        <v>27</v>
      </c>
      <c r="C1391" s="63" t="str">
        <f>'Padrão EPP'!C1391</f>
        <v>MT</v>
      </c>
      <c r="D1391" s="63" t="str">
        <f>'Padrão EPP'!D1391</f>
        <v>CAPITAL</v>
      </c>
      <c r="E1391" s="63">
        <f>'Padrão EPP'!E1391/2</f>
        <v>0</v>
      </c>
      <c r="F1391" s="67">
        <v>3.0000000000000001E-3</v>
      </c>
      <c r="G1391" s="67">
        <v>2E-3</v>
      </c>
      <c r="H1391" s="63"/>
    </row>
    <row r="1392" spans="1:8" x14ac:dyDescent="0.25">
      <c r="A1392" s="63"/>
      <c r="B1392" s="63">
        <f>'Padrão EPP'!B1392</f>
        <v>28</v>
      </c>
      <c r="C1392" s="63" t="str">
        <f>'Padrão EPP'!C1392</f>
        <v>MT</v>
      </c>
      <c r="D1392" s="63" t="str">
        <f>'Padrão EPP'!D1392</f>
        <v>CAPITAL</v>
      </c>
      <c r="E1392" s="63">
        <f>'Padrão EPP'!E1392/2</f>
        <v>0</v>
      </c>
      <c r="F1392" s="67">
        <v>3.0000000000000001E-3</v>
      </c>
      <c r="G1392" s="67">
        <v>2E-3</v>
      </c>
      <c r="H1392" s="63"/>
    </row>
    <row r="1393" spans="1:8" x14ac:dyDescent="0.25">
      <c r="A1393" s="63"/>
      <c r="B1393" s="63">
        <f>'Padrão EPP'!B1393</f>
        <v>29</v>
      </c>
      <c r="C1393" s="63" t="str">
        <f>'Padrão EPP'!C1393</f>
        <v>MT</v>
      </c>
      <c r="D1393" s="63" t="str">
        <f>'Padrão EPP'!D1393</f>
        <v>CAPITAL</v>
      </c>
      <c r="E1393" s="63">
        <f>'Padrão EPP'!E1393/2</f>
        <v>0</v>
      </c>
      <c r="F1393" s="67">
        <v>3.0000000000000001E-3</v>
      </c>
      <c r="G1393" s="67">
        <v>2E-3</v>
      </c>
      <c r="H1393" s="63"/>
    </row>
    <row r="1394" spans="1:8" x14ac:dyDescent="0.25">
      <c r="A1394" s="63"/>
      <c r="B1394" s="63">
        <f>'Padrão EPP'!B1394</f>
        <v>30</v>
      </c>
      <c r="C1394" s="63" t="str">
        <f>'Padrão EPP'!C1394</f>
        <v>MT</v>
      </c>
      <c r="D1394" s="63" t="str">
        <f>'Padrão EPP'!D1394</f>
        <v>CAPITAL</v>
      </c>
      <c r="E1394" s="63">
        <f>'Padrão EPP'!E1394/2</f>
        <v>0</v>
      </c>
      <c r="F1394" s="67">
        <v>3.0000000000000001E-3</v>
      </c>
      <c r="G1394" s="67">
        <v>2E-3</v>
      </c>
      <c r="H1394" s="63"/>
    </row>
    <row r="1395" spans="1:8" x14ac:dyDescent="0.25">
      <c r="A1395" s="63"/>
      <c r="B1395" s="63">
        <f>'Padrão EPP'!B1395</f>
        <v>0</v>
      </c>
      <c r="C1395" s="63" t="str">
        <f>'Padrão EPP'!C1395</f>
        <v>MT</v>
      </c>
      <c r="D1395" s="63" t="str">
        <f>'Padrão EPP'!D1395</f>
        <v>CAPITAL</v>
      </c>
      <c r="E1395" s="63">
        <f>'Padrão EPP'!E1395/2</f>
        <v>1.5214394455252955</v>
      </c>
      <c r="F1395" s="67">
        <v>3.0000000000000001E-3</v>
      </c>
      <c r="G1395" s="67">
        <v>2E-3</v>
      </c>
      <c r="H1395" s="63"/>
    </row>
    <row r="1396" spans="1:8" x14ac:dyDescent="0.25">
      <c r="A1396" s="63"/>
      <c r="B1396" s="63">
        <f>'Padrão EPP'!B1396</f>
        <v>0.25</v>
      </c>
      <c r="C1396" s="63" t="str">
        <f>'Padrão EPP'!C1396</f>
        <v>MT</v>
      </c>
      <c r="D1396" s="63" t="str">
        <f>'Padrão EPP'!D1396</f>
        <v>INTERIOR</v>
      </c>
      <c r="E1396" s="63">
        <f>'Padrão EPP'!E1396/2</f>
        <v>13.059036959411626</v>
      </c>
      <c r="F1396" s="67">
        <v>3.0000000000000001E-3</v>
      </c>
      <c r="G1396" s="67">
        <v>2E-3</v>
      </c>
      <c r="H1396" s="63"/>
    </row>
    <row r="1397" spans="1:8" x14ac:dyDescent="0.25">
      <c r="A1397" s="63"/>
      <c r="B1397" s="63">
        <f>'Padrão EPP'!B1397</f>
        <v>0.5</v>
      </c>
      <c r="C1397" s="63" t="str">
        <f>'Padrão EPP'!C1397</f>
        <v>MT</v>
      </c>
      <c r="D1397" s="63" t="str">
        <f>'Padrão EPP'!D1397</f>
        <v>INTERIOR</v>
      </c>
      <c r="E1397" s="63">
        <f>'Padrão EPP'!E1397/2</f>
        <v>13.509467516369483</v>
      </c>
      <c r="F1397" s="67">
        <v>3.0000000000000001E-3</v>
      </c>
      <c r="G1397" s="67">
        <v>2E-3</v>
      </c>
      <c r="H1397" s="63"/>
    </row>
    <row r="1398" spans="1:8" x14ac:dyDescent="0.25">
      <c r="A1398" s="63"/>
      <c r="B1398" s="63">
        <f>'Padrão EPP'!B1398</f>
        <v>0.75</v>
      </c>
      <c r="C1398" s="63" t="str">
        <f>'Padrão EPP'!C1398</f>
        <v>MT</v>
      </c>
      <c r="D1398" s="63" t="str">
        <f>'Padrão EPP'!D1398</f>
        <v>INTERIOR</v>
      </c>
      <c r="E1398" s="63">
        <f>'Padrão EPP'!E1398/2</f>
        <v>14.616748327836207</v>
      </c>
      <c r="F1398" s="67">
        <v>3.0000000000000001E-3</v>
      </c>
      <c r="G1398" s="67">
        <v>2E-3</v>
      </c>
      <c r="H1398" s="63"/>
    </row>
    <row r="1399" spans="1:8" x14ac:dyDescent="0.25">
      <c r="A1399" s="63"/>
      <c r="B1399" s="63">
        <f>'Padrão EPP'!B1399</f>
        <v>1</v>
      </c>
      <c r="C1399" s="63" t="str">
        <f>'Padrão EPP'!C1399</f>
        <v>MT</v>
      </c>
      <c r="D1399" s="63" t="str">
        <f>'Padrão EPP'!D1399</f>
        <v>INTERIOR</v>
      </c>
      <c r="E1399" s="63">
        <f>'Padrão EPP'!E1399/2</f>
        <v>14.957934623978048</v>
      </c>
      <c r="F1399" s="67">
        <v>3.0000000000000001E-3</v>
      </c>
      <c r="G1399" s="67">
        <v>2E-3</v>
      </c>
      <c r="H1399" s="63"/>
    </row>
    <row r="1400" spans="1:8" x14ac:dyDescent="0.25">
      <c r="A1400" s="63"/>
      <c r="B1400" s="63">
        <f>'Padrão EPP'!B1400</f>
        <v>2</v>
      </c>
      <c r="C1400" s="63" t="str">
        <f>'Padrão EPP'!C1400</f>
        <v>MT</v>
      </c>
      <c r="D1400" s="63" t="str">
        <f>'Padrão EPP'!D1400</f>
        <v>INTERIOR</v>
      </c>
      <c r="E1400" s="63">
        <f>'Padrão EPP'!E1400/2</f>
        <v>16.181099681676436</v>
      </c>
      <c r="F1400" s="67">
        <v>3.0000000000000001E-3</v>
      </c>
      <c r="G1400" s="67">
        <v>2E-3</v>
      </c>
      <c r="H1400" s="63"/>
    </row>
    <row r="1401" spans="1:8" x14ac:dyDescent="0.25">
      <c r="A1401" s="63"/>
      <c r="B1401" s="63">
        <f>'Padrão EPP'!B1401</f>
        <v>3</v>
      </c>
      <c r="C1401" s="63" t="str">
        <f>'Padrão EPP'!C1401</f>
        <v>MT</v>
      </c>
      <c r="D1401" s="63" t="str">
        <f>'Padrão EPP'!D1401</f>
        <v>INTERIOR</v>
      </c>
      <c r="E1401" s="63">
        <f>'Padrão EPP'!E1401/2</f>
        <v>17.659645009445768</v>
      </c>
      <c r="F1401" s="67">
        <v>3.0000000000000001E-3</v>
      </c>
      <c r="G1401" s="67">
        <v>2E-3</v>
      </c>
      <c r="H1401" s="63"/>
    </row>
    <row r="1402" spans="1:8" x14ac:dyDescent="0.25">
      <c r="A1402" s="63"/>
      <c r="B1402" s="63">
        <f>'Padrão EPP'!B1402</f>
        <v>4</v>
      </c>
      <c r="C1402" s="63" t="str">
        <f>'Padrão EPP'!C1402</f>
        <v>MT</v>
      </c>
      <c r="D1402" s="63" t="str">
        <f>'Padrão EPP'!D1402</f>
        <v>INTERIOR</v>
      </c>
      <c r="E1402" s="63">
        <f>'Padrão EPP'!E1402/2</f>
        <v>19.433034260221369</v>
      </c>
      <c r="F1402" s="67">
        <v>3.0000000000000001E-3</v>
      </c>
      <c r="G1402" s="67">
        <v>2E-3</v>
      </c>
      <c r="H1402" s="63"/>
    </row>
    <row r="1403" spans="1:8" x14ac:dyDescent="0.25">
      <c r="A1403" s="63"/>
      <c r="B1403" s="63">
        <f>'Padrão EPP'!B1403</f>
        <v>5</v>
      </c>
      <c r="C1403" s="63" t="str">
        <f>'Padrão EPP'!C1403</f>
        <v>MT</v>
      </c>
      <c r="D1403" s="63" t="str">
        <f>'Padrão EPP'!D1403</f>
        <v>INTERIOR</v>
      </c>
      <c r="E1403" s="63">
        <f>'Padrão EPP'!E1403/2</f>
        <v>21.147561787503356</v>
      </c>
      <c r="F1403" s="67">
        <v>3.0000000000000001E-3</v>
      </c>
      <c r="G1403" s="67">
        <v>2E-3</v>
      </c>
      <c r="H1403" s="63"/>
    </row>
    <row r="1404" spans="1:8" x14ac:dyDescent="0.25">
      <c r="A1404" s="63"/>
      <c r="B1404" s="63">
        <f>'Padrão EPP'!B1404</f>
        <v>6</v>
      </c>
      <c r="C1404" s="63" t="str">
        <f>'Padrão EPP'!C1404</f>
        <v>MT</v>
      </c>
      <c r="D1404" s="63" t="str">
        <f>'Padrão EPP'!D1404</f>
        <v>INTERIOR</v>
      </c>
      <c r="E1404" s="63">
        <f>'Padrão EPP'!E1404/2</f>
        <v>23.062902959030367</v>
      </c>
      <c r="F1404" s="67">
        <v>3.0000000000000001E-3</v>
      </c>
      <c r="G1404" s="67">
        <v>2E-3</v>
      </c>
      <c r="H1404" s="63"/>
    </row>
    <row r="1405" spans="1:8" x14ac:dyDescent="0.25">
      <c r="A1405" s="63"/>
      <c r="B1405" s="63">
        <f>'Padrão EPP'!B1405</f>
        <v>7</v>
      </c>
      <c r="C1405" s="63" t="str">
        <f>'Padrão EPP'!C1405</f>
        <v>MT</v>
      </c>
      <c r="D1405" s="63" t="str">
        <f>'Padrão EPP'!D1405</f>
        <v>INTERIOR</v>
      </c>
      <c r="E1405" s="63">
        <f>'Padrão EPP'!E1405/2</f>
        <v>25.014817782036175</v>
      </c>
      <c r="F1405" s="67">
        <v>3.0000000000000001E-3</v>
      </c>
      <c r="G1405" s="67">
        <v>2E-3</v>
      </c>
      <c r="H1405" s="63"/>
    </row>
    <row r="1406" spans="1:8" x14ac:dyDescent="0.25">
      <c r="A1406" s="63"/>
      <c r="B1406" s="63">
        <f>'Padrão EPP'!B1406</f>
        <v>8</v>
      </c>
      <c r="C1406" s="63" t="str">
        <f>'Padrão EPP'!C1406</f>
        <v>MT</v>
      </c>
      <c r="D1406" s="63" t="str">
        <f>'Padrão EPP'!D1406</f>
        <v>INTERIOR</v>
      </c>
      <c r="E1406" s="63">
        <f>'Padrão EPP'!E1406/2</f>
        <v>27.116195907485618</v>
      </c>
      <c r="F1406" s="67">
        <v>3.0000000000000001E-3</v>
      </c>
      <c r="G1406" s="67">
        <v>2E-3</v>
      </c>
      <c r="H1406" s="63"/>
    </row>
    <row r="1407" spans="1:8" x14ac:dyDescent="0.25">
      <c r="A1407" s="63"/>
      <c r="B1407" s="63">
        <f>'Padrão EPP'!B1407</f>
        <v>9</v>
      </c>
      <c r="C1407" s="63" t="str">
        <f>'Padrão EPP'!C1407</f>
        <v>MT</v>
      </c>
      <c r="D1407" s="63" t="str">
        <f>'Padrão EPP'!D1407</f>
        <v>INTERIOR</v>
      </c>
      <c r="E1407" s="63">
        <f>'Padrão EPP'!E1407/2</f>
        <v>29.06975981765018</v>
      </c>
      <c r="F1407" s="67">
        <v>3.0000000000000001E-3</v>
      </c>
      <c r="G1407" s="67">
        <v>2E-3</v>
      </c>
      <c r="H1407" s="63"/>
    </row>
    <row r="1408" spans="1:8" x14ac:dyDescent="0.25">
      <c r="A1408" s="63"/>
      <c r="B1408" s="63">
        <f>'Padrão EPP'!B1408</f>
        <v>10</v>
      </c>
      <c r="C1408" s="63" t="str">
        <f>'Padrão EPP'!C1408</f>
        <v>MT</v>
      </c>
      <c r="D1408" s="63" t="str">
        <f>'Padrão EPP'!D1408</f>
        <v>INTERIOR</v>
      </c>
      <c r="E1408" s="63">
        <f>'Padrão EPP'!E1408/2</f>
        <v>31.101535019081787</v>
      </c>
      <c r="F1408" s="67">
        <v>3.0000000000000001E-3</v>
      </c>
      <c r="G1408" s="67">
        <v>2E-3</v>
      </c>
      <c r="H1408" s="63"/>
    </row>
    <row r="1409" spans="1:8" x14ac:dyDescent="0.25">
      <c r="A1409" s="63"/>
      <c r="B1409" s="63">
        <f>'Padrão EPP'!B1409</f>
        <v>11</v>
      </c>
      <c r="C1409" s="63" t="str">
        <f>'Padrão EPP'!C1409</f>
        <v>MT</v>
      </c>
      <c r="D1409" s="63" t="str">
        <f>'Padrão EPP'!D1409</f>
        <v>INTERIOR</v>
      </c>
      <c r="E1409" s="63">
        <f>'Padrão EPP'!E1409/2</f>
        <v>0</v>
      </c>
      <c r="F1409" s="67">
        <v>3.0000000000000001E-3</v>
      </c>
      <c r="G1409" s="67">
        <v>2E-3</v>
      </c>
      <c r="H1409" s="63"/>
    </row>
    <row r="1410" spans="1:8" x14ac:dyDescent="0.25">
      <c r="A1410" s="63"/>
      <c r="B1410" s="63">
        <f>'Padrão EPP'!B1410</f>
        <v>12</v>
      </c>
      <c r="C1410" s="63" t="str">
        <f>'Padrão EPP'!C1410</f>
        <v>MT</v>
      </c>
      <c r="D1410" s="63" t="str">
        <f>'Padrão EPP'!D1410</f>
        <v>INTERIOR</v>
      </c>
      <c r="E1410" s="63">
        <f>'Padrão EPP'!E1410/2</f>
        <v>0</v>
      </c>
      <c r="F1410" s="67">
        <v>3.0000000000000001E-3</v>
      </c>
      <c r="G1410" s="67">
        <v>2E-3</v>
      </c>
      <c r="H1410" s="63"/>
    </row>
    <row r="1411" spans="1:8" x14ac:dyDescent="0.25">
      <c r="A1411" s="63"/>
      <c r="B1411" s="63">
        <f>'Padrão EPP'!B1411</f>
        <v>13</v>
      </c>
      <c r="C1411" s="63" t="str">
        <f>'Padrão EPP'!C1411</f>
        <v>MT</v>
      </c>
      <c r="D1411" s="63" t="str">
        <f>'Padrão EPP'!D1411</f>
        <v>INTERIOR</v>
      </c>
      <c r="E1411" s="63">
        <f>'Padrão EPP'!E1411/2</f>
        <v>0</v>
      </c>
      <c r="F1411" s="67">
        <v>3.0000000000000001E-3</v>
      </c>
      <c r="G1411" s="67">
        <v>2E-3</v>
      </c>
      <c r="H1411" s="63"/>
    </row>
    <row r="1412" spans="1:8" x14ac:dyDescent="0.25">
      <c r="A1412" s="63"/>
      <c r="B1412" s="63">
        <f>'Padrão EPP'!B1412</f>
        <v>14</v>
      </c>
      <c r="C1412" s="63" t="str">
        <f>'Padrão EPP'!C1412</f>
        <v>MT</v>
      </c>
      <c r="D1412" s="63" t="str">
        <f>'Padrão EPP'!D1412</f>
        <v>INTERIOR</v>
      </c>
      <c r="E1412" s="63">
        <f>'Padrão EPP'!E1412/2</f>
        <v>0</v>
      </c>
      <c r="F1412" s="67">
        <v>3.0000000000000001E-3</v>
      </c>
      <c r="G1412" s="67">
        <v>2E-3</v>
      </c>
      <c r="H1412" s="63"/>
    </row>
    <row r="1413" spans="1:8" x14ac:dyDescent="0.25">
      <c r="A1413" s="63"/>
      <c r="B1413" s="63">
        <f>'Padrão EPP'!B1413</f>
        <v>15</v>
      </c>
      <c r="C1413" s="63" t="str">
        <f>'Padrão EPP'!C1413</f>
        <v>MT</v>
      </c>
      <c r="D1413" s="63" t="str">
        <f>'Padrão EPP'!D1413</f>
        <v>INTERIOR</v>
      </c>
      <c r="E1413" s="63">
        <f>'Padrão EPP'!E1413/2</f>
        <v>0</v>
      </c>
      <c r="F1413" s="67">
        <v>3.0000000000000001E-3</v>
      </c>
      <c r="G1413" s="67">
        <v>2E-3</v>
      </c>
      <c r="H1413" s="63"/>
    </row>
    <row r="1414" spans="1:8" x14ac:dyDescent="0.25">
      <c r="A1414" s="63"/>
      <c r="B1414" s="63">
        <f>'Padrão EPP'!B1414</f>
        <v>16</v>
      </c>
      <c r="C1414" s="63" t="str">
        <f>'Padrão EPP'!C1414</f>
        <v>MT</v>
      </c>
      <c r="D1414" s="63" t="str">
        <f>'Padrão EPP'!D1414</f>
        <v>INTERIOR</v>
      </c>
      <c r="E1414" s="63">
        <f>'Padrão EPP'!E1414/2</f>
        <v>0</v>
      </c>
      <c r="F1414" s="67">
        <v>3.0000000000000001E-3</v>
      </c>
      <c r="G1414" s="67">
        <v>2E-3</v>
      </c>
      <c r="H1414" s="63"/>
    </row>
    <row r="1415" spans="1:8" x14ac:dyDescent="0.25">
      <c r="A1415" s="63"/>
      <c r="B1415" s="63">
        <f>'Padrão EPP'!B1415</f>
        <v>17</v>
      </c>
      <c r="C1415" s="63" t="str">
        <f>'Padrão EPP'!C1415</f>
        <v>MT</v>
      </c>
      <c r="D1415" s="63" t="str">
        <f>'Padrão EPP'!D1415</f>
        <v>INTERIOR</v>
      </c>
      <c r="E1415" s="63">
        <f>'Padrão EPP'!E1415/2</f>
        <v>0</v>
      </c>
      <c r="F1415" s="67">
        <v>3.0000000000000001E-3</v>
      </c>
      <c r="G1415" s="67">
        <v>2E-3</v>
      </c>
      <c r="H1415" s="63"/>
    </row>
    <row r="1416" spans="1:8" x14ac:dyDescent="0.25">
      <c r="A1416" s="63"/>
      <c r="B1416" s="63">
        <f>'Padrão EPP'!B1416</f>
        <v>18</v>
      </c>
      <c r="C1416" s="63" t="str">
        <f>'Padrão EPP'!C1416</f>
        <v>MT</v>
      </c>
      <c r="D1416" s="63" t="str">
        <f>'Padrão EPP'!D1416</f>
        <v>INTERIOR</v>
      </c>
      <c r="E1416" s="63">
        <f>'Padrão EPP'!E1416/2</f>
        <v>0</v>
      </c>
      <c r="F1416" s="67">
        <v>3.0000000000000001E-3</v>
      </c>
      <c r="G1416" s="67">
        <v>2E-3</v>
      </c>
      <c r="H1416" s="63"/>
    </row>
    <row r="1417" spans="1:8" x14ac:dyDescent="0.25">
      <c r="A1417" s="63"/>
      <c r="B1417" s="63">
        <f>'Padrão EPP'!B1417</f>
        <v>19</v>
      </c>
      <c r="C1417" s="63" t="str">
        <f>'Padrão EPP'!C1417</f>
        <v>MT</v>
      </c>
      <c r="D1417" s="63" t="str">
        <f>'Padrão EPP'!D1417</f>
        <v>INTERIOR</v>
      </c>
      <c r="E1417" s="63">
        <f>'Padrão EPP'!E1417/2</f>
        <v>0</v>
      </c>
      <c r="F1417" s="67">
        <v>3.0000000000000001E-3</v>
      </c>
      <c r="G1417" s="67">
        <v>2E-3</v>
      </c>
      <c r="H1417" s="63"/>
    </row>
    <row r="1418" spans="1:8" x14ac:dyDescent="0.25">
      <c r="A1418" s="63"/>
      <c r="B1418" s="63">
        <f>'Padrão EPP'!B1418</f>
        <v>20</v>
      </c>
      <c r="C1418" s="63" t="str">
        <f>'Padrão EPP'!C1418</f>
        <v>MT</v>
      </c>
      <c r="D1418" s="63" t="str">
        <f>'Padrão EPP'!D1418</f>
        <v>INTERIOR</v>
      </c>
      <c r="E1418" s="63">
        <f>'Padrão EPP'!E1418/2</f>
        <v>0</v>
      </c>
      <c r="F1418" s="67">
        <v>3.0000000000000001E-3</v>
      </c>
      <c r="G1418" s="67">
        <v>2E-3</v>
      </c>
      <c r="H1418" s="63"/>
    </row>
    <row r="1419" spans="1:8" x14ac:dyDescent="0.25">
      <c r="A1419" s="63"/>
      <c r="B1419" s="63">
        <f>'Padrão EPP'!B1419</f>
        <v>21</v>
      </c>
      <c r="C1419" s="63" t="str">
        <f>'Padrão EPP'!C1419</f>
        <v>MT</v>
      </c>
      <c r="D1419" s="63" t="str">
        <f>'Padrão EPP'!D1419</f>
        <v>INTERIOR</v>
      </c>
      <c r="E1419" s="63">
        <f>'Padrão EPP'!E1419/2</f>
        <v>0</v>
      </c>
      <c r="F1419" s="67">
        <v>3.0000000000000001E-3</v>
      </c>
      <c r="G1419" s="67">
        <v>2E-3</v>
      </c>
      <c r="H1419" s="63"/>
    </row>
    <row r="1420" spans="1:8" x14ac:dyDescent="0.25">
      <c r="A1420" s="63"/>
      <c r="B1420" s="63">
        <f>'Padrão EPP'!B1420</f>
        <v>22</v>
      </c>
      <c r="C1420" s="63" t="str">
        <f>'Padrão EPP'!C1420</f>
        <v>MT</v>
      </c>
      <c r="D1420" s="63" t="str">
        <f>'Padrão EPP'!D1420</f>
        <v>INTERIOR</v>
      </c>
      <c r="E1420" s="63">
        <f>'Padrão EPP'!E1420/2</f>
        <v>0</v>
      </c>
      <c r="F1420" s="67">
        <v>3.0000000000000001E-3</v>
      </c>
      <c r="G1420" s="67">
        <v>2E-3</v>
      </c>
      <c r="H1420" s="63"/>
    </row>
    <row r="1421" spans="1:8" x14ac:dyDescent="0.25">
      <c r="A1421" s="63"/>
      <c r="B1421" s="63">
        <f>'Padrão EPP'!B1421</f>
        <v>23</v>
      </c>
      <c r="C1421" s="63" t="str">
        <f>'Padrão EPP'!C1421</f>
        <v>MT</v>
      </c>
      <c r="D1421" s="63" t="str">
        <f>'Padrão EPP'!D1421</f>
        <v>INTERIOR</v>
      </c>
      <c r="E1421" s="63">
        <f>'Padrão EPP'!E1421/2</f>
        <v>0</v>
      </c>
      <c r="F1421" s="67">
        <v>3.0000000000000001E-3</v>
      </c>
      <c r="G1421" s="67">
        <v>2E-3</v>
      </c>
      <c r="H1421" s="63"/>
    </row>
    <row r="1422" spans="1:8" x14ac:dyDescent="0.25">
      <c r="A1422" s="63"/>
      <c r="B1422" s="63">
        <f>'Padrão EPP'!B1422</f>
        <v>24</v>
      </c>
      <c r="C1422" s="63" t="str">
        <f>'Padrão EPP'!C1422</f>
        <v>MT</v>
      </c>
      <c r="D1422" s="63" t="str">
        <f>'Padrão EPP'!D1422</f>
        <v>INTERIOR</v>
      </c>
      <c r="E1422" s="63">
        <f>'Padrão EPP'!E1422/2</f>
        <v>0</v>
      </c>
      <c r="F1422" s="67">
        <v>3.0000000000000001E-3</v>
      </c>
      <c r="G1422" s="67">
        <v>2E-3</v>
      </c>
      <c r="H1422" s="63"/>
    </row>
    <row r="1423" spans="1:8" x14ac:dyDescent="0.25">
      <c r="A1423" s="63"/>
      <c r="B1423" s="63">
        <f>'Padrão EPP'!B1423</f>
        <v>25</v>
      </c>
      <c r="C1423" s="63" t="str">
        <f>'Padrão EPP'!C1423</f>
        <v>MT</v>
      </c>
      <c r="D1423" s="63" t="str">
        <f>'Padrão EPP'!D1423</f>
        <v>INTERIOR</v>
      </c>
      <c r="E1423" s="63">
        <f>'Padrão EPP'!E1423/2</f>
        <v>0</v>
      </c>
      <c r="F1423" s="67">
        <v>3.0000000000000001E-3</v>
      </c>
      <c r="G1423" s="67">
        <v>2E-3</v>
      </c>
      <c r="H1423" s="63"/>
    </row>
    <row r="1424" spans="1:8" x14ac:dyDescent="0.25">
      <c r="A1424" s="63"/>
      <c r="B1424" s="63">
        <f>'Padrão EPP'!B1424</f>
        <v>26</v>
      </c>
      <c r="C1424" s="63" t="str">
        <f>'Padrão EPP'!C1424</f>
        <v>MT</v>
      </c>
      <c r="D1424" s="63" t="str">
        <f>'Padrão EPP'!D1424</f>
        <v>INTERIOR</v>
      </c>
      <c r="E1424" s="63">
        <f>'Padrão EPP'!E1424/2</f>
        <v>0</v>
      </c>
      <c r="F1424" s="67">
        <v>3.0000000000000001E-3</v>
      </c>
      <c r="G1424" s="67">
        <v>2E-3</v>
      </c>
      <c r="H1424" s="63"/>
    </row>
    <row r="1425" spans="1:8" x14ac:dyDescent="0.25">
      <c r="A1425" s="63"/>
      <c r="B1425" s="63">
        <f>'Padrão EPP'!B1425</f>
        <v>27</v>
      </c>
      <c r="C1425" s="63" t="str">
        <f>'Padrão EPP'!C1425</f>
        <v>MT</v>
      </c>
      <c r="D1425" s="63" t="str">
        <f>'Padrão EPP'!D1425</f>
        <v>INTERIOR</v>
      </c>
      <c r="E1425" s="63">
        <f>'Padrão EPP'!E1425/2</f>
        <v>0</v>
      </c>
      <c r="F1425" s="67">
        <v>3.0000000000000001E-3</v>
      </c>
      <c r="G1425" s="67">
        <v>2E-3</v>
      </c>
      <c r="H1425" s="63"/>
    </row>
    <row r="1426" spans="1:8" x14ac:dyDescent="0.25">
      <c r="A1426" s="63"/>
      <c r="B1426" s="63">
        <f>'Padrão EPP'!B1426</f>
        <v>28</v>
      </c>
      <c r="C1426" s="63" t="str">
        <f>'Padrão EPP'!C1426</f>
        <v>MT</v>
      </c>
      <c r="D1426" s="63" t="str">
        <f>'Padrão EPP'!D1426</f>
        <v>INTERIOR</v>
      </c>
      <c r="E1426" s="63">
        <f>'Padrão EPP'!E1426/2</f>
        <v>0</v>
      </c>
      <c r="F1426" s="67">
        <v>3.0000000000000001E-3</v>
      </c>
      <c r="G1426" s="67">
        <v>2E-3</v>
      </c>
      <c r="H1426" s="63"/>
    </row>
    <row r="1427" spans="1:8" x14ac:dyDescent="0.25">
      <c r="A1427" s="63"/>
      <c r="B1427" s="63">
        <f>'Padrão EPP'!B1427</f>
        <v>29</v>
      </c>
      <c r="C1427" s="63" t="str">
        <f>'Padrão EPP'!C1427</f>
        <v>MT</v>
      </c>
      <c r="D1427" s="63" t="str">
        <f>'Padrão EPP'!D1427</f>
        <v>INTERIOR</v>
      </c>
      <c r="E1427" s="63">
        <f>'Padrão EPP'!E1427/2</f>
        <v>0</v>
      </c>
      <c r="F1427" s="67">
        <v>3.0000000000000001E-3</v>
      </c>
      <c r="G1427" s="67">
        <v>2E-3</v>
      </c>
      <c r="H1427" s="63"/>
    </row>
    <row r="1428" spans="1:8" x14ac:dyDescent="0.25">
      <c r="A1428" s="63"/>
      <c r="B1428" s="63">
        <f>'Padrão EPP'!B1428</f>
        <v>30</v>
      </c>
      <c r="C1428" s="63" t="str">
        <f>'Padrão EPP'!C1428</f>
        <v>MT</v>
      </c>
      <c r="D1428" s="63" t="str">
        <f>'Padrão EPP'!D1428</f>
        <v>INTERIOR</v>
      </c>
      <c r="E1428" s="63">
        <f>'Padrão EPP'!E1428/2</f>
        <v>0</v>
      </c>
      <c r="F1428" s="67">
        <v>3.0000000000000001E-3</v>
      </c>
      <c r="G1428" s="67">
        <v>2E-3</v>
      </c>
      <c r="H1428" s="63"/>
    </row>
    <row r="1429" spans="1:8" x14ac:dyDescent="0.25">
      <c r="A1429" s="63"/>
      <c r="B1429" s="63">
        <f>'Padrão EPP'!B1429</f>
        <v>0</v>
      </c>
      <c r="C1429" s="63" t="str">
        <f>'Padrão EPP'!C1429</f>
        <v>MT</v>
      </c>
      <c r="D1429" s="63" t="str">
        <f>'Padrão EPP'!D1429</f>
        <v>INTERIOR</v>
      </c>
      <c r="E1429" s="63">
        <f>'Padrão EPP'!E1429/2</f>
        <v>1.5214394455252955</v>
      </c>
      <c r="F1429" s="67">
        <v>3.0000000000000001E-3</v>
      </c>
      <c r="G1429" s="67">
        <v>2E-3</v>
      </c>
      <c r="H1429" s="63"/>
    </row>
    <row r="1430" spans="1:8" x14ac:dyDescent="0.25">
      <c r="A1430" s="63"/>
      <c r="B1430" s="63">
        <f>'Padrão EPP'!B1430</f>
        <v>0.25</v>
      </c>
      <c r="C1430" s="63" t="str">
        <f>'Padrão EPP'!C1430</f>
        <v>MT</v>
      </c>
      <c r="D1430" s="63" t="str">
        <f>'Padrão EPP'!D1430</f>
        <v>INTERIOR II</v>
      </c>
      <c r="E1430" s="63">
        <f>'Padrão EPP'!E1430/2</f>
        <v>13.472934972393286</v>
      </c>
      <c r="F1430" s="67">
        <v>3.0000000000000001E-3</v>
      </c>
      <c r="G1430" s="67">
        <v>2E-3</v>
      </c>
      <c r="H1430" s="63"/>
    </row>
    <row r="1431" spans="1:8" x14ac:dyDescent="0.25">
      <c r="A1431" s="63"/>
      <c r="B1431" s="63">
        <f>'Padrão EPP'!B1431</f>
        <v>0.5</v>
      </c>
      <c r="C1431" s="63" t="str">
        <f>'Padrão EPP'!C1431</f>
        <v>MT</v>
      </c>
      <c r="D1431" s="63" t="str">
        <f>'Padrão EPP'!D1431</f>
        <v>INTERIOR II</v>
      </c>
      <c r="E1431" s="63">
        <f>'Padrão EPP'!E1431/2</f>
        <v>13.936213088230154</v>
      </c>
      <c r="F1431" s="67">
        <v>3.0000000000000001E-3</v>
      </c>
      <c r="G1431" s="67">
        <v>2E-3</v>
      </c>
      <c r="H1431" s="63"/>
    </row>
    <row r="1432" spans="1:8" x14ac:dyDescent="0.25">
      <c r="A1432" s="63"/>
      <c r="B1432" s="63">
        <f>'Padrão EPP'!B1432</f>
        <v>0.75</v>
      </c>
      <c r="C1432" s="63" t="str">
        <f>'Padrão EPP'!C1432</f>
        <v>MT</v>
      </c>
      <c r="D1432" s="63" t="str">
        <f>'Padrão EPP'!D1432</f>
        <v>INTERIOR II</v>
      </c>
      <c r="E1432" s="63">
        <f>'Padrão EPP'!E1432/2</f>
        <v>15.057382368733222</v>
      </c>
      <c r="F1432" s="67">
        <v>3.0000000000000001E-3</v>
      </c>
      <c r="G1432" s="67">
        <v>2E-3</v>
      </c>
      <c r="H1432" s="63"/>
    </row>
    <row r="1433" spans="1:8" x14ac:dyDescent="0.25">
      <c r="A1433" s="63"/>
      <c r="B1433" s="63">
        <f>'Padrão EPP'!B1433</f>
        <v>1</v>
      </c>
      <c r="C1433" s="63" t="str">
        <f>'Padrão EPP'!C1433</f>
        <v>MT</v>
      </c>
      <c r="D1433" s="63" t="str">
        <f>'Padrão EPP'!D1433</f>
        <v>INTERIOR II</v>
      </c>
      <c r="E1433" s="63">
        <f>'Padrão EPP'!E1433/2</f>
        <v>15.194551886897724</v>
      </c>
      <c r="F1433" s="67">
        <v>3.0000000000000001E-3</v>
      </c>
      <c r="G1433" s="67">
        <v>2E-3</v>
      </c>
      <c r="H1433" s="63"/>
    </row>
    <row r="1434" spans="1:8" x14ac:dyDescent="0.25">
      <c r="A1434" s="63"/>
      <c r="B1434" s="63">
        <f>'Padrão EPP'!B1434</f>
        <v>2</v>
      </c>
      <c r="C1434" s="63" t="str">
        <f>'Padrão EPP'!C1434</f>
        <v>MT</v>
      </c>
      <c r="D1434" s="63" t="str">
        <f>'Padrão EPP'!D1434</f>
        <v>INTERIOR II</v>
      </c>
      <c r="E1434" s="63">
        <f>'Padrão EPP'!E1434/2</f>
        <v>16.425796314106805</v>
      </c>
      <c r="F1434" s="67">
        <v>3.0000000000000001E-3</v>
      </c>
      <c r="G1434" s="67">
        <v>2E-3</v>
      </c>
      <c r="H1434" s="63"/>
    </row>
    <row r="1435" spans="1:8" x14ac:dyDescent="0.25">
      <c r="A1435" s="63"/>
      <c r="B1435" s="63">
        <f>'Padrão EPP'!B1435</f>
        <v>3</v>
      </c>
      <c r="C1435" s="63" t="str">
        <f>'Padrão EPP'!C1435</f>
        <v>MT</v>
      </c>
      <c r="D1435" s="63" t="str">
        <f>'Padrão EPP'!D1435</f>
        <v>INTERIOR II</v>
      </c>
      <c r="E1435" s="63">
        <f>'Padrão EPP'!E1435/2</f>
        <v>17.987001781574147</v>
      </c>
      <c r="F1435" s="67">
        <v>3.0000000000000001E-3</v>
      </c>
      <c r="G1435" s="67">
        <v>2E-3</v>
      </c>
      <c r="H1435" s="63"/>
    </row>
    <row r="1436" spans="1:8" x14ac:dyDescent="0.25">
      <c r="A1436" s="63"/>
      <c r="B1436" s="63">
        <f>'Padrão EPP'!B1436</f>
        <v>4</v>
      </c>
      <c r="C1436" s="63" t="str">
        <f>'Padrão EPP'!C1436</f>
        <v>MT</v>
      </c>
      <c r="D1436" s="63" t="str">
        <f>'Padrão EPP'!D1436</f>
        <v>INTERIOR II</v>
      </c>
      <c r="E1436" s="63">
        <f>'Padrão EPP'!E1436/2</f>
        <v>19.791514400013227</v>
      </c>
      <c r="F1436" s="67">
        <v>3.0000000000000001E-3</v>
      </c>
      <c r="G1436" s="67">
        <v>2E-3</v>
      </c>
      <c r="H1436" s="63"/>
    </row>
    <row r="1437" spans="1:8" x14ac:dyDescent="0.25">
      <c r="A1437" s="63"/>
      <c r="B1437" s="63">
        <f>'Padrão EPP'!B1437</f>
        <v>5</v>
      </c>
      <c r="C1437" s="63" t="str">
        <f>'Padrão EPP'!C1437</f>
        <v>MT</v>
      </c>
      <c r="D1437" s="63" t="str">
        <f>'Padrão EPP'!D1437</f>
        <v>INTERIOR II</v>
      </c>
      <c r="E1437" s="63">
        <f>'Padrão EPP'!E1437/2</f>
        <v>21.458973729910117</v>
      </c>
      <c r="F1437" s="67">
        <v>3.0000000000000001E-3</v>
      </c>
      <c r="G1437" s="67">
        <v>2E-3</v>
      </c>
      <c r="H1437" s="63"/>
    </row>
    <row r="1438" spans="1:8" x14ac:dyDescent="0.25">
      <c r="A1438" s="63"/>
      <c r="B1438" s="63">
        <f>'Padrão EPP'!B1438</f>
        <v>6</v>
      </c>
      <c r="C1438" s="63" t="str">
        <f>'Padrão EPP'!C1438</f>
        <v>MT</v>
      </c>
      <c r="D1438" s="63" t="str">
        <f>'Padrão EPP'!D1438</f>
        <v>INTERIOR II</v>
      </c>
      <c r="E1438" s="63">
        <f>'Padrão EPP'!E1438/2</f>
        <v>24.228072212754757</v>
      </c>
      <c r="F1438" s="67">
        <v>3.0000000000000001E-3</v>
      </c>
      <c r="G1438" s="67">
        <v>2E-3</v>
      </c>
      <c r="H1438" s="63"/>
    </row>
    <row r="1439" spans="1:8" x14ac:dyDescent="0.25">
      <c r="A1439" s="63"/>
      <c r="B1439" s="63">
        <f>'Padrão EPP'!B1439</f>
        <v>7</v>
      </c>
      <c r="C1439" s="63" t="str">
        <f>'Padrão EPP'!C1439</f>
        <v>MT</v>
      </c>
      <c r="D1439" s="63" t="str">
        <f>'Padrão EPP'!D1439</f>
        <v>INTERIOR II</v>
      </c>
      <c r="E1439" s="63">
        <f>'Padrão EPP'!E1439/2</f>
        <v>25.720573707981579</v>
      </c>
      <c r="F1439" s="67">
        <v>3.0000000000000001E-3</v>
      </c>
      <c r="G1439" s="67">
        <v>2E-3</v>
      </c>
      <c r="H1439" s="63"/>
    </row>
    <row r="1440" spans="1:8" x14ac:dyDescent="0.25">
      <c r="A1440" s="63"/>
      <c r="B1440" s="63">
        <f>'Padrão EPP'!B1440</f>
        <v>8</v>
      </c>
      <c r="C1440" s="63" t="str">
        <f>'Padrão EPP'!C1440</f>
        <v>MT</v>
      </c>
      <c r="D1440" s="63" t="str">
        <f>'Padrão EPP'!D1440</f>
        <v>INTERIOR II</v>
      </c>
      <c r="E1440" s="63">
        <f>'Padrão EPP'!E1440/2</f>
        <v>27.326075478008679</v>
      </c>
      <c r="F1440" s="67">
        <v>3.0000000000000001E-3</v>
      </c>
      <c r="G1440" s="67">
        <v>2E-3</v>
      </c>
      <c r="H1440" s="63"/>
    </row>
    <row r="1441" spans="1:8" x14ac:dyDescent="0.25">
      <c r="A1441" s="63"/>
      <c r="B1441" s="63">
        <f>'Padrão EPP'!B1441</f>
        <v>9</v>
      </c>
      <c r="C1441" s="63" t="str">
        <f>'Padrão EPP'!C1441</f>
        <v>MT</v>
      </c>
      <c r="D1441" s="63" t="str">
        <f>'Padrão EPP'!D1441</f>
        <v>INTERIOR II</v>
      </c>
      <c r="E1441" s="63">
        <f>'Padrão EPP'!E1441/2</f>
        <v>29.404205114419582</v>
      </c>
      <c r="F1441" s="67">
        <v>3.0000000000000001E-3</v>
      </c>
      <c r="G1441" s="67">
        <v>2E-3</v>
      </c>
      <c r="H1441" s="63"/>
    </row>
    <row r="1442" spans="1:8" x14ac:dyDescent="0.25">
      <c r="A1442" s="63"/>
      <c r="B1442" s="63">
        <f>'Padrão EPP'!B1442</f>
        <v>10</v>
      </c>
      <c r="C1442" s="63" t="str">
        <f>'Padrão EPP'!C1442</f>
        <v>MT</v>
      </c>
      <c r="D1442" s="63" t="str">
        <f>'Padrão EPP'!D1442</f>
        <v>INTERIOR II</v>
      </c>
      <c r="E1442" s="63">
        <f>'Padrão EPP'!E1442/2</f>
        <v>31.174592559667605</v>
      </c>
      <c r="F1442" s="67">
        <v>3.0000000000000001E-3</v>
      </c>
      <c r="G1442" s="67">
        <v>2E-3</v>
      </c>
      <c r="H1442" s="63"/>
    </row>
    <row r="1443" spans="1:8" x14ac:dyDescent="0.25">
      <c r="A1443" s="63"/>
      <c r="B1443" s="63">
        <f>'Padrão EPP'!B1443</f>
        <v>11</v>
      </c>
      <c r="C1443" s="63" t="str">
        <f>'Padrão EPP'!C1443</f>
        <v>MT</v>
      </c>
      <c r="D1443" s="63" t="str">
        <f>'Padrão EPP'!D1443</f>
        <v>INTERIOR II</v>
      </c>
      <c r="E1443" s="63">
        <f>'Padrão EPP'!E1443/2</f>
        <v>0</v>
      </c>
      <c r="F1443" s="67">
        <v>3.0000000000000001E-3</v>
      </c>
      <c r="G1443" s="67">
        <v>2E-3</v>
      </c>
      <c r="H1443" s="63"/>
    </row>
    <row r="1444" spans="1:8" x14ac:dyDescent="0.25">
      <c r="A1444" s="63"/>
      <c r="B1444" s="63">
        <f>'Padrão EPP'!B1444</f>
        <v>12</v>
      </c>
      <c r="C1444" s="63" t="str">
        <f>'Padrão EPP'!C1444</f>
        <v>MT</v>
      </c>
      <c r="D1444" s="63" t="str">
        <f>'Padrão EPP'!D1444</f>
        <v>INTERIOR II</v>
      </c>
      <c r="E1444" s="63">
        <f>'Padrão EPP'!E1444/2</f>
        <v>0</v>
      </c>
      <c r="F1444" s="67">
        <v>3.0000000000000001E-3</v>
      </c>
      <c r="G1444" s="67">
        <v>2E-3</v>
      </c>
      <c r="H1444" s="63"/>
    </row>
    <row r="1445" spans="1:8" x14ac:dyDescent="0.25">
      <c r="A1445" s="63"/>
      <c r="B1445" s="63">
        <f>'Padrão EPP'!B1445</f>
        <v>13</v>
      </c>
      <c r="C1445" s="63" t="str">
        <f>'Padrão EPP'!C1445</f>
        <v>MT</v>
      </c>
      <c r="D1445" s="63" t="str">
        <f>'Padrão EPP'!D1445</f>
        <v>INTERIOR II</v>
      </c>
      <c r="E1445" s="63">
        <f>'Padrão EPP'!E1445/2</f>
        <v>0</v>
      </c>
      <c r="F1445" s="67">
        <v>3.0000000000000001E-3</v>
      </c>
      <c r="G1445" s="67">
        <v>2E-3</v>
      </c>
      <c r="H1445" s="63"/>
    </row>
    <row r="1446" spans="1:8" x14ac:dyDescent="0.25">
      <c r="A1446" s="63"/>
      <c r="B1446" s="63">
        <f>'Padrão EPP'!B1446</f>
        <v>14</v>
      </c>
      <c r="C1446" s="63" t="str">
        <f>'Padrão EPP'!C1446</f>
        <v>MT</v>
      </c>
      <c r="D1446" s="63" t="str">
        <f>'Padrão EPP'!D1446</f>
        <v>INTERIOR II</v>
      </c>
      <c r="E1446" s="63">
        <f>'Padrão EPP'!E1446/2</f>
        <v>0</v>
      </c>
      <c r="F1446" s="67">
        <v>3.0000000000000001E-3</v>
      </c>
      <c r="G1446" s="67">
        <v>2E-3</v>
      </c>
      <c r="H1446" s="63"/>
    </row>
    <row r="1447" spans="1:8" x14ac:dyDescent="0.25">
      <c r="A1447" s="63"/>
      <c r="B1447" s="63">
        <f>'Padrão EPP'!B1447</f>
        <v>15</v>
      </c>
      <c r="C1447" s="63" t="str">
        <f>'Padrão EPP'!C1447</f>
        <v>MT</v>
      </c>
      <c r="D1447" s="63" t="str">
        <f>'Padrão EPP'!D1447</f>
        <v>INTERIOR II</v>
      </c>
      <c r="E1447" s="63">
        <f>'Padrão EPP'!E1447/2</f>
        <v>0</v>
      </c>
      <c r="F1447" s="67">
        <v>3.0000000000000001E-3</v>
      </c>
      <c r="G1447" s="67">
        <v>2E-3</v>
      </c>
      <c r="H1447" s="63"/>
    </row>
    <row r="1448" spans="1:8" x14ac:dyDescent="0.25">
      <c r="A1448" s="63"/>
      <c r="B1448" s="63">
        <f>'Padrão EPP'!B1448</f>
        <v>16</v>
      </c>
      <c r="C1448" s="63" t="str">
        <f>'Padrão EPP'!C1448</f>
        <v>MT</v>
      </c>
      <c r="D1448" s="63" t="str">
        <f>'Padrão EPP'!D1448</f>
        <v>INTERIOR II</v>
      </c>
      <c r="E1448" s="63">
        <f>'Padrão EPP'!E1448/2</f>
        <v>0</v>
      </c>
      <c r="F1448" s="67">
        <v>3.0000000000000001E-3</v>
      </c>
      <c r="G1448" s="67">
        <v>2E-3</v>
      </c>
      <c r="H1448" s="63"/>
    </row>
    <row r="1449" spans="1:8" x14ac:dyDescent="0.25">
      <c r="A1449" s="63"/>
      <c r="B1449" s="63">
        <f>'Padrão EPP'!B1449</f>
        <v>17</v>
      </c>
      <c r="C1449" s="63" t="str">
        <f>'Padrão EPP'!C1449</f>
        <v>MT</v>
      </c>
      <c r="D1449" s="63" t="str">
        <f>'Padrão EPP'!D1449</f>
        <v>INTERIOR II</v>
      </c>
      <c r="E1449" s="63">
        <f>'Padrão EPP'!E1449/2</f>
        <v>0</v>
      </c>
      <c r="F1449" s="67">
        <v>3.0000000000000001E-3</v>
      </c>
      <c r="G1449" s="67">
        <v>2E-3</v>
      </c>
      <c r="H1449" s="63"/>
    </row>
    <row r="1450" spans="1:8" x14ac:dyDescent="0.25">
      <c r="A1450" s="63"/>
      <c r="B1450" s="63">
        <f>'Padrão EPP'!B1450</f>
        <v>18</v>
      </c>
      <c r="C1450" s="63" t="str">
        <f>'Padrão EPP'!C1450</f>
        <v>MT</v>
      </c>
      <c r="D1450" s="63" t="str">
        <f>'Padrão EPP'!D1450</f>
        <v>INTERIOR II</v>
      </c>
      <c r="E1450" s="63">
        <f>'Padrão EPP'!E1450/2</f>
        <v>0</v>
      </c>
      <c r="F1450" s="67">
        <v>3.0000000000000001E-3</v>
      </c>
      <c r="G1450" s="67">
        <v>2E-3</v>
      </c>
      <c r="H1450" s="63"/>
    </row>
    <row r="1451" spans="1:8" x14ac:dyDescent="0.25">
      <c r="A1451" s="63"/>
      <c r="B1451" s="63">
        <f>'Padrão EPP'!B1451</f>
        <v>19</v>
      </c>
      <c r="C1451" s="63" t="str">
        <f>'Padrão EPP'!C1451</f>
        <v>MT</v>
      </c>
      <c r="D1451" s="63" t="str">
        <f>'Padrão EPP'!D1451</f>
        <v>INTERIOR II</v>
      </c>
      <c r="E1451" s="63">
        <f>'Padrão EPP'!E1451/2</f>
        <v>0</v>
      </c>
      <c r="F1451" s="67">
        <v>3.0000000000000001E-3</v>
      </c>
      <c r="G1451" s="67">
        <v>2E-3</v>
      </c>
      <c r="H1451" s="63"/>
    </row>
    <row r="1452" spans="1:8" x14ac:dyDescent="0.25">
      <c r="A1452" s="63"/>
      <c r="B1452" s="63">
        <f>'Padrão EPP'!B1452</f>
        <v>20</v>
      </c>
      <c r="C1452" s="63" t="str">
        <f>'Padrão EPP'!C1452</f>
        <v>MT</v>
      </c>
      <c r="D1452" s="63" t="str">
        <f>'Padrão EPP'!D1452</f>
        <v>INTERIOR II</v>
      </c>
      <c r="E1452" s="63">
        <f>'Padrão EPP'!E1452/2</f>
        <v>0</v>
      </c>
      <c r="F1452" s="67">
        <v>3.0000000000000001E-3</v>
      </c>
      <c r="G1452" s="67">
        <v>2E-3</v>
      </c>
      <c r="H1452" s="63"/>
    </row>
    <row r="1453" spans="1:8" x14ac:dyDescent="0.25">
      <c r="A1453" s="63"/>
      <c r="B1453" s="63">
        <f>'Padrão EPP'!B1453</f>
        <v>21</v>
      </c>
      <c r="C1453" s="63" t="str">
        <f>'Padrão EPP'!C1453</f>
        <v>MT</v>
      </c>
      <c r="D1453" s="63" t="str">
        <f>'Padrão EPP'!D1453</f>
        <v>INTERIOR II</v>
      </c>
      <c r="E1453" s="63">
        <f>'Padrão EPP'!E1453/2</f>
        <v>0</v>
      </c>
      <c r="F1453" s="67">
        <v>3.0000000000000001E-3</v>
      </c>
      <c r="G1453" s="67">
        <v>2E-3</v>
      </c>
      <c r="H1453" s="63"/>
    </row>
    <row r="1454" spans="1:8" x14ac:dyDescent="0.25">
      <c r="A1454" s="63"/>
      <c r="B1454" s="63">
        <f>'Padrão EPP'!B1454</f>
        <v>22</v>
      </c>
      <c r="C1454" s="63" t="str">
        <f>'Padrão EPP'!C1454</f>
        <v>MT</v>
      </c>
      <c r="D1454" s="63" t="str">
        <f>'Padrão EPP'!D1454</f>
        <v>INTERIOR II</v>
      </c>
      <c r="E1454" s="63">
        <f>'Padrão EPP'!E1454/2</f>
        <v>0</v>
      </c>
      <c r="F1454" s="67">
        <v>3.0000000000000001E-3</v>
      </c>
      <c r="G1454" s="67">
        <v>2E-3</v>
      </c>
      <c r="H1454" s="63"/>
    </row>
    <row r="1455" spans="1:8" x14ac:dyDescent="0.25">
      <c r="A1455" s="63"/>
      <c r="B1455" s="63">
        <f>'Padrão EPP'!B1455</f>
        <v>23</v>
      </c>
      <c r="C1455" s="63" t="str">
        <f>'Padrão EPP'!C1455</f>
        <v>MT</v>
      </c>
      <c r="D1455" s="63" t="str">
        <f>'Padrão EPP'!D1455</f>
        <v>INTERIOR II</v>
      </c>
      <c r="E1455" s="63">
        <f>'Padrão EPP'!E1455/2</f>
        <v>0</v>
      </c>
      <c r="F1455" s="67">
        <v>3.0000000000000001E-3</v>
      </c>
      <c r="G1455" s="67">
        <v>2E-3</v>
      </c>
      <c r="H1455" s="63"/>
    </row>
    <row r="1456" spans="1:8" x14ac:dyDescent="0.25">
      <c r="A1456" s="63"/>
      <c r="B1456" s="63">
        <f>'Padrão EPP'!B1456</f>
        <v>24</v>
      </c>
      <c r="C1456" s="63" t="str">
        <f>'Padrão EPP'!C1456</f>
        <v>MT</v>
      </c>
      <c r="D1456" s="63" t="str">
        <f>'Padrão EPP'!D1456</f>
        <v>INTERIOR II</v>
      </c>
      <c r="E1456" s="63">
        <f>'Padrão EPP'!E1456/2</f>
        <v>0</v>
      </c>
      <c r="F1456" s="67">
        <v>3.0000000000000001E-3</v>
      </c>
      <c r="G1456" s="67">
        <v>2E-3</v>
      </c>
      <c r="H1456" s="63"/>
    </row>
    <row r="1457" spans="1:8" x14ac:dyDescent="0.25">
      <c r="A1457" s="63"/>
      <c r="B1457" s="63">
        <f>'Padrão EPP'!B1457</f>
        <v>25</v>
      </c>
      <c r="C1457" s="63" t="str">
        <f>'Padrão EPP'!C1457</f>
        <v>MT</v>
      </c>
      <c r="D1457" s="63" t="str">
        <f>'Padrão EPP'!D1457</f>
        <v>INTERIOR II</v>
      </c>
      <c r="E1457" s="63">
        <f>'Padrão EPP'!E1457/2</f>
        <v>0</v>
      </c>
      <c r="F1457" s="67">
        <v>3.0000000000000001E-3</v>
      </c>
      <c r="G1457" s="67">
        <v>2E-3</v>
      </c>
      <c r="H1457" s="63"/>
    </row>
    <row r="1458" spans="1:8" x14ac:dyDescent="0.25">
      <c r="A1458" s="63"/>
      <c r="B1458" s="63">
        <f>'Padrão EPP'!B1458</f>
        <v>26</v>
      </c>
      <c r="C1458" s="63" t="str">
        <f>'Padrão EPP'!C1458</f>
        <v>MT</v>
      </c>
      <c r="D1458" s="63" t="str">
        <f>'Padrão EPP'!D1458</f>
        <v>INTERIOR II</v>
      </c>
      <c r="E1458" s="63">
        <f>'Padrão EPP'!E1458/2</f>
        <v>0</v>
      </c>
      <c r="F1458" s="67">
        <v>3.0000000000000001E-3</v>
      </c>
      <c r="G1458" s="67">
        <v>2E-3</v>
      </c>
      <c r="H1458" s="63"/>
    </row>
    <row r="1459" spans="1:8" x14ac:dyDescent="0.25">
      <c r="A1459" s="63"/>
      <c r="B1459" s="63">
        <f>'Padrão EPP'!B1459</f>
        <v>27</v>
      </c>
      <c r="C1459" s="63" t="str">
        <f>'Padrão EPP'!C1459</f>
        <v>MT</v>
      </c>
      <c r="D1459" s="63" t="str">
        <f>'Padrão EPP'!D1459</f>
        <v>INTERIOR II</v>
      </c>
      <c r="E1459" s="63">
        <f>'Padrão EPP'!E1459/2</f>
        <v>0</v>
      </c>
      <c r="F1459" s="67">
        <v>3.0000000000000001E-3</v>
      </c>
      <c r="G1459" s="67">
        <v>2E-3</v>
      </c>
      <c r="H1459" s="63"/>
    </row>
    <row r="1460" spans="1:8" x14ac:dyDescent="0.25">
      <c r="A1460" s="63"/>
      <c r="B1460" s="63">
        <f>'Padrão EPP'!B1460</f>
        <v>28</v>
      </c>
      <c r="C1460" s="63" t="str">
        <f>'Padrão EPP'!C1460</f>
        <v>MT</v>
      </c>
      <c r="D1460" s="63" t="str">
        <f>'Padrão EPP'!D1460</f>
        <v>INTERIOR II</v>
      </c>
      <c r="E1460" s="63">
        <f>'Padrão EPP'!E1460/2</f>
        <v>0</v>
      </c>
      <c r="F1460" s="67">
        <v>3.0000000000000001E-3</v>
      </c>
      <c r="G1460" s="67">
        <v>2E-3</v>
      </c>
      <c r="H1460" s="63"/>
    </row>
    <row r="1461" spans="1:8" x14ac:dyDescent="0.25">
      <c r="A1461" s="63"/>
      <c r="B1461" s="63">
        <f>'Padrão EPP'!B1461</f>
        <v>29</v>
      </c>
      <c r="C1461" s="63" t="str">
        <f>'Padrão EPP'!C1461</f>
        <v>MT</v>
      </c>
      <c r="D1461" s="63" t="str">
        <f>'Padrão EPP'!D1461</f>
        <v>INTERIOR II</v>
      </c>
      <c r="E1461" s="63">
        <f>'Padrão EPP'!E1461/2</f>
        <v>0</v>
      </c>
      <c r="F1461" s="67">
        <v>3.0000000000000001E-3</v>
      </c>
      <c r="G1461" s="67">
        <v>2E-3</v>
      </c>
      <c r="H1461" s="63"/>
    </row>
    <row r="1462" spans="1:8" x14ac:dyDescent="0.25">
      <c r="A1462" s="63"/>
      <c r="B1462" s="63">
        <f>'Padrão EPP'!B1462</f>
        <v>30</v>
      </c>
      <c r="C1462" s="63" t="str">
        <f>'Padrão EPP'!C1462</f>
        <v>MT</v>
      </c>
      <c r="D1462" s="63" t="str">
        <f>'Padrão EPP'!D1462</f>
        <v>INTERIOR II</v>
      </c>
      <c r="E1462" s="63">
        <f>'Padrão EPP'!E1462/2</f>
        <v>0</v>
      </c>
      <c r="F1462" s="67">
        <v>3.0000000000000001E-3</v>
      </c>
      <c r="G1462" s="67">
        <v>2E-3</v>
      </c>
      <c r="H1462" s="63"/>
    </row>
    <row r="1463" spans="1:8" x14ac:dyDescent="0.25">
      <c r="A1463" s="63"/>
      <c r="B1463" s="63">
        <f>'Padrão EPP'!B1463</f>
        <v>0</v>
      </c>
      <c r="C1463" s="63" t="str">
        <f>'Padrão EPP'!C1463</f>
        <v>MT</v>
      </c>
      <c r="D1463" s="63" t="str">
        <f>'Padrão EPP'!D1463</f>
        <v>INTERIOR II</v>
      </c>
      <c r="E1463" s="63">
        <f>'Padrão EPP'!E1463/2</f>
        <v>1.5214394455252955</v>
      </c>
      <c r="F1463" s="67">
        <v>3.0000000000000001E-3</v>
      </c>
      <c r="G1463" s="67">
        <v>2E-3</v>
      </c>
      <c r="H1463" s="63"/>
    </row>
    <row r="1464" spans="1:8" x14ac:dyDescent="0.25">
      <c r="A1464" s="63"/>
      <c r="B1464" s="63">
        <f>'Padrão EPP'!B1464</f>
        <v>0.25</v>
      </c>
      <c r="C1464" s="63" t="str">
        <f>'Padrão EPP'!C1464</f>
        <v>MT</v>
      </c>
      <c r="D1464" s="63" t="str">
        <f>'Padrão EPP'!D1464</f>
        <v>REDESPACHO</v>
      </c>
      <c r="E1464" s="63">
        <f>'Padrão EPP'!E1464/2</f>
        <v>20.60354036602812</v>
      </c>
      <c r="F1464" s="67">
        <v>3.0000000000000001E-3</v>
      </c>
      <c r="G1464" s="67">
        <v>2E-3</v>
      </c>
      <c r="H1464" s="63"/>
    </row>
    <row r="1465" spans="1:8" x14ac:dyDescent="0.25">
      <c r="A1465" s="63"/>
      <c r="B1465" s="63">
        <f>'Padrão EPP'!B1465</f>
        <v>0.5</v>
      </c>
      <c r="C1465" s="63" t="str">
        <f>'Padrão EPP'!C1465</f>
        <v>MT</v>
      </c>
      <c r="D1465" s="63" t="str">
        <f>'Padrão EPP'!D1465</f>
        <v>REDESPACHO</v>
      </c>
      <c r="E1465" s="63">
        <f>'Padrão EPP'!E1465/2</f>
        <v>21.078631254716683</v>
      </c>
      <c r="F1465" s="67">
        <v>3.0000000000000001E-3</v>
      </c>
      <c r="G1465" s="67">
        <v>2E-3</v>
      </c>
      <c r="H1465" s="63"/>
    </row>
    <row r="1466" spans="1:8" x14ac:dyDescent="0.25">
      <c r="A1466" s="63"/>
      <c r="B1466" s="63">
        <f>'Padrão EPP'!B1466</f>
        <v>0.75</v>
      </c>
      <c r="C1466" s="63" t="str">
        <f>'Padrão EPP'!C1466</f>
        <v>MT</v>
      </c>
      <c r="D1466" s="63" t="str">
        <f>'Padrão EPP'!D1466</f>
        <v>REDESPACHO</v>
      </c>
      <c r="E1466" s="63">
        <f>'Padrão EPP'!E1466/2</f>
        <v>22.281325062829453</v>
      </c>
      <c r="F1466" s="67">
        <v>3.0000000000000001E-3</v>
      </c>
      <c r="G1466" s="67">
        <v>2E-3</v>
      </c>
      <c r="H1466" s="63"/>
    </row>
    <row r="1467" spans="1:8" x14ac:dyDescent="0.25">
      <c r="A1467" s="63"/>
      <c r="B1467" s="63">
        <f>'Padrão EPP'!B1467</f>
        <v>1</v>
      </c>
      <c r="C1467" s="63" t="str">
        <f>'Padrão EPP'!C1467</f>
        <v>MT</v>
      </c>
      <c r="D1467" s="63" t="str">
        <f>'Padrão EPP'!D1467</f>
        <v>REDESPACHO</v>
      </c>
      <c r="E1467" s="63">
        <f>'Padrão EPP'!E1467/2</f>
        <v>22.387171953309799</v>
      </c>
      <c r="F1467" s="67">
        <v>3.0000000000000001E-3</v>
      </c>
      <c r="G1467" s="67">
        <v>2E-3</v>
      </c>
      <c r="H1467" s="63"/>
    </row>
    <row r="1468" spans="1:8" x14ac:dyDescent="0.25">
      <c r="A1468" s="63"/>
      <c r="B1468" s="63">
        <f>'Padrão EPP'!B1468</f>
        <v>2</v>
      </c>
      <c r="C1468" s="63" t="str">
        <f>'Padrão EPP'!C1468</f>
        <v>MT</v>
      </c>
      <c r="D1468" s="63" t="str">
        <f>'Padrão EPP'!D1468</f>
        <v>REDESPACHO</v>
      </c>
      <c r="E1468" s="63">
        <f>'Padrão EPP'!E1468/2</f>
        <v>23.705013062980804</v>
      </c>
      <c r="F1468" s="67">
        <v>3.0000000000000001E-3</v>
      </c>
      <c r="G1468" s="67">
        <v>2E-3</v>
      </c>
      <c r="H1468" s="63"/>
    </row>
    <row r="1469" spans="1:8" x14ac:dyDescent="0.25">
      <c r="A1469" s="63"/>
      <c r="B1469" s="63">
        <f>'Padrão EPP'!B1469</f>
        <v>3</v>
      </c>
      <c r="C1469" s="63" t="str">
        <f>'Padrão EPP'!C1469</f>
        <v>MT</v>
      </c>
      <c r="D1469" s="63" t="str">
        <f>'Padrão EPP'!D1469</f>
        <v>REDESPACHO</v>
      </c>
      <c r="E1469" s="63">
        <f>'Padrão EPP'!E1469/2</f>
        <v>25.985098631564057</v>
      </c>
      <c r="F1469" s="67">
        <v>3.0000000000000001E-3</v>
      </c>
      <c r="G1469" s="67">
        <v>2E-3</v>
      </c>
      <c r="H1469" s="63"/>
    </row>
    <row r="1470" spans="1:8" x14ac:dyDescent="0.25">
      <c r="A1470" s="63"/>
      <c r="B1470" s="63">
        <f>'Padrão EPP'!B1470</f>
        <v>4</v>
      </c>
      <c r="C1470" s="63" t="str">
        <f>'Padrão EPP'!C1470</f>
        <v>MT</v>
      </c>
      <c r="D1470" s="63" t="str">
        <f>'Padrão EPP'!D1470</f>
        <v>REDESPACHO</v>
      </c>
      <c r="E1470" s="63">
        <f>'Padrão EPP'!E1470/2</f>
        <v>28.590066761700097</v>
      </c>
      <c r="F1470" s="67">
        <v>3.0000000000000001E-3</v>
      </c>
      <c r="G1470" s="67">
        <v>2E-3</v>
      </c>
      <c r="H1470" s="63"/>
    </row>
    <row r="1471" spans="1:8" x14ac:dyDescent="0.25">
      <c r="A1471" s="63"/>
      <c r="B1471" s="63">
        <f>'Padrão EPP'!B1471</f>
        <v>5</v>
      </c>
      <c r="C1471" s="63" t="str">
        <f>'Padrão EPP'!C1471</f>
        <v>MT</v>
      </c>
      <c r="D1471" s="63" t="str">
        <f>'Padrão EPP'!D1471</f>
        <v>REDESPACHO</v>
      </c>
      <c r="E1471" s="63">
        <f>'Padrão EPP'!E1471/2</f>
        <v>31.10274887108741</v>
      </c>
      <c r="F1471" s="67">
        <v>3.0000000000000001E-3</v>
      </c>
      <c r="G1471" s="67">
        <v>2E-3</v>
      </c>
      <c r="H1471" s="63"/>
    </row>
    <row r="1472" spans="1:8" x14ac:dyDescent="0.25">
      <c r="A1472" s="63"/>
      <c r="B1472" s="63">
        <f>'Padrão EPP'!B1472</f>
        <v>6</v>
      </c>
      <c r="C1472" s="63" t="str">
        <f>'Padrão EPP'!C1472</f>
        <v>MT</v>
      </c>
      <c r="D1472" s="63" t="str">
        <f>'Padrão EPP'!D1472</f>
        <v>REDESPACHO</v>
      </c>
      <c r="E1472" s="63">
        <f>'Padrão EPP'!E1472/2</f>
        <v>33.882037575490081</v>
      </c>
      <c r="F1472" s="67">
        <v>3.0000000000000001E-3</v>
      </c>
      <c r="G1472" s="67">
        <v>2E-3</v>
      </c>
      <c r="H1472" s="63"/>
    </row>
    <row r="1473" spans="1:8" x14ac:dyDescent="0.25">
      <c r="A1473" s="63"/>
      <c r="B1473" s="63">
        <f>'Padrão EPP'!B1473</f>
        <v>7</v>
      </c>
      <c r="C1473" s="63" t="str">
        <f>'Padrão EPP'!C1473</f>
        <v>MT</v>
      </c>
      <c r="D1473" s="63" t="str">
        <f>'Padrão EPP'!D1473</f>
        <v>REDESPACHO</v>
      </c>
      <c r="E1473" s="63">
        <f>'Padrão EPP'!E1473/2</f>
        <v>37.672926395189023</v>
      </c>
      <c r="F1473" s="67">
        <v>3.0000000000000001E-3</v>
      </c>
      <c r="G1473" s="67">
        <v>2E-3</v>
      </c>
      <c r="H1473" s="63"/>
    </row>
    <row r="1474" spans="1:8" x14ac:dyDescent="0.25">
      <c r="A1474" s="63"/>
      <c r="B1474" s="63">
        <f>'Padrão EPP'!B1474</f>
        <v>8</v>
      </c>
      <c r="C1474" s="63" t="str">
        <f>'Padrão EPP'!C1474</f>
        <v>MT</v>
      </c>
      <c r="D1474" s="63" t="str">
        <f>'Padrão EPP'!D1474</f>
        <v>REDESPACHO</v>
      </c>
      <c r="E1474" s="63">
        <f>'Padrão EPP'!E1474/2</f>
        <v>40.686198312616042</v>
      </c>
      <c r="F1474" s="67">
        <v>3.0000000000000001E-3</v>
      </c>
      <c r="G1474" s="67">
        <v>2E-3</v>
      </c>
      <c r="H1474" s="63"/>
    </row>
    <row r="1475" spans="1:8" x14ac:dyDescent="0.25">
      <c r="A1475" s="63"/>
      <c r="B1475" s="63">
        <f>'Padrão EPP'!B1475</f>
        <v>9</v>
      </c>
      <c r="C1475" s="63" t="str">
        <f>'Padrão EPP'!C1475</f>
        <v>MT</v>
      </c>
      <c r="D1475" s="63" t="str">
        <f>'Padrão EPP'!D1475</f>
        <v>REDESPACHO</v>
      </c>
      <c r="E1475" s="63">
        <f>'Padrão EPP'!E1475/2</f>
        <v>44.02261212506199</v>
      </c>
      <c r="F1475" s="67">
        <v>3.0000000000000001E-3</v>
      </c>
      <c r="G1475" s="67">
        <v>2E-3</v>
      </c>
      <c r="H1475" s="63"/>
    </row>
    <row r="1476" spans="1:8" x14ac:dyDescent="0.25">
      <c r="A1476" s="63"/>
      <c r="B1476" s="63">
        <f>'Padrão EPP'!B1476</f>
        <v>10</v>
      </c>
      <c r="C1476" s="63" t="str">
        <f>'Padrão EPP'!C1476</f>
        <v>MT</v>
      </c>
      <c r="D1476" s="63" t="str">
        <f>'Padrão EPP'!D1476</f>
        <v>REDESPACHO</v>
      </c>
      <c r="E1476" s="63">
        <f>'Padrão EPP'!E1476/2</f>
        <v>47.48453516708242</v>
      </c>
      <c r="F1476" s="67">
        <v>3.0000000000000001E-3</v>
      </c>
      <c r="G1476" s="67">
        <v>2E-3</v>
      </c>
      <c r="H1476" s="63"/>
    </row>
    <row r="1477" spans="1:8" x14ac:dyDescent="0.25">
      <c r="A1477" s="63"/>
      <c r="B1477" s="63">
        <f>'Padrão EPP'!B1477</f>
        <v>11</v>
      </c>
      <c r="C1477" s="63" t="str">
        <f>'Padrão EPP'!C1477</f>
        <v>MT</v>
      </c>
      <c r="D1477" s="63" t="str">
        <f>'Padrão EPP'!D1477</f>
        <v>REDESPACHO</v>
      </c>
      <c r="E1477" s="63">
        <f>'Padrão EPP'!E1477/2</f>
        <v>0</v>
      </c>
      <c r="F1477" s="67">
        <v>3.0000000000000001E-3</v>
      </c>
      <c r="G1477" s="67">
        <v>2E-3</v>
      </c>
      <c r="H1477" s="63"/>
    </row>
    <row r="1478" spans="1:8" x14ac:dyDescent="0.25">
      <c r="A1478" s="63"/>
      <c r="B1478" s="63">
        <f>'Padrão EPP'!B1478</f>
        <v>12</v>
      </c>
      <c r="C1478" s="63" t="str">
        <f>'Padrão EPP'!C1478</f>
        <v>MT</v>
      </c>
      <c r="D1478" s="63" t="str">
        <f>'Padrão EPP'!D1478</f>
        <v>REDESPACHO</v>
      </c>
      <c r="E1478" s="63">
        <f>'Padrão EPP'!E1478/2</f>
        <v>0</v>
      </c>
      <c r="F1478" s="67">
        <v>3.0000000000000001E-3</v>
      </c>
      <c r="G1478" s="67">
        <v>2E-3</v>
      </c>
      <c r="H1478" s="63"/>
    </row>
    <row r="1479" spans="1:8" x14ac:dyDescent="0.25">
      <c r="A1479" s="63"/>
      <c r="B1479" s="63">
        <f>'Padrão EPP'!B1479</f>
        <v>13</v>
      </c>
      <c r="C1479" s="63" t="str">
        <f>'Padrão EPP'!C1479</f>
        <v>MT</v>
      </c>
      <c r="D1479" s="63" t="str">
        <f>'Padrão EPP'!D1479</f>
        <v>REDESPACHO</v>
      </c>
      <c r="E1479" s="63">
        <f>'Padrão EPP'!E1479/2</f>
        <v>0</v>
      </c>
      <c r="F1479" s="67">
        <v>3.0000000000000001E-3</v>
      </c>
      <c r="G1479" s="67">
        <v>2E-3</v>
      </c>
      <c r="H1479" s="63"/>
    </row>
    <row r="1480" spans="1:8" x14ac:dyDescent="0.25">
      <c r="A1480" s="63"/>
      <c r="B1480" s="63">
        <f>'Padrão EPP'!B1480</f>
        <v>14</v>
      </c>
      <c r="C1480" s="63" t="str">
        <f>'Padrão EPP'!C1480</f>
        <v>MT</v>
      </c>
      <c r="D1480" s="63" t="str">
        <f>'Padrão EPP'!D1480</f>
        <v>REDESPACHO</v>
      </c>
      <c r="E1480" s="63">
        <f>'Padrão EPP'!E1480/2</f>
        <v>0</v>
      </c>
      <c r="F1480" s="67">
        <v>3.0000000000000001E-3</v>
      </c>
      <c r="G1480" s="67">
        <v>2E-3</v>
      </c>
      <c r="H1480" s="63"/>
    </row>
    <row r="1481" spans="1:8" x14ac:dyDescent="0.25">
      <c r="A1481" s="63"/>
      <c r="B1481" s="63">
        <f>'Padrão EPP'!B1481</f>
        <v>15</v>
      </c>
      <c r="C1481" s="63" t="str">
        <f>'Padrão EPP'!C1481</f>
        <v>MT</v>
      </c>
      <c r="D1481" s="63" t="str">
        <f>'Padrão EPP'!D1481</f>
        <v>REDESPACHO</v>
      </c>
      <c r="E1481" s="63">
        <f>'Padrão EPP'!E1481/2</f>
        <v>0</v>
      </c>
      <c r="F1481" s="67">
        <v>3.0000000000000001E-3</v>
      </c>
      <c r="G1481" s="67">
        <v>2E-3</v>
      </c>
      <c r="H1481" s="63"/>
    </row>
    <row r="1482" spans="1:8" x14ac:dyDescent="0.25">
      <c r="A1482" s="63"/>
      <c r="B1482" s="63">
        <f>'Padrão EPP'!B1482</f>
        <v>16</v>
      </c>
      <c r="C1482" s="63" t="str">
        <f>'Padrão EPP'!C1482</f>
        <v>MT</v>
      </c>
      <c r="D1482" s="63" t="str">
        <f>'Padrão EPP'!D1482</f>
        <v>REDESPACHO</v>
      </c>
      <c r="E1482" s="63">
        <f>'Padrão EPP'!E1482/2</f>
        <v>0</v>
      </c>
      <c r="F1482" s="67">
        <v>3.0000000000000001E-3</v>
      </c>
      <c r="G1482" s="67">
        <v>2E-3</v>
      </c>
      <c r="H1482" s="63"/>
    </row>
    <row r="1483" spans="1:8" x14ac:dyDescent="0.25">
      <c r="A1483" s="63"/>
      <c r="B1483" s="63">
        <f>'Padrão EPP'!B1483</f>
        <v>17</v>
      </c>
      <c r="C1483" s="63" t="str">
        <f>'Padrão EPP'!C1483</f>
        <v>MT</v>
      </c>
      <c r="D1483" s="63" t="str">
        <f>'Padrão EPP'!D1483</f>
        <v>REDESPACHO</v>
      </c>
      <c r="E1483" s="63">
        <f>'Padrão EPP'!E1483/2</f>
        <v>0</v>
      </c>
      <c r="F1483" s="67">
        <v>3.0000000000000001E-3</v>
      </c>
      <c r="G1483" s="67">
        <v>2E-3</v>
      </c>
      <c r="H1483" s="63"/>
    </row>
    <row r="1484" spans="1:8" x14ac:dyDescent="0.25">
      <c r="A1484" s="63"/>
      <c r="B1484" s="63">
        <f>'Padrão EPP'!B1484</f>
        <v>18</v>
      </c>
      <c r="C1484" s="63" t="str">
        <f>'Padrão EPP'!C1484</f>
        <v>MT</v>
      </c>
      <c r="D1484" s="63" t="str">
        <f>'Padrão EPP'!D1484</f>
        <v>REDESPACHO</v>
      </c>
      <c r="E1484" s="63">
        <f>'Padrão EPP'!E1484/2</f>
        <v>0</v>
      </c>
      <c r="F1484" s="67">
        <v>3.0000000000000001E-3</v>
      </c>
      <c r="G1484" s="67">
        <v>2E-3</v>
      </c>
      <c r="H1484" s="63"/>
    </row>
    <row r="1485" spans="1:8" x14ac:dyDescent="0.25">
      <c r="A1485" s="63"/>
      <c r="B1485" s="63">
        <f>'Padrão EPP'!B1485</f>
        <v>19</v>
      </c>
      <c r="C1485" s="63" t="str">
        <f>'Padrão EPP'!C1485</f>
        <v>MT</v>
      </c>
      <c r="D1485" s="63" t="str">
        <f>'Padrão EPP'!D1485</f>
        <v>REDESPACHO</v>
      </c>
      <c r="E1485" s="63">
        <f>'Padrão EPP'!E1485/2</f>
        <v>0</v>
      </c>
      <c r="F1485" s="67">
        <v>3.0000000000000001E-3</v>
      </c>
      <c r="G1485" s="67">
        <v>2E-3</v>
      </c>
      <c r="H1485" s="63"/>
    </row>
    <row r="1486" spans="1:8" x14ac:dyDescent="0.25">
      <c r="A1486" s="63"/>
      <c r="B1486" s="63">
        <f>'Padrão EPP'!B1486</f>
        <v>20</v>
      </c>
      <c r="C1486" s="63" t="str">
        <f>'Padrão EPP'!C1486</f>
        <v>MT</v>
      </c>
      <c r="D1486" s="63" t="str">
        <f>'Padrão EPP'!D1486</f>
        <v>REDESPACHO</v>
      </c>
      <c r="E1486" s="63">
        <f>'Padrão EPP'!E1486/2</f>
        <v>0</v>
      </c>
      <c r="F1486" s="67">
        <v>3.0000000000000001E-3</v>
      </c>
      <c r="G1486" s="67">
        <v>2E-3</v>
      </c>
      <c r="H1486" s="63"/>
    </row>
    <row r="1487" spans="1:8" x14ac:dyDescent="0.25">
      <c r="A1487" s="63"/>
      <c r="B1487" s="63">
        <f>'Padrão EPP'!B1487</f>
        <v>21</v>
      </c>
      <c r="C1487" s="63" t="str">
        <f>'Padrão EPP'!C1487</f>
        <v>MT</v>
      </c>
      <c r="D1487" s="63" t="str">
        <f>'Padrão EPP'!D1487</f>
        <v>REDESPACHO</v>
      </c>
      <c r="E1487" s="63">
        <f>'Padrão EPP'!E1487/2</f>
        <v>0</v>
      </c>
      <c r="F1487" s="67">
        <v>3.0000000000000001E-3</v>
      </c>
      <c r="G1487" s="67">
        <v>2E-3</v>
      </c>
      <c r="H1487" s="63"/>
    </row>
    <row r="1488" spans="1:8" x14ac:dyDescent="0.25">
      <c r="A1488" s="63"/>
      <c r="B1488" s="63">
        <f>'Padrão EPP'!B1488</f>
        <v>22</v>
      </c>
      <c r="C1488" s="63" t="str">
        <f>'Padrão EPP'!C1488</f>
        <v>MT</v>
      </c>
      <c r="D1488" s="63" t="str">
        <f>'Padrão EPP'!D1488</f>
        <v>REDESPACHO</v>
      </c>
      <c r="E1488" s="63">
        <f>'Padrão EPP'!E1488/2</f>
        <v>0</v>
      </c>
      <c r="F1488" s="67">
        <v>3.0000000000000001E-3</v>
      </c>
      <c r="G1488" s="67">
        <v>2E-3</v>
      </c>
      <c r="H1488" s="63"/>
    </row>
    <row r="1489" spans="1:8" x14ac:dyDescent="0.25">
      <c r="A1489" s="63"/>
      <c r="B1489" s="63">
        <f>'Padrão EPP'!B1489</f>
        <v>23</v>
      </c>
      <c r="C1489" s="63" t="str">
        <f>'Padrão EPP'!C1489</f>
        <v>MT</v>
      </c>
      <c r="D1489" s="63" t="str">
        <f>'Padrão EPP'!D1489</f>
        <v>REDESPACHO</v>
      </c>
      <c r="E1489" s="63">
        <f>'Padrão EPP'!E1489/2</f>
        <v>0</v>
      </c>
      <c r="F1489" s="67">
        <v>3.0000000000000001E-3</v>
      </c>
      <c r="G1489" s="67">
        <v>2E-3</v>
      </c>
      <c r="H1489" s="63"/>
    </row>
    <row r="1490" spans="1:8" x14ac:dyDescent="0.25">
      <c r="A1490" s="63"/>
      <c r="B1490" s="63">
        <f>'Padrão EPP'!B1490</f>
        <v>24</v>
      </c>
      <c r="C1490" s="63" t="str">
        <f>'Padrão EPP'!C1490</f>
        <v>MT</v>
      </c>
      <c r="D1490" s="63" t="str">
        <f>'Padrão EPP'!D1490</f>
        <v>REDESPACHO</v>
      </c>
      <c r="E1490" s="63">
        <f>'Padrão EPP'!E1490/2</f>
        <v>0</v>
      </c>
      <c r="F1490" s="67">
        <v>3.0000000000000001E-3</v>
      </c>
      <c r="G1490" s="67">
        <v>2E-3</v>
      </c>
      <c r="H1490" s="63"/>
    </row>
    <row r="1491" spans="1:8" x14ac:dyDescent="0.25">
      <c r="A1491" s="63"/>
      <c r="B1491" s="63">
        <f>'Padrão EPP'!B1491</f>
        <v>25</v>
      </c>
      <c r="C1491" s="63" t="str">
        <f>'Padrão EPP'!C1491</f>
        <v>MT</v>
      </c>
      <c r="D1491" s="63" t="str">
        <f>'Padrão EPP'!D1491</f>
        <v>REDESPACHO</v>
      </c>
      <c r="E1491" s="63">
        <f>'Padrão EPP'!E1491/2</f>
        <v>0</v>
      </c>
      <c r="F1491" s="67">
        <v>3.0000000000000001E-3</v>
      </c>
      <c r="G1491" s="67">
        <v>2E-3</v>
      </c>
      <c r="H1491" s="63"/>
    </row>
    <row r="1492" spans="1:8" x14ac:dyDescent="0.25">
      <c r="A1492" s="63"/>
      <c r="B1492" s="63">
        <f>'Padrão EPP'!B1492</f>
        <v>26</v>
      </c>
      <c r="C1492" s="63" t="str">
        <f>'Padrão EPP'!C1492</f>
        <v>MT</v>
      </c>
      <c r="D1492" s="63" t="str">
        <f>'Padrão EPP'!D1492</f>
        <v>REDESPACHO</v>
      </c>
      <c r="E1492" s="63">
        <f>'Padrão EPP'!E1492/2</f>
        <v>0</v>
      </c>
      <c r="F1492" s="67">
        <v>3.0000000000000001E-3</v>
      </c>
      <c r="G1492" s="67">
        <v>2E-3</v>
      </c>
      <c r="H1492" s="63"/>
    </row>
    <row r="1493" spans="1:8" x14ac:dyDescent="0.25">
      <c r="A1493" s="63"/>
      <c r="B1493" s="63">
        <f>'Padrão EPP'!B1493</f>
        <v>27</v>
      </c>
      <c r="C1493" s="63" t="str">
        <f>'Padrão EPP'!C1493</f>
        <v>MT</v>
      </c>
      <c r="D1493" s="63" t="str">
        <f>'Padrão EPP'!D1493</f>
        <v>REDESPACHO</v>
      </c>
      <c r="E1493" s="63">
        <f>'Padrão EPP'!E1493/2</f>
        <v>0</v>
      </c>
      <c r="F1493" s="67">
        <v>3.0000000000000001E-3</v>
      </c>
      <c r="G1493" s="67">
        <v>2E-3</v>
      </c>
      <c r="H1493" s="63"/>
    </row>
    <row r="1494" spans="1:8" x14ac:dyDescent="0.25">
      <c r="A1494" s="63"/>
      <c r="B1494" s="63">
        <f>'Padrão EPP'!B1494</f>
        <v>28</v>
      </c>
      <c r="C1494" s="63" t="str">
        <f>'Padrão EPP'!C1494</f>
        <v>MT</v>
      </c>
      <c r="D1494" s="63" t="str">
        <f>'Padrão EPP'!D1494</f>
        <v>REDESPACHO</v>
      </c>
      <c r="E1494" s="63">
        <f>'Padrão EPP'!E1494/2</f>
        <v>0</v>
      </c>
      <c r="F1494" s="67">
        <v>3.0000000000000001E-3</v>
      </c>
      <c r="G1494" s="67">
        <v>2E-3</v>
      </c>
      <c r="H1494" s="63"/>
    </row>
    <row r="1495" spans="1:8" x14ac:dyDescent="0.25">
      <c r="A1495" s="63"/>
      <c r="B1495" s="63">
        <f>'Padrão EPP'!B1495</f>
        <v>29</v>
      </c>
      <c r="C1495" s="63" t="str">
        <f>'Padrão EPP'!C1495</f>
        <v>MT</v>
      </c>
      <c r="D1495" s="63" t="str">
        <f>'Padrão EPP'!D1495</f>
        <v>REDESPACHO</v>
      </c>
      <c r="E1495" s="63">
        <f>'Padrão EPP'!E1495/2</f>
        <v>0</v>
      </c>
      <c r="F1495" s="67">
        <v>3.0000000000000001E-3</v>
      </c>
      <c r="G1495" s="67">
        <v>2E-3</v>
      </c>
      <c r="H1495" s="63"/>
    </row>
    <row r="1496" spans="1:8" x14ac:dyDescent="0.25">
      <c r="A1496" s="63"/>
      <c r="B1496" s="63">
        <f>'Padrão EPP'!B1496</f>
        <v>30</v>
      </c>
      <c r="C1496" s="63" t="str">
        <f>'Padrão EPP'!C1496</f>
        <v>MT</v>
      </c>
      <c r="D1496" s="63" t="str">
        <f>'Padrão EPP'!D1496</f>
        <v>REDESPACHO</v>
      </c>
      <c r="E1496" s="63">
        <f>'Padrão EPP'!E1496/2</f>
        <v>0</v>
      </c>
      <c r="F1496" s="67">
        <v>3.0000000000000001E-3</v>
      </c>
      <c r="G1496" s="67">
        <v>2E-3</v>
      </c>
      <c r="H1496" s="63"/>
    </row>
    <row r="1497" spans="1:8" x14ac:dyDescent="0.25">
      <c r="A1497" s="63"/>
      <c r="B1497" s="63">
        <f>'Padrão EPP'!B1497</f>
        <v>0</v>
      </c>
      <c r="C1497" s="63" t="str">
        <f>'Padrão EPP'!C1497</f>
        <v>MT</v>
      </c>
      <c r="D1497" s="63" t="str">
        <f>'Padrão EPP'!D1497</f>
        <v>REDESPACHO</v>
      </c>
      <c r="E1497" s="63">
        <f>'Padrão EPP'!E1497/2</f>
        <v>1.5214394455252955</v>
      </c>
      <c r="F1497" s="67">
        <v>3.0000000000000001E-3</v>
      </c>
      <c r="G1497" s="67">
        <v>2E-3</v>
      </c>
      <c r="H1497" s="63"/>
    </row>
    <row r="1498" spans="1:8" x14ac:dyDescent="0.25">
      <c r="A1498" s="63"/>
      <c r="B1498" s="63">
        <f>'Padrão EPP'!B1498</f>
        <v>0.25</v>
      </c>
      <c r="C1498" s="63" t="str">
        <f>'Padrão EPP'!C1498</f>
        <v>AC</v>
      </c>
      <c r="D1498" s="63" t="str">
        <f>'Padrão EPP'!D1498</f>
        <v>CAPITAL</v>
      </c>
      <c r="E1498" s="63">
        <f>'Padrão EPP'!E1498/2</f>
        <v>15.882268383536235</v>
      </c>
      <c r="F1498" s="67">
        <v>3.0000000000000001E-3</v>
      </c>
      <c r="G1498" s="67">
        <v>2E-3</v>
      </c>
      <c r="H1498" s="63"/>
    </row>
    <row r="1499" spans="1:8" x14ac:dyDescent="0.25">
      <c r="A1499" s="63"/>
      <c r="B1499" s="63">
        <f>'Padrão EPP'!B1499</f>
        <v>0.5</v>
      </c>
      <c r="C1499" s="63" t="str">
        <f>'Padrão EPP'!C1499</f>
        <v>AC</v>
      </c>
      <c r="D1499" s="63" t="str">
        <f>'Padrão EPP'!D1499</f>
        <v>CAPITAL</v>
      </c>
      <c r="E1499" s="63">
        <f>'Padrão EPP'!E1499/2</f>
        <v>16.137705470945239</v>
      </c>
      <c r="F1499" s="67">
        <v>3.0000000000000001E-3</v>
      </c>
      <c r="G1499" s="67">
        <v>2E-3</v>
      </c>
      <c r="H1499" s="63"/>
    </row>
    <row r="1500" spans="1:8" x14ac:dyDescent="0.25">
      <c r="A1500" s="63"/>
      <c r="B1500" s="63">
        <f>'Padrão EPP'!B1500</f>
        <v>0.75</v>
      </c>
      <c r="C1500" s="63" t="str">
        <f>'Padrão EPP'!C1500</f>
        <v>AC</v>
      </c>
      <c r="D1500" s="63" t="str">
        <f>'Padrão EPP'!D1500</f>
        <v>CAPITAL</v>
      </c>
      <c r="E1500" s="63">
        <f>'Padrão EPP'!E1500/2</f>
        <v>16.305644873831238</v>
      </c>
      <c r="F1500" s="67">
        <v>3.0000000000000001E-3</v>
      </c>
      <c r="G1500" s="67">
        <v>2E-3</v>
      </c>
      <c r="H1500" s="63"/>
    </row>
    <row r="1501" spans="1:8" x14ac:dyDescent="0.25">
      <c r="A1501" s="63"/>
      <c r="B1501" s="63">
        <f>'Padrão EPP'!B1501</f>
        <v>1</v>
      </c>
      <c r="C1501" s="63" t="str">
        <f>'Padrão EPP'!C1501</f>
        <v>AC</v>
      </c>
      <c r="D1501" s="63" t="str">
        <f>'Padrão EPP'!D1501</f>
        <v>CAPITAL</v>
      </c>
      <c r="E1501" s="63">
        <f>'Padrão EPP'!E1501/2</f>
        <v>16.526804457923131</v>
      </c>
      <c r="F1501" s="67">
        <v>3.0000000000000001E-3</v>
      </c>
      <c r="G1501" s="67">
        <v>2E-3</v>
      </c>
      <c r="H1501" s="63"/>
    </row>
    <row r="1502" spans="1:8" x14ac:dyDescent="0.25">
      <c r="A1502" s="63"/>
      <c r="B1502" s="63">
        <f>'Padrão EPP'!B1502</f>
        <v>2</v>
      </c>
      <c r="C1502" s="63" t="str">
        <f>'Padrão EPP'!C1502</f>
        <v>AC</v>
      </c>
      <c r="D1502" s="63" t="str">
        <f>'Padrão EPP'!D1502</f>
        <v>CAPITAL</v>
      </c>
      <c r="E1502" s="63">
        <f>'Padrão EPP'!E1502/2</f>
        <v>23.394497747546083</v>
      </c>
      <c r="F1502" s="67">
        <v>3.0000000000000001E-3</v>
      </c>
      <c r="G1502" s="67">
        <v>2E-3</v>
      </c>
      <c r="H1502" s="63"/>
    </row>
    <row r="1503" spans="1:8" x14ac:dyDescent="0.25">
      <c r="A1503" s="63"/>
      <c r="B1503" s="63">
        <f>'Padrão EPP'!B1503</f>
        <v>3</v>
      </c>
      <c r="C1503" s="63" t="str">
        <f>'Padrão EPP'!C1503</f>
        <v>AC</v>
      </c>
      <c r="D1503" s="63" t="str">
        <f>'Padrão EPP'!D1503</f>
        <v>CAPITAL</v>
      </c>
      <c r="E1503" s="63">
        <f>'Padrão EPP'!E1503/2</f>
        <v>30.812814114059336</v>
      </c>
      <c r="F1503" s="67">
        <v>3.0000000000000001E-3</v>
      </c>
      <c r="G1503" s="67">
        <v>2E-3</v>
      </c>
      <c r="H1503" s="63"/>
    </row>
    <row r="1504" spans="1:8" x14ac:dyDescent="0.25">
      <c r="A1504" s="63"/>
      <c r="B1504" s="63">
        <f>'Padrão EPP'!B1504</f>
        <v>4</v>
      </c>
      <c r="C1504" s="63" t="str">
        <f>'Padrão EPP'!C1504</f>
        <v>AC</v>
      </c>
      <c r="D1504" s="63" t="str">
        <f>'Padrão EPP'!D1504</f>
        <v>CAPITAL</v>
      </c>
      <c r="E1504" s="63">
        <f>'Padrão EPP'!E1504/2</f>
        <v>38.365880557910735</v>
      </c>
      <c r="F1504" s="67">
        <v>3.0000000000000001E-3</v>
      </c>
      <c r="G1504" s="67">
        <v>2E-3</v>
      </c>
      <c r="H1504" s="63"/>
    </row>
    <row r="1505" spans="1:8" x14ac:dyDescent="0.25">
      <c r="A1505" s="63"/>
      <c r="B1505" s="63">
        <f>'Padrão EPP'!B1505</f>
        <v>5</v>
      </c>
      <c r="C1505" s="63" t="str">
        <f>'Padrão EPP'!C1505</f>
        <v>AC</v>
      </c>
      <c r="D1505" s="63" t="str">
        <f>'Padrão EPP'!D1505</f>
        <v>CAPITAL</v>
      </c>
      <c r="E1505" s="63">
        <f>'Padrão EPP'!E1505/2</f>
        <v>46.12061908736613</v>
      </c>
      <c r="F1505" s="67">
        <v>3.0000000000000001E-3</v>
      </c>
      <c r="G1505" s="67">
        <v>2E-3</v>
      </c>
      <c r="H1505" s="63"/>
    </row>
    <row r="1506" spans="1:8" x14ac:dyDescent="0.25">
      <c r="A1506" s="63"/>
      <c r="B1506" s="63">
        <f>'Padrão EPP'!B1506</f>
        <v>6</v>
      </c>
      <c r="C1506" s="63" t="str">
        <f>'Padrão EPP'!C1506</f>
        <v>AC</v>
      </c>
      <c r="D1506" s="63" t="str">
        <f>'Padrão EPP'!D1506</f>
        <v>CAPITAL</v>
      </c>
      <c r="E1506" s="63">
        <f>'Padrão EPP'!E1506/2</f>
        <v>53.666151539864657</v>
      </c>
      <c r="F1506" s="67">
        <v>3.0000000000000001E-3</v>
      </c>
      <c r="G1506" s="67">
        <v>2E-3</v>
      </c>
      <c r="H1506" s="63"/>
    </row>
    <row r="1507" spans="1:8" x14ac:dyDescent="0.25">
      <c r="A1507" s="63"/>
      <c r="B1507" s="63">
        <f>'Padrão EPP'!B1507</f>
        <v>7</v>
      </c>
      <c r="C1507" s="63" t="str">
        <f>'Padrão EPP'!C1507</f>
        <v>AC</v>
      </c>
      <c r="D1507" s="63" t="str">
        <f>'Padrão EPP'!D1507</f>
        <v>CAPITAL</v>
      </c>
      <c r="E1507" s="63">
        <f>'Padrão EPP'!E1507/2</f>
        <v>61.281722548561767</v>
      </c>
      <c r="F1507" s="67">
        <v>3.0000000000000001E-3</v>
      </c>
      <c r="G1507" s="67">
        <v>2E-3</v>
      </c>
      <c r="H1507" s="63"/>
    </row>
    <row r="1508" spans="1:8" x14ac:dyDescent="0.25">
      <c r="A1508" s="63"/>
      <c r="B1508" s="63">
        <f>'Padrão EPP'!B1508</f>
        <v>8</v>
      </c>
      <c r="C1508" s="63" t="str">
        <f>'Padrão EPP'!C1508</f>
        <v>AC</v>
      </c>
      <c r="D1508" s="63" t="str">
        <f>'Padrão EPP'!D1508</f>
        <v>CAPITAL</v>
      </c>
      <c r="E1508" s="63">
        <f>'Padrão EPP'!E1508/2</f>
        <v>68.974335969077345</v>
      </c>
      <c r="F1508" s="67">
        <v>3.0000000000000001E-3</v>
      </c>
      <c r="G1508" s="67">
        <v>2E-3</v>
      </c>
      <c r="H1508" s="63"/>
    </row>
    <row r="1509" spans="1:8" x14ac:dyDescent="0.25">
      <c r="A1509" s="63"/>
      <c r="B1509" s="63">
        <f>'Padrão EPP'!B1509</f>
        <v>9</v>
      </c>
      <c r="C1509" s="63" t="str">
        <f>'Padrão EPP'!C1509</f>
        <v>AC</v>
      </c>
      <c r="D1509" s="63" t="str">
        <f>'Padrão EPP'!D1509</f>
        <v>CAPITAL</v>
      </c>
      <c r="E1509" s="63">
        <f>'Padrão EPP'!E1509/2</f>
        <v>76.751696042593252</v>
      </c>
      <c r="F1509" s="67">
        <v>3.0000000000000001E-3</v>
      </c>
      <c r="G1509" s="67">
        <v>2E-3</v>
      </c>
      <c r="H1509" s="63"/>
    </row>
    <row r="1510" spans="1:8" x14ac:dyDescent="0.25">
      <c r="A1510" s="63"/>
      <c r="B1510" s="63">
        <f>'Padrão EPP'!B1510</f>
        <v>10</v>
      </c>
      <c r="C1510" s="63" t="str">
        <f>'Padrão EPP'!C1510</f>
        <v>AC</v>
      </c>
      <c r="D1510" s="63" t="str">
        <f>'Padrão EPP'!D1510</f>
        <v>CAPITAL</v>
      </c>
      <c r="E1510" s="63">
        <f>'Padrão EPP'!E1510/2</f>
        <v>84.138858312366295</v>
      </c>
      <c r="F1510" s="67">
        <v>3.0000000000000001E-3</v>
      </c>
      <c r="G1510" s="67">
        <v>2E-3</v>
      </c>
      <c r="H1510" s="63"/>
    </row>
    <row r="1511" spans="1:8" x14ac:dyDescent="0.25">
      <c r="A1511" s="63"/>
      <c r="B1511" s="63">
        <f>'Padrão EPP'!B1511</f>
        <v>11</v>
      </c>
      <c r="C1511" s="63" t="str">
        <f>'Padrão EPP'!C1511</f>
        <v>AC</v>
      </c>
      <c r="D1511" s="63" t="str">
        <f>'Padrão EPP'!D1511</f>
        <v>CAPITAL</v>
      </c>
      <c r="E1511" s="63">
        <f>'Padrão EPP'!E1511/2</f>
        <v>0</v>
      </c>
      <c r="F1511" s="67">
        <v>3.0000000000000001E-3</v>
      </c>
      <c r="G1511" s="67">
        <v>2E-3</v>
      </c>
      <c r="H1511" s="63"/>
    </row>
    <row r="1512" spans="1:8" x14ac:dyDescent="0.25">
      <c r="A1512" s="63"/>
      <c r="B1512" s="63">
        <f>'Padrão EPP'!B1512</f>
        <v>12</v>
      </c>
      <c r="C1512" s="63" t="str">
        <f>'Padrão EPP'!C1512</f>
        <v>AC</v>
      </c>
      <c r="D1512" s="63" t="str">
        <f>'Padrão EPP'!D1512</f>
        <v>CAPITAL</v>
      </c>
      <c r="E1512" s="63">
        <f>'Padrão EPP'!E1512/2</f>
        <v>0</v>
      </c>
      <c r="F1512" s="67">
        <v>3.0000000000000001E-3</v>
      </c>
      <c r="G1512" s="67">
        <v>2E-3</v>
      </c>
      <c r="H1512" s="63"/>
    </row>
    <row r="1513" spans="1:8" x14ac:dyDescent="0.25">
      <c r="A1513" s="63"/>
      <c r="B1513" s="63">
        <f>'Padrão EPP'!B1513</f>
        <v>13</v>
      </c>
      <c r="C1513" s="63" t="str">
        <f>'Padrão EPP'!C1513</f>
        <v>AC</v>
      </c>
      <c r="D1513" s="63" t="str">
        <f>'Padrão EPP'!D1513</f>
        <v>CAPITAL</v>
      </c>
      <c r="E1513" s="63">
        <f>'Padrão EPP'!E1513/2</f>
        <v>0</v>
      </c>
      <c r="F1513" s="67">
        <v>3.0000000000000001E-3</v>
      </c>
      <c r="G1513" s="67">
        <v>2E-3</v>
      </c>
      <c r="H1513" s="63"/>
    </row>
    <row r="1514" spans="1:8" x14ac:dyDescent="0.25">
      <c r="A1514" s="63"/>
      <c r="B1514" s="63">
        <f>'Padrão EPP'!B1514</f>
        <v>14</v>
      </c>
      <c r="C1514" s="63" t="str">
        <f>'Padrão EPP'!C1514</f>
        <v>AC</v>
      </c>
      <c r="D1514" s="63" t="str">
        <f>'Padrão EPP'!D1514</f>
        <v>CAPITAL</v>
      </c>
      <c r="E1514" s="63">
        <f>'Padrão EPP'!E1514/2</f>
        <v>0</v>
      </c>
      <c r="F1514" s="67">
        <v>3.0000000000000001E-3</v>
      </c>
      <c r="G1514" s="67">
        <v>2E-3</v>
      </c>
      <c r="H1514" s="63"/>
    </row>
    <row r="1515" spans="1:8" x14ac:dyDescent="0.25">
      <c r="A1515" s="63"/>
      <c r="B1515" s="63">
        <f>'Padrão EPP'!B1515</f>
        <v>15</v>
      </c>
      <c r="C1515" s="63" t="str">
        <f>'Padrão EPP'!C1515</f>
        <v>AC</v>
      </c>
      <c r="D1515" s="63" t="str">
        <f>'Padrão EPP'!D1515</f>
        <v>CAPITAL</v>
      </c>
      <c r="E1515" s="63">
        <f>'Padrão EPP'!E1515/2</f>
        <v>0</v>
      </c>
      <c r="F1515" s="67">
        <v>3.0000000000000001E-3</v>
      </c>
      <c r="G1515" s="67">
        <v>2E-3</v>
      </c>
      <c r="H1515" s="63"/>
    </row>
    <row r="1516" spans="1:8" x14ac:dyDescent="0.25">
      <c r="A1516" s="63"/>
      <c r="B1516" s="63">
        <f>'Padrão EPP'!B1516</f>
        <v>16</v>
      </c>
      <c r="C1516" s="63" t="str">
        <f>'Padrão EPP'!C1516</f>
        <v>AC</v>
      </c>
      <c r="D1516" s="63" t="str">
        <f>'Padrão EPP'!D1516</f>
        <v>CAPITAL</v>
      </c>
      <c r="E1516" s="63">
        <f>'Padrão EPP'!E1516/2</f>
        <v>0</v>
      </c>
      <c r="F1516" s="67">
        <v>3.0000000000000001E-3</v>
      </c>
      <c r="G1516" s="67">
        <v>2E-3</v>
      </c>
      <c r="H1516" s="63"/>
    </row>
    <row r="1517" spans="1:8" x14ac:dyDescent="0.25">
      <c r="A1517" s="63"/>
      <c r="B1517" s="63">
        <f>'Padrão EPP'!B1517</f>
        <v>17</v>
      </c>
      <c r="C1517" s="63" t="str">
        <f>'Padrão EPP'!C1517</f>
        <v>AC</v>
      </c>
      <c r="D1517" s="63" t="str">
        <f>'Padrão EPP'!D1517</f>
        <v>CAPITAL</v>
      </c>
      <c r="E1517" s="63">
        <f>'Padrão EPP'!E1517/2</f>
        <v>0</v>
      </c>
      <c r="F1517" s="67">
        <v>3.0000000000000001E-3</v>
      </c>
      <c r="G1517" s="67">
        <v>2E-3</v>
      </c>
      <c r="H1517" s="63"/>
    </row>
    <row r="1518" spans="1:8" x14ac:dyDescent="0.25">
      <c r="A1518" s="63"/>
      <c r="B1518" s="63">
        <f>'Padrão EPP'!B1518</f>
        <v>18</v>
      </c>
      <c r="C1518" s="63" t="str">
        <f>'Padrão EPP'!C1518</f>
        <v>AC</v>
      </c>
      <c r="D1518" s="63" t="str">
        <f>'Padrão EPP'!D1518</f>
        <v>CAPITAL</v>
      </c>
      <c r="E1518" s="63">
        <f>'Padrão EPP'!E1518/2</f>
        <v>0</v>
      </c>
      <c r="F1518" s="67">
        <v>3.0000000000000001E-3</v>
      </c>
      <c r="G1518" s="67">
        <v>2E-3</v>
      </c>
      <c r="H1518" s="63"/>
    </row>
    <row r="1519" spans="1:8" x14ac:dyDescent="0.25">
      <c r="A1519" s="63"/>
      <c r="B1519" s="63">
        <f>'Padrão EPP'!B1519</f>
        <v>19</v>
      </c>
      <c r="C1519" s="63" t="str">
        <f>'Padrão EPP'!C1519</f>
        <v>AC</v>
      </c>
      <c r="D1519" s="63" t="str">
        <f>'Padrão EPP'!D1519</f>
        <v>CAPITAL</v>
      </c>
      <c r="E1519" s="63">
        <f>'Padrão EPP'!E1519/2</f>
        <v>0</v>
      </c>
      <c r="F1519" s="67">
        <v>3.0000000000000001E-3</v>
      </c>
      <c r="G1519" s="67">
        <v>2E-3</v>
      </c>
      <c r="H1519" s="63"/>
    </row>
    <row r="1520" spans="1:8" x14ac:dyDescent="0.25">
      <c r="A1520" s="63"/>
      <c r="B1520" s="63">
        <f>'Padrão EPP'!B1520</f>
        <v>20</v>
      </c>
      <c r="C1520" s="63" t="str">
        <f>'Padrão EPP'!C1520</f>
        <v>AC</v>
      </c>
      <c r="D1520" s="63" t="str">
        <f>'Padrão EPP'!D1520</f>
        <v>CAPITAL</v>
      </c>
      <c r="E1520" s="63">
        <f>'Padrão EPP'!E1520/2</f>
        <v>0</v>
      </c>
      <c r="F1520" s="67">
        <v>3.0000000000000001E-3</v>
      </c>
      <c r="G1520" s="67">
        <v>2E-3</v>
      </c>
      <c r="H1520" s="63"/>
    </row>
    <row r="1521" spans="1:8" x14ac:dyDescent="0.25">
      <c r="A1521" s="63"/>
      <c r="B1521" s="63">
        <f>'Padrão EPP'!B1521</f>
        <v>21</v>
      </c>
      <c r="C1521" s="63" t="str">
        <f>'Padrão EPP'!C1521</f>
        <v>AC</v>
      </c>
      <c r="D1521" s="63" t="str">
        <f>'Padrão EPP'!D1521</f>
        <v>CAPITAL</v>
      </c>
      <c r="E1521" s="63">
        <f>'Padrão EPP'!E1521/2</f>
        <v>0</v>
      </c>
      <c r="F1521" s="67">
        <v>3.0000000000000001E-3</v>
      </c>
      <c r="G1521" s="67">
        <v>2E-3</v>
      </c>
      <c r="H1521" s="63"/>
    </row>
    <row r="1522" spans="1:8" x14ac:dyDescent="0.25">
      <c r="A1522" s="63"/>
      <c r="B1522" s="63">
        <f>'Padrão EPP'!B1522</f>
        <v>22</v>
      </c>
      <c r="C1522" s="63" t="str">
        <f>'Padrão EPP'!C1522</f>
        <v>AC</v>
      </c>
      <c r="D1522" s="63" t="str">
        <f>'Padrão EPP'!D1522</f>
        <v>CAPITAL</v>
      </c>
      <c r="E1522" s="63">
        <f>'Padrão EPP'!E1522/2</f>
        <v>0</v>
      </c>
      <c r="F1522" s="67">
        <v>3.0000000000000001E-3</v>
      </c>
      <c r="G1522" s="67">
        <v>2E-3</v>
      </c>
      <c r="H1522" s="63"/>
    </row>
    <row r="1523" spans="1:8" x14ac:dyDescent="0.25">
      <c r="A1523" s="63"/>
      <c r="B1523" s="63">
        <f>'Padrão EPP'!B1523</f>
        <v>23</v>
      </c>
      <c r="C1523" s="63" t="str">
        <f>'Padrão EPP'!C1523</f>
        <v>AC</v>
      </c>
      <c r="D1523" s="63" t="str">
        <f>'Padrão EPP'!D1523</f>
        <v>CAPITAL</v>
      </c>
      <c r="E1523" s="63">
        <f>'Padrão EPP'!E1523/2</f>
        <v>0</v>
      </c>
      <c r="F1523" s="67">
        <v>3.0000000000000001E-3</v>
      </c>
      <c r="G1523" s="67">
        <v>2E-3</v>
      </c>
      <c r="H1523" s="63"/>
    </row>
    <row r="1524" spans="1:8" x14ac:dyDescent="0.25">
      <c r="A1524" s="63"/>
      <c r="B1524" s="63">
        <f>'Padrão EPP'!B1524</f>
        <v>24</v>
      </c>
      <c r="C1524" s="63" t="str">
        <f>'Padrão EPP'!C1524</f>
        <v>AC</v>
      </c>
      <c r="D1524" s="63" t="str">
        <f>'Padrão EPP'!D1524</f>
        <v>CAPITAL</v>
      </c>
      <c r="E1524" s="63">
        <f>'Padrão EPP'!E1524/2</f>
        <v>0</v>
      </c>
      <c r="F1524" s="67">
        <v>3.0000000000000001E-3</v>
      </c>
      <c r="G1524" s="67">
        <v>2E-3</v>
      </c>
      <c r="H1524" s="63"/>
    </row>
    <row r="1525" spans="1:8" x14ac:dyDescent="0.25">
      <c r="A1525" s="63"/>
      <c r="B1525" s="63">
        <f>'Padrão EPP'!B1525</f>
        <v>25</v>
      </c>
      <c r="C1525" s="63" t="str">
        <f>'Padrão EPP'!C1525</f>
        <v>AC</v>
      </c>
      <c r="D1525" s="63" t="str">
        <f>'Padrão EPP'!D1525</f>
        <v>CAPITAL</v>
      </c>
      <c r="E1525" s="63">
        <f>'Padrão EPP'!E1525/2</f>
        <v>0</v>
      </c>
      <c r="F1525" s="67">
        <v>3.0000000000000001E-3</v>
      </c>
      <c r="G1525" s="67">
        <v>2E-3</v>
      </c>
      <c r="H1525" s="63"/>
    </row>
    <row r="1526" spans="1:8" x14ac:dyDescent="0.25">
      <c r="A1526" s="63"/>
      <c r="B1526" s="63">
        <f>'Padrão EPP'!B1526</f>
        <v>26</v>
      </c>
      <c r="C1526" s="63" t="str">
        <f>'Padrão EPP'!C1526</f>
        <v>AC</v>
      </c>
      <c r="D1526" s="63" t="str">
        <f>'Padrão EPP'!D1526</f>
        <v>CAPITAL</v>
      </c>
      <c r="E1526" s="63">
        <f>'Padrão EPP'!E1526/2</f>
        <v>0</v>
      </c>
      <c r="F1526" s="67">
        <v>3.0000000000000001E-3</v>
      </c>
      <c r="G1526" s="67">
        <v>2E-3</v>
      </c>
      <c r="H1526" s="63"/>
    </row>
    <row r="1527" spans="1:8" x14ac:dyDescent="0.25">
      <c r="A1527" s="63"/>
      <c r="B1527" s="63">
        <f>'Padrão EPP'!B1527</f>
        <v>27</v>
      </c>
      <c r="C1527" s="63" t="str">
        <f>'Padrão EPP'!C1527</f>
        <v>AC</v>
      </c>
      <c r="D1527" s="63" t="str">
        <f>'Padrão EPP'!D1527</f>
        <v>CAPITAL</v>
      </c>
      <c r="E1527" s="63">
        <f>'Padrão EPP'!E1527/2</f>
        <v>0</v>
      </c>
      <c r="F1527" s="67">
        <v>3.0000000000000001E-3</v>
      </c>
      <c r="G1527" s="67">
        <v>2E-3</v>
      </c>
      <c r="H1527" s="63"/>
    </row>
    <row r="1528" spans="1:8" x14ac:dyDescent="0.25">
      <c r="A1528" s="63"/>
      <c r="B1528" s="63">
        <f>'Padrão EPP'!B1528</f>
        <v>28</v>
      </c>
      <c r="C1528" s="63" t="str">
        <f>'Padrão EPP'!C1528</f>
        <v>AC</v>
      </c>
      <c r="D1528" s="63" t="str">
        <f>'Padrão EPP'!D1528</f>
        <v>CAPITAL</v>
      </c>
      <c r="E1528" s="63">
        <f>'Padrão EPP'!E1528/2</f>
        <v>0</v>
      </c>
      <c r="F1528" s="67">
        <v>3.0000000000000001E-3</v>
      </c>
      <c r="G1528" s="67">
        <v>2E-3</v>
      </c>
      <c r="H1528" s="63"/>
    </row>
    <row r="1529" spans="1:8" x14ac:dyDescent="0.25">
      <c r="A1529" s="63"/>
      <c r="B1529" s="63">
        <f>'Padrão EPP'!B1529</f>
        <v>29</v>
      </c>
      <c r="C1529" s="63" t="str">
        <f>'Padrão EPP'!C1529</f>
        <v>AC</v>
      </c>
      <c r="D1529" s="63" t="str">
        <f>'Padrão EPP'!D1529</f>
        <v>CAPITAL</v>
      </c>
      <c r="E1529" s="63">
        <f>'Padrão EPP'!E1529/2</f>
        <v>0</v>
      </c>
      <c r="F1529" s="67">
        <v>3.0000000000000001E-3</v>
      </c>
      <c r="G1529" s="67">
        <v>2E-3</v>
      </c>
      <c r="H1529" s="63"/>
    </row>
    <row r="1530" spans="1:8" x14ac:dyDescent="0.25">
      <c r="A1530" s="63"/>
      <c r="B1530" s="63">
        <f>'Padrão EPP'!B1530</f>
        <v>30</v>
      </c>
      <c r="C1530" s="63" t="str">
        <f>'Padrão EPP'!C1530</f>
        <v>AC</v>
      </c>
      <c r="D1530" s="63" t="str">
        <f>'Padrão EPP'!D1530</f>
        <v>CAPITAL</v>
      </c>
      <c r="E1530" s="63">
        <f>'Padrão EPP'!E1530/2</f>
        <v>0</v>
      </c>
      <c r="F1530" s="67">
        <v>3.0000000000000001E-3</v>
      </c>
      <c r="G1530" s="67">
        <v>2E-3</v>
      </c>
      <c r="H1530" s="63"/>
    </row>
    <row r="1531" spans="1:8" x14ac:dyDescent="0.25">
      <c r="A1531" s="63"/>
      <c r="B1531" s="63">
        <f>'Padrão EPP'!B1531</f>
        <v>0</v>
      </c>
      <c r="C1531" s="63" t="str">
        <f>'Padrão EPP'!C1531</f>
        <v>AC</v>
      </c>
      <c r="D1531" s="63" t="str">
        <f>'Padrão EPP'!D1531</f>
        <v>CAPITAL</v>
      </c>
      <c r="E1531" s="63">
        <f>'Padrão EPP'!E1531/2</f>
        <v>1.5214394455252955</v>
      </c>
      <c r="F1531" s="67">
        <v>3.0000000000000001E-3</v>
      </c>
      <c r="G1531" s="67">
        <v>2E-3</v>
      </c>
      <c r="H1531" s="63"/>
    </row>
    <row r="1532" spans="1:8" x14ac:dyDescent="0.25">
      <c r="A1532" s="63"/>
      <c r="B1532" s="63">
        <f>'Padrão EPP'!B1532</f>
        <v>0.25</v>
      </c>
      <c r="C1532" s="63" t="str">
        <f>'Padrão EPP'!C1532</f>
        <v>AC</v>
      </c>
      <c r="D1532" s="63" t="str">
        <f>'Padrão EPP'!D1532</f>
        <v>INTERIOR</v>
      </c>
      <c r="E1532" s="63">
        <f>'Padrão EPP'!E1532/2</f>
        <v>20.301280345833359</v>
      </c>
      <c r="F1532" s="67">
        <v>3.0000000000000001E-3</v>
      </c>
      <c r="G1532" s="67">
        <v>2E-3</v>
      </c>
      <c r="H1532" s="63"/>
    </row>
    <row r="1533" spans="1:8" x14ac:dyDescent="0.25">
      <c r="A1533" s="63"/>
      <c r="B1533" s="63">
        <f>'Padrão EPP'!B1533</f>
        <v>0.5</v>
      </c>
      <c r="C1533" s="63" t="str">
        <f>'Padrão EPP'!C1533</f>
        <v>AC</v>
      </c>
      <c r="D1533" s="63" t="str">
        <f>'Padrão EPP'!D1533</f>
        <v>INTERIOR</v>
      </c>
      <c r="E1533" s="63">
        <f>'Padrão EPP'!E1533/2</f>
        <v>20.668951091289276</v>
      </c>
      <c r="F1533" s="67">
        <v>3.0000000000000001E-3</v>
      </c>
      <c r="G1533" s="67">
        <v>2E-3</v>
      </c>
      <c r="H1533" s="63"/>
    </row>
    <row r="1534" spans="1:8" x14ac:dyDescent="0.25">
      <c r="A1534" s="63"/>
      <c r="B1534" s="63">
        <f>'Padrão EPP'!B1534</f>
        <v>0.75</v>
      </c>
      <c r="C1534" s="63" t="str">
        <f>'Padrão EPP'!C1534</f>
        <v>AC</v>
      </c>
      <c r="D1534" s="63" t="str">
        <f>'Padrão EPP'!D1534</f>
        <v>INTERIOR</v>
      </c>
      <c r="E1534" s="63">
        <f>'Padrão EPP'!E1534/2</f>
        <v>20.961213136248851</v>
      </c>
      <c r="F1534" s="67">
        <v>3.0000000000000001E-3</v>
      </c>
      <c r="G1534" s="67">
        <v>2E-3</v>
      </c>
      <c r="H1534" s="63"/>
    </row>
    <row r="1535" spans="1:8" x14ac:dyDescent="0.25">
      <c r="A1535" s="63"/>
      <c r="B1535" s="63">
        <f>'Padrão EPP'!B1535</f>
        <v>1</v>
      </c>
      <c r="C1535" s="63" t="str">
        <f>'Padrão EPP'!C1535</f>
        <v>AC</v>
      </c>
      <c r="D1535" s="63" t="str">
        <f>'Padrão EPP'!D1535</f>
        <v>INTERIOR</v>
      </c>
      <c r="E1535" s="63">
        <f>'Padrão EPP'!E1535/2</f>
        <v>21.63153237947818</v>
      </c>
      <c r="F1535" s="67">
        <v>3.0000000000000001E-3</v>
      </c>
      <c r="G1535" s="67">
        <v>2E-3</v>
      </c>
      <c r="H1535" s="63"/>
    </row>
    <row r="1536" spans="1:8" x14ac:dyDescent="0.25">
      <c r="A1536" s="63"/>
      <c r="B1536" s="63">
        <f>'Padrão EPP'!B1536</f>
        <v>2</v>
      </c>
      <c r="C1536" s="63" t="str">
        <f>'Padrão EPP'!C1536</f>
        <v>AC</v>
      </c>
      <c r="D1536" s="63" t="str">
        <f>'Padrão EPP'!D1536</f>
        <v>INTERIOR</v>
      </c>
      <c r="E1536" s="63">
        <f>'Padrão EPP'!E1536/2</f>
        <v>27.87730967426031</v>
      </c>
      <c r="F1536" s="67">
        <v>3.0000000000000001E-3</v>
      </c>
      <c r="G1536" s="67">
        <v>2E-3</v>
      </c>
      <c r="H1536" s="63"/>
    </row>
    <row r="1537" spans="1:8" x14ac:dyDescent="0.25">
      <c r="A1537" s="63"/>
      <c r="B1537" s="63">
        <f>'Padrão EPP'!B1537</f>
        <v>3</v>
      </c>
      <c r="C1537" s="63" t="str">
        <f>'Padrão EPP'!C1537</f>
        <v>AC</v>
      </c>
      <c r="D1537" s="63" t="str">
        <f>'Padrão EPP'!D1537</f>
        <v>INTERIOR</v>
      </c>
      <c r="E1537" s="63">
        <f>'Padrão EPP'!E1537/2</f>
        <v>34.746242216912087</v>
      </c>
      <c r="F1537" s="67">
        <v>3.0000000000000001E-3</v>
      </c>
      <c r="G1537" s="67">
        <v>2E-3</v>
      </c>
      <c r="H1537" s="63"/>
    </row>
    <row r="1538" spans="1:8" x14ac:dyDescent="0.25">
      <c r="A1538" s="63"/>
      <c r="B1538" s="63">
        <f>'Padrão EPP'!B1538</f>
        <v>4</v>
      </c>
      <c r="C1538" s="63" t="str">
        <f>'Padrão EPP'!C1538</f>
        <v>AC</v>
      </c>
      <c r="D1538" s="63" t="str">
        <f>'Padrão EPP'!D1538</f>
        <v>INTERIOR</v>
      </c>
      <c r="E1538" s="63">
        <f>'Padrão EPP'!E1538/2</f>
        <v>41.762602789921679</v>
      </c>
      <c r="F1538" s="67">
        <v>3.0000000000000001E-3</v>
      </c>
      <c r="G1538" s="67">
        <v>2E-3</v>
      </c>
      <c r="H1538" s="63"/>
    </row>
    <row r="1539" spans="1:8" x14ac:dyDescent="0.25">
      <c r="A1539" s="63"/>
      <c r="B1539" s="63">
        <f>'Padrão EPP'!B1539</f>
        <v>5</v>
      </c>
      <c r="C1539" s="63" t="str">
        <f>'Padrão EPP'!C1539</f>
        <v>AC</v>
      </c>
      <c r="D1539" s="63" t="str">
        <f>'Padrão EPP'!D1539</f>
        <v>INTERIOR</v>
      </c>
      <c r="E1539" s="63">
        <f>'Padrão EPP'!E1539/2</f>
        <v>48.972591635322878</v>
      </c>
      <c r="F1539" s="67">
        <v>3.0000000000000001E-3</v>
      </c>
      <c r="G1539" s="67">
        <v>2E-3</v>
      </c>
      <c r="H1539" s="63"/>
    </row>
    <row r="1540" spans="1:8" x14ac:dyDescent="0.25">
      <c r="A1540" s="63"/>
      <c r="B1540" s="63">
        <f>'Padrão EPP'!B1540</f>
        <v>6</v>
      </c>
      <c r="C1540" s="63" t="str">
        <f>'Padrão EPP'!C1540</f>
        <v>AC</v>
      </c>
      <c r="D1540" s="63" t="str">
        <f>'Padrão EPP'!D1540</f>
        <v>INTERIOR</v>
      </c>
      <c r="E1540" s="63">
        <f>'Padrão EPP'!E1540/2</f>
        <v>56.298027677585566</v>
      </c>
      <c r="F1540" s="67">
        <v>3.0000000000000001E-3</v>
      </c>
      <c r="G1540" s="67">
        <v>2E-3</v>
      </c>
      <c r="H1540" s="63"/>
    </row>
    <row r="1541" spans="1:8" x14ac:dyDescent="0.25">
      <c r="A1541" s="63"/>
      <c r="B1541" s="63">
        <f>'Padrão EPP'!B1541</f>
        <v>7</v>
      </c>
      <c r="C1541" s="63" t="str">
        <f>'Padrão EPP'!C1541</f>
        <v>AC</v>
      </c>
      <c r="D1541" s="63" t="str">
        <f>'Padrão EPP'!D1541</f>
        <v>INTERIOR</v>
      </c>
      <c r="E1541" s="63">
        <f>'Padrão EPP'!E1541/2</f>
        <v>63.753760811171375</v>
      </c>
      <c r="F1541" s="67">
        <v>3.0000000000000001E-3</v>
      </c>
      <c r="G1541" s="67">
        <v>2E-3</v>
      </c>
      <c r="H1541" s="63"/>
    </row>
    <row r="1542" spans="1:8" x14ac:dyDescent="0.25">
      <c r="A1542" s="63"/>
      <c r="B1542" s="63">
        <f>'Padrão EPP'!B1542</f>
        <v>8</v>
      </c>
      <c r="C1542" s="63" t="str">
        <f>'Padrão EPP'!C1542</f>
        <v>AC</v>
      </c>
      <c r="D1542" s="63" t="str">
        <f>'Padrão EPP'!D1542</f>
        <v>INTERIOR</v>
      </c>
      <c r="E1542" s="63">
        <f>'Padrão EPP'!E1542/2</f>
        <v>71.356601495444238</v>
      </c>
      <c r="F1542" s="67">
        <v>3.0000000000000001E-3</v>
      </c>
      <c r="G1542" s="67">
        <v>2E-3</v>
      </c>
      <c r="H1542" s="63"/>
    </row>
    <row r="1543" spans="1:8" x14ac:dyDescent="0.25">
      <c r="A1543" s="63"/>
      <c r="B1543" s="63">
        <f>'Padrão EPP'!B1543</f>
        <v>9</v>
      </c>
      <c r="C1543" s="63" t="str">
        <f>'Padrão EPP'!C1543</f>
        <v>AC</v>
      </c>
      <c r="D1543" s="63" t="str">
        <f>'Padrão EPP'!D1543</f>
        <v>INTERIOR</v>
      </c>
      <c r="E1543" s="63">
        <f>'Padrão EPP'!E1543/2</f>
        <v>78.73903247825416</v>
      </c>
      <c r="F1543" s="67">
        <v>3.0000000000000001E-3</v>
      </c>
      <c r="G1543" s="67">
        <v>2E-3</v>
      </c>
      <c r="H1543" s="63"/>
    </row>
    <row r="1544" spans="1:8" x14ac:dyDescent="0.25">
      <c r="A1544" s="63"/>
      <c r="B1544" s="63">
        <f>'Padrão EPP'!B1544</f>
        <v>10</v>
      </c>
      <c r="C1544" s="63" t="str">
        <f>'Padrão EPP'!C1544</f>
        <v>AC</v>
      </c>
      <c r="D1544" s="63" t="str">
        <f>'Padrão EPP'!D1544</f>
        <v>INTERIOR</v>
      </c>
      <c r="E1544" s="63">
        <f>'Padrão EPP'!E1544/2</f>
        <v>86.043272012619056</v>
      </c>
      <c r="F1544" s="67">
        <v>3.0000000000000001E-3</v>
      </c>
      <c r="G1544" s="67">
        <v>2E-3</v>
      </c>
      <c r="H1544" s="63"/>
    </row>
    <row r="1545" spans="1:8" x14ac:dyDescent="0.25">
      <c r="A1545" s="63"/>
      <c r="B1545" s="63">
        <f>'Padrão EPP'!B1545</f>
        <v>11</v>
      </c>
      <c r="C1545" s="63" t="str">
        <f>'Padrão EPP'!C1545</f>
        <v>AC</v>
      </c>
      <c r="D1545" s="63" t="str">
        <f>'Padrão EPP'!D1545</f>
        <v>INTERIOR</v>
      </c>
      <c r="E1545" s="63">
        <f>'Padrão EPP'!E1545/2</f>
        <v>0</v>
      </c>
      <c r="F1545" s="67">
        <v>3.0000000000000001E-3</v>
      </c>
      <c r="G1545" s="67">
        <v>2E-3</v>
      </c>
      <c r="H1545" s="63"/>
    </row>
    <row r="1546" spans="1:8" x14ac:dyDescent="0.25">
      <c r="A1546" s="63"/>
      <c r="B1546" s="63">
        <f>'Padrão EPP'!B1546</f>
        <v>12</v>
      </c>
      <c r="C1546" s="63" t="str">
        <f>'Padrão EPP'!C1546</f>
        <v>AC</v>
      </c>
      <c r="D1546" s="63" t="str">
        <f>'Padrão EPP'!D1546</f>
        <v>INTERIOR</v>
      </c>
      <c r="E1546" s="63">
        <f>'Padrão EPP'!E1546/2</f>
        <v>0</v>
      </c>
      <c r="F1546" s="67">
        <v>3.0000000000000001E-3</v>
      </c>
      <c r="G1546" s="67">
        <v>2E-3</v>
      </c>
      <c r="H1546" s="63"/>
    </row>
    <row r="1547" spans="1:8" x14ac:dyDescent="0.25">
      <c r="A1547" s="63"/>
      <c r="B1547" s="63">
        <f>'Padrão EPP'!B1547</f>
        <v>13</v>
      </c>
      <c r="C1547" s="63" t="str">
        <f>'Padrão EPP'!C1547</f>
        <v>AC</v>
      </c>
      <c r="D1547" s="63" t="str">
        <f>'Padrão EPP'!D1547</f>
        <v>INTERIOR</v>
      </c>
      <c r="E1547" s="63">
        <f>'Padrão EPP'!E1547/2</f>
        <v>0</v>
      </c>
      <c r="F1547" s="67">
        <v>3.0000000000000001E-3</v>
      </c>
      <c r="G1547" s="67">
        <v>2E-3</v>
      </c>
      <c r="H1547" s="63"/>
    </row>
    <row r="1548" spans="1:8" x14ac:dyDescent="0.25">
      <c r="A1548" s="63"/>
      <c r="B1548" s="63">
        <f>'Padrão EPP'!B1548</f>
        <v>14</v>
      </c>
      <c r="C1548" s="63" t="str">
        <f>'Padrão EPP'!C1548</f>
        <v>AC</v>
      </c>
      <c r="D1548" s="63" t="str">
        <f>'Padrão EPP'!D1548</f>
        <v>INTERIOR</v>
      </c>
      <c r="E1548" s="63">
        <f>'Padrão EPP'!E1548/2</f>
        <v>0</v>
      </c>
      <c r="F1548" s="67">
        <v>3.0000000000000001E-3</v>
      </c>
      <c r="G1548" s="67">
        <v>2E-3</v>
      </c>
      <c r="H1548" s="63"/>
    </row>
    <row r="1549" spans="1:8" x14ac:dyDescent="0.25">
      <c r="A1549" s="63"/>
      <c r="B1549" s="63">
        <f>'Padrão EPP'!B1549</f>
        <v>15</v>
      </c>
      <c r="C1549" s="63" t="str">
        <f>'Padrão EPP'!C1549</f>
        <v>AC</v>
      </c>
      <c r="D1549" s="63" t="str">
        <f>'Padrão EPP'!D1549</f>
        <v>INTERIOR</v>
      </c>
      <c r="E1549" s="63">
        <f>'Padrão EPP'!E1549/2</f>
        <v>0</v>
      </c>
      <c r="F1549" s="67">
        <v>3.0000000000000001E-3</v>
      </c>
      <c r="G1549" s="67">
        <v>2E-3</v>
      </c>
      <c r="H1549" s="63"/>
    </row>
    <row r="1550" spans="1:8" x14ac:dyDescent="0.25">
      <c r="A1550" s="63"/>
      <c r="B1550" s="63">
        <f>'Padrão EPP'!B1550</f>
        <v>16</v>
      </c>
      <c r="C1550" s="63" t="str">
        <f>'Padrão EPP'!C1550</f>
        <v>AC</v>
      </c>
      <c r="D1550" s="63" t="str">
        <f>'Padrão EPP'!D1550</f>
        <v>INTERIOR</v>
      </c>
      <c r="E1550" s="63">
        <f>'Padrão EPP'!E1550/2</f>
        <v>0</v>
      </c>
      <c r="F1550" s="67">
        <v>3.0000000000000001E-3</v>
      </c>
      <c r="G1550" s="67">
        <v>2E-3</v>
      </c>
      <c r="H1550" s="63"/>
    </row>
    <row r="1551" spans="1:8" x14ac:dyDescent="0.25">
      <c r="A1551" s="63"/>
      <c r="B1551" s="63">
        <f>'Padrão EPP'!B1551</f>
        <v>17</v>
      </c>
      <c r="C1551" s="63" t="str">
        <f>'Padrão EPP'!C1551</f>
        <v>AC</v>
      </c>
      <c r="D1551" s="63" t="str">
        <f>'Padrão EPP'!D1551</f>
        <v>INTERIOR</v>
      </c>
      <c r="E1551" s="63">
        <f>'Padrão EPP'!E1551/2</f>
        <v>0</v>
      </c>
      <c r="F1551" s="67">
        <v>3.0000000000000001E-3</v>
      </c>
      <c r="G1551" s="67">
        <v>2E-3</v>
      </c>
      <c r="H1551" s="63"/>
    </row>
    <row r="1552" spans="1:8" x14ac:dyDescent="0.25">
      <c r="A1552" s="63"/>
      <c r="B1552" s="63">
        <f>'Padrão EPP'!B1552</f>
        <v>18</v>
      </c>
      <c r="C1552" s="63" t="str">
        <f>'Padrão EPP'!C1552</f>
        <v>AC</v>
      </c>
      <c r="D1552" s="63" t="str">
        <f>'Padrão EPP'!D1552</f>
        <v>INTERIOR</v>
      </c>
      <c r="E1552" s="63">
        <f>'Padrão EPP'!E1552/2</f>
        <v>0</v>
      </c>
      <c r="F1552" s="67">
        <v>3.0000000000000001E-3</v>
      </c>
      <c r="G1552" s="67">
        <v>2E-3</v>
      </c>
      <c r="H1552" s="63"/>
    </row>
    <row r="1553" spans="1:8" x14ac:dyDescent="0.25">
      <c r="A1553" s="63"/>
      <c r="B1553" s="63">
        <f>'Padrão EPP'!B1553</f>
        <v>19</v>
      </c>
      <c r="C1553" s="63" t="str">
        <f>'Padrão EPP'!C1553</f>
        <v>AC</v>
      </c>
      <c r="D1553" s="63" t="str">
        <f>'Padrão EPP'!D1553</f>
        <v>INTERIOR</v>
      </c>
      <c r="E1553" s="63">
        <f>'Padrão EPP'!E1553/2</f>
        <v>0</v>
      </c>
      <c r="F1553" s="67">
        <v>3.0000000000000001E-3</v>
      </c>
      <c r="G1553" s="67">
        <v>2E-3</v>
      </c>
      <c r="H1553" s="63"/>
    </row>
    <row r="1554" spans="1:8" x14ac:dyDescent="0.25">
      <c r="A1554" s="63"/>
      <c r="B1554" s="63">
        <f>'Padrão EPP'!B1554</f>
        <v>20</v>
      </c>
      <c r="C1554" s="63" t="str">
        <f>'Padrão EPP'!C1554</f>
        <v>AC</v>
      </c>
      <c r="D1554" s="63" t="str">
        <f>'Padrão EPP'!D1554</f>
        <v>INTERIOR</v>
      </c>
      <c r="E1554" s="63">
        <f>'Padrão EPP'!E1554/2</f>
        <v>0</v>
      </c>
      <c r="F1554" s="67">
        <v>3.0000000000000001E-3</v>
      </c>
      <c r="G1554" s="67">
        <v>2E-3</v>
      </c>
      <c r="H1554" s="63"/>
    </row>
    <row r="1555" spans="1:8" x14ac:dyDescent="0.25">
      <c r="A1555" s="63"/>
      <c r="B1555" s="63">
        <f>'Padrão EPP'!B1555</f>
        <v>21</v>
      </c>
      <c r="C1555" s="63" t="str">
        <f>'Padrão EPP'!C1555</f>
        <v>AC</v>
      </c>
      <c r="D1555" s="63" t="str">
        <f>'Padrão EPP'!D1555</f>
        <v>INTERIOR</v>
      </c>
      <c r="E1555" s="63">
        <f>'Padrão EPP'!E1555/2</f>
        <v>0</v>
      </c>
      <c r="F1555" s="67">
        <v>3.0000000000000001E-3</v>
      </c>
      <c r="G1555" s="67">
        <v>2E-3</v>
      </c>
      <c r="H1555" s="63"/>
    </row>
    <row r="1556" spans="1:8" x14ac:dyDescent="0.25">
      <c r="A1556" s="63"/>
      <c r="B1556" s="63">
        <f>'Padrão EPP'!B1556</f>
        <v>22</v>
      </c>
      <c r="C1556" s="63" t="str">
        <f>'Padrão EPP'!C1556</f>
        <v>AC</v>
      </c>
      <c r="D1556" s="63" t="str">
        <f>'Padrão EPP'!D1556</f>
        <v>INTERIOR</v>
      </c>
      <c r="E1556" s="63">
        <f>'Padrão EPP'!E1556/2</f>
        <v>0</v>
      </c>
      <c r="F1556" s="67">
        <v>3.0000000000000001E-3</v>
      </c>
      <c r="G1556" s="67">
        <v>2E-3</v>
      </c>
      <c r="H1556" s="63"/>
    </row>
    <row r="1557" spans="1:8" x14ac:dyDescent="0.25">
      <c r="A1557" s="63"/>
      <c r="B1557" s="63">
        <f>'Padrão EPP'!B1557</f>
        <v>23</v>
      </c>
      <c r="C1557" s="63" t="str">
        <f>'Padrão EPP'!C1557</f>
        <v>AC</v>
      </c>
      <c r="D1557" s="63" t="str">
        <f>'Padrão EPP'!D1557</f>
        <v>INTERIOR</v>
      </c>
      <c r="E1557" s="63">
        <f>'Padrão EPP'!E1557/2</f>
        <v>0</v>
      </c>
      <c r="F1557" s="67">
        <v>3.0000000000000001E-3</v>
      </c>
      <c r="G1557" s="67">
        <v>2E-3</v>
      </c>
      <c r="H1557" s="63"/>
    </row>
    <row r="1558" spans="1:8" x14ac:dyDescent="0.25">
      <c r="A1558" s="63"/>
      <c r="B1558" s="63">
        <f>'Padrão EPP'!B1558</f>
        <v>24</v>
      </c>
      <c r="C1558" s="63" t="str">
        <f>'Padrão EPP'!C1558</f>
        <v>AC</v>
      </c>
      <c r="D1558" s="63" t="str">
        <f>'Padrão EPP'!D1558</f>
        <v>INTERIOR</v>
      </c>
      <c r="E1558" s="63">
        <f>'Padrão EPP'!E1558/2</f>
        <v>0</v>
      </c>
      <c r="F1558" s="67">
        <v>3.0000000000000001E-3</v>
      </c>
      <c r="G1558" s="67">
        <v>2E-3</v>
      </c>
      <c r="H1558" s="63"/>
    </row>
    <row r="1559" spans="1:8" x14ac:dyDescent="0.25">
      <c r="A1559" s="63"/>
      <c r="B1559" s="63">
        <f>'Padrão EPP'!B1559</f>
        <v>25</v>
      </c>
      <c r="C1559" s="63" t="str">
        <f>'Padrão EPP'!C1559</f>
        <v>AC</v>
      </c>
      <c r="D1559" s="63" t="str">
        <f>'Padrão EPP'!D1559</f>
        <v>INTERIOR</v>
      </c>
      <c r="E1559" s="63">
        <f>'Padrão EPP'!E1559/2</f>
        <v>0</v>
      </c>
      <c r="F1559" s="67">
        <v>3.0000000000000001E-3</v>
      </c>
      <c r="G1559" s="67">
        <v>2E-3</v>
      </c>
      <c r="H1559" s="63"/>
    </row>
    <row r="1560" spans="1:8" x14ac:dyDescent="0.25">
      <c r="A1560" s="63"/>
      <c r="B1560" s="63">
        <f>'Padrão EPP'!B1560</f>
        <v>26</v>
      </c>
      <c r="C1560" s="63" t="str">
        <f>'Padrão EPP'!C1560</f>
        <v>AC</v>
      </c>
      <c r="D1560" s="63" t="str">
        <f>'Padrão EPP'!D1560</f>
        <v>INTERIOR</v>
      </c>
      <c r="E1560" s="63">
        <f>'Padrão EPP'!E1560/2</f>
        <v>0</v>
      </c>
      <c r="F1560" s="67">
        <v>3.0000000000000001E-3</v>
      </c>
      <c r="G1560" s="67">
        <v>2E-3</v>
      </c>
      <c r="H1560" s="63"/>
    </row>
    <row r="1561" spans="1:8" x14ac:dyDescent="0.25">
      <c r="A1561" s="63"/>
      <c r="B1561" s="63">
        <f>'Padrão EPP'!B1561</f>
        <v>27</v>
      </c>
      <c r="C1561" s="63" t="str">
        <f>'Padrão EPP'!C1561</f>
        <v>AC</v>
      </c>
      <c r="D1561" s="63" t="str">
        <f>'Padrão EPP'!D1561</f>
        <v>INTERIOR</v>
      </c>
      <c r="E1561" s="63">
        <f>'Padrão EPP'!E1561/2</f>
        <v>0</v>
      </c>
      <c r="F1561" s="67">
        <v>3.0000000000000001E-3</v>
      </c>
      <c r="G1561" s="67">
        <v>2E-3</v>
      </c>
      <c r="H1561" s="63"/>
    </row>
    <row r="1562" spans="1:8" x14ac:dyDescent="0.25">
      <c r="A1562" s="63"/>
      <c r="B1562" s="63">
        <f>'Padrão EPP'!B1562</f>
        <v>28</v>
      </c>
      <c r="C1562" s="63" t="str">
        <f>'Padrão EPP'!C1562</f>
        <v>AC</v>
      </c>
      <c r="D1562" s="63" t="str">
        <f>'Padrão EPP'!D1562</f>
        <v>INTERIOR</v>
      </c>
      <c r="E1562" s="63">
        <f>'Padrão EPP'!E1562/2</f>
        <v>0</v>
      </c>
      <c r="F1562" s="67">
        <v>3.0000000000000001E-3</v>
      </c>
      <c r="G1562" s="67">
        <v>2E-3</v>
      </c>
      <c r="H1562" s="63"/>
    </row>
    <row r="1563" spans="1:8" x14ac:dyDescent="0.25">
      <c r="A1563" s="63"/>
      <c r="B1563" s="63">
        <f>'Padrão EPP'!B1563</f>
        <v>29</v>
      </c>
      <c r="C1563" s="63" t="str">
        <f>'Padrão EPP'!C1563</f>
        <v>AC</v>
      </c>
      <c r="D1563" s="63" t="str">
        <f>'Padrão EPP'!D1563</f>
        <v>INTERIOR</v>
      </c>
      <c r="E1563" s="63">
        <f>'Padrão EPP'!E1563/2</f>
        <v>0</v>
      </c>
      <c r="F1563" s="67">
        <v>3.0000000000000001E-3</v>
      </c>
      <c r="G1563" s="67">
        <v>2E-3</v>
      </c>
      <c r="H1563" s="63"/>
    </row>
    <row r="1564" spans="1:8" x14ac:dyDescent="0.25">
      <c r="A1564" s="63"/>
      <c r="B1564" s="63">
        <f>'Padrão EPP'!B1564</f>
        <v>30</v>
      </c>
      <c r="C1564" s="63" t="str">
        <f>'Padrão EPP'!C1564</f>
        <v>AC</v>
      </c>
      <c r="D1564" s="63" t="str">
        <f>'Padrão EPP'!D1564</f>
        <v>INTERIOR</v>
      </c>
      <c r="E1564" s="63">
        <f>'Padrão EPP'!E1564/2</f>
        <v>0</v>
      </c>
      <c r="F1564" s="67">
        <v>3.0000000000000001E-3</v>
      </c>
      <c r="G1564" s="67">
        <v>2E-3</v>
      </c>
      <c r="H1564" s="63"/>
    </row>
    <row r="1565" spans="1:8" x14ac:dyDescent="0.25">
      <c r="A1565" s="63"/>
      <c r="B1565" s="63">
        <f>'Padrão EPP'!B1565</f>
        <v>0</v>
      </c>
      <c r="C1565" s="63" t="str">
        <f>'Padrão EPP'!C1565</f>
        <v>AC</v>
      </c>
      <c r="D1565" s="63" t="str">
        <f>'Padrão EPP'!D1565</f>
        <v>INTERIOR</v>
      </c>
      <c r="E1565" s="63">
        <f>'Padrão EPP'!E1565/2</f>
        <v>1.5214394455252955</v>
      </c>
      <c r="F1565" s="67">
        <v>3.0000000000000001E-3</v>
      </c>
      <c r="G1565" s="67">
        <v>2E-3</v>
      </c>
      <c r="H1565" s="63"/>
    </row>
    <row r="1566" spans="1:8" x14ac:dyDescent="0.25">
      <c r="A1566" s="63"/>
      <c r="B1566" s="63">
        <f>'Padrão EPP'!B1566</f>
        <v>0.25</v>
      </c>
      <c r="C1566" s="63" t="str">
        <f>'Padrão EPP'!C1566</f>
        <v>AC</v>
      </c>
      <c r="D1566" s="63" t="str">
        <f>'Padrão EPP'!D1566</f>
        <v>INTERIOR II</v>
      </c>
      <c r="E1566" s="63">
        <f>'Padrão EPP'!E1566/2</f>
        <v>20.90458732914286</v>
      </c>
      <c r="F1566" s="67">
        <v>3.0000000000000001E-3</v>
      </c>
      <c r="G1566" s="67">
        <v>2E-3</v>
      </c>
      <c r="H1566" s="63"/>
    </row>
    <row r="1567" spans="1:8" x14ac:dyDescent="0.25">
      <c r="A1567" s="63"/>
      <c r="B1567" s="63">
        <f>'Padrão EPP'!B1567</f>
        <v>0.5</v>
      </c>
      <c r="C1567" s="63" t="str">
        <f>'Padrão EPP'!C1567</f>
        <v>AC</v>
      </c>
      <c r="D1567" s="63" t="str">
        <f>'Padrão EPP'!D1567</f>
        <v>INTERIOR II</v>
      </c>
      <c r="E1567" s="63">
        <f>'Padrão EPP'!E1567/2</f>
        <v>21.290917053464018</v>
      </c>
      <c r="F1567" s="67">
        <v>3.0000000000000001E-3</v>
      </c>
      <c r="G1567" s="67">
        <v>2E-3</v>
      </c>
      <c r="H1567" s="63"/>
    </row>
    <row r="1568" spans="1:8" x14ac:dyDescent="0.25">
      <c r="A1568" s="63"/>
      <c r="B1568" s="63">
        <f>'Padrão EPP'!B1568</f>
        <v>0.75</v>
      </c>
      <c r="C1568" s="63" t="str">
        <f>'Padrão EPP'!C1568</f>
        <v>AC</v>
      </c>
      <c r="D1568" s="63" t="str">
        <f>'Padrão EPP'!D1568</f>
        <v>INTERIOR II</v>
      </c>
      <c r="E1568" s="63">
        <f>'Padrão EPP'!E1568/2</f>
        <v>21.602415159109409</v>
      </c>
      <c r="F1568" s="67">
        <v>3.0000000000000001E-3</v>
      </c>
      <c r="G1568" s="67">
        <v>2E-3</v>
      </c>
      <c r="H1568" s="63"/>
    </row>
    <row r="1569" spans="1:8" x14ac:dyDescent="0.25">
      <c r="A1569" s="63"/>
      <c r="B1569" s="63">
        <f>'Padrão EPP'!B1569</f>
        <v>1</v>
      </c>
      <c r="C1569" s="63" t="str">
        <f>'Padrão EPP'!C1569</f>
        <v>AC</v>
      </c>
      <c r="D1569" s="63" t="str">
        <f>'Padrão EPP'!D1569</f>
        <v>INTERIOR II</v>
      </c>
      <c r="E1569" s="63">
        <f>'Padrão EPP'!E1569/2</f>
        <v>21.968519567244904</v>
      </c>
      <c r="F1569" s="67">
        <v>3.0000000000000001E-3</v>
      </c>
      <c r="G1569" s="67">
        <v>2E-3</v>
      </c>
      <c r="H1569" s="63"/>
    </row>
    <row r="1570" spans="1:8" x14ac:dyDescent="0.25">
      <c r="A1570" s="63"/>
      <c r="B1570" s="63">
        <f>'Padrão EPP'!B1570</f>
        <v>2</v>
      </c>
      <c r="C1570" s="63" t="str">
        <f>'Padrão EPP'!C1570</f>
        <v>AC</v>
      </c>
      <c r="D1570" s="63" t="str">
        <f>'Padrão EPP'!D1570</f>
        <v>INTERIOR II</v>
      </c>
      <c r="E1570" s="63">
        <f>'Padrão EPP'!E1570/2</f>
        <v>28.224719146184768</v>
      </c>
      <c r="F1570" s="67">
        <v>3.0000000000000001E-3</v>
      </c>
      <c r="G1570" s="67">
        <v>2E-3</v>
      </c>
      <c r="H1570" s="63"/>
    </row>
    <row r="1571" spans="1:8" x14ac:dyDescent="0.25">
      <c r="A1571" s="63"/>
      <c r="B1571" s="63">
        <f>'Padrão EPP'!B1571</f>
        <v>3</v>
      </c>
      <c r="C1571" s="63" t="str">
        <f>'Padrão EPP'!C1571</f>
        <v>AC</v>
      </c>
      <c r="D1571" s="63" t="str">
        <f>'Padrão EPP'!D1571</f>
        <v>INTERIOR II</v>
      </c>
      <c r="E1571" s="63">
        <f>'Padrão EPP'!E1571/2</f>
        <v>35.215283339834791</v>
      </c>
      <c r="F1571" s="67">
        <v>3.0000000000000001E-3</v>
      </c>
      <c r="G1571" s="67">
        <v>2E-3</v>
      </c>
      <c r="H1571" s="63"/>
    </row>
    <row r="1572" spans="1:8" x14ac:dyDescent="0.25">
      <c r="A1572" s="63"/>
      <c r="B1572" s="63">
        <f>'Padrão EPP'!B1572</f>
        <v>4</v>
      </c>
      <c r="C1572" s="63" t="str">
        <f>'Padrão EPP'!C1572</f>
        <v>AC</v>
      </c>
      <c r="D1572" s="63" t="str">
        <f>'Padrão EPP'!D1572</f>
        <v>INTERIOR II</v>
      </c>
      <c r="E1572" s="63">
        <f>'Padrão EPP'!E1572/2</f>
        <v>42.276135200470371</v>
      </c>
      <c r="F1572" s="67">
        <v>3.0000000000000001E-3</v>
      </c>
      <c r="G1572" s="67">
        <v>2E-3</v>
      </c>
      <c r="H1572" s="63"/>
    </row>
    <row r="1573" spans="1:8" x14ac:dyDescent="0.25">
      <c r="A1573" s="63"/>
      <c r="B1573" s="63">
        <f>'Padrão EPP'!B1573</f>
        <v>5</v>
      </c>
      <c r="C1573" s="63" t="str">
        <f>'Padrão EPP'!C1573</f>
        <v>AC</v>
      </c>
      <c r="D1573" s="63" t="str">
        <f>'Padrão EPP'!D1573</f>
        <v>INTERIOR II</v>
      </c>
      <c r="E1573" s="63">
        <f>'Padrão EPP'!E1573/2</f>
        <v>49.414303494790055</v>
      </c>
      <c r="F1573" s="67">
        <v>3.0000000000000001E-3</v>
      </c>
      <c r="G1573" s="67">
        <v>2E-3</v>
      </c>
      <c r="H1573" s="63"/>
    </row>
    <row r="1574" spans="1:8" x14ac:dyDescent="0.25">
      <c r="A1574" s="63"/>
      <c r="B1574" s="63">
        <f>'Padrão EPP'!B1574</f>
        <v>6</v>
      </c>
      <c r="C1574" s="63" t="str">
        <f>'Padrão EPP'!C1574</f>
        <v>AC</v>
      </c>
      <c r="D1574" s="63" t="str">
        <f>'Padrão EPP'!D1574</f>
        <v>INTERIOR II</v>
      </c>
      <c r="E1574" s="63">
        <f>'Padrão EPP'!E1574/2</f>
        <v>58.010979646939589</v>
      </c>
      <c r="F1574" s="67">
        <v>3.0000000000000001E-3</v>
      </c>
      <c r="G1574" s="67">
        <v>2E-3</v>
      </c>
      <c r="H1574" s="63"/>
    </row>
    <row r="1575" spans="1:8" x14ac:dyDescent="0.25">
      <c r="A1575" s="63"/>
      <c r="B1575" s="63">
        <f>'Padrão EPP'!B1575</f>
        <v>7</v>
      </c>
      <c r="C1575" s="63" t="str">
        <f>'Padrão EPP'!C1575</f>
        <v>AC</v>
      </c>
      <c r="D1575" s="63" t="str">
        <f>'Padrão EPP'!D1575</f>
        <v>INTERIOR II</v>
      </c>
      <c r="E1575" s="63">
        <f>'Padrão EPP'!E1575/2</f>
        <v>64.779925117569988</v>
      </c>
      <c r="F1575" s="67">
        <v>3.0000000000000001E-3</v>
      </c>
      <c r="G1575" s="67">
        <v>2E-3</v>
      </c>
      <c r="H1575" s="63"/>
    </row>
    <row r="1576" spans="1:8" x14ac:dyDescent="0.25">
      <c r="A1576" s="63"/>
      <c r="B1576" s="63">
        <f>'Padrão EPP'!B1576</f>
        <v>8</v>
      </c>
      <c r="C1576" s="63" t="str">
        <f>'Padrão EPP'!C1576</f>
        <v>AC</v>
      </c>
      <c r="D1576" s="63" t="str">
        <f>'Padrão EPP'!D1576</f>
        <v>INTERIOR II</v>
      </c>
      <c r="E1576" s="63">
        <f>'Padrão EPP'!E1576/2</f>
        <v>71.641531313145506</v>
      </c>
      <c r="F1576" s="67">
        <v>3.0000000000000001E-3</v>
      </c>
      <c r="G1576" s="67">
        <v>2E-3</v>
      </c>
      <c r="H1576" s="63"/>
    </row>
    <row r="1577" spans="1:8" x14ac:dyDescent="0.25">
      <c r="A1577" s="63"/>
      <c r="B1577" s="63">
        <f>'Padrão EPP'!B1577</f>
        <v>9</v>
      </c>
      <c r="C1577" s="63" t="str">
        <f>'Padrão EPP'!C1577</f>
        <v>AC</v>
      </c>
      <c r="D1577" s="63" t="str">
        <f>'Padrão EPP'!D1577</f>
        <v>INTERIOR II</v>
      </c>
      <c r="E1577" s="63">
        <f>'Padrão EPP'!E1577/2</f>
        <v>79.207885470423776</v>
      </c>
      <c r="F1577" s="67">
        <v>3.0000000000000001E-3</v>
      </c>
      <c r="G1577" s="67">
        <v>2E-3</v>
      </c>
      <c r="H1577" s="63"/>
    </row>
    <row r="1578" spans="1:8" x14ac:dyDescent="0.25">
      <c r="A1578" s="63"/>
      <c r="B1578" s="63">
        <f>'Padrão EPP'!B1578</f>
        <v>10</v>
      </c>
      <c r="C1578" s="63" t="str">
        <f>'Padrão EPP'!C1578</f>
        <v>AC</v>
      </c>
      <c r="D1578" s="63" t="str">
        <f>'Padrão EPP'!D1578</f>
        <v>INTERIOR II</v>
      </c>
      <c r="E1578" s="63">
        <f>'Padrão EPP'!E1578/2</f>
        <v>86.120347683624288</v>
      </c>
      <c r="F1578" s="67">
        <v>3.0000000000000001E-3</v>
      </c>
      <c r="G1578" s="67">
        <v>2E-3</v>
      </c>
      <c r="H1578" s="63"/>
    </row>
    <row r="1579" spans="1:8" x14ac:dyDescent="0.25">
      <c r="A1579" s="63"/>
      <c r="B1579" s="63">
        <f>'Padrão EPP'!B1579</f>
        <v>11</v>
      </c>
      <c r="C1579" s="63" t="str">
        <f>'Padrão EPP'!C1579</f>
        <v>AC</v>
      </c>
      <c r="D1579" s="63" t="str">
        <f>'Padrão EPP'!D1579</f>
        <v>INTERIOR II</v>
      </c>
      <c r="E1579" s="63">
        <f>'Padrão EPP'!E1579/2</f>
        <v>0</v>
      </c>
      <c r="F1579" s="67">
        <v>3.0000000000000001E-3</v>
      </c>
      <c r="G1579" s="67">
        <v>2E-3</v>
      </c>
      <c r="H1579" s="63"/>
    </row>
    <row r="1580" spans="1:8" x14ac:dyDescent="0.25">
      <c r="A1580" s="63"/>
      <c r="B1580" s="63">
        <f>'Padrão EPP'!B1580</f>
        <v>12</v>
      </c>
      <c r="C1580" s="63" t="str">
        <f>'Padrão EPP'!C1580</f>
        <v>AC</v>
      </c>
      <c r="D1580" s="63" t="str">
        <f>'Padrão EPP'!D1580</f>
        <v>INTERIOR II</v>
      </c>
      <c r="E1580" s="63">
        <f>'Padrão EPP'!E1580/2</f>
        <v>0</v>
      </c>
      <c r="F1580" s="67">
        <v>3.0000000000000001E-3</v>
      </c>
      <c r="G1580" s="67">
        <v>2E-3</v>
      </c>
      <c r="H1580" s="63"/>
    </row>
    <row r="1581" spans="1:8" x14ac:dyDescent="0.25">
      <c r="A1581" s="63"/>
      <c r="B1581" s="63">
        <f>'Padrão EPP'!B1581</f>
        <v>13</v>
      </c>
      <c r="C1581" s="63" t="str">
        <f>'Padrão EPP'!C1581</f>
        <v>AC</v>
      </c>
      <c r="D1581" s="63" t="str">
        <f>'Padrão EPP'!D1581</f>
        <v>INTERIOR II</v>
      </c>
      <c r="E1581" s="63">
        <f>'Padrão EPP'!E1581/2</f>
        <v>0</v>
      </c>
      <c r="F1581" s="67">
        <v>3.0000000000000001E-3</v>
      </c>
      <c r="G1581" s="67">
        <v>2E-3</v>
      </c>
      <c r="H1581" s="63"/>
    </row>
    <row r="1582" spans="1:8" x14ac:dyDescent="0.25">
      <c r="A1582" s="63"/>
      <c r="B1582" s="63">
        <f>'Padrão EPP'!B1582</f>
        <v>14</v>
      </c>
      <c r="C1582" s="63" t="str">
        <f>'Padrão EPP'!C1582</f>
        <v>AC</v>
      </c>
      <c r="D1582" s="63" t="str">
        <f>'Padrão EPP'!D1582</f>
        <v>INTERIOR II</v>
      </c>
      <c r="E1582" s="63">
        <f>'Padrão EPP'!E1582/2</f>
        <v>0</v>
      </c>
      <c r="F1582" s="67">
        <v>3.0000000000000001E-3</v>
      </c>
      <c r="G1582" s="67">
        <v>2E-3</v>
      </c>
      <c r="H1582" s="63"/>
    </row>
    <row r="1583" spans="1:8" x14ac:dyDescent="0.25">
      <c r="A1583" s="63"/>
      <c r="B1583" s="63">
        <f>'Padrão EPP'!B1583</f>
        <v>15</v>
      </c>
      <c r="C1583" s="63" t="str">
        <f>'Padrão EPP'!C1583</f>
        <v>AC</v>
      </c>
      <c r="D1583" s="63" t="str">
        <f>'Padrão EPP'!D1583</f>
        <v>INTERIOR II</v>
      </c>
      <c r="E1583" s="63">
        <f>'Padrão EPP'!E1583/2</f>
        <v>0</v>
      </c>
      <c r="F1583" s="67">
        <v>3.0000000000000001E-3</v>
      </c>
      <c r="G1583" s="67">
        <v>2E-3</v>
      </c>
      <c r="H1583" s="63"/>
    </row>
    <row r="1584" spans="1:8" x14ac:dyDescent="0.25">
      <c r="A1584" s="63"/>
      <c r="B1584" s="63">
        <f>'Padrão EPP'!B1584</f>
        <v>16</v>
      </c>
      <c r="C1584" s="63" t="str">
        <f>'Padrão EPP'!C1584</f>
        <v>AC</v>
      </c>
      <c r="D1584" s="63" t="str">
        <f>'Padrão EPP'!D1584</f>
        <v>INTERIOR II</v>
      </c>
      <c r="E1584" s="63">
        <f>'Padrão EPP'!E1584/2</f>
        <v>0</v>
      </c>
      <c r="F1584" s="67">
        <v>3.0000000000000001E-3</v>
      </c>
      <c r="G1584" s="67">
        <v>2E-3</v>
      </c>
      <c r="H1584" s="63"/>
    </row>
    <row r="1585" spans="1:8" x14ac:dyDescent="0.25">
      <c r="A1585" s="63"/>
      <c r="B1585" s="63">
        <f>'Padrão EPP'!B1585</f>
        <v>17</v>
      </c>
      <c r="C1585" s="63" t="str">
        <f>'Padrão EPP'!C1585</f>
        <v>AC</v>
      </c>
      <c r="D1585" s="63" t="str">
        <f>'Padrão EPP'!D1585</f>
        <v>INTERIOR II</v>
      </c>
      <c r="E1585" s="63">
        <f>'Padrão EPP'!E1585/2</f>
        <v>0</v>
      </c>
      <c r="F1585" s="67">
        <v>3.0000000000000001E-3</v>
      </c>
      <c r="G1585" s="67">
        <v>2E-3</v>
      </c>
      <c r="H1585" s="63"/>
    </row>
    <row r="1586" spans="1:8" x14ac:dyDescent="0.25">
      <c r="A1586" s="63"/>
      <c r="B1586" s="63">
        <f>'Padrão EPP'!B1586</f>
        <v>18</v>
      </c>
      <c r="C1586" s="63" t="str">
        <f>'Padrão EPP'!C1586</f>
        <v>AC</v>
      </c>
      <c r="D1586" s="63" t="str">
        <f>'Padrão EPP'!D1586</f>
        <v>INTERIOR II</v>
      </c>
      <c r="E1586" s="63">
        <f>'Padrão EPP'!E1586/2</f>
        <v>0</v>
      </c>
      <c r="F1586" s="67">
        <v>3.0000000000000001E-3</v>
      </c>
      <c r="G1586" s="67">
        <v>2E-3</v>
      </c>
      <c r="H1586" s="63"/>
    </row>
    <row r="1587" spans="1:8" x14ac:dyDescent="0.25">
      <c r="A1587" s="63"/>
      <c r="B1587" s="63">
        <f>'Padrão EPP'!B1587</f>
        <v>19</v>
      </c>
      <c r="C1587" s="63" t="str">
        <f>'Padrão EPP'!C1587</f>
        <v>AC</v>
      </c>
      <c r="D1587" s="63" t="str">
        <f>'Padrão EPP'!D1587</f>
        <v>INTERIOR II</v>
      </c>
      <c r="E1587" s="63">
        <f>'Padrão EPP'!E1587/2</f>
        <v>0</v>
      </c>
      <c r="F1587" s="67">
        <v>3.0000000000000001E-3</v>
      </c>
      <c r="G1587" s="67">
        <v>2E-3</v>
      </c>
      <c r="H1587" s="63"/>
    </row>
    <row r="1588" spans="1:8" x14ac:dyDescent="0.25">
      <c r="A1588" s="63"/>
      <c r="B1588" s="63">
        <f>'Padrão EPP'!B1588</f>
        <v>20</v>
      </c>
      <c r="C1588" s="63" t="str">
        <f>'Padrão EPP'!C1588</f>
        <v>AC</v>
      </c>
      <c r="D1588" s="63" t="str">
        <f>'Padrão EPP'!D1588</f>
        <v>INTERIOR II</v>
      </c>
      <c r="E1588" s="63">
        <f>'Padrão EPP'!E1588/2</f>
        <v>0</v>
      </c>
      <c r="F1588" s="67">
        <v>3.0000000000000001E-3</v>
      </c>
      <c r="G1588" s="67">
        <v>2E-3</v>
      </c>
      <c r="H1588" s="63"/>
    </row>
    <row r="1589" spans="1:8" x14ac:dyDescent="0.25">
      <c r="A1589" s="63"/>
      <c r="B1589" s="63">
        <f>'Padrão EPP'!B1589</f>
        <v>21</v>
      </c>
      <c r="C1589" s="63" t="str">
        <f>'Padrão EPP'!C1589</f>
        <v>AC</v>
      </c>
      <c r="D1589" s="63" t="str">
        <f>'Padrão EPP'!D1589</f>
        <v>INTERIOR II</v>
      </c>
      <c r="E1589" s="63">
        <f>'Padrão EPP'!E1589/2</f>
        <v>0</v>
      </c>
      <c r="F1589" s="67">
        <v>3.0000000000000001E-3</v>
      </c>
      <c r="G1589" s="67">
        <v>2E-3</v>
      </c>
      <c r="H1589" s="63"/>
    </row>
    <row r="1590" spans="1:8" x14ac:dyDescent="0.25">
      <c r="A1590" s="63"/>
      <c r="B1590" s="63">
        <f>'Padrão EPP'!B1590</f>
        <v>22</v>
      </c>
      <c r="C1590" s="63" t="str">
        <f>'Padrão EPP'!C1590</f>
        <v>AC</v>
      </c>
      <c r="D1590" s="63" t="str">
        <f>'Padrão EPP'!D1590</f>
        <v>INTERIOR II</v>
      </c>
      <c r="E1590" s="63">
        <f>'Padrão EPP'!E1590/2</f>
        <v>0</v>
      </c>
      <c r="F1590" s="67">
        <v>3.0000000000000001E-3</v>
      </c>
      <c r="G1590" s="67">
        <v>2E-3</v>
      </c>
      <c r="H1590" s="63"/>
    </row>
    <row r="1591" spans="1:8" x14ac:dyDescent="0.25">
      <c r="A1591" s="63"/>
      <c r="B1591" s="63">
        <f>'Padrão EPP'!B1591</f>
        <v>23</v>
      </c>
      <c r="C1591" s="63" t="str">
        <f>'Padrão EPP'!C1591</f>
        <v>AC</v>
      </c>
      <c r="D1591" s="63" t="str">
        <f>'Padrão EPP'!D1591</f>
        <v>INTERIOR II</v>
      </c>
      <c r="E1591" s="63">
        <f>'Padrão EPP'!E1591/2</f>
        <v>0</v>
      </c>
      <c r="F1591" s="67">
        <v>3.0000000000000001E-3</v>
      </c>
      <c r="G1591" s="67">
        <v>2E-3</v>
      </c>
      <c r="H1591" s="63"/>
    </row>
    <row r="1592" spans="1:8" x14ac:dyDescent="0.25">
      <c r="A1592" s="63"/>
      <c r="B1592" s="63">
        <f>'Padrão EPP'!B1592</f>
        <v>24</v>
      </c>
      <c r="C1592" s="63" t="str">
        <f>'Padrão EPP'!C1592</f>
        <v>AC</v>
      </c>
      <c r="D1592" s="63" t="str">
        <f>'Padrão EPP'!D1592</f>
        <v>INTERIOR II</v>
      </c>
      <c r="E1592" s="63">
        <f>'Padrão EPP'!E1592/2</f>
        <v>0</v>
      </c>
      <c r="F1592" s="67">
        <v>3.0000000000000001E-3</v>
      </c>
      <c r="G1592" s="67">
        <v>2E-3</v>
      </c>
      <c r="H1592" s="63"/>
    </row>
    <row r="1593" spans="1:8" x14ac:dyDescent="0.25">
      <c r="A1593" s="63"/>
      <c r="B1593" s="63">
        <f>'Padrão EPP'!B1593</f>
        <v>25</v>
      </c>
      <c r="C1593" s="63" t="str">
        <f>'Padrão EPP'!C1593</f>
        <v>AC</v>
      </c>
      <c r="D1593" s="63" t="str">
        <f>'Padrão EPP'!D1593</f>
        <v>INTERIOR II</v>
      </c>
      <c r="E1593" s="63">
        <f>'Padrão EPP'!E1593/2</f>
        <v>0</v>
      </c>
      <c r="F1593" s="67">
        <v>3.0000000000000001E-3</v>
      </c>
      <c r="G1593" s="67">
        <v>2E-3</v>
      </c>
      <c r="H1593" s="63"/>
    </row>
    <row r="1594" spans="1:8" x14ac:dyDescent="0.25">
      <c r="A1594" s="63"/>
      <c r="B1594" s="63">
        <f>'Padrão EPP'!B1594</f>
        <v>26</v>
      </c>
      <c r="C1594" s="63" t="str">
        <f>'Padrão EPP'!C1594</f>
        <v>AC</v>
      </c>
      <c r="D1594" s="63" t="str">
        <f>'Padrão EPP'!D1594</f>
        <v>INTERIOR II</v>
      </c>
      <c r="E1594" s="63">
        <f>'Padrão EPP'!E1594/2</f>
        <v>0</v>
      </c>
      <c r="F1594" s="67">
        <v>3.0000000000000001E-3</v>
      </c>
      <c r="G1594" s="67">
        <v>2E-3</v>
      </c>
      <c r="H1594" s="63"/>
    </row>
    <row r="1595" spans="1:8" x14ac:dyDescent="0.25">
      <c r="A1595" s="63"/>
      <c r="B1595" s="63">
        <f>'Padrão EPP'!B1595</f>
        <v>27</v>
      </c>
      <c r="C1595" s="63" t="str">
        <f>'Padrão EPP'!C1595</f>
        <v>AC</v>
      </c>
      <c r="D1595" s="63" t="str">
        <f>'Padrão EPP'!D1595</f>
        <v>INTERIOR II</v>
      </c>
      <c r="E1595" s="63">
        <f>'Padrão EPP'!E1595/2</f>
        <v>0</v>
      </c>
      <c r="F1595" s="67">
        <v>3.0000000000000001E-3</v>
      </c>
      <c r="G1595" s="67">
        <v>2E-3</v>
      </c>
      <c r="H1595" s="63"/>
    </row>
    <row r="1596" spans="1:8" x14ac:dyDescent="0.25">
      <c r="A1596" s="63"/>
      <c r="B1596" s="63">
        <f>'Padrão EPP'!B1596</f>
        <v>28</v>
      </c>
      <c r="C1596" s="63" t="str">
        <f>'Padrão EPP'!C1596</f>
        <v>AC</v>
      </c>
      <c r="D1596" s="63" t="str">
        <f>'Padrão EPP'!D1596</f>
        <v>INTERIOR II</v>
      </c>
      <c r="E1596" s="63">
        <f>'Padrão EPP'!E1596/2</f>
        <v>0</v>
      </c>
      <c r="F1596" s="67">
        <v>3.0000000000000001E-3</v>
      </c>
      <c r="G1596" s="67">
        <v>2E-3</v>
      </c>
      <c r="H1596" s="63"/>
    </row>
    <row r="1597" spans="1:8" x14ac:dyDescent="0.25">
      <c r="A1597" s="63"/>
      <c r="B1597" s="63">
        <f>'Padrão EPP'!B1597</f>
        <v>29</v>
      </c>
      <c r="C1597" s="63" t="str">
        <f>'Padrão EPP'!C1597</f>
        <v>AC</v>
      </c>
      <c r="D1597" s="63" t="str">
        <f>'Padrão EPP'!D1597</f>
        <v>INTERIOR II</v>
      </c>
      <c r="E1597" s="63">
        <f>'Padrão EPP'!E1597/2</f>
        <v>0</v>
      </c>
      <c r="F1597" s="67">
        <v>3.0000000000000001E-3</v>
      </c>
      <c r="G1597" s="67">
        <v>2E-3</v>
      </c>
      <c r="H1597" s="63"/>
    </row>
    <row r="1598" spans="1:8" x14ac:dyDescent="0.25">
      <c r="A1598" s="63"/>
      <c r="B1598" s="63">
        <f>'Padrão EPP'!B1598</f>
        <v>30</v>
      </c>
      <c r="C1598" s="63" t="str">
        <f>'Padrão EPP'!C1598</f>
        <v>AC</v>
      </c>
      <c r="D1598" s="63" t="str">
        <f>'Padrão EPP'!D1598</f>
        <v>INTERIOR II</v>
      </c>
      <c r="E1598" s="63">
        <f>'Padrão EPP'!E1598/2</f>
        <v>0</v>
      </c>
      <c r="F1598" s="67">
        <v>3.0000000000000001E-3</v>
      </c>
      <c r="G1598" s="67">
        <v>2E-3</v>
      </c>
      <c r="H1598" s="63"/>
    </row>
    <row r="1599" spans="1:8" x14ac:dyDescent="0.25">
      <c r="A1599" s="63"/>
      <c r="B1599" s="63">
        <f>'Padrão EPP'!B1599</f>
        <v>0</v>
      </c>
      <c r="C1599" s="63" t="str">
        <f>'Padrão EPP'!C1599</f>
        <v>AC</v>
      </c>
      <c r="D1599" s="63" t="str">
        <f>'Padrão EPP'!D1599</f>
        <v>INTERIOR II</v>
      </c>
      <c r="E1599" s="63">
        <f>'Padrão EPP'!E1599/2</f>
        <v>1.5214394455252955</v>
      </c>
      <c r="F1599" s="67">
        <v>3.0000000000000001E-3</v>
      </c>
      <c r="G1599" s="67">
        <v>2E-3</v>
      </c>
      <c r="H1599" s="63"/>
    </row>
    <row r="1600" spans="1:8" x14ac:dyDescent="0.25">
      <c r="A1600" s="63"/>
      <c r="B1600" s="63">
        <f>'Padrão EPP'!B1600</f>
        <v>0.25</v>
      </c>
      <c r="C1600" s="63" t="str">
        <f>'Padrão EPP'!C1600</f>
        <v>AC</v>
      </c>
      <c r="D1600" s="63" t="str">
        <f>'Padrão EPP'!D1600</f>
        <v>REDESPACHO</v>
      </c>
      <c r="E1600" s="63">
        <f>'Padrão EPP'!E1600/2</f>
        <v>33.670485403879994</v>
      </c>
      <c r="F1600" s="67">
        <v>3.0000000000000001E-3</v>
      </c>
      <c r="G1600" s="67">
        <v>2E-3</v>
      </c>
      <c r="H1600" s="63"/>
    </row>
    <row r="1601" spans="1:8" x14ac:dyDescent="0.25">
      <c r="A1601" s="63"/>
      <c r="B1601" s="63">
        <f>'Padrão EPP'!B1601</f>
        <v>0.5</v>
      </c>
      <c r="C1601" s="63" t="str">
        <f>'Padrão EPP'!C1601</f>
        <v>AC</v>
      </c>
      <c r="D1601" s="63" t="str">
        <f>'Padrão EPP'!D1601</f>
        <v>REDESPACHO</v>
      </c>
      <c r="E1601" s="63">
        <f>'Padrão EPP'!E1601/2</f>
        <v>34.498841317050498</v>
      </c>
      <c r="F1601" s="67">
        <v>3.0000000000000001E-3</v>
      </c>
      <c r="G1601" s="67">
        <v>2E-3</v>
      </c>
      <c r="H1601" s="63"/>
    </row>
    <row r="1602" spans="1:8" x14ac:dyDescent="0.25">
      <c r="A1602" s="63"/>
      <c r="B1602" s="63">
        <f>'Padrão EPP'!B1602</f>
        <v>0.75</v>
      </c>
      <c r="C1602" s="63" t="str">
        <f>'Padrão EPP'!C1602</f>
        <v>AC</v>
      </c>
      <c r="D1602" s="63" t="str">
        <f>'Padrão EPP'!D1602</f>
        <v>REDESPACHO</v>
      </c>
      <c r="E1602" s="63">
        <f>'Padrão EPP'!E1602/2</f>
        <v>35.331918628333831</v>
      </c>
      <c r="F1602" s="67">
        <v>3.0000000000000001E-3</v>
      </c>
      <c r="G1602" s="67">
        <v>2E-3</v>
      </c>
      <c r="H1602" s="63"/>
    </row>
    <row r="1603" spans="1:8" x14ac:dyDescent="0.25">
      <c r="A1603" s="63"/>
      <c r="B1603" s="63">
        <f>'Padrão EPP'!B1603</f>
        <v>1</v>
      </c>
      <c r="C1603" s="63" t="str">
        <f>'Padrão EPP'!C1603</f>
        <v>AC</v>
      </c>
      <c r="D1603" s="63" t="str">
        <f>'Padrão EPP'!D1603</f>
        <v>REDESPACHO</v>
      </c>
      <c r="E1603" s="63">
        <f>'Padrão EPP'!E1603/2</f>
        <v>40.609259820286695</v>
      </c>
      <c r="F1603" s="67">
        <v>3.0000000000000001E-3</v>
      </c>
      <c r="G1603" s="67">
        <v>2E-3</v>
      </c>
      <c r="H1603" s="63"/>
    </row>
    <row r="1604" spans="1:8" x14ac:dyDescent="0.25">
      <c r="A1604" s="63"/>
      <c r="B1604" s="63">
        <f>'Padrão EPP'!B1604</f>
        <v>2</v>
      </c>
      <c r="C1604" s="63" t="str">
        <f>'Padrão EPP'!C1604</f>
        <v>AC</v>
      </c>
      <c r="D1604" s="63" t="str">
        <f>'Padrão EPP'!D1604</f>
        <v>REDESPACHO</v>
      </c>
      <c r="E1604" s="63">
        <f>'Padrão EPP'!E1604/2</f>
        <v>50.151263763060619</v>
      </c>
      <c r="F1604" s="67">
        <v>3.0000000000000001E-3</v>
      </c>
      <c r="G1604" s="67">
        <v>2E-3</v>
      </c>
      <c r="H1604" s="63"/>
    </row>
    <row r="1605" spans="1:8" x14ac:dyDescent="0.25">
      <c r="A1605" s="63"/>
      <c r="B1605" s="63">
        <f>'Padrão EPP'!B1605</f>
        <v>3</v>
      </c>
      <c r="C1605" s="63" t="str">
        <f>'Padrão EPP'!C1605</f>
        <v>AC</v>
      </c>
      <c r="D1605" s="63" t="str">
        <f>'Padrão EPP'!D1605</f>
        <v>REDESPACHO</v>
      </c>
      <c r="E1605" s="63">
        <f>'Padrão EPP'!E1605/2</f>
        <v>55.748221389366691</v>
      </c>
      <c r="F1605" s="67">
        <v>3.0000000000000001E-3</v>
      </c>
      <c r="G1605" s="67">
        <v>2E-3</v>
      </c>
      <c r="H1605" s="63"/>
    </row>
    <row r="1606" spans="1:8" x14ac:dyDescent="0.25">
      <c r="A1606" s="63"/>
      <c r="B1606" s="63">
        <f>'Padrão EPP'!B1606</f>
        <v>4</v>
      </c>
      <c r="C1606" s="63" t="str">
        <f>'Padrão EPP'!C1606</f>
        <v>AC</v>
      </c>
      <c r="D1606" s="63" t="str">
        <f>'Padrão EPP'!D1606</f>
        <v>REDESPACHO</v>
      </c>
      <c r="E1606" s="63">
        <f>'Padrão EPP'!E1606/2</f>
        <v>63.108539780350412</v>
      </c>
      <c r="F1606" s="67">
        <v>3.0000000000000001E-3</v>
      </c>
      <c r="G1606" s="67">
        <v>2E-3</v>
      </c>
      <c r="H1606" s="63"/>
    </row>
    <row r="1607" spans="1:8" x14ac:dyDescent="0.25">
      <c r="A1607" s="63"/>
      <c r="B1607" s="63">
        <f>'Padrão EPP'!B1607</f>
        <v>5</v>
      </c>
      <c r="C1607" s="63" t="str">
        <f>'Padrão EPP'!C1607</f>
        <v>AC</v>
      </c>
      <c r="D1607" s="63" t="str">
        <f>'Padrão EPP'!D1607</f>
        <v>REDESPACHO</v>
      </c>
      <c r="E1607" s="63">
        <f>'Padrão EPP'!E1607/2</f>
        <v>68.184626570885499</v>
      </c>
      <c r="F1607" s="67">
        <v>3.0000000000000001E-3</v>
      </c>
      <c r="G1607" s="67">
        <v>2E-3</v>
      </c>
      <c r="H1607" s="63"/>
    </row>
    <row r="1608" spans="1:8" x14ac:dyDescent="0.25">
      <c r="A1608" s="63"/>
      <c r="B1608" s="63">
        <f>'Padrão EPP'!B1608</f>
        <v>6</v>
      </c>
      <c r="C1608" s="63" t="str">
        <f>'Padrão EPP'!C1608</f>
        <v>AC</v>
      </c>
      <c r="D1608" s="63" t="str">
        <f>'Padrão EPP'!D1608</f>
        <v>REDESPACHO</v>
      </c>
      <c r="E1608" s="63">
        <f>'Padrão EPP'!E1608/2</f>
        <v>74.047687665474001</v>
      </c>
      <c r="F1608" s="67">
        <v>3.0000000000000001E-3</v>
      </c>
      <c r="G1608" s="67">
        <v>2E-3</v>
      </c>
      <c r="H1608" s="63"/>
    </row>
    <row r="1609" spans="1:8" x14ac:dyDescent="0.25">
      <c r="A1609" s="63"/>
      <c r="B1609" s="63">
        <f>'Padrão EPP'!B1609</f>
        <v>7</v>
      </c>
      <c r="C1609" s="63" t="str">
        <f>'Padrão EPP'!C1609</f>
        <v>AC</v>
      </c>
      <c r="D1609" s="63" t="str">
        <f>'Padrão EPP'!D1609</f>
        <v>REDESPACHO</v>
      </c>
      <c r="E1609" s="63">
        <f>'Padrão EPP'!E1609/2</f>
        <v>81.49468611952139</v>
      </c>
      <c r="F1609" s="67">
        <v>3.0000000000000001E-3</v>
      </c>
      <c r="G1609" s="67">
        <v>2E-3</v>
      </c>
      <c r="H1609" s="63"/>
    </row>
    <row r="1610" spans="1:8" x14ac:dyDescent="0.25">
      <c r="A1610" s="63"/>
      <c r="B1610" s="63">
        <f>'Padrão EPP'!B1610</f>
        <v>8</v>
      </c>
      <c r="C1610" s="63" t="str">
        <f>'Padrão EPP'!C1610</f>
        <v>AC</v>
      </c>
      <c r="D1610" s="63" t="str">
        <f>'Padrão EPP'!D1610</f>
        <v>REDESPACHO</v>
      </c>
      <c r="E1610" s="63">
        <f>'Padrão EPP'!E1610/2</f>
        <v>88.67153903744962</v>
      </c>
      <c r="F1610" s="67">
        <v>3.0000000000000001E-3</v>
      </c>
      <c r="G1610" s="67">
        <v>2E-3</v>
      </c>
      <c r="H1610" s="63"/>
    </row>
    <row r="1611" spans="1:8" x14ac:dyDescent="0.25">
      <c r="A1611" s="63"/>
      <c r="B1611" s="63">
        <f>'Padrão EPP'!B1611</f>
        <v>9</v>
      </c>
      <c r="C1611" s="63" t="str">
        <f>'Padrão EPP'!C1611</f>
        <v>AC</v>
      </c>
      <c r="D1611" s="63" t="str">
        <f>'Padrão EPP'!D1611</f>
        <v>REDESPACHO</v>
      </c>
      <c r="E1611" s="63">
        <f>'Padrão EPP'!E1611/2</f>
        <v>95.212450753694597</v>
      </c>
      <c r="F1611" s="67">
        <v>3.0000000000000001E-3</v>
      </c>
      <c r="G1611" s="67">
        <v>2E-3</v>
      </c>
      <c r="H1611" s="63"/>
    </row>
    <row r="1612" spans="1:8" x14ac:dyDescent="0.25">
      <c r="A1612" s="63"/>
      <c r="B1612" s="63">
        <f>'Padrão EPP'!B1612</f>
        <v>10</v>
      </c>
      <c r="C1612" s="63" t="str">
        <f>'Padrão EPP'!C1612</f>
        <v>AC</v>
      </c>
      <c r="D1612" s="63" t="str">
        <f>'Padrão EPP'!D1612</f>
        <v>REDESPACHO</v>
      </c>
      <c r="E1612" s="63">
        <f>'Padrão EPP'!E1612/2</f>
        <v>104.63716583248363</v>
      </c>
      <c r="F1612" s="67">
        <v>3.0000000000000001E-3</v>
      </c>
      <c r="G1612" s="67">
        <v>2E-3</v>
      </c>
      <c r="H1612" s="63"/>
    </row>
    <row r="1613" spans="1:8" x14ac:dyDescent="0.25">
      <c r="A1613" s="63"/>
      <c r="B1613" s="63">
        <f>'Padrão EPP'!B1613</f>
        <v>11</v>
      </c>
      <c r="C1613" s="63" t="str">
        <f>'Padrão EPP'!C1613</f>
        <v>AC</v>
      </c>
      <c r="D1613" s="63" t="str">
        <f>'Padrão EPP'!D1613</f>
        <v>REDESPACHO</v>
      </c>
      <c r="E1613" s="63">
        <f>'Padrão EPP'!E1613/2</f>
        <v>0</v>
      </c>
      <c r="F1613" s="67">
        <v>3.0000000000000001E-3</v>
      </c>
      <c r="G1613" s="67">
        <v>2E-3</v>
      </c>
      <c r="H1613" s="63"/>
    </row>
    <row r="1614" spans="1:8" x14ac:dyDescent="0.25">
      <c r="A1614" s="63"/>
      <c r="B1614" s="63">
        <f>'Padrão EPP'!B1614</f>
        <v>12</v>
      </c>
      <c r="C1614" s="63" t="str">
        <f>'Padrão EPP'!C1614</f>
        <v>AC</v>
      </c>
      <c r="D1614" s="63" t="str">
        <f>'Padrão EPP'!D1614</f>
        <v>REDESPACHO</v>
      </c>
      <c r="E1614" s="63">
        <f>'Padrão EPP'!E1614/2</f>
        <v>0</v>
      </c>
      <c r="F1614" s="67">
        <v>3.0000000000000001E-3</v>
      </c>
      <c r="G1614" s="67">
        <v>2E-3</v>
      </c>
      <c r="H1614" s="63"/>
    </row>
    <row r="1615" spans="1:8" x14ac:dyDescent="0.25">
      <c r="A1615" s="63"/>
      <c r="B1615" s="63">
        <f>'Padrão EPP'!B1615</f>
        <v>13</v>
      </c>
      <c r="C1615" s="63" t="str">
        <f>'Padrão EPP'!C1615</f>
        <v>AC</v>
      </c>
      <c r="D1615" s="63" t="str">
        <f>'Padrão EPP'!D1615</f>
        <v>REDESPACHO</v>
      </c>
      <c r="E1615" s="63">
        <f>'Padrão EPP'!E1615/2</f>
        <v>0</v>
      </c>
      <c r="F1615" s="67">
        <v>3.0000000000000001E-3</v>
      </c>
      <c r="G1615" s="67">
        <v>2E-3</v>
      </c>
      <c r="H1615" s="63"/>
    </row>
    <row r="1616" spans="1:8" x14ac:dyDescent="0.25">
      <c r="A1616" s="63"/>
      <c r="B1616" s="63">
        <f>'Padrão EPP'!B1616</f>
        <v>14</v>
      </c>
      <c r="C1616" s="63" t="str">
        <f>'Padrão EPP'!C1616</f>
        <v>AC</v>
      </c>
      <c r="D1616" s="63" t="str">
        <f>'Padrão EPP'!D1616</f>
        <v>REDESPACHO</v>
      </c>
      <c r="E1616" s="63">
        <f>'Padrão EPP'!E1616/2</f>
        <v>0</v>
      </c>
      <c r="F1616" s="67">
        <v>3.0000000000000001E-3</v>
      </c>
      <c r="G1616" s="67">
        <v>2E-3</v>
      </c>
      <c r="H1616" s="63"/>
    </row>
    <row r="1617" spans="1:8" x14ac:dyDescent="0.25">
      <c r="A1617" s="63"/>
      <c r="B1617" s="63">
        <f>'Padrão EPP'!B1617</f>
        <v>15</v>
      </c>
      <c r="C1617" s="63" t="str">
        <f>'Padrão EPP'!C1617</f>
        <v>AC</v>
      </c>
      <c r="D1617" s="63" t="str">
        <f>'Padrão EPP'!D1617</f>
        <v>REDESPACHO</v>
      </c>
      <c r="E1617" s="63">
        <f>'Padrão EPP'!E1617/2</f>
        <v>0</v>
      </c>
      <c r="F1617" s="67">
        <v>3.0000000000000001E-3</v>
      </c>
      <c r="G1617" s="67">
        <v>2E-3</v>
      </c>
      <c r="H1617" s="63"/>
    </row>
    <row r="1618" spans="1:8" x14ac:dyDescent="0.25">
      <c r="A1618" s="63"/>
      <c r="B1618" s="63">
        <f>'Padrão EPP'!B1618</f>
        <v>16</v>
      </c>
      <c r="C1618" s="63" t="str">
        <f>'Padrão EPP'!C1618</f>
        <v>AC</v>
      </c>
      <c r="D1618" s="63" t="str">
        <f>'Padrão EPP'!D1618</f>
        <v>REDESPACHO</v>
      </c>
      <c r="E1618" s="63">
        <f>'Padrão EPP'!E1618/2</f>
        <v>0</v>
      </c>
      <c r="F1618" s="67">
        <v>3.0000000000000001E-3</v>
      </c>
      <c r="G1618" s="67">
        <v>2E-3</v>
      </c>
      <c r="H1618" s="63"/>
    </row>
    <row r="1619" spans="1:8" x14ac:dyDescent="0.25">
      <c r="A1619" s="63"/>
      <c r="B1619" s="63">
        <f>'Padrão EPP'!B1619</f>
        <v>17</v>
      </c>
      <c r="C1619" s="63" t="str">
        <f>'Padrão EPP'!C1619</f>
        <v>AC</v>
      </c>
      <c r="D1619" s="63" t="str">
        <f>'Padrão EPP'!D1619</f>
        <v>REDESPACHO</v>
      </c>
      <c r="E1619" s="63">
        <f>'Padrão EPP'!E1619/2</f>
        <v>0</v>
      </c>
      <c r="F1619" s="67">
        <v>3.0000000000000001E-3</v>
      </c>
      <c r="G1619" s="67">
        <v>2E-3</v>
      </c>
      <c r="H1619" s="63"/>
    </row>
    <row r="1620" spans="1:8" x14ac:dyDescent="0.25">
      <c r="A1620" s="63"/>
      <c r="B1620" s="63">
        <f>'Padrão EPP'!B1620</f>
        <v>18</v>
      </c>
      <c r="C1620" s="63" t="str">
        <f>'Padrão EPP'!C1620</f>
        <v>AC</v>
      </c>
      <c r="D1620" s="63" t="str">
        <f>'Padrão EPP'!D1620</f>
        <v>REDESPACHO</v>
      </c>
      <c r="E1620" s="63">
        <f>'Padrão EPP'!E1620/2</f>
        <v>0</v>
      </c>
      <c r="F1620" s="67">
        <v>3.0000000000000001E-3</v>
      </c>
      <c r="G1620" s="67">
        <v>2E-3</v>
      </c>
      <c r="H1620" s="63"/>
    </row>
    <row r="1621" spans="1:8" x14ac:dyDescent="0.25">
      <c r="A1621" s="63"/>
      <c r="B1621" s="63">
        <f>'Padrão EPP'!B1621</f>
        <v>19</v>
      </c>
      <c r="C1621" s="63" t="str">
        <f>'Padrão EPP'!C1621</f>
        <v>AC</v>
      </c>
      <c r="D1621" s="63" t="str">
        <f>'Padrão EPP'!D1621</f>
        <v>REDESPACHO</v>
      </c>
      <c r="E1621" s="63">
        <f>'Padrão EPP'!E1621/2</f>
        <v>0</v>
      </c>
      <c r="F1621" s="67">
        <v>3.0000000000000001E-3</v>
      </c>
      <c r="G1621" s="67">
        <v>2E-3</v>
      </c>
      <c r="H1621" s="63"/>
    </row>
    <row r="1622" spans="1:8" x14ac:dyDescent="0.25">
      <c r="A1622" s="63"/>
      <c r="B1622" s="63">
        <f>'Padrão EPP'!B1622</f>
        <v>20</v>
      </c>
      <c r="C1622" s="63" t="str">
        <f>'Padrão EPP'!C1622</f>
        <v>AC</v>
      </c>
      <c r="D1622" s="63" t="str">
        <f>'Padrão EPP'!D1622</f>
        <v>REDESPACHO</v>
      </c>
      <c r="E1622" s="63">
        <f>'Padrão EPP'!E1622/2</f>
        <v>0</v>
      </c>
      <c r="F1622" s="67">
        <v>3.0000000000000001E-3</v>
      </c>
      <c r="G1622" s="67">
        <v>2E-3</v>
      </c>
      <c r="H1622" s="63"/>
    </row>
    <row r="1623" spans="1:8" x14ac:dyDescent="0.25">
      <c r="A1623" s="63"/>
      <c r="B1623" s="63">
        <f>'Padrão EPP'!B1623</f>
        <v>21</v>
      </c>
      <c r="C1623" s="63" t="str">
        <f>'Padrão EPP'!C1623</f>
        <v>AC</v>
      </c>
      <c r="D1623" s="63" t="str">
        <f>'Padrão EPP'!D1623</f>
        <v>REDESPACHO</v>
      </c>
      <c r="E1623" s="63">
        <f>'Padrão EPP'!E1623/2</f>
        <v>0</v>
      </c>
      <c r="F1623" s="67">
        <v>3.0000000000000001E-3</v>
      </c>
      <c r="G1623" s="67">
        <v>2E-3</v>
      </c>
      <c r="H1623" s="63"/>
    </row>
    <row r="1624" spans="1:8" x14ac:dyDescent="0.25">
      <c r="A1624" s="63"/>
      <c r="B1624" s="63">
        <f>'Padrão EPP'!B1624</f>
        <v>22</v>
      </c>
      <c r="C1624" s="63" t="str">
        <f>'Padrão EPP'!C1624</f>
        <v>AC</v>
      </c>
      <c r="D1624" s="63" t="str">
        <f>'Padrão EPP'!D1624</f>
        <v>REDESPACHO</v>
      </c>
      <c r="E1624" s="63">
        <f>'Padrão EPP'!E1624/2</f>
        <v>0</v>
      </c>
      <c r="F1624" s="67">
        <v>3.0000000000000001E-3</v>
      </c>
      <c r="G1624" s="67">
        <v>2E-3</v>
      </c>
      <c r="H1624" s="63"/>
    </row>
    <row r="1625" spans="1:8" x14ac:dyDescent="0.25">
      <c r="A1625" s="63"/>
      <c r="B1625" s="63">
        <f>'Padrão EPP'!B1625</f>
        <v>23</v>
      </c>
      <c r="C1625" s="63" t="str">
        <f>'Padrão EPP'!C1625</f>
        <v>AC</v>
      </c>
      <c r="D1625" s="63" t="str">
        <f>'Padrão EPP'!D1625</f>
        <v>REDESPACHO</v>
      </c>
      <c r="E1625" s="63">
        <f>'Padrão EPP'!E1625/2</f>
        <v>0</v>
      </c>
      <c r="F1625" s="67">
        <v>3.0000000000000001E-3</v>
      </c>
      <c r="G1625" s="67">
        <v>2E-3</v>
      </c>
      <c r="H1625" s="63"/>
    </row>
    <row r="1626" spans="1:8" x14ac:dyDescent="0.25">
      <c r="A1626" s="63"/>
      <c r="B1626" s="63">
        <f>'Padrão EPP'!B1626</f>
        <v>24</v>
      </c>
      <c r="C1626" s="63" t="str">
        <f>'Padrão EPP'!C1626</f>
        <v>AC</v>
      </c>
      <c r="D1626" s="63" t="str">
        <f>'Padrão EPP'!D1626</f>
        <v>REDESPACHO</v>
      </c>
      <c r="E1626" s="63">
        <f>'Padrão EPP'!E1626/2</f>
        <v>0</v>
      </c>
      <c r="F1626" s="67">
        <v>3.0000000000000001E-3</v>
      </c>
      <c r="G1626" s="67">
        <v>2E-3</v>
      </c>
      <c r="H1626" s="63"/>
    </row>
    <row r="1627" spans="1:8" x14ac:dyDescent="0.25">
      <c r="A1627" s="63"/>
      <c r="B1627" s="63">
        <f>'Padrão EPP'!B1627</f>
        <v>25</v>
      </c>
      <c r="C1627" s="63" t="str">
        <f>'Padrão EPP'!C1627</f>
        <v>AC</v>
      </c>
      <c r="D1627" s="63" t="str">
        <f>'Padrão EPP'!D1627</f>
        <v>REDESPACHO</v>
      </c>
      <c r="E1627" s="63">
        <f>'Padrão EPP'!E1627/2</f>
        <v>0</v>
      </c>
      <c r="F1627" s="67">
        <v>3.0000000000000001E-3</v>
      </c>
      <c r="G1627" s="67">
        <v>2E-3</v>
      </c>
      <c r="H1627" s="63"/>
    </row>
    <row r="1628" spans="1:8" x14ac:dyDescent="0.25">
      <c r="A1628" s="63"/>
      <c r="B1628" s="63">
        <f>'Padrão EPP'!B1628</f>
        <v>26</v>
      </c>
      <c r="C1628" s="63" t="str">
        <f>'Padrão EPP'!C1628</f>
        <v>AC</v>
      </c>
      <c r="D1628" s="63" t="str">
        <f>'Padrão EPP'!D1628</f>
        <v>REDESPACHO</v>
      </c>
      <c r="E1628" s="63">
        <f>'Padrão EPP'!E1628/2</f>
        <v>0</v>
      </c>
      <c r="F1628" s="67">
        <v>3.0000000000000001E-3</v>
      </c>
      <c r="G1628" s="67">
        <v>2E-3</v>
      </c>
      <c r="H1628" s="63"/>
    </row>
    <row r="1629" spans="1:8" x14ac:dyDescent="0.25">
      <c r="A1629" s="63"/>
      <c r="B1629" s="63">
        <f>'Padrão EPP'!B1629</f>
        <v>27</v>
      </c>
      <c r="C1629" s="63" t="str">
        <f>'Padrão EPP'!C1629</f>
        <v>AC</v>
      </c>
      <c r="D1629" s="63" t="str">
        <f>'Padrão EPP'!D1629</f>
        <v>REDESPACHO</v>
      </c>
      <c r="E1629" s="63">
        <f>'Padrão EPP'!E1629/2</f>
        <v>0</v>
      </c>
      <c r="F1629" s="67">
        <v>3.0000000000000001E-3</v>
      </c>
      <c r="G1629" s="67">
        <v>2E-3</v>
      </c>
      <c r="H1629" s="63"/>
    </row>
    <row r="1630" spans="1:8" x14ac:dyDescent="0.25">
      <c r="A1630" s="63"/>
      <c r="B1630" s="63">
        <f>'Padrão EPP'!B1630</f>
        <v>28</v>
      </c>
      <c r="C1630" s="63" t="str">
        <f>'Padrão EPP'!C1630</f>
        <v>AC</v>
      </c>
      <c r="D1630" s="63" t="str">
        <f>'Padrão EPP'!D1630</f>
        <v>REDESPACHO</v>
      </c>
      <c r="E1630" s="63">
        <f>'Padrão EPP'!E1630/2</f>
        <v>0</v>
      </c>
      <c r="F1630" s="67">
        <v>3.0000000000000001E-3</v>
      </c>
      <c r="G1630" s="67">
        <v>2E-3</v>
      </c>
      <c r="H1630" s="63"/>
    </row>
    <row r="1631" spans="1:8" x14ac:dyDescent="0.25">
      <c r="A1631" s="63"/>
      <c r="B1631" s="63">
        <f>'Padrão EPP'!B1631</f>
        <v>29</v>
      </c>
      <c r="C1631" s="63" t="str">
        <f>'Padrão EPP'!C1631</f>
        <v>AC</v>
      </c>
      <c r="D1631" s="63" t="str">
        <f>'Padrão EPP'!D1631</f>
        <v>REDESPACHO</v>
      </c>
      <c r="E1631" s="63">
        <f>'Padrão EPP'!E1631/2</f>
        <v>0</v>
      </c>
      <c r="F1631" s="67">
        <v>3.0000000000000001E-3</v>
      </c>
      <c r="G1631" s="67">
        <v>2E-3</v>
      </c>
      <c r="H1631" s="63"/>
    </row>
    <row r="1632" spans="1:8" x14ac:dyDescent="0.25">
      <c r="A1632" s="63"/>
      <c r="B1632" s="63">
        <f>'Padrão EPP'!B1632</f>
        <v>30</v>
      </c>
      <c r="C1632" s="63" t="str">
        <f>'Padrão EPP'!C1632</f>
        <v>AC</v>
      </c>
      <c r="D1632" s="63" t="str">
        <f>'Padrão EPP'!D1632</f>
        <v>REDESPACHO</v>
      </c>
      <c r="E1632" s="63">
        <f>'Padrão EPP'!E1632/2</f>
        <v>0</v>
      </c>
      <c r="F1632" s="67">
        <v>3.0000000000000001E-3</v>
      </c>
      <c r="G1632" s="67">
        <v>2E-3</v>
      </c>
      <c r="H1632" s="63"/>
    </row>
    <row r="1633" spans="1:8" x14ac:dyDescent="0.25">
      <c r="A1633" s="63"/>
      <c r="B1633" s="63">
        <f>'Padrão EPP'!B1633</f>
        <v>0</v>
      </c>
      <c r="C1633" s="63" t="str">
        <f>'Padrão EPP'!C1633</f>
        <v>AC</v>
      </c>
      <c r="D1633" s="63" t="str">
        <f>'Padrão EPP'!D1633</f>
        <v>REDESPACHO</v>
      </c>
      <c r="E1633" s="63">
        <f>'Padrão EPP'!E1633/2</f>
        <v>1.5214394455252955</v>
      </c>
      <c r="F1633" s="67">
        <v>3.0000000000000001E-3</v>
      </c>
      <c r="G1633" s="67">
        <v>2E-3</v>
      </c>
      <c r="H1633" s="63"/>
    </row>
    <row r="1634" spans="1:8" x14ac:dyDescent="0.25">
      <c r="A1634" s="63"/>
      <c r="B1634" s="63">
        <f>'Padrão EPP'!B1634</f>
        <v>0.25</v>
      </c>
      <c r="C1634" s="63" t="str">
        <f>'Padrão EPP'!C1634</f>
        <v>AM</v>
      </c>
      <c r="D1634" s="63" t="str">
        <f>'Padrão EPP'!D1634</f>
        <v>CAPITAL</v>
      </c>
      <c r="E1634" s="63">
        <f>'Padrão EPP'!E1634/2</f>
        <v>11.070234468590709</v>
      </c>
      <c r="F1634" s="67">
        <v>3.0000000000000001E-3</v>
      </c>
      <c r="G1634" s="67">
        <v>2E-3</v>
      </c>
      <c r="H1634" s="63"/>
    </row>
    <row r="1635" spans="1:8" x14ac:dyDescent="0.25">
      <c r="A1635" s="63"/>
      <c r="B1635" s="63">
        <f>'Padrão EPP'!B1635</f>
        <v>0.5</v>
      </c>
      <c r="C1635" s="63" t="str">
        <f>'Padrão EPP'!C1635</f>
        <v>AM</v>
      </c>
      <c r="D1635" s="63" t="str">
        <f>'Padrão EPP'!D1635</f>
        <v>CAPITAL</v>
      </c>
      <c r="E1635" s="63">
        <f>'Padrão EPP'!E1635/2</f>
        <v>11.247611216012922</v>
      </c>
      <c r="F1635" s="67">
        <v>3.0000000000000001E-3</v>
      </c>
      <c r="G1635" s="67">
        <v>2E-3</v>
      </c>
      <c r="H1635" s="63"/>
    </row>
    <row r="1636" spans="1:8" x14ac:dyDescent="0.25">
      <c r="A1636" s="63"/>
      <c r="B1636" s="63">
        <f>'Padrão EPP'!B1636</f>
        <v>0.75</v>
      </c>
      <c r="C1636" s="63" t="str">
        <f>'Padrão EPP'!C1636</f>
        <v>AM</v>
      </c>
      <c r="D1636" s="63" t="str">
        <f>'Padrão EPP'!D1636</f>
        <v>CAPITAL</v>
      </c>
      <c r="E1636" s="63">
        <f>'Padrão EPP'!E1636/2</f>
        <v>11.364626680306632</v>
      </c>
      <c r="F1636" s="67">
        <v>3.0000000000000001E-3</v>
      </c>
      <c r="G1636" s="67">
        <v>2E-3</v>
      </c>
      <c r="H1636" s="63"/>
    </row>
    <row r="1637" spans="1:8" x14ac:dyDescent="0.25">
      <c r="A1637" s="63"/>
      <c r="B1637" s="63">
        <f>'Padrão EPP'!B1637</f>
        <v>1</v>
      </c>
      <c r="C1637" s="63" t="str">
        <f>'Padrão EPP'!C1637</f>
        <v>AM</v>
      </c>
      <c r="D1637" s="63" t="str">
        <f>'Padrão EPP'!D1637</f>
        <v>CAPITAL</v>
      </c>
      <c r="E1637" s="63">
        <f>'Padrão EPP'!E1637/2</f>
        <v>11.518375126007474</v>
      </c>
      <c r="F1637" s="67">
        <v>3.0000000000000001E-3</v>
      </c>
      <c r="G1637" s="67">
        <v>2E-3</v>
      </c>
      <c r="H1637" s="63"/>
    </row>
    <row r="1638" spans="1:8" x14ac:dyDescent="0.25">
      <c r="A1638" s="63"/>
      <c r="B1638" s="63">
        <f>'Padrão EPP'!B1638</f>
        <v>2</v>
      </c>
      <c r="C1638" s="63" t="str">
        <f>'Padrão EPP'!C1638</f>
        <v>AM</v>
      </c>
      <c r="D1638" s="63" t="str">
        <f>'Padrão EPP'!D1638</f>
        <v>CAPITAL</v>
      </c>
      <c r="E1638" s="63">
        <f>'Padrão EPP'!E1638/2</f>
        <v>16.264302560323621</v>
      </c>
      <c r="F1638" s="67">
        <v>3.0000000000000001E-3</v>
      </c>
      <c r="G1638" s="67">
        <v>2E-3</v>
      </c>
      <c r="H1638" s="63"/>
    </row>
    <row r="1639" spans="1:8" x14ac:dyDescent="0.25">
      <c r="A1639" s="63"/>
      <c r="B1639" s="63">
        <f>'Padrão EPP'!B1639</f>
        <v>3</v>
      </c>
      <c r="C1639" s="63" t="str">
        <f>'Padrão EPP'!C1639</f>
        <v>AM</v>
      </c>
      <c r="D1639" s="63" t="str">
        <f>'Padrão EPP'!D1639</f>
        <v>CAPITAL</v>
      </c>
      <c r="E1639" s="63">
        <f>'Padrão EPP'!E1639/2</f>
        <v>21.397442062709338</v>
      </c>
      <c r="F1639" s="67">
        <v>3.0000000000000001E-3</v>
      </c>
      <c r="G1639" s="67">
        <v>2E-3</v>
      </c>
      <c r="H1639" s="63"/>
    </row>
    <row r="1640" spans="1:8" x14ac:dyDescent="0.25">
      <c r="A1640" s="63"/>
      <c r="B1640" s="63">
        <f>'Padrão EPP'!B1640</f>
        <v>4</v>
      </c>
      <c r="C1640" s="63" t="str">
        <f>'Padrão EPP'!C1640</f>
        <v>AM</v>
      </c>
      <c r="D1640" s="63" t="str">
        <f>'Padrão EPP'!D1640</f>
        <v>CAPITAL</v>
      </c>
      <c r="E1640" s="63">
        <f>'Padrão EPP'!E1640/2</f>
        <v>26.626981770422766</v>
      </c>
      <c r="F1640" s="67">
        <v>3.0000000000000001E-3</v>
      </c>
      <c r="G1640" s="67">
        <v>2E-3</v>
      </c>
      <c r="H1640" s="63"/>
    </row>
    <row r="1641" spans="1:8" x14ac:dyDescent="0.25">
      <c r="A1641" s="63"/>
      <c r="B1641" s="63">
        <f>'Padrão EPP'!B1641</f>
        <v>5</v>
      </c>
      <c r="C1641" s="63" t="str">
        <f>'Padrão EPP'!C1641</f>
        <v>AM</v>
      </c>
      <c r="D1641" s="63" t="str">
        <f>'Padrão EPP'!D1641</f>
        <v>CAPITAL</v>
      </c>
      <c r="E1641" s="63">
        <f>'Padrão EPP'!E1641/2</f>
        <v>32.0007976881773</v>
      </c>
      <c r="F1641" s="67">
        <v>3.0000000000000001E-3</v>
      </c>
      <c r="G1641" s="67">
        <v>2E-3</v>
      </c>
      <c r="H1641" s="63"/>
    </row>
    <row r="1642" spans="1:8" x14ac:dyDescent="0.25">
      <c r="A1642" s="63"/>
      <c r="B1642" s="63">
        <f>'Padrão EPP'!B1642</f>
        <v>6</v>
      </c>
      <c r="C1642" s="63" t="str">
        <f>'Padrão EPP'!C1642</f>
        <v>AM</v>
      </c>
      <c r="D1642" s="63" t="str">
        <f>'Padrão EPP'!D1642</f>
        <v>CAPITAL</v>
      </c>
      <c r="E1642" s="63">
        <f>'Padrão EPP'!E1642/2</f>
        <v>37.224947578476879</v>
      </c>
      <c r="F1642" s="67">
        <v>3.0000000000000001E-3</v>
      </c>
      <c r="G1642" s="67">
        <v>2E-3</v>
      </c>
      <c r="H1642" s="63"/>
    </row>
    <row r="1643" spans="1:8" x14ac:dyDescent="0.25">
      <c r="A1643" s="63"/>
      <c r="B1643" s="63">
        <f>'Padrão EPP'!B1643</f>
        <v>7</v>
      </c>
      <c r="C1643" s="63" t="str">
        <f>'Padrão EPP'!C1643</f>
        <v>AM</v>
      </c>
      <c r="D1643" s="63" t="str">
        <f>'Padrão EPP'!D1643</f>
        <v>CAPITAL</v>
      </c>
      <c r="E1643" s="63">
        <f>'Padrão EPP'!E1643/2</f>
        <v>42.499203051880961</v>
      </c>
      <c r="F1643" s="67">
        <v>3.0000000000000001E-3</v>
      </c>
      <c r="G1643" s="67">
        <v>2E-3</v>
      </c>
      <c r="H1643" s="63"/>
    </row>
    <row r="1644" spans="1:8" x14ac:dyDescent="0.25">
      <c r="A1644" s="63"/>
      <c r="B1644" s="63">
        <f>'Padrão EPP'!B1644</f>
        <v>8</v>
      </c>
      <c r="C1644" s="63" t="str">
        <f>'Padrão EPP'!C1644</f>
        <v>AM</v>
      </c>
      <c r="D1644" s="63" t="str">
        <f>'Padrão EPP'!D1644</f>
        <v>CAPITAL</v>
      </c>
      <c r="E1644" s="63">
        <f>'Padrão EPP'!E1644/2</f>
        <v>47.828574666699964</v>
      </c>
      <c r="F1644" s="67">
        <v>3.0000000000000001E-3</v>
      </c>
      <c r="G1644" s="67">
        <v>2E-3</v>
      </c>
      <c r="H1644" s="63"/>
    </row>
    <row r="1645" spans="1:8" x14ac:dyDescent="0.25">
      <c r="A1645" s="63"/>
      <c r="B1645" s="63">
        <f>'Padrão EPP'!B1645</f>
        <v>9</v>
      </c>
      <c r="C1645" s="63" t="str">
        <f>'Padrão EPP'!C1645</f>
        <v>AM</v>
      </c>
      <c r="D1645" s="63" t="str">
        <f>'Padrão EPP'!D1645</f>
        <v>CAPITAL</v>
      </c>
      <c r="E1645" s="63">
        <f>'Padrão EPP'!E1645/2</f>
        <v>53.218574037075356</v>
      </c>
      <c r="F1645" s="67">
        <v>3.0000000000000001E-3</v>
      </c>
      <c r="G1645" s="67">
        <v>2E-3</v>
      </c>
      <c r="H1645" s="63"/>
    </row>
    <row r="1646" spans="1:8" x14ac:dyDescent="0.25">
      <c r="A1646" s="63"/>
      <c r="B1646" s="63">
        <f>'Padrão EPP'!B1646</f>
        <v>10</v>
      </c>
      <c r="C1646" s="63" t="str">
        <f>'Padrão EPP'!C1646</f>
        <v>AM</v>
      </c>
      <c r="D1646" s="63" t="str">
        <f>'Padrão EPP'!D1646</f>
        <v>CAPITAL</v>
      </c>
      <c r="E1646" s="63">
        <f>'Padrão EPP'!E1646/2</f>
        <v>58.32942589865317</v>
      </c>
      <c r="F1646" s="67">
        <v>3.0000000000000001E-3</v>
      </c>
      <c r="G1646" s="67">
        <v>2E-3</v>
      </c>
      <c r="H1646" s="63"/>
    </row>
    <row r="1647" spans="1:8" x14ac:dyDescent="0.25">
      <c r="A1647" s="63"/>
      <c r="B1647" s="63">
        <f>'Padrão EPP'!B1647</f>
        <v>11</v>
      </c>
      <c r="C1647" s="63" t="str">
        <f>'Padrão EPP'!C1647</f>
        <v>AM</v>
      </c>
      <c r="D1647" s="63" t="str">
        <f>'Padrão EPP'!D1647</f>
        <v>CAPITAL</v>
      </c>
      <c r="E1647" s="63">
        <f>'Padrão EPP'!E1647/2</f>
        <v>0</v>
      </c>
      <c r="F1647" s="67">
        <v>3.0000000000000001E-3</v>
      </c>
      <c r="G1647" s="67">
        <v>2E-3</v>
      </c>
      <c r="H1647" s="63"/>
    </row>
    <row r="1648" spans="1:8" x14ac:dyDescent="0.25">
      <c r="A1648" s="63"/>
      <c r="B1648" s="63">
        <f>'Padrão EPP'!B1648</f>
        <v>12</v>
      </c>
      <c r="C1648" s="63" t="str">
        <f>'Padrão EPP'!C1648</f>
        <v>AM</v>
      </c>
      <c r="D1648" s="63" t="str">
        <f>'Padrão EPP'!D1648</f>
        <v>CAPITAL</v>
      </c>
      <c r="E1648" s="63">
        <f>'Padrão EPP'!E1648/2</f>
        <v>0</v>
      </c>
      <c r="F1648" s="67">
        <v>3.0000000000000001E-3</v>
      </c>
      <c r="G1648" s="67">
        <v>2E-3</v>
      </c>
      <c r="H1648" s="63"/>
    </row>
    <row r="1649" spans="1:8" x14ac:dyDescent="0.25">
      <c r="A1649" s="63"/>
      <c r="B1649" s="63">
        <f>'Padrão EPP'!B1649</f>
        <v>13</v>
      </c>
      <c r="C1649" s="63" t="str">
        <f>'Padrão EPP'!C1649</f>
        <v>AM</v>
      </c>
      <c r="D1649" s="63" t="str">
        <f>'Padrão EPP'!D1649</f>
        <v>CAPITAL</v>
      </c>
      <c r="E1649" s="63">
        <f>'Padrão EPP'!E1649/2</f>
        <v>0</v>
      </c>
      <c r="F1649" s="67">
        <v>3.0000000000000001E-3</v>
      </c>
      <c r="G1649" s="67">
        <v>2E-3</v>
      </c>
      <c r="H1649" s="63"/>
    </row>
    <row r="1650" spans="1:8" x14ac:dyDescent="0.25">
      <c r="A1650" s="63"/>
      <c r="B1650" s="63">
        <f>'Padrão EPP'!B1650</f>
        <v>14</v>
      </c>
      <c r="C1650" s="63" t="str">
        <f>'Padrão EPP'!C1650</f>
        <v>AM</v>
      </c>
      <c r="D1650" s="63" t="str">
        <f>'Padrão EPP'!D1650</f>
        <v>CAPITAL</v>
      </c>
      <c r="E1650" s="63">
        <f>'Padrão EPP'!E1650/2</f>
        <v>0</v>
      </c>
      <c r="F1650" s="67">
        <v>3.0000000000000001E-3</v>
      </c>
      <c r="G1650" s="67">
        <v>2E-3</v>
      </c>
      <c r="H1650" s="63"/>
    </row>
    <row r="1651" spans="1:8" x14ac:dyDescent="0.25">
      <c r="A1651" s="63"/>
      <c r="B1651" s="63">
        <f>'Padrão EPP'!B1651</f>
        <v>15</v>
      </c>
      <c r="C1651" s="63" t="str">
        <f>'Padrão EPP'!C1651</f>
        <v>AM</v>
      </c>
      <c r="D1651" s="63" t="str">
        <f>'Padrão EPP'!D1651</f>
        <v>CAPITAL</v>
      </c>
      <c r="E1651" s="63">
        <f>'Padrão EPP'!E1651/2</f>
        <v>0</v>
      </c>
      <c r="F1651" s="67">
        <v>3.0000000000000001E-3</v>
      </c>
      <c r="G1651" s="67">
        <v>2E-3</v>
      </c>
      <c r="H1651" s="63"/>
    </row>
    <row r="1652" spans="1:8" x14ac:dyDescent="0.25">
      <c r="A1652" s="63"/>
      <c r="B1652" s="63">
        <f>'Padrão EPP'!B1652</f>
        <v>16</v>
      </c>
      <c r="C1652" s="63" t="str">
        <f>'Padrão EPP'!C1652</f>
        <v>AM</v>
      </c>
      <c r="D1652" s="63" t="str">
        <f>'Padrão EPP'!D1652</f>
        <v>CAPITAL</v>
      </c>
      <c r="E1652" s="63">
        <f>'Padrão EPP'!E1652/2</f>
        <v>0</v>
      </c>
      <c r="F1652" s="67">
        <v>3.0000000000000001E-3</v>
      </c>
      <c r="G1652" s="67">
        <v>2E-3</v>
      </c>
      <c r="H1652" s="63"/>
    </row>
    <row r="1653" spans="1:8" x14ac:dyDescent="0.25">
      <c r="A1653" s="63"/>
      <c r="B1653" s="63">
        <f>'Padrão EPP'!B1653</f>
        <v>17</v>
      </c>
      <c r="C1653" s="63" t="str">
        <f>'Padrão EPP'!C1653</f>
        <v>AM</v>
      </c>
      <c r="D1653" s="63" t="str">
        <f>'Padrão EPP'!D1653</f>
        <v>CAPITAL</v>
      </c>
      <c r="E1653" s="63">
        <f>'Padrão EPP'!E1653/2</f>
        <v>0</v>
      </c>
      <c r="F1653" s="67">
        <v>3.0000000000000001E-3</v>
      </c>
      <c r="G1653" s="67">
        <v>2E-3</v>
      </c>
      <c r="H1653" s="63"/>
    </row>
    <row r="1654" spans="1:8" x14ac:dyDescent="0.25">
      <c r="A1654" s="63"/>
      <c r="B1654" s="63">
        <f>'Padrão EPP'!B1654</f>
        <v>18</v>
      </c>
      <c r="C1654" s="63" t="str">
        <f>'Padrão EPP'!C1654</f>
        <v>AM</v>
      </c>
      <c r="D1654" s="63" t="str">
        <f>'Padrão EPP'!D1654</f>
        <v>CAPITAL</v>
      </c>
      <c r="E1654" s="63">
        <f>'Padrão EPP'!E1654/2</f>
        <v>0</v>
      </c>
      <c r="F1654" s="67">
        <v>3.0000000000000001E-3</v>
      </c>
      <c r="G1654" s="67">
        <v>2E-3</v>
      </c>
      <c r="H1654" s="63"/>
    </row>
    <row r="1655" spans="1:8" x14ac:dyDescent="0.25">
      <c r="A1655" s="63"/>
      <c r="B1655" s="63">
        <f>'Padrão EPP'!B1655</f>
        <v>19</v>
      </c>
      <c r="C1655" s="63" t="str">
        <f>'Padrão EPP'!C1655</f>
        <v>AM</v>
      </c>
      <c r="D1655" s="63" t="str">
        <f>'Padrão EPP'!D1655</f>
        <v>CAPITAL</v>
      </c>
      <c r="E1655" s="63">
        <f>'Padrão EPP'!E1655/2</f>
        <v>0</v>
      </c>
      <c r="F1655" s="67">
        <v>3.0000000000000001E-3</v>
      </c>
      <c r="G1655" s="67">
        <v>2E-3</v>
      </c>
      <c r="H1655" s="63"/>
    </row>
    <row r="1656" spans="1:8" x14ac:dyDescent="0.25">
      <c r="A1656" s="63"/>
      <c r="B1656" s="63">
        <f>'Padrão EPP'!B1656</f>
        <v>20</v>
      </c>
      <c r="C1656" s="63" t="str">
        <f>'Padrão EPP'!C1656</f>
        <v>AM</v>
      </c>
      <c r="D1656" s="63" t="str">
        <f>'Padrão EPP'!D1656</f>
        <v>CAPITAL</v>
      </c>
      <c r="E1656" s="63">
        <f>'Padrão EPP'!E1656/2</f>
        <v>0</v>
      </c>
      <c r="F1656" s="67">
        <v>3.0000000000000001E-3</v>
      </c>
      <c r="G1656" s="67">
        <v>2E-3</v>
      </c>
      <c r="H1656" s="63"/>
    </row>
    <row r="1657" spans="1:8" x14ac:dyDescent="0.25">
      <c r="A1657" s="63"/>
      <c r="B1657" s="63">
        <f>'Padrão EPP'!B1657</f>
        <v>21</v>
      </c>
      <c r="C1657" s="63" t="str">
        <f>'Padrão EPP'!C1657</f>
        <v>AM</v>
      </c>
      <c r="D1657" s="63" t="str">
        <f>'Padrão EPP'!D1657</f>
        <v>CAPITAL</v>
      </c>
      <c r="E1657" s="63">
        <f>'Padrão EPP'!E1657/2</f>
        <v>0</v>
      </c>
      <c r="F1657" s="67">
        <v>3.0000000000000001E-3</v>
      </c>
      <c r="G1657" s="67">
        <v>2E-3</v>
      </c>
      <c r="H1657" s="63"/>
    </row>
    <row r="1658" spans="1:8" x14ac:dyDescent="0.25">
      <c r="A1658" s="63"/>
      <c r="B1658" s="63">
        <f>'Padrão EPP'!B1658</f>
        <v>22</v>
      </c>
      <c r="C1658" s="63" t="str">
        <f>'Padrão EPP'!C1658</f>
        <v>AM</v>
      </c>
      <c r="D1658" s="63" t="str">
        <f>'Padrão EPP'!D1658</f>
        <v>CAPITAL</v>
      </c>
      <c r="E1658" s="63">
        <f>'Padrão EPP'!E1658/2</f>
        <v>0</v>
      </c>
      <c r="F1658" s="67">
        <v>3.0000000000000001E-3</v>
      </c>
      <c r="G1658" s="67">
        <v>2E-3</v>
      </c>
      <c r="H1658" s="63"/>
    </row>
    <row r="1659" spans="1:8" x14ac:dyDescent="0.25">
      <c r="A1659" s="63"/>
      <c r="B1659" s="63">
        <f>'Padrão EPP'!B1659</f>
        <v>23</v>
      </c>
      <c r="C1659" s="63" t="str">
        <f>'Padrão EPP'!C1659</f>
        <v>AM</v>
      </c>
      <c r="D1659" s="63" t="str">
        <f>'Padrão EPP'!D1659</f>
        <v>CAPITAL</v>
      </c>
      <c r="E1659" s="63">
        <f>'Padrão EPP'!E1659/2</f>
        <v>0</v>
      </c>
      <c r="F1659" s="67">
        <v>3.0000000000000001E-3</v>
      </c>
      <c r="G1659" s="67">
        <v>2E-3</v>
      </c>
      <c r="H1659" s="63"/>
    </row>
    <row r="1660" spans="1:8" x14ac:dyDescent="0.25">
      <c r="A1660" s="63"/>
      <c r="B1660" s="63">
        <f>'Padrão EPP'!B1660</f>
        <v>24</v>
      </c>
      <c r="C1660" s="63" t="str">
        <f>'Padrão EPP'!C1660</f>
        <v>AM</v>
      </c>
      <c r="D1660" s="63" t="str">
        <f>'Padrão EPP'!D1660</f>
        <v>CAPITAL</v>
      </c>
      <c r="E1660" s="63">
        <f>'Padrão EPP'!E1660/2</f>
        <v>0</v>
      </c>
      <c r="F1660" s="67">
        <v>3.0000000000000001E-3</v>
      </c>
      <c r="G1660" s="67">
        <v>2E-3</v>
      </c>
      <c r="H1660" s="63"/>
    </row>
    <row r="1661" spans="1:8" x14ac:dyDescent="0.25">
      <c r="A1661" s="63"/>
      <c r="B1661" s="63">
        <f>'Padrão EPP'!B1661</f>
        <v>25</v>
      </c>
      <c r="C1661" s="63" t="str">
        <f>'Padrão EPP'!C1661</f>
        <v>AM</v>
      </c>
      <c r="D1661" s="63" t="str">
        <f>'Padrão EPP'!D1661</f>
        <v>CAPITAL</v>
      </c>
      <c r="E1661" s="63">
        <f>'Padrão EPP'!E1661/2</f>
        <v>0</v>
      </c>
      <c r="F1661" s="67">
        <v>3.0000000000000001E-3</v>
      </c>
      <c r="G1661" s="67">
        <v>2E-3</v>
      </c>
      <c r="H1661" s="63"/>
    </row>
    <row r="1662" spans="1:8" x14ac:dyDescent="0.25">
      <c r="A1662" s="63"/>
      <c r="B1662" s="63">
        <f>'Padrão EPP'!B1662</f>
        <v>26</v>
      </c>
      <c r="C1662" s="63" t="str">
        <f>'Padrão EPP'!C1662</f>
        <v>AM</v>
      </c>
      <c r="D1662" s="63" t="str">
        <f>'Padrão EPP'!D1662</f>
        <v>CAPITAL</v>
      </c>
      <c r="E1662" s="63">
        <f>'Padrão EPP'!E1662/2</f>
        <v>0</v>
      </c>
      <c r="F1662" s="67">
        <v>3.0000000000000001E-3</v>
      </c>
      <c r="G1662" s="67">
        <v>2E-3</v>
      </c>
      <c r="H1662" s="63"/>
    </row>
    <row r="1663" spans="1:8" x14ac:dyDescent="0.25">
      <c r="A1663" s="63"/>
      <c r="B1663" s="63">
        <f>'Padrão EPP'!B1663</f>
        <v>27</v>
      </c>
      <c r="C1663" s="63" t="str">
        <f>'Padrão EPP'!C1663</f>
        <v>AM</v>
      </c>
      <c r="D1663" s="63" t="str">
        <f>'Padrão EPP'!D1663</f>
        <v>CAPITAL</v>
      </c>
      <c r="E1663" s="63">
        <f>'Padrão EPP'!E1663/2</f>
        <v>0</v>
      </c>
      <c r="F1663" s="67">
        <v>3.0000000000000001E-3</v>
      </c>
      <c r="G1663" s="67">
        <v>2E-3</v>
      </c>
      <c r="H1663" s="63"/>
    </row>
    <row r="1664" spans="1:8" x14ac:dyDescent="0.25">
      <c r="A1664" s="63"/>
      <c r="B1664" s="63">
        <f>'Padrão EPP'!B1664</f>
        <v>28</v>
      </c>
      <c r="C1664" s="63" t="str">
        <f>'Padrão EPP'!C1664</f>
        <v>AM</v>
      </c>
      <c r="D1664" s="63" t="str">
        <f>'Padrão EPP'!D1664</f>
        <v>CAPITAL</v>
      </c>
      <c r="E1664" s="63">
        <f>'Padrão EPP'!E1664/2</f>
        <v>0</v>
      </c>
      <c r="F1664" s="67">
        <v>3.0000000000000001E-3</v>
      </c>
      <c r="G1664" s="67">
        <v>2E-3</v>
      </c>
      <c r="H1664" s="63"/>
    </row>
    <row r="1665" spans="1:8" x14ac:dyDescent="0.25">
      <c r="A1665" s="63"/>
      <c r="B1665" s="63">
        <f>'Padrão EPP'!B1665</f>
        <v>29</v>
      </c>
      <c r="C1665" s="63" t="str">
        <f>'Padrão EPP'!C1665</f>
        <v>AM</v>
      </c>
      <c r="D1665" s="63" t="str">
        <f>'Padrão EPP'!D1665</f>
        <v>CAPITAL</v>
      </c>
      <c r="E1665" s="63">
        <f>'Padrão EPP'!E1665/2</f>
        <v>0</v>
      </c>
      <c r="F1665" s="67">
        <v>3.0000000000000001E-3</v>
      </c>
      <c r="G1665" s="67">
        <v>2E-3</v>
      </c>
      <c r="H1665" s="63"/>
    </row>
    <row r="1666" spans="1:8" x14ac:dyDescent="0.25">
      <c r="A1666" s="63"/>
      <c r="B1666" s="63">
        <f>'Padrão EPP'!B1666</f>
        <v>30</v>
      </c>
      <c r="C1666" s="63" t="str">
        <f>'Padrão EPP'!C1666</f>
        <v>AM</v>
      </c>
      <c r="D1666" s="63" t="str">
        <f>'Padrão EPP'!D1666</f>
        <v>CAPITAL</v>
      </c>
      <c r="E1666" s="63">
        <f>'Padrão EPP'!E1666/2</f>
        <v>0</v>
      </c>
      <c r="F1666" s="67">
        <v>3.0000000000000001E-3</v>
      </c>
      <c r="G1666" s="67">
        <v>2E-3</v>
      </c>
      <c r="H1666" s="63"/>
    </row>
    <row r="1667" spans="1:8" x14ac:dyDescent="0.25">
      <c r="A1667" s="63"/>
      <c r="B1667" s="63">
        <f>'Padrão EPP'!B1667</f>
        <v>0</v>
      </c>
      <c r="C1667" s="63" t="str">
        <f>'Padrão EPP'!C1667</f>
        <v>AM</v>
      </c>
      <c r="D1667" s="63" t="str">
        <f>'Padrão EPP'!D1667</f>
        <v>CAPITAL</v>
      </c>
      <c r="E1667" s="63">
        <f>'Padrão EPP'!E1667/2</f>
        <v>1.5214394455252955</v>
      </c>
      <c r="F1667" s="67">
        <v>3.0000000000000001E-3</v>
      </c>
      <c r="G1667" s="67">
        <v>2E-3</v>
      </c>
      <c r="H1667" s="63"/>
    </row>
    <row r="1668" spans="1:8" x14ac:dyDescent="0.25">
      <c r="A1668" s="63"/>
      <c r="B1668" s="63">
        <f>'Padrão EPP'!B1668</f>
        <v>0.25</v>
      </c>
      <c r="C1668" s="63" t="str">
        <f>'Padrão EPP'!C1668</f>
        <v>AM</v>
      </c>
      <c r="D1668" s="63" t="str">
        <f>'Padrão EPP'!D1668</f>
        <v>INTERIOR</v>
      </c>
      <c r="E1668" s="63">
        <f>'Padrão EPP'!E1668/2</f>
        <v>14.151267842744154</v>
      </c>
      <c r="F1668" s="67">
        <v>3.0000000000000001E-3</v>
      </c>
      <c r="G1668" s="67">
        <v>2E-3</v>
      </c>
      <c r="H1668" s="63"/>
    </row>
    <row r="1669" spans="1:8" x14ac:dyDescent="0.25">
      <c r="A1669" s="63"/>
      <c r="B1669" s="63">
        <f>'Padrão EPP'!B1669</f>
        <v>0.5</v>
      </c>
      <c r="C1669" s="63" t="str">
        <f>'Padrão EPP'!C1669</f>
        <v>AM</v>
      </c>
      <c r="D1669" s="63" t="str">
        <f>'Padrão EPP'!D1669</f>
        <v>INTERIOR</v>
      </c>
      <c r="E1669" s="63">
        <f>'Padrão EPP'!E1669/2</f>
        <v>14.409383591813167</v>
      </c>
      <c r="F1669" s="67">
        <v>3.0000000000000001E-3</v>
      </c>
      <c r="G1669" s="67">
        <v>2E-3</v>
      </c>
      <c r="H1669" s="63"/>
    </row>
    <row r="1670" spans="1:8" x14ac:dyDescent="0.25">
      <c r="A1670" s="63"/>
      <c r="B1670" s="63">
        <f>'Padrão EPP'!B1670</f>
        <v>0.75</v>
      </c>
      <c r="C1670" s="63" t="str">
        <f>'Padrão EPP'!C1670</f>
        <v>AM</v>
      </c>
      <c r="D1670" s="63" t="str">
        <f>'Padrão EPP'!D1670</f>
        <v>INTERIOR</v>
      </c>
      <c r="E1670" s="63">
        <f>'Padrão EPP'!E1670/2</f>
        <v>14.615600249142998</v>
      </c>
      <c r="F1670" s="67">
        <v>3.0000000000000001E-3</v>
      </c>
      <c r="G1670" s="67">
        <v>2E-3</v>
      </c>
      <c r="H1670" s="63"/>
    </row>
    <row r="1671" spans="1:8" x14ac:dyDescent="0.25">
      <c r="A1671" s="63"/>
      <c r="B1671" s="63">
        <f>'Padrão EPP'!B1671</f>
        <v>1</v>
      </c>
      <c r="C1671" s="63" t="str">
        <f>'Padrão EPP'!C1671</f>
        <v>AM</v>
      </c>
      <c r="D1671" s="63" t="str">
        <f>'Padrão EPP'!D1671</f>
        <v>INTERIOR</v>
      </c>
      <c r="E1671" s="63">
        <f>'Padrão EPP'!E1671/2</f>
        <v>15.09105005055747</v>
      </c>
      <c r="F1671" s="67">
        <v>3.0000000000000001E-3</v>
      </c>
      <c r="G1671" s="67">
        <v>2E-3</v>
      </c>
      <c r="H1671" s="63"/>
    </row>
    <row r="1672" spans="1:8" x14ac:dyDescent="0.25">
      <c r="A1672" s="63"/>
      <c r="B1672" s="63">
        <f>'Padrão EPP'!B1672</f>
        <v>2</v>
      </c>
      <c r="C1672" s="63" t="str">
        <f>'Padrão EPP'!C1672</f>
        <v>AM</v>
      </c>
      <c r="D1672" s="63" t="str">
        <f>'Padrão EPP'!D1672</f>
        <v>INTERIOR</v>
      </c>
      <c r="E1672" s="63">
        <f>'Padrão EPP'!E1672/2</f>
        <v>19.405997883250535</v>
      </c>
      <c r="F1672" s="67">
        <v>3.0000000000000001E-3</v>
      </c>
      <c r="G1672" s="67">
        <v>2E-3</v>
      </c>
      <c r="H1672" s="63"/>
    </row>
    <row r="1673" spans="1:8" x14ac:dyDescent="0.25">
      <c r="A1673" s="63"/>
      <c r="B1673" s="63">
        <f>'Padrão EPP'!B1673</f>
        <v>3</v>
      </c>
      <c r="C1673" s="63" t="str">
        <f>'Padrão EPP'!C1673</f>
        <v>AM</v>
      </c>
      <c r="D1673" s="63" t="str">
        <f>'Padrão EPP'!D1673</f>
        <v>INTERIOR</v>
      </c>
      <c r="E1673" s="63">
        <f>'Padrão EPP'!E1673/2</f>
        <v>24.160606102481864</v>
      </c>
      <c r="F1673" s="67">
        <v>3.0000000000000001E-3</v>
      </c>
      <c r="G1673" s="67">
        <v>2E-3</v>
      </c>
      <c r="H1673" s="63"/>
    </row>
    <row r="1674" spans="1:8" x14ac:dyDescent="0.25">
      <c r="A1674" s="63"/>
      <c r="B1674" s="63">
        <f>'Padrão EPP'!B1674</f>
        <v>4</v>
      </c>
      <c r="C1674" s="63" t="str">
        <f>'Padrão EPP'!C1674</f>
        <v>AM</v>
      </c>
      <c r="D1674" s="63" t="str">
        <f>'Padrão EPP'!D1674</f>
        <v>INTERIOR</v>
      </c>
      <c r="E1674" s="63">
        <f>'Padrão EPP'!E1674/2</f>
        <v>29.020684334631166</v>
      </c>
      <c r="F1674" s="67">
        <v>3.0000000000000001E-3</v>
      </c>
      <c r="G1674" s="67">
        <v>2E-3</v>
      </c>
      <c r="H1674" s="63"/>
    </row>
    <row r="1675" spans="1:8" x14ac:dyDescent="0.25">
      <c r="A1675" s="63"/>
      <c r="B1675" s="63">
        <f>'Padrão EPP'!B1675</f>
        <v>5</v>
      </c>
      <c r="C1675" s="63" t="str">
        <f>'Padrão EPP'!C1675</f>
        <v>AM</v>
      </c>
      <c r="D1675" s="63" t="str">
        <f>'Padrão EPP'!D1675</f>
        <v>INTERIOR</v>
      </c>
      <c r="E1675" s="63">
        <f>'Padrão EPP'!E1675/2</f>
        <v>34.019284232849436</v>
      </c>
      <c r="F1675" s="67">
        <v>3.0000000000000001E-3</v>
      </c>
      <c r="G1675" s="67">
        <v>2E-3</v>
      </c>
      <c r="H1675" s="63"/>
    </row>
    <row r="1676" spans="1:8" x14ac:dyDescent="0.25">
      <c r="A1676" s="63"/>
      <c r="B1676" s="63">
        <f>'Padrão EPP'!B1676</f>
        <v>6</v>
      </c>
      <c r="C1676" s="63" t="str">
        <f>'Padrão EPP'!C1676</f>
        <v>AM</v>
      </c>
      <c r="D1676" s="63" t="str">
        <f>'Padrão EPP'!D1676</f>
        <v>INTERIOR</v>
      </c>
      <c r="E1676" s="63">
        <f>'Padrão EPP'!E1676/2</f>
        <v>39.100475055702411</v>
      </c>
      <c r="F1676" s="67">
        <v>3.0000000000000001E-3</v>
      </c>
      <c r="G1676" s="67">
        <v>2E-3</v>
      </c>
      <c r="H1676" s="63"/>
    </row>
    <row r="1677" spans="1:8" x14ac:dyDescent="0.25">
      <c r="A1677" s="63"/>
      <c r="B1677" s="63">
        <f>'Padrão EPP'!B1677</f>
        <v>7</v>
      </c>
      <c r="C1677" s="63" t="str">
        <f>'Padrão EPP'!C1677</f>
        <v>AM</v>
      </c>
      <c r="D1677" s="63" t="str">
        <f>'Padrão EPP'!D1677</f>
        <v>INTERIOR</v>
      </c>
      <c r="E1677" s="63">
        <f>'Padrão EPP'!E1677/2</f>
        <v>44.274880417687939</v>
      </c>
      <c r="F1677" s="67">
        <v>3.0000000000000001E-3</v>
      </c>
      <c r="G1677" s="67">
        <v>2E-3</v>
      </c>
      <c r="H1677" s="63"/>
    </row>
    <row r="1678" spans="1:8" x14ac:dyDescent="0.25">
      <c r="A1678" s="63"/>
      <c r="B1678" s="63">
        <f>'Padrão EPP'!B1678</f>
        <v>8</v>
      </c>
      <c r="C1678" s="63" t="str">
        <f>'Padrão EPP'!C1678</f>
        <v>AM</v>
      </c>
      <c r="D1678" s="63" t="str">
        <f>'Padrão EPP'!D1678</f>
        <v>INTERIOR</v>
      </c>
      <c r="E1678" s="63">
        <f>'Padrão EPP'!E1678/2</f>
        <v>49.554526521434994</v>
      </c>
      <c r="F1678" s="67">
        <v>3.0000000000000001E-3</v>
      </c>
      <c r="G1678" s="67">
        <v>2E-3</v>
      </c>
      <c r="H1678" s="63"/>
    </row>
    <row r="1679" spans="1:8" x14ac:dyDescent="0.25">
      <c r="A1679" s="63"/>
      <c r="B1679" s="63">
        <f>'Padrão EPP'!B1679</f>
        <v>9</v>
      </c>
      <c r="C1679" s="63" t="str">
        <f>'Padrão EPP'!C1679</f>
        <v>AM</v>
      </c>
      <c r="D1679" s="63" t="str">
        <f>'Padrão EPP'!D1679</f>
        <v>INTERIOR</v>
      </c>
      <c r="E1679" s="63">
        <f>'Padrão EPP'!E1679/2</f>
        <v>54.676491524755484</v>
      </c>
      <c r="F1679" s="67">
        <v>3.0000000000000001E-3</v>
      </c>
      <c r="G1679" s="67">
        <v>2E-3</v>
      </c>
      <c r="H1679" s="63"/>
    </row>
    <row r="1680" spans="1:8" x14ac:dyDescent="0.25">
      <c r="A1680" s="63"/>
      <c r="B1680" s="63">
        <f>'Padrão EPP'!B1680</f>
        <v>10</v>
      </c>
      <c r="C1680" s="63" t="str">
        <f>'Padrão EPP'!C1680</f>
        <v>AM</v>
      </c>
      <c r="D1680" s="63" t="str">
        <f>'Padrão EPP'!D1680</f>
        <v>INTERIOR</v>
      </c>
      <c r="E1680" s="63">
        <f>'Padrão EPP'!E1680/2</f>
        <v>59.742518365858359</v>
      </c>
      <c r="F1680" s="67">
        <v>3.0000000000000001E-3</v>
      </c>
      <c r="G1680" s="67">
        <v>2E-3</v>
      </c>
      <c r="H1680" s="63"/>
    </row>
    <row r="1681" spans="1:8" x14ac:dyDescent="0.25">
      <c r="A1681" s="63"/>
      <c r="B1681" s="63">
        <f>'Padrão EPP'!B1681</f>
        <v>11</v>
      </c>
      <c r="C1681" s="63" t="str">
        <f>'Padrão EPP'!C1681</f>
        <v>AM</v>
      </c>
      <c r="D1681" s="63" t="str">
        <f>'Padrão EPP'!D1681</f>
        <v>INTERIOR</v>
      </c>
      <c r="E1681" s="63">
        <f>'Padrão EPP'!E1681/2</f>
        <v>0</v>
      </c>
      <c r="F1681" s="67">
        <v>3.0000000000000001E-3</v>
      </c>
      <c r="G1681" s="67">
        <v>2E-3</v>
      </c>
      <c r="H1681" s="63"/>
    </row>
    <row r="1682" spans="1:8" x14ac:dyDescent="0.25">
      <c r="A1682" s="63"/>
      <c r="B1682" s="63">
        <f>'Padrão EPP'!B1682</f>
        <v>12</v>
      </c>
      <c r="C1682" s="63" t="str">
        <f>'Padrão EPP'!C1682</f>
        <v>AM</v>
      </c>
      <c r="D1682" s="63" t="str">
        <f>'Padrão EPP'!D1682</f>
        <v>INTERIOR</v>
      </c>
      <c r="E1682" s="63">
        <f>'Padrão EPP'!E1682/2</f>
        <v>0</v>
      </c>
      <c r="F1682" s="67">
        <v>3.0000000000000001E-3</v>
      </c>
      <c r="G1682" s="67">
        <v>2E-3</v>
      </c>
      <c r="H1682" s="63"/>
    </row>
    <row r="1683" spans="1:8" x14ac:dyDescent="0.25">
      <c r="A1683" s="63"/>
      <c r="B1683" s="63">
        <f>'Padrão EPP'!B1683</f>
        <v>13</v>
      </c>
      <c r="C1683" s="63" t="str">
        <f>'Padrão EPP'!C1683</f>
        <v>AM</v>
      </c>
      <c r="D1683" s="63" t="str">
        <f>'Padrão EPP'!D1683</f>
        <v>INTERIOR</v>
      </c>
      <c r="E1683" s="63">
        <f>'Padrão EPP'!E1683/2</f>
        <v>0</v>
      </c>
      <c r="F1683" s="67">
        <v>3.0000000000000001E-3</v>
      </c>
      <c r="G1683" s="67">
        <v>2E-3</v>
      </c>
      <c r="H1683" s="63"/>
    </row>
    <row r="1684" spans="1:8" x14ac:dyDescent="0.25">
      <c r="A1684" s="63"/>
      <c r="B1684" s="63">
        <f>'Padrão EPP'!B1684</f>
        <v>14</v>
      </c>
      <c r="C1684" s="63" t="str">
        <f>'Padrão EPP'!C1684</f>
        <v>AM</v>
      </c>
      <c r="D1684" s="63" t="str">
        <f>'Padrão EPP'!D1684</f>
        <v>INTERIOR</v>
      </c>
      <c r="E1684" s="63">
        <f>'Padrão EPP'!E1684/2</f>
        <v>0</v>
      </c>
      <c r="F1684" s="67">
        <v>3.0000000000000001E-3</v>
      </c>
      <c r="G1684" s="67">
        <v>2E-3</v>
      </c>
      <c r="H1684" s="63"/>
    </row>
    <row r="1685" spans="1:8" x14ac:dyDescent="0.25">
      <c r="A1685" s="63"/>
      <c r="B1685" s="63">
        <f>'Padrão EPP'!B1685</f>
        <v>15</v>
      </c>
      <c r="C1685" s="63" t="str">
        <f>'Padrão EPP'!C1685</f>
        <v>AM</v>
      </c>
      <c r="D1685" s="63" t="str">
        <f>'Padrão EPP'!D1685</f>
        <v>INTERIOR</v>
      </c>
      <c r="E1685" s="63">
        <f>'Padrão EPP'!E1685/2</f>
        <v>0</v>
      </c>
      <c r="F1685" s="67">
        <v>3.0000000000000001E-3</v>
      </c>
      <c r="G1685" s="67">
        <v>2E-3</v>
      </c>
      <c r="H1685" s="63"/>
    </row>
    <row r="1686" spans="1:8" x14ac:dyDescent="0.25">
      <c r="A1686" s="63"/>
      <c r="B1686" s="63">
        <f>'Padrão EPP'!B1686</f>
        <v>16</v>
      </c>
      <c r="C1686" s="63" t="str">
        <f>'Padrão EPP'!C1686</f>
        <v>AM</v>
      </c>
      <c r="D1686" s="63" t="str">
        <f>'Padrão EPP'!D1686</f>
        <v>INTERIOR</v>
      </c>
      <c r="E1686" s="63">
        <f>'Padrão EPP'!E1686/2</f>
        <v>0</v>
      </c>
      <c r="F1686" s="67">
        <v>3.0000000000000001E-3</v>
      </c>
      <c r="G1686" s="67">
        <v>2E-3</v>
      </c>
      <c r="H1686" s="63"/>
    </row>
    <row r="1687" spans="1:8" x14ac:dyDescent="0.25">
      <c r="A1687" s="63"/>
      <c r="B1687" s="63">
        <f>'Padrão EPP'!B1687</f>
        <v>17</v>
      </c>
      <c r="C1687" s="63" t="str">
        <f>'Padrão EPP'!C1687</f>
        <v>AM</v>
      </c>
      <c r="D1687" s="63" t="str">
        <f>'Padrão EPP'!D1687</f>
        <v>INTERIOR</v>
      </c>
      <c r="E1687" s="63">
        <f>'Padrão EPP'!E1687/2</f>
        <v>0</v>
      </c>
      <c r="F1687" s="67">
        <v>3.0000000000000001E-3</v>
      </c>
      <c r="G1687" s="67">
        <v>2E-3</v>
      </c>
      <c r="H1687" s="63"/>
    </row>
    <row r="1688" spans="1:8" x14ac:dyDescent="0.25">
      <c r="A1688" s="63"/>
      <c r="B1688" s="63">
        <f>'Padrão EPP'!B1688</f>
        <v>18</v>
      </c>
      <c r="C1688" s="63" t="str">
        <f>'Padrão EPP'!C1688</f>
        <v>AM</v>
      </c>
      <c r="D1688" s="63" t="str">
        <f>'Padrão EPP'!D1688</f>
        <v>INTERIOR</v>
      </c>
      <c r="E1688" s="63">
        <f>'Padrão EPP'!E1688/2</f>
        <v>0</v>
      </c>
      <c r="F1688" s="67">
        <v>3.0000000000000001E-3</v>
      </c>
      <c r="G1688" s="67">
        <v>2E-3</v>
      </c>
      <c r="H1688" s="63"/>
    </row>
    <row r="1689" spans="1:8" x14ac:dyDescent="0.25">
      <c r="A1689" s="63"/>
      <c r="B1689" s="63">
        <f>'Padrão EPP'!B1689</f>
        <v>19</v>
      </c>
      <c r="C1689" s="63" t="str">
        <f>'Padrão EPP'!C1689</f>
        <v>AM</v>
      </c>
      <c r="D1689" s="63" t="str">
        <f>'Padrão EPP'!D1689</f>
        <v>INTERIOR</v>
      </c>
      <c r="E1689" s="63">
        <f>'Padrão EPP'!E1689/2</f>
        <v>0</v>
      </c>
      <c r="F1689" s="67">
        <v>3.0000000000000001E-3</v>
      </c>
      <c r="G1689" s="67">
        <v>2E-3</v>
      </c>
      <c r="H1689" s="63"/>
    </row>
    <row r="1690" spans="1:8" x14ac:dyDescent="0.25">
      <c r="A1690" s="63"/>
      <c r="B1690" s="63">
        <f>'Padrão EPP'!B1690</f>
        <v>20</v>
      </c>
      <c r="C1690" s="63" t="str">
        <f>'Padrão EPP'!C1690</f>
        <v>AM</v>
      </c>
      <c r="D1690" s="63" t="str">
        <f>'Padrão EPP'!D1690</f>
        <v>INTERIOR</v>
      </c>
      <c r="E1690" s="63">
        <f>'Padrão EPP'!E1690/2</f>
        <v>0</v>
      </c>
      <c r="F1690" s="67">
        <v>3.0000000000000001E-3</v>
      </c>
      <c r="G1690" s="67">
        <v>2E-3</v>
      </c>
      <c r="H1690" s="63"/>
    </row>
    <row r="1691" spans="1:8" x14ac:dyDescent="0.25">
      <c r="A1691" s="63"/>
      <c r="B1691" s="63">
        <f>'Padrão EPP'!B1691</f>
        <v>21</v>
      </c>
      <c r="C1691" s="63" t="str">
        <f>'Padrão EPP'!C1691</f>
        <v>AM</v>
      </c>
      <c r="D1691" s="63" t="str">
        <f>'Padrão EPP'!D1691</f>
        <v>INTERIOR</v>
      </c>
      <c r="E1691" s="63">
        <f>'Padrão EPP'!E1691/2</f>
        <v>0</v>
      </c>
      <c r="F1691" s="67">
        <v>3.0000000000000001E-3</v>
      </c>
      <c r="G1691" s="67">
        <v>2E-3</v>
      </c>
      <c r="H1691" s="63"/>
    </row>
    <row r="1692" spans="1:8" x14ac:dyDescent="0.25">
      <c r="A1692" s="63"/>
      <c r="B1692" s="63">
        <f>'Padrão EPP'!B1692</f>
        <v>22</v>
      </c>
      <c r="C1692" s="63" t="str">
        <f>'Padrão EPP'!C1692</f>
        <v>AM</v>
      </c>
      <c r="D1692" s="63" t="str">
        <f>'Padrão EPP'!D1692</f>
        <v>INTERIOR</v>
      </c>
      <c r="E1692" s="63">
        <f>'Padrão EPP'!E1692/2</f>
        <v>0</v>
      </c>
      <c r="F1692" s="67">
        <v>3.0000000000000001E-3</v>
      </c>
      <c r="G1692" s="67">
        <v>2E-3</v>
      </c>
      <c r="H1692" s="63"/>
    </row>
    <row r="1693" spans="1:8" x14ac:dyDescent="0.25">
      <c r="A1693" s="63"/>
      <c r="B1693" s="63">
        <f>'Padrão EPP'!B1693</f>
        <v>23</v>
      </c>
      <c r="C1693" s="63" t="str">
        <f>'Padrão EPP'!C1693</f>
        <v>AM</v>
      </c>
      <c r="D1693" s="63" t="str">
        <f>'Padrão EPP'!D1693</f>
        <v>INTERIOR</v>
      </c>
      <c r="E1693" s="63">
        <f>'Padrão EPP'!E1693/2</f>
        <v>0</v>
      </c>
      <c r="F1693" s="67">
        <v>3.0000000000000001E-3</v>
      </c>
      <c r="G1693" s="67">
        <v>2E-3</v>
      </c>
      <c r="H1693" s="63"/>
    </row>
    <row r="1694" spans="1:8" x14ac:dyDescent="0.25">
      <c r="A1694" s="63"/>
      <c r="B1694" s="63">
        <f>'Padrão EPP'!B1694</f>
        <v>24</v>
      </c>
      <c r="C1694" s="63" t="str">
        <f>'Padrão EPP'!C1694</f>
        <v>AM</v>
      </c>
      <c r="D1694" s="63" t="str">
        <f>'Padrão EPP'!D1694</f>
        <v>INTERIOR</v>
      </c>
      <c r="E1694" s="63">
        <f>'Padrão EPP'!E1694/2</f>
        <v>0</v>
      </c>
      <c r="F1694" s="67">
        <v>3.0000000000000001E-3</v>
      </c>
      <c r="G1694" s="67">
        <v>2E-3</v>
      </c>
      <c r="H1694" s="63"/>
    </row>
    <row r="1695" spans="1:8" x14ac:dyDescent="0.25">
      <c r="A1695" s="63"/>
      <c r="B1695" s="63">
        <f>'Padrão EPP'!B1695</f>
        <v>25</v>
      </c>
      <c r="C1695" s="63" t="str">
        <f>'Padrão EPP'!C1695</f>
        <v>AM</v>
      </c>
      <c r="D1695" s="63" t="str">
        <f>'Padrão EPP'!D1695</f>
        <v>INTERIOR</v>
      </c>
      <c r="E1695" s="63">
        <f>'Padrão EPP'!E1695/2</f>
        <v>0</v>
      </c>
      <c r="F1695" s="67">
        <v>3.0000000000000001E-3</v>
      </c>
      <c r="G1695" s="67">
        <v>2E-3</v>
      </c>
      <c r="H1695" s="63"/>
    </row>
    <row r="1696" spans="1:8" x14ac:dyDescent="0.25">
      <c r="A1696" s="63"/>
      <c r="B1696" s="63">
        <f>'Padrão EPP'!B1696</f>
        <v>26</v>
      </c>
      <c r="C1696" s="63" t="str">
        <f>'Padrão EPP'!C1696</f>
        <v>AM</v>
      </c>
      <c r="D1696" s="63" t="str">
        <f>'Padrão EPP'!D1696</f>
        <v>INTERIOR</v>
      </c>
      <c r="E1696" s="63">
        <f>'Padrão EPP'!E1696/2</f>
        <v>0</v>
      </c>
      <c r="F1696" s="67">
        <v>3.0000000000000001E-3</v>
      </c>
      <c r="G1696" s="67">
        <v>2E-3</v>
      </c>
      <c r="H1696" s="63"/>
    </row>
    <row r="1697" spans="1:8" x14ac:dyDescent="0.25">
      <c r="A1697" s="63"/>
      <c r="B1697" s="63">
        <f>'Padrão EPP'!B1697</f>
        <v>27</v>
      </c>
      <c r="C1697" s="63" t="str">
        <f>'Padrão EPP'!C1697</f>
        <v>AM</v>
      </c>
      <c r="D1697" s="63" t="str">
        <f>'Padrão EPP'!D1697</f>
        <v>INTERIOR</v>
      </c>
      <c r="E1697" s="63">
        <f>'Padrão EPP'!E1697/2</f>
        <v>0</v>
      </c>
      <c r="F1697" s="67">
        <v>3.0000000000000001E-3</v>
      </c>
      <c r="G1697" s="67">
        <v>2E-3</v>
      </c>
      <c r="H1697" s="63"/>
    </row>
    <row r="1698" spans="1:8" x14ac:dyDescent="0.25">
      <c r="A1698" s="63"/>
      <c r="B1698" s="63">
        <f>'Padrão EPP'!B1698</f>
        <v>28</v>
      </c>
      <c r="C1698" s="63" t="str">
        <f>'Padrão EPP'!C1698</f>
        <v>AM</v>
      </c>
      <c r="D1698" s="63" t="str">
        <f>'Padrão EPP'!D1698</f>
        <v>INTERIOR</v>
      </c>
      <c r="E1698" s="63">
        <f>'Padrão EPP'!E1698/2</f>
        <v>0</v>
      </c>
      <c r="F1698" s="67">
        <v>3.0000000000000001E-3</v>
      </c>
      <c r="G1698" s="67">
        <v>2E-3</v>
      </c>
      <c r="H1698" s="63"/>
    </row>
    <row r="1699" spans="1:8" x14ac:dyDescent="0.25">
      <c r="A1699" s="63"/>
      <c r="B1699" s="63">
        <f>'Padrão EPP'!B1699</f>
        <v>29</v>
      </c>
      <c r="C1699" s="63" t="str">
        <f>'Padrão EPP'!C1699</f>
        <v>AM</v>
      </c>
      <c r="D1699" s="63" t="str">
        <f>'Padrão EPP'!D1699</f>
        <v>INTERIOR</v>
      </c>
      <c r="E1699" s="63">
        <f>'Padrão EPP'!E1699/2</f>
        <v>0</v>
      </c>
      <c r="F1699" s="67">
        <v>3.0000000000000001E-3</v>
      </c>
      <c r="G1699" s="67">
        <v>2E-3</v>
      </c>
      <c r="H1699" s="63"/>
    </row>
    <row r="1700" spans="1:8" x14ac:dyDescent="0.25">
      <c r="A1700" s="63"/>
      <c r="B1700" s="63">
        <f>'Padrão EPP'!B1700</f>
        <v>30</v>
      </c>
      <c r="C1700" s="63" t="str">
        <f>'Padrão EPP'!C1700</f>
        <v>AM</v>
      </c>
      <c r="D1700" s="63" t="str">
        <f>'Padrão EPP'!D1700</f>
        <v>INTERIOR</v>
      </c>
      <c r="E1700" s="63">
        <f>'Padrão EPP'!E1700/2</f>
        <v>0</v>
      </c>
      <c r="F1700" s="67">
        <v>3.0000000000000001E-3</v>
      </c>
      <c r="G1700" s="67">
        <v>2E-3</v>
      </c>
      <c r="H1700" s="63"/>
    </row>
    <row r="1701" spans="1:8" x14ac:dyDescent="0.25">
      <c r="A1701" s="63"/>
      <c r="B1701" s="63">
        <f>'Padrão EPP'!B1701</f>
        <v>0</v>
      </c>
      <c r="C1701" s="63" t="str">
        <f>'Padrão EPP'!C1701</f>
        <v>AM</v>
      </c>
      <c r="D1701" s="63" t="str">
        <f>'Padrão EPP'!D1701</f>
        <v>INTERIOR</v>
      </c>
      <c r="E1701" s="63">
        <f>'Padrão EPP'!E1701/2</f>
        <v>1.5214394455252955</v>
      </c>
      <c r="F1701" s="67">
        <v>3.0000000000000001E-3</v>
      </c>
      <c r="G1701" s="67">
        <v>2E-3</v>
      </c>
      <c r="H1701" s="63"/>
    </row>
    <row r="1702" spans="1:8" x14ac:dyDescent="0.25">
      <c r="A1702" s="63"/>
      <c r="B1702" s="63">
        <f>'Padrão EPP'!B1702</f>
        <v>0.25</v>
      </c>
      <c r="C1702" s="63" t="str">
        <f>'Padrão EPP'!C1702</f>
        <v>AM</v>
      </c>
      <c r="D1702" s="63" t="str">
        <f>'Padrão EPP'!D1702</f>
        <v>INTERIOR II</v>
      </c>
      <c r="E1702" s="63">
        <f>'Padrão EPP'!E1702/2</f>
        <v>14.582873658603773</v>
      </c>
      <c r="F1702" s="67">
        <v>3.0000000000000001E-3</v>
      </c>
      <c r="G1702" s="67">
        <v>2E-3</v>
      </c>
      <c r="H1702" s="63"/>
    </row>
    <row r="1703" spans="1:8" x14ac:dyDescent="0.25">
      <c r="A1703" s="63"/>
      <c r="B1703" s="63">
        <f>'Padrão EPP'!B1703</f>
        <v>0.5</v>
      </c>
      <c r="C1703" s="63" t="str">
        <f>'Padrão EPP'!C1703</f>
        <v>AM</v>
      </c>
      <c r="D1703" s="63" t="str">
        <f>'Padrão EPP'!D1703</f>
        <v>INTERIOR II</v>
      </c>
      <c r="E1703" s="63">
        <f>'Padrão EPP'!E1703/2</f>
        <v>14.854338041152978</v>
      </c>
      <c r="F1703" s="67">
        <v>3.0000000000000001E-3</v>
      </c>
      <c r="G1703" s="67">
        <v>2E-3</v>
      </c>
      <c r="H1703" s="63"/>
    </row>
    <row r="1704" spans="1:8" x14ac:dyDescent="0.25">
      <c r="A1704" s="63"/>
      <c r="B1704" s="63">
        <f>'Padrão EPP'!B1704</f>
        <v>0.75</v>
      </c>
      <c r="C1704" s="63" t="str">
        <f>'Padrão EPP'!C1704</f>
        <v>AM</v>
      </c>
      <c r="D1704" s="63" t="str">
        <f>'Padrão EPP'!D1704</f>
        <v>INTERIOR II</v>
      </c>
      <c r="E1704" s="63">
        <f>'Padrão EPP'!E1704/2</f>
        <v>15.074316176297438</v>
      </c>
      <c r="F1704" s="67">
        <v>3.0000000000000001E-3</v>
      </c>
      <c r="G1704" s="67">
        <v>2E-3</v>
      </c>
      <c r="H1704" s="63"/>
    </row>
    <row r="1705" spans="1:8" x14ac:dyDescent="0.25">
      <c r="A1705" s="63"/>
      <c r="B1705" s="63">
        <f>'Padrão EPP'!B1705</f>
        <v>1</v>
      </c>
      <c r="C1705" s="63" t="str">
        <f>'Padrão EPP'!C1705</f>
        <v>AM</v>
      </c>
      <c r="D1705" s="63" t="str">
        <f>'Padrão EPP'!D1705</f>
        <v>INTERIOR II</v>
      </c>
      <c r="E1705" s="63">
        <f>'Padrão EPP'!E1705/2</f>
        <v>15.332130684685781</v>
      </c>
      <c r="F1705" s="67">
        <v>3.0000000000000001E-3</v>
      </c>
      <c r="G1705" s="67">
        <v>2E-3</v>
      </c>
      <c r="H1705" s="63"/>
    </row>
    <row r="1706" spans="1:8" x14ac:dyDescent="0.25">
      <c r="A1706" s="63"/>
      <c r="B1706" s="63">
        <f>'Padrão EPP'!B1706</f>
        <v>2</v>
      </c>
      <c r="C1706" s="63" t="str">
        <f>'Padrão EPP'!C1706</f>
        <v>AM</v>
      </c>
      <c r="D1706" s="63" t="str">
        <f>'Padrão EPP'!D1706</f>
        <v>INTERIOR II</v>
      </c>
      <c r="E1706" s="63">
        <f>'Padrão EPP'!E1706/2</f>
        <v>19.654534619465291</v>
      </c>
      <c r="F1706" s="67">
        <v>3.0000000000000001E-3</v>
      </c>
      <c r="G1706" s="67">
        <v>2E-3</v>
      </c>
      <c r="H1706" s="63"/>
    </row>
    <row r="1707" spans="1:8" x14ac:dyDescent="0.25">
      <c r="A1707" s="63"/>
      <c r="B1707" s="63">
        <f>'Padrão EPP'!B1707</f>
        <v>3</v>
      </c>
      <c r="C1707" s="63" t="str">
        <f>'Padrão EPP'!C1707</f>
        <v>AM</v>
      </c>
      <c r="D1707" s="63" t="str">
        <f>'Padrão EPP'!D1707</f>
        <v>INTERIOR II</v>
      </c>
      <c r="E1707" s="63">
        <f>'Padrão EPP'!E1707/2</f>
        <v>24.496158121820763</v>
      </c>
      <c r="F1707" s="67">
        <v>3.0000000000000001E-3</v>
      </c>
      <c r="G1707" s="67">
        <v>2E-3</v>
      </c>
      <c r="H1707" s="63"/>
    </row>
    <row r="1708" spans="1:8" x14ac:dyDescent="0.25">
      <c r="A1708" s="63"/>
      <c r="B1708" s="63">
        <f>'Padrão EPP'!B1708</f>
        <v>4</v>
      </c>
      <c r="C1708" s="63" t="str">
        <f>'Padrão EPP'!C1708</f>
        <v>AM</v>
      </c>
      <c r="D1708" s="63" t="str">
        <f>'Padrão EPP'!D1708</f>
        <v>INTERIOR II</v>
      </c>
      <c r="E1708" s="63">
        <f>'Padrão EPP'!E1708/2</f>
        <v>29.388065421137703</v>
      </c>
      <c r="F1708" s="67">
        <v>3.0000000000000001E-3</v>
      </c>
      <c r="G1708" s="67">
        <v>2E-3</v>
      </c>
      <c r="H1708" s="63"/>
    </row>
    <row r="1709" spans="1:8" x14ac:dyDescent="0.25">
      <c r="A1709" s="63"/>
      <c r="B1709" s="63">
        <f>'Padrão EPP'!B1709</f>
        <v>5</v>
      </c>
      <c r="C1709" s="63" t="str">
        <f>'Padrão EPP'!C1709</f>
        <v>AM</v>
      </c>
      <c r="D1709" s="63" t="str">
        <f>'Padrão EPP'!D1709</f>
        <v>INTERIOR II</v>
      </c>
      <c r="E1709" s="63">
        <f>'Padrão EPP'!E1709/2</f>
        <v>34.335284897112253</v>
      </c>
      <c r="F1709" s="67">
        <v>3.0000000000000001E-3</v>
      </c>
      <c r="G1709" s="67">
        <v>2E-3</v>
      </c>
      <c r="H1709" s="63"/>
    </row>
    <row r="1710" spans="1:8" x14ac:dyDescent="0.25">
      <c r="A1710" s="63"/>
      <c r="B1710" s="63">
        <f>'Padrão EPP'!B1710</f>
        <v>6</v>
      </c>
      <c r="C1710" s="63" t="str">
        <f>'Padrão EPP'!C1710</f>
        <v>AM</v>
      </c>
      <c r="D1710" s="63" t="str">
        <f>'Padrão EPP'!D1710</f>
        <v>INTERIOR II</v>
      </c>
      <c r="E1710" s="63">
        <f>'Padrão EPP'!E1710/2</f>
        <v>40.325920894578282</v>
      </c>
      <c r="F1710" s="67">
        <v>3.0000000000000001E-3</v>
      </c>
      <c r="G1710" s="67">
        <v>2E-3</v>
      </c>
      <c r="H1710" s="63"/>
    </row>
    <row r="1711" spans="1:8" x14ac:dyDescent="0.25">
      <c r="A1711" s="63"/>
      <c r="B1711" s="63">
        <f>'Padrão EPP'!B1711</f>
        <v>7</v>
      </c>
      <c r="C1711" s="63" t="str">
        <f>'Padrão EPP'!C1711</f>
        <v>AM</v>
      </c>
      <c r="D1711" s="63" t="str">
        <f>'Padrão EPP'!D1711</f>
        <v>INTERIOR II</v>
      </c>
      <c r="E1711" s="63">
        <f>'Padrão EPP'!E1711/2</f>
        <v>45.008998362485514</v>
      </c>
      <c r="F1711" s="67">
        <v>3.0000000000000001E-3</v>
      </c>
      <c r="G1711" s="67">
        <v>2E-3</v>
      </c>
      <c r="H1711" s="63"/>
    </row>
    <row r="1712" spans="1:8" x14ac:dyDescent="0.25">
      <c r="A1712" s="63"/>
      <c r="B1712" s="63">
        <f>'Padrão EPP'!B1712</f>
        <v>8</v>
      </c>
      <c r="C1712" s="63" t="str">
        <f>'Padrão EPP'!C1712</f>
        <v>AM</v>
      </c>
      <c r="D1712" s="63" t="str">
        <f>'Padrão EPP'!D1712</f>
        <v>INTERIOR II</v>
      </c>
      <c r="E1712" s="63">
        <f>'Padrão EPP'!E1712/2</f>
        <v>49.75836531301848</v>
      </c>
      <c r="F1712" s="67">
        <v>3.0000000000000001E-3</v>
      </c>
      <c r="G1712" s="67">
        <v>2E-3</v>
      </c>
      <c r="H1712" s="63"/>
    </row>
    <row r="1713" spans="1:8" x14ac:dyDescent="0.25">
      <c r="A1713" s="63"/>
      <c r="B1713" s="63">
        <f>'Padrão EPP'!B1713</f>
        <v>9</v>
      </c>
      <c r="C1713" s="63" t="str">
        <f>'Padrão EPP'!C1713</f>
        <v>AM</v>
      </c>
      <c r="D1713" s="63" t="str">
        <f>'Padrão EPP'!D1713</f>
        <v>INTERIOR II</v>
      </c>
      <c r="E1713" s="63">
        <f>'Padrão EPP'!E1713/2</f>
        <v>55.011908955353633</v>
      </c>
      <c r="F1713" s="67">
        <v>3.0000000000000001E-3</v>
      </c>
      <c r="G1713" s="67">
        <v>2E-3</v>
      </c>
      <c r="H1713" s="63"/>
    </row>
    <row r="1714" spans="1:8" x14ac:dyDescent="0.25">
      <c r="A1714" s="63"/>
      <c r="B1714" s="63">
        <f>'Padrão EPP'!B1714</f>
        <v>10</v>
      </c>
      <c r="C1714" s="63" t="str">
        <f>'Padrão EPP'!C1714</f>
        <v>AM</v>
      </c>
      <c r="D1714" s="63" t="str">
        <f>'Padrão EPP'!D1714</f>
        <v>INTERIOR II</v>
      </c>
      <c r="E1714" s="63">
        <f>'Padrão EPP'!E1714/2</f>
        <v>59.797658300895499</v>
      </c>
      <c r="F1714" s="67">
        <v>3.0000000000000001E-3</v>
      </c>
      <c r="G1714" s="67">
        <v>2E-3</v>
      </c>
      <c r="H1714" s="63"/>
    </row>
    <row r="1715" spans="1:8" x14ac:dyDescent="0.25">
      <c r="A1715" s="63"/>
      <c r="B1715" s="63">
        <f>'Padrão EPP'!B1715</f>
        <v>11</v>
      </c>
      <c r="C1715" s="63" t="str">
        <f>'Padrão EPP'!C1715</f>
        <v>AM</v>
      </c>
      <c r="D1715" s="63" t="str">
        <f>'Padrão EPP'!D1715</f>
        <v>INTERIOR II</v>
      </c>
      <c r="E1715" s="63">
        <f>'Padrão EPP'!E1715/2</f>
        <v>0</v>
      </c>
      <c r="F1715" s="67">
        <v>3.0000000000000001E-3</v>
      </c>
      <c r="G1715" s="67">
        <v>2E-3</v>
      </c>
      <c r="H1715" s="63"/>
    </row>
    <row r="1716" spans="1:8" x14ac:dyDescent="0.25">
      <c r="A1716" s="63"/>
      <c r="B1716" s="63">
        <f>'Padrão EPP'!B1716</f>
        <v>12</v>
      </c>
      <c r="C1716" s="63" t="str">
        <f>'Padrão EPP'!C1716</f>
        <v>AM</v>
      </c>
      <c r="D1716" s="63" t="str">
        <f>'Padrão EPP'!D1716</f>
        <v>INTERIOR II</v>
      </c>
      <c r="E1716" s="63">
        <f>'Padrão EPP'!E1716/2</f>
        <v>0</v>
      </c>
      <c r="F1716" s="67">
        <v>3.0000000000000001E-3</v>
      </c>
      <c r="G1716" s="67">
        <v>2E-3</v>
      </c>
      <c r="H1716" s="63"/>
    </row>
    <row r="1717" spans="1:8" x14ac:dyDescent="0.25">
      <c r="A1717" s="63"/>
      <c r="B1717" s="63">
        <f>'Padrão EPP'!B1717</f>
        <v>13</v>
      </c>
      <c r="C1717" s="63" t="str">
        <f>'Padrão EPP'!C1717</f>
        <v>AM</v>
      </c>
      <c r="D1717" s="63" t="str">
        <f>'Padrão EPP'!D1717</f>
        <v>INTERIOR II</v>
      </c>
      <c r="E1717" s="63">
        <f>'Padrão EPP'!E1717/2</f>
        <v>0</v>
      </c>
      <c r="F1717" s="67">
        <v>3.0000000000000001E-3</v>
      </c>
      <c r="G1717" s="67">
        <v>2E-3</v>
      </c>
      <c r="H1717" s="63"/>
    </row>
    <row r="1718" spans="1:8" x14ac:dyDescent="0.25">
      <c r="A1718" s="63"/>
      <c r="B1718" s="63">
        <f>'Padrão EPP'!B1718</f>
        <v>14</v>
      </c>
      <c r="C1718" s="63" t="str">
        <f>'Padrão EPP'!C1718</f>
        <v>AM</v>
      </c>
      <c r="D1718" s="63" t="str">
        <f>'Padrão EPP'!D1718</f>
        <v>INTERIOR II</v>
      </c>
      <c r="E1718" s="63">
        <f>'Padrão EPP'!E1718/2</f>
        <v>0</v>
      </c>
      <c r="F1718" s="67">
        <v>3.0000000000000001E-3</v>
      </c>
      <c r="G1718" s="67">
        <v>2E-3</v>
      </c>
      <c r="H1718" s="63"/>
    </row>
    <row r="1719" spans="1:8" x14ac:dyDescent="0.25">
      <c r="A1719" s="63"/>
      <c r="B1719" s="63">
        <f>'Padrão EPP'!B1719</f>
        <v>15</v>
      </c>
      <c r="C1719" s="63" t="str">
        <f>'Padrão EPP'!C1719</f>
        <v>AM</v>
      </c>
      <c r="D1719" s="63" t="str">
        <f>'Padrão EPP'!D1719</f>
        <v>INTERIOR II</v>
      </c>
      <c r="E1719" s="63">
        <f>'Padrão EPP'!E1719/2</f>
        <v>0</v>
      </c>
      <c r="F1719" s="67">
        <v>3.0000000000000001E-3</v>
      </c>
      <c r="G1719" s="67">
        <v>2E-3</v>
      </c>
      <c r="H1719" s="63"/>
    </row>
    <row r="1720" spans="1:8" x14ac:dyDescent="0.25">
      <c r="A1720" s="63"/>
      <c r="B1720" s="63">
        <f>'Padrão EPP'!B1720</f>
        <v>16</v>
      </c>
      <c r="C1720" s="63" t="str">
        <f>'Padrão EPP'!C1720</f>
        <v>AM</v>
      </c>
      <c r="D1720" s="63" t="str">
        <f>'Padrão EPP'!D1720</f>
        <v>INTERIOR II</v>
      </c>
      <c r="E1720" s="63">
        <f>'Padrão EPP'!E1720/2</f>
        <v>0</v>
      </c>
      <c r="F1720" s="67">
        <v>3.0000000000000001E-3</v>
      </c>
      <c r="G1720" s="67">
        <v>2E-3</v>
      </c>
      <c r="H1720" s="63"/>
    </row>
    <row r="1721" spans="1:8" x14ac:dyDescent="0.25">
      <c r="A1721" s="63"/>
      <c r="B1721" s="63">
        <f>'Padrão EPP'!B1721</f>
        <v>17</v>
      </c>
      <c r="C1721" s="63" t="str">
        <f>'Padrão EPP'!C1721</f>
        <v>AM</v>
      </c>
      <c r="D1721" s="63" t="str">
        <f>'Padrão EPP'!D1721</f>
        <v>INTERIOR II</v>
      </c>
      <c r="E1721" s="63">
        <f>'Padrão EPP'!E1721/2</f>
        <v>0</v>
      </c>
      <c r="F1721" s="67">
        <v>3.0000000000000001E-3</v>
      </c>
      <c r="G1721" s="67">
        <v>2E-3</v>
      </c>
      <c r="H1721" s="63"/>
    </row>
    <row r="1722" spans="1:8" x14ac:dyDescent="0.25">
      <c r="A1722" s="63"/>
      <c r="B1722" s="63">
        <f>'Padrão EPP'!B1722</f>
        <v>18</v>
      </c>
      <c r="C1722" s="63" t="str">
        <f>'Padrão EPP'!C1722</f>
        <v>AM</v>
      </c>
      <c r="D1722" s="63" t="str">
        <f>'Padrão EPP'!D1722</f>
        <v>INTERIOR II</v>
      </c>
      <c r="E1722" s="63">
        <f>'Padrão EPP'!E1722/2</f>
        <v>0</v>
      </c>
      <c r="F1722" s="67">
        <v>3.0000000000000001E-3</v>
      </c>
      <c r="G1722" s="67">
        <v>2E-3</v>
      </c>
      <c r="H1722" s="63"/>
    </row>
    <row r="1723" spans="1:8" x14ac:dyDescent="0.25">
      <c r="A1723" s="63"/>
      <c r="B1723" s="63">
        <f>'Padrão EPP'!B1723</f>
        <v>19</v>
      </c>
      <c r="C1723" s="63" t="str">
        <f>'Padrão EPP'!C1723</f>
        <v>AM</v>
      </c>
      <c r="D1723" s="63" t="str">
        <f>'Padrão EPP'!D1723</f>
        <v>INTERIOR II</v>
      </c>
      <c r="E1723" s="63">
        <f>'Padrão EPP'!E1723/2</f>
        <v>0</v>
      </c>
      <c r="F1723" s="67">
        <v>3.0000000000000001E-3</v>
      </c>
      <c r="G1723" s="67">
        <v>2E-3</v>
      </c>
      <c r="H1723" s="63"/>
    </row>
    <row r="1724" spans="1:8" x14ac:dyDescent="0.25">
      <c r="A1724" s="63"/>
      <c r="B1724" s="63">
        <f>'Padrão EPP'!B1724</f>
        <v>20</v>
      </c>
      <c r="C1724" s="63" t="str">
        <f>'Padrão EPP'!C1724</f>
        <v>AM</v>
      </c>
      <c r="D1724" s="63" t="str">
        <f>'Padrão EPP'!D1724</f>
        <v>INTERIOR II</v>
      </c>
      <c r="E1724" s="63">
        <f>'Padrão EPP'!E1724/2</f>
        <v>0</v>
      </c>
      <c r="F1724" s="67">
        <v>3.0000000000000001E-3</v>
      </c>
      <c r="G1724" s="67">
        <v>2E-3</v>
      </c>
      <c r="H1724" s="63"/>
    </row>
    <row r="1725" spans="1:8" x14ac:dyDescent="0.25">
      <c r="A1725" s="63"/>
      <c r="B1725" s="63">
        <f>'Padrão EPP'!B1725</f>
        <v>21</v>
      </c>
      <c r="C1725" s="63" t="str">
        <f>'Padrão EPP'!C1725</f>
        <v>AM</v>
      </c>
      <c r="D1725" s="63" t="str">
        <f>'Padrão EPP'!D1725</f>
        <v>INTERIOR II</v>
      </c>
      <c r="E1725" s="63">
        <f>'Padrão EPP'!E1725/2</f>
        <v>0</v>
      </c>
      <c r="F1725" s="67">
        <v>3.0000000000000001E-3</v>
      </c>
      <c r="G1725" s="67">
        <v>2E-3</v>
      </c>
      <c r="H1725" s="63"/>
    </row>
    <row r="1726" spans="1:8" x14ac:dyDescent="0.25">
      <c r="A1726" s="63"/>
      <c r="B1726" s="63">
        <f>'Padrão EPP'!B1726</f>
        <v>22</v>
      </c>
      <c r="C1726" s="63" t="str">
        <f>'Padrão EPP'!C1726</f>
        <v>AM</v>
      </c>
      <c r="D1726" s="63" t="str">
        <f>'Padrão EPP'!D1726</f>
        <v>INTERIOR II</v>
      </c>
      <c r="E1726" s="63">
        <f>'Padrão EPP'!E1726/2</f>
        <v>0</v>
      </c>
      <c r="F1726" s="67">
        <v>3.0000000000000001E-3</v>
      </c>
      <c r="G1726" s="67">
        <v>2E-3</v>
      </c>
      <c r="H1726" s="63"/>
    </row>
    <row r="1727" spans="1:8" x14ac:dyDescent="0.25">
      <c r="A1727" s="63"/>
      <c r="B1727" s="63">
        <f>'Padrão EPP'!B1727</f>
        <v>23</v>
      </c>
      <c r="C1727" s="63" t="str">
        <f>'Padrão EPP'!C1727</f>
        <v>AM</v>
      </c>
      <c r="D1727" s="63" t="str">
        <f>'Padrão EPP'!D1727</f>
        <v>INTERIOR II</v>
      </c>
      <c r="E1727" s="63">
        <f>'Padrão EPP'!E1727/2</f>
        <v>0</v>
      </c>
      <c r="F1727" s="67">
        <v>3.0000000000000001E-3</v>
      </c>
      <c r="G1727" s="67">
        <v>2E-3</v>
      </c>
      <c r="H1727" s="63"/>
    </row>
    <row r="1728" spans="1:8" x14ac:dyDescent="0.25">
      <c r="A1728" s="63"/>
      <c r="B1728" s="63">
        <f>'Padrão EPP'!B1728</f>
        <v>24</v>
      </c>
      <c r="C1728" s="63" t="str">
        <f>'Padrão EPP'!C1728</f>
        <v>AM</v>
      </c>
      <c r="D1728" s="63" t="str">
        <f>'Padrão EPP'!D1728</f>
        <v>INTERIOR II</v>
      </c>
      <c r="E1728" s="63">
        <f>'Padrão EPP'!E1728/2</f>
        <v>0</v>
      </c>
      <c r="F1728" s="67">
        <v>3.0000000000000001E-3</v>
      </c>
      <c r="G1728" s="67">
        <v>2E-3</v>
      </c>
      <c r="H1728" s="63"/>
    </row>
    <row r="1729" spans="1:8" x14ac:dyDescent="0.25">
      <c r="A1729" s="63"/>
      <c r="B1729" s="63">
        <f>'Padrão EPP'!B1729</f>
        <v>25</v>
      </c>
      <c r="C1729" s="63" t="str">
        <f>'Padrão EPP'!C1729</f>
        <v>AM</v>
      </c>
      <c r="D1729" s="63" t="str">
        <f>'Padrão EPP'!D1729</f>
        <v>INTERIOR II</v>
      </c>
      <c r="E1729" s="63">
        <f>'Padrão EPP'!E1729/2</f>
        <v>0</v>
      </c>
      <c r="F1729" s="67">
        <v>3.0000000000000001E-3</v>
      </c>
      <c r="G1729" s="67">
        <v>2E-3</v>
      </c>
      <c r="H1729" s="63"/>
    </row>
    <row r="1730" spans="1:8" x14ac:dyDescent="0.25">
      <c r="A1730" s="63"/>
      <c r="B1730" s="63">
        <f>'Padrão EPP'!B1730</f>
        <v>26</v>
      </c>
      <c r="C1730" s="63" t="str">
        <f>'Padrão EPP'!C1730</f>
        <v>AM</v>
      </c>
      <c r="D1730" s="63" t="str">
        <f>'Padrão EPP'!D1730</f>
        <v>INTERIOR II</v>
      </c>
      <c r="E1730" s="63">
        <f>'Padrão EPP'!E1730/2</f>
        <v>0</v>
      </c>
      <c r="F1730" s="67">
        <v>3.0000000000000001E-3</v>
      </c>
      <c r="G1730" s="67">
        <v>2E-3</v>
      </c>
      <c r="H1730" s="63"/>
    </row>
    <row r="1731" spans="1:8" x14ac:dyDescent="0.25">
      <c r="A1731" s="63"/>
      <c r="B1731" s="63">
        <f>'Padrão EPP'!B1731</f>
        <v>27</v>
      </c>
      <c r="C1731" s="63" t="str">
        <f>'Padrão EPP'!C1731</f>
        <v>AM</v>
      </c>
      <c r="D1731" s="63" t="str">
        <f>'Padrão EPP'!D1731</f>
        <v>INTERIOR II</v>
      </c>
      <c r="E1731" s="63">
        <f>'Padrão EPP'!E1731/2</f>
        <v>0</v>
      </c>
      <c r="F1731" s="67">
        <v>3.0000000000000001E-3</v>
      </c>
      <c r="G1731" s="67">
        <v>2E-3</v>
      </c>
      <c r="H1731" s="63"/>
    </row>
    <row r="1732" spans="1:8" x14ac:dyDescent="0.25">
      <c r="A1732" s="63"/>
      <c r="B1732" s="63">
        <f>'Padrão EPP'!B1732</f>
        <v>28</v>
      </c>
      <c r="C1732" s="63" t="str">
        <f>'Padrão EPP'!C1732</f>
        <v>AM</v>
      </c>
      <c r="D1732" s="63" t="str">
        <f>'Padrão EPP'!D1732</f>
        <v>INTERIOR II</v>
      </c>
      <c r="E1732" s="63">
        <f>'Padrão EPP'!E1732/2</f>
        <v>0</v>
      </c>
      <c r="F1732" s="67">
        <v>3.0000000000000001E-3</v>
      </c>
      <c r="G1732" s="67">
        <v>2E-3</v>
      </c>
      <c r="H1732" s="63"/>
    </row>
    <row r="1733" spans="1:8" x14ac:dyDescent="0.25">
      <c r="A1733" s="63"/>
      <c r="B1733" s="63">
        <f>'Padrão EPP'!B1733</f>
        <v>29</v>
      </c>
      <c r="C1733" s="63" t="str">
        <f>'Padrão EPP'!C1733</f>
        <v>AM</v>
      </c>
      <c r="D1733" s="63" t="str">
        <f>'Padrão EPP'!D1733</f>
        <v>INTERIOR II</v>
      </c>
      <c r="E1733" s="63">
        <f>'Padrão EPP'!E1733/2</f>
        <v>0</v>
      </c>
      <c r="F1733" s="67">
        <v>3.0000000000000001E-3</v>
      </c>
      <c r="G1733" s="67">
        <v>2E-3</v>
      </c>
      <c r="H1733" s="63"/>
    </row>
    <row r="1734" spans="1:8" x14ac:dyDescent="0.25">
      <c r="A1734" s="63"/>
      <c r="B1734" s="63">
        <f>'Padrão EPP'!B1734</f>
        <v>30</v>
      </c>
      <c r="C1734" s="63" t="str">
        <f>'Padrão EPP'!C1734</f>
        <v>AM</v>
      </c>
      <c r="D1734" s="63" t="str">
        <f>'Padrão EPP'!D1734</f>
        <v>INTERIOR II</v>
      </c>
      <c r="E1734" s="63">
        <f>'Padrão EPP'!E1734/2</f>
        <v>0</v>
      </c>
      <c r="F1734" s="67">
        <v>3.0000000000000001E-3</v>
      </c>
      <c r="G1734" s="67">
        <v>2E-3</v>
      </c>
      <c r="H1734" s="63"/>
    </row>
    <row r="1735" spans="1:8" x14ac:dyDescent="0.25">
      <c r="A1735" s="63"/>
      <c r="B1735" s="63">
        <f>'Padrão EPP'!B1735</f>
        <v>0</v>
      </c>
      <c r="C1735" s="63" t="str">
        <f>'Padrão EPP'!C1735</f>
        <v>AM</v>
      </c>
      <c r="D1735" s="63" t="str">
        <f>'Padrão EPP'!D1735</f>
        <v>INTERIOR II</v>
      </c>
      <c r="E1735" s="63">
        <f>'Padrão EPP'!E1735/2</f>
        <v>1.5214394455252955</v>
      </c>
      <c r="F1735" s="67">
        <v>3.0000000000000001E-3</v>
      </c>
      <c r="G1735" s="67">
        <v>2E-3</v>
      </c>
      <c r="H1735" s="63"/>
    </row>
    <row r="1736" spans="1:8" x14ac:dyDescent="0.25">
      <c r="A1736" s="63"/>
      <c r="B1736" s="63">
        <f>'Padrão EPP'!B1736</f>
        <v>0.25</v>
      </c>
      <c r="C1736" s="63" t="str">
        <f>'Padrão EPP'!C1736</f>
        <v>AM</v>
      </c>
      <c r="D1736" s="63" t="str">
        <f>'Padrão EPP'!D1736</f>
        <v>REDESPACHO</v>
      </c>
      <c r="E1736" s="63">
        <f>'Padrão EPP'!E1736/2</f>
        <v>24.682547573618933</v>
      </c>
      <c r="F1736" s="67">
        <v>3.0000000000000001E-3</v>
      </c>
      <c r="G1736" s="67">
        <v>2E-3</v>
      </c>
      <c r="H1736" s="63"/>
    </row>
    <row r="1737" spans="1:8" x14ac:dyDescent="0.25">
      <c r="A1737" s="63"/>
      <c r="B1737" s="63">
        <f>'Padrão EPP'!B1737</f>
        <v>0.5</v>
      </c>
      <c r="C1737" s="63" t="str">
        <f>'Padrão EPP'!C1737</f>
        <v>AM</v>
      </c>
      <c r="D1737" s="63" t="str">
        <f>'Padrão EPP'!D1737</f>
        <v>REDESPACHO</v>
      </c>
      <c r="E1737" s="63">
        <f>'Padrão EPP'!E1737/2</f>
        <v>25.385444360978706</v>
      </c>
      <c r="F1737" s="67">
        <v>3.0000000000000001E-3</v>
      </c>
      <c r="G1737" s="67">
        <v>2E-3</v>
      </c>
      <c r="H1737" s="63"/>
    </row>
    <row r="1738" spans="1:8" x14ac:dyDescent="0.25">
      <c r="A1738" s="63"/>
      <c r="B1738" s="63">
        <f>'Padrão EPP'!B1738</f>
        <v>0.75</v>
      </c>
      <c r="C1738" s="63" t="str">
        <f>'Padrão EPP'!C1738</f>
        <v>AM</v>
      </c>
      <c r="D1738" s="63" t="str">
        <f>'Padrão EPP'!D1738</f>
        <v>REDESPACHO</v>
      </c>
      <c r="E1738" s="63">
        <f>'Padrão EPP'!E1738/2</f>
        <v>26.100217157554262</v>
      </c>
      <c r="F1738" s="67">
        <v>3.0000000000000001E-3</v>
      </c>
      <c r="G1738" s="67">
        <v>2E-3</v>
      </c>
      <c r="H1738" s="63"/>
    </row>
    <row r="1739" spans="1:8" x14ac:dyDescent="0.25">
      <c r="A1739" s="63"/>
      <c r="B1739" s="63">
        <f>'Padrão EPP'!B1739</f>
        <v>1</v>
      </c>
      <c r="C1739" s="63" t="str">
        <f>'Padrão EPP'!C1739</f>
        <v>AM</v>
      </c>
      <c r="D1739" s="63" t="str">
        <f>'Padrão EPP'!D1739</f>
        <v>REDESPACHO</v>
      </c>
      <c r="E1739" s="63">
        <f>'Padrão EPP'!E1739/2</f>
        <v>26.206064048034612</v>
      </c>
      <c r="F1739" s="67">
        <v>3.0000000000000001E-3</v>
      </c>
      <c r="G1739" s="67">
        <v>2E-3</v>
      </c>
      <c r="H1739" s="63"/>
    </row>
    <row r="1740" spans="1:8" x14ac:dyDescent="0.25">
      <c r="A1740" s="63"/>
      <c r="B1740" s="63">
        <f>'Padrão EPP'!B1740</f>
        <v>2</v>
      </c>
      <c r="C1740" s="63" t="str">
        <f>'Padrão EPP'!C1740</f>
        <v>AM</v>
      </c>
      <c r="D1740" s="63" t="str">
        <f>'Padrão EPP'!D1740</f>
        <v>REDESPACHO</v>
      </c>
      <c r="E1740" s="63">
        <f>'Padrão EPP'!E1740/2</f>
        <v>29.521714474024847</v>
      </c>
      <c r="F1740" s="67">
        <v>3.0000000000000001E-3</v>
      </c>
      <c r="G1740" s="67">
        <v>2E-3</v>
      </c>
      <c r="H1740" s="63"/>
    </row>
    <row r="1741" spans="1:8" x14ac:dyDescent="0.25">
      <c r="A1741" s="63"/>
      <c r="B1741" s="63">
        <f>'Padrão EPP'!B1741</f>
        <v>3</v>
      </c>
      <c r="C1741" s="63" t="str">
        <f>'Padrão EPP'!C1741</f>
        <v>AM</v>
      </c>
      <c r="D1741" s="63" t="str">
        <f>'Padrão EPP'!D1741</f>
        <v>REDESPACHO</v>
      </c>
      <c r="E1741" s="63">
        <f>'Padrão EPP'!E1741/2</f>
        <v>35.835296858927336</v>
      </c>
      <c r="F1741" s="67">
        <v>3.0000000000000001E-3</v>
      </c>
      <c r="G1741" s="67">
        <v>2E-3</v>
      </c>
      <c r="H1741" s="63"/>
    </row>
    <row r="1742" spans="1:8" x14ac:dyDescent="0.25">
      <c r="A1742" s="63"/>
      <c r="B1742" s="63">
        <f>'Padrão EPP'!B1742</f>
        <v>4</v>
      </c>
      <c r="C1742" s="63" t="str">
        <f>'Padrão EPP'!C1742</f>
        <v>AM</v>
      </c>
      <c r="D1742" s="63" t="str">
        <f>'Padrão EPP'!D1742</f>
        <v>REDESPACHO</v>
      </c>
      <c r="E1742" s="63">
        <f>'Padrão EPP'!E1742/2</f>
        <v>40.541342169820062</v>
      </c>
      <c r="F1742" s="67">
        <v>3.0000000000000001E-3</v>
      </c>
      <c r="G1742" s="67">
        <v>2E-3</v>
      </c>
      <c r="H1742" s="63"/>
    </row>
    <row r="1743" spans="1:8" x14ac:dyDescent="0.25">
      <c r="A1743" s="63"/>
      <c r="B1743" s="63">
        <f>'Padrão EPP'!B1743</f>
        <v>5</v>
      </c>
      <c r="C1743" s="63" t="str">
        <f>'Padrão EPP'!C1743</f>
        <v>AM</v>
      </c>
      <c r="D1743" s="63" t="str">
        <f>'Padrão EPP'!D1743</f>
        <v>REDESPACHO</v>
      </c>
      <c r="E1743" s="63">
        <f>'Padrão EPP'!E1743/2</f>
        <v>44.697260761802099</v>
      </c>
      <c r="F1743" s="67">
        <v>3.0000000000000001E-3</v>
      </c>
      <c r="G1743" s="67">
        <v>2E-3</v>
      </c>
      <c r="H1743" s="63"/>
    </row>
    <row r="1744" spans="1:8" x14ac:dyDescent="0.25">
      <c r="A1744" s="63"/>
      <c r="B1744" s="63">
        <f>'Padrão EPP'!B1744</f>
        <v>6</v>
      </c>
      <c r="C1744" s="63" t="str">
        <f>'Padrão EPP'!C1744</f>
        <v>AM</v>
      </c>
      <c r="D1744" s="63" t="str">
        <f>'Padrão EPP'!D1744</f>
        <v>REDESPACHO</v>
      </c>
      <c r="E1744" s="63">
        <f>'Padrão EPP'!E1744/2</f>
        <v>50.297498138255143</v>
      </c>
      <c r="F1744" s="67">
        <v>3.0000000000000001E-3</v>
      </c>
      <c r="G1744" s="67">
        <v>2E-3</v>
      </c>
      <c r="H1744" s="63"/>
    </row>
    <row r="1745" spans="1:8" x14ac:dyDescent="0.25">
      <c r="A1745" s="63"/>
      <c r="B1745" s="63">
        <f>'Padrão EPP'!B1745</f>
        <v>7</v>
      </c>
      <c r="C1745" s="63" t="str">
        <f>'Padrão EPP'!C1745</f>
        <v>AM</v>
      </c>
      <c r="D1745" s="63" t="str">
        <f>'Padrão EPP'!D1745</f>
        <v>REDESPACHO</v>
      </c>
      <c r="E1745" s="63">
        <f>'Padrão EPP'!E1745/2</f>
        <v>55.785028063724411</v>
      </c>
      <c r="F1745" s="67">
        <v>3.0000000000000001E-3</v>
      </c>
      <c r="G1745" s="67">
        <v>2E-3</v>
      </c>
      <c r="H1745" s="63"/>
    </row>
    <row r="1746" spans="1:8" x14ac:dyDescent="0.25">
      <c r="A1746" s="63"/>
      <c r="B1746" s="63">
        <f>'Padrão EPP'!B1746</f>
        <v>8</v>
      </c>
      <c r="C1746" s="63" t="str">
        <f>'Padrão EPP'!C1746</f>
        <v>AM</v>
      </c>
      <c r="D1746" s="63" t="str">
        <f>'Padrão EPP'!D1746</f>
        <v>REDESPACHO</v>
      </c>
      <c r="E1746" s="63">
        <f>'Padrão EPP'!E1746/2</f>
        <v>56.348513195681228</v>
      </c>
      <c r="F1746" s="67">
        <v>3.0000000000000001E-3</v>
      </c>
      <c r="G1746" s="67">
        <v>2E-3</v>
      </c>
      <c r="H1746" s="63"/>
    </row>
    <row r="1747" spans="1:8" x14ac:dyDescent="0.25">
      <c r="A1747" s="63"/>
      <c r="B1747" s="63">
        <f>'Padrão EPP'!B1747</f>
        <v>9</v>
      </c>
      <c r="C1747" s="63" t="str">
        <f>'Padrão EPP'!C1747</f>
        <v>AM</v>
      </c>
      <c r="D1747" s="63" t="str">
        <f>'Padrão EPP'!D1747</f>
        <v>REDESPACHO</v>
      </c>
      <c r="E1747" s="63">
        <f>'Padrão EPP'!E1747/2</f>
        <v>68.273765395494536</v>
      </c>
      <c r="F1747" s="67">
        <v>3.0000000000000001E-3</v>
      </c>
      <c r="G1747" s="67">
        <v>2E-3</v>
      </c>
      <c r="H1747" s="63"/>
    </row>
    <row r="1748" spans="1:8" x14ac:dyDescent="0.25">
      <c r="A1748" s="63"/>
      <c r="B1748" s="63">
        <f>'Padrão EPP'!B1748</f>
        <v>10</v>
      </c>
      <c r="C1748" s="63" t="str">
        <f>'Padrão EPP'!C1748</f>
        <v>AM</v>
      </c>
      <c r="D1748" s="63" t="str">
        <f>'Padrão EPP'!D1748</f>
        <v>REDESPACHO</v>
      </c>
      <c r="E1748" s="63">
        <f>'Padrão EPP'!E1748/2</f>
        <v>78.560596944599055</v>
      </c>
      <c r="F1748" s="67">
        <v>3.0000000000000001E-3</v>
      </c>
      <c r="G1748" s="67">
        <v>2E-3</v>
      </c>
      <c r="H1748" s="63"/>
    </row>
    <row r="1749" spans="1:8" x14ac:dyDescent="0.25">
      <c r="A1749" s="63"/>
      <c r="B1749" s="63">
        <f>'Padrão EPP'!B1749</f>
        <v>11</v>
      </c>
      <c r="C1749" s="63" t="str">
        <f>'Padrão EPP'!C1749</f>
        <v>AM</v>
      </c>
      <c r="D1749" s="63" t="str">
        <f>'Padrão EPP'!D1749</f>
        <v>REDESPACHO</v>
      </c>
      <c r="E1749" s="63">
        <f>'Padrão EPP'!E1749/2</f>
        <v>0</v>
      </c>
      <c r="F1749" s="67">
        <v>3.0000000000000001E-3</v>
      </c>
      <c r="G1749" s="67">
        <v>2E-3</v>
      </c>
      <c r="H1749" s="63"/>
    </row>
    <row r="1750" spans="1:8" x14ac:dyDescent="0.25">
      <c r="A1750" s="63"/>
      <c r="B1750" s="63">
        <f>'Padrão EPP'!B1750</f>
        <v>12</v>
      </c>
      <c r="C1750" s="63" t="str">
        <f>'Padrão EPP'!C1750</f>
        <v>AM</v>
      </c>
      <c r="D1750" s="63" t="str">
        <f>'Padrão EPP'!D1750</f>
        <v>REDESPACHO</v>
      </c>
      <c r="E1750" s="63">
        <f>'Padrão EPP'!E1750/2</f>
        <v>0</v>
      </c>
      <c r="F1750" s="67">
        <v>3.0000000000000001E-3</v>
      </c>
      <c r="G1750" s="67">
        <v>2E-3</v>
      </c>
      <c r="H1750" s="63"/>
    </row>
    <row r="1751" spans="1:8" x14ac:dyDescent="0.25">
      <c r="A1751" s="63"/>
      <c r="B1751" s="63">
        <f>'Padrão EPP'!B1751</f>
        <v>13</v>
      </c>
      <c r="C1751" s="63" t="str">
        <f>'Padrão EPP'!C1751</f>
        <v>AM</v>
      </c>
      <c r="D1751" s="63" t="str">
        <f>'Padrão EPP'!D1751</f>
        <v>REDESPACHO</v>
      </c>
      <c r="E1751" s="63">
        <f>'Padrão EPP'!E1751/2</f>
        <v>0</v>
      </c>
      <c r="F1751" s="67">
        <v>3.0000000000000001E-3</v>
      </c>
      <c r="G1751" s="67">
        <v>2E-3</v>
      </c>
      <c r="H1751" s="63"/>
    </row>
    <row r="1752" spans="1:8" x14ac:dyDescent="0.25">
      <c r="A1752" s="63"/>
      <c r="B1752" s="63">
        <f>'Padrão EPP'!B1752</f>
        <v>14</v>
      </c>
      <c r="C1752" s="63" t="str">
        <f>'Padrão EPP'!C1752</f>
        <v>AM</v>
      </c>
      <c r="D1752" s="63" t="str">
        <f>'Padrão EPP'!D1752</f>
        <v>REDESPACHO</v>
      </c>
      <c r="E1752" s="63">
        <f>'Padrão EPP'!E1752/2</f>
        <v>0</v>
      </c>
      <c r="F1752" s="67">
        <v>3.0000000000000001E-3</v>
      </c>
      <c r="G1752" s="67">
        <v>2E-3</v>
      </c>
      <c r="H1752" s="63"/>
    </row>
    <row r="1753" spans="1:8" x14ac:dyDescent="0.25">
      <c r="A1753" s="63"/>
      <c r="B1753" s="63">
        <f>'Padrão EPP'!B1753</f>
        <v>15</v>
      </c>
      <c r="C1753" s="63" t="str">
        <f>'Padrão EPP'!C1753</f>
        <v>AM</v>
      </c>
      <c r="D1753" s="63" t="str">
        <f>'Padrão EPP'!D1753</f>
        <v>REDESPACHO</v>
      </c>
      <c r="E1753" s="63">
        <f>'Padrão EPP'!E1753/2</f>
        <v>0</v>
      </c>
      <c r="F1753" s="67">
        <v>3.0000000000000001E-3</v>
      </c>
      <c r="G1753" s="67">
        <v>2E-3</v>
      </c>
      <c r="H1753" s="63"/>
    </row>
    <row r="1754" spans="1:8" x14ac:dyDescent="0.25">
      <c r="A1754" s="63"/>
      <c r="B1754" s="63">
        <f>'Padrão EPP'!B1754</f>
        <v>16</v>
      </c>
      <c r="C1754" s="63" t="str">
        <f>'Padrão EPP'!C1754</f>
        <v>AM</v>
      </c>
      <c r="D1754" s="63" t="str">
        <f>'Padrão EPP'!D1754</f>
        <v>REDESPACHO</v>
      </c>
      <c r="E1754" s="63">
        <f>'Padrão EPP'!E1754/2</f>
        <v>0</v>
      </c>
      <c r="F1754" s="67">
        <v>3.0000000000000001E-3</v>
      </c>
      <c r="G1754" s="67">
        <v>2E-3</v>
      </c>
      <c r="H1754" s="63"/>
    </row>
    <row r="1755" spans="1:8" x14ac:dyDescent="0.25">
      <c r="A1755" s="63"/>
      <c r="B1755" s="63">
        <f>'Padrão EPP'!B1755</f>
        <v>17</v>
      </c>
      <c r="C1755" s="63" t="str">
        <f>'Padrão EPP'!C1755</f>
        <v>AM</v>
      </c>
      <c r="D1755" s="63" t="str">
        <f>'Padrão EPP'!D1755</f>
        <v>REDESPACHO</v>
      </c>
      <c r="E1755" s="63">
        <f>'Padrão EPP'!E1755/2</f>
        <v>0</v>
      </c>
      <c r="F1755" s="67">
        <v>3.0000000000000001E-3</v>
      </c>
      <c r="G1755" s="67">
        <v>2E-3</v>
      </c>
      <c r="H1755" s="63"/>
    </row>
    <row r="1756" spans="1:8" x14ac:dyDescent="0.25">
      <c r="A1756" s="63"/>
      <c r="B1756" s="63">
        <f>'Padrão EPP'!B1756</f>
        <v>18</v>
      </c>
      <c r="C1756" s="63" t="str">
        <f>'Padrão EPP'!C1756</f>
        <v>AM</v>
      </c>
      <c r="D1756" s="63" t="str">
        <f>'Padrão EPP'!D1756</f>
        <v>REDESPACHO</v>
      </c>
      <c r="E1756" s="63">
        <f>'Padrão EPP'!E1756/2</f>
        <v>0</v>
      </c>
      <c r="F1756" s="67">
        <v>3.0000000000000001E-3</v>
      </c>
      <c r="G1756" s="67">
        <v>2E-3</v>
      </c>
      <c r="H1756" s="63"/>
    </row>
    <row r="1757" spans="1:8" x14ac:dyDescent="0.25">
      <c r="A1757" s="63"/>
      <c r="B1757" s="63">
        <f>'Padrão EPP'!B1757</f>
        <v>19</v>
      </c>
      <c r="C1757" s="63" t="str">
        <f>'Padrão EPP'!C1757</f>
        <v>AM</v>
      </c>
      <c r="D1757" s="63" t="str">
        <f>'Padrão EPP'!D1757</f>
        <v>REDESPACHO</v>
      </c>
      <c r="E1757" s="63">
        <f>'Padrão EPP'!E1757/2</f>
        <v>0</v>
      </c>
      <c r="F1757" s="67">
        <v>3.0000000000000001E-3</v>
      </c>
      <c r="G1757" s="67">
        <v>2E-3</v>
      </c>
      <c r="H1757" s="63"/>
    </row>
    <row r="1758" spans="1:8" x14ac:dyDescent="0.25">
      <c r="A1758" s="63"/>
      <c r="B1758" s="63">
        <f>'Padrão EPP'!B1758</f>
        <v>20</v>
      </c>
      <c r="C1758" s="63" t="str">
        <f>'Padrão EPP'!C1758</f>
        <v>AM</v>
      </c>
      <c r="D1758" s="63" t="str">
        <f>'Padrão EPP'!D1758</f>
        <v>REDESPACHO</v>
      </c>
      <c r="E1758" s="63">
        <f>'Padrão EPP'!E1758/2</f>
        <v>0</v>
      </c>
      <c r="F1758" s="67">
        <v>3.0000000000000001E-3</v>
      </c>
      <c r="G1758" s="67">
        <v>2E-3</v>
      </c>
      <c r="H1758" s="63"/>
    </row>
    <row r="1759" spans="1:8" x14ac:dyDescent="0.25">
      <c r="A1759" s="63"/>
      <c r="B1759" s="63">
        <f>'Padrão EPP'!B1759</f>
        <v>21</v>
      </c>
      <c r="C1759" s="63" t="str">
        <f>'Padrão EPP'!C1759</f>
        <v>AM</v>
      </c>
      <c r="D1759" s="63" t="str">
        <f>'Padrão EPP'!D1759</f>
        <v>REDESPACHO</v>
      </c>
      <c r="E1759" s="63">
        <f>'Padrão EPP'!E1759/2</f>
        <v>0</v>
      </c>
      <c r="F1759" s="67">
        <v>3.0000000000000001E-3</v>
      </c>
      <c r="G1759" s="67">
        <v>2E-3</v>
      </c>
      <c r="H1759" s="63"/>
    </row>
    <row r="1760" spans="1:8" x14ac:dyDescent="0.25">
      <c r="A1760" s="63"/>
      <c r="B1760" s="63">
        <f>'Padrão EPP'!B1760</f>
        <v>22</v>
      </c>
      <c r="C1760" s="63" t="str">
        <f>'Padrão EPP'!C1760</f>
        <v>AM</v>
      </c>
      <c r="D1760" s="63" t="str">
        <f>'Padrão EPP'!D1760</f>
        <v>REDESPACHO</v>
      </c>
      <c r="E1760" s="63">
        <f>'Padrão EPP'!E1760/2</f>
        <v>0</v>
      </c>
      <c r="F1760" s="67">
        <v>3.0000000000000001E-3</v>
      </c>
      <c r="G1760" s="67">
        <v>2E-3</v>
      </c>
      <c r="H1760" s="63"/>
    </row>
    <row r="1761" spans="1:8" x14ac:dyDescent="0.25">
      <c r="A1761" s="63"/>
      <c r="B1761" s="63">
        <f>'Padrão EPP'!B1761</f>
        <v>23</v>
      </c>
      <c r="C1761" s="63" t="str">
        <f>'Padrão EPP'!C1761</f>
        <v>AM</v>
      </c>
      <c r="D1761" s="63" t="str">
        <f>'Padrão EPP'!D1761</f>
        <v>REDESPACHO</v>
      </c>
      <c r="E1761" s="63">
        <f>'Padrão EPP'!E1761/2</f>
        <v>0</v>
      </c>
      <c r="F1761" s="67">
        <v>3.0000000000000001E-3</v>
      </c>
      <c r="G1761" s="67">
        <v>2E-3</v>
      </c>
      <c r="H1761" s="63"/>
    </row>
    <row r="1762" spans="1:8" x14ac:dyDescent="0.25">
      <c r="A1762" s="63"/>
      <c r="B1762" s="63">
        <f>'Padrão EPP'!B1762</f>
        <v>24</v>
      </c>
      <c r="C1762" s="63" t="str">
        <f>'Padrão EPP'!C1762</f>
        <v>AM</v>
      </c>
      <c r="D1762" s="63" t="str">
        <f>'Padrão EPP'!D1762</f>
        <v>REDESPACHO</v>
      </c>
      <c r="E1762" s="63">
        <f>'Padrão EPP'!E1762/2</f>
        <v>0</v>
      </c>
      <c r="F1762" s="67">
        <v>3.0000000000000001E-3</v>
      </c>
      <c r="G1762" s="67">
        <v>2E-3</v>
      </c>
      <c r="H1762" s="63"/>
    </row>
    <row r="1763" spans="1:8" x14ac:dyDescent="0.25">
      <c r="A1763" s="63"/>
      <c r="B1763" s="63">
        <f>'Padrão EPP'!B1763</f>
        <v>25</v>
      </c>
      <c r="C1763" s="63" t="str">
        <f>'Padrão EPP'!C1763</f>
        <v>AM</v>
      </c>
      <c r="D1763" s="63" t="str">
        <f>'Padrão EPP'!D1763</f>
        <v>REDESPACHO</v>
      </c>
      <c r="E1763" s="63">
        <f>'Padrão EPP'!E1763/2</f>
        <v>0</v>
      </c>
      <c r="F1763" s="67">
        <v>3.0000000000000001E-3</v>
      </c>
      <c r="G1763" s="67">
        <v>2E-3</v>
      </c>
      <c r="H1763" s="63"/>
    </row>
    <row r="1764" spans="1:8" x14ac:dyDescent="0.25">
      <c r="A1764" s="63"/>
      <c r="B1764" s="63">
        <f>'Padrão EPP'!B1764</f>
        <v>26</v>
      </c>
      <c r="C1764" s="63" t="str">
        <f>'Padrão EPP'!C1764</f>
        <v>AM</v>
      </c>
      <c r="D1764" s="63" t="str">
        <f>'Padrão EPP'!D1764</f>
        <v>REDESPACHO</v>
      </c>
      <c r="E1764" s="63">
        <f>'Padrão EPP'!E1764/2</f>
        <v>0</v>
      </c>
      <c r="F1764" s="67">
        <v>3.0000000000000001E-3</v>
      </c>
      <c r="G1764" s="67">
        <v>2E-3</v>
      </c>
      <c r="H1764" s="63"/>
    </row>
    <row r="1765" spans="1:8" x14ac:dyDescent="0.25">
      <c r="A1765" s="63"/>
      <c r="B1765" s="63">
        <f>'Padrão EPP'!B1765</f>
        <v>27</v>
      </c>
      <c r="C1765" s="63" t="str">
        <f>'Padrão EPP'!C1765</f>
        <v>AM</v>
      </c>
      <c r="D1765" s="63" t="str">
        <f>'Padrão EPP'!D1765</f>
        <v>REDESPACHO</v>
      </c>
      <c r="E1765" s="63">
        <f>'Padrão EPP'!E1765/2</f>
        <v>0</v>
      </c>
      <c r="F1765" s="67">
        <v>3.0000000000000001E-3</v>
      </c>
      <c r="G1765" s="67">
        <v>2E-3</v>
      </c>
      <c r="H1765" s="63"/>
    </row>
    <row r="1766" spans="1:8" x14ac:dyDescent="0.25">
      <c r="A1766" s="63"/>
      <c r="B1766" s="63">
        <f>'Padrão EPP'!B1766</f>
        <v>28</v>
      </c>
      <c r="C1766" s="63" t="str">
        <f>'Padrão EPP'!C1766</f>
        <v>AM</v>
      </c>
      <c r="D1766" s="63" t="str">
        <f>'Padrão EPP'!D1766</f>
        <v>REDESPACHO</v>
      </c>
      <c r="E1766" s="63">
        <f>'Padrão EPP'!E1766/2</f>
        <v>0</v>
      </c>
      <c r="F1766" s="67">
        <v>3.0000000000000001E-3</v>
      </c>
      <c r="G1766" s="67">
        <v>2E-3</v>
      </c>
      <c r="H1766" s="63"/>
    </row>
    <row r="1767" spans="1:8" x14ac:dyDescent="0.25">
      <c r="A1767" s="63"/>
      <c r="B1767" s="63">
        <f>'Padrão EPP'!B1767</f>
        <v>29</v>
      </c>
      <c r="C1767" s="63" t="str">
        <f>'Padrão EPP'!C1767</f>
        <v>AM</v>
      </c>
      <c r="D1767" s="63" t="str">
        <f>'Padrão EPP'!D1767</f>
        <v>REDESPACHO</v>
      </c>
      <c r="E1767" s="63">
        <f>'Padrão EPP'!E1767/2</f>
        <v>0</v>
      </c>
      <c r="F1767" s="67">
        <v>3.0000000000000001E-3</v>
      </c>
      <c r="G1767" s="67">
        <v>2E-3</v>
      </c>
      <c r="H1767" s="63"/>
    </row>
    <row r="1768" spans="1:8" x14ac:dyDescent="0.25">
      <c r="A1768" s="63"/>
      <c r="B1768" s="63">
        <f>'Padrão EPP'!B1768</f>
        <v>30</v>
      </c>
      <c r="C1768" s="63" t="str">
        <f>'Padrão EPP'!C1768</f>
        <v>AM</v>
      </c>
      <c r="D1768" s="63" t="str">
        <f>'Padrão EPP'!D1768</f>
        <v>REDESPACHO</v>
      </c>
      <c r="E1768" s="63">
        <f>'Padrão EPP'!E1768/2</f>
        <v>0</v>
      </c>
      <c r="F1768" s="67">
        <v>3.0000000000000001E-3</v>
      </c>
      <c r="G1768" s="67">
        <v>2E-3</v>
      </c>
      <c r="H1768" s="63"/>
    </row>
    <row r="1769" spans="1:8" x14ac:dyDescent="0.25">
      <c r="A1769" s="63"/>
      <c r="B1769" s="63">
        <f>'Padrão EPP'!B1769</f>
        <v>0</v>
      </c>
      <c r="C1769" s="63" t="str">
        <f>'Padrão EPP'!C1769</f>
        <v>AM</v>
      </c>
      <c r="D1769" s="63" t="str">
        <f>'Padrão EPP'!D1769</f>
        <v>REDESPACHO</v>
      </c>
      <c r="E1769" s="63">
        <f>'Padrão EPP'!E1769/2</f>
        <v>1.5214394455252955</v>
      </c>
      <c r="F1769" s="67">
        <v>3.0000000000000001E-3</v>
      </c>
      <c r="G1769" s="67">
        <v>2E-3</v>
      </c>
      <c r="H1769" s="63"/>
    </row>
    <row r="1770" spans="1:8" x14ac:dyDescent="0.25">
      <c r="A1770" s="63"/>
      <c r="B1770" s="63">
        <f>'Padrão EPP'!B1770</f>
        <v>0.25</v>
      </c>
      <c r="C1770" s="63" t="str">
        <f>'Padrão EPP'!C1770</f>
        <v>AP</v>
      </c>
      <c r="D1770" s="63" t="str">
        <f>'Padrão EPP'!D1770</f>
        <v>CAPITAL</v>
      </c>
      <c r="E1770" s="63">
        <f>'Padrão EPP'!E1770/2</f>
        <v>15.389768848695878</v>
      </c>
      <c r="F1770" s="67">
        <v>3.0000000000000001E-3</v>
      </c>
      <c r="G1770" s="67">
        <v>2E-3</v>
      </c>
      <c r="H1770" s="63"/>
    </row>
    <row r="1771" spans="1:8" x14ac:dyDescent="0.25">
      <c r="A1771" s="63"/>
      <c r="B1771" s="63">
        <f>'Padrão EPP'!B1771</f>
        <v>0.5</v>
      </c>
      <c r="C1771" s="63" t="str">
        <f>'Padrão EPP'!C1771</f>
        <v>AP</v>
      </c>
      <c r="D1771" s="63" t="str">
        <f>'Padrão EPP'!D1771</f>
        <v>CAPITAL</v>
      </c>
      <c r="E1771" s="63">
        <f>'Padrão EPP'!E1771/2</f>
        <v>15.610035519603771</v>
      </c>
      <c r="F1771" s="67">
        <v>3.0000000000000001E-3</v>
      </c>
      <c r="G1771" s="67">
        <v>2E-3</v>
      </c>
      <c r="H1771" s="63"/>
    </row>
    <row r="1772" spans="1:8" x14ac:dyDescent="0.25">
      <c r="A1772" s="63"/>
      <c r="B1772" s="63">
        <f>'Padrão EPP'!B1772</f>
        <v>0.75</v>
      </c>
      <c r="C1772" s="63" t="str">
        <f>'Padrão EPP'!C1772</f>
        <v>AP</v>
      </c>
      <c r="D1772" s="63" t="str">
        <f>'Padrão EPP'!D1772</f>
        <v>CAPITAL</v>
      </c>
      <c r="E1772" s="63">
        <f>'Padrão EPP'!E1772/2</f>
        <v>15.75845539542013</v>
      </c>
      <c r="F1772" s="67">
        <v>3.0000000000000001E-3</v>
      </c>
      <c r="G1772" s="67">
        <v>2E-3</v>
      </c>
      <c r="H1772" s="63"/>
    </row>
    <row r="1773" spans="1:8" x14ac:dyDescent="0.25">
      <c r="A1773" s="63"/>
      <c r="B1773" s="63">
        <f>'Padrão EPP'!B1773</f>
        <v>1</v>
      </c>
      <c r="C1773" s="63" t="str">
        <f>'Padrão EPP'!C1773</f>
        <v>AP</v>
      </c>
      <c r="D1773" s="63" t="str">
        <f>'Padrão EPP'!D1773</f>
        <v>CAPITAL</v>
      </c>
      <c r="E1773" s="63">
        <f>'Padrão EPP'!E1773/2</f>
        <v>16.258686089763074</v>
      </c>
      <c r="F1773" s="67">
        <v>3.0000000000000001E-3</v>
      </c>
      <c r="G1773" s="67">
        <v>2E-3</v>
      </c>
      <c r="H1773" s="63"/>
    </row>
    <row r="1774" spans="1:8" x14ac:dyDescent="0.25">
      <c r="A1774" s="63"/>
      <c r="B1774" s="63">
        <f>'Padrão EPP'!B1774</f>
        <v>2</v>
      </c>
      <c r="C1774" s="63" t="str">
        <f>'Padrão EPP'!C1774</f>
        <v>AP</v>
      </c>
      <c r="D1774" s="63" t="str">
        <f>'Padrão EPP'!D1774</f>
        <v>CAPITAL</v>
      </c>
      <c r="E1774" s="63">
        <f>'Padrão EPP'!E1774/2</f>
        <v>22.058227977574958</v>
      </c>
      <c r="F1774" s="67">
        <v>3.0000000000000001E-3</v>
      </c>
      <c r="G1774" s="67">
        <v>2E-3</v>
      </c>
      <c r="H1774" s="63"/>
    </row>
    <row r="1775" spans="1:8" x14ac:dyDescent="0.25">
      <c r="A1775" s="63"/>
      <c r="B1775" s="63">
        <f>'Padrão EPP'!B1775</f>
        <v>3</v>
      </c>
      <c r="C1775" s="63" t="str">
        <f>'Padrão EPP'!C1775</f>
        <v>AP</v>
      </c>
      <c r="D1775" s="63" t="str">
        <f>'Padrão EPP'!D1775</f>
        <v>CAPITAL</v>
      </c>
      <c r="E1775" s="63">
        <f>'Padrão EPP'!E1775/2</f>
        <v>28.376605012052259</v>
      </c>
      <c r="F1775" s="67">
        <v>3.0000000000000001E-3</v>
      </c>
      <c r="G1775" s="67">
        <v>2E-3</v>
      </c>
      <c r="H1775" s="63"/>
    </row>
    <row r="1776" spans="1:8" x14ac:dyDescent="0.25">
      <c r="A1776" s="63"/>
      <c r="B1776" s="63">
        <f>'Padrão EPP'!B1776</f>
        <v>4</v>
      </c>
      <c r="C1776" s="63" t="str">
        <f>'Padrão EPP'!C1776</f>
        <v>AP</v>
      </c>
      <c r="D1776" s="63" t="str">
        <f>'Padrão EPP'!D1776</f>
        <v>CAPITAL</v>
      </c>
      <c r="E1776" s="63">
        <f>'Padrão EPP'!E1776/2</f>
        <v>35.144767426786551</v>
      </c>
      <c r="F1776" s="67">
        <v>3.0000000000000001E-3</v>
      </c>
      <c r="G1776" s="67">
        <v>2E-3</v>
      </c>
      <c r="H1776" s="63"/>
    </row>
    <row r="1777" spans="1:8" x14ac:dyDescent="0.25">
      <c r="A1777" s="63"/>
      <c r="B1777" s="63">
        <f>'Padrão EPP'!B1777</f>
        <v>5</v>
      </c>
      <c r="C1777" s="63" t="str">
        <f>'Padrão EPP'!C1777</f>
        <v>AP</v>
      </c>
      <c r="D1777" s="63" t="str">
        <f>'Padrão EPP'!D1777</f>
        <v>CAPITAL</v>
      </c>
      <c r="E1777" s="63">
        <f>'Padrão EPP'!E1777/2</f>
        <v>41.817273053834533</v>
      </c>
      <c r="F1777" s="67">
        <v>3.0000000000000001E-3</v>
      </c>
      <c r="G1777" s="67">
        <v>2E-3</v>
      </c>
      <c r="H1777" s="63"/>
    </row>
    <row r="1778" spans="1:8" x14ac:dyDescent="0.25">
      <c r="A1778" s="63"/>
      <c r="B1778" s="63">
        <f>'Padrão EPP'!B1778</f>
        <v>6</v>
      </c>
      <c r="C1778" s="63" t="str">
        <f>'Padrão EPP'!C1778</f>
        <v>AP</v>
      </c>
      <c r="D1778" s="63" t="str">
        <f>'Padrão EPP'!D1778</f>
        <v>CAPITAL</v>
      </c>
      <c r="E1778" s="63">
        <f>'Padrão EPP'!E1778/2</f>
        <v>48.269561757770035</v>
      </c>
      <c r="F1778" s="67">
        <v>3.0000000000000001E-3</v>
      </c>
      <c r="G1778" s="67">
        <v>2E-3</v>
      </c>
      <c r="H1778" s="63"/>
    </row>
    <row r="1779" spans="1:8" x14ac:dyDescent="0.25">
      <c r="A1779" s="63"/>
      <c r="B1779" s="63">
        <f>'Padrão EPP'!B1779</f>
        <v>7</v>
      </c>
      <c r="C1779" s="63" t="str">
        <f>'Padrão EPP'!C1779</f>
        <v>AP</v>
      </c>
      <c r="D1779" s="63" t="str">
        <f>'Padrão EPP'!D1779</f>
        <v>CAPITAL</v>
      </c>
      <c r="E1779" s="63">
        <f>'Padrão EPP'!E1779/2</f>
        <v>55.103518451289304</v>
      </c>
      <c r="F1779" s="67">
        <v>3.0000000000000001E-3</v>
      </c>
      <c r="G1779" s="67">
        <v>2E-3</v>
      </c>
      <c r="H1779" s="63"/>
    </row>
    <row r="1780" spans="1:8" x14ac:dyDescent="0.25">
      <c r="A1780" s="63"/>
      <c r="B1780" s="63">
        <f>'Padrão EPP'!B1780</f>
        <v>8</v>
      </c>
      <c r="C1780" s="63" t="str">
        <f>'Padrão EPP'!C1780</f>
        <v>AP</v>
      </c>
      <c r="D1780" s="63" t="str">
        <f>'Padrão EPP'!D1780</f>
        <v>CAPITAL</v>
      </c>
      <c r="E1780" s="63">
        <f>'Padrão EPP'!E1780/2</f>
        <v>61.710629226821702</v>
      </c>
      <c r="F1780" s="67">
        <v>3.0000000000000001E-3</v>
      </c>
      <c r="G1780" s="67">
        <v>2E-3</v>
      </c>
      <c r="H1780" s="63"/>
    </row>
    <row r="1781" spans="1:8" x14ac:dyDescent="0.25">
      <c r="A1781" s="63"/>
      <c r="B1781" s="63">
        <f>'Padrão EPP'!B1781</f>
        <v>9</v>
      </c>
      <c r="C1781" s="63" t="str">
        <f>'Padrão EPP'!C1781</f>
        <v>AP</v>
      </c>
      <c r="D1781" s="63" t="str">
        <f>'Padrão EPP'!D1781</f>
        <v>CAPITAL</v>
      </c>
      <c r="E1781" s="63">
        <f>'Padrão EPP'!E1781/2</f>
        <v>68.406947005512336</v>
      </c>
      <c r="F1781" s="67">
        <v>3.0000000000000001E-3</v>
      </c>
      <c r="G1781" s="67">
        <v>2E-3</v>
      </c>
      <c r="H1781" s="63"/>
    </row>
    <row r="1782" spans="1:8" x14ac:dyDescent="0.25">
      <c r="A1782" s="63"/>
      <c r="B1782" s="63">
        <f>'Padrão EPP'!B1782</f>
        <v>10</v>
      </c>
      <c r="C1782" s="63" t="str">
        <f>'Padrão EPP'!C1782</f>
        <v>AP</v>
      </c>
      <c r="D1782" s="63" t="str">
        <f>'Padrão EPP'!D1782</f>
        <v>CAPITAL</v>
      </c>
      <c r="E1782" s="63">
        <f>'Padrão EPP'!E1782/2</f>
        <v>75.000473447532599</v>
      </c>
      <c r="F1782" s="67">
        <v>3.0000000000000001E-3</v>
      </c>
      <c r="G1782" s="67">
        <v>2E-3</v>
      </c>
      <c r="H1782" s="63"/>
    </row>
    <row r="1783" spans="1:8" x14ac:dyDescent="0.25">
      <c r="A1783" s="63"/>
      <c r="B1783" s="63">
        <f>'Padrão EPP'!B1783</f>
        <v>11</v>
      </c>
      <c r="C1783" s="63" t="str">
        <f>'Padrão EPP'!C1783</f>
        <v>AP</v>
      </c>
      <c r="D1783" s="63" t="str">
        <f>'Padrão EPP'!D1783</f>
        <v>CAPITAL</v>
      </c>
      <c r="E1783" s="63">
        <f>'Padrão EPP'!E1783/2</f>
        <v>0</v>
      </c>
      <c r="F1783" s="67">
        <v>3.0000000000000001E-3</v>
      </c>
      <c r="G1783" s="67">
        <v>2E-3</v>
      </c>
      <c r="H1783" s="63"/>
    </row>
    <row r="1784" spans="1:8" x14ac:dyDescent="0.25">
      <c r="A1784" s="63"/>
      <c r="B1784" s="63">
        <f>'Padrão EPP'!B1784</f>
        <v>12</v>
      </c>
      <c r="C1784" s="63" t="str">
        <f>'Padrão EPP'!C1784</f>
        <v>AP</v>
      </c>
      <c r="D1784" s="63" t="str">
        <f>'Padrão EPP'!D1784</f>
        <v>CAPITAL</v>
      </c>
      <c r="E1784" s="63">
        <f>'Padrão EPP'!E1784/2</f>
        <v>0</v>
      </c>
      <c r="F1784" s="67">
        <v>3.0000000000000001E-3</v>
      </c>
      <c r="G1784" s="67">
        <v>2E-3</v>
      </c>
      <c r="H1784" s="63"/>
    </row>
    <row r="1785" spans="1:8" x14ac:dyDescent="0.25">
      <c r="A1785" s="63"/>
      <c r="B1785" s="63">
        <f>'Padrão EPP'!B1785</f>
        <v>13</v>
      </c>
      <c r="C1785" s="63" t="str">
        <f>'Padrão EPP'!C1785</f>
        <v>AP</v>
      </c>
      <c r="D1785" s="63" t="str">
        <f>'Padrão EPP'!D1785</f>
        <v>CAPITAL</v>
      </c>
      <c r="E1785" s="63">
        <f>'Padrão EPP'!E1785/2</f>
        <v>0</v>
      </c>
      <c r="F1785" s="67">
        <v>3.0000000000000001E-3</v>
      </c>
      <c r="G1785" s="67">
        <v>2E-3</v>
      </c>
      <c r="H1785" s="63"/>
    </row>
    <row r="1786" spans="1:8" x14ac:dyDescent="0.25">
      <c r="A1786" s="63"/>
      <c r="B1786" s="63">
        <f>'Padrão EPP'!B1786</f>
        <v>14</v>
      </c>
      <c r="C1786" s="63" t="str">
        <f>'Padrão EPP'!C1786</f>
        <v>AP</v>
      </c>
      <c r="D1786" s="63" t="str">
        <f>'Padrão EPP'!D1786</f>
        <v>CAPITAL</v>
      </c>
      <c r="E1786" s="63">
        <f>'Padrão EPP'!E1786/2</f>
        <v>0</v>
      </c>
      <c r="F1786" s="67">
        <v>3.0000000000000001E-3</v>
      </c>
      <c r="G1786" s="67">
        <v>2E-3</v>
      </c>
      <c r="H1786" s="63"/>
    </row>
    <row r="1787" spans="1:8" x14ac:dyDescent="0.25">
      <c r="A1787" s="63"/>
      <c r="B1787" s="63">
        <f>'Padrão EPP'!B1787</f>
        <v>15</v>
      </c>
      <c r="C1787" s="63" t="str">
        <f>'Padrão EPP'!C1787</f>
        <v>AP</v>
      </c>
      <c r="D1787" s="63" t="str">
        <f>'Padrão EPP'!D1787</f>
        <v>CAPITAL</v>
      </c>
      <c r="E1787" s="63">
        <f>'Padrão EPP'!E1787/2</f>
        <v>0</v>
      </c>
      <c r="F1787" s="67">
        <v>3.0000000000000001E-3</v>
      </c>
      <c r="G1787" s="67">
        <v>2E-3</v>
      </c>
      <c r="H1787" s="63"/>
    </row>
    <row r="1788" spans="1:8" x14ac:dyDescent="0.25">
      <c r="A1788" s="63"/>
      <c r="B1788" s="63">
        <f>'Padrão EPP'!B1788</f>
        <v>16</v>
      </c>
      <c r="C1788" s="63" t="str">
        <f>'Padrão EPP'!C1788</f>
        <v>AP</v>
      </c>
      <c r="D1788" s="63" t="str">
        <f>'Padrão EPP'!D1788</f>
        <v>CAPITAL</v>
      </c>
      <c r="E1788" s="63">
        <f>'Padrão EPP'!E1788/2</f>
        <v>0</v>
      </c>
      <c r="F1788" s="67">
        <v>3.0000000000000001E-3</v>
      </c>
      <c r="G1788" s="67">
        <v>2E-3</v>
      </c>
      <c r="H1788" s="63"/>
    </row>
    <row r="1789" spans="1:8" x14ac:dyDescent="0.25">
      <c r="A1789" s="63"/>
      <c r="B1789" s="63">
        <f>'Padrão EPP'!B1789</f>
        <v>17</v>
      </c>
      <c r="C1789" s="63" t="str">
        <f>'Padrão EPP'!C1789</f>
        <v>AP</v>
      </c>
      <c r="D1789" s="63" t="str">
        <f>'Padrão EPP'!D1789</f>
        <v>CAPITAL</v>
      </c>
      <c r="E1789" s="63">
        <f>'Padrão EPP'!E1789/2</f>
        <v>0</v>
      </c>
      <c r="F1789" s="67">
        <v>3.0000000000000001E-3</v>
      </c>
      <c r="G1789" s="67">
        <v>2E-3</v>
      </c>
      <c r="H1789" s="63"/>
    </row>
    <row r="1790" spans="1:8" x14ac:dyDescent="0.25">
      <c r="A1790" s="63"/>
      <c r="B1790" s="63">
        <f>'Padrão EPP'!B1790</f>
        <v>18</v>
      </c>
      <c r="C1790" s="63" t="str">
        <f>'Padrão EPP'!C1790</f>
        <v>AP</v>
      </c>
      <c r="D1790" s="63" t="str">
        <f>'Padrão EPP'!D1790</f>
        <v>CAPITAL</v>
      </c>
      <c r="E1790" s="63">
        <f>'Padrão EPP'!E1790/2</f>
        <v>0</v>
      </c>
      <c r="F1790" s="67">
        <v>3.0000000000000001E-3</v>
      </c>
      <c r="G1790" s="67">
        <v>2E-3</v>
      </c>
      <c r="H1790" s="63"/>
    </row>
    <row r="1791" spans="1:8" x14ac:dyDescent="0.25">
      <c r="A1791" s="63"/>
      <c r="B1791" s="63">
        <f>'Padrão EPP'!B1791</f>
        <v>19</v>
      </c>
      <c r="C1791" s="63" t="str">
        <f>'Padrão EPP'!C1791</f>
        <v>AP</v>
      </c>
      <c r="D1791" s="63" t="str">
        <f>'Padrão EPP'!D1791</f>
        <v>CAPITAL</v>
      </c>
      <c r="E1791" s="63">
        <f>'Padrão EPP'!E1791/2</f>
        <v>0</v>
      </c>
      <c r="F1791" s="67">
        <v>3.0000000000000001E-3</v>
      </c>
      <c r="G1791" s="67">
        <v>2E-3</v>
      </c>
      <c r="H1791" s="63"/>
    </row>
    <row r="1792" spans="1:8" x14ac:dyDescent="0.25">
      <c r="A1792" s="63"/>
      <c r="B1792" s="63">
        <f>'Padrão EPP'!B1792</f>
        <v>20</v>
      </c>
      <c r="C1792" s="63" t="str">
        <f>'Padrão EPP'!C1792</f>
        <v>AP</v>
      </c>
      <c r="D1792" s="63" t="str">
        <f>'Padrão EPP'!D1792</f>
        <v>CAPITAL</v>
      </c>
      <c r="E1792" s="63">
        <f>'Padrão EPP'!E1792/2</f>
        <v>0</v>
      </c>
      <c r="F1792" s="67">
        <v>3.0000000000000001E-3</v>
      </c>
      <c r="G1792" s="67">
        <v>2E-3</v>
      </c>
      <c r="H1792" s="63"/>
    </row>
    <row r="1793" spans="1:8" x14ac:dyDescent="0.25">
      <c r="A1793" s="63"/>
      <c r="B1793" s="63">
        <f>'Padrão EPP'!B1793</f>
        <v>21</v>
      </c>
      <c r="C1793" s="63" t="str">
        <f>'Padrão EPP'!C1793</f>
        <v>AP</v>
      </c>
      <c r="D1793" s="63" t="str">
        <f>'Padrão EPP'!D1793</f>
        <v>CAPITAL</v>
      </c>
      <c r="E1793" s="63">
        <f>'Padrão EPP'!E1793/2</f>
        <v>0</v>
      </c>
      <c r="F1793" s="67">
        <v>3.0000000000000001E-3</v>
      </c>
      <c r="G1793" s="67">
        <v>2E-3</v>
      </c>
      <c r="H1793" s="63"/>
    </row>
    <row r="1794" spans="1:8" x14ac:dyDescent="0.25">
      <c r="A1794" s="63"/>
      <c r="B1794" s="63">
        <f>'Padrão EPP'!B1794</f>
        <v>22</v>
      </c>
      <c r="C1794" s="63" t="str">
        <f>'Padrão EPP'!C1794</f>
        <v>AP</v>
      </c>
      <c r="D1794" s="63" t="str">
        <f>'Padrão EPP'!D1794</f>
        <v>CAPITAL</v>
      </c>
      <c r="E1794" s="63">
        <f>'Padrão EPP'!E1794/2</f>
        <v>0</v>
      </c>
      <c r="F1794" s="67">
        <v>3.0000000000000001E-3</v>
      </c>
      <c r="G1794" s="67">
        <v>2E-3</v>
      </c>
      <c r="H1794" s="63"/>
    </row>
    <row r="1795" spans="1:8" x14ac:dyDescent="0.25">
      <c r="A1795" s="63"/>
      <c r="B1795" s="63">
        <f>'Padrão EPP'!B1795</f>
        <v>23</v>
      </c>
      <c r="C1795" s="63" t="str">
        <f>'Padrão EPP'!C1795</f>
        <v>AP</v>
      </c>
      <c r="D1795" s="63" t="str">
        <f>'Padrão EPP'!D1795</f>
        <v>CAPITAL</v>
      </c>
      <c r="E1795" s="63">
        <f>'Padrão EPP'!E1795/2</f>
        <v>0</v>
      </c>
      <c r="F1795" s="67">
        <v>3.0000000000000001E-3</v>
      </c>
      <c r="G1795" s="67">
        <v>2E-3</v>
      </c>
      <c r="H1795" s="63"/>
    </row>
    <row r="1796" spans="1:8" x14ac:dyDescent="0.25">
      <c r="A1796" s="63"/>
      <c r="B1796" s="63">
        <f>'Padrão EPP'!B1796</f>
        <v>24</v>
      </c>
      <c r="C1796" s="63" t="str">
        <f>'Padrão EPP'!C1796</f>
        <v>AP</v>
      </c>
      <c r="D1796" s="63" t="str">
        <f>'Padrão EPP'!D1796</f>
        <v>CAPITAL</v>
      </c>
      <c r="E1796" s="63">
        <f>'Padrão EPP'!E1796/2</f>
        <v>0</v>
      </c>
      <c r="F1796" s="67">
        <v>3.0000000000000001E-3</v>
      </c>
      <c r="G1796" s="67">
        <v>2E-3</v>
      </c>
      <c r="H1796" s="63"/>
    </row>
    <row r="1797" spans="1:8" x14ac:dyDescent="0.25">
      <c r="A1797" s="63"/>
      <c r="B1797" s="63">
        <f>'Padrão EPP'!B1797</f>
        <v>25</v>
      </c>
      <c r="C1797" s="63" t="str">
        <f>'Padrão EPP'!C1797</f>
        <v>AP</v>
      </c>
      <c r="D1797" s="63" t="str">
        <f>'Padrão EPP'!D1797</f>
        <v>CAPITAL</v>
      </c>
      <c r="E1797" s="63">
        <f>'Padrão EPP'!E1797/2</f>
        <v>0</v>
      </c>
      <c r="F1797" s="67">
        <v>3.0000000000000001E-3</v>
      </c>
      <c r="G1797" s="67">
        <v>2E-3</v>
      </c>
      <c r="H1797" s="63"/>
    </row>
    <row r="1798" spans="1:8" x14ac:dyDescent="0.25">
      <c r="A1798" s="63"/>
      <c r="B1798" s="63">
        <f>'Padrão EPP'!B1798</f>
        <v>26</v>
      </c>
      <c r="C1798" s="63" t="str">
        <f>'Padrão EPP'!C1798</f>
        <v>AP</v>
      </c>
      <c r="D1798" s="63" t="str">
        <f>'Padrão EPP'!D1798</f>
        <v>CAPITAL</v>
      </c>
      <c r="E1798" s="63">
        <f>'Padrão EPP'!E1798/2</f>
        <v>0</v>
      </c>
      <c r="F1798" s="67">
        <v>3.0000000000000001E-3</v>
      </c>
      <c r="G1798" s="67">
        <v>2E-3</v>
      </c>
      <c r="H1798" s="63"/>
    </row>
    <row r="1799" spans="1:8" x14ac:dyDescent="0.25">
      <c r="A1799" s="63"/>
      <c r="B1799" s="63">
        <f>'Padrão EPP'!B1799</f>
        <v>27</v>
      </c>
      <c r="C1799" s="63" t="str">
        <f>'Padrão EPP'!C1799</f>
        <v>AP</v>
      </c>
      <c r="D1799" s="63" t="str">
        <f>'Padrão EPP'!D1799</f>
        <v>CAPITAL</v>
      </c>
      <c r="E1799" s="63">
        <f>'Padrão EPP'!E1799/2</f>
        <v>0</v>
      </c>
      <c r="F1799" s="67">
        <v>3.0000000000000001E-3</v>
      </c>
      <c r="G1799" s="67">
        <v>2E-3</v>
      </c>
      <c r="H1799" s="63"/>
    </row>
    <row r="1800" spans="1:8" x14ac:dyDescent="0.25">
      <c r="A1800" s="63"/>
      <c r="B1800" s="63">
        <f>'Padrão EPP'!B1800</f>
        <v>28</v>
      </c>
      <c r="C1800" s="63" t="str">
        <f>'Padrão EPP'!C1800</f>
        <v>AP</v>
      </c>
      <c r="D1800" s="63" t="str">
        <f>'Padrão EPP'!D1800</f>
        <v>CAPITAL</v>
      </c>
      <c r="E1800" s="63">
        <f>'Padrão EPP'!E1800/2</f>
        <v>0</v>
      </c>
      <c r="F1800" s="67">
        <v>3.0000000000000001E-3</v>
      </c>
      <c r="G1800" s="67">
        <v>2E-3</v>
      </c>
      <c r="H1800" s="63"/>
    </row>
    <row r="1801" spans="1:8" x14ac:dyDescent="0.25">
      <c r="A1801" s="63"/>
      <c r="B1801" s="63">
        <f>'Padrão EPP'!B1801</f>
        <v>29</v>
      </c>
      <c r="C1801" s="63" t="str">
        <f>'Padrão EPP'!C1801</f>
        <v>AP</v>
      </c>
      <c r="D1801" s="63" t="str">
        <f>'Padrão EPP'!D1801</f>
        <v>CAPITAL</v>
      </c>
      <c r="E1801" s="63">
        <f>'Padrão EPP'!E1801/2</f>
        <v>0</v>
      </c>
      <c r="F1801" s="67">
        <v>3.0000000000000001E-3</v>
      </c>
      <c r="G1801" s="67">
        <v>2E-3</v>
      </c>
      <c r="H1801" s="63"/>
    </row>
    <row r="1802" spans="1:8" x14ac:dyDescent="0.25">
      <c r="A1802" s="63"/>
      <c r="B1802" s="63">
        <f>'Padrão EPP'!B1802</f>
        <v>30</v>
      </c>
      <c r="C1802" s="63" t="str">
        <f>'Padrão EPP'!C1802</f>
        <v>AP</v>
      </c>
      <c r="D1802" s="63" t="str">
        <f>'Padrão EPP'!D1802</f>
        <v>CAPITAL</v>
      </c>
      <c r="E1802" s="63">
        <f>'Padrão EPP'!E1802/2</f>
        <v>0</v>
      </c>
      <c r="F1802" s="67">
        <v>3.0000000000000001E-3</v>
      </c>
      <c r="G1802" s="67">
        <v>2E-3</v>
      </c>
      <c r="H1802" s="63"/>
    </row>
    <row r="1803" spans="1:8" x14ac:dyDescent="0.25">
      <c r="A1803" s="63"/>
      <c r="B1803" s="63">
        <f>'Padrão EPP'!B1803</f>
        <v>0</v>
      </c>
      <c r="C1803" s="63" t="str">
        <f>'Padrão EPP'!C1803</f>
        <v>AP</v>
      </c>
      <c r="D1803" s="63" t="str">
        <f>'Padrão EPP'!D1803</f>
        <v>CAPITAL</v>
      </c>
      <c r="E1803" s="63">
        <f>'Padrão EPP'!E1803/2</f>
        <v>1.5214394455252955</v>
      </c>
      <c r="F1803" s="67">
        <v>3.0000000000000001E-3</v>
      </c>
      <c r="G1803" s="67">
        <v>2E-3</v>
      </c>
      <c r="H1803" s="63"/>
    </row>
    <row r="1804" spans="1:8" x14ac:dyDescent="0.25">
      <c r="A1804" s="63"/>
      <c r="B1804" s="63">
        <f>'Padrão EPP'!B1804</f>
        <v>0.25</v>
      </c>
      <c r="C1804" s="63" t="str">
        <f>'Padrão EPP'!C1804</f>
        <v>AP</v>
      </c>
      <c r="D1804" s="63" t="str">
        <f>'Padrão EPP'!D1804</f>
        <v>INTERIOR</v>
      </c>
      <c r="E1804" s="63">
        <f>'Padrão EPP'!E1804/2</f>
        <v>18.060059650118642</v>
      </c>
      <c r="F1804" s="67">
        <v>3.0000000000000001E-3</v>
      </c>
      <c r="G1804" s="67">
        <v>2E-3</v>
      </c>
      <c r="H1804" s="63"/>
    </row>
    <row r="1805" spans="1:8" x14ac:dyDescent="0.25">
      <c r="A1805" s="63"/>
      <c r="B1805" s="63">
        <f>'Padrão EPP'!B1805</f>
        <v>0.5</v>
      </c>
      <c r="C1805" s="63" t="str">
        <f>'Padrão EPP'!C1805</f>
        <v>AP</v>
      </c>
      <c r="D1805" s="63" t="str">
        <f>'Padrão EPP'!D1805</f>
        <v>INTERIOR</v>
      </c>
      <c r="E1805" s="63">
        <f>'Padrão EPP'!E1805/2</f>
        <v>18.402330614484434</v>
      </c>
      <c r="F1805" s="67">
        <v>3.0000000000000001E-3</v>
      </c>
      <c r="G1805" s="67">
        <v>2E-3</v>
      </c>
      <c r="H1805" s="63"/>
    </row>
    <row r="1806" spans="1:8" x14ac:dyDescent="0.25">
      <c r="A1806" s="63"/>
      <c r="B1806" s="63">
        <f>'Padrão EPP'!B1806</f>
        <v>0.75</v>
      </c>
      <c r="C1806" s="63" t="str">
        <f>'Padrão EPP'!C1806</f>
        <v>AP</v>
      </c>
      <c r="D1806" s="63" t="str">
        <f>'Padrão EPP'!D1806</f>
        <v>INTERIOR</v>
      </c>
      <c r="E1806" s="63">
        <f>'Padrão EPP'!E1806/2</f>
        <v>18.683870196445486</v>
      </c>
      <c r="F1806" s="67">
        <v>3.0000000000000001E-3</v>
      </c>
      <c r="G1806" s="67">
        <v>2E-3</v>
      </c>
      <c r="H1806" s="63"/>
    </row>
    <row r="1807" spans="1:8" x14ac:dyDescent="0.25">
      <c r="A1807" s="63"/>
      <c r="B1807" s="63">
        <f>'Padrão EPP'!B1807</f>
        <v>1</v>
      </c>
      <c r="C1807" s="63" t="str">
        <f>'Padrão EPP'!C1807</f>
        <v>AP</v>
      </c>
      <c r="D1807" s="63" t="str">
        <f>'Padrão EPP'!D1807</f>
        <v>INTERIOR</v>
      </c>
      <c r="E1807" s="63">
        <f>'Padrão EPP'!E1807/2</f>
        <v>19.352177005714584</v>
      </c>
      <c r="F1807" s="67">
        <v>3.0000000000000001E-3</v>
      </c>
      <c r="G1807" s="67">
        <v>2E-3</v>
      </c>
      <c r="H1807" s="63"/>
    </row>
    <row r="1808" spans="1:8" x14ac:dyDescent="0.25">
      <c r="A1808" s="63"/>
      <c r="B1808" s="63">
        <f>'Padrão EPP'!B1808</f>
        <v>2</v>
      </c>
      <c r="C1808" s="63" t="str">
        <f>'Padrão EPP'!C1808</f>
        <v>AP</v>
      </c>
      <c r="D1808" s="63" t="str">
        <f>'Padrão EPP'!D1808</f>
        <v>INTERIOR</v>
      </c>
      <c r="E1808" s="63">
        <f>'Padrão EPP'!E1808/2</f>
        <v>24.610470819714834</v>
      </c>
      <c r="F1808" s="67">
        <v>3.0000000000000001E-3</v>
      </c>
      <c r="G1808" s="67">
        <v>2E-3</v>
      </c>
      <c r="H1808" s="63"/>
    </row>
    <row r="1809" spans="1:8" x14ac:dyDescent="0.25">
      <c r="A1809" s="63"/>
      <c r="B1809" s="63">
        <f>'Padrão EPP'!B1809</f>
        <v>3</v>
      </c>
      <c r="C1809" s="63" t="str">
        <f>'Padrão EPP'!C1809</f>
        <v>AP</v>
      </c>
      <c r="D1809" s="63" t="str">
        <f>'Padrão EPP'!D1809</f>
        <v>INTERIOR</v>
      </c>
      <c r="E1809" s="63">
        <f>'Padrão EPP'!E1809/2</f>
        <v>30.468778935014178</v>
      </c>
      <c r="F1809" s="67">
        <v>3.0000000000000001E-3</v>
      </c>
      <c r="G1809" s="67">
        <v>2E-3</v>
      </c>
      <c r="H1809" s="63"/>
    </row>
    <row r="1810" spans="1:8" x14ac:dyDescent="0.25">
      <c r="A1810" s="63"/>
      <c r="B1810" s="63">
        <f>'Padrão EPP'!B1810</f>
        <v>4</v>
      </c>
      <c r="C1810" s="63" t="str">
        <f>'Padrão EPP'!C1810</f>
        <v>AP</v>
      </c>
      <c r="D1810" s="63" t="str">
        <f>'Padrão EPP'!D1810</f>
        <v>INTERIOR</v>
      </c>
      <c r="E1810" s="63">
        <f>'Padrão EPP'!E1810/2</f>
        <v>36.482274450690142</v>
      </c>
      <c r="F1810" s="67">
        <v>3.0000000000000001E-3</v>
      </c>
      <c r="G1810" s="67">
        <v>2E-3</v>
      </c>
      <c r="H1810" s="63"/>
    </row>
    <row r="1811" spans="1:8" x14ac:dyDescent="0.25">
      <c r="A1811" s="63"/>
      <c r="B1811" s="63">
        <f>'Padrão EPP'!B1811</f>
        <v>5</v>
      </c>
      <c r="C1811" s="63" t="str">
        <f>'Padrão EPP'!C1811</f>
        <v>AP</v>
      </c>
      <c r="D1811" s="63" t="str">
        <f>'Padrão EPP'!D1811</f>
        <v>INTERIOR</v>
      </c>
      <c r="E1811" s="63">
        <f>'Padrão EPP'!E1811/2</f>
        <v>42.699589200462576</v>
      </c>
      <c r="F1811" s="67">
        <v>3.0000000000000001E-3</v>
      </c>
      <c r="G1811" s="67">
        <v>2E-3</v>
      </c>
      <c r="H1811" s="63"/>
    </row>
    <row r="1812" spans="1:8" x14ac:dyDescent="0.25">
      <c r="A1812" s="63"/>
      <c r="B1812" s="63">
        <f>'Padrão EPP'!B1812</f>
        <v>6</v>
      </c>
      <c r="C1812" s="63" t="str">
        <f>'Padrão EPP'!C1812</f>
        <v>AP</v>
      </c>
      <c r="D1812" s="63" t="str">
        <f>'Padrão EPP'!D1812</f>
        <v>INTERIOR</v>
      </c>
      <c r="E1812" s="63">
        <f>'Padrão EPP'!E1812/2</f>
        <v>49.038427315352315</v>
      </c>
      <c r="F1812" s="67">
        <v>3.0000000000000001E-3</v>
      </c>
      <c r="G1812" s="67">
        <v>2E-3</v>
      </c>
      <c r="H1812" s="63"/>
    </row>
    <row r="1813" spans="1:8" x14ac:dyDescent="0.25">
      <c r="A1813" s="63"/>
      <c r="B1813" s="63">
        <f>'Padrão EPP'!B1813</f>
        <v>7</v>
      </c>
      <c r="C1813" s="63" t="str">
        <f>'Padrão EPP'!C1813</f>
        <v>AP</v>
      </c>
      <c r="D1813" s="63" t="str">
        <f>'Padrão EPP'!D1813</f>
        <v>INTERIOR</v>
      </c>
      <c r="E1813" s="63">
        <f>'Padrão EPP'!E1813/2</f>
        <v>55.514420263213808</v>
      </c>
      <c r="F1813" s="67">
        <v>3.0000000000000001E-3</v>
      </c>
      <c r="G1813" s="67">
        <v>2E-3</v>
      </c>
      <c r="H1813" s="63"/>
    </row>
    <row r="1814" spans="1:8" x14ac:dyDescent="0.25">
      <c r="A1814" s="63"/>
      <c r="B1814" s="63">
        <f>'Padrão EPP'!B1814</f>
        <v>8</v>
      </c>
      <c r="C1814" s="63" t="str">
        <f>'Padrão EPP'!C1814</f>
        <v>AP</v>
      </c>
      <c r="D1814" s="63" t="str">
        <f>'Padrão EPP'!D1814</f>
        <v>INTERIOR</v>
      </c>
      <c r="E1814" s="63">
        <f>'Padrão EPP'!E1814/2</f>
        <v>62.145263264430078</v>
      </c>
      <c r="F1814" s="67">
        <v>3.0000000000000001E-3</v>
      </c>
      <c r="G1814" s="67">
        <v>2E-3</v>
      </c>
      <c r="H1814" s="63"/>
    </row>
    <row r="1815" spans="1:8" x14ac:dyDescent="0.25">
      <c r="A1815" s="63"/>
      <c r="B1815" s="63">
        <f>'Padrão EPP'!B1815</f>
        <v>9</v>
      </c>
      <c r="C1815" s="63" t="str">
        <f>'Padrão EPP'!C1815</f>
        <v>AP</v>
      </c>
      <c r="D1815" s="63" t="str">
        <f>'Padrão EPP'!D1815</f>
        <v>INTERIOR</v>
      </c>
      <c r="E1815" s="63">
        <f>'Padrão EPP'!E1815/2</f>
        <v>68.544096053580091</v>
      </c>
      <c r="F1815" s="67">
        <v>3.0000000000000001E-3</v>
      </c>
      <c r="G1815" s="67">
        <v>2E-3</v>
      </c>
      <c r="H1815" s="63"/>
    </row>
    <row r="1816" spans="1:8" x14ac:dyDescent="0.25">
      <c r="A1816" s="63"/>
      <c r="B1816" s="63">
        <f>'Padrão EPP'!B1816</f>
        <v>10</v>
      </c>
      <c r="C1816" s="63" t="str">
        <f>'Padrão EPP'!C1816</f>
        <v>AP</v>
      </c>
      <c r="D1816" s="63" t="str">
        <f>'Padrão EPP'!D1816</f>
        <v>INTERIOR</v>
      </c>
      <c r="E1816" s="63">
        <f>'Padrão EPP'!E1816/2</f>
        <v>74.860622054893241</v>
      </c>
      <c r="F1816" s="67">
        <v>3.0000000000000001E-3</v>
      </c>
      <c r="G1816" s="67">
        <v>2E-3</v>
      </c>
      <c r="H1816" s="63"/>
    </row>
    <row r="1817" spans="1:8" x14ac:dyDescent="0.25">
      <c r="A1817" s="63"/>
      <c r="B1817" s="63">
        <f>'Padrão EPP'!B1817</f>
        <v>11</v>
      </c>
      <c r="C1817" s="63" t="str">
        <f>'Padrão EPP'!C1817</f>
        <v>AP</v>
      </c>
      <c r="D1817" s="63" t="str">
        <f>'Padrão EPP'!D1817</f>
        <v>INTERIOR</v>
      </c>
      <c r="E1817" s="63">
        <f>'Padrão EPP'!E1817/2</f>
        <v>0</v>
      </c>
      <c r="F1817" s="67">
        <v>3.0000000000000001E-3</v>
      </c>
      <c r="G1817" s="67">
        <v>2E-3</v>
      </c>
      <c r="H1817" s="63"/>
    </row>
    <row r="1818" spans="1:8" x14ac:dyDescent="0.25">
      <c r="A1818" s="63"/>
      <c r="B1818" s="63">
        <f>'Padrão EPP'!B1818</f>
        <v>12</v>
      </c>
      <c r="C1818" s="63" t="str">
        <f>'Padrão EPP'!C1818</f>
        <v>AP</v>
      </c>
      <c r="D1818" s="63" t="str">
        <f>'Padrão EPP'!D1818</f>
        <v>INTERIOR</v>
      </c>
      <c r="E1818" s="63">
        <f>'Padrão EPP'!E1818/2</f>
        <v>0</v>
      </c>
      <c r="F1818" s="67">
        <v>3.0000000000000001E-3</v>
      </c>
      <c r="G1818" s="67">
        <v>2E-3</v>
      </c>
      <c r="H1818" s="63"/>
    </row>
    <row r="1819" spans="1:8" x14ac:dyDescent="0.25">
      <c r="A1819" s="63"/>
      <c r="B1819" s="63">
        <f>'Padrão EPP'!B1819</f>
        <v>13</v>
      </c>
      <c r="C1819" s="63" t="str">
        <f>'Padrão EPP'!C1819</f>
        <v>AP</v>
      </c>
      <c r="D1819" s="63" t="str">
        <f>'Padrão EPP'!D1819</f>
        <v>INTERIOR</v>
      </c>
      <c r="E1819" s="63">
        <f>'Padrão EPP'!E1819/2</f>
        <v>0</v>
      </c>
      <c r="F1819" s="67">
        <v>3.0000000000000001E-3</v>
      </c>
      <c r="G1819" s="67">
        <v>2E-3</v>
      </c>
      <c r="H1819" s="63"/>
    </row>
    <row r="1820" spans="1:8" x14ac:dyDescent="0.25">
      <c r="A1820" s="63"/>
      <c r="B1820" s="63">
        <f>'Padrão EPP'!B1820</f>
        <v>14</v>
      </c>
      <c r="C1820" s="63" t="str">
        <f>'Padrão EPP'!C1820</f>
        <v>AP</v>
      </c>
      <c r="D1820" s="63" t="str">
        <f>'Padrão EPP'!D1820</f>
        <v>INTERIOR</v>
      </c>
      <c r="E1820" s="63">
        <f>'Padrão EPP'!E1820/2</f>
        <v>0</v>
      </c>
      <c r="F1820" s="67">
        <v>3.0000000000000001E-3</v>
      </c>
      <c r="G1820" s="67">
        <v>2E-3</v>
      </c>
      <c r="H1820" s="63"/>
    </row>
    <row r="1821" spans="1:8" x14ac:dyDescent="0.25">
      <c r="A1821" s="63"/>
      <c r="B1821" s="63">
        <f>'Padrão EPP'!B1821</f>
        <v>15</v>
      </c>
      <c r="C1821" s="63" t="str">
        <f>'Padrão EPP'!C1821</f>
        <v>AP</v>
      </c>
      <c r="D1821" s="63" t="str">
        <f>'Padrão EPP'!D1821</f>
        <v>INTERIOR</v>
      </c>
      <c r="E1821" s="63">
        <f>'Padrão EPP'!E1821/2</f>
        <v>0</v>
      </c>
      <c r="F1821" s="67">
        <v>3.0000000000000001E-3</v>
      </c>
      <c r="G1821" s="67">
        <v>2E-3</v>
      </c>
      <c r="H1821" s="63"/>
    </row>
    <row r="1822" spans="1:8" x14ac:dyDescent="0.25">
      <c r="A1822" s="63"/>
      <c r="B1822" s="63">
        <f>'Padrão EPP'!B1822</f>
        <v>16</v>
      </c>
      <c r="C1822" s="63" t="str">
        <f>'Padrão EPP'!C1822</f>
        <v>AP</v>
      </c>
      <c r="D1822" s="63" t="str">
        <f>'Padrão EPP'!D1822</f>
        <v>INTERIOR</v>
      </c>
      <c r="E1822" s="63">
        <f>'Padrão EPP'!E1822/2</f>
        <v>0</v>
      </c>
      <c r="F1822" s="67">
        <v>3.0000000000000001E-3</v>
      </c>
      <c r="G1822" s="67">
        <v>2E-3</v>
      </c>
      <c r="H1822" s="63"/>
    </row>
    <row r="1823" spans="1:8" x14ac:dyDescent="0.25">
      <c r="A1823" s="63"/>
      <c r="B1823" s="63">
        <f>'Padrão EPP'!B1823</f>
        <v>17</v>
      </c>
      <c r="C1823" s="63" t="str">
        <f>'Padrão EPP'!C1823</f>
        <v>AP</v>
      </c>
      <c r="D1823" s="63" t="str">
        <f>'Padrão EPP'!D1823</f>
        <v>INTERIOR</v>
      </c>
      <c r="E1823" s="63">
        <f>'Padrão EPP'!E1823/2</f>
        <v>0</v>
      </c>
      <c r="F1823" s="67">
        <v>3.0000000000000001E-3</v>
      </c>
      <c r="G1823" s="67">
        <v>2E-3</v>
      </c>
      <c r="H1823" s="63"/>
    </row>
    <row r="1824" spans="1:8" x14ac:dyDescent="0.25">
      <c r="A1824" s="63"/>
      <c r="B1824" s="63">
        <f>'Padrão EPP'!B1824</f>
        <v>18</v>
      </c>
      <c r="C1824" s="63" t="str">
        <f>'Padrão EPP'!C1824</f>
        <v>AP</v>
      </c>
      <c r="D1824" s="63" t="str">
        <f>'Padrão EPP'!D1824</f>
        <v>INTERIOR</v>
      </c>
      <c r="E1824" s="63">
        <f>'Padrão EPP'!E1824/2</f>
        <v>0</v>
      </c>
      <c r="F1824" s="67">
        <v>3.0000000000000001E-3</v>
      </c>
      <c r="G1824" s="67">
        <v>2E-3</v>
      </c>
      <c r="H1824" s="63"/>
    </row>
    <row r="1825" spans="1:8" x14ac:dyDescent="0.25">
      <c r="A1825" s="63"/>
      <c r="B1825" s="63">
        <f>'Padrão EPP'!B1825</f>
        <v>19</v>
      </c>
      <c r="C1825" s="63" t="str">
        <f>'Padrão EPP'!C1825</f>
        <v>AP</v>
      </c>
      <c r="D1825" s="63" t="str">
        <f>'Padrão EPP'!D1825</f>
        <v>INTERIOR</v>
      </c>
      <c r="E1825" s="63">
        <f>'Padrão EPP'!E1825/2</f>
        <v>0</v>
      </c>
      <c r="F1825" s="67">
        <v>3.0000000000000001E-3</v>
      </c>
      <c r="G1825" s="67">
        <v>2E-3</v>
      </c>
      <c r="H1825" s="63"/>
    </row>
    <row r="1826" spans="1:8" x14ac:dyDescent="0.25">
      <c r="A1826" s="63"/>
      <c r="B1826" s="63">
        <f>'Padrão EPP'!B1826</f>
        <v>20</v>
      </c>
      <c r="C1826" s="63" t="str">
        <f>'Padrão EPP'!C1826</f>
        <v>AP</v>
      </c>
      <c r="D1826" s="63" t="str">
        <f>'Padrão EPP'!D1826</f>
        <v>INTERIOR</v>
      </c>
      <c r="E1826" s="63">
        <f>'Padrão EPP'!E1826/2</f>
        <v>0</v>
      </c>
      <c r="F1826" s="67">
        <v>3.0000000000000001E-3</v>
      </c>
      <c r="G1826" s="67">
        <v>2E-3</v>
      </c>
      <c r="H1826" s="63"/>
    </row>
    <row r="1827" spans="1:8" x14ac:dyDescent="0.25">
      <c r="A1827" s="63"/>
      <c r="B1827" s="63">
        <f>'Padrão EPP'!B1827</f>
        <v>21</v>
      </c>
      <c r="C1827" s="63" t="str">
        <f>'Padrão EPP'!C1827</f>
        <v>AP</v>
      </c>
      <c r="D1827" s="63" t="str">
        <f>'Padrão EPP'!D1827</f>
        <v>INTERIOR</v>
      </c>
      <c r="E1827" s="63">
        <f>'Padrão EPP'!E1827/2</f>
        <v>0</v>
      </c>
      <c r="F1827" s="67">
        <v>3.0000000000000001E-3</v>
      </c>
      <c r="G1827" s="67">
        <v>2E-3</v>
      </c>
      <c r="H1827" s="63"/>
    </row>
    <row r="1828" spans="1:8" x14ac:dyDescent="0.25">
      <c r="A1828" s="63"/>
      <c r="B1828" s="63">
        <f>'Padrão EPP'!B1828</f>
        <v>22</v>
      </c>
      <c r="C1828" s="63" t="str">
        <f>'Padrão EPP'!C1828</f>
        <v>AP</v>
      </c>
      <c r="D1828" s="63" t="str">
        <f>'Padrão EPP'!D1828</f>
        <v>INTERIOR</v>
      </c>
      <c r="E1828" s="63">
        <f>'Padrão EPP'!E1828/2</f>
        <v>0</v>
      </c>
      <c r="F1828" s="67">
        <v>3.0000000000000001E-3</v>
      </c>
      <c r="G1828" s="67">
        <v>2E-3</v>
      </c>
      <c r="H1828" s="63"/>
    </row>
    <row r="1829" spans="1:8" x14ac:dyDescent="0.25">
      <c r="A1829" s="63"/>
      <c r="B1829" s="63">
        <f>'Padrão EPP'!B1829</f>
        <v>23</v>
      </c>
      <c r="C1829" s="63" t="str">
        <f>'Padrão EPP'!C1829</f>
        <v>AP</v>
      </c>
      <c r="D1829" s="63" t="str">
        <f>'Padrão EPP'!D1829</f>
        <v>INTERIOR</v>
      </c>
      <c r="E1829" s="63">
        <f>'Padrão EPP'!E1829/2</f>
        <v>0</v>
      </c>
      <c r="F1829" s="67">
        <v>3.0000000000000001E-3</v>
      </c>
      <c r="G1829" s="67">
        <v>2E-3</v>
      </c>
      <c r="H1829" s="63"/>
    </row>
    <row r="1830" spans="1:8" x14ac:dyDescent="0.25">
      <c r="A1830" s="63"/>
      <c r="B1830" s="63">
        <f>'Padrão EPP'!B1830</f>
        <v>24</v>
      </c>
      <c r="C1830" s="63" t="str">
        <f>'Padrão EPP'!C1830</f>
        <v>AP</v>
      </c>
      <c r="D1830" s="63" t="str">
        <f>'Padrão EPP'!D1830</f>
        <v>INTERIOR</v>
      </c>
      <c r="E1830" s="63">
        <f>'Padrão EPP'!E1830/2</f>
        <v>0</v>
      </c>
      <c r="F1830" s="67">
        <v>3.0000000000000001E-3</v>
      </c>
      <c r="G1830" s="67">
        <v>2E-3</v>
      </c>
      <c r="H1830" s="63"/>
    </row>
    <row r="1831" spans="1:8" x14ac:dyDescent="0.25">
      <c r="A1831" s="63"/>
      <c r="B1831" s="63">
        <f>'Padrão EPP'!B1831</f>
        <v>25</v>
      </c>
      <c r="C1831" s="63" t="str">
        <f>'Padrão EPP'!C1831</f>
        <v>AP</v>
      </c>
      <c r="D1831" s="63" t="str">
        <f>'Padrão EPP'!D1831</f>
        <v>INTERIOR</v>
      </c>
      <c r="E1831" s="63">
        <f>'Padrão EPP'!E1831/2</f>
        <v>0</v>
      </c>
      <c r="F1831" s="67">
        <v>3.0000000000000001E-3</v>
      </c>
      <c r="G1831" s="67">
        <v>2E-3</v>
      </c>
      <c r="H1831" s="63"/>
    </row>
    <row r="1832" spans="1:8" x14ac:dyDescent="0.25">
      <c r="A1832" s="63"/>
      <c r="B1832" s="63">
        <f>'Padrão EPP'!B1832</f>
        <v>26</v>
      </c>
      <c r="C1832" s="63" t="str">
        <f>'Padrão EPP'!C1832</f>
        <v>AP</v>
      </c>
      <c r="D1832" s="63" t="str">
        <f>'Padrão EPP'!D1832</f>
        <v>INTERIOR</v>
      </c>
      <c r="E1832" s="63">
        <f>'Padrão EPP'!E1832/2</f>
        <v>0</v>
      </c>
      <c r="F1832" s="67">
        <v>3.0000000000000001E-3</v>
      </c>
      <c r="G1832" s="67">
        <v>2E-3</v>
      </c>
      <c r="H1832" s="63"/>
    </row>
    <row r="1833" spans="1:8" x14ac:dyDescent="0.25">
      <c r="A1833" s="63"/>
      <c r="B1833" s="63">
        <f>'Padrão EPP'!B1833</f>
        <v>27</v>
      </c>
      <c r="C1833" s="63" t="str">
        <f>'Padrão EPP'!C1833</f>
        <v>AP</v>
      </c>
      <c r="D1833" s="63" t="str">
        <f>'Padrão EPP'!D1833</f>
        <v>INTERIOR</v>
      </c>
      <c r="E1833" s="63">
        <f>'Padrão EPP'!E1833/2</f>
        <v>0</v>
      </c>
      <c r="F1833" s="67">
        <v>3.0000000000000001E-3</v>
      </c>
      <c r="G1833" s="67">
        <v>2E-3</v>
      </c>
      <c r="H1833" s="63"/>
    </row>
    <row r="1834" spans="1:8" x14ac:dyDescent="0.25">
      <c r="A1834" s="63"/>
      <c r="B1834" s="63">
        <f>'Padrão EPP'!B1834</f>
        <v>28</v>
      </c>
      <c r="C1834" s="63" t="str">
        <f>'Padrão EPP'!C1834</f>
        <v>AP</v>
      </c>
      <c r="D1834" s="63" t="str">
        <f>'Padrão EPP'!D1834</f>
        <v>INTERIOR</v>
      </c>
      <c r="E1834" s="63">
        <f>'Padrão EPP'!E1834/2</f>
        <v>0</v>
      </c>
      <c r="F1834" s="67">
        <v>3.0000000000000001E-3</v>
      </c>
      <c r="G1834" s="67">
        <v>2E-3</v>
      </c>
      <c r="H1834" s="63"/>
    </row>
    <row r="1835" spans="1:8" x14ac:dyDescent="0.25">
      <c r="A1835" s="63"/>
      <c r="B1835" s="63">
        <f>'Padrão EPP'!B1835</f>
        <v>29</v>
      </c>
      <c r="C1835" s="63" t="str">
        <f>'Padrão EPP'!C1835</f>
        <v>AP</v>
      </c>
      <c r="D1835" s="63" t="str">
        <f>'Padrão EPP'!D1835</f>
        <v>INTERIOR</v>
      </c>
      <c r="E1835" s="63">
        <f>'Padrão EPP'!E1835/2</f>
        <v>0</v>
      </c>
      <c r="F1835" s="67">
        <v>3.0000000000000001E-3</v>
      </c>
      <c r="G1835" s="67">
        <v>2E-3</v>
      </c>
      <c r="H1835" s="63"/>
    </row>
    <row r="1836" spans="1:8" x14ac:dyDescent="0.25">
      <c r="A1836" s="63"/>
      <c r="B1836" s="63">
        <f>'Padrão EPP'!B1836</f>
        <v>30</v>
      </c>
      <c r="C1836" s="63" t="str">
        <f>'Padrão EPP'!C1836</f>
        <v>AP</v>
      </c>
      <c r="D1836" s="63" t="str">
        <f>'Padrão EPP'!D1836</f>
        <v>INTERIOR</v>
      </c>
      <c r="E1836" s="63">
        <f>'Padrão EPP'!E1836/2</f>
        <v>0</v>
      </c>
      <c r="F1836" s="67">
        <v>3.0000000000000001E-3</v>
      </c>
      <c r="G1836" s="67">
        <v>2E-3</v>
      </c>
      <c r="H1836" s="63"/>
    </row>
    <row r="1837" spans="1:8" x14ac:dyDescent="0.25">
      <c r="A1837" s="63"/>
      <c r="B1837" s="63">
        <f>'Padrão EPP'!B1837</f>
        <v>0</v>
      </c>
      <c r="C1837" s="63" t="str">
        <f>'Padrão EPP'!C1837</f>
        <v>AP</v>
      </c>
      <c r="D1837" s="63" t="str">
        <f>'Padrão EPP'!D1837</f>
        <v>INTERIOR</v>
      </c>
      <c r="E1837" s="63">
        <f>'Padrão EPP'!E1837/2</f>
        <v>1.5214394455252955</v>
      </c>
      <c r="F1837" s="67">
        <v>3.0000000000000001E-3</v>
      </c>
      <c r="G1837" s="67">
        <v>2E-3</v>
      </c>
      <c r="H1837" s="63"/>
    </row>
    <row r="1838" spans="1:8" x14ac:dyDescent="0.25">
      <c r="A1838" s="63"/>
      <c r="B1838" s="63">
        <f>'Padrão EPP'!B1838</f>
        <v>0.25</v>
      </c>
      <c r="C1838" s="63" t="str">
        <f>'Padrão EPP'!C1838</f>
        <v>AP</v>
      </c>
      <c r="D1838" s="63" t="str">
        <f>'Padrão EPP'!D1838</f>
        <v>INTERIOR II</v>
      </c>
      <c r="E1838" s="63">
        <f>'Padrão EPP'!E1838/2</f>
        <v>18.695119632549694</v>
      </c>
      <c r="F1838" s="67">
        <v>3.0000000000000001E-3</v>
      </c>
      <c r="G1838" s="67">
        <v>2E-3</v>
      </c>
      <c r="H1838" s="63"/>
    </row>
    <row r="1839" spans="1:8" x14ac:dyDescent="0.25">
      <c r="A1839" s="63"/>
      <c r="B1839" s="63">
        <f>'Padrão EPP'!B1839</f>
        <v>0.5</v>
      </c>
      <c r="C1839" s="63" t="str">
        <f>'Padrão EPP'!C1839</f>
        <v>AP</v>
      </c>
      <c r="D1839" s="63" t="str">
        <f>'Padrão EPP'!D1839</f>
        <v>INTERIOR II</v>
      </c>
      <c r="E1839" s="63">
        <f>'Padrão EPP'!E1839/2</f>
        <v>19.057031627299956</v>
      </c>
      <c r="F1839" s="67">
        <v>3.0000000000000001E-3</v>
      </c>
      <c r="G1839" s="67">
        <v>2E-3</v>
      </c>
      <c r="H1839" s="63"/>
    </row>
    <row r="1840" spans="1:8" x14ac:dyDescent="0.25">
      <c r="A1840" s="63"/>
      <c r="B1840" s="63">
        <f>'Padrão EPP'!B1840</f>
        <v>0.75</v>
      </c>
      <c r="C1840" s="63" t="str">
        <f>'Padrão EPP'!C1840</f>
        <v>AP</v>
      </c>
      <c r="D1840" s="63" t="str">
        <f>'Padrão EPP'!D1840</f>
        <v>INTERIOR II</v>
      </c>
      <c r="E1840" s="63">
        <f>'Padrão EPP'!E1840/2</f>
        <v>19.358819694193446</v>
      </c>
      <c r="F1840" s="67">
        <v>3.0000000000000001E-3</v>
      </c>
      <c r="G1840" s="67">
        <v>2E-3</v>
      </c>
      <c r="H1840" s="63"/>
    </row>
    <row r="1841" spans="1:8" x14ac:dyDescent="0.25">
      <c r="A1841" s="63"/>
      <c r="B1841" s="63">
        <f>'Padrão EPP'!B1841</f>
        <v>1</v>
      </c>
      <c r="C1841" s="63" t="str">
        <f>'Padrão EPP'!C1841</f>
        <v>AP</v>
      </c>
      <c r="D1841" s="63" t="str">
        <f>'Padrão EPP'!D1841</f>
        <v>INTERIOR II</v>
      </c>
      <c r="E1841" s="63">
        <f>'Padrão EPP'!E1841/2</f>
        <v>19.706900361258501</v>
      </c>
      <c r="F1841" s="67">
        <v>3.0000000000000001E-3</v>
      </c>
      <c r="G1841" s="67">
        <v>2E-3</v>
      </c>
      <c r="H1841" s="63"/>
    </row>
    <row r="1842" spans="1:8" x14ac:dyDescent="0.25">
      <c r="A1842" s="63"/>
      <c r="B1842" s="63">
        <f>'Padrão EPP'!B1842</f>
        <v>2</v>
      </c>
      <c r="C1842" s="63" t="str">
        <f>'Padrão EPP'!C1842</f>
        <v>AP</v>
      </c>
      <c r="D1842" s="63" t="str">
        <f>'Padrão EPP'!D1842</f>
        <v>INTERIOR II</v>
      </c>
      <c r="E1842" s="63">
        <f>'Padrão EPP'!E1842/2</f>
        <v>24.976165000687946</v>
      </c>
      <c r="F1842" s="67">
        <v>3.0000000000000001E-3</v>
      </c>
      <c r="G1842" s="67">
        <v>2E-3</v>
      </c>
      <c r="H1842" s="63"/>
    </row>
    <row r="1843" spans="1:8" x14ac:dyDescent="0.25">
      <c r="A1843" s="63"/>
      <c r="B1843" s="63">
        <f>'Padrão EPP'!B1843</f>
        <v>3</v>
      </c>
      <c r="C1843" s="63" t="str">
        <f>'Padrão EPP'!C1843</f>
        <v>AP</v>
      </c>
      <c r="D1843" s="63" t="str">
        <f>'Padrão EPP'!D1843</f>
        <v>INTERIOR II</v>
      </c>
      <c r="E1843" s="63">
        <f>'Padrão EPP'!E1843/2</f>
        <v>30.962506432827546</v>
      </c>
      <c r="F1843" s="67">
        <v>3.0000000000000001E-3</v>
      </c>
      <c r="G1843" s="67">
        <v>2E-3</v>
      </c>
      <c r="H1843" s="63"/>
    </row>
    <row r="1844" spans="1:8" x14ac:dyDescent="0.25">
      <c r="A1844" s="63"/>
      <c r="B1844" s="63">
        <f>'Padrão EPP'!B1844</f>
        <v>4</v>
      </c>
      <c r="C1844" s="63" t="str">
        <f>'Padrão EPP'!C1844</f>
        <v>AP</v>
      </c>
      <c r="D1844" s="63" t="str">
        <f>'Padrão EPP'!D1844</f>
        <v>INTERIOR II</v>
      </c>
      <c r="E1844" s="63">
        <f>'Padrão EPP'!E1844/2</f>
        <v>37.022834882846674</v>
      </c>
      <c r="F1844" s="67">
        <v>3.0000000000000001E-3</v>
      </c>
      <c r="G1844" s="67">
        <v>2E-3</v>
      </c>
      <c r="H1844" s="63"/>
    </row>
    <row r="1845" spans="1:8" x14ac:dyDescent="0.25">
      <c r="A1845" s="63"/>
      <c r="B1845" s="63">
        <f>'Padrão EPP'!B1845</f>
        <v>5</v>
      </c>
      <c r="C1845" s="63" t="str">
        <f>'Padrão EPP'!C1845</f>
        <v>AP</v>
      </c>
      <c r="D1845" s="63" t="str">
        <f>'Padrão EPP'!D1845</f>
        <v>INTERIOR II</v>
      </c>
      <c r="E1845" s="63">
        <f>'Padrão EPP'!E1845/2</f>
        <v>43.164549052533282</v>
      </c>
      <c r="F1845" s="67">
        <v>3.0000000000000001E-3</v>
      </c>
      <c r="G1845" s="67">
        <v>2E-3</v>
      </c>
      <c r="H1845" s="63"/>
    </row>
    <row r="1846" spans="1:8" x14ac:dyDescent="0.25">
      <c r="A1846" s="63"/>
      <c r="B1846" s="63">
        <f>'Padrão EPP'!B1846</f>
        <v>6</v>
      </c>
      <c r="C1846" s="63" t="str">
        <f>'Padrão EPP'!C1846</f>
        <v>AP</v>
      </c>
      <c r="D1846" s="63" t="str">
        <f>'Padrão EPP'!D1846</f>
        <v>INTERIOR II</v>
      </c>
      <c r="E1846" s="63">
        <f>'Padrão EPP'!E1846/2</f>
        <v>50.841534651514451</v>
      </c>
      <c r="F1846" s="67">
        <v>3.0000000000000001E-3</v>
      </c>
      <c r="G1846" s="67">
        <v>2E-3</v>
      </c>
      <c r="H1846" s="63"/>
    </row>
    <row r="1847" spans="1:8" x14ac:dyDescent="0.25">
      <c r="A1847" s="63"/>
      <c r="B1847" s="63">
        <f>'Padrão EPP'!B1847</f>
        <v>7</v>
      </c>
      <c r="C1847" s="63" t="str">
        <f>'Padrão EPP'!C1847</f>
        <v>AP</v>
      </c>
      <c r="D1847" s="63" t="str">
        <f>'Padrão EPP'!D1847</f>
        <v>INTERIOR II</v>
      </c>
      <c r="E1847" s="63">
        <f>'Padrão EPP'!E1847/2</f>
        <v>56.594593217317616</v>
      </c>
      <c r="F1847" s="67">
        <v>3.0000000000000001E-3</v>
      </c>
      <c r="G1847" s="67">
        <v>2E-3</v>
      </c>
      <c r="H1847" s="63"/>
    </row>
    <row r="1848" spans="1:8" x14ac:dyDescent="0.25">
      <c r="A1848" s="63"/>
      <c r="B1848" s="63">
        <f>'Padrão EPP'!B1848</f>
        <v>8</v>
      </c>
      <c r="C1848" s="63" t="str">
        <f>'Padrão EPP'!C1848</f>
        <v>AP</v>
      </c>
      <c r="D1848" s="63" t="str">
        <f>'Padrão EPP'!D1848</f>
        <v>INTERIOR II</v>
      </c>
      <c r="E1848" s="63">
        <f>'Padrão EPP'!E1848/2</f>
        <v>62.445189388326149</v>
      </c>
      <c r="F1848" s="67">
        <v>3.0000000000000001E-3</v>
      </c>
      <c r="G1848" s="67">
        <v>2E-3</v>
      </c>
      <c r="H1848" s="63"/>
    </row>
    <row r="1849" spans="1:8" x14ac:dyDescent="0.25">
      <c r="A1849" s="63"/>
      <c r="B1849" s="63">
        <f>'Padrão EPP'!B1849</f>
        <v>9</v>
      </c>
      <c r="C1849" s="63" t="str">
        <f>'Padrão EPP'!C1849</f>
        <v>AP</v>
      </c>
      <c r="D1849" s="63" t="str">
        <f>'Padrão EPP'!D1849</f>
        <v>INTERIOR II</v>
      </c>
      <c r="E1849" s="63">
        <f>'Padrão EPP'!E1849/2</f>
        <v>69.037625519021816</v>
      </c>
      <c r="F1849" s="67">
        <v>3.0000000000000001E-3</v>
      </c>
      <c r="G1849" s="67">
        <v>2E-3</v>
      </c>
      <c r="H1849" s="63"/>
    </row>
    <row r="1850" spans="1:8" x14ac:dyDescent="0.25">
      <c r="A1850" s="63"/>
      <c r="B1850" s="63">
        <f>'Padrão EPP'!B1850</f>
        <v>10</v>
      </c>
      <c r="C1850" s="63" t="str">
        <f>'Padrão EPP'!C1850</f>
        <v>AP</v>
      </c>
      <c r="D1850" s="63" t="str">
        <f>'Padrão EPP'!D1850</f>
        <v>INTERIOR II</v>
      </c>
      <c r="E1850" s="63">
        <f>'Padrão EPP'!E1850/2</f>
        <v>74.941754340161907</v>
      </c>
      <c r="F1850" s="67">
        <v>3.0000000000000001E-3</v>
      </c>
      <c r="G1850" s="67">
        <v>2E-3</v>
      </c>
      <c r="H1850" s="63"/>
    </row>
    <row r="1851" spans="1:8" x14ac:dyDescent="0.25">
      <c r="A1851" s="63"/>
      <c r="B1851" s="63">
        <f>'Padrão EPP'!B1851</f>
        <v>11</v>
      </c>
      <c r="C1851" s="63" t="str">
        <f>'Padrão EPP'!C1851</f>
        <v>AP</v>
      </c>
      <c r="D1851" s="63" t="str">
        <f>'Padrão EPP'!D1851</f>
        <v>INTERIOR II</v>
      </c>
      <c r="E1851" s="63">
        <f>'Padrão EPP'!E1851/2</f>
        <v>0</v>
      </c>
      <c r="F1851" s="67">
        <v>3.0000000000000001E-3</v>
      </c>
      <c r="G1851" s="67">
        <v>2E-3</v>
      </c>
      <c r="H1851" s="63"/>
    </row>
    <row r="1852" spans="1:8" x14ac:dyDescent="0.25">
      <c r="A1852" s="63"/>
      <c r="B1852" s="63">
        <f>'Padrão EPP'!B1852</f>
        <v>12</v>
      </c>
      <c r="C1852" s="63" t="str">
        <f>'Padrão EPP'!C1852</f>
        <v>AP</v>
      </c>
      <c r="D1852" s="63" t="str">
        <f>'Padrão EPP'!D1852</f>
        <v>INTERIOR II</v>
      </c>
      <c r="E1852" s="63">
        <f>'Padrão EPP'!E1852/2</f>
        <v>0</v>
      </c>
      <c r="F1852" s="67">
        <v>3.0000000000000001E-3</v>
      </c>
      <c r="G1852" s="67">
        <v>2E-3</v>
      </c>
      <c r="H1852" s="63"/>
    </row>
    <row r="1853" spans="1:8" x14ac:dyDescent="0.25">
      <c r="A1853" s="63"/>
      <c r="B1853" s="63">
        <f>'Padrão EPP'!B1853</f>
        <v>13</v>
      </c>
      <c r="C1853" s="63" t="str">
        <f>'Padrão EPP'!C1853</f>
        <v>AP</v>
      </c>
      <c r="D1853" s="63" t="str">
        <f>'Padrão EPP'!D1853</f>
        <v>INTERIOR II</v>
      </c>
      <c r="E1853" s="63">
        <f>'Padrão EPP'!E1853/2</f>
        <v>0</v>
      </c>
      <c r="F1853" s="67">
        <v>3.0000000000000001E-3</v>
      </c>
      <c r="G1853" s="67">
        <v>2E-3</v>
      </c>
      <c r="H1853" s="63"/>
    </row>
    <row r="1854" spans="1:8" x14ac:dyDescent="0.25">
      <c r="A1854" s="63"/>
      <c r="B1854" s="63">
        <f>'Padrão EPP'!B1854</f>
        <v>14</v>
      </c>
      <c r="C1854" s="63" t="str">
        <f>'Padrão EPP'!C1854</f>
        <v>AP</v>
      </c>
      <c r="D1854" s="63" t="str">
        <f>'Padrão EPP'!D1854</f>
        <v>INTERIOR II</v>
      </c>
      <c r="E1854" s="63">
        <f>'Padrão EPP'!E1854/2</f>
        <v>0</v>
      </c>
      <c r="F1854" s="67">
        <v>3.0000000000000001E-3</v>
      </c>
      <c r="G1854" s="67">
        <v>2E-3</v>
      </c>
      <c r="H1854" s="63"/>
    </row>
    <row r="1855" spans="1:8" x14ac:dyDescent="0.25">
      <c r="A1855" s="63"/>
      <c r="B1855" s="63">
        <f>'Padrão EPP'!B1855</f>
        <v>15</v>
      </c>
      <c r="C1855" s="63" t="str">
        <f>'Padrão EPP'!C1855</f>
        <v>AP</v>
      </c>
      <c r="D1855" s="63" t="str">
        <f>'Padrão EPP'!D1855</f>
        <v>INTERIOR II</v>
      </c>
      <c r="E1855" s="63">
        <f>'Padrão EPP'!E1855/2</f>
        <v>0</v>
      </c>
      <c r="F1855" s="67">
        <v>3.0000000000000001E-3</v>
      </c>
      <c r="G1855" s="67">
        <v>2E-3</v>
      </c>
      <c r="H1855" s="63"/>
    </row>
    <row r="1856" spans="1:8" x14ac:dyDescent="0.25">
      <c r="A1856" s="63"/>
      <c r="B1856" s="63">
        <f>'Padrão EPP'!B1856</f>
        <v>16</v>
      </c>
      <c r="C1856" s="63" t="str">
        <f>'Padrão EPP'!C1856</f>
        <v>AP</v>
      </c>
      <c r="D1856" s="63" t="str">
        <f>'Padrão EPP'!D1856</f>
        <v>INTERIOR II</v>
      </c>
      <c r="E1856" s="63">
        <f>'Padrão EPP'!E1856/2</f>
        <v>0</v>
      </c>
      <c r="F1856" s="67">
        <v>3.0000000000000001E-3</v>
      </c>
      <c r="G1856" s="67">
        <v>2E-3</v>
      </c>
      <c r="H1856" s="63"/>
    </row>
    <row r="1857" spans="1:8" x14ac:dyDescent="0.25">
      <c r="A1857" s="63"/>
      <c r="B1857" s="63">
        <f>'Padrão EPP'!B1857</f>
        <v>17</v>
      </c>
      <c r="C1857" s="63" t="str">
        <f>'Padrão EPP'!C1857</f>
        <v>AP</v>
      </c>
      <c r="D1857" s="63" t="str">
        <f>'Padrão EPP'!D1857</f>
        <v>INTERIOR II</v>
      </c>
      <c r="E1857" s="63">
        <f>'Padrão EPP'!E1857/2</f>
        <v>0</v>
      </c>
      <c r="F1857" s="67">
        <v>3.0000000000000001E-3</v>
      </c>
      <c r="G1857" s="67">
        <v>2E-3</v>
      </c>
      <c r="H1857" s="63"/>
    </row>
    <row r="1858" spans="1:8" x14ac:dyDescent="0.25">
      <c r="A1858" s="63"/>
      <c r="B1858" s="63">
        <f>'Padrão EPP'!B1858</f>
        <v>18</v>
      </c>
      <c r="C1858" s="63" t="str">
        <f>'Padrão EPP'!C1858</f>
        <v>AP</v>
      </c>
      <c r="D1858" s="63" t="str">
        <f>'Padrão EPP'!D1858</f>
        <v>INTERIOR II</v>
      </c>
      <c r="E1858" s="63">
        <f>'Padrão EPP'!E1858/2</f>
        <v>0</v>
      </c>
      <c r="F1858" s="67">
        <v>3.0000000000000001E-3</v>
      </c>
      <c r="G1858" s="67">
        <v>2E-3</v>
      </c>
      <c r="H1858" s="63"/>
    </row>
    <row r="1859" spans="1:8" x14ac:dyDescent="0.25">
      <c r="A1859" s="63"/>
      <c r="B1859" s="63">
        <f>'Padrão EPP'!B1859</f>
        <v>19</v>
      </c>
      <c r="C1859" s="63" t="str">
        <f>'Padrão EPP'!C1859</f>
        <v>AP</v>
      </c>
      <c r="D1859" s="63" t="str">
        <f>'Padrão EPP'!D1859</f>
        <v>INTERIOR II</v>
      </c>
      <c r="E1859" s="63">
        <f>'Padrão EPP'!E1859/2</f>
        <v>0</v>
      </c>
      <c r="F1859" s="67">
        <v>3.0000000000000001E-3</v>
      </c>
      <c r="G1859" s="67">
        <v>2E-3</v>
      </c>
      <c r="H1859" s="63"/>
    </row>
    <row r="1860" spans="1:8" x14ac:dyDescent="0.25">
      <c r="A1860" s="63"/>
      <c r="B1860" s="63">
        <f>'Padrão EPP'!B1860</f>
        <v>20</v>
      </c>
      <c r="C1860" s="63" t="str">
        <f>'Padrão EPP'!C1860</f>
        <v>AP</v>
      </c>
      <c r="D1860" s="63" t="str">
        <f>'Padrão EPP'!D1860</f>
        <v>INTERIOR II</v>
      </c>
      <c r="E1860" s="63">
        <f>'Padrão EPP'!E1860/2</f>
        <v>0</v>
      </c>
      <c r="F1860" s="67">
        <v>3.0000000000000001E-3</v>
      </c>
      <c r="G1860" s="67">
        <v>2E-3</v>
      </c>
      <c r="H1860" s="63"/>
    </row>
    <row r="1861" spans="1:8" x14ac:dyDescent="0.25">
      <c r="A1861" s="63"/>
      <c r="B1861" s="63">
        <f>'Padrão EPP'!B1861</f>
        <v>21</v>
      </c>
      <c r="C1861" s="63" t="str">
        <f>'Padrão EPP'!C1861</f>
        <v>AP</v>
      </c>
      <c r="D1861" s="63" t="str">
        <f>'Padrão EPP'!D1861</f>
        <v>INTERIOR II</v>
      </c>
      <c r="E1861" s="63">
        <f>'Padrão EPP'!E1861/2</f>
        <v>0</v>
      </c>
      <c r="F1861" s="67">
        <v>3.0000000000000001E-3</v>
      </c>
      <c r="G1861" s="67">
        <v>2E-3</v>
      </c>
      <c r="H1861" s="63"/>
    </row>
    <row r="1862" spans="1:8" x14ac:dyDescent="0.25">
      <c r="A1862" s="63"/>
      <c r="B1862" s="63">
        <f>'Padrão EPP'!B1862</f>
        <v>22</v>
      </c>
      <c r="C1862" s="63" t="str">
        <f>'Padrão EPP'!C1862</f>
        <v>AP</v>
      </c>
      <c r="D1862" s="63" t="str">
        <f>'Padrão EPP'!D1862</f>
        <v>INTERIOR II</v>
      </c>
      <c r="E1862" s="63">
        <f>'Padrão EPP'!E1862/2</f>
        <v>0</v>
      </c>
      <c r="F1862" s="67">
        <v>3.0000000000000001E-3</v>
      </c>
      <c r="G1862" s="67">
        <v>2E-3</v>
      </c>
      <c r="H1862" s="63"/>
    </row>
    <row r="1863" spans="1:8" x14ac:dyDescent="0.25">
      <c r="A1863" s="63"/>
      <c r="B1863" s="63">
        <f>'Padrão EPP'!B1863</f>
        <v>23</v>
      </c>
      <c r="C1863" s="63" t="str">
        <f>'Padrão EPP'!C1863</f>
        <v>AP</v>
      </c>
      <c r="D1863" s="63" t="str">
        <f>'Padrão EPP'!D1863</f>
        <v>INTERIOR II</v>
      </c>
      <c r="E1863" s="63">
        <f>'Padrão EPP'!E1863/2</f>
        <v>0</v>
      </c>
      <c r="F1863" s="67">
        <v>3.0000000000000001E-3</v>
      </c>
      <c r="G1863" s="67">
        <v>2E-3</v>
      </c>
      <c r="H1863" s="63"/>
    </row>
    <row r="1864" spans="1:8" x14ac:dyDescent="0.25">
      <c r="A1864" s="63"/>
      <c r="B1864" s="63">
        <f>'Padrão EPP'!B1864</f>
        <v>24</v>
      </c>
      <c r="C1864" s="63" t="str">
        <f>'Padrão EPP'!C1864</f>
        <v>AP</v>
      </c>
      <c r="D1864" s="63" t="str">
        <f>'Padrão EPP'!D1864</f>
        <v>INTERIOR II</v>
      </c>
      <c r="E1864" s="63">
        <f>'Padrão EPP'!E1864/2</f>
        <v>0</v>
      </c>
      <c r="F1864" s="67">
        <v>3.0000000000000001E-3</v>
      </c>
      <c r="G1864" s="67">
        <v>2E-3</v>
      </c>
      <c r="H1864" s="63"/>
    </row>
    <row r="1865" spans="1:8" x14ac:dyDescent="0.25">
      <c r="A1865" s="63"/>
      <c r="B1865" s="63">
        <f>'Padrão EPP'!B1865</f>
        <v>25</v>
      </c>
      <c r="C1865" s="63" t="str">
        <f>'Padrão EPP'!C1865</f>
        <v>AP</v>
      </c>
      <c r="D1865" s="63" t="str">
        <f>'Padrão EPP'!D1865</f>
        <v>INTERIOR II</v>
      </c>
      <c r="E1865" s="63">
        <f>'Padrão EPP'!E1865/2</f>
        <v>0</v>
      </c>
      <c r="F1865" s="67">
        <v>3.0000000000000001E-3</v>
      </c>
      <c r="G1865" s="67">
        <v>2E-3</v>
      </c>
      <c r="H1865" s="63"/>
    </row>
    <row r="1866" spans="1:8" x14ac:dyDescent="0.25">
      <c r="A1866" s="63"/>
      <c r="B1866" s="63">
        <f>'Padrão EPP'!B1866</f>
        <v>26</v>
      </c>
      <c r="C1866" s="63" t="str">
        <f>'Padrão EPP'!C1866</f>
        <v>AP</v>
      </c>
      <c r="D1866" s="63" t="str">
        <f>'Padrão EPP'!D1866</f>
        <v>INTERIOR II</v>
      </c>
      <c r="E1866" s="63">
        <f>'Padrão EPP'!E1866/2</f>
        <v>0</v>
      </c>
      <c r="F1866" s="67">
        <v>3.0000000000000001E-3</v>
      </c>
      <c r="G1866" s="67">
        <v>2E-3</v>
      </c>
      <c r="H1866" s="63"/>
    </row>
    <row r="1867" spans="1:8" x14ac:dyDescent="0.25">
      <c r="A1867" s="63"/>
      <c r="B1867" s="63">
        <f>'Padrão EPP'!B1867</f>
        <v>27</v>
      </c>
      <c r="C1867" s="63" t="str">
        <f>'Padrão EPP'!C1867</f>
        <v>AP</v>
      </c>
      <c r="D1867" s="63" t="str">
        <f>'Padrão EPP'!D1867</f>
        <v>INTERIOR II</v>
      </c>
      <c r="E1867" s="63">
        <f>'Padrão EPP'!E1867/2</f>
        <v>0</v>
      </c>
      <c r="F1867" s="67">
        <v>3.0000000000000001E-3</v>
      </c>
      <c r="G1867" s="67">
        <v>2E-3</v>
      </c>
      <c r="H1867" s="63"/>
    </row>
    <row r="1868" spans="1:8" x14ac:dyDescent="0.25">
      <c r="A1868" s="63"/>
      <c r="B1868" s="63">
        <f>'Padrão EPP'!B1868</f>
        <v>28</v>
      </c>
      <c r="C1868" s="63" t="str">
        <f>'Padrão EPP'!C1868</f>
        <v>AP</v>
      </c>
      <c r="D1868" s="63" t="str">
        <f>'Padrão EPP'!D1868</f>
        <v>INTERIOR II</v>
      </c>
      <c r="E1868" s="63">
        <f>'Padrão EPP'!E1868/2</f>
        <v>0</v>
      </c>
      <c r="F1868" s="67">
        <v>3.0000000000000001E-3</v>
      </c>
      <c r="G1868" s="67">
        <v>2E-3</v>
      </c>
      <c r="H1868" s="63"/>
    </row>
    <row r="1869" spans="1:8" x14ac:dyDescent="0.25">
      <c r="A1869" s="63"/>
      <c r="B1869" s="63">
        <f>'Padrão EPP'!B1869</f>
        <v>29</v>
      </c>
      <c r="C1869" s="63" t="str">
        <f>'Padrão EPP'!C1869</f>
        <v>AP</v>
      </c>
      <c r="D1869" s="63" t="str">
        <f>'Padrão EPP'!D1869</f>
        <v>INTERIOR II</v>
      </c>
      <c r="E1869" s="63">
        <f>'Padrão EPP'!E1869/2</f>
        <v>0</v>
      </c>
      <c r="F1869" s="67">
        <v>3.0000000000000001E-3</v>
      </c>
      <c r="G1869" s="67">
        <v>2E-3</v>
      </c>
      <c r="H1869" s="63"/>
    </row>
    <row r="1870" spans="1:8" x14ac:dyDescent="0.25">
      <c r="A1870" s="63"/>
      <c r="B1870" s="63">
        <f>'Padrão EPP'!B1870</f>
        <v>30</v>
      </c>
      <c r="C1870" s="63" t="str">
        <f>'Padrão EPP'!C1870</f>
        <v>AP</v>
      </c>
      <c r="D1870" s="63" t="str">
        <f>'Padrão EPP'!D1870</f>
        <v>INTERIOR II</v>
      </c>
      <c r="E1870" s="63">
        <f>'Padrão EPP'!E1870/2</f>
        <v>0</v>
      </c>
      <c r="F1870" s="67">
        <v>3.0000000000000001E-3</v>
      </c>
      <c r="G1870" s="67">
        <v>2E-3</v>
      </c>
      <c r="H1870" s="63"/>
    </row>
    <row r="1871" spans="1:8" x14ac:dyDescent="0.25">
      <c r="A1871" s="63"/>
      <c r="B1871" s="63">
        <f>'Padrão EPP'!B1871</f>
        <v>0</v>
      </c>
      <c r="C1871" s="63" t="str">
        <f>'Padrão EPP'!C1871</f>
        <v>AP</v>
      </c>
      <c r="D1871" s="63" t="str">
        <f>'Padrão EPP'!D1871</f>
        <v>INTERIOR II</v>
      </c>
      <c r="E1871" s="63">
        <f>'Padrão EPP'!E1871/2</f>
        <v>1.5214394455252955</v>
      </c>
      <c r="F1871" s="67">
        <v>3.0000000000000001E-3</v>
      </c>
      <c r="G1871" s="67">
        <v>2E-3</v>
      </c>
      <c r="H1871" s="63"/>
    </row>
    <row r="1872" spans="1:8" x14ac:dyDescent="0.25">
      <c r="A1872" s="63"/>
      <c r="B1872" s="63">
        <f>'Padrão EPP'!B1872</f>
        <v>0.25</v>
      </c>
      <c r="C1872" s="63" t="str">
        <f>'Padrão EPP'!C1872</f>
        <v>AP</v>
      </c>
      <c r="D1872" s="63" t="str">
        <f>'Padrão EPP'!D1872</f>
        <v>REDESPACHO</v>
      </c>
      <c r="E1872" s="63">
        <f>'Padrão EPP'!E1872/2</f>
        <v>24.887953837591315</v>
      </c>
      <c r="F1872" s="67">
        <v>3.0000000000000001E-3</v>
      </c>
      <c r="G1872" s="67">
        <v>2E-3</v>
      </c>
      <c r="H1872" s="63"/>
    </row>
    <row r="1873" spans="1:8" x14ac:dyDescent="0.25">
      <c r="A1873" s="63"/>
      <c r="B1873" s="63">
        <f>'Padrão EPP'!B1873</f>
        <v>0.5</v>
      </c>
      <c r="C1873" s="63" t="str">
        <f>'Padrão EPP'!C1873</f>
        <v>AP</v>
      </c>
      <c r="D1873" s="63" t="str">
        <f>'Padrão EPP'!D1873</f>
        <v>REDESPACHO</v>
      </c>
      <c r="E1873" s="63">
        <f>'Padrão EPP'!E1873/2</f>
        <v>25.788846220576598</v>
      </c>
      <c r="F1873" s="67">
        <v>3.0000000000000001E-3</v>
      </c>
      <c r="G1873" s="67">
        <v>2E-3</v>
      </c>
      <c r="H1873" s="63"/>
    </row>
    <row r="1874" spans="1:8" x14ac:dyDescent="0.25">
      <c r="A1874" s="63"/>
      <c r="B1874" s="63">
        <f>'Padrão EPP'!B1874</f>
        <v>0.75</v>
      </c>
      <c r="C1874" s="63" t="str">
        <f>'Padrão EPP'!C1874</f>
        <v>AP</v>
      </c>
      <c r="D1874" s="63" t="str">
        <f>'Padrão EPP'!D1874</f>
        <v>REDESPACHO</v>
      </c>
      <c r="E1874" s="63">
        <f>'Padrão EPP'!E1874/2</f>
        <v>26.511971199801437</v>
      </c>
      <c r="F1874" s="67">
        <v>3.0000000000000001E-3</v>
      </c>
      <c r="G1874" s="67">
        <v>2E-3</v>
      </c>
      <c r="H1874" s="63"/>
    </row>
    <row r="1875" spans="1:8" x14ac:dyDescent="0.25">
      <c r="A1875" s="63"/>
      <c r="B1875" s="63">
        <f>'Padrão EPP'!B1875</f>
        <v>1</v>
      </c>
      <c r="C1875" s="63" t="str">
        <f>'Padrão EPP'!C1875</f>
        <v>AP</v>
      </c>
      <c r="D1875" s="63" t="str">
        <f>'Padrão EPP'!D1875</f>
        <v>REDESPACHO</v>
      </c>
      <c r="E1875" s="63">
        <f>'Padrão EPP'!E1875/2</f>
        <v>26.681085326659002</v>
      </c>
      <c r="F1875" s="67">
        <v>3.0000000000000001E-3</v>
      </c>
      <c r="G1875" s="67">
        <v>2E-3</v>
      </c>
      <c r="H1875" s="63"/>
    </row>
    <row r="1876" spans="1:8" x14ac:dyDescent="0.25">
      <c r="A1876" s="63"/>
      <c r="B1876" s="63">
        <f>'Padrão EPP'!B1876</f>
        <v>2</v>
      </c>
      <c r="C1876" s="63" t="str">
        <f>'Padrão EPP'!C1876</f>
        <v>AP</v>
      </c>
      <c r="D1876" s="63" t="str">
        <f>'Padrão EPP'!D1876</f>
        <v>REDESPACHO</v>
      </c>
      <c r="E1876" s="63">
        <f>'Padrão EPP'!E1876/2</f>
        <v>30.063753004895812</v>
      </c>
      <c r="F1876" s="67">
        <v>3.0000000000000001E-3</v>
      </c>
      <c r="G1876" s="67">
        <v>2E-3</v>
      </c>
      <c r="H1876" s="63"/>
    </row>
    <row r="1877" spans="1:8" x14ac:dyDescent="0.25">
      <c r="A1877" s="63"/>
      <c r="B1877" s="63">
        <f>'Padrão EPP'!B1877</f>
        <v>3</v>
      </c>
      <c r="C1877" s="63" t="str">
        <f>'Padrão EPP'!C1877</f>
        <v>AP</v>
      </c>
      <c r="D1877" s="63" t="str">
        <f>'Padrão EPP'!D1877</f>
        <v>REDESPACHO</v>
      </c>
      <c r="E1877" s="63">
        <f>'Padrão EPP'!E1877/2</f>
        <v>36.4315392428854</v>
      </c>
      <c r="F1877" s="67">
        <v>3.0000000000000001E-3</v>
      </c>
      <c r="G1877" s="67">
        <v>2E-3</v>
      </c>
      <c r="H1877" s="63"/>
    </row>
    <row r="1878" spans="1:8" x14ac:dyDescent="0.25">
      <c r="A1878" s="63"/>
      <c r="B1878" s="63">
        <f>'Padrão EPP'!B1878</f>
        <v>4</v>
      </c>
      <c r="C1878" s="63" t="str">
        <f>'Padrão EPP'!C1878</f>
        <v>AP</v>
      </c>
      <c r="D1878" s="63" t="str">
        <f>'Padrão EPP'!D1878</f>
        <v>REDESPACHO</v>
      </c>
      <c r="E1878" s="63">
        <f>'Padrão EPP'!E1878/2</f>
        <v>42.522731935246945</v>
      </c>
      <c r="F1878" s="67">
        <v>3.0000000000000001E-3</v>
      </c>
      <c r="G1878" s="67">
        <v>2E-3</v>
      </c>
      <c r="H1878" s="63"/>
    </row>
    <row r="1879" spans="1:8" x14ac:dyDescent="0.25">
      <c r="A1879" s="63"/>
      <c r="B1879" s="63">
        <f>'Padrão EPP'!B1879</f>
        <v>5</v>
      </c>
      <c r="C1879" s="63" t="str">
        <f>'Padrão EPP'!C1879</f>
        <v>AP</v>
      </c>
      <c r="D1879" s="63" t="str">
        <f>'Padrão EPP'!D1879</f>
        <v>REDESPACHO</v>
      </c>
      <c r="E1879" s="63">
        <f>'Padrão EPP'!E1879/2</f>
        <v>51.9148327066099</v>
      </c>
      <c r="F1879" s="67">
        <v>3.0000000000000001E-3</v>
      </c>
      <c r="G1879" s="67">
        <v>2E-3</v>
      </c>
      <c r="H1879" s="63"/>
    </row>
    <row r="1880" spans="1:8" x14ac:dyDescent="0.25">
      <c r="A1880" s="63"/>
      <c r="B1880" s="63">
        <f>'Padrão EPP'!B1880</f>
        <v>6</v>
      </c>
      <c r="C1880" s="63" t="str">
        <f>'Padrão EPP'!C1880</f>
        <v>AP</v>
      </c>
      <c r="D1880" s="63" t="str">
        <f>'Padrão EPP'!D1880</f>
        <v>REDESPACHO</v>
      </c>
      <c r="E1880" s="63">
        <f>'Padrão EPP'!E1880/2</f>
        <v>59.23385326179033</v>
      </c>
      <c r="F1880" s="67">
        <v>3.0000000000000001E-3</v>
      </c>
      <c r="G1880" s="67">
        <v>2E-3</v>
      </c>
      <c r="H1880" s="63"/>
    </row>
    <row r="1881" spans="1:8" x14ac:dyDescent="0.25">
      <c r="A1881" s="63"/>
      <c r="B1881" s="63">
        <f>'Padrão EPP'!B1881</f>
        <v>7</v>
      </c>
      <c r="C1881" s="63" t="str">
        <f>'Padrão EPP'!C1881</f>
        <v>AP</v>
      </c>
      <c r="D1881" s="63" t="str">
        <f>'Padrão EPP'!D1881</f>
        <v>REDESPACHO</v>
      </c>
      <c r="E1881" s="63">
        <f>'Padrão EPP'!E1881/2</f>
        <v>66.701834622117204</v>
      </c>
      <c r="F1881" s="67">
        <v>3.0000000000000001E-3</v>
      </c>
      <c r="G1881" s="67">
        <v>2E-3</v>
      </c>
      <c r="H1881" s="63"/>
    </row>
    <row r="1882" spans="1:8" x14ac:dyDescent="0.25">
      <c r="A1882" s="63"/>
      <c r="B1882" s="63">
        <f>'Padrão EPP'!B1882</f>
        <v>8</v>
      </c>
      <c r="C1882" s="63" t="str">
        <f>'Padrão EPP'!C1882</f>
        <v>AP</v>
      </c>
      <c r="D1882" s="63" t="str">
        <f>'Padrão EPP'!D1882</f>
        <v>REDESPACHO</v>
      </c>
      <c r="E1882" s="63">
        <f>'Padrão EPP'!E1882/2</f>
        <v>75.114264675509261</v>
      </c>
      <c r="F1882" s="67">
        <v>3.0000000000000001E-3</v>
      </c>
      <c r="G1882" s="67">
        <v>2E-3</v>
      </c>
      <c r="H1882" s="63"/>
    </row>
    <row r="1883" spans="1:8" x14ac:dyDescent="0.25">
      <c r="A1883" s="63"/>
      <c r="B1883" s="63">
        <f>'Padrão EPP'!B1883</f>
        <v>9</v>
      </c>
      <c r="C1883" s="63" t="str">
        <f>'Padrão EPP'!C1883</f>
        <v>AP</v>
      </c>
      <c r="D1883" s="63" t="str">
        <f>'Padrão EPP'!D1883</f>
        <v>REDESPACHO</v>
      </c>
      <c r="E1883" s="63">
        <f>'Padrão EPP'!E1883/2</f>
        <v>83.004404676464887</v>
      </c>
      <c r="F1883" s="67">
        <v>3.0000000000000001E-3</v>
      </c>
      <c r="G1883" s="67">
        <v>2E-3</v>
      </c>
      <c r="H1883" s="63"/>
    </row>
    <row r="1884" spans="1:8" x14ac:dyDescent="0.25">
      <c r="A1884" s="63"/>
      <c r="B1884" s="63">
        <f>'Padrão EPP'!B1884</f>
        <v>10</v>
      </c>
      <c r="C1884" s="63" t="str">
        <f>'Padrão EPP'!C1884</f>
        <v>AP</v>
      </c>
      <c r="D1884" s="63" t="str">
        <f>'Padrão EPP'!D1884</f>
        <v>REDESPACHO</v>
      </c>
      <c r="E1884" s="63">
        <f>'Padrão EPP'!E1884/2</f>
        <v>90.90312769987122</v>
      </c>
      <c r="F1884" s="67">
        <v>3.0000000000000001E-3</v>
      </c>
      <c r="G1884" s="67">
        <v>2E-3</v>
      </c>
      <c r="H1884" s="63"/>
    </row>
    <row r="1885" spans="1:8" x14ac:dyDescent="0.25">
      <c r="A1885" s="63"/>
      <c r="B1885" s="63">
        <f>'Padrão EPP'!B1885</f>
        <v>11</v>
      </c>
      <c r="C1885" s="63" t="str">
        <f>'Padrão EPP'!C1885</f>
        <v>AP</v>
      </c>
      <c r="D1885" s="63" t="str">
        <f>'Padrão EPP'!D1885</f>
        <v>REDESPACHO</v>
      </c>
      <c r="E1885" s="63">
        <f>'Padrão EPP'!E1885/2</f>
        <v>0</v>
      </c>
      <c r="F1885" s="67">
        <v>3.0000000000000001E-3</v>
      </c>
      <c r="G1885" s="67">
        <v>2E-3</v>
      </c>
      <c r="H1885" s="63"/>
    </row>
    <row r="1886" spans="1:8" x14ac:dyDescent="0.25">
      <c r="A1886" s="63"/>
      <c r="B1886" s="63">
        <f>'Padrão EPP'!B1886</f>
        <v>12</v>
      </c>
      <c r="C1886" s="63" t="str">
        <f>'Padrão EPP'!C1886</f>
        <v>AP</v>
      </c>
      <c r="D1886" s="63" t="str">
        <f>'Padrão EPP'!D1886</f>
        <v>REDESPACHO</v>
      </c>
      <c r="E1886" s="63">
        <f>'Padrão EPP'!E1886/2</f>
        <v>0</v>
      </c>
      <c r="F1886" s="67">
        <v>3.0000000000000001E-3</v>
      </c>
      <c r="G1886" s="67">
        <v>2E-3</v>
      </c>
      <c r="H1886" s="63"/>
    </row>
    <row r="1887" spans="1:8" x14ac:dyDescent="0.25">
      <c r="A1887" s="63"/>
      <c r="B1887" s="63">
        <f>'Padrão EPP'!B1887</f>
        <v>13</v>
      </c>
      <c r="C1887" s="63" t="str">
        <f>'Padrão EPP'!C1887</f>
        <v>AP</v>
      </c>
      <c r="D1887" s="63" t="str">
        <f>'Padrão EPP'!D1887</f>
        <v>REDESPACHO</v>
      </c>
      <c r="E1887" s="63">
        <f>'Padrão EPP'!E1887/2</f>
        <v>0</v>
      </c>
      <c r="F1887" s="67">
        <v>3.0000000000000001E-3</v>
      </c>
      <c r="G1887" s="67">
        <v>2E-3</v>
      </c>
      <c r="H1887" s="63"/>
    </row>
    <row r="1888" spans="1:8" x14ac:dyDescent="0.25">
      <c r="A1888" s="63"/>
      <c r="B1888" s="63">
        <f>'Padrão EPP'!B1888</f>
        <v>14</v>
      </c>
      <c r="C1888" s="63" t="str">
        <f>'Padrão EPP'!C1888</f>
        <v>AP</v>
      </c>
      <c r="D1888" s="63" t="str">
        <f>'Padrão EPP'!D1888</f>
        <v>REDESPACHO</v>
      </c>
      <c r="E1888" s="63">
        <f>'Padrão EPP'!E1888/2</f>
        <v>0</v>
      </c>
      <c r="F1888" s="67">
        <v>3.0000000000000001E-3</v>
      </c>
      <c r="G1888" s="67">
        <v>2E-3</v>
      </c>
      <c r="H1888" s="63"/>
    </row>
    <row r="1889" spans="1:8" x14ac:dyDescent="0.25">
      <c r="A1889" s="63"/>
      <c r="B1889" s="63">
        <f>'Padrão EPP'!B1889</f>
        <v>15</v>
      </c>
      <c r="C1889" s="63" t="str">
        <f>'Padrão EPP'!C1889</f>
        <v>AP</v>
      </c>
      <c r="D1889" s="63" t="str">
        <f>'Padrão EPP'!D1889</f>
        <v>REDESPACHO</v>
      </c>
      <c r="E1889" s="63">
        <f>'Padrão EPP'!E1889/2</f>
        <v>0</v>
      </c>
      <c r="F1889" s="67">
        <v>3.0000000000000001E-3</v>
      </c>
      <c r="G1889" s="67">
        <v>2E-3</v>
      </c>
      <c r="H1889" s="63"/>
    </row>
    <row r="1890" spans="1:8" x14ac:dyDescent="0.25">
      <c r="A1890" s="63"/>
      <c r="B1890" s="63">
        <f>'Padrão EPP'!B1890</f>
        <v>16</v>
      </c>
      <c r="C1890" s="63" t="str">
        <f>'Padrão EPP'!C1890</f>
        <v>AP</v>
      </c>
      <c r="D1890" s="63" t="str">
        <f>'Padrão EPP'!D1890</f>
        <v>REDESPACHO</v>
      </c>
      <c r="E1890" s="63">
        <f>'Padrão EPP'!E1890/2</f>
        <v>0</v>
      </c>
      <c r="F1890" s="67">
        <v>3.0000000000000001E-3</v>
      </c>
      <c r="G1890" s="67">
        <v>2E-3</v>
      </c>
      <c r="H1890" s="63"/>
    </row>
    <row r="1891" spans="1:8" x14ac:dyDescent="0.25">
      <c r="A1891" s="63"/>
      <c r="B1891" s="63">
        <f>'Padrão EPP'!B1891</f>
        <v>17</v>
      </c>
      <c r="C1891" s="63" t="str">
        <f>'Padrão EPP'!C1891</f>
        <v>AP</v>
      </c>
      <c r="D1891" s="63" t="str">
        <f>'Padrão EPP'!D1891</f>
        <v>REDESPACHO</v>
      </c>
      <c r="E1891" s="63">
        <f>'Padrão EPP'!E1891/2</f>
        <v>0</v>
      </c>
      <c r="F1891" s="67">
        <v>3.0000000000000001E-3</v>
      </c>
      <c r="G1891" s="67">
        <v>2E-3</v>
      </c>
      <c r="H1891" s="63"/>
    </row>
    <row r="1892" spans="1:8" x14ac:dyDescent="0.25">
      <c r="A1892" s="63"/>
      <c r="B1892" s="63">
        <f>'Padrão EPP'!B1892</f>
        <v>18</v>
      </c>
      <c r="C1892" s="63" t="str">
        <f>'Padrão EPP'!C1892</f>
        <v>AP</v>
      </c>
      <c r="D1892" s="63" t="str">
        <f>'Padrão EPP'!D1892</f>
        <v>REDESPACHO</v>
      </c>
      <c r="E1892" s="63">
        <f>'Padrão EPP'!E1892/2</f>
        <v>0</v>
      </c>
      <c r="F1892" s="67">
        <v>3.0000000000000001E-3</v>
      </c>
      <c r="G1892" s="67">
        <v>2E-3</v>
      </c>
      <c r="H1892" s="63"/>
    </row>
    <row r="1893" spans="1:8" x14ac:dyDescent="0.25">
      <c r="A1893" s="63"/>
      <c r="B1893" s="63">
        <f>'Padrão EPP'!B1893</f>
        <v>19</v>
      </c>
      <c r="C1893" s="63" t="str">
        <f>'Padrão EPP'!C1893</f>
        <v>AP</v>
      </c>
      <c r="D1893" s="63" t="str">
        <f>'Padrão EPP'!D1893</f>
        <v>REDESPACHO</v>
      </c>
      <c r="E1893" s="63">
        <f>'Padrão EPP'!E1893/2</f>
        <v>0</v>
      </c>
      <c r="F1893" s="67">
        <v>3.0000000000000001E-3</v>
      </c>
      <c r="G1893" s="67">
        <v>2E-3</v>
      </c>
      <c r="H1893" s="63"/>
    </row>
    <row r="1894" spans="1:8" x14ac:dyDescent="0.25">
      <c r="A1894" s="63"/>
      <c r="B1894" s="63">
        <f>'Padrão EPP'!B1894</f>
        <v>20</v>
      </c>
      <c r="C1894" s="63" t="str">
        <f>'Padrão EPP'!C1894</f>
        <v>AP</v>
      </c>
      <c r="D1894" s="63" t="str">
        <f>'Padrão EPP'!D1894</f>
        <v>REDESPACHO</v>
      </c>
      <c r="E1894" s="63">
        <f>'Padrão EPP'!E1894/2</f>
        <v>0</v>
      </c>
      <c r="F1894" s="67">
        <v>3.0000000000000001E-3</v>
      </c>
      <c r="G1894" s="67">
        <v>2E-3</v>
      </c>
      <c r="H1894" s="63"/>
    </row>
    <row r="1895" spans="1:8" x14ac:dyDescent="0.25">
      <c r="A1895" s="63"/>
      <c r="B1895" s="63">
        <f>'Padrão EPP'!B1895</f>
        <v>21</v>
      </c>
      <c r="C1895" s="63" t="str">
        <f>'Padrão EPP'!C1895</f>
        <v>AP</v>
      </c>
      <c r="D1895" s="63" t="str">
        <f>'Padrão EPP'!D1895</f>
        <v>REDESPACHO</v>
      </c>
      <c r="E1895" s="63">
        <f>'Padrão EPP'!E1895/2</f>
        <v>0</v>
      </c>
      <c r="F1895" s="67">
        <v>3.0000000000000001E-3</v>
      </c>
      <c r="G1895" s="67">
        <v>2E-3</v>
      </c>
      <c r="H1895" s="63"/>
    </row>
    <row r="1896" spans="1:8" x14ac:dyDescent="0.25">
      <c r="A1896" s="63"/>
      <c r="B1896" s="63">
        <f>'Padrão EPP'!B1896</f>
        <v>22</v>
      </c>
      <c r="C1896" s="63" t="str">
        <f>'Padrão EPP'!C1896</f>
        <v>AP</v>
      </c>
      <c r="D1896" s="63" t="str">
        <f>'Padrão EPP'!D1896</f>
        <v>REDESPACHO</v>
      </c>
      <c r="E1896" s="63">
        <f>'Padrão EPP'!E1896/2</f>
        <v>0</v>
      </c>
      <c r="F1896" s="67">
        <v>3.0000000000000001E-3</v>
      </c>
      <c r="G1896" s="67">
        <v>2E-3</v>
      </c>
      <c r="H1896" s="63"/>
    </row>
    <row r="1897" spans="1:8" x14ac:dyDescent="0.25">
      <c r="A1897" s="63"/>
      <c r="B1897" s="63">
        <f>'Padrão EPP'!B1897</f>
        <v>23</v>
      </c>
      <c r="C1897" s="63" t="str">
        <f>'Padrão EPP'!C1897</f>
        <v>AP</v>
      </c>
      <c r="D1897" s="63" t="str">
        <f>'Padrão EPP'!D1897</f>
        <v>REDESPACHO</v>
      </c>
      <c r="E1897" s="63">
        <f>'Padrão EPP'!E1897/2</f>
        <v>0</v>
      </c>
      <c r="F1897" s="67">
        <v>3.0000000000000001E-3</v>
      </c>
      <c r="G1897" s="67">
        <v>2E-3</v>
      </c>
      <c r="H1897" s="63"/>
    </row>
    <row r="1898" spans="1:8" x14ac:dyDescent="0.25">
      <c r="A1898" s="63"/>
      <c r="B1898" s="63">
        <f>'Padrão EPP'!B1898</f>
        <v>24</v>
      </c>
      <c r="C1898" s="63" t="str">
        <f>'Padrão EPP'!C1898</f>
        <v>AP</v>
      </c>
      <c r="D1898" s="63" t="str">
        <f>'Padrão EPP'!D1898</f>
        <v>REDESPACHO</v>
      </c>
      <c r="E1898" s="63">
        <f>'Padrão EPP'!E1898/2</f>
        <v>0</v>
      </c>
      <c r="F1898" s="67">
        <v>3.0000000000000001E-3</v>
      </c>
      <c r="G1898" s="67">
        <v>2E-3</v>
      </c>
      <c r="H1898" s="63"/>
    </row>
    <row r="1899" spans="1:8" x14ac:dyDescent="0.25">
      <c r="A1899" s="63"/>
      <c r="B1899" s="63">
        <f>'Padrão EPP'!B1899</f>
        <v>25</v>
      </c>
      <c r="C1899" s="63" t="str">
        <f>'Padrão EPP'!C1899</f>
        <v>AP</v>
      </c>
      <c r="D1899" s="63" t="str">
        <f>'Padrão EPP'!D1899</f>
        <v>REDESPACHO</v>
      </c>
      <c r="E1899" s="63">
        <f>'Padrão EPP'!E1899/2</f>
        <v>0</v>
      </c>
      <c r="F1899" s="67">
        <v>3.0000000000000001E-3</v>
      </c>
      <c r="G1899" s="67">
        <v>2E-3</v>
      </c>
      <c r="H1899" s="63"/>
    </row>
    <row r="1900" spans="1:8" x14ac:dyDescent="0.25">
      <c r="A1900" s="63"/>
      <c r="B1900" s="63">
        <f>'Padrão EPP'!B1900</f>
        <v>26</v>
      </c>
      <c r="C1900" s="63" t="str">
        <f>'Padrão EPP'!C1900</f>
        <v>AP</v>
      </c>
      <c r="D1900" s="63" t="str">
        <f>'Padrão EPP'!D1900</f>
        <v>REDESPACHO</v>
      </c>
      <c r="E1900" s="63">
        <f>'Padrão EPP'!E1900/2</f>
        <v>0</v>
      </c>
      <c r="F1900" s="67">
        <v>3.0000000000000001E-3</v>
      </c>
      <c r="G1900" s="67">
        <v>2E-3</v>
      </c>
      <c r="H1900" s="63"/>
    </row>
    <row r="1901" spans="1:8" x14ac:dyDescent="0.25">
      <c r="A1901" s="63"/>
      <c r="B1901" s="63">
        <f>'Padrão EPP'!B1901</f>
        <v>27</v>
      </c>
      <c r="C1901" s="63" t="str">
        <f>'Padrão EPP'!C1901</f>
        <v>AP</v>
      </c>
      <c r="D1901" s="63" t="str">
        <f>'Padrão EPP'!D1901</f>
        <v>REDESPACHO</v>
      </c>
      <c r="E1901" s="63">
        <f>'Padrão EPP'!E1901/2</f>
        <v>0</v>
      </c>
      <c r="F1901" s="67">
        <v>3.0000000000000001E-3</v>
      </c>
      <c r="G1901" s="67">
        <v>2E-3</v>
      </c>
      <c r="H1901" s="63"/>
    </row>
    <row r="1902" spans="1:8" x14ac:dyDescent="0.25">
      <c r="A1902" s="63"/>
      <c r="B1902" s="63">
        <f>'Padrão EPP'!B1902</f>
        <v>28</v>
      </c>
      <c r="C1902" s="63" t="str">
        <f>'Padrão EPP'!C1902</f>
        <v>AP</v>
      </c>
      <c r="D1902" s="63" t="str">
        <f>'Padrão EPP'!D1902</f>
        <v>REDESPACHO</v>
      </c>
      <c r="E1902" s="63">
        <f>'Padrão EPP'!E1902/2</f>
        <v>0</v>
      </c>
      <c r="F1902" s="67">
        <v>3.0000000000000001E-3</v>
      </c>
      <c r="G1902" s="67">
        <v>2E-3</v>
      </c>
      <c r="H1902" s="63"/>
    </row>
    <row r="1903" spans="1:8" x14ac:dyDescent="0.25">
      <c r="A1903" s="63"/>
      <c r="B1903" s="63">
        <f>'Padrão EPP'!B1903</f>
        <v>29</v>
      </c>
      <c r="C1903" s="63" t="str">
        <f>'Padrão EPP'!C1903</f>
        <v>AP</v>
      </c>
      <c r="D1903" s="63" t="str">
        <f>'Padrão EPP'!D1903</f>
        <v>REDESPACHO</v>
      </c>
      <c r="E1903" s="63">
        <f>'Padrão EPP'!E1903/2</f>
        <v>0</v>
      </c>
      <c r="F1903" s="67">
        <v>3.0000000000000001E-3</v>
      </c>
      <c r="G1903" s="67">
        <v>2E-3</v>
      </c>
      <c r="H1903" s="63"/>
    </row>
    <row r="1904" spans="1:8" x14ac:dyDescent="0.25">
      <c r="A1904" s="63"/>
      <c r="B1904" s="63">
        <f>'Padrão EPP'!B1904</f>
        <v>30</v>
      </c>
      <c r="C1904" s="63" t="str">
        <f>'Padrão EPP'!C1904</f>
        <v>AP</v>
      </c>
      <c r="D1904" s="63" t="str">
        <f>'Padrão EPP'!D1904</f>
        <v>REDESPACHO</v>
      </c>
      <c r="E1904" s="63">
        <f>'Padrão EPP'!E1904/2</f>
        <v>0</v>
      </c>
      <c r="F1904" s="67">
        <v>3.0000000000000001E-3</v>
      </c>
      <c r="G1904" s="67">
        <v>2E-3</v>
      </c>
      <c r="H1904" s="63"/>
    </row>
    <row r="1905" spans="1:8" x14ac:dyDescent="0.25">
      <c r="A1905" s="63"/>
      <c r="B1905" s="63">
        <f>'Padrão EPP'!B1905</f>
        <v>0</v>
      </c>
      <c r="C1905" s="63" t="str">
        <f>'Padrão EPP'!C1905</f>
        <v>AP</v>
      </c>
      <c r="D1905" s="63" t="str">
        <f>'Padrão EPP'!D1905</f>
        <v>REDESPACHO</v>
      </c>
      <c r="E1905" s="63">
        <f>'Padrão EPP'!E1905/2</f>
        <v>1.5214394455252955</v>
      </c>
      <c r="F1905" s="67">
        <v>3.0000000000000001E-3</v>
      </c>
      <c r="G1905" s="67">
        <v>2E-3</v>
      </c>
      <c r="H1905" s="63"/>
    </row>
    <row r="1906" spans="1:8" x14ac:dyDescent="0.25">
      <c r="A1906" s="63"/>
      <c r="B1906" s="63">
        <f>'Padrão EPP'!B1906</f>
        <v>0.25</v>
      </c>
      <c r="C1906" s="63" t="str">
        <f>'Padrão EPP'!C1906</f>
        <v>PA</v>
      </c>
      <c r="D1906" s="63" t="str">
        <f>'Padrão EPP'!D1906</f>
        <v>CAPITAL</v>
      </c>
      <c r="E1906" s="63">
        <f>'Padrão EPP'!E1906/2</f>
        <v>11.110708634685134</v>
      </c>
      <c r="F1906" s="67">
        <v>3.0000000000000001E-3</v>
      </c>
      <c r="G1906" s="67">
        <v>2E-3</v>
      </c>
      <c r="H1906" s="63"/>
    </row>
    <row r="1907" spans="1:8" x14ac:dyDescent="0.25">
      <c r="A1907" s="63"/>
      <c r="B1907" s="63">
        <f>'Padrão EPP'!B1907</f>
        <v>0.5</v>
      </c>
      <c r="C1907" s="63" t="str">
        <f>'Padrão EPP'!C1907</f>
        <v>PA</v>
      </c>
      <c r="D1907" s="63" t="str">
        <f>'Padrão EPP'!D1907</f>
        <v>CAPITAL</v>
      </c>
      <c r="E1907" s="63">
        <f>'Padrão EPP'!E1907/2</f>
        <v>11.288880859671039</v>
      </c>
      <c r="F1907" s="67">
        <v>3.0000000000000001E-3</v>
      </c>
      <c r="G1907" s="67">
        <v>2E-3</v>
      </c>
      <c r="H1907" s="63"/>
    </row>
    <row r="1908" spans="1:8" x14ac:dyDescent="0.25">
      <c r="A1908" s="63"/>
      <c r="B1908" s="63">
        <f>'Padrão EPP'!B1908</f>
        <v>0.75</v>
      </c>
      <c r="C1908" s="63" t="str">
        <f>'Padrão EPP'!C1908</f>
        <v>PA</v>
      </c>
      <c r="D1908" s="63" t="str">
        <f>'Padrão EPP'!D1908</f>
        <v>CAPITAL</v>
      </c>
      <c r="E1908" s="63">
        <f>'Padrão EPP'!E1908/2</f>
        <v>11.406333261153634</v>
      </c>
      <c r="F1908" s="67">
        <v>3.0000000000000001E-3</v>
      </c>
      <c r="G1908" s="67">
        <v>2E-3</v>
      </c>
      <c r="H1908" s="63"/>
    </row>
    <row r="1909" spans="1:8" x14ac:dyDescent="0.25">
      <c r="A1909" s="63"/>
      <c r="B1909" s="63">
        <f>'Padrão EPP'!B1909</f>
        <v>1</v>
      </c>
      <c r="C1909" s="63" t="str">
        <f>'Padrão EPP'!C1909</f>
        <v>PA</v>
      </c>
      <c r="D1909" s="63" t="str">
        <f>'Padrão EPP'!D1909</f>
        <v>CAPITAL</v>
      </c>
      <c r="E1909" s="63">
        <f>'Padrão EPP'!E1909/2</f>
        <v>11.560732735845193</v>
      </c>
      <c r="F1909" s="67">
        <v>3.0000000000000001E-3</v>
      </c>
      <c r="G1909" s="67">
        <v>2E-3</v>
      </c>
      <c r="H1909" s="63"/>
    </row>
    <row r="1910" spans="1:8" x14ac:dyDescent="0.25">
      <c r="A1910" s="63"/>
      <c r="B1910" s="63">
        <f>'Padrão EPP'!B1910</f>
        <v>2</v>
      </c>
      <c r="C1910" s="63" t="str">
        <f>'Padrão EPP'!C1910</f>
        <v>PA</v>
      </c>
      <c r="D1910" s="63" t="str">
        <f>'Padrão EPP'!D1910</f>
        <v>CAPITAL</v>
      </c>
      <c r="E1910" s="63">
        <f>'Padrão EPP'!E1910/2</f>
        <v>16.333033318150569</v>
      </c>
      <c r="F1910" s="67">
        <v>3.0000000000000001E-3</v>
      </c>
      <c r="G1910" s="67">
        <v>2E-3</v>
      </c>
      <c r="H1910" s="63"/>
    </row>
    <row r="1911" spans="1:8" x14ac:dyDescent="0.25">
      <c r="A1911" s="63"/>
      <c r="B1911" s="63">
        <f>'Padrão EPP'!B1911</f>
        <v>3</v>
      </c>
      <c r="C1911" s="63" t="str">
        <f>'Padrão EPP'!C1911</f>
        <v>PA</v>
      </c>
      <c r="D1911" s="63" t="str">
        <f>'Padrão EPP'!D1911</f>
        <v>CAPITAL</v>
      </c>
      <c r="E1911" s="63">
        <f>'Padrão EPP'!E1911/2</f>
        <v>21.493209333212555</v>
      </c>
      <c r="F1911" s="67">
        <v>3.0000000000000001E-3</v>
      </c>
      <c r="G1911" s="67">
        <v>2E-3</v>
      </c>
      <c r="H1911" s="63"/>
    </row>
    <row r="1912" spans="1:8" x14ac:dyDescent="0.25">
      <c r="A1912" s="63"/>
      <c r="B1912" s="63">
        <f>'Padrão EPP'!B1912</f>
        <v>4</v>
      </c>
      <c r="C1912" s="63" t="str">
        <f>'Padrão EPP'!C1912</f>
        <v>PA</v>
      </c>
      <c r="D1912" s="63" t="str">
        <f>'Padrão EPP'!D1912</f>
        <v>CAPITAL</v>
      </c>
      <c r="E1912" s="63">
        <f>'Padrão EPP'!E1912/2</f>
        <v>26.749592753191585</v>
      </c>
      <c r="F1912" s="67">
        <v>3.0000000000000001E-3</v>
      </c>
      <c r="G1912" s="67">
        <v>2E-3</v>
      </c>
      <c r="H1912" s="63"/>
    </row>
    <row r="1913" spans="1:8" x14ac:dyDescent="0.25">
      <c r="A1913" s="63"/>
      <c r="B1913" s="63">
        <f>'Padrão EPP'!B1913</f>
        <v>5</v>
      </c>
      <c r="C1913" s="63" t="str">
        <f>'Padrão EPP'!C1913</f>
        <v>PA</v>
      </c>
      <c r="D1913" s="63" t="str">
        <f>'Padrão EPP'!D1913</f>
        <v>CAPITAL</v>
      </c>
      <c r="E1913" s="63">
        <f>'Padrão EPP'!E1913/2</f>
        <v>32.149963830791613</v>
      </c>
      <c r="F1913" s="67">
        <v>3.0000000000000001E-3</v>
      </c>
      <c r="G1913" s="67">
        <v>2E-3</v>
      </c>
      <c r="H1913" s="63"/>
    </row>
    <row r="1914" spans="1:8" x14ac:dyDescent="0.25">
      <c r="A1914" s="63"/>
      <c r="B1914" s="63">
        <f>'Padrão EPP'!B1914</f>
        <v>6</v>
      </c>
      <c r="C1914" s="63" t="str">
        <f>'Padrão EPP'!C1914</f>
        <v>PA</v>
      </c>
      <c r="D1914" s="63" t="str">
        <f>'Padrão EPP'!D1914</f>
        <v>CAPITAL</v>
      </c>
      <c r="E1914" s="63">
        <f>'Padrão EPP'!E1914/2</f>
        <v>37.40096821299165</v>
      </c>
      <c r="F1914" s="67">
        <v>3.0000000000000001E-3</v>
      </c>
      <c r="G1914" s="67">
        <v>2E-3</v>
      </c>
      <c r="H1914" s="63"/>
    </row>
    <row r="1915" spans="1:8" x14ac:dyDescent="0.25">
      <c r="A1915" s="63"/>
      <c r="B1915" s="63">
        <f>'Padrão EPP'!B1915</f>
        <v>7</v>
      </c>
      <c r="C1915" s="63" t="str">
        <f>'Padrão EPP'!C1915</f>
        <v>PA</v>
      </c>
      <c r="D1915" s="63" t="str">
        <f>'Padrão EPP'!D1915</f>
        <v>CAPITAL</v>
      </c>
      <c r="E1915" s="63">
        <f>'Padrão EPP'!E1915/2</f>
        <v>42.70197796712992</v>
      </c>
      <c r="F1915" s="67">
        <v>3.0000000000000001E-3</v>
      </c>
      <c r="G1915" s="67">
        <v>2E-3</v>
      </c>
      <c r="H1915" s="63"/>
    </row>
    <row r="1916" spans="1:8" x14ac:dyDescent="0.25">
      <c r="A1916" s="63"/>
      <c r="B1916" s="63">
        <f>'Padrão EPP'!B1916</f>
        <v>8</v>
      </c>
      <c r="C1916" s="63" t="str">
        <f>'Padrão EPP'!C1916</f>
        <v>PA</v>
      </c>
      <c r="D1916" s="63" t="str">
        <f>'Padrão EPP'!D1916</f>
        <v>CAPITAL</v>
      </c>
      <c r="E1916" s="63">
        <f>'Padrão EPP'!E1916/2</f>
        <v>48.057993630400325</v>
      </c>
      <c r="F1916" s="67">
        <v>3.0000000000000001E-3</v>
      </c>
      <c r="G1916" s="67">
        <v>2E-3</v>
      </c>
      <c r="H1916" s="63"/>
    </row>
    <row r="1917" spans="1:8" x14ac:dyDescent="0.25">
      <c r="A1917" s="63"/>
      <c r="B1917" s="63">
        <f>'Padrão EPP'!B1917</f>
        <v>9</v>
      </c>
      <c r="C1917" s="63" t="str">
        <f>'Padrão EPP'!C1917</f>
        <v>PA</v>
      </c>
      <c r="D1917" s="63" t="str">
        <f>'Padrão EPP'!D1917</f>
        <v>CAPITAL</v>
      </c>
      <c r="E1917" s="63">
        <f>'Padrão EPP'!E1917/2</f>
        <v>53.474515793716002</v>
      </c>
      <c r="F1917" s="67">
        <v>3.0000000000000001E-3</v>
      </c>
      <c r="G1917" s="67">
        <v>2E-3</v>
      </c>
      <c r="H1917" s="63"/>
    </row>
    <row r="1918" spans="1:8" x14ac:dyDescent="0.25">
      <c r="A1918" s="63"/>
      <c r="B1918" s="63">
        <f>'Padrão EPP'!B1918</f>
        <v>10</v>
      </c>
      <c r="C1918" s="63" t="str">
        <f>'Padrão EPP'!C1918</f>
        <v>PA</v>
      </c>
      <c r="D1918" s="63" t="str">
        <f>'Padrão EPP'!D1918</f>
        <v>CAPITAL</v>
      </c>
      <c r="E1918" s="63">
        <f>'Padrão EPP'!E1918/2</f>
        <v>58.61244874325169</v>
      </c>
      <c r="F1918" s="67">
        <v>3.0000000000000001E-3</v>
      </c>
      <c r="G1918" s="67">
        <v>2E-3</v>
      </c>
      <c r="H1918" s="63"/>
    </row>
    <row r="1919" spans="1:8" x14ac:dyDescent="0.25">
      <c r="A1919" s="63"/>
      <c r="B1919" s="63">
        <f>'Padrão EPP'!B1919</f>
        <v>11</v>
      </c>
      <c r="C1919" s="63" t="str">
        <f>'Padrão EPP'!C1919</f>
        <v>PA</v>
      </c>
      <c r="D1919" s="63" t="str">
        <f>'Padrão EPP'!D1919</f>
        <v>CAPITAL</v>
      </c>
      <c r="E1919" s="63">
        <f>'Padrão EPP'!E1919/2</f>
        <v>0</v>
      </c>
      <c r="F1919" s="67">
        <v>3.0000000000000001E-3</v>
      </c>
      <c r="G1919" s="67">
        <v>2E-3</v>
      </c>
      <c r="H1919" s="63"/>
    </row>
    <row r="1920" spans="1:8" x14ac:dyDescent="0.25">
      <c r="A1920" s="63"/>
      <c r="B1920" s="63">
        <f>'Padrão EPP'!B1920</f>
        <v>12</v>
      </c>
      <c r="C1920" s="63" t="str">
        <f>'Padrão EPP'!C1920</f>
        <v>PA</v>
      </c>
      <c r="D1920" s="63" t="str">
        <f>'Padrão EPP'!D1920</f>
        <v>CAPITAL</v>
      </c>
      <c r="E1920" s="63">
        <f>'Padrão EPP'!E1920/2</f>
        <v>0</v>
      </c>
      <c r="F1920" s="67">
        <v>3.0000000000000001E-3</v>
      </c>
      <c r="G1920" s="67">
        <v>2E-3</v>
      </c>
      <c r="H1920" s="63"/>
    </row>
    <row r="1921" spans="1:8" x14ac:dyDescent="0.25">
      <c r="A1921" s="63"/>
      <c r="B1921" s="63">
        <f>'Padrão EPP'!B1921</f>
        <v>13</v>
      </c>
      <c r="C1921" s="63" t="str">
        <f>'Padrão EPP'!C1921</f>
        <v>PA</v>
      </c>
      <c r="D1921" s="63" t="str">
        <f>'Padrão EPP'!D1921</f>
        <v>CAPITAL</v>
      </c>
      <c r="E1921" s="63">
        <f>'Padrão EPP'!E1921/2</f>
        <v>0</v>
      </c>
      <c r="F1921" s="67">
        <v>3.0000000000000001E-3</v>
      </c>
      <c r="G1921" s="67">
        <v>2E-3</v>
      </c>
      <c r="H1921" s="63"/>
    </row>
    <row r="1922" spans="1:8" x14ac:dyDescent="0.25">
      <c r="A1922" s="63"/>
      <c r="B1922" s="63">
        <f>'Padrão EPP'!B1922</f>
        <v>14</v>
      </c>
      <c r="C1922" s="63" t="str">
        <f>'Padrão EPP'!C1922</f>
        <v>PA</v>
      </c>
      <c r="D1922" s="63" t="str">
        <f>'Padrão EPP'!D1922</f>
        <v>CAPITAL</v>
      </c>
      <c r="E1922" s="63">
        <f>'Padrão EPP'!E1922/2</f>
        <v>0</v>
      </c>
      <c r="F1922" s="67">
        <v>3.0000000000000001E-3</v>
      </c>
      <c r="G1922" s="67">
        <v>2E-3</v>
      </c>
      <c r="H1922" s="63"/>
    </row>
    <row r="1923" spans="1:8" x14ac:dyDescent="0.25">
      <c r="A1923" s="63"/>
      <c r="B1923" s="63">
        <f>'Padrão EPP'!B1923</f>
        <v>15</v>
      </c>
      <c r="C1923" s="63" t="str">
        <f>'Padrão EPP'!C1923</f>
        <v>PA</v>
      </c>
      <c r="D1923" s="63" t="str">
        <f>'Padrão EPP'!D1923</f>
        <v>CAPITAL</v>
      </c>
      <c r="E1923" s="63">
        <f>'Padrão EPP'!E1923/2</f>
        <v>0</v>
      </c>
      <c r="F1923" s="67">
        <v>3.0000000000000001E-3</v>
      </c>
      <c r="G1923" s="67">
        <v>2E-3</v>
      </c>
      <c r="H1923" s="63"/>
    </row>
    <row r="1924" spans="1:8" x14ac:dyDescent="0.25">
      <c r="A1924" s="63"/>
      <c r="B1924" s="63">
        <f>'Padrão EPP'!B1924</f>
        <v>16</v>
      </c>
      <c r="C1924" s="63" t="str">
        <f>'Padrão EPP'!C1924</f>
        <v>PA</v>
      </c>
      <c r="D1924" s="63" t="str">
        <f>'Padrão EPP'!D1924</f>
        <v>CAPITAL</v>
      </c>
      <c r="E1924" s="63">
        <f>'Padrão EPP'!E1924/2</f>
        <v>0</v>
      </c>
      <c r="F1924" s="67">
        <v>3.0000000000000001E-3</v>
      </c>
      <c r="G1924" s="67">
        <v>2E-3</v>
      </c>
      <c r="H1924" s="63"/>
    </row>
    <row r="1925" spans="1:8" x14ac:dyDescent="0.25">
      <c r="A1925" s="63"/>
      <c r="B1925" s="63">
        <f>'Padrão EPP'!B1925</f>
        <v>17</v>
      </c>
      <c r="C1925" s="63" t="str">
        <f>'Padrão EPP'!C1925</f>
        <v>PA</v>
      </c>
      <c r="D1925" s="63" t="str">
        <f>'Padrão EPP'!D1925</f>
        <v>CAPITAL</v>
      </c>
      <c r="E1925" s="63">
        <f>'Padrão EPP'!E1925/2</f>
        <v>0</v>
      </c>
      <c r="F1925" s="67">
        <v>3.0000000000000001E-3</v>
      </c>
      <c r="G1925" s="67">
        <v>2E-3</v>
      </c>
      <c r="H1925" s="63"/>
    </row>
    <row r="1926" spans="1:8" x14ac:dyDescent="0.25">
      <c r="A1926" s="63"/>
      <c r="B1926" s="63">
        <f>'Padrão EPP'!B1926</f>
        <v>18</v>
      </c>
      <c r="C1926" s="63" t="str">
        <f>'Padrão EPP'!C1926</f>
        <v>PA</v>
      </c>
      <c r="D1926" s="63" t="str">
        <f>'Padrão EPP'!D1926</f>
        <v>CAPITAL</v>
      </c>
      <c r="E1926" s="63">
        <f>'Padrão EPP'!E1926/2</f>
        <v>0</v>
      </c>
      <c r="F1926" s="67">
        <v>3.0000000000000001E-3</v>
      </c>
      <c r="G1926" s="67">
        <v>2E-3</v>
      </c>
      <c r="H1926" s="63"/>
    </row>
    <row r="1927" spans="1:8" x14ac:dyDescent="0.25">
      <c r="A1927" s="63"/>
      <c r="B1927" s="63">
        <f>'Padrão EPP'!B1927</f>
        <v>19</v>
      </c>
      <c r="C1927" s="63" t="str">
        <f>'Padrão EPP'!C1927</f>
        <v>PA</v>
      </c>
      <c r="D1927" s="63" t="str">
        <f>'Padrão EPP'!D1927</f>
        <v>CAPITAL</v>
      </c>
      <c r="E1927" s="63">
        <f>'Padrão EPP'!E1927/2</f>
        <v>0</v>
      </c>
      <c r="F1927" s="67">
        <v>3.0000000000000001E-3</v>
      </c>
      <c r="G1927" s="67">
        <v>2E-3</v>
      </c>
      <c r="H1927" s="63"/>
    </row>
    <row r="1928" spans="1:8" x14ac:dyDescent="0.25">
      <c r="A1928" s="63"/>
      <c r="B1928" s="63">
        <f>'Padrão EPP'!B1928</f>
        <v>20</v>
      </c>
      <c r="C1928" s="63" t="str">
        <f>'Padrão EPP'!C1928</f>
        <v>PA</v>
      </c>
      <c r="D1928" s="63" t="str">
        <f>'Padrão EPP'!D1928</f>
        <v>CAPITAL</v>
      </c>
      <c r="E1928" s="63">
        <f>'Padrão EPP'!E1928/2</f>
        <v>0</v>
      </c>
      <c r="F1928" s="67">
        <v>3.0000000000000001E-3</v>
      </c>
      <c r="G1928" s="67">
        <v>2E-3</v>
      </c>
      <c r="H1928" s="63"/>
    </row>
    <row r="1929" spans="1:8" x14ac:dyDescent="0.25">
      <c r="A1929" s="63"/>
      <c r="B1929" s="63">
        <f>'Padrão EPP'!B1929</f>
        <v>21</v>
      </c>
      <c r="C1929" s="63" t="str">
        <f>'Padrão EPP'!C1929</f>
        <v>PA</v>
      </c>
      <c r="D1929" s="63" t="str">
        <f>'Padrão EPP'!D1929</f>
        <v>CAPITAL</v>
      </c>
      <c r="E1929" s="63">
        <f>'Padrão EPP'!E1929/2</f>
        <v>0</v>
      </c>
      <c r="F1929" s="67">
        <v>3.0000000000000001E-3</v>
      </c>
      <c r="G1929" s="67">
        <v>2E-3</v>
      </c>
      <c r="H1929" s="63"/>
    </row>
    <row r="1930" spans="1:8" x14ac:dyDescent="0.25">
      <c r="A1930" s="63"/>
      <c r="B1930" s="63">
        <f>'Padrão EPP'!B1930</f>
        <v>22</v>
      </c>
      <c r="C1930" s="63" t="str">
        <f>'Padrão EPP'!C1930</f>
        <v>PA</v>
      </c>
      <c r="D1930" s="63" t="str">
        <f>'Padrão EPP'!D1930</f>
        <v>CAPITAL</v>
      </c>
      <c r="E1930" s="63">
        <f>'Padrão EPP'!E1930/2</f>
        <v>0</v>
      </c>
      <c r="F1930" s="67">
        <v>3.0000000000000001E-3</v>
      </c>
      <c r="G1930" s="67">
        <v>2E-3</v>
      </c>
      <c r="H1930" s="63"/>
    </row>
    <row r="1931" spans="1:8" x14ac:dyDescent="0.25">
      <c r="A1931" s="63"/>
      <c r="B1931" s="63">
        <f>'Padrão EPP'!B1931</f>
        <v>23</v>
      </c>
      <c r="C1931" s="63" t="str">
        <f>'Padrão EPP'!C1931</f>
        <v>PA</v>
      </c>
      <c r="D1931" s="63" t="str">
        <f>'Padrão EPP'!D1931</f>
        <v>CAPITAL</v>
      </c>
      <c r="E1931" s="63">
        <f>'Padrão EPP'!E1931/2</f>
        <v>0</v>
      </c>
      <c r="F1931" s="67">
        <v>3.0000000000000001E-3</v>
      </c>
      <c r="G1931" s="67">
        <v>2E-3</v>
      </c>
      <c r="H1931" s="63"/>
    </row>
    <row r="1932" spans="1:8" x14ac:dyDescent="0.25">
      <c r="A1932" s="63"/>
      <c r="B1932" s="63">
        <f>'Padrão EPP'!B1932</f>
        <v>24</v>
      </c>
      <c r="C1932" s="63" t="str">
        <f>'Padrão EPP'!C1932</f>
        <v>PA</v>
      </c>
      <c r="D1932" s="63" t="str">
        <f>'Padrão EPP'!D1932</f>
        <v>CAPITAL</v>
      </c>
      <c r="E1932" s="63">
        <f>'Padrão EPP'!E1932/2</f>
        <v>0</v>
      </c>
      <c r="F1932" s="67">
        <v>3.0000000000000001E-3</v>
      </c>
      <c r="G1932" s="67">
        <v>2E-3</v>
      </c>
      <c r="H1932" s="63"/>
    </row>
    <row r="1933" spans="1:8" x14ac:dyDescent="0.25">
      <c r="A1933" s="63"/>
      <c r="B1933" s="63">
        <f>'Padrão EPP'!B1933</f>
        <v>25</v>
      </c>
      <c r="C1933" s="63" t="str">
        <f>'Padrão EPP'!C1933</f>
        <v>PA</v>
      </c>
      <c r="D1933" s="63" t="str">
        <f>'Padrão EPP'!D1933</f>
        <v>CAPITAL</v>
      </c>
      <c r="E1933" s="63">
        <f>'Padrão EPP'!E1933/2</f>
        <v>0</v>
      </c>
      <c r="F1933" s="67">
        <v>3.0000000000000001E-3</v>
      </c>
      <c r="G1933" s="67">
        <v>2E-3</v>
      </c>
      <c r="H1933" s="63"/>
    </row>
    <row r="1934" spans="1:8" x14ac:dyDescent="0.25">
      <c r="A1934" s="63"/>
      <c r="B1934" s="63">
        <f>'Padrão EPP'!B1934</f>
        <v>26</v>
      </c>
      <c r="C1934" s="63" t="str">
        <f>'Padrão EPP'!C1934</f>
        <v>PA</v>
      </c>
      <c r="D1934" s="63" t="str">
        <f>'Padrão EPP'!D1934</f>
        <v>CAPITAL</v>
      </c>
      <c r="E1934" s="63">
        <f>'Padrão EPP'!E1934/2</f>
        <v>0</v>
      </c>
      <c r="F1934" s="67">
        <v>3.0000000000000001E-3</v>
      </c>
      <c r="G1934" s="67">
        <v>2E-3</v>
      </c>
      <c r="H1934" s="63"/>
    </row>
    <row r="1935" spans="1:8" x14ac:dyDescent="0.25">
      <c r="A1935" s="63"/>
      <c r="B1935" s="63">
        <f>'Padrão EPP'!B1935</f>
        <v>27</v>
      </c>
      <c r="C1935" s="63" t="str">
        <f>'Padrão EPP'!C1935</f>
        <v>PA</v>
      </c>
      <c r="D1935" s="63" t="str">
        <f>'Padrão EPP'!D1935</f>
        <v>CAPITAL</v>
      </c>
      <c r="E1935" s="63">
        <f>'Padrão EPP'!E1935/2</f>
        <v>0</v>
      </c>
      <c r="F1935" s="67">
        <v>3.0000000000000001E-3</v>
      </c>
      <c r="G1935" s="67">
        <v>2E-3</v>
      </c>
      <c r="H1935" s="63"/>
    </row>
    <row r="1936" spans="1:8" x14ac:dyDescent="0.25">
      <c r="A1936" s="63"/>
      <c r="B1936" s="63">
        <f>'Padrão EPP'!B1936</f>
        <v>28</v>
      </c>
      <c r="C1936" s="63" t="str">
        <f>'Padrão EPP'!C1936</f>
        <v>PA</v>
      </c>
      <c r="D1936" s="63" t="str">
        <f>'Padrão EPP'!D1936</f>
        <v>CAPITAL</v>
      </c>
      <c r="E1936" s="63">
        <f>'Padrão EPP'!E1936/2</f>
        <v>0</v>
      </c>
      <c r="F1936" s="67">
        <v>3.0000000000000001E-3</v>
      </c>
      <c r="G1936" s="67">
        <v>2E-3</v>
      </c>
      <c r="H1936" s="63"/>
    </row>
    <row r="1937" spans="1:8" x14ac:dyDescent="0.25">
      <c r="A1937" s="63"/>
      <c r="B1937" s="63">
        <f>'Padrão EPP'!B1937</f>
        <v>29</v>
      </c>
      <c r="C1937" s="63" t="str">
        <f>'Padrão EPP'!C1937</f>
        <v>PA</v>
      </c>
      <c r="D1937" s="63" t="str">
        <f>'Padrão EPP'!D1937</f>
        <v>CAPITAL</v>
      </c>
      <c r="E1937" s="63">
        <f>'Padrão EPP'!E1937/2</f>
        <v>0</v>
      </c>
      <c r="F1937" s="67">
        <v>3.0000000000000001E-3</v>
      </c>
      <c r="G1937" s="67">
        <v>2E-3</v>
      </c>
      <c r="H1937" s="63"/>
    </row>
    <row r="1938" spans="1:8" x14ac:dyDescent="0.25">
      <c r="A1938" s="63"/>
      <c r="B1938" s="63">
        <f>'Padrão EPP'!B1938</f>
        <v>30</v>
      </c>
      <c r="C1938" s="63" t="str">
        <f>'Padrão EPP'!C1938</f>
        <v>PA</v>
      </c>
      <c r="D1938" s="63" t="str">
        <f>'Padrão EPP'!D1938</f>
        <v>CAPITAL</v>
      </c>
      <c r="E1938" s="63">
        <f>'Padrão EPP'!E1938/2</f>
        <v>0</v>
      </c>
      <c r="F1938" s="67">
        <v>3.0000000000000001E-3</v>
      </c>
      <c r="G1938" s="67">
        <v>2E-3</v>
      </c>
      <c r="H1938" s="63"/>
    </row>
    <row r="1939" spans="1:8" x14ac:dyDescent="0.25">
      <c r="A1939" s="63"/>
      <c r="B1939" s="63">
        <f>'Padrão EPP'!B1939</f>
        <v>0</v>
      </c>
      <c r="C1939" s="63" t="str">
        <f>'Padrão EPP'!C1939</f>
        <v>PA</v>
      </c>
      <c r="D1939" s="63" t="str">
        <f>'Padrão EPP'!D1939</f>
        <v>CAPITAL</v>
      </c>
      <c r="E1939" s="63">
        <f>'Padrão EPP'!E1939/2</f>
        <v>1.5214394455252955</v>
      </c>
      <c r="F1939" s="67">
        <v>3.0000000000000001E-3</v>
      </c>
      <c r="G1939" s="67">
        <v>2E-3</v>
      </c>
      <c r="H1939" s="63"/>
    </row>
    <row r="1940" spans="1:8" x14ac:dyDescent="0.25">
      <c r="A1940" s="63"/>
      <c r="B1940" s="63">
        <f>'Padrão EPP'!B1940</f>
        <v>0.25</v>
      </c>
      <c r="C1940" s="63" t="str">
        <f>'Padrão EPP'!C1940</f>
        <v>PA</v>
      </c>
      <c r="D1940" s="63" t="str">
        <f>'Padrão EPP'!D1940</f>
        <v>INTERIOR</v>
      </c>
      <c r="E1940" s="63">
        <f>'Padrão EPP'!E1940/2</f>
        <v>14.201762428914694</v>
      </c>
      <c r="F1940" s="67">
        <v>3.0000000000000001E-3</v>
      </c>
      <c r="G1940" s="67">
        <v>2E-3</v>
      </c>
      <c r="H1940" s="63"/>
    </row>
    <row r="1941" spans="1:8" x14ac:dyDescent="0.25">
      <c r="A1941" s="63"/>
      <c r="B1941" s="63">
        <f>'Padrão EPP'!B1941</f>
        <v>0.5</v>
      </c>
      <c r="C1941" s="63" t="str">
        <f>'Padrão EPP'!C1941</f>
        <v>PA</v>
      </c>
      <c r="D1941" s="63" t="str">
        <f>'Padrão EPP'!D1941</f>
        <v>INTERIOR</v>
      </c>
      <c r="E1941" s="63">
        <f>'Padrão EPP'!E1941/2</f>
        <v>14.46040248401677</v>
      </c>
      <c r="F1941" s="67">
        <v>3.0000000000000001E-3</v>
      </c>
      <c r="G1941" s="67">
        <v>2E-3</v>
      </c>
      <c r="H1941" s="63"/>
    </row>
    <row r="1942" spans="1:8" x14ac:dyDescent="0.25">
      <c r="A1942" s="63"/>
      <c r="B1942" s="63">
        <f>'Padrão EPP'!B1942</f>
        <v>0.75</v>
      </c>
      <c r="C1942" s="63" t="str">
        <f>'Padrão EPP'!C1942</f>
        <v>PA</v>
      </c>
      <c r="D1942" s="63" t="str">
        <f>'Padrão EPP'!D1942</f>
        <v>INTERIOR</v>
      </c>
      <c r="E1942" s="63">
        <f>'Padrão EPP'!E1942/2</f>
        <v>14.666813688258479</v>
      </c>
      <c r="F1942" s="67">
        <v>3.0000000000000001E-3</v>
      </c>
      <c r="G1942" s="67">
        <v>2E-3</v>
      </c>
      <c r="H1942" s="63"/>
    </row>
    <row r="1943" spans="1:8" x14ac:dyDescent="0.25">
      <c r="A1943" s="63"/>
      <c r="B1943" s="63">
        <f>'Padrão EPP'!B1943</f>
        <v>1</v>
      </c>
      <c r="C1943" s="63" t="str">
        <f>'Padrão EPP'!C1943</f>
        <v>PA</v>
      </c>
      <c r="D1943" s="63" t="str">
        <f>'Padrão EPP'!D1943</f>
        <v>INTERIOR</v>
      </c>
      <c r="E1943" s="63">
        <f>'Padrão EPP'!E1943/2</f>
        <v>15.142179704679462</v>
      </c>
      <c r="F1943" s="67">
        <v>3.0000000000000001E-3</v>
      </c>
      <c r="G1943" s="67">
        <v>2E-3</v>
      </c>
      <c r="H1943" s="63"/>
    </row>
    <row r="1944" spans="1:8" x14ac:dyDescent="0.25">
      <c r="A1944" s="63"/>
      <c r="B1944" s="63">
        <f>'Padrão EPP'!B1944</f>
        <v>2</v>
      </c>
      <c r="C1944" s="63" t="str">
        <f>'Padrão EPP'!C1944</f>
        <v>PA</v>
      </c>
      <c r="D1944" s="63" t="str">
        <f>'Padrão EPP'!D1944</f>
        <v>INTERIOR</v>
      </c>
      <c r="E1944" s="63">
        <f>'Padrão EPP'!E1944/2</f>
        <v>19.480942324237159</v>
      </c>
      <c r="F1944" s="67">
        <v>3.0000000000000001E-3</v>
      </c>
      <c r="G1944" s="67">
        <v>2E-3</v>
      </c>
      <c r="H1944" s="63"/>
    </row>
    <row r="1945" spans="1:8" x14ac:dyDescent="0.25">
      <c r="A1945" s="63"/>
      <c r="B1945" s="63">
        <f>'Padrão EPP'!B1945</f>
        <v>3</v>
      </c>
      <c r="C1945" s="63" t="str">
        <f>'Padrão EPP'!C1945</f>
        <v>PA</v>
      </c>
      <c r="D1945" s="63" t="str">
        <f>'Padrão EPP'!D1945</f>
        <v>INTERIOR</v>
      </c>
      <c r="E1945" s="63">
        <f>'Padrão EPP'!E1945/2</f>
        <v>24.25978668147404</v>
      </c>
      <c r="F1945" s="67">
        <v>3.0000000000000001E-3</v>
      </c>
      <c r="G1945" s="67">
        <v>2E-3</v>
      </c>
      <c r="H1945" s="63"/>
    </row>
    <row r="1946" spans="1:8" x14ac:dyDescent="0.25">
      <c r="A1946" s="63"/>
      <c r="B1946" s="63">
        <f>'Padrão EPP'!B1946</f>
        <v>4</v>
      </c>
      <c r="C1946" s="63" t="str">
        <f>'Padrão EPP'!C1946</f>
        <v>PA</v>
      </c>
      <c r="D1946" s="63" t="str">
        <f>'Padrão EPP'!D1946</f>
        <v>INTERIOR</v>
      </c>
      <c r="E1946" s="63">
        <f>'Padrão EPP'!E1946/2</f>
        <v>29.143890111603074</v>
      </c>
      <c r="F1946" s="67">
        <v>3.0000000000000001E-3</v>
      </c>
      <c r="G1946" s="67">
        <v>2E-3</v>
      </c>
      <c r="H1946" s="63"/>
    </row>
    <row r="1947" spans="1:8" x14ac:dyDescent="0.25">
      <c r="A1947" s="63"/>
      <c r="B1947" s="63">
        <f>'Padrão EPP'!B1947</f>
        <v>5</v>
      </c>
      <c r="C1947" s="63" t="str">
        <f>'Padrão EPP'!C1947</f>
        <v>PA</v>
      </c>
      <c r="D1947" s="63" t="str">
        <f>'Padrão EPP'!D1947</f>
        <v>INTERIOR</v>
      </c>
      <c r="E1947" s="63">
        <f>'Padrão EPP'!E1947/2</f>
        <v>34.166238164468929</v>
      </c>
      <c r="F1947" s="67">
        <v>3.0000000000000001E-3</v>
      </c>
      <c r="G1947" s="67">
        <v>2E-3</v>
      </c>
      <c r="H1947" s="63"/>
    </row>
    <row r="1948" spans="1:8" x14ac:dyDescent="0.25">
      <c r="A1948" s="63"/>
      <c r="B1948" s="63">
        <f>'Padrão EPP'!B1948</f>
        <v>6</v>
      </c>
      <c r="C1948" s="63" t="str">
        <f>'Padrão EPP'!C1948</f>
        <v>PA</v>
      </c>
      <c r="D1948" s="63" t="str">
        <f>'Padrão EPP'!D1948</f>
        <v>INTERIOR</v>
      </c>
      <c r="E1948" s="63">
        <f>'Padrão EPP'!E1948/2</f>
        <v>39.271011960120219</v>
      </c>
      <c r="F1948" s="67">
        <v>3.0000000000000001E-3</v>
      </c>
      <c r="G1948" s="67">
        <v>2E-3</v>
      </c>
      <c r="H1948" s="63"/>
    </row>
    <row r="1949" spans="1:8" x14ac:dyDescent="0.25">
      <c r="A1949" s="63"/>
      <c r="B1949" s="63">
        <f>'Padrão EPP'!B1949</f>
        <v>7</v>
      </c>
      <c r="C1949" s="63" t="str">
        <f>'Padrão EPP'!C1949</f>
        <v>PA</v>
      </c>
      <c r="D1949" s="63" t="str">
        <f>'Padrão EPP'!D1949</f>
        <v>INTERIOR</v>
      </c>
      <c r="E1949" s="63">
        <f>'Padrão EPP'!E1949/2</f>
        <v>44.468813865825801</v>
      </c>
      <c r="F1949" s="67">
        <v>3.0000000000000001E-3</v>
      </c>
      <c r="G1949" s="67">
        <v>2E-3</v>
      </c>
      <c r="H1949" s="63"/>
    </row>
    <row r="1950" spans="1:8" x14ac:dyDescent="0.25">
      <c r="A1950" s="63"/>
      <c r="B1950" s="63">
        <f>'Padrão EPP'!B1950</f>
        <v>8</v>
      </c>
      <c r="C1950" s="63" t="str">
        <f>'Padrão EPP'!C1950</f>
        <v>PA</v>
      </c>
      <c r="D1950" s="63" t="str">
        <f>'Padrão EPP'!D1950</f>
        <v>INTERIOR</v>
      </c>
      <c r="E1950" s="63">
        <f>'Padrão EPP'!E1950/2</f>
        <v>49.771646031809382</v>
      </c>
      <c r="F1950" s="67">
        <v>3.0000000000000001E-3</v>
      </c>
      <c r="G1950" s="67">
        <v>2E-3</v>
      </c>
      <c r="H1950" s="63"/>
    </row>
    <row r="1951" spans="1:8" x14ac:dyDescent="0.25">
      <c r="A1951" s="63"/>
      <c r="B1951" s="63">
        <f>'Padrão EPP'!B1951</f>
        <v>9</v>
      </c>
      <c r="C1951" s="63" t="str">
        <f>'Padrão EPP'!C1951</f>
        <v>PA</v>
      </c>
      <c r="D1951" s="63" t="str">
        <f>'Padrão EPP'!D1951</f>
        <v>INTERIOR</v>
      </c>
      <c r="E1951" s="63">
        <f>'Padrão EPP'!E1951/2</f>
        <v>54.917112459567221</v>
      </c>
      <c r="F1951" s="67">
        <v>3.0000000000000001E-3</v>
      </c>
      <c r="G1951" s="67">
        <v>2E-3</v>
      </c>
      <c r="H1951" s="63"/>
    </row>
    <row r="1952" spans="1:8" x14ac:dyDescent="0.25">
      <c r="A1952" s="63"/>
      <c r="B1952" s="63">
        <f>'Padrão EPP'!B1952</f>
        <v>10</v>
      </c>
      <c r="C1952" s="63" t="str">
        <f>'Padrão EPP'!C1952</f>
        <v>PA</v>
      </c>
      <c r="D1952" s="63" t="str">
        <f>'Padrão EPP'!D1952</f>
        <v>INTERIOR</v>
      </c>
      <c r="E1952" s="63">
        <f>'Padrão EPP'!E1952/2</f>
        <v>60.006752601431941</v>
      </c>
      <c r="F1952" s="67">
        <v>3.0000000000000001E-3</v>
      </c>
      <c r="G1952" s="67">
        <v>2E-3</v>
      </c>
      <c r="H1952" s="63"/>
    </row>
    <row r="1953" spans="1:8" x14ac:dyDescent="0.25">
      <c r="A1953" s="63"/>
      <c r="B1953" s="63">
        <f>'Padrão EPP'!B1953</f>
        <v>11</v>
      </c>
      <c r="C1953" s="63" t="str">
        <f>'Padrão EPP'!C1953</f>
        <v>PA</v>
      </c>
      <c r="D1953" s="63" t="str">
        <f>'Padrão EPP'!D1953</f>
        <v>INTERIOR</v>
      </c>
      <c r="E1953" s="63">
        <f>'Padrão EPP'!E1953/2</f>
        <v>0</v>
      </c>
      <c r="F1953" s="67">
        <v>3.0000000000000001E-3</v>
      </c>
      <c r="G1953" s="67">
        <v>2E-3</v>
      </c>
      <c r="H1953" s="63"/>
    </row>
    <row r="1954" spans="1:8" x14ac:dyDescent="0.25">
      <c r="A1954" s="63"/>
      <c r="B1954" s="63">
        <f>'Padrão EPP'!B1954</f>
        <v>12</v>
      </c>
      <c r="C1954" s="63" t="str">
        <f>'Padrão EPP'!C1954</f>
        <v>PA</v>
      </c>
      <c r="D1954" s="63" t="str">
        <f>'Padrão EPP'!D1954</f>
        <v>INTERIOR</v>
      </c>
      <c r="E1954" s="63">
        <f>'Padrão EPP'!E1954/2</f>
        <v>0</v>
      </c>
      <c r="F1954" s="67">
        <v>3.0000000000000001E-3</v>
      </c>
      <c r="G1954" s="67">
        <v>2E-3</v>
      </c>
      <c r="H1954" s="63"/>
    </row>
    <row r="1955" spans="1:8" x14ac:dyDescent="0.25">
      <c r="A1955" s="63"/>
      <c r="B1955" s="63">
        <f>'Padrão EPP'!B1955</f>
        <v>13</v>
      </c>
      <c r="C1955" s="63" t="str">
        <f>'Padrão EPP'!C1955</f>
        <v>PA</v>
      </c>
      <c r="D1955" s="63" t="str">
        <f>'Padrão EPP'!D1955</f>
        <v>INTERIOR</v>
      </c>
      <c r="E1955" s="63">
        <f>'Padrão EPP'!E1955/2</f>
        <v>0</v>
      </c>
      <c r="F1955" s="67">
        <v>3.0000000000000001E-3</v>
      </c>
      <c r="G1955" s="67">
        <v>2E-3</v>
      </c>
      <c r="H1955" s="63"/>
    </row>
    <row r="1956" spans="1:8" x14ac:dyDescent="0.25">
      <c r="A1956" s="63"/>
      <c r="B1956" s="63">
        <f>'Padrão EPP'!B1956</f>
        <v>14</v>
      </c>
      <c r="C1956" s="63" t="str">
        <f>'Padrão EPP'!C1956</f>
        <v>PA</v>
      </c>
      <c r="D1956" s="63" t="str">
        <f>'Padrão EPP'!D1956</f>
        <v>INTERIOR</v>
      </c>
      <c r="E1956" s="63">
        <f>'Padrão EPP'!E1956/2</f>
        <v>0</v>
      </c>
      <c r="F1956" s="67">
        <v>3.0000000000000001E-3</v>
      </c>
      <c r="G1956" s="67">
        <v>2E-3</v>
      </c>
      <c r="H1956" s="63"/>
    </row>
    <row r="1957" spans="1:8" x14ac:dyDescent="0.25">
      <c r="A1957" s="63"/>
      <c r="B1957" s="63">
        <f>'Padrão EPP'!B1957</f>
        <v>15</v>
      </c>
      <c r="C1957" s="63" t="str">
        <f>'Padrão EPP'!C1957</f>
        <v>PA</v>
      </c>
      <c r="D1957" s="63" t="str">
        <f>'Padrão EPP'!D1957</f>
        <v>INTERIOR</v>
      </c>
      <c r="E1957" s="63">
        <f>'Padrão EPP'!E1957/2</f>
        <v>0</v>
      </c>
      <c r="F1957" s="67">
        <v>3.0000000000000001E-3</v>
      </c>
      <c r="G1957" s="67">
        <v>2E-3</v>
      </c>
      <c r="H1957" s="63"/>
    </row>
    <row r="1958" spans="1:8" x14ac:dyDescent="0.25">
      <c r="A1958" s="63"/>
      <c r="B1958" s="63">
        <f>'Padrão EPP'!B1958</f>
        <v>16</v>
      </c>
      <c r="C1958" s="63" t="str">
        <f>'Padrão EPP'!C1958</f>
        <v>PA</v>
      </c>
      <c r="D1958" s="63" t="str">
        <f>'Padrão EPP'!D1958</f>
        <v>INTERIOR</v>
      </c>
      <c r="E1958" s="63">
        <f>'Padrão EPP'!E1958/2</f>
        <v>0</v>
      </c>
      <c r="F1958" s="67">
        <v>3.0000000000000001E-3</v>
      </c>
      <c r="G1958" s="67">
        <v>2E-3</v>
      </c>
      <c r="H1958" s="63"/>
    </row>
    <row r="1959" spans="1:8" x14ac:dyDescent="0.25">
      <c r="A1959" s="63"/>
      <c r="B1959" s="63">
        <f>'Padrão EPP'!B1959</f>
        <v>17</v>
      </c>
      <c r="C1959" s="63" t="str">
        <f>'Padrão EPP'!C1959</f>
        <v>PA</v>
      </c>
      <c r="D1959" s="63" t="str">
        <f>'Padrão EPP'!D1959</f>
        <v>INTERIOR</v>
      </c>
      <c r="E1959" s="63">
        <f>'Padrão EPP'!E1959/2</f>
        <v>0</v>
      </c>
      <c r="F1959" s="67">
        <v>3.0000000000000001E-3</v>
      </c>
      <c r="G1959" s="67">
        <v>2E-3</v>
      </c>
      <c r="H1959" s="63"/>
    </row>
    <row r="1960" spans="1:8" x14ac:dyDescent="0.25">
      <c r="A1960" s="63"/>
      <c r="B1960" s="63">
        <f>'Padrão EPP'!B1960</f>
        <v>18</v>
      </c>
      <c r="C1960" s="63" t="str">
        <f>'Padrão EPP'!C1960</f>
        <v>PA</v>
      </c>
      <c r="D1960" s="63" t="str">
        <f>'Padrão EPP'!D1960</f>
        <v>INTERIOR</v>
      </c>
      <c r="E1960" s="63">
        <f>'Padrão EPP'!E1960/2</f>
        <v>0</v>
      </c>
      <c r="F1960" s="67">
        <v>3.0000000000000001E-3</v>
      </c>
      <c r="G1960" s="67">
        <v>2E-3</v>
      </c>
      <c r="H1960" s="63"/>
    </row>
    <row r="1961" spans="1:8" x14ac:dyDescent="0.25">
      <c r="A1961" s="63"/>
      <c r="B1961" s="63">
        <f>'Padrão EPP'!B1961</f>
        <v>19</v>
      </c>
      <c r="C1961" s="63" t="str">
        <f>'Padrão EPP'!C1961</f>
        <v>PA</v>
      </c>
      <c r="D1961" s="63" t="str">
        <f>'Padrão EPP'!D1961</f>
        <v>INTERIOR</v>
      </c>
      <c r="E1961" s="63">
        <f>'Padrão EPP'!E1961/2</f>
        <v>0</v>
      </c>
      <c r="F1961" s="67">
        <v>3.0000000000000001E-3</v>
      </c>
      <c r="G1961" s="67">
        <v>2E-3</v>
      </c>
      <c r="H1961" s="63"/>
    </row>
    <row r="1962" spans="1:8" x14ac:dyDescent="0.25">
      <c r="A1962" s="63"/>
      <c r="B1962" s="63">
        <f>'Padrão EPP'!B1962</f>
        <v>20</v>
      </c>
      <c r="C1962" s="63" t="str">
        <f>'Padrão EPP'!C1962</f>
        <v>PA</v>
      </c>
      <c r="D1962" s="63" t="str">
        <f>'Padrão EPP'!D1962</f>
        <v>INTERIOR</v>
      </c>
      <c r="E1962" s="63">
        <f>'Padrão EPP'!E1962/2</f>
        <v>0</v>
      </c>
      <c r="F1962" s="67">
        <v>3.0000000000000001E-3</v>
      </c>
      <c r="G1962" s="67">
        <v>2E-3</v>
      </c>
      <c r="H1962" s="63"/>
    </row>
    <row r="1963" spans="1:8" x14ac:dyDescent="0.25">
      <c r="A1963" s="63"/>
      <c r="B1963" s="63">
        <f>'Padrão EPP'!B1963</f>
        <v>21</v>
      </c>
      <c r="C1963" s="63" t="str">
        <f>'Padrão EPP'!C1963</f>
        <v>PA</v>
      </c>
      <c r="D1963" s="63" t="str">
        <f>'Padrão EPP'!D1963</f>
        <v>INTERIOR</v>
      </c>
      <c r="E1963" s="63">
        <f>'Padrão EPP'!E1963/2</f>
        <v>0</v>
      </c>
      <c r="F1963" s="67">
        <v>3.0000000000000001E-3</v>
      </c>
      <c r="G1963" s="67">
        <v>2E-3</v>
      </c>
      <c r="H1963" s="63"/>
    </row>
    <row r="1964" spans="1:8" x14ac:dyDescent="0.25">
      <c r="A1964" s="63"/>
      <c r="B1964" s="63">
        <f>'Padrão EPP'!B1964</f>
        <v>22</v>
      </c>
      <c r="C1964" s="63" t="str">
        <f>'Padrão EPP'!C1964</f>
        <v>PA</v>
      </c>
      <c r="D1964" s="63" t="str">
        <f>'Padrão EPP'!D1964</f>
        <v>INTERIOR</v>
      </c>
      <c r="E1964" s="63">
        <f>'Padrão EPP'!E1964/2</f>
        <v>0</v>
      </c>
      <c r="F1964" s="67">
        <v>3.0000000000000001E-3</v>
      </c>
      <c r="G1964" s="67">
        <v>2E-3</v>
      </c>
      <c r="H1964" s="63"/>
    </row>
    <row r="1965" spans="1:8" x14ac:dyDescent="0.25">
      <c r="A1965" s="63"/>
      <c r="B1965" s="63">
        <f>'Padrão EPP'!B1965</f>
        <v>23</v>
      </c>
      <c r="C1965" s="63" t="str">
        <f>'Padrão EPP'!C1965</f>
        <v>PA</v>
      </c>
      <c r="D1965" s="63" t="str">
        <f>'Padrão EPP'!D1965</f>
        <v>INTERIOR</v>
      </c>
      <c r="E1965" s="63">
        <f>'Padrão EPP'!E1965/2</f>
        <v>0</v>
      </c>
      <c r="F1965" s="67">
        <v>3.0000000000000001E-3</v>
      </c>
      <c r="G1965" s="67">
        <v>2E-3</v>
      </c>
      <c r="H1965" s="63"/>
    </row>
    <row r="1966" spans="1:8" x14ac:dyDescent="0.25">
      <c r="A1966" s="63"/>
      <c r="B1966" s="63">
        <f>'Padrão EPP'!B1966</f>
        <v>24</v>
      </c>
      <c r="C1966" s="63" t="str">
        <f>'Padrão EPP'!C1966</f>
        <v>PA</v>
      </c>
      <c r="D1966" s="63" t="str">
        <f>'Padrão EPP'!D1966</f>
        <v>INTERIOR</v>
      </c>
      <c r="E1966" s="63">
        <f>'Padrão EPP'!E1966/2</f>
        <v>0</v>
      </c>
      <c r="F1966" s="67">
        <v>3.0000000000000001E-3</v>
      </c>
      <c r="G1966" s="67">
        <v>2E-3</v>
      </c>
      <c r="H1966" s="63"/>
    </row>
    <row r="1967" spans="1:8" x14ac:dyDescent="0.25">
      <c r="A1967" s="63"/>
      <c r="B1967" s="63">
        <f>'Padrão EPP'!B1967</f>
        <v>25</v>
      </c>
      <c r="C1967" s="63" t="str">
        <f>'Padrão EPP'!C1967</f>
        <v>PA</v>
      </c>
      <c r="D1967" s="63" t="str">
        <f>'Padrão EPP'!D1967</f>
        <v>INTERIOR</v>
      </c>
      <c r="E1967" s="63">
        <f>'Padrão EPP'!E1967/2</f>
        <v>0</v>
      </c>
      <c r="F1967" s="67">
        <v>3.0000000000000001E-3</v>
      </c>
      <c r="G1967" s="67">
        <v>2E-3</v>
      </c>
      <c r="H1967" s="63"/>
    </row>
    <row r="1968" spans="1:8" x14ac:dyDescent="0.25">
      <c r="A1968" s="63"/>
      <c r="B1968" s="63">
        <f>'Padrão EPP'!B1968</f>
        <v>26</v>
      </c>
      <c r="C1968" s="63" t="str">
        <f>'Padrão EPP'!C1968</f>
        <v>PA</v>
      </c>
      <c r="D1968" s="63" t="str">
        <f>'Padrão EPP'!D1968</f>
        <v>INTERIOR</v>
      </c>
      <c r="E1968" s="63">
        <f>'Padrão EPP'!E1968/2</f>
        <v>0</v>
      </c>
      <c r="F1968" s="67">
        <v>3.0000000000000001E-3</v>
      </c>
      <c r="G1968" s="67">
        <v>2E-3</v>
      </c>
      <c r="H1968" s="63"/>
    </row>
    <row r="1969" spans="1:8" x14ac:dyDescent="0.25">
      <c r="A1969" s="63"/>
      <c r="B1969" s="63">
        <f>'Padrão EPP'!B1969</f>
        <v>27</v>
      </c>
      <c r="C1969" s="63" t="str">
        <f>'Padrão EPP'!C1969</f>
        <v>PA</v>
      </c>
      <c r="D1969" s="63" t="str">
        <f>'Padrão EPP'!D1969</f>
        <v>INTERIOR</v>
      </c>
      <c r="E1969" s="63">
        <f>'Padrão EPP'!E1969/2</f>
        <v>0</v>
      </c>
      <c r="F1969" s="67">
        <v>3.0000000000000001E-3</v>
      </c>
      <c r="G1969" s="67">
        <v>2E-3</v>
      </c>
      <c r="H1969" s="63"/>
    </row>
    <row r="1970" spans="1:8" x14ac:dyDescent="0.25">
      <c r="A1970" s="63"/>
      <c r="B1970" s="63">
        <f>'Padrão EPP'!B1970</f>
        <v>28</v>
      </c>
      <c r="C1970" s="63" t="str">
        <f>'Padrão EPP'!C1970</f>
        <v>PA</v>
      </c>
      <c r="D1970" s="63" t="str">
        <f>'Padrão EPP'!D1970</f>
        <v>INTERIOR</v>
      </c>
      <c r="E1970" s="63">
        <f>'Padrão EPP'!E1970/2</f>
        <v>0</v>
      </c>
      <c r="F1970" s="67">
        <v>3.0000000000000001E-3</v>
      </c>
      <c r="G1970" s="67">
        <v>2E-3</v>
      </c>
      <c r="H1970" s="63"/>
    </row>
    <row r="1971" spans="1:8" x14ac:dyDescent="0.25">
      <c r="A1971" s="63"/>
      <c r="B1971" s="63">
        <f>'Padrão EPP'!B1971</f>
        <v>29</v>
      </c>
      <c r="C1971" s="63" t="str">
        <f>'Padrão EPP'!C1971</f>
        <v>PA</v>
      </c>
      <c r="D1971" s="63" t="str">
        <f>'Padrão EPP'!D1971</f>
        <v>INTERIOR</v>
      </c>
      <c r="E1971" s="63">
        <f>'Padrão EPP'!E1971/2</f>
        <v>0</v>
      </c>
      <c r="F1971" s="67">
        <v>3.0000000000000001E-3</v>
      </c>
      <c r="G1971" s="67">
        <v>2E-3</v>
      </c>
      <c r="H1971" s="63"/>
    </row>
    <row r="1972" spans="1:8" x14ac:dyDescent="0.25">
      <c r="A1972" s="63"/>
      <c r="B1972" s="63">
        <f>'Padrão EPP'!B1972</f>
        <v>30</v>
      </c>
      <c r="C1972" s="63" t="str">
        <f>'Padrão EPP'!C1972</f>
        <v>PA</v>
      </c>
      <c r="D1972" s="63" t="str">
        <f>'Padrão EPP'!D1972</f>
        <v>INTERIOR</v>
      </c>
      <c r="E1972" s="63">
        <f>'Padrão EPP'!E1972/2</f>
        <v>0</v>
      </c>
      <c r="F1972" s="67">
        <v>3.0000000000000001E-3</v>
      </c>
      <c r="G1972" s="67">
        <v>2E-3</v>
      </c>
      <c r="H1972" s="63"/>
    </row>
    <row r="1973" spans="1:8" x14ac:dyDescent="0.25">
      <c r="A1973" s="63"/>
      <c r="B1973" s="63">
        <f>'Padrão EPP'!B1973</f>
        <v>0</v>
      </c>
      <c r="C1973" s="63" t="str">
        <f>'Padrão EPP'!C1973</f>
        <v>PA</v>
      </c>
      <c r="D1973" s="63" t="str">
        <f>'Padrão EPP'!D1973</f>
        <v>INTERIOR</v>
      </c>
      <c r="E1973" s="63">
        <f>'Padrão EPP'!E1973/2</f>
        <v>1.5214394455252955</v>
      </c>
      <c r="F1973" s="67">
        <v>3.0000000000000001E-3</v>
      </c>
      <c r="G1973" s="67">
        <v>2E-3</v>
      </c>
      <c r="H1973" s="63"/>
    </row>
    <row r="1974" spans="1:8" x14ac:dyDescent="0.25">
      <c r="A1974" s="63"/>
      <c r="B1974" s="63">
        <f>'Padrão EPP'!B1974</f>
        <v>0.25</v>
      </c>
      <c r="C1974" s="63" t="str">
        <f>'Padrão EPP'!C1974</f>
        <v>PA</v>
      </c>
      <c r="D1974" s="63" t="str">
        <f>'Padrão EPP'!D1974</f>
        <v>INTERIOR II</v>
      </c>
      <c r="E1974" s="63">
        <f>'Padrão EPP'!E1974/2</f>
        <v>14.632505033142595</v>
      </c>
      <c r="F1974" s="67">
        <v>3.0000000000000001E-3</v>
      </c>
      <c r="G1974" s="67">
        <v>2E-3</v>
      </c>
      <c r="H1974" s="63"/>
    </row>
    <row r="1975" spans="1:8" x14ac:dyDescent="0.25">
      <c r="A1975" s="63"/>
      <c r="B1975" s="63">
        <f>'Padrão EPP'!B1975</f>
        <v>0.5</v>
      </c>
      <c r="C1975" s="63" t="str">
        <f>'Padrão EPP'!C1975</f>
        <v>PA</v>
      </c>
      <c r="D1975" s="63" t="str">
        <f>'Padrão EPP'!D1975</f>
        <v>INTERIOR II</v>
      </c>
      <c r="E1975" s="63">
        <f>'Padrão EPP'!E1975/2</f>
        <v>14.904467024457901</v>
      </c>
      <c r="F1975" s="67">
        <v>3.0000000000000001E-3</v>
      </c>
      <c r="G1975" s="67">
        <v>2E-3</v>
      </c>
      <c r="H1975" s="63"/>
    </row>
    <row r="1976" spans="1:8" x14ac:dyDescent="0.25">
      <c r="A1976" s="63"/>
      <c r="B1976" s="63">
        <f>'Padrão EPP'!B1976</f>
        <v>0.75</v>
      </c>
      <c r="C1976" s="63" t="str">
        <f>'Padrão EPP'!C1976</f>
        <v>PA</v>
      </c>
      <c r="D1976" s="63" t="str">
        <f>'Padrão EPP'!D1976</f>
        <v>INTERIOR II</v>
      </c>
      <c r="E1976" s="63">
        <f>'Padrão EPP'!E1976/2</f>
        <v>15.124612183558613</v>
      </c>
      <c r="F1976" s="67">
        <v>3.0000000000000001E-3</v>
      </c>
      <c r="G1976" s="67">
        <v>2E-3</v>
      </c>
      <c r="H1976" s="63"/>
    </row>
    <row r="1977" spans="1:8" x14ac:dyDescent="0.25">
      <c r="A1977" s="63"/>
      <c r="B1977" s="63">
        <f>'Padrão EPP'!B1977</f>
        <v>1</v>
      </c>
      <c r="C1977" s="63" t="str">
        <f>'Padrão EPP'!C1977</f>
        <v>PA</v>
      </c>
      <c r="D1977" s="63" t="str">
        <f>'Padrão EPP'!D1977</f>
        <v>INTERIOR II</v>
      </c>
      <c r="E1977" s="63">
        <f>'Padrão EPP'!E1977/2</f>
        <v>15.382778177539517</v>
      </c>
      <c r="F1977" s="67">
        <v>3.0000000000000001E-3</v>
      </c>
      <c r="G1977" s="67">
        <v>2E-3</v>
      </c>
      <c r="H1977" s="63"/>
    </row>
    <row r="1978" spans="1:8" x14ac:dyDescent="0.25">
      <c r="A1978" s="63"/>
      <c r="B1978" s="63">
        <f>'Padrão EPP'!B1978</f>
        <v>2</v>
      </c>
      <c r="C1978" s="63" t="str">
        <f>'Padrão EPP'!C1978</f>
        <v>PA</v>
      </c>
      <c r="D1978" s="63" t="str">
        <f>'Padrão EPP'!D1978</f>
        <v>INTERIOR II</v>
      </c>
      <c r="E1978" s="63">
        <f>'Padrão EPP'!E1978/2</f>
        <v>19.728981986979488</v>
      </c>
      <c r="F1978" s="67">
        <v>3.0000000000000001E-3</v>
      </c>
      <c r="G1978" s="67">
        <v>2E-3</v>
      </c>
      <c r="H1978" s="63"/>
    </row>
    <row r="1979" spans="1:8" x14ac:dyDescent="0.25">
      <c r="A1979" s="63"/>
      <c r="B1979" s="63">
        <f>'Padrão EPP'!B1979</f>
        <v>3</v>
      </c>
      <c r="C1979" s="63" t="str">
        <f>'Padrão EPP'!C1979</f>
        <v>PA</v>
      </c>
      <c r="D1979" s="63" t="str">
        <f>'Padrão EPP'!D1979</f>
        <v>INTERIOR II</v>
      </c>
      <c r="E1979" s="63">
        <f>'Padrão EPP'!E1979/2</f>
        <v>24.594667596774261</v>
      </c>
      <c r="F1979" s="67">
        <v>3.0000000000000001E-3</v>
      </c>
      <c r="G1979" s="67">
        <v>2E-3</v>
      </c>
      <c r="H1979" s="63"/>
    </row>
    <row r="1980" spans="1:8" x14ac:dyDescent="0.25">
      <c r="A1980" s="63"/>
      <c r="B1980" s="63">
        <f>'Padrão EPP'!B1980</f>
        <v>4</v>
      </c>
      <c r="C1980" s="63" t="str">
        <f>'Padrão EPP'!C1980</f>
        <v>PA</v>
      </c>
      <c r="D1980" s="63" t="str">
        <f>'Padrão EPP'!D1980</f>
        <v>INTERIOR II</v>
      </c>
      <c r="E1980" s="63">
        <f>'Padrão EPP'!E1980/2</f>
        <v>29.510536435936601</v>
      </c>
      <c r="F1980" s="67">
        <v>3.0000000000000001E-3</v>
      </c>
      <c r="G1980" s="67">
        <v>2E-3</v>
      </c>
      <c r="H1980" s="63"/>
    </row>
    <row r="1981" spans="1:8" x14ac:dyDescent="0.25">
      <c r="A1981" s="63"/>
      <c r="B1981" s="63">
        <f>'Padrão EPP'!B1981</f>
        <v>5</v>
      </c>
      <c r="C1981" s="63" t="str">
        <f>'Padrão EPP'!C1981</f>
        <v>PA</v>
      </c>
      <c r="D1981" s="63" t="str">
        <f>'Padrão EPP'!D1981</f>
        <v>INTERIOR II</v>
      </c>
      <c r="E1981" s="63">
        <f>'Padrão EPP'!E1981/2</f>
        <v>34.481606827403212</v>
      </c>
      <c r="F1981" s="67">
        <v>3.0000000000000001E-3</v>
      </c>
      <c r="G1981" s="67">
        <v>2E-3</v>
      </c>
      <c r="H1981" s="63"/>
    </row>
    <row r="1982" spans="1:8" x14ac:dyDescent="0.25">
      <c r="A1982" s="63"/>
      <c r="B1982" s="63">
        <f>'Padrão EPP'!B1982</f>
        <v>6</v>
      </c>
      <c r="C1982" s="63" t="str">
        <f>'Padrão EPP'!C1982</f>
        <v>PA</v>
      </c>
      <c r="D1982" s="63" t="str">
        <f>'Padrão EPP'!D1982</f>
        <v>INTERIOR II</v>
      </c>
      <c r="E1982" s="63">
        <f>'Padrão EPP'!E1982/2</f>
        <v>40.494006907318344</v>
      </c>
      <c r="F1982" s="67">
        <v>3.0000000000000001E-3</v>
      </c>
      <c r="G1982" s="67">
        <v>2E-3</v>
      </c>
      <c r="H1982" s="63"/>
    </row>
    <row r="1983" spans="1:8" x14ac:dyDescent="0.25">
      <c r="A1983" s="63"/>
      <c r="B1983" s="63">
        <f>'Padrão EPP'!B1983</f>
        <v>7</v>
      </c>
      <c r="C1983" s="63" t="str">
        <f>'Padrão EPP'!C1983</f>
        <v>PA</v>
      </c>
      <c r="D1983" s="63" t="str">
        <f>'Padrão EPP'!D1983</f>
        <v>INTERIOR II</v>
      </c>
      <c r="E1983" s="63">
        <f>'Padrão EPP'!E1983/2</f>
        <v>45.201463574733772</v>
      </c>
      <c r="F1983" s="67">
        <v>3.0000000000000001E-3</v>
      </c>
      <c r="G1983" s="67">
        <v>2E-3</v>
      </c>
      <c r="H1983" s="63"/>
    </row>
    <row r="1984" spans="1:8" x14ac:dyDescent="0.25">
      <c r="A1984" s="63"/>
      <c r="B1984" s="63">
        <f>'Padrão EPP'!B1984</f>
        <v>8</v>
      </c>
      <c r="C1984" s="63" t="str">
        <f>'Padrão EPP'!C1984</f>
        <v>PA</v>
      </c>
      <c r="D1984" s="63" t="str">
        <f>'Padrão EPP'!D1984</f>
        <v>INTERIOR II</v>
      </c>
      <c r="E1984" s="63">
        <f>'Padrão EPP'!E1984/2</f>
        <v>49.975077145809699</v>
      </c>
      <c r="F1984" s="67">
        <v>3.0000000000000001E-3</v>
      </c>
      <c r="G1984" s="67">
        <v>2E-3</v>
      </c>
      <c r="H1984" s="63"/>
    </row>
    <row r="1985" spans="1:8" x14ac:dyDescent="0.25">
      <c r="A1985" s="63"/>
      <c r="B1985" s="63">
        <f>'Padrão EPP'!B1985</f>
        <v>9</v>
      </c>
      <c r="C1985" s="63" t="str">
        <f>'Padrão EPP'!C1985</f>
        <v>PA</v>
      </c>
      <c r="D1985" s="63" t="str">
        <f>'Padrão EPP'!D1985</f>
        <v>INTERIOR II</v>
      </c>
      <c r="E1985" s="63">
        <f>'Padrão EPP'!E1985/2</f>
        <v>55.25185905530418</v>
      </c>
      <c r="F1985" s="67">
        <v>3.0000000000000001E-3</v>
      </c>
      <c r="G1985" s="67">
        <v>2E-3</v>
      </c>
      <c r="H1985" s="63"/>
    </row>
    <row r="1986" spans="1:8" x14ac:dyDescent="0.25">
      <c r="A1986" s="63"/>
      <c r="B1986" s="63">
        <f>'Padrão EPP'!B1986</f>
        <v>10</v>
      </c>
      <c r="C1986" s="63" t="str">
        <f>'Padrão EPP'!C1986</f>
        <v>PA</v>
      </c>
      <c r="D1986" s="63" t="str">
        <f>'Padrão EPP'!D1986</f>
        <v>INTERIOR II</v>
      </c>
      <c r="E1986" s="63">
        <f>'Padrão EPP'!E1986/2</f>
        <v>60.061782256599024</v>
      </c>
      <c r="F1986" s="67">
        <v>3.0000000000000001E-3</v>
      </c>
      <c r="G1986" s="67">
        <v>2E-3</v>
      </c>
      <c r="H1986" s="63"/>
    </row>
    <row r="1987" spans="1:8" x14ac:dyDescent="0.25">
      <c r="A1987" s="63"/>
      <c r="B1987" s="63">
        <f>'Padrão EPP'!B1987</f>
        <v>11</v>
      </c>
      <c r="C1987" s="63" t="str">
        <f>'Padrão EPP'!C1987</f>
        <v>PA</v>
      </c>
      <c r="D1987" s="63" t="str">
        <f>'Padrão EPP'!D1987</f>
        <v>INTERIOR II</v>
      </c>
      <c r="E1987" s="63">
        <f>'Padrão EPP'!E1987/2</f>
        <v>0</v>
      </c>
      <c r="F1987" s="67">
        <v>3.0000000000000001E-3</v>
      </c>
      <c r="G1987" s="67">
        <v>2E-3</v>
      </c>
      <c r="H1987" s="63"/>
    </row>
    <row r="1988" spans="1:8" x14ac:dyDescent="0.25">
      <c r="A1988" s="63"/>
      <c r="B1988" s="63">
        <f>'Padrão EPP'!B1988</f>
        <v>12</v>
      </c>
      <c r="C1988" s="63" t="str">
        <f>'Padrão EPP'!C1988</f>
        <v>PA</v>
      </c>
      <c r="D1988" s="63" t="str">
        <f>'Padrão EPP'!D1988</f>
        <v>INTERIOR II</v>
      </c>
      <c r="E1988" s="63">
        <f>'Padrão EPP'!E1988/2</f>
        <v>0</v>
      </c>
      <c r="F1988" s="67">
        <v>3.0000000000000001E-3</v>
      </c>
      <c r="G1988" s="67">
        <v>2E-3</v>
      </c>
      <c r="H1988" s="63"/>
    </row>
    <row r="1989" spans="1:8" x14ac:dyDescent="0.25">
      <c r="A1989" s="63"/>
      <c r="B1989" s="63">
        <f>'Padrão EPP'!B1989</f>
        <v>13</v>
      </c>
      <c r="C1989" s="63" t="str">
        <f>'Padrão EPP'!C1989</f>
        <v>PA</v>
      </c>
      <c r="D1989" s="63" t="str">
        <f>'Padrão EPP'!D1989</f>
        <v>INTERIOR II</v>
      </c>
      <c r="E1989" s="63">
        <f>'Padrão EPP'!E1989/2</f>
        <v>0</v>
      </c>
      <c r="F1989" s="67">
        <v>3.0000000000000001E-3</v>
      </c>
      <c r="G1989" s="67">
        <v>2E-3</v>
      </c>
      <c r="H1989" s="63"/>
    </row>
    <row r="1990" spans="1:8" x14ac:dyDescent="0.25">
      <c r="A1990" s="63"/>
      <c r="B1990" s="63">
        <f>'Padrão EPP'!B1990</f>
        <v>14</v>
      </c>
      <c r="C1990" s="63" t="str">
        <f>'Padrão EPP'!C1990</f>
        <v>PA</v>
      </c>
      <c r="D1990" s="63" t="str">
        <f>'Padrão EPP'!D1990</f>
        <v>INTERIOR II</v>
      </c>
      <c r="E1990" s="63">
        <f>'Padrão EPP'!E1990/2</f>
        <v>0</v>
      </c>
      <c r="F1990" s="67">
        <v>3.0000000000000001E-3</v>
      </c>
      <c r="G1990" s="67">
        <v>2E-3</v>
      </c>
      <c r="H1990" s="63"/>
    </row>
    <row r="1991" spans="1:8" x14ac:dyDescent="0.25">
      <c r="A1991" s="63"/>
      <c r="B1991" s="63">
        <f>'Padrão EPP'!B1991</f>
        <v>15</v>
      </c>
      <c r="C1991" s="63" t="str">
        <f>'Padrão EPP'!C1991</f>
        <v>PA</v>
      </c>
      <c r="D1991" s="63" t="str">
        <f>'Padrão EPP'!D1991</f>
        <v>INTERIOR II</v>
      </c>
      <c r="E1991" s="63">
        <f>'Padrão EPP'!E1991/2</f>
        <v>0</v>
      </c>
      <c r="F1991" s="67">
        <v>3.0000000000000001E-3</v>
      </c>
      <c r="G1991" s="67">
        <v>2E-3</v>
      </c>
      <c r="H1991" s="63"/>
    </row>
    <row r="1992" spans="1:8" x14ac:dyDescent="0.25">
      <c r="A1992" s="63"/>
      <c r="B1992" s="63">
        <f>'Padrão EPP'!B1992</f>
        <v>16</v>
      </c>
      <c r="C1992" s="63" t="str">
        <f>'Padrão EPP'!C1992</f>
        <v>PA</v>
      </c>
      <c r="D1992" s="63" t="str">
        <f>'Padrão EPP'!D1992</f>
        <v>INTERIOR II</v>
      </c>
      <c r="E1992" s="63">
        <f>'Padrão EPP'!E1992/2</f>
        <v>0</v>
      </c>
      <c r="F1992" s="67">
        <v>3.0000000000000001E-3</v>
      </c>
      <c r="G1992" s="67">
        <v>2E-3</v>
      </c>
      <c r="H1992" s="63"/>
    </row>
    <row r="1993" spans="1:8" x14ac:dyDescent="0.25">
      <c r="A1993" s="63"/>
      <c r="B1993" s="63">
        <f>'Padrão EPP'!B1993</f>
        <v>17</v>
      </c>
      <c r="C1993" s="63" t="str">
        <f>'Padrão EPP'!C1993</f>
        <v>PA</v>
      </c>
      <c r="D1993" s="63" t="str">
        <f>'Padrão EPP'!D1993</f>
        <v>INTERIOR II</v>
      </c>
      <c r="E1993" s="63">
        <f>'Padrão EPP'!E1993/2</f>
        <v>0</v>
      </c>
      <c r="F1993" s="67">
        <v>3.0000000000000001E-3</v>
      </c>
      <c r="G1993" s="67">
        <v>2E-3</v>
      </c>
      <c r="H1993" s="63"/>
    </row>
    <row r="1994" spans="1:8" x14ac:dyDescent="0.25">
      <c r="A1994" s="63"/>
      <c r="B1994" s="63">
        <f>'Padrão EPP'!B1994</f>
        <v>18</v>
      </c>
      <c r="C1994" s="63" t="str">
        <f>'Padrão EPP'!C1994</f>
        <v>PA</v>
      </c>
      <c r="D1994" s="63" t="str">
        <f>'Padrão EPP'!D1994</f>
        <v>INTERIOR II</v>
      </c>
      <c r="E1994" s="63">
        <f>'Padrão EPP'!E1994/2</f>
        <v>0</v>
      </c>
      <c r="F1994" s="67">
        <v>3.0000000000000001E-3</v>
      </c>
      <c r="G1994" s="67">
        <v>2E-3</v>
      </c>
      <c r="H1994" s="63"/>
    </row>
    <row r="1995" spans="1:8" x14ac:dyDescent="0.25">
      <c r="A1995" s="63"/>
      <c r="B1995" s="63">
        <f>'Padrão EPP'!B1995</f>
        <v>19</v>
      </c>
      <c r="C1995" s="63" t="str">
        <f>'Padrão EPP'!C1995</f>
        <v>PA</v>
      </c>
      <c r="D1995" s="63" t="str">
        <f>'Padrão EPP'!D1995</f>
        <v>INTERIOR II</v>
      </c>
      <c r="E1995" s="63">
        <f>'Padrão EPP'!E1995/2</f>
        <v>0</v>
      </c>
      <c r="F1995" s="67">
        <v>3.0000000000000001E-3</v>
      </c>
      <c r="G1995" s="67">
        <v>2E-3</v>
      </c>
      <c r="H1995" s="63"/>
    </row>
    <row r="1996" spans="1:8" x14ac:dyDescent="0.25">
      <c r="A1996" s="63"/>
      <c r="B1996" s="63">
        <f>'Padrão EPP'!B1996</f>
        <v>20</v>
      </c>
      <c r="C1996" s="63" t="str">
        <f>'Padrão EPP'!C1996</f>
        <v>PA</v>
      </c>
      <c r="D1996" s="63" t="str">
        <f>'Padrão EPP'!D1996</f>
        <v>INTERIOR II</v>
      </c>
      <c r="E1996" s="63">
        <f>'Padrão EPP'!E1996/2</f>
        <v>0</v>
      </c>
      <c r="F1996" s="67">
        <v>3.0000000000000001E-3</v>
      </c>
      <c r="G1996" s="67">
        <v>2E-3</v>
      </c>
      <c r="H1996" s="63"/>
    </row>
    <row r="1997" spans="1:8" x14ac:dyDescent="0.25">
      <c r="A1997" s="63"/>
      <c r="B1997" s="63">
        <f>'Padrão EPP'!B1997</f>
        <v>21</v>
      </c>
      <c r="C1997" s="63" t="str">
        <f>'Padrão EPP'!C1997</f>
        <v>PA</v>
      </c>
      <c r="D1997" s="63" t="str">
        <f>'Padrão EPP'!D1997</f>
        <v>INTERIOR II</v>
      </c>
      <c r="E1997" s="63">
        <f>'Padrão EPP'!E1997/2</f>
        <v>0</v>
      </c>
      <c r="F1997" s="67">
        <v>3.0000000000000001E-3</v>
      </c>
      <c r="G1997" s="67">
        <v>2E-3</v>
      </c>
      <c r="H1997" s="63"/>
    </row>
    <row r="1998" spans="1:8" x14ac:dyDescent="0.25">
      <c r="A1998" s="63"/>
      <c r="B1998" s="63">
        <f>'Padrão EPP'!B1998</f>
        <v>22</v>
      </c>
      <c r="C1998" s="63" t="str">
        <f>'Padrão EPP'!C1998</f>
        <v>PA</v>
      </c>
      <c r="D1998" s="63" t="str">
        <f>'Padrão EPP'!D1998</f>
        <v>INTERIOR II</v>
      </c>
      <c r="E1998" s="63">
        <f>'Padrão EPP'!E1998/2</f>
        <v>0</v>
      </c>
      <c r="F1998" s="67">
        <v>3.0000000000000001E-3</v>
      </c>
      <c r="G1998" s="67">
        <v>2E-3</v>
      </c>
      <c r="H1998" s="63"/>
    </row>
    <row r="1999" spans="1:8" x14ac:dyDescent="0.25">
      <c r="A1999" s="63"/>
      <c r="B1999" s="63">
        <f>'Padrão EPP'!B1999</f>
        <v>23</v>
      </c>
      <c r="C1999" s="63" t="str">
        <f>'Padrão EPP'!C1999</f>
        <v>PA</v>
      </c>
      <c r="D1999" s="63" t="str">
        <f>'Padrão EPP'!D1999</f>
        <v>INTERIOR II</v>
      </c>
      <c r="E1999" s="63">
        <f>'Padrão EPP'!E1999/2</f>
        <v>0</v>
      </c>
      <c r="F1999" s="67">
        <v>3.0000000000000001E-3</v>
      </c>
      <c r="G1999" s="67">
        <v>2E-3</v>
      </c>
      <c r="H1999" s="63"/>
    </row>
    <row r="2000" spans="1:8" x14ac:dyDescent="0.25">
      <c r="A2000" s="63"/>
      <c r="B2000" s="63">
        <f>'Padrão EPP'!B2000</f>
        <v>24</v>
      </c>
      <c r="C2000" s="63" t="str">
        <f>'Padrão EPP'!C2000</f>
        <v>PA</v>
      </c>
      <c r="D2000" s="63" t="str">
        <f>'Padrão EPP'!D2000</f>
        <v>INTERIOR II</v>
      </c>
      <c r="E2000" s="63">
        <f>'Padrão EPP'!E2000/2</f>
        <v>0</v>
      </c>
      <c r="F2000" s="67">
        <v>3.0000000000000001E-3</v>
      </c>
      <c r="G2000" s="67">
        <v>2E-3</v>
      </c>
      <c r="H2000" s="63"/>
    </row>
    <row r="2001" spans="1:8" x14ac:dyDescent="0.25">
      <c r="A2001" s="63"/>
      <c r="B2001" s="63">
        <f>'Padrão EPP'!B2001</f>
        <v>25</v>
      </c>
      <c r="C2001" s="63" t="str">
        <f>'Padrão EPP'!C2001</f>
        <v>PA</v>
      </c>
      <c r="D2001" s="63" t="str">
        <f>'Padrão EPP'!D2001</f>
        <v>INTERIOR II</v>
      </c>
      <c r="E2001" s="63">
        <f>'Padrão EPP'!E2001/2</f>
        <v>0</v>
      </c>
      <c r="F2001" s="67">
        <v>3.0000000000000001E-3</v>
      </c>
      <c r="G2001" s="67">
        <v>2E-3</v>
      </c>
      <c r="H2001" s="63"/>
    </row>
    <row r="2002" spans="1:8" x14ac:dyDescent="0.25">
      <c r="A2002" s="63"/>
      <c r="B2002" s="63">
        <f>'Padrão EPP'!B2002</f>
        <v>26</v>
      </c>
      <c r="C2002" s="63" t="str">
        <f>'Padrão EPP'!C2002</f>
        <v>PA</v>
      </c>
      <c r="D2002" s="63" t="str">
        <f>'Padrão EPP'!D2002</f>
        <v>INTERIOR II</v>
      </c>
      <c r="E2002" s="63">
        <f>'Padrão EPP'!E2002/2</f>
        <v>0</v>
      </c>
      <c r="F2002" s="67">
        <v>3.0000000000000001E-3</v>
      </c>
      <c r="G2002" s="67">
        <v>2E-3</v>
      </c>
      <c r="H2002" s="63"/>
    </row>
    <row r="2003" spans="1:8" x14ac:dyDescent="0.25">
      <c r="A2003" s="63"/>
      <c r="B2003" s="63">
        <f>'Padrão EPP'!B2003</f>
        <v>27</v>
      </c>
      <c r="C2003" s="63" t="str">
        <f>'Padrão EPP'!C2003</f>
        <v>PA</v>
      </c>
      <c r="D2003" s="63" t="str">
        <f>'Padrão EPP'!D2003</f>
        <v>INTERIOR II</v>
      </c>
      <c r="E2003" s="63">
        <f>'Padrão EPP'!E2003/2</f>
        <v>0</v>
      </c>
      <c r="F2003" s="67">
        <v>3.0000000000000001E-3</v>
      </c>
      <c r="G2003" s="67">
        <v>2E-3</v>
      </c>
      <c r="H2003" s="63"/>
    </row>
    <row r="2004" spans="1:8" x14ac:dyDescent="0.25">
      <c r="A2004" s="63"/>
      <c r="B2004" s="63">
        <f>'Padrão EPP'!B2004</f>
        <v>28</v>
      </c>
      <c r="C2004" s="63" t="str">
        <f>'Padrão EPP'!C2004</f>
        <v>PA</v>
      </c>
      <c r="D2004" s="63" t="str">
        <f>'Padrão EPP'!D2004</f>
        <v>INTERIOR II</v>
      </c>
      <c r="E2004" s="63">
        <f>'Padrão EPP'!E2004/2</f>
        <v>0</v>
      </c>
      <c r="F2004" s="67">
        <v>3.0000000000000001E-3</v>
      </c>
      <c r="G2004" s="67">
        <v>2E-3</v>
      </c>
      <c r="H2004" s="63"/>
    </row>
    <row r="2005" spans="1:8" x14ac:dyDescent="0.25">
      <c r="A2005" s="63"/>
      <c r="B2005" s="63">
        <f>'Padrão EPP'!B2005</f>
        <v>29</v>
      </c>
      <c r="C2005" s="63" t="str">
        <f>'Padrão EPP'!C2005</f>
        <v>PA</v>
      </c>
      <c r="D2005" s="63" t="str">
        <f>'Padrão EPP'!D2005</f>
        <v>INTERIOR II</v>
      </c>
      <c r="E2005" s="63">
        <f>'Padrão EPP'!E2005/2</f>
        <v>0</v>
      </c>
      <c r="F2005" s="67">
        <v>3.0000000000000001E-3</v>
      </c>
      <c r="G2005" s="67">
        <v>2E-3</v>
      </c>
      <c r="H2005" s="63"/>
    </row>
    <row r="2006" spans="1:8" x14ac:dyDescent="0.25">
      <c r="A2006" s="63"/>
      <c r="B2006" s="63">
        <f>'Padrão EPP'!B2006</f>
        <v>30</v>
      </c>
      <c r="C2006" s="63" t="str">
        <f>'Padrão EPP'!C2006</f>
        <v>PA</v>
      </c>
      <c r="D2006" s="63" t="str">
        <f>'Padrão EPP'!D2006</f>
        <v>INTERIOR II</v>
      </c>
      <c r="E2006" s="63">
        <f>'Padrão EPP'!E2006/2</f>
        <v>0</v>
      </c>
      <c r="F2006" s="67">
        <v>3.0000000000000001E-3</v>
      </c>
      <c r="G2006" s="67">
        <v>2E-3</v>
      </c>
      <c r="H2006" s="63"/>
    </row>
    <row r="2007" spans="1:8" x14ac:dyDescent="0.25">
      <c r="A2007" s="63"/>
      <c r="B2007" s="63">
        <f>'Padrão EPP'!B2007</f>
        <v>0</v>
      </c>
      <c r="C2007" s="63" t="str">
        <f>'Padrão EPP'!C2007</f>
        <v>PA</v>
      </c>
      <c r="D2007" s="63" t="str">
        <f>'Padrão EPP'!D2007</f>
        <v>INTERIOR II</v>
      </c>
      <c r="E2007" s="63">
        <f>'Padrão EPP'!E2007/2</f>
        <v>1.5214394455252955</v>
      </c>
      <c r="F2007" s="67">
        <v>3.0000000000000001E-3</v>
      </c>
      <c r="G2007" s="67">
        <v>2E-3</v>
      </c>
      <c r="H2007" s="63"/>
    </row>
    <row r="2008" spans="1:8" x14ac:dyDescent="0.25">
      <c r="A2008" s="63"/>
      <c r="B2008" s="63">
        <f>'Padrão EPP'!B2008</f>
        <v>0.25</v>
      </c>
      <c r="C2008" s="63" t="str">
        <f>'Padrão EPP'!C2008</f>
        <v>PA</v>
      </c>
      <c r="D2008" s="63" t="str">
        <f>'Padrão EPP'!D2008</f>
        <v>REDESPACHO</v>
      </c>
      <c r="E2008" s="63">
        <f>'Padrão EPP'!E2008/2</f>
        <v>24.682547573618933</v>
      </c>
      <c r="F2008" s="67">
        <v>3.0000000000000001E-3</v>
      </c>
      <c r="G2008" s="67">
        <v>2E-3</v>
      </c>
      <c r="H2008" s="63"/>
    </row>
    <row r="2009" spans="1:8" x14ac:dyDescent="0.25">
      <c r="A2009" s="63"/>
      <c r="B2009" s="63">
        <f>'Padrão EPP'!B2009</f>
        <v>0.5</v>
      </c>
      <c r="C2009" s="63" t="str">
        <f>'Padrão EPP'!C2009</f>
        <v>PA</v>
      </c>
      <c r="D2009" s="63" t="str">
        <f>'Padrão EPP'!D2009</f>
        <v>REDESPACHO</v>
      </c>
      <c r="E2009" s="63">
        <f>'Padrão EPP'!E2009/2</f>
        <v>25.385444360978706</v>
      </c>
      <c r="F2009" s="67">
        <v>3.0000000000000001E-3</v>
      </c>
      <c r="G2009" s="67">
        <v>2E-3</v>
      </c>
      <c r="H2009" s="63"/>
    </row>
    <row r="2010" spans="1:8" x14ac:dyDescent="0.25">
      <c r="A2010" s="63"/>
      <c r="B2010" s="63">
        <f>'Padrão EPP'!B2010</f>
        <v>0.75</v>
      </c>
      <c r="C2010" s="63" t="str">
        <f>'Padrão EPP'!C2010</f>
        <v>PA</v>
      </c>
      <c r="D2010" s="63" t="str">
        <f>'Padrão EPP'!D2010</f>
        <v>REDESPACHO</v>
      </c>
      <c r="E2010" s="63">
        <f>'Padrão EPP'!E2010/2</f>
        <v>26.100217157554262</v>
      </c>
      <c r="F2010" s="67">
        <v>3.0000000000000001E-3</v>
      </c>
      <c r="G2010" s="67">
        <v>2E-3</v>
      </c>
      <c r="H2010" s="63"/>
    </row>
    <row r="2011" spans="1:8" x14ac:dyDescent="0.25">
      <c r="A2011" s="63"/>
      <c r="B2011" s="63">
        <f>'Padrão EPP'!B2011</f>
        <v>1</v>
      </c>
      <c r="C2011" s="63" t="str">
        <f>'Padrão EPP'!C2011</f>
        <v>PA</v>
      </c>
      <c r="D2011" s="63" t="str">
        <f>'Padrão EPP'!D2011</f>
        <v>REDESPACHO</v>
      </c>
      <c r="E2011" s="63">
        <f>'Padrão EPP'!E2011/2</f>
        <v>26.206064048034612</v>
      </c>
      <c r="F2011" s="67">
        <v>3.0000000000000001E-3</v>
      </c>
      <c r="G2011" s="67">
        <v>2E-3</v>
      </c>
      <c r="H2011" s="63"/>
    </row>
    <row r="2012" spans="1:8" x14ac:dyDescent="0.25">
      <c r="A2012" s="63"/>
      <c r="B2012" s="63">
        <f>'Padrão EPP'!B2012</f>
        <v>2</v>
      </c>
      <c r="C2012" s="63" t="str">
        <f>'Padrão EPP'!C2012</f>
        <v>PA</v>
      </c>
      <c r="D2012" s="63" t="str">
        <f>'Padrão EPP'!D2012</f>
        <v>REDESPACHO</v>
      </c>
      <c r="E2012" s="63">
        <f>'Padrão EPP'!E2012/2</f>
        <v>29.521714474024847</v>
      </c>
      <c r="F2012" s="67">
        <v>3.0000000000000001E-3</v>
      </c>
      <c r="G2012" s="67">
        <v>2E-3</v>
      </c>
      <c r="H2012" s="63"/>
    </row>
    <row r="2013" spans="1:8" x14ac:dyDescent="0.25">
      <c r="A2013" s="63"/>
      <c r="B2013" s="63">
        <f>'Padrão EPP'!B2013</f>
        <v>3</v>
      </c>
      <c r="C2013" s="63" t="str">
        <f>'Padrão EPP'!C2013</f>
        <v>PA</v>
      </c>
      <c r="D2013" s="63" t="str">
        <f>'Padrão EPP'!D2013</f>
        <v>REDESPACHO</v>
      </c>
      <c r="E2013" s="63">
        <f>'Padrão EPP'!E2013/2</f>
        <v>35.835296858927336</v>
      </c>
      <c r="F2013" s="67">
        <v>3.0000000000000001E-3</v>
      </c>
      <c r="G2013" s="67">
        <v>2E-3</v>
      </c>
      <c r="H2013" s="63"/>
    </row>
    <row r="2014" spans="1:8" x14ac:dyDescent="0.25">
      <c r="A2014" s="63"/>
      <c r="B2014" s="63">
        <f>'Padrão EPP'!B2014</f>
        <v>4</v>
      </c>
      <c r="C2014" s="63" t="str">
        <f>'Padrão EPP'!C2014</f>
        <v>PA</v>
      </c>
      <c r="D2014" s="63" t="str">
        <f>'Padrão EPP'!D2014</f>
        <v>REDESPACHO</v>
      </c>
      <c r="E2014" s="63">
        <f>'Padrão EPP'!E2014/2</f>
        <v>40.541342169820062</v>
      </c>
      <c r="F2014" s="67">
        <v>3.0000000000000001E-3</v>
      </c>
      <c r="G2014" s="67">
        <v>2E-3</v>
      </c>
      <c r="H2014" s="63"/>
    </row>
    <row r="2015" spans="1:8" x14ac:dyDescent="0.25">
      <c r="A2015" s="63"/>
      <c r="B2015" s="63">
        <f>'Padrão EPP'!B2015</f>
        <v>5</v>
      </c>
      <c r="C2015" s="63" t="str">
        <f>'Padrão EPP'!C2015</f>
        <v>PA</v>
      </c>
      <c r="D2015" s="63" t="str">
        <f>'Padrão EPP'!D2015</f>
        <v>REDESPACHO</v>
      </c>
      <c r="E2015" s="63">
        <f>'Padrão EPP'!E2015/2</f>
        <v>44.697260761802099</v>
      </c>
      <c r="F2015" s="67">
        <v>3.0000000000000001E-3</v>
      </c>
      <c r="G2015" s="67">
        <v>2E-3</v>
      </c>
      <c r="H2015" s="63"/>
    </row>
    <row r="2016" spans="1:8" x14ac:dyDescent="0.25">
      <c r="A2016" s="63"/>
      <c r="B2016" s="63">
        <f>'Padrão EPP'!B2016</f>
        <v>6</v>
      </c>
      <c r="C2016" s="63" t="str">
        <f>'Padrão EPP'!C2016</f>
        <v>PA</v>
      </c>
      <c r="D2016" s="63" t="str">
        <f>'Padrão EPP'!D2016</f>
        <v>REDESPACHO</v>
      </c>
      <c r="E2016" s="63">
        <f>'Padrão EPP'!E2016/2</f>
        <v>50.320079862559147</v>
      </c>
      <c r="F2016" s="67">
        <v>3.0000000000000001E-3</v>
      </c>
      <c r="G2016" s="67">
        <v>2E-3</v>
      </c>
      <c r="H2016" s="63"/>
    </row>
    <row r="2017" spans="1:8" x14ac:dyDescent="0.25">
      <c r="A2017" s="63"/>
      <c r="B2017" s="63">
        <f>'Padrão EPP'!B2017</f>
        <v>7</v>
      </c>
      <c r="C2017" s="63" t="str">
        <f>'Padrão EPP'!C2017</f>
        <v>PA</v>
      </c>
      <c r="D2017" s="63" t="str">
        <f>'Padrão EPP'!D2017</f>
        <v>REDESPACHO</v>
      </c>
      <c r="E2017" s="63">
        <f>'Padrão EPP'!E2017/2</f>
        <v>55.810673367924771</v>
      </c>
      <c r="F2017" s="67">
        <v>3.0000000000000001E-3</v>
      </c>
      <c r="G2017" s="67">
        <v>2E-3</v>
      </c>
      <c r="H2017" s="63"/>
    </row>
    <row r="2018" spans="1:8" x14ac:dyDescent="0.25">
      <c r="A2018" s="63"/>
      <c r="B2018" s="63">
        <f>'Padrão EPP'!B2018</f>
        <v>8</v>
      </c>
      <c r="C2018" s="63" t="str">
        <f>'Padrão EPP'!C2018</f>
        <v>PA</v>
      </c>
      <c r="D2018" s="63" t="str">
        <f>'Padrão EPP'!D2018</f>
        <v>REDESPACHO</v>
      </c>
      <c r="E2018" s="63">
        <f>'Padrão EPP'!E2018/2</f>
        <v>62.363374509946695</v>
      </c>
      <c r="F2018" s="67">
        <v>3.0000000000000001E-3</v>
      </c>
      <c r="G2018" s="67">
        <v>2E-3</v>
      </c>
      <c r="H2018" s="63"/>
    </row>
    <row r="2019" spans="1:8" x14ac:dyDescent="0.25">
      <c r="A2019" s="63"/>
      <c r="B2019" s="63">
        <f>'Padrão EPP'!B2019</f>
        <v>9</v>
      </c>
      <c r="C2019" s="63" t="str">
        <f>'Padrão EPP'!C2019</f>
        <v>PA</v>
      </c>
      <c r="D2019" s="63" t="str">
        <f>'Padrão EPP'!D2019</f>
        <v>REDESPACHO</v>
      </c>
      <c r="E2019" s="63">
        <f>'Padrão EPP'!E2019/2</f>
        <v>72.068213284026569</v>
      </c>
      <c r="F2019" s="67">
        <v>3.0000000000000001E-3</v>
      </c>
      <c r="G2019" s="67">
        <v>2E-3</v>
      </c>
      <c r="H2019" s="63"/>
    </row>
    <row r="2020" spans="1:8" x14ac:dyDescent="0.25">
      <c r="A2020" s="63"/>
      <c r="B2020" s="63">
        <f>'Padrão EPP'!B2020</f>
        <v>10</v>
      </c>
      <c r="C2020" s="63" t="str">
        <f>'Padrão EPP'!C2020</f>
        <v>PA</v>
      </c>
      <c r="D2020" s="63" t="str">
        <f>'Padrão EPP'!D2020</f>
        <v>REDESPACHO</v>
      </c>
      <c r="E2020" s="63">
        <f>'Padrão EPP'!E2020/2</f>
        <v>78.877315160082176</v>
      </c>
      <c r="F2020" s="67">
        <v>3.0000000000000001E-3</v>
      </c>
      <c r="G2020" s="67">
        <v>2E-3</v>
      </c>
      <c r="H2020" s="63"/>
    </row>
    <row r="2021" spans="1:8" x14ac:dyDescent="0.25">
      <c r="A2021" s="63"/>
      <c r="B2021" s="63">
        <f>'Padrão EPP'!B2021</f>
        <v>11</v>
      </c>
      <c r="C2021" s="63" t="str">
        <f>'Padrão EPP'!C2021</f>
        <v>PA</v>
      </c>
      <c r="D2021" s="63" t="str">
        <f>'Padrão EPP'!D2021</f>
        <v>REDESPACHO</v>
      </c>
      <c r="E2021" s="63">
        <f>'Padrão EPP'!E2021/2</f>
        <v>0</v>
      </c>
      <c r="F2021" s="67">
        <v>3.0000000000000001E-3</v>
      </c>
      <c r="G2021" s="67">
        <v>2E-3</v>
      </c>
      <c r="H2021" s="63"/>
    </row>
    <row r="2022" spans="1:8" x14ac:dyDescent="0.25">
      <c r="A2022" s="63"/>
      <c r="B2022" s="63">
        <f>'Padrão EPP'!B2022</f>
        <v>12</v>
      </c>
      <c r="C2022" s="63" t="str">
        <f>'Padrão EPP'!C2022</f>
        <v>PA</v>
      </c>
      <c r="D2022" s="63" t="str">
        <f>'Padrão EPP'!D2022</f>
        <v>REDESPACHO</v>
      </c>
      <c r="E2022" s="63">
        <f>'Padrão EPP'!E2022/2</f>
        <v>0</v>
      </c>
      <c r="F2022" s="67">
        <v>3.0000000000000001E-3</v>
      </c>
      <c r="G2022" s="67">
        <v>2E-3</v>
      </c>
      <c r="H2022" s="63"/>
    </row>
    <row r="2023" spans="1:8" x14ac:dyDescent="0.25">
      <c r="A2023" s="63"/>
      <c r="B2023" s="63">
        <f>'Padrão EPP'!B2023</f>
        <v>13</v>
      </c>
      <c r="C2023" s="63" t="str">
        <f>'Padrão EPP'!C2023</f>
        <v>PA</v>
      </c>
      <c r="D2023" s="63" t="str">
        <f>'Padrão EPP'!D2023</f>
        <v>REDESPACHO</v>
      </c>
      <c r="E2023" s="63">
        <f>'Padrão EPP'!E2023/2</f>
        <v>0</v>
      </c>
      <c r="F2023" s="67">
        <v>3.0000000000000001E-3</v>
      </c>
      <c r="G2023" s="67">
        <v>2E-3</v>
      </c>
      <c r="H2023" s="63"/>
    </row>
    <row r="2024" spans="1:8" x14ac:dyDescent="0.25">
      <c r="A2024" s="63"/>
      <c r="B2024" s="63">
        <f>'Padrão EPP'!B2024</f>
        <v>14</v>
      </c>
      <c r="C2024" s="63" t="str">
        <f>'Padrão EPP'!C2024</f>
        <v>PA</v>
      </c>
      <c r="D2024" s="63" t="str">
        <f>'Padrão EPP'!D2024</f>
        <v>REDESPACHO</v>
      </c>
      <c r="E2024" s="63">
        <f>'Padrão EPP'!E2024/2</f>
        <v>0</v>
      </c>
      <c r="F2024" s="67">
        <v>3.0000000000000001E-3</v>
      </c>
      <c r="G2024" s="67">
        <v>2E-3</v>
      </c>
      <c r="H2024" s="63"/>
    </row>
    <row r="2025" spans="1:8" x14ac:dyDescent="0.25">
      <c r="A2025" s="63"/>
      <c r="B2025" s="63">
        <f>'Padrão EPP'!B2025</f>
        <v>15</v>
      </c>
      <c r="C2025" s="63" t="str">
        <f>'Padrão EPP'!C2025</f>
        <v>PA</v>
      </c>
      <c r="D2025" s="63" t="str">
        <f>'Padrão EPP'!D2025</f>
        <v>REDESPACHO</v>
      </c>
      <c r="E2025" s="63">
        <f>'Padrão EPP'!E2025/2</f>
        <v>0</v>
      </c>
      <c r="F2025" s="67">
        <v>3.0000000000000001E-3</v>
      </c>
      <c r="G2025" s="67">
        <v>2E-3</v>
      </c>
      <c r="H2025" s="63"/>
    </row>
    <row r="2026" spans="1:8" x14ac:dyDescent="0.25">
      <c r="A2026" s="63"/>
      <c r="B2026" s="63">
        <f>'Padrão EPP'!B2026</f>
        <v>16</v>
      </c>
      <c r="C2026" s="63" t="str">
        <f>'Padrão EPP'!C2026</f>
        <v>PA</v>
      </c>
      <c r="D2026" s="63" t="str">
        <f>'Padrão EPP'!D2026</f>
        <v>REDESPACHO</v>
      </c>
      <c r="E2026" s="63">
        <f>'Padrão EPP'!E2026/2</f>
        <v>0</v>
      </c>
      <c r="F2026" s="67">
        <v>3.0000000000000001E-3</v>
      </c>
      <c r="G2026" s="67">
        <v>2E-3</v>
      </c>
      <c r="H2026" s="63"/>
    </row>
    <row r="2027" spans="1:8" x14ac:dyDescent="0.25">
      <c r="A2027" s="63"/>
      <c r="B2027" s="63">
        <f>'Padrão EPP'!B2027</f>
        <v>17</v>
      </c>
      <c r="C2027" s="63" t="str">
        <f>'Padrão EPP'!C2027</f>
        <v>PA</v>
      </c>
      <c r="D2027" s="63" t="str">
        <f>'Padrão EPP'!D2027</f>
        <v>REDESPACHO</v>
      </c>
      <c r="E2027" s="63">
        <f>'Padrão EPP'!E2027/2</f>
        <v>0</v>
      </c>
      <c r="F2027" s="67">
        <v>3.0000000000000001E-3</v>
      </c>
      <c r="G2027" s="67">
        <v>2E-3</v>
      </c>
      <c r="H2027" s="63"/>
    </row>
    <row r="2028" spans="1:8" x14ac:dyDescent="0.25">
      <c r="A2028" s="63"/>
      <c r="B2028" s="63">
        <f>'Padrão EPP'!B2028</f>
        <v>18</v>
      </c>
      <c r="C2028" s="63" t="str">
        <f>'Padrão EPP'!C2028</f>
        <v>PA</v>
      </c>
      <c r="D2028" s="63" t="str">
        <f>'Padrão EPP'!D2028</f>
        <v>REDESPACHO</v>
      </c>
      <c r="E2028" s="63">
        <f>'Padrão EPP'!E2028/2</f>
        <v>0</v>
      </c>
      <c r="F2028" s="67">
        <v>3.0000000000000001E-3</v>
      </c>
      <c r="G2028" s="67">
        <v>2E-3</v>
      </c>
      <c r="H2028" s="63"/>
    </row>
    <row r="2029" spans="1:8" x14ac:dyDescent="0.25">
      <c r="A2029" s="63"/>
      <c r="B2029" s="63">
        <f>'Padrão EPP'!B2029</f>
        <v>19</v>
      </c>
      <c r="C2029" s="63" t="str">
        <f>'Padrão EPP'!C2029</f>
        <v>PA</v>
      </c>
      <c r="D2029" s="63" t="str">
        <f>'Padrão EPP'!D2029</f>
        <v>REDESPACHO</v>
      </c>
      <c r="E2029" s="63">
        <f>'Padrão EPP'!E2029/2</f>
        <v>0</v>
      </c>
      <c r="F2029" s="67">
        <v>3.0000000000000001E-3</v>
      </c>
      <c r="G2029" s="67">
        <v>2E-3</v>
      </c>
      <c r="H2029" s="63"/>
    </row>
    <row r="2030" spans="1:8" x14ac:dyDescent="0.25">
      <c r="A2030" s="63"/>
      <c r="B2030" s="63">
        <f>'Padrão EPP'!B2030</f>
        <v>20</v>
      </c>
      <c r="C2030" s="63" t="str">
        <f>'Padrão EPP'!C2030</f>
        <v>PA</v>
      </c>
      <c r="D2030" s="63" t="str">
        <f>'Padrão EPP'!D2030</f>
        <v>REDESPACHO</v>
      </c>
      <c r="E2030" s="63">
        <f>'Padrão EPP'!E2030/2</f>
        <v>0</v>
      </c>
      <c r="F2030" s="67">
        <v>3.0000000000000001E-3</v>
      </c>
      <c r="G2030" s="67">
        <v>2E-3</v>
      </c>
      <c r="H2030" s="63"/>
    </row>
    <row r="2031" spans="1:8" x14ac:dyDescent="0.25">
      <c r="A2031" s="63"/>
      <c r="B2031" s="63">
        <f>'Padrão EPP'!B2031</f>
        <v>21</v>
      </c>
      <c r="C2031" s="63" t="str">
        <f>'Padrão EPP'!C2031</f>
        <v>PA</v>
      </c>
      <c r="D2031" s="63" t="str">
        <f>'Padrão EPP'!D2031</f>
        <v>REDESPACHO</v>
      </c>
      <c r="E2031" s="63">
        <f>'Padrão EPP'!E2031/2</f>
        <v>0</v>
      </c>
      <c r="F2031" s="67">
        <v>3.0000000000000001E-3</v>
      </c>
      <c r="G2031" s="67">
        <v>2E-3</v>
      </c>
      <c r="H2031" s="63"/>
    </row>
    <row r="2032" spans="1:8" x14ac:dyDescent="0.25">
      <c r="A2032" s="63"/>
      <c r="B2032" s="63">
        <f>'Padrão EPP'!B2032</f>
        <v>22</v>
      </c>
      <c r="C2032" s="63" t="str">
        <f>'Padrão EPP'!C2032</f>
        <v>PA</v>
      </c>
      <c r="D2032" s="63" t="str">
        <f>'Padrão EPP'!D2032</f>
        <v>REDESPACHO</v>
      </c>
      <c r="E2032" s="63">
        <f>'Padrão EPP'!E2032/2</f>
        <v>0</v>
      </c>
      <c r="F2032" s="67">
        <v>3.0000000000000001E-3</v>
      </c>
      <c r="G2032" s="67">
        <v>2E-3</v>
      </c>
      <c r="H2032" s="63"/>
    </row>
    <row r="2033" spans="1:8" x14ac:dyDescent="0.25">
      <c r="A2033" s="63"/>
      <c r="B2033" s="63">
        <f>'Padrão EPP'!B2033</f>
        <v>23</v>
      </c>
      <c r="C2033" s="63" t="str">
        <f>'Padrão EPP'!C2033</f>
        <v>PA</v>
      </c>
      <c r="D2033" s="63" t="str">
        <f>'Padrão EPP'!D2033</f>
        <v>REDESPACHO</v>
      </c>
      <c r="E2033" s="63">
        <f>'Padrão EPP'!E2033/2</f>
        <v>0</v>
      </c>
      <c r="F2033" s="67">
        <v>3.0000000000000001E-3</v>
      </c>
      <c r="G2033" s="67">
        <v>2E-3</v>
      </c>
      <c r="H2033" s="63"/>
    </row>
    <row r="2034" spans="1:8" x14ac:dyDescent="0.25">
      <c r="A2034" s="63"/>
      <c r="B2034" s="63">
        <f>'Padrão EPP'!B2034</f>
        <v>24</v>
      </c>
      <c r="C2034" s="63" t="str">
        <f>'Padrão EPP'!C2034</f>
        <v>PA</v>
      </c>
      <c r="D2034" s="63" t="str">
        <f>'Padrão EPP'!D2034</f>
        <v>REDESPACHO</v>
      </c>
      <c r="E2034" s="63">
        <f>'Padrão EPP'!E2034/2</f>
        <v>0</v>
      </c>
      <c r="F2034" s="67">
        <v>3.0000000000000001E-3</v>
      </c>
      <c r="G2034" s="67">
        <v>2E-3</v>
      </c>
      <c r="H2034" s="63"/>
    </row>
    <row r="2035" spans="1:8" x14ac:dyDescent="0.25">
      <c r="A2035" s="63"/>
      <c r="B2035" s="63">
        <f>'Padrão EPP'!B2035</f>
        <v>25</v>
      </c>
      <c r="C2035" s="63" t="str">
        <f>'Padrão EPP'!C2035</f>
        <v>PA</v>
      </c>
      <c r="D2035" s="63" t="str">
        <f>'Padrão EPP'!D2035</f>
        <v>REDESPACHO</v>
      </c>
      <c r="E2035" s="63">
        <f>'Padrão EPP'!E2035/2</f>
        <v>0</v>
      </c>
      <c r="F2035" s="67">
        <v>3.0000000000000001E-3</v>
      </c>
      <c r="G2035" s="67">
        <v>2E-3</v>
      </c>
      <c r="H2035" s="63"/>
    </row>
    <row r="2036" spans="1:8" x14ac:dyDescent="0.25">
      <c r="A2036" s="63"/>
      <c r="B2036" s="63">
        <f>'Padrão EPP'!B2036</f>
        <v>26</v>
      </c>
      <c r="C2036" s="63" t="str">
        <f>'Padrão EPP'!C2036</f>
        <v>PA</v>
      </c>
      <c r="D2036" s="63" t="str">
        <f>'Padrão EPP'!D2036</f>
        <v>REDESPACHO</v>
      </c>
      <c r="E2036" s="63">
        <f>'Padrão EPP'!E2036/2</f>
        <v>0</v>
      </c>
      <c r="F2036" s="67">
        <v>3.0000000000000001E-3</v>
      </c>
      <c r="G2036" s="67">
        <v>2E-3</v>
      </c>
      <c r="H2036" s="63"/>
    </row>
    <row r="2037" spans="1:8" x14ac:dyDescent="0.25">
      <c r="A2037" s="63"/>
      <c r="B2037" s="63">
        <f>'Padrão EPP'!B2037</f>
        <v>27</v>
      </c>
      <c r="C2037" s="63" t="str">
        <f>'Padrão EPP'!C2037</f>
        <v>PA</v>
      </c>
      <c r="D2037" s="63" t="str">
        <f>'Padrão EPP'!D2037</f>
        <v>REDESPACHO</v>
      </c>
      <c r="E2037" s="63">
        <f>'Padrão EPP'!E2037/2</f>
        <v>0</v>
      </c>
      <c r="F2037" s="67">
        <v>3.0000000000000001E-3</v>
      </c>
      <c r="G2037" s="67">
        <v>2E-3</v>
      </c>
      <c r="H2037" s="63"/>
    </row>
    <row r="2038" spans="1:8" x14ac:dyDescent="0.25">
      <c r="A2038" s="63"/>
      <c r="B2038" s="63">
        <f>'Padrão EPP'!B2038</f>
        <v>28</v>
      </c>
      <c r="C2038" s="63" t="str">
        <f>'Padrão EPP'!C2038</f>
        <v>PA</v>
      </c>
      <c r="D2038" s="63" t="str">
        <f>'Padrão EPP'!D2038</f>
        <v>REDESPACHO</v>
      </c>
      <c r="E2038" s="63">
        <f>'Padrão EPP'!E2038/2</f>
        <v>0</v>
      </c>
      <c r="F2038" s="67">
        <v>3.0000000000000001E-3</v>
      </c>
      <c r="G2038" s="67">
        <v>2E-3</v>
      </c>
      <c r="H2038" s="63"/>
    </row>
    <row r="2039" spans="1:8" x14ac:dyDescent="0.25">
      <c r="A2039" s="63"/>
      <c r="B2039" s="63">
        <f>'Padrão EPP'!B2039</f>
        <v>29</v>
      </c>
      <c r="C2039" s="63" t="str">
        <f>'Padrão EPP'!C2039</f>
        <v>PA</v>
      </c>
      <c r="D2039" s="63" t="str">
        <f>'Padrão EPP'!D2039</f>
        <v>REDESPACHO</v>
      </c>
      <c r="E2039" s="63">
        <f>'Padrão EPP'!E2039/2</f>
        <v>0</v>
      </c>
      <c r="F2039" s="67">
        <v>3.0000000000000001E-3</v>
      </c>
      <c r="G2039" s="67">
        <v>2E-3</v>
      </c>
      <c r="H2039" s="63"/>
    </row>
    <row r="2040" spans="1:8" x14ac:dyDescent="0.25">
      <c r="A2040" s="63"/>
      <c r="B2040" s="63">
        <f>'Padrão EPP'!B2040</f>
        <v>30</v>
      </c>
      <c r="C2040" s="63" t="str">
        <f>'Padrão EPP'!C2040</f>
        <v>PA</v>
      </c>
      <c r="D2040" s="63" t="str">
        <f>'Padrão EPP'!D2040</f>
        <v>REDESPACHO</v>
      </c>
      <c r="E2040" s="63">
        <f>'Padrão EPP'!E2040/2</f>
        <v>0</v>
      </c>
      <c r="F2040" s="67">
        <v>3.0000000000000001E-3</v>
      </c>
      <c r="G2040" s="67">
        <v>2E-3</v>
      </c>
      <c r="H2040" s="63"/>
    </row>
    <row r="2041" spans="1:8" x14ac:dyDescent="0.25">
      <c r="A2041" s="63"/>
      <c r="B2041" s="63">
        <f>'Padrão EPP'!B2041</f>
        <v>0</v>
      </c>
      <c r="C2041" s="63" t="str">
        <f>'Padrão EPP'!C2041</f>
        <v>PA</v>
      </c>
      <c r="D2041" s="63" t="str">
        <f>'Padrão EPP'!D2041</f>
        <v>REDESPACHO</v>
      </c>
      <c r="E2041" s="63">
        <f>'Padrão EPP'!E2041/2</f>
        <v>1.5214394455252955</v>
      </c>
      <c r="F2041" s="67">
        <v>3.0000000000000001E-3</v>
      </c>
      <c r="G2041" s="67">
        <v>2E-3</v>
      </c>
      <c r="H2041" s="63"/>
    </row>
    <row r="2042" spans="1:8" x14ac:dyDescent="0.25">
      <c r="A2042" s="63"/>
      <c r="B2042" s="63">
        <f>'Padrão EPP'!B2042</f>
        <v>0.25</v>
      </c>
      <c r="C2042" s="63" t="str">
        <f>'Padrão EPP'!C2042</f>
        <v>RO</v>
      </c>
      <c r="D2042" s="63" t="str">
        <f>'Padrão EPP'!D2042</f>
        <v>CAPITAL</v>
      </c>
      <c r="E2042" s="63">
        <f>'Padrão EPP'!E2042/2</f>
        <v>14.249019596447633</v>
      </c>
      <c r="F2042" s="67">
        <v>3.0000000000000001E-3</v>
      </c>
      <c r="G2042" s="67">
        <v>2E-3</v>
      </c>
      <c r="H2042" s="63"/>
    </row>
    <row r="2043" spans="1:8" x14ac:dyDescent="0.25">
      <c r="A2043" s="63"/>
      <c r="B2043" s="63">
        <f>'Padrão EPP'!B2043</f>
        <v>0.5</v>
      </c>
      <c r="C2043" s="63" t="str">
        <f>'Padrão EPP'!C2043</f>
        <v>RO</v>
      </c>
      <c r="D2043" s="63" t="str">
        <f>'Padrão EPP'!D2043</f>
        <v>CAPITAL</v>
      </c>
      <c r="E2043" s="63">
        <f>'Padrão EPP'!E2043/2</f>
        <v>14.484260362024681</v>
      </c>
      <c r="F2043" s="67">
        <v>3.0000000000000001E-3</v>
      </c>
      <c r="G2043" s="67">
        <v>2E-3</v>
      </c>
      <c r="H2043" s="63"/>
    </row>
    <row r="2044" spans="1:8" x14ac:dyDescent="0.25">
      <c r="A2044" s="63"/>
      <c r="B2044" s="63">
        <f>'Padrão EPP'!B2044</f>
        <v>0.75</v>
      </c>
      <c r="C2044" s="63" t="str">
        <f>'Padrão EPP'!C2044</f>
        <v>RO</v>
      </c>
      <c r="D2044" s="63" t="str">
        <f>'Padrão EPP'!D2044</f>
        <v>CAPITAL</v>
      </c>
      <c r="E2044" s="63">
        <f>'Padrão EPP'!E2044/2</f>
        <v>14.635306279663077</v>
      </c>
      <c r="F2044" s="67">
        <v>3.0000000000000001E-3</v>
      </c>
      <c r="G2044" s="67">
        <v>2E-3</v>
      </c>
      <c r="H2044" s="63"/>
    </row>
    <row r="2045" spans="1:8" x14ac:dyDescent="0.25">
      <c r="A2045" s="63"/>
      <c r="B2045" s="63">
        <f>'Padrão EPP'!B2045</f>
        <v>1</v>
      </c>
      <c r="C2045" s="63" t="str">
        <f>'Padrão EPP'!C2045</f>
        <v>RO</v>
      </c>
      <c r="D2045" s="63" t="str">
        <f>'Padrão EPP'!D2045</f>
        <v>CAPITAL</v>
      </c>
      <c r="E2045" s="63">
        <f>'Padrão EPP'!E2045/2</f>
        <v>14.837395852523887</v>
      </c>
      <c r="F2045" s="67">
        <v>3.0000000000000001E-3</v>
      </c>
      <c r="G2045" s="67">
        <v>2E-3</v>
      </c>
      <c r="H2045" s="63"/>
    </row>
    <row r="2046" spans="1:8" x14ac:dyDescent="0.25">
      <c r="A2046" s="63"/>
      <c r="B2046" s="63">
        <f>'Padrão EPP'!B2046</f>
        <v>2</v>
      </c>
      <c r="C2046" s="63" t="str">
        <f>'Padrão EPP'!C2046</f>
        <v>RO</v>
      </c>
      <c r="D2046" s="63" t="str">
        <f>'Padrão EPP'!D2046</f>
        <v>CAPITAL</v>
      </c>
      <c r="E2046" s="63">
        <f>'Padrão EPP'!E2046/2</f>
        <v>21.371547158999551</v>
      </c>
      <c r="F2046" s="67">
        <v>3.0000000000000001E-3</v>
      </c>
      <c r="G2046" s="67">
        <v>2E-3</v>
      </c>
      <c r="H2046" s="63"/>
    </row>
    <row r="2047" spans="1:8" x14ac:dyDescent="0.25">
      <c r="A2047" s="63"/>
      <c r="B2047" s="63">
        <f>'Padrão EPP'!B2047</f>
        <v>3</v>
      </c>
      <c r="C2047" s="63" t="str">
        <f>'Padrão EPP'!C2047</f>
        <v>RO</v>
      </c>
      <c r="D2047" s="63" t="str">
        <f>'Padrão EPP'!D2047</f>
        <v>CAPITAL</v>
      </c>
      <c r="E2047" s="63">
        <f>'Padrão EPP'!E2047/2</f>
        <v>28.368617926315721</v>
      </c>
      <c r="F2047" s="67">
        <v>3.0000000000000001E-3</v>
      </c>
      <c r="G2047" s="67">
        <v>2E-3</v>
      </c>
      <c r="H2047" s="63"/>
    </row>
    <row r="2048" spans="1:8" x14ac:dyDescent="0.25">
      <c r="A2048" s="63"/>
      <c r="B2048" s="63">
        <f>'Padrão EPP'!B2048</f>
        <v>4</v>
      </c>
      <c r="C2048" s="63" t="str">
        <f>'Padrão EPP'!C2048</f>
        <v>RO</v>
      </c>
      <c r="D2048" s="63" t="str">
        <f>'Padrão EPP'!D2048</f>
        <v>CAPITAL</v>
      </c>
      <c r="E2048" s="63">
        <f>'Padrão EPP'!E2048/2</f>
        <v>35.464056250088738</v>
      </c>
      <c r="F2048" s="67">
        <v>3.0000000000000001E-3</v>
      </c>
      <c r="G2048" s="67">
        <v>2E-3</v>
      </c>
      <c r="H2048" s="63"/>
    </row>
    <row r="2049" spans="1:8" x14ac:dyDescent="0.25">
      <c r="A2049" s="63"/>
      <c r="B2049" s="63">
        <f>'Padrão EPP'!B2049</f>
        <v>5</v>
      </c>
      <c r="C2049" s="63" t="str">
        <f>'Padrão EPP'!C2049</f>
        <v>RO</v>
      </c>
      <c r="D2049" s="63" t="str">
        <f>'Padrão EPP'!D2049</f>
        <v>CAPITAL</v>
      </c>
      <c r="E2049" s="63">
        <f>'Padrão EPP'!E2049/2</f>
        <v>42.706715196352675</v>
      </c>
      <c r="F2049" s="67">
        <v>3.0000000000000001E-3</v>
      </c>
      <c r="G2049" s="67">
        <v>2E-3</v>
      </c>
      <c r="H2049" s="63"/>
    </row>
    <row r="2050" spans="1:8" x14ac:dyDescent="0.25">
      <c r="A2050" s="63"/>
      <c r="B2050" s="63">
        <f>'Padrão EPP'!B2050</f>
        <v>6</v>
      </c>
      <c r="C2050" s="63" t="str">
        <f>'Padrão EPP'!C2050</f>
        <v>RO</v>
      </c>
      <c r="D2050" s="63" t="str">
        <f>'Padrão EPP'!D2050</f>
        <v>CAPITAL</v>
      </c>
      <c r="E2050" s="63">
        <f>'Padrão EPP'!E2050/2</f>
        <v>49.796653706438079</v>
      </c>
      <c r="F2050" s="67">
        <v>3.0000000000000001E-3</v>
      </c>
      <c r="G2050" s="67">
        <v>2E-3</v>
      </c>
      <c r="H2050" s="63"/>
    </row>
    <row r="2051" spans="1:8" x14ac:dyDescent="0.25">
      <c r="A2051" s="63"/>
      <c r="B2051" s="63">
        <f>'Padrão EPP'!B2051</f>
        <v>7</v>
      </c>
      <c r="C2051" s="63" t="str">
        <f>'Padrão EPP'!C2051</f>
        <v>RO</v>
      </c>
      <c r="D2051" s="63" t="str">
        <f>'Padrão EPP'!D2051</f>
        <v>CAPITAL</v>
      </c>
      <c r="E2051" s="63">
        <f>'Padrão EPP'!E2051/2</f>
        <v>56.93772036254849</v>
      </c>
      <c r="F2051" s="67">
        <v>3.0000000000000001E-3</v>
      </c>
      <c r="G2051" s="67">
        <v>2E-3</v>
      </c>
      <c r="H2051" s="63"/>
    </row>
    <row r="2052" spans="1:8" x14ac:dyDescent="0.25">
      <c r="A2052" s="63"/>
      <c r="B2052" s="63">
        <f>'Padrão EPP'!B2052</f>
        <v>8</v>
      </c>
      <c r="C2052" s="63" t="str">
        <f>'Padrão EPP'!C2052</f>
        <v>RO</v>
      </c>
      <c r="D2052" s="63" t="str">
        <f>'Padrão EPP'!D2052</f>
        <v>CAPITAL</v>
      </c>
      <c r="E2052" s="63">
        <f>'Padrão EPP'!E2052/2</f>
        <v>64.135027979286349</v>
      </c>
      <c r="F2052" s="67">
        <v>3.0000000000000001E-3</v>
      </c>
      <c r="G2052" s="67">
        <v>2E-3</v>
      </c>
      <c r="H2052" s="63"/>
    </row>
    <row r="2053" spans="1:8" x14ac:dyDescent="0.25">
      <c r="A2053" s="63"/>
      <c r="B2053" s="63">
        <f>'Padrão EPP'!B2053</f>
        <v>9</v>
      </c>
      <c r="C2053" s="63" t="str">
        <f>'Padrão EPP'!C2053</f>
        <v>RO</v>
      </c>
      <c r="D2053" s="63" t="str">
        <f>'Padrão EPP'!D2053</f>
        <v>CAPITAL</v>
      </c>
      <c r="E2053" s="63">
        <f>'Padrão EPP'!E2053/2</f>
        <v>71.394200652714503</v>
      </c>
      <c r="F2053" s="67">
        <v>3.0000000000000001E-3</v>
      </c>
      <c r="G2053" s="67">
        <v>2E-3</v>
      </c>
      <c r="H2053" s="63"/>
    </row>
    <row r="2054" spans="1:8" x14ac:dyDescent="0.25">
      <c r="A2054" s="63"/>
      <c r="B2054" s="63">
        <f>'Padrão EPP'!B2054</f>
        <v>10</v>
      </c>
      <c r="C2054" s="63" t="str">
        <f>'Padrão EPP'!C2054</f>
        <v>RO</v>
      </c>
      <c r="D2054" s="63" t="str">
        <f>'Padrão EPP'!D2054</f>
        <v>CAPITAL</v>
      </c>
      <c r="E2054" s="63">
        <f>'Padrão EPP'!E2054/2</f>
        <v>78.368528929410346</v>
      </c>
      <c r="F2054" s="67">
        <v>3.0000000000000001E-3</v>
      </c>
      <c r="G2054" s="67">
        <v>2E-3</v>
      </c>
      <c r="H2054" s="63"/>
    </row>
    <row r="2055" spans="1:8" x14ac:dyDescent="0.25">
      <c r="A2055" s="63"/>
      <c r="B2055" s="63">
        <f>'Padrão EPP'!B2055</f>
        <v>11</v>
      </c>
      <c r="C2055" s="63" t="str">
        <f>'Padrão EPP'!C2055</f>
        <v>RO</v>
      </c>
      <c r="D2055" s="63" t="str">
        <f>'Padrão EPP'!D2055</f>
        <v>CAPITAL</v>
      </c>
      <c r="E2055" s="63">
        <f>'Padrão EPP'!E2055/2</f>
        <v>0</v>
      </c>
      <c r="F2055" s="67">
        <v>3.0000000000000001E-3</v>
      </c>
      <c r="G2055" s="67">
        <v>2E-3</v>
      </c>
      <c r="H2055" s="63"/>
    </row>
    <row r="2056" spans="1:8" x14ac:dyDescent="0.25">
      <c r="A2056" s="63"/>
      <c r="B2056" s="63">
        <f>'Padrão EPP'!B2056</f>
        <v>12</v>
      </c>
      <c r="C2056" s="63" t="str">
        <f>'Padrão EPP'!C2056</f>
        <v>RO</v>
      </c>
      <c r="D2056" s="63" t="str">
        <f>'Padrão EPP'!D2056</f>
        <v>CAPITAL</v>
      </c>
      <c r="E2056" s="63">
        <f>'Padrão EPP'!E2056/2</f>
        <v>0</v>
      </c>
      <c r="F2056" s="67">
        <v>3.0000000000000001E-3</v>
      </c>
      <c r="G2056" s="67">
        <v>2E-3</v>
      </c>
      <c r="H2056" s="63"/>
    </row>
    <row r="2057" spans="1:8" x14ac:dyDescent="0.25">
      <c r="A2057" s="63"/>
      <c r="B2057" s="63">
        <f>'Padrão EPP'!B2057</f>
        <v>13</v>
      </c>
      <c r="C2057" s="63" t="str">
        <f>'Padrão EPP'!C2057</f>
        <v>RO</v>
      </c>
      <c r="D2057" s="63" t="str">
        <f>'Padrão EPP'!D2057</f>
        <v>CAPITAL</v>
      </c>
      <c r="E2057" s="63">
        <f>'Padrão EPP'!E2057/2</f>
        <v>0</v>
      </c>
      <c r="F2057" s="67">
        <v>3.0000000000000001E-3</v>
      </c>
      <c r="G2057" s="67">
        <v>2E-3</v>
      </c>
      <c r="H2057" s="63"/>
    </row>
    <row r="2058" spans="1:8" x14ac:dyDescent="0.25">
      <c r="A2058" s="63"/>
      <c r="B2058" s="63">
        <f>'Padrão EPP'!B2058</f>
        <v>14</v>
      </c>
      <c r="C2058" s="63" t="str">
        <f>'Padrão EPP'!C2058</f>
        <v>RO</v>
      </c>
      <c r="D2058" s="63" t="str">
        <f>'Padrão EPP'!D2058</f>
        <v>CAPITAL</v>
      </c>
      <c r="E2058" s="63">
        <f>'Padrão EPP'!E2058/2</f>
        <v>0</v>
      </c>
      <c r="F2058" s="67">
        <v>3.0000000000000001E-3</v>
      </c>
      <c r="G2058" s="67">
        <v>2E-3</v>
      </c>
      <c r="H2058" s="63"/>
    </row>
    <row r="2059" spans="1:8" x14ac:dyDescent="0.25">
      <c r="A2059" s="63"/>
      <c r="B2059" s="63">
        <f>'Padrão EPP'!B2059</f>
        <v>15</v>
      </c>
      <c r="C2059" s="63" t="str">
        <f>'Padrão EPP'!C2059</f>
        <v>RO</v>
      </c>
      <c r="D2059" s="63" t="str">
        <f>'Padrão EPP'!D2059</f>
        <v>CAPITAL</v>
      </c>
      <c r="E2059" s="63">
        <f>'Padrão EPP'!E2059/2</f>
        <v>0</v>
      </c>
      <c r="F2059" s="67">
        <v>3.0000000000000001E-3</v>
      </c>
      <c r="G2059" s="67">
        <v>2E-3</v>
      </c>
      <c r="H2059" s="63"/>
    </row>
    <row r="2060" spans="1:8" x14ac:dyDescent="0.25">
      <c r="A2060" s="63"/>
      <c r="B2060" s="63">
        <f>'Padrão EPP'!B2060</f>
        <v>16</v>
      </c>
      <c r="C2060" s="63" t="str">
        <f>'Padrão EPP'!C2060</f>
        <v>RO</v>
      </c>
      <c r="D2060" s="63" t="str">
        <f>'Padrão EPP'!D2060</f>
        <v>CAPITAL</v>
      </c>
      <c r="E2060" s="63">
        <f>'Padrão EPP'!E2060/2</f>
        <v>0</v>
      </c>
      <c r="F2060" s="67">
        <v>3.0000000000000001E-3</v>
      </c>
      <c r="G2060" s="67">
        <v>2E-3</v>
      </c>
      <c r="H2060" s="63"/>
    </row>
    <row r="2061" spans="1:8" x14ac:dyDescent="0.25">
      <c r="A2061" s="63"/>
      <c r="B2061" s="63">
        <f>'Padrão EPP'!B2061</f>
        <v>17</v>
      </c>
      <c r="C2061" s="63" t="str">
        <f>'Padrão EPP'!C2061</f>
        <v>RO</v>
      </c>
      <c r="D2061" s="63" t="str">
        <f>'Padrão EPP'!D2061</f>
        <v>CAPITAL</v>
      </c>
      <c r="E2061" s="63">
        <f>'Padrão EPP'!E2061/2</f>
        <v>0</v>
      </c>
      <c r="F2061" s="67">
        <v>3.0000000000000001E-3</v>
      </c>
      <c r="G2061" s="67">
        <v>2E-3</v>
      </c>
      <c r="H2061" s="63"/>
    </row>
    <row r="2062" spans="1:8" x14ac:dyDescent="0.25">
      <c r="A2062" s="63"/>
      <c r="B2062" s="63">
        <f>'Padrão EPP'!B2062</f>
        <v>18</v>
      </c>
      <c r="C2062" s="63" t="str">
        <f>'Padrão EPP'!C2062</f>
        <v>RO</v>
      </c>
      <c r="D2062" s="63" t="str">
        <f>'Padrão EPP'!D2062</f>
        <v>CAPITAL</v>
      </c>
      <c r="E2062" s="63">
        <f>'Padrão EPP'!E2062/2</f>
        <v>0</v>
      </c>
      <c r="F2062" s="67">
        <v>3.0000000000000001E-3</v>
      </c>
      <c r="G2062" s="67">
        <v>2E-3</v>
      </c>
      <c r="H2062" s="63"/>
    </row>
    <row r="2063" spans="1:8" x14ac:dyDescent="0.25">
      <c r="A2063" s="63"/>
      <c r="B2063" s="63">
        <f>'Padrão EPP'!B2063</f>
        <v>19</v>
      </c>
      <c r="C2063" s="63" t="str">
        <f>'Padrão EPP'!C2063</f>
        <v>RO</v>
      </c>
      <c r="D2063" s="63" t="str">
        <f>'Padrão EPP'!D2063</f>
        <v>CAPITAL</v>
      </c>
      <c r="E2063" s="63">
        <f>'Padrão EPP'!E2063/2</f>
        <v>0</v>
      </c>
      <c r="F2063" s="67">
        <v>3.0000000000000001E-3</v>
      </c>
      <c r="G2063" s="67">
        <v>2E-3</v>
      </c>
      <c r="H2063" s="63"/>
    </row>
    <row r="2064" spans="1:8" x14ac:dyDescent="0.25">
      <c r="A2064" s="63"/>
      <c r="B2064" s="63">
        <f>'Padrão EPP'!B2064</f>
        <v>20</v>
      </c>
      <c r="C2064" s="63" t="str">
        <f>'Padrão EPP'!C2064</f>
        <v>RO</v>
      </c>
      <c r="D2064" s="63" t="str">
        <f>'Padrão EPP'!D2064</f>
        <v>CAPITAL</v>
      </c>
      <c r="E2064" s="63">
        <f>'Padrão EPP'!E2064/2</f>
        <v>0</v>
      </c>
      <c r="F2064" s="67">
        <v>3.0000000000000001E-3</v>
      </c>
      <c r="G2064" s="67">
        <v>2E-3</v>
      </c>
      <c r="H2064" s="63"/>
    </row>
    <row r="2065" spans="1:8" x14ac:dyDescent="0.25">
      <c r="A2065" s="63"/>
      <c r="B2065" s="63">
        <f>'Padrão EPP'!B2065</f>
        <v>21</v>
      </c>
      <c r="C2065" s="63" t="str">
        <f>'Padrão EPP'!C2065</f>
        <v>RO</v>
      </c>
      <c r="D2065" s="63" t="str">
        <f>'Padrão EPP'!D2065</f>
        <v>CAPITAL</v>
      </c>
      <c r="E2065" s="63">
        <f>'Padrão EPP'!E2065/2</f>
        <v>0</v>
      </c>
      <c r="F2065" s="67">
        <v>3.0000000000000001E-3</v>
      </c>
      <c r="G2065" s="67">
        <v>2E-3</v>
      </c>
      <c r="H2065" s="63"/>
    </row>
    <row r="2066" spans="1:8" x14ac:dyDescent="0.25">
      <c r="A2066" s="63"/>
      <c r="B2066" s="63">
        <f>'Padrão EPP'!B2066</f>
        <v>22</v>
      </c>
      <c r="C2066" s="63" t="str">
        <f>'Padrão EPP'!C2066</f>
        <v>RO</v>
      </c>
      <c r="D2066" s="63" t="str">
        <f>'Padrão EPP'!D2066</f>
        <v>CAPITAL</v>
      </c>
      <c r="E2066" s="63">
        <f>'Padrão EPP'!E2066/2</f>
        <v>0</v>
      </c>
      <c r="F2066" s="67">
        <v>3.0000000000000001E-3</v>
      </c>
      <c r="G2066" s="67">
        <v>2E-3</v>
      </c>
      <c r="H2066" s="63"/>
    </row>
    <row r="2067" spans="1:8" x14ac:dyDescent="0.25">
      <c r="A2067" s="63"/>
      <c r="B2067" s="63">
        <f>'Padrão EPP'!B2067</f>
        <v>23</v>
      </c>
      <c r="C2067" s="63" t="str">
        <f>'Padrão EPP'!C2067</f>
        <v>RO</v>
      </c>
      <c r="D2067" s="63" t="str">
        <f>'Padrão EPP'!D2067</f>
        <v>CAPITAL</v>
      </c>
      <c r="E2067" s="63">
        <f>'Padrão EPP'!E2067/2</f>
        <v>0</v>
      </c>
      <c r="F2067" s="67">
        <v>3.0000000000000001E-3</v>
      </c>
      <c r="G2067" s="67">
        <v>2E-3</v>
      </c>
      <c r="H2067" s="63"/>
    </row>
    <row r="2068" spans="1:8" x14ac:dyDescent="0.25">
      <c r="A2068" s="63"/>
      <c r="B2068" s="63">
        <f>'Padrão EPP'!B2068</f>
        <v>24</v>
      </c>
      <c r="C2068" s="63" t="str">
        <f>'Padrão EPP'!C2068</f>
        <v>RO</v>
      </c>
      <c r="D2068" s="63" t="str">
        <f>'Padrão EPP'!D2068</f>
        <v>CAPITAL</v>
      </c>
      <c r="E2068" s="63">
        <f>'Padrão EPP'!E2068/2</f>
        <v>0</v>
      </c>
      <c r="F2068" s="67">
        <v>3.0000000000000001E-3</v>
      </c>
      <c r="G2068" s="67">
        <v>2E-3</v>
      </c>
      <c r="H2068" s="63"/>
    </row>
    <row r="2069" spans="1:8" x14ac:dyDescent="0.25">
      <c r="A2069" s="63"/>
      <c r="B2069" s="63">
        <f>'Padrão EPP'!B2069</f>
        <v>25</v>
      </c>
      <c r="C2069" s="63" t="str">
        <f>'Padrão EPP'!C2069</f>
        <v>RO</v>
      </c>
      <c r="D2069" s="63" t="str">
        <f>'Padrão EPP'!D2069</f>
        <v>CAPITAL</v>
      </c>
      <c r="E2069" s="63">
        <f>'Padrão EPP'!E2069/2</f>
        <v>0</v>
      </c>
      <c r="F2069" s="67">
        <v>3.0000000000000001E-3</v>
      </c>
      <c r="G2069" s="67">
        <v>2E-3</v>
      </c>
      <c r="H2069" s="63"/>
    </row>
    <row r="2070" spans="1:8" x14ac:dyDescent="0.25">
      <c r="A2070" s="63"/>
      <c r="B2070" s="63">
        <f>'Padrão EPP'!B2070</f>
        <v>26</v>
      </c>
      <c r="C2070" s="63" t="str">
        <f>'Padrão EPP'!C2070</f>
        <v>RO</v>
      </c>
      <c r="D2070" s="63" t="str">
        <f>'Padrão EPP'!D2070</f>
        <v>CAPITAL</v>
      </c>
      <c r="E2070" s="63">
        <f>'Padrão EPP'!E2070/2</f>
        <v>0</v>
      </c>
      <c r="F2070" s="67">
        <v>3.0000000000000001E-3</v>
      </c>
      <c r="G2070" s="67">
        <v>2E-3</v>
      </c>
      <c r="H2070" s="63"/>
    </row>
    <row r="2071" spans="1:8" x14ac:dyDescent="0.25">
      <c r="A2071" s="63"/>
      <c r="B2071" s="63">
        <f>'Padrão EPP'!B2071</f>
        <v>27</v>
      </c>
      <c r="C2071" s="63" t="str">
        <f>'Padrão EPP'!C2071</f>
        <v>RO</v>
      </c>
      <c r="D2071" s="63" t="str">
        <f>'Padrão EPP'!D2071</f>
        <v>CAPITAL</v>
      </c>
      <c r="E2071" s="63">
        <f>'Padrão EPP'!E2071/2</f>
        <v>0</v>
      </c>
      <c r="F2071" s="67">
        <v>3.0000000000000001E-3</v>
      </c>
      <c r="G2071" s="67">
        <v>2E-3</v>
      </c>
      <c r="H2071" s="63"/>
    </row>
    <row r="2072" spans="1:8" x14ac:dyDescent="0.25">
      <c r="A2072" s="63"/>
      <c r="B2072" s="63">
        <f>'Padrão EPP'!B2072</f>
        <v>28</v>
      </c>
      <c r="C2072" s="63" t="str">
        <f>'Padrão EPP'!C2072</f>
        <v>RO</v>
      </c>
      <c r="D2072" s="63" t="str">
        <f>'Padrão EPP'!D2072</f>
        <v>CAPITAL</v>
      </c>
      <c r="E2072" s="63">
        <f>'Padrão EPP'!E2072/2</f>
        <v>0</v>
      </c>
      <c r="F2072" s="67">
        <v>3.0000000000000001E-3</v>
      </c>
      <c r="G2072" s="67">
        <v>2E-3</v>
      </c>
      <c r="H2072" s="63"/>
    </row>
    <row r="2073" spans="1:8" x14ac:dyDescent="0.25">
      <c r="A2073" s="63"/>
      <c r="B2073" s="63">
        <f>'Padrão EPP'!B2073</f>
        <v>29</v>
      </c>
      <c r="C2073" s="63" t="str">
        <f>'Padrão EPP'!C2073</f>
        <v>RO</v>
      </c>
      <c r="D2073" s="63" t="str">
        <f>'Padrão EPP'!D2073</f>
        <v>CAPITAL</v>
      </c>
      <c r="E2073" s="63">
        <f>'Padrão EPP'!E2073/2</f>
        <v>0</v>
      </c>
      <c r="F2073" s="67">
        <v>3.0000000000000001E-3</v>
      </c>
      <c r="G2073" s="67">
        <v>2E-3</v>
      </c>
      <c r="H2073" s="63"/>
    </row>
    <row r="2074" spans="1:8" x14ac:dyDescent="0.25">
      <c r="A2074" s="63"/>
      <c r="B2074" s="63">
        <f>'Padrão EPP'!B2074</f>
        <v>30</v>
      </c>
      <c r="C2074" s="63" t="str">
        <f>'Padrão EPP'!C2074</f>
        <v>RO</v>
      </c>
      <c r="D2074" s="63" t="str">
        <f>'Padrão EPP'!D2074</f>
        <v>CAPITAL</v>
      </c>
      <c r="E2074" s="63">
        <f>'Padrão EPP'!E2074/2</f>
        <v>0</v>
      </c>
      <c r="F2074" s="67">
        <v>3.0000000000000001E-3</v>
      </c>
      <c r="G2074" s="67">
        <v>2E-3</v>
      </c>
      <c r="H2074" s="63"/>
    </row>
    <row r="2075" spans="1:8" x14ac:dyDescent="0.25">
      <c r="A2075" s="63"/>
      <c r="B2075" s="63">
        <f>'Padrão EPP'!B2075</f>
        <v>0</v>
      </c>
      <c r="C2075" s="63" t="str">
        <f>'Padrão EPP'!C2075</f>
        <v>RO</v>
      </c>
      <c r="D2075" s="63" t="str">
        <f>'Padrão EPP'!D2075</f>
        <v>CAPITAL</v>
      </c>
      <c r="E2075" s="63">
        <f>'Padrão EPP'!E2075/2</f>
        <v>1.5214394455252955</v>
      </c>
      <c r="F2075" s="67">
        <v>3.0000000000000001E-3</v>
      </c>
      <c r="G2075" s="67">
        <v>2E-3</v>
      </c>
      <c r="H2075" s="63"/>
    </row>
    <row r="2076" spans="1:8" x14ac:dyDescent="0.25">
      <c r="A2076" s="63"/>
      <c r="B2076" s="63">
        <f>'Padrão EPP'!B2076</f>
        <v>0.25</v>
      </c>
      <c r="C2076" s="63" t="str">
        <f>'Padrão EPP'!C2076</f>
        <v>RO</v>
      </c>
      <c r="D2076" s="63" t="str">
        <f>'Padrão EPP'!D2076</f>
        <v>INTERIOR</v>
      </c>
      <c r="E2076" s="63">
        <f>'Padrão EPP'!E2076/2</f>
        <v>18.209887367951918</v>
      </c>
      <c r="F2076" s="67">
        <v>3.0000000000000001E-3</v>
      </c>
      <c r="G2076" s="67">
        <v>2E-3</v>
      </c>
      <c r="H2076" s="63"/>
    </row>
    <row r="2077" spans="1:8" x14ac:dyDescent="0.25">
      <c r="A2077" s="63"/>
      <c r="B2077" s="63">
        <f>'Padrão EPP'!B2077</f>
        <v>0.5</v>
      </c>
      <c r="C2077" s="63" t="str">
        <f>'Padrão EPP'!C2077</f>
        <v>RO</v>
      </c>
      <c r="D2077" s="63" t="str">
        <f>'Padrão EPP'!D2077</f>
        <v>INTERIOR</v>
      </c>
      <c r="E2077" s="63">
        <f>'Padrão EPP'!E2077/2</f>
        <v>18.523052264296176</v>
      </c>
      <c r="F2077" s="67">
        <v>3.0000000000000001E-3</v>
      </c>
      <c r="G2077" s="67">
        <v>2E-3</v>
      </c>
      <c r="H2077" s="63"/>
    </row>
    <row r="2078" spans="1:8" x14ac:dyDescent="0.25">
      <c r="A2078" s="63"/>
      <c r="B2078" s="63">
        <f>'Padrão EPP'!B2078</f>
        <v>0.75</v>
      </c>
      <c r="C2078" s="63" t="str">
        <f>'Padrão EPP'!C2078</f>
        <v>RO</v>
      </c>
      <c r="D2078" s="63" t="str">
        <f>'Padrão EPP'!D2078</f>
        <v>INTERIOR</v>
      </c>
      <c r="E2078" s="63">
        <f>'Padrão EPP'!E2078/2</f>
        <v>18.762516620877509</v>
      </c>
      <c r="F2078" s="67">
        <v>3.0000000000000001E-3</v>
      </c>
      <c r="G2078" s="67">
        <v>2E-3</v>
      </c>
      <c r="H2078" s="63"/>
    </row>
    <row r="2079" spans="1:8" x14ac:dyDescent="0.25">
      <c r="A2079" s="63"/>
      <c r="B2079" s="63">
        <f>'Padrão EPP'!B2079</f>
        <v>1</v>
      </c>
      <c r="C2079" s="63" t="str">
        <f>'Padrão EPP'!C2079</f>
        <v>RO</v>
      </c>
      <c r="D2079" s="63" t="str">
        <f>'Padrão EPP'!D2079</f>
        <v>INTERIOR</v>
      </c>
      <c r="E2079" s="63">
        <f>'Padrão EPP'!E2079/2</f>
        <v>19.289154045236124</v>
      </c>
      <c r="F2079" s="67">
        <v>3.0000000000000001E-3</v>
      </c>
      <c r="G2079" s="67">
        <v>2E-3</v>
      </c>
      <c r="H2079" s="63"/>
    </row>
    <row r="2080" spans="1:8" x14ac:dyDescent="0.25">
      <c r="A2080" s="63"/>
      <c r="B2080" s="63">
        <f>'Padrão EPP'!B2080</f>
        <v>2</v>
      </c>
      <c r="C2080" s="63" t="str">
        <f>'Padrão EPP'!C2080</f>
        <v>RO</v>
      </c>
      <c r="D2080" s="63" t="str">
        <f>'Padrão EPP'!D2080</f>
        <v>INTERIOR</v>
      </c>
      <c r="E2080" s="63">
        <f>'Padrão EPP'!E2080/2</f>
        <v>25.244383107391663</v>
      </c>
      <c r="F2080" s="67">
        <v>3.0000000000000001E-3</v>
      </c>
      <c r="G2080" s="67">
        <v>2E-3</v>
      </c>
      <c r="H2080" s="63"/>
    </row>
    <row r="2081" spans="1:8" x14ac:dyDescent="0.25">
      <c r="A2081" s="63"/>
      <c r="B2081" s="63">
        <f>'Padrão EPP'!B2081</f>
        <v>3</v>
      </c>
      <c r="C2081" s="63" t="str">
        <f>'Padrão EPP'!C2081</f>
        <v>RO</v>
      </c>
      <c r="D2081" s="63" t="str">
        <f>'Padrão EPP'!D2081</f>
        <v>INTERIOR</v>
      </c>
      <c r="E2081" s="63">
        <f>'Padrão EPP'!E2081/2</f>
        <v>31.710472065693846</v>
      </c>
      <c r="F2081" s="67">
        <v>3.0000000000000001E-3</v>
      </c>
      <c r="G2081" s="67">
        <v>2E-3</v>
      </c>
      <c r="H2081" s="63"/>
    </row>
    <row r="2082" spans="1:8" x14ac:dyDescent="0.25">
      <c r="A2082" s="63"/>
      <c r="B2082" s="63">
        <f>'Padrão EPP'!B2082</f>
        <v>4</v>
      </c>
      <c r="C2082" s="63" t="str">
        <f>'Padrão EPP'!C2082</f>
        <v>RO</v>
      </c>
      <c r="D2082" s="63" t="str">
        <f>'Padrão EPP'!D2082</f>
        <v>INTERIOR</v>
      </c>
      <c r="E2082" s="63">
        <f>'Padrão EPP'!E2082/2</f>
        <v>38.284183486157225</v>
      </c>
      <c r="F2082" s="67">
        <v>3.0000000000000001E-3</v>
      </c>
      <c r="G2082" s="67">
        <v>2E-3</v>
      </c>
      <c r="H2082" s="63"/>
    </row>
    <row r="2083" spans="1:8" x14ac:dyDescent="0.25">
      <c r="A2083" s="63"/>
      <c r="B2083" s="63">
        <f>'Padrão EPP'!B2083</f>
        <v>5</v>
      </c>
      <c r="C2083" s="63" t="str">
        <f>'Padrão EPP'!C2083</f>
        <v>RO</v>
      </c>
      <c r="D2083" s="63" t="str">
        <f>'Padrão EPP'!D2083</f>
        <v>INTERIOR</v>
      </c>
      <c r="E2083" s="63">
        <f>'Padrão EPP'!E2083/2</f>
        <v>44.999243545466506</v>
      </c>
      <c r="F2083" s="67">
        <v>3.0000000000000001E-3</v>
      </c>
      <c r="G2083" s="67">
        <v>2E-3</v>
      </c>
      <c r="H2083" s="63"/>
    </row>
    <row r="2084" spans="1:8" x14ac:dyDescent="0.25">
      <c r="A2084" s="63"/>
      <c r="B2084" s="63">
        <f>'Padrão EPP'!B2084</f>
        <v>6</v>
      </c>
      <c r="C2084" s="63" t="str">
        <f>'Padrão EPP'!C2084</f>
        <v>RO</v>
      </c>
      <c r="D2084" s="63" t="str">
        <f>'Padrão EPP'!D2084</f>
        <v>INTERIOR</v>
      </c>
      <c r="E2084" s="63">
        <f>'Padrão EPP'!E2084/2</f>
        <v>51.798580058484653</v>
      </c>
      <c r="F2084" s="67">
        <v>3.0000000000000001E-3</v>
      </c>
      <c r="G2084" s="67">
        <v>2E-3</v>
      </c>
      <c r="H2084" s="63"/>
    </row>
    <row r="2085" spans="1:8" x14ac:dyDescent="0.25">
      <c r="A2085" s="63"/>
      <c r="B2085" s="63">
        <f>'Padrão EPP'!B2085</f>
        <v>7</v>
      </c>
      <c r="C2085" s="63" t="str">
        <f>'Padrão EPP'!C2085</f>
        <v>RO</v>
      </c>
      <c r="D2085" s="63" t="str">
        <f>'Padrão EPP'!D2085</f>
        <v>INTERIOR</v>
      </c>
      <c r="E2085" s="63">
        <f>'Padrão EPP'!E2085/2</f>
        <v>58.693033448168684</v>
      </c>
      <c r="F2085" s="67">
        <v>3.0000000000000001E-3</v>
      </c>
      <c r="G2085" s="67">
        <v>2E-3</v>
      </c>
      <c r="H2085" s="63"/>
    </row>
    <row r="2086" spans="1:8" x14ac:dyDescent="0.25">
      <c r="A2086" s="63"/>
      <c r="B2086" s="63">
        <f>'Padrão EPP'!B2086</f>
        <v>8</v>
      </c>
      <c r="C2086" s="63" t="str">
        <f>'Padrão EPP'!C2086</f>
        <v>RO</v>
      </c>
      <c r="D2086" s="63" t="str">
        <f>'Padrão EPP'!D2086</f>
        <v>INTERIOR</v>
      </c>
      <c r="E2086" s="63">
        <f>'Padrão EPP'!E2086/2</f>
        <v>65.694875349854257</v>
      </c>
      <c r="F2086" s="67">
        <v>3.0000000000000001E-3</v>
      </c>
      <c r="G2086" s="67">
        <v>2E-3</v>
      </c>
      <c r="H2086" s="63"/>
    </row>
    <row r="2087" spans="1:8" x14ac:dyDescent="0.25">
      <c r="A2087" s="63"/>
      <c r="B2087" s="63">
        <f>'Padrão EPP'!B2087</f>
        <v>9</v>
      </c>
      <c r="C2087" s="63" t="str">
        <f>'Padrão EPP'!C2087</f>
        <v>RO</v>
      </c>
      <c r="D2087" s="63" t="str">
        <f>'Padrão EPP'!D2087</f>
        <v>INTERIOR</v>
      </c>
      <c r="E2087" s="63">
        <f>'Padrão EPP'!E2087/2</f>
        <v>72.535818169471909</v>
      </c>
      <c r="F2087" s="67">
        <v>3.0000000000000001E-3</v>
      </c>
      <c r="G2087" s="67">
        <v>2E-3</v>
      </c>
      <c r="H2087" s="63"/>
    </row>
    <row r="2088" spans="1:8" x14ac:dyDescent="0.25">
      <c r="A2088" s="63"/>
      <c r="B2088" s="63">
        <f>'Padrão EPP'!B2088</f>
        <v>10</v>
      </c>
      <c r="C2088" s="63" t="str">
        <f>'Padrão EPP'!C2088</f>
        <v>RO</v>
      </c>
      <c r="D2088" s="63" t="str">
        <f>'Padrão EPP'!D2088</f>
        <v>INTERIOR</v>
      </c>
      <c r="E2088" s="63">
        <f>'Padrão EPP'!E2088/2</f>
        <v>79.319681231724672</v>
      </c>
      <c r="F2088" s="67">
        <v>3.0000000000000001E-3</v>
      </c>
      <c r="G2088" s="67">
        <v>2E-3</v>
      </c>
      <c r="H2088" s="63"/>
    </row>
    <row r="2089" spans="1:8" x14ac:dyDescent="0.25">
      <c r="A2089" s="63"/>
      <c r="B2089" s="63">
        <f>'Padrão EPP'!B2089</f>
        <v>11</v>
      </c>
      <c r="C2089" s="63" t="str">
        <f>'Padrão EPP'!C2089</f>
        <v>RO</v>
      </c>
      <c r="D2089" s="63" t="str">
        <f>'Padrão EPP'!D2089</f>
        <v>INTERIOR</v>
      </c>
      <c r="E2089" s="63">
        <f>'Padrão EPP'!E2089/2</f>
        <v>0</v>
      </c>
      <c r="F2089" s="67">
        <v>3.0000000000000001E-3</v>
      </c>
      <c r="G2089" s="67">
        <v>2E-3</v>
      </c>
      <c r="H2089" s="63"/>
    </row>
    <row r="2090" spans="1:8" x14ac:dyDescent="0.25">
      <c r="A2090" s="63"/>
      <c r="B2090" s="63">
        <f>'Padrão EPP'!B2090</f>
        <v>12</v>
      </c>
      <c r="C2090" s="63" t="str">
        <f>'Padrão EPP'!C2090</f>
        <v>RO</v>
      </c>
      <c r="D2090" s="63" t="str">
        <f>'Padrão EPP'!D2090</f>
        <v>INTERIOR</v>
      </c>
      <c r="E2090" s="63">
        <f>'Padrão EPP'!E2090/2</f>
        <v>0</v>
      </c>
      <c r="F2090" s="67">
        <v>3.0000000000000001E-3</v>
      </c>
      <c r="G2090" s="67">
        <v>2E-3</v>
      </c>
      <c r="H2090" s="63"/>
    </row>
    <row r="2091" spans="1:8" x14ac:dyDescent="0.25">
      <c r="A2091" s="63"/>
      <c r="B2091" s="63">
        <f>'Padrão EPP'!B2091</f>
        <v>13</v>
      </c>
      <c r="C2091" s="63" t="str">
        <f>'Padrão EPP'!C2091</f>
        <v>RO</v>
      </c>
      <c r="D2091" s="63" t="str">
        <f>'Padrão EPP'!D2091</f>
        <v>INTERIOR</v>
      </c>
      <c r="E2091" s="63">
        <f>'Padrão EPP'!E2091/2</f>
        <v>0</v>
      </c>
      <c r="F2091" s="67">
        <v>3.0000000000000001E-3</v>
      </c>
      <c r="G2091" s="67">
        <v>2E-3</v>
      </c>
      <c r="H2091" s="63"/>
    </row>
    <row r="2092" spans="1:8" x14ac:dyDescent="0.25">
      <c r="A2092" s="63"/>
      <c r="B2092" s="63">
        <f>'Padrão EPP'!B2092</f>
        <v>14</v>
      </c>
      <c r="C2092" s="63" t="str">
        <f>'Padrão EPP'!C2092</f>
        <v>RO</v>
      </c>
      <c r="D2092" s="63" t="str">
        <f>'Padrão EPP'!D2092</f>
        <v>INTERIOR</v>
      </c>
      <c r="E2092" s="63">
        <f>'Padrão EPP'!E2092/2</f>
        <v>0</v>
      </c>
      <c r="F2092" s="67">
        <v>3.0000000000000001E-3</v>
      </c>
      <c r="G2092" s="67">
        <v>2E-3</v>
      </c>
      <c r="H2092" s="63"/>
    </row>
    <row r="2093" spans="1:8" x14ac:dyDescent="0.25">
      <c r="A2093" s="63"/>
      <c r="B2093" s="63">
        <f>'Padrão EPP'!B2093</f>
        <v>15</v>
      </c>
      <c r="C2093" s="63" t="str">
        <f>'Padrão EPP'!C2093</f>
        <v>RO</v>
      </c>
      <c r="D2093" s="63" t="str">
        <f>'Padrão EPP'!D2093</f>
        <v>INTERIOR</v>
      </c>
      <c r="E2093" s="63">
        <f>'Padrão EPP'!E2093/2</f>
        <v>0</v>
      </c>
      <c r="F2093" s="67">
        <v>3.0000000000000001E-3</v>
      </c>
      <c r="G2093" s="67">
        <v>2E-3</v>
      </c>
      <c r="H2093" s="63"/>
    </row>
    <row r="2094" spans="1:8" x14ac:dyDescent="0.25">
      <c r="A2094" s="63"/>
      <c r="B2094" s="63">
        <f>'Padrão EPP'!B2094</f>
        <v>16</v>
      </c>
      <c r="C2094" s="63" t="str">
        <f>'Padrão EPP'!C2094</f>
        <v>RO</v>
      </c>
      <c r="D2094" s="63" t="str">
        <f>'Padrão EPP'!D2094</f>
        <v>INTERIOR</v>
      </c>
      <c r="E2094" s="63">
        <f>'Padrão EPP'!E2094/2</f>
        <v>0</v>
      </c>
      <c r="F2094" s="67">
        <v>3.0000000000000001E-3</v>
      </c>
      <c r="G2094" s="67">
        <v>2E-3</v>
      </c>
      <c r="H2094" s="63"/>
    </row>
    <row r="2095" spans="1:8" x14ac:dyDescent="0.25">
      <c r="A2095" s="63"/>
      <c r="B2095" s="63">
        <f>'Padrão EPP'!B2095</f>
        <v>17</v>
      </c>
      <c r="C2095" s="63" t="str">
        <f>'Padrão EPP'!C2095</f>
        <v>RO</v>
      </c>
      <c r="D2095" s="63" t="str">
        <f>'Padrão EPP'!D2095</f>
        <v>INTERIOR</v>
      </c>
      <c r="E2095" s="63">
        <f>'Padrão EPP'!E2095/2</f>
        <v>0</v>
      </c>
      <c r="F2095" s="67">
        <v>3.0000000000000001E-3</v>
      </c>
      <c r="G2095" s="67">
        <v>2E-3</v>
      </c>
      <c r="H2095" s="63"/>
    </row>
    <row r="2096" spans="1:8" x14ac:dyDescent="0.25">
      <c r="A2096" s="63"/>
      <c r="B2096" s="63">
        <f>'Padrão EPP'!B2096</f>
        <v>18</v>
      </c>
      <c r="C2096" s="63" t="str">
        <f>'Padrão EPP'!C2096</f>
        <v>RO</v>
      </c>
      <c r="D2096" s="63" t="str">
        <f>'Padrão EPP'!D2096</f>
        <v>INTERIOR</v>
      </c>
      <c r="E2096" s="63">
        <f>'Padrão EPP'!E2096/2</f>
        <v>0</v>
      </c>
      <c r="F2096" s="67">
        <v>3.0000000000000001E-3</v>
      </c>
      <c r="G2096" s="67">
        <v>2E-3</v>
      </c>
      <c r="H2096" s="63"/>
    </row>
    <row r="2097" spans="1:8" x14ac:dyDescent="0.25">
      <c r="A2097" s="63"/>
      <c r="B2097" s="63">
        <f>'Padrão EPP'!B2097</f>
        <v>19</v>
      </c>
      <c r="C2097" s="63" t="str">
        <f>'Padrão EPP'!C2097</f>
        <v>RO</v>
      </c>
      <c r="D2097" s="63" t="str">
        <f>'Padrão EPP'!D2097</f>
        <v>INTERIOR</v>
      </c>
      <c r="E2097" s="63">
        <f>'Padrão EPP'!E2097/2</f>
        <v>0</v>
      </c>
      <c r="F2097" s="67">
        <v>3.0000000000000001E-3</v>
      </c>
      <c r="G2097" s="67">
        <v>2E-3</v>
      </c>
      <c r="H2097" s="63"/>
    </row>
    <row r="2098" spans="1:8" x14ac:dyDescent="0.25">
      <c r="A2098" s="63"/>
      <c r="B2098" s="63">
        <f>'Padrão EPP'!B2098</f>
        <v>20</v>
      </c>
      <c r="C2098" s="63" t="str">
        <f>'Padrão EPP'!C2098</f>
        <v>RO</v>
      </c>
      <c r="D2098" s="63" t="str">
        <f>'Padrão EPP'!D2098</f>
        <v>INTERIOR</v>
      </c>
      <c r="E2098" s="63">
        <f>'Padrão EPP'!E2098/2</f>
        <v>0</v>
      </c>
      <c r="F2098" s="67">
        <v>3.0000000000000001E-3</v>
      </c>
      <c r="G2098" s="67">
        <v>2E-3</v>
      </c>
      <c r="H2098" s="63"/>
    </row>
    <row r="2099" spans="1:8" x14ac:dyDescent="0.25">
      <c r="A2099" s="63"/>
      <c r="B2099" s="63">
        <f>'Padrão EPP'!B2099</f>
        <v>21</v>
      </c>
      <c r="C2099" s="63" t="str">
        <f>'Padrão EPP'!C2099</f>
        <v>RO</v>
      </c>
      <c r="D2099" s="63" t="str">
        <f>'Padrão EPP'!D2099</f>
        <v>INTERIOR</v>
      </c>
      <c r="E2099" s="63">
        <f>'Padrão EPP'!E2099/2</f>
        <v>0</v>
      </c>
      <c r="F2099" s="67">
        <v>3.0000000000000001E-3</v>
      </c>
      <c r="G2099" s="67">
        <v>2E-3</v>
      </c>
      <c r="H2099" s="63"/>
    </row>
    <row r="2100" spans="1:8" x14ac:dyDescent="0.25">
      <c r="A2100" s="63"/>
      <c r="B2100" s="63">
        <f>'Padrão EPP'!B2100</f>
        <v>22</v>
      </c>
      <c r="C2100" s="63" t="str">
        <f>'Padrão EPP'!C2100</f>
        <v>RO</v>
      </c>
      <c r="D2100" s="63" t="str">
        <f>'Padrão EPP'!D2100</f>
        <v>INTERIOR</v>
      </c>
      <c r="E2100" s="63">
        <f>'Padrão EPP'!E2100/2</f>
        <v>0</v>
      </c>
      <c r="F2100" s="67">
        <v>3.0000000000000001E-3</v>
      </c>
      <c r="G2100" s="67">
        <v>2E-3</v>
      </c>
      <c r="H2100" s="63"/>
    </row>
    <row r="2101" spans="1:8" x14ac:dyDescent="0.25">
      <c r="A2101" s="63"/>
      <c r="B2101" s="63">
        <f>'Padrão EPP'!B2101</f>
        <v>23</v>
      </c>
      <c r="C2101" s="63" t="str">
        <f>'Padrão EPP'!C2101</f>
        <v>RO</v>
      </c>
      <c r="D2101" s="63" t="str">
        <f>'Padrão EPP'!D2101</f>
        <v>INTERIOR</v>
      </c>
      <c r="E2101" s="63">
        <f>'Padrão EPP'!E2101/2</f>
        <v>0</v>
      </c>
      <c r="F2101" s="67">
        <v>3.0000000000000001E-3</v>
      </c>
      <c r="G2101" s="67">
        <v>2E-3</v>
      </c>
      <c r="H2101" s="63"/>
    </row>
    <row r="2102" spans="1:8" x14ac:dyDescent="0.25">
      <c r="A2102" s="63"/>
      <c r="B2102" s="63">
        <f>'Padrão EPP'!B2102</f>
        <v>24</v>
      </c>
      <c r="C2102" s="63" t="str">
        <f>'Padrão EPP'!C2102</f>
        <v>RO</v>
      </c>
      <c r="D2102" s="63" t="str">
        <f>'Padrão EPP'!D2102</f>
        <v>INTERIOR</v>
      </c>
      <c r="E2102" s="63">
        <f>'Padrão EPP'!E2102/2</f>
        <v>0</v>
      </c>
      <c r="F2102" s="67">
        <v>3.0000000000000001E-3</v>
      </c>
      <c r="G2102" s="67">
        <v>2E-3</v>
      </c>
      <c r="H2102" s="63"/>
    </row>
    <row r="2103" spans="1:8" x14ac:dyDescent="0.25">
      <c r="A2103" s="63"/>
      <c r="B2103" s="63">
        <f>'Padrão EPP'!B2103</f>
        <v>25</v>
      </c>
      <c r="C2103" s="63" t="str">
        <f>'Padrão EPP'!C2103</f>
        <v>RO</v>
      </c>
      <c r="D2103" s="63" t="str">
        <f>'Padrão EPP'!D2103</f>
        <v>INTERIOR</v>
      </c>
      <c r="E2103" s="63">
        <f>'Padrão EPP'!E2103/2</f>
        <v>0</v>
      </c>
      <c r="F2103" s="67">
        <v>3.0000000000000001E-3</v>
      </c>
      <c r="G2103" s="67">
        <v>2E-3</v>
      </c>
      <c r="H2103" s="63"/>
    </row>
    <row r="2104" spans="1:8" x14ac:dyDescent="0.25">
      <c r="A2104" s="63"/>
      <c r="B2104" s="63">
        <f>'Padrão EPP'!B2104</f>
        <v>26</v>
      </c>
      <c r="C2104" s="63" t="str">
        <f>'Padrão EPP'!C2104</f>
        <v>RO</v>
      </c>
      <c r="D2104" s="63" t="str">
        <f>'Padrão EPP'!D2104</f>
        <v>INTERIOR</v>
      </c>
      <c r="E2104" s="63">
        <f>'Padrão EPP'!E2104/2</f>
        <v>0</v>
      </c>
      <c r="F2104" s="67">
        <v>3.0000000000000001E-3</v>
      </c>
      <c r="G2104" s="67">
        <v>2E-3</v>
      </c>
      <c r="H2104" s="63"/>
    </row>
    <row r="2105" spans="1:8" x14ac:dyDescent="0.25">
      <c r="A2105" s="63"/>
      <c r="B2105" s="63">
        <f>'Padrão EPP'!B2105</f>
        <v>27</v>
      </c>
      <c r="C2105" s="63" t="str">
        <f>'Padrão EPP'!C2105</f>
        <v>RO</v>
      </c>
      <c r="D2105" s="63" t="str">
        <f>'Padrão EPP'!D2105</f>
        <v>INTERIOR</v>
      </c>
      <c r="E2105" s="63">
        <f>'Padrão EPP'!E2105/2</f>
        <v>0</v>
      </c>
      <c r="F2105" s="67">
        <v>3.0000000000000001E-3</v>
      </c>
      <c r="G2105" s="67">
        <v>2E-3</v>
      </c>
      <c r="H2105" s="63"/>
    </row>
    <row r="2106" spans="1:8" x14ac:dyDescent="0.25">
      <c r="A2106" s="63"/>
      <c r="B2106" s="63">
        <f>'Padrão EPP'!B2106</f>
        <v>28</v>
      </c>
      <c r="C2106" s="63" t="str">
        <f>'Padrão EPP'!C2106</f>
        <v>RO</v>
      </c>
      <c r="D2106" s="63" t="str">
        <f>'Padrão EPP'!D2106</f>
        <v>INTERIOR</v>
      </c>
      <c r="E2106" s="63">
        <f>'Padrão EPP'!E2106/2</f>
        <v>0</v>
      </c>
      <c r="F2106" s="67">
        <v>3.0000000000000001E-3</v>
      </c>
      <c r="G2106" s="67">
        <v>2E-3</v>
      </c>
      <c r="H2106" s="63"/>
    </row>
    <row r="2107" spans="1:8" x14ac:dyDescent="0.25">
      <c r="A2107" s="63"/>
      <c r="B2107" s="63">
        <f>'Padrão EPP'!B2107</f>
        <v>29</v>
      </c>
      <c r="C2107" s="63" t="str">
        <f>'Padrão EPP'!C2107</f>
        <v>RO</v>
      </c>
      <c r="D2107" s="63" t="str">
        <f>'Padrão EPP'!D2107</f>
        <v>INTERIOR</v>
      </c>
      <c r="E2107" s="63">
        <f>'Padrão EPP'!E2107/2</f>
        <v>0</v>
      </c>
      <c r="F2107" s="67">
        <v>3.0000000000000001E-3</v>
      </c>
      <c r="G2107" s="67">
        <v>2E-3</v>
      </c>
      <c r="H2107" s="63"/>
    </row>
    <row r="2108" spans="1:8" x14ac:dyDescent="0.25">
      <c r="A2108" s="63"/>
      <c r="B2108" s="63">
        <f>'Padrão EPP'!B2108</f>
        <v>30</v>
      </c>
      <c r="C2108" s="63" t="str">
        <f>'Padrão EPP'!C2108</f>
        <v>RO</v>
      </c>
      <c r="D2108" s="63" t="str">
        <f>'Padrão EPP'!D2108</f>
        <v>INTERIOR</v>
      </c>
      <c r="E2108" s="63">
        <f>'Padrão EPP'!E2108/2</f>
        <v>0</v>
      </c>
      <c r="F2108" s="67">
        <v>3.0000000000000001E-3</v>
      </c>
      <c r="G2108" s="67">
        <v>2E-3</v>
      </c>
      <c r="H2108" s="63"/>
    </row>
    <row r="2109" spans="1:8" x14ac:dyDescent="0.25">
      <c r="A2109" s="63"/>
      <c r="B2109" s="63">
        <f>'Padrão EPP'!B2109</f>
        <v>0</v>
      </c>
      <c r="C2109" s="63" t="str">
        <f>'Padrão EPP'!C2109</f>
        <v>RO</v>
      </c>
      <c r="D2109" s="63" t="str">
        <f>'Padrão EPP'!D2109</f>
        <v>INTERIOR</v>
      </c>
      <c r="E2109" s="63">
        <f>'Padrão EPP'!E2109/2</f>
        <v>1.5214394455252955</v>
      </c>
      <c r="F2109" s="67">
        <v>3.0000000000000001E-3</v>
      </c>
      <c r="G2109" s="67">
        <v>2E-3</v>
      </c>
      <c r="H2109" s="63"/>
    </row>
    <row r="2110" spans="1:8" x14ac:dyDescent="0.25">
      <c r="A2110" s="63"/>
      <c r="B2110" s="63">
        <f>'Padrão EPP'!B2110</f>
        <v>0.25</v>
      </c>
      <c r="C2110" s="63" t="str">
        <f>'Padrão EPP'!C2110</f>
        <v>RO</v>
      </c>
      <c r="D2110" s="63" t="str">
        <f>'Padrão EPP'!D2110</f>
        <v>INTERIOR II</v>
      </c>
      <c r="E2110" s="63">
        <f>'Padrão EPP'!E2110/2</f>
        <v>18.65030146576785</v>
      </c>
      <c r="F2110" s="67">
        <v>3.0000000000000001E-3</v>
      </c>
      <c r="G2110" s="67">
        <v>2E-3</v>
      </c>
      <c r="H2110" s="63"/>
    </row>
    <row r="2111" spans="1:8" x14ac:dyDescent="0.25">
      <c r="A2111" s="63"/>
      <c r="B2111" s="63">
        <f>'Padrão EPP'!B2111</f>
        <v>0.5</v>
      </c>
      <c r="C2111" s="63" t="str">
        <f>'Padrão EPP'!C2111</f>
        <v>RO</v>
      </c>
      <c r="D2111" s="63" t="str">
        <f>'Padrão EPP'!D2111</f>
        <v>INTERIOR II</v>
      </c>
      <c r="E2111" s="63">
        <f>'Padrão EPP'!E2111/2</f>
        <v>18.977087416683741</v>
      </c>
      <c r="F2111" s="67">
        <v>3.0000000000000001E-3</v>
      </c>
      <c r="G2111" s="67">
        <v>2E-3</v>
      </c>
      <c r="H2111" s="63"/>
    </row>
    <row r="2112" spans="1:8" x14ac:dyDescent="0.25">
      <c r="A2112" s="63"/>
      <c r="B2112" s="63">
        <f>'Padrão EPP'!B2112</f>
        <v>0.75</v>
      </c>
      <c r="C2112" s="63" t="str">
        <f>'Padrão EPP'!C2112</f>
        <v>RO</v>
      </c>
      <c r="D2112" s="63" t="str">
        <f>'Padrão EPP'!D2112</f>
        <v>INTERIOR II</v>
      </c>
      <c r="E2112" s="63">
        <f>'Padrão EPP'!E2112/2</f>
        <v>19.230594097565717</v>
      </c>
      <c r="F2112" s="67">
        <v>3.0000000000000001E-3</v>
      </c>
      <c r="G2112" s="67">
        <v>2E-3</v>
      </c>
      <c r="H2112" s="63"/>
    </row>
    <row r="2113" spans="1:8" x14ac:dyDescent="0.25">
      <c r="A2113" s="63"/>
      <c r="B2113" s="63">
        <f>'Padrão EPP'!B2113</f>
        <v>1</v>
      </c>
      <c r="C2113" s="63" t="str">
        <f>'Padrão EPP'!C2113</f>
        <v>RO</v>
      </c>
      <c r="D2113" s="63" t="str">
        <f>'Padrão EPP'!D2113</f>
        <v>INTERIOR II</v>
      </c>
      <c r="E2113" s="63">
        <f>'Padrão EPP'!E2113/2</f>
        <v>19.535154692305831</v>
      </c>
      <c r="F2113" s="67">
        <v>3.0000000000000001E-3</v>
      </c>
      <c r="G2113" s="67">
        <v>2E-3</v>
      </c>
      <c r="H2113" s="63"/>
    </row>
    <row r="2114" spans="1:8" x14ac:dyDescent="0.25">
      <c r="A2114" s="63"/>
      <c r="B2114" s="63">
        <f>'Padrão EPP'!B2114</f>
        <v>2</v>
      </c>
      <c r="C2114" s="63" t="str">
        <f>'Padrão EPP'!C2114</f>
        <v>RO</v>
      </c>
      <c r="D2114" s="63" t="str">
        <f>'Padrão EPP'!D2114</f>
        <v>INTERIOR II</v>
      </c>
      <c r="E2114" s="63">
        <f>'Padrão EPP'!E2114/2</f>
        <v>25.497992021896518</v>
      </c>
      <c r="F2114" s="67">
        <v>3.0000000000000001E-3</v>
      </c>
      <c r="G2114" s="67">
        <v>2E-3</v>
      </c>
      <c r="H2114" s="63"/>
    </row>
    <row r="2115" spans="1:8" x14ac:dyDescent="0.25">
      <c r="A2115" s="63"/>
      <c r="B2115" s="63">
        <f>'Padrão EPP'!B2115</f>
        <v>3</v>
      </c>
      <c r="C2115" s="63" t="str">
        <f>'Padrão EPP'!C2115</f>
        <v>RO</v>
      </c>
      <c r="D2115" s="63" t="str">
        <f>'Padrão EPP'!D2115</f>
        <v>INTERIOR II</v>
      </c>
      <c r="E2115" s="63">
        <f>'Padrão EPP'!E2115/2</f>
        <v>32.052872085427417</v>
      </c>
      <c r="F2115" s="67">
        <v>3.0000000000000001E-3</v>
      </c>
      <c r="G2115" s="67">
        <v>2E-3</v>
      </c>
      <c r="H2115" s="63"/>
    </row>
    <row r="2116" spans="1:8" x14ac:dyDescent="0.25">
      <c r="A2116" s="63"/>
      <c r="B2116" s="63">
        <f>'Padrão EPP'!B2116</f>
        <v>4</v>
      </c>
      <c r="C2116" s="63" t="str">
        <f>'Padrão EPP'!C2116</f>
        <v>RO</v>
      </c>
      <c r="D2116" s="63" t="str">
        <f>'Padrão EPP'!D2116</f>
        <v>INTERIOR II</v>
      </c>
      <c r="E2116" s="63">
        <f>'Padrão EPP'!E2116/2</f>
        <v>38.659062145857774</v>
      </c>
      <c r="F2116" s="67">
        <v>3.0000000000000001E-3</v>
      </c>
      <c r="G2116" s="67">
        <v>2E-3</v>
      </c>
      <c r="H2116" s="63"/>
    </row>
    <row r="2117" spans="1:8" x14ac:dyDescent="0.25">
      <c r="A2117" s="63"/>
      <c r="B2117" s="63">
        <f>'Padrão EPP'!B2117</f>
        <v>5</v>
      </c>
      <c r="C2117" s="63" t="str">
        <f>'Padrão EPP'!C2117</f>
        <v>RO</v>
      </c>
      <c r="D2117" s="63" t="str">
        <f>'Padrão EPP'!D2117</f>
        <v>INTERIOR II</v>
      </c>
      <c r="E2117" s="63">
        <f>'Padrão EPP'!E2117/2</f>
        <v>45.32169320287754</v>
      </c>
      <c r="F2117" s="67">
        <v>3.0000000000000001E-3</v>
      </c>
      <c r="G2117" s="67">
        <v>2E-3</v>
      </c>
      <c r="H2117" s="63"/>
    </row>
    <row r="2118" spans="1:8" x14ac:dyDescent="0.25">
      <c r="A2118" s="63"/>
      <c r="B2118" s="63">
        <f>'Padrão EPP'!B2118</f>
        <v>6</v>
      </c>
      <c r="C2118" s="63" t="str">
        <f>'Padrão EPP'!C2118</f>
        <v>RO</v>
      </c>
      <c r="D2118" s="63" t="str">
        <f>'Padrão EPP'!D2118</f>
        <v>INTERIOR II</v>
      </c>
      <c r="E2118" s="63">
        <f>'Padrão EPP'!E2118/2</f>
        <v>53.049034996113093</v>
      </c>
      <c r="F2118" s="67">
        <v>3.0000000000000001E-3</v>
      </c>
      <c r="G2118" s="67">
        <v>2E-3</v>
      </c>
      <c r="H2118" s="63"/>
    </row>
    <row r="2119" spans="1:8" x14ac:dyDescent="0.25">
      <c r="A2119" s="63"/>
      <c r="B2119" s="63">
        <f>'Padrão EPP'!B2119</f>
        <v>7</v>
      </c>
      <c r="C2119" s="63" t="str">
        <f>'Padrão EPP'!C2119</f>
        <v>RO</v>
      </c>
      <c r="D2119" s="63" t="str">
        <f>'Padrão EPP'!D2119</f>
        <v>INTERIOR II</v>
      </c>
      <c r="E2119" s="63">
        <f>'Padrão EPP'!E2119/2</f>
        <v>59.442133391839668</v>
      </c>
      <c r="F2119" s="67">
        <v>3.0000000000000001E-3</v>
      </c>
      <c r="G2119" s="67">
        <v>2E-3</v>
      </c>
      <c r="H2119" s="63"/>
    </row>
    <row r="2120" spans="1:8" x14ac:dyDescent="0.25">
      <c r="A2120" s="63"/>
      <c r="B2120" s="63">
        <f>'Padrão EPP'!B2120</f>
        <v>8</v>
      </c>
      <c r="C2120" s="63" t="str">
        <f>'Padrão EPP'!C2120</f>
        <v>RO</v>
      </c>
      <c r="D2120" s="63" t="str">
        <f>'Padrão EPP'!D2120</f>
        <v>INTERIOR II</v>
      </c>
      <c r="E2120" s="63">
        <f>'Padrão EPP'!E2120/2</f>
        <v>65.902874116776189</v>
      </c>
      <c r="F2120" s="67">
        <v>3.0000000000000001E-3</v>
      </c>
      <c r="G2120" s="67">
        <v>2E-3</v>
      </c>
      <c r="H2120" s="63"/>
    </row>
    <row r="2121" spans="1:8" x14ac:dyDescent="0.25">
      <c r="A2121" s="63"/>
      <c r="B2121" s="63">
        <f>'Padrão EPP'!B2121</f>
        <v>9</v>
      </c>
      <c r="C2121" s="63" t="str">
        <f>'Padrão EPP'!C2121</f>
        <v>RO</v>
      </c>
      <c r="D2121" s="63" t="str">
        <f>'Padrão EPP'!D2121</f>
        <v>INTERIOR II</v>
      </c>
      <c r="E2121" s="63">
        <f>'Padrão EPP'!E2121/2</f>
        <v>72.878080853755733</v>
      </c>
      <c r="F2121" s="67">
        <v>3.0000000000000001E-3</v>
      </c>
      <c r="G2121" s="67">
        <v>2E-3</v>
      </c>
      <c r="H2121" s="63"/>
    </row>
    <row r="2122" spans="1:8" x14ac:dyDescent="0.25">
      <c r="A2122" s="63"/>
      <c r="B2122" s="63">
        <f>'Padrão EPP'!B2122</f>
        <v>10</v>
      </c>
      <c r="C2122" s="63" t="str">
        <f>'Padrão EPP'!C2122</f>
        <v>RO</v>
      </c>
      <c r="D2122" s="63" t="str">
        <f>'Padrão EPP'!D2122</f>
        <v>INTERIOR II</v>
      </c>
      <c r="E2122" s="63">
        <f>'Padrão EPP'!E2122/2</f>
        <v>79.375946471558493</v>
      </c>
      <c r="F2122" s="67">
        <v>3.0000000000000001E-3</v>
      </c>
      <c r="G2122" s="67">
        <v>2E-3</v>
      </c>
      <c r="H2122" s="63"/>
    </row>
    <row r="2123" spans="1:8" x14ac:dyDescent="0.25">
      <c r="A2123" s="63"/>
      <c r="B2123" s="63">
        <f>'Padrão EPP'!B2123</f>
        <v>11</v>
      </c>
      <c r="C2123" s="63" t="str">
        <f>'Padrão EPP'!C2123</f>
        <v>RO</v>
      </c>
      <c r="D2123" s="63" t="str">
        <f>'Padrão EPP'!D2123</f>
        <v>INTERIOR II</v>
      </c>
      <c r="E2123" s="63">
        <f>'Padrão EPP'!E2123/2</f>
        <v>0</v>
      </c>
      <c r="F2123" s="67">
        <v>3.0000000000000001E-3</v>
      </c>
      <c r="G2123" s="67">
        <v>2E-3</v>
      </c>
      <c r="H2123" s="63"/>
    </row>
    <row r="2124" spans="1:8" x14ac:dyDescent="0.25">
      <c r="A2124" s="63"/>
      <c r="B2124" s="63">
        <f>'Padrão EPP'!B2124</f>
        <v>12</v>
      </c>
      <c r="C2124" s="63" t="str">
        <f>'Padrão EPP'!C2124</f>
        <v>RO</v>
      </c>
      <c r="D2124" s="63" t="str">
        <f>'Padrão EPP'!D2124</f>
        <v>INTERIOR II</v>
      </c>
      <c r="E2124" s="63">
        <f>'Padrão EPP'!E2124/2</f>
        <v>0</v>
      </c>
      <c r="F2124" s="67">
        <v>3.0000000000000001E-3</v>
      </c>
      <c r="G2124" s="67">
        <v>2E-3</v>
      </c>
      <c r="H2124" s="63"/>
    </row>
    <row r="2125" spans="1:8" x14ac:dyDescent="0.25">
      <c r="A2125" s="63"/>
      <c r="B2125" s="63">
        <f>'Padrão EPP'!B2125</f>
        <v>13</v>
      </c>
      <c r="C2125" s="63" t="str">
        <f>'Padrão EPP'!C2125</f>
        <v>RO</v>
      </c>
      <c r="D2125" s="63" t="str">
        <f>'Padrão EPP'!D2125</f>
        <v>INTERIOR II</v>
      </c>
      <c r="E2125" s="63">
        <f>'Padrão EPP'!E2125/2</f>
        <v>0</v>
      </c>
      <c r="F2125" s="67">
        <v>3.0000000000000001E-3</v>
      </c>
      <c r="G2125" s="67">
        <v>2E-3</v>
      </c>
      <c r="H2125" s="63"/>
    </row>
    <row r="2126" spans="1:8" x14ac:dyDescent="0.25">
      <c r="A2126" s="63"/>
      <c r="B2126" s="63">
        <f>'Padrão EPP'!B2126</f>
        <v>14</v>
      </c>
      <c r="C2126" s="63" t="str">
        <f>'Padrão EPP'!C2126</f>
        <v>RO</v>
      </c>
      <c r="D2126" s="63" t="str">
        <f>'Padrão EPP'!D2126</f>
        <v>INTERIOR II</v>
      </c>
      <c r="E2126" s="63">
        <f>'Padrão EPP'!E2126/2</f>
        <v>0</v>
      </c>
      <c r="F2126" s="67">
        <v>3.0000000000000001E-3</v>
      </c>
      <c r="G2126" s="67">
        <v>2E-3</v>
      </c>
      <c r="H2126" s="63"/>
    </row>
    <row r="2127" spans="1:8" x14ac:dyDescent="0.25">
      <c r="A2127" s="63"/>
      <c r="B2127" s="63">
        <f>'Padrão EPP'!B2127</f>
        <v>15</v>
      </c>
      <c r="C2127" s="63" t="str">
        <f>'Padrão EPP'!C2127</f>
        <v>RO</v>
      </c>
      <c r="D2127" s="63" t="str">
        <f>'Padrão EPP'!D2127</f>
        <v>INTERIOR II</v>
      </c>
      <c r="E2127" s="63">
        <f>'Padrão EPP'!E2127/2</f>
        <v>0</v>
      </c>
      <c r="F2127" s="67">
        <v>3.0000000000000001E-3</v>
      </c>
      <c r="G2127" s="67">
        <v>2E-3</v>
      </c>
      <c r="H2127" s="63"/>
    </row>
    <row r="2128" spans="1:8" x14ac:dyDescent="0.25">
      <c r="A2128" s="63"/>
      <c r="B2128" s="63">
        <f>'Padrão EPP'!B2128</f>
        <v>16</v>
      </c>
      <c r="C2128" s="63" t="str">
        <f>'Padrão EPP'!C2128</f>
        <v>RO</v>
      </c>
      <c r="D2128" s="63" t="str">
        <f>'Padrão EPP'!D2128</f>
        <v>INTERIOR II</v>
      </c>
      <c r="E2128" s="63">
        <f>'Padrão EPP'!E2128/2</f>
        <v>0</v>
      </c>
      <c r="F2128" s="67">
        <v>3.0000000000000001E-3</v>
      </c>
      <c r="G2128" s="67">
        <v>2E-3</v>
      </c>
      <c r="H2128" s="63"/>
    </row>
    <row r="2129" spans="1:8" x14ac:dyDescent="0.25">
      <c r="A2129" s="63"/>
      <c r="B2129" s="63">
        <f>'Padrão EPP'!B2129</f>
        <v>17</v>
      </c>
      <c r="C2129" s="63" t="str">
        <f>'Padrão EPP'!C2129</f>
        <v>RO</v>
      </c>
      <c r="D2129" s="63" t="str">
        <f>'Padrão EPP'!D2129</f>
        <v>INTERIOR II</v>
      </c>
      <c r="E2129" s="63">
        <f>'Padrão EPP'!E2129/2</f>
        <v>0</v>
      </c>
      <c r="F2129" s="67">
        <v>3.0000000000000001E-3</v>
      </c>
      <c r="G2129" s="67">
        <v>2E-3</v>
      </c>
      <c r="H2129" s="63"/>
    </row>
    <row r="2130" spans="1:8" x14ac:dyDescent="0.25">
      <c r="A2130" s="63"/>
      <c r="B2130" s="63">
        <f>'Padrão EPP'!B2130</f>
        <v>18</v>
      </c>
      <c r="C2130" s="63" t="str">
        <f>'Padrão EPP'!C2130</f>
        <v>RO</v>
      </c>
      <c r="D2130" s="63" t="str">
        <f>'Padrão EPP'!D2130</f>
        <v>INTERIOR II</v>
      </c>
      <c r="E2130" s="63">
        <f>'Padrão EPP'!E2130/2</f>
        <v>0</v>
      </c>
      <c r="F2130" s="67">
        <v>3.0000000000000001E-3</v>
      </c>
      <c r="G2130" s="67">
        <v>2E-3</v>
      </c>
      <c r="H2130" s="63"/>
    </row>
    <row r="2131" spans="1:8" x14ac:dyDescent="0.25">
      <c r="A2131" s="63"/>
      <c r="B2131" s="63">
        <f>'Padrão EPP'!B2131</f>
        <v>19</v>
      </c>
      <c r="C2131" s="63" t="str">
        <f>'Padrão EPP'!C2131</f>
        <v>RO</v>
      </c>
      <c r="D2131" s="63" t="str">
        <f>'Padrão EPP'!D2131</f>
        <v>INTERIOR II</v>
      </c>
      <c r="E2131" s="63">
        <f>'Padrão EPP'!E2131/2</f>
        <v>0</v>
      </c>
      <c r="F2131" s="67">
        <v>3.0000000000000001E-3</v>
      </c>
      <c r="G2131" s="67">
        <v>2E-3</v>
      </c>
      <c r="H2131" s="63"/>
    </row>
    <row r="2132" spans="1:8" x14ac:dyDescent="0.25">
      <c r="A2132" s="63"/>
      <c r="B2132" s="63">
        <f>'Padrão EPP'!B2132</f>
        <v>20</v>
      </c>
      <c r="C2132" s="63" t="str">
        <f>'Padrão EPP'!C2132</f>
        <v>RO</v>
      </c>
      <c r="D2132" s="63" t="str">
        <f>'Padrão EPP'!D2132</f>
        <v>INTERIOR II</v>
      </c>
      <c r="E2132" s="63">
        <f>'Padrão EPP'!E2132/2</f>
        <v>0</v>
      </c>
      <c r="F2132" s="67">
        <v>3.0000000000000001E-3</v>
      </c>
      <c r="G2132" s="67">
        <v>2E-3</v>
      </c>
      <c r="H2132" s="63"/>
    </row>
    <row r="2133" spans="1:8" x14ac:dyDescent="0.25">
      <c r="A2133" s="63"/>
      <c r="B2133" s="63">
        <f>'Padrão EPP'!B2133</f>
        <v>21</v>
      </c>
      <c r="C2133" s="63" t="str">
        <f>'Padrão EPP'!C2133</f>
        <v>RO</v>
      </c>
      <c r="D2133" s="63" t="str">
        <f>'Padrão EPP'!D2133</f>
        <v>INTERIOR II</v>
      </c>
      <c r="E2133" s="63">
        <f>'Padrão EPP'!E2133/2</f>
        <v>0</v>
      </c>
      <c r="F2133" s="67">
        <v>3.0000000000000001E-3</v>
      </c>
      <c r="G2133" s="67">
        <v>2E-3</v>
      </c>
      <c r="H2133" s="63"/>
    </row>
    <row r="2134" spans="1:8" x14ac:dyDescent="0.25">
      <c r="A2134" s="63"/>
      <c r="B2134" s="63">
        <f>'Padrão EPP'!B2134</f>
        <v>22</v>
      </c>
      <c r="C2134" s="63" t="str">
        <f>'Padrão EPP'!C2134</f>
        <v>RO</v>
      </c>
      <c r="D2134" s="63" t="str">
        <f>'Padrão EPP'!D2134</f>
        <v>INTERIOR II</v>
      </c>
      <c r="E2134" s="63">
        <f>'Padrão EPP'!E2134/2</f>
        <v>0</v>
      </c>
      <c r="F2134" s="67">
        <v>3.0000000000000001E-3</v>
      </c>
      <c r="G2134" s="67">
        <v>2E-3</v>
      </c>
      <c r="H2134" s="63"/>
    </row>
    <row r="2135" spans="1:8" x14ac:dyDescent="0.25">
      <c r="A2135" s="63"/>
      <c r="B2135" s="63">
        <f>'Padrão EPP'!B2135</f>
        <v>23</v>
      </c>
      <c r="C2135" s="63" t="str">
        <f>'Padrão EPP'!C2135</f>
        <v>RO</v>
      </c>
      <c r="D2135" s="63" t="str">
        <f>'Padrão EPP'!D2135</f>
        <v>INTERIOR II</v>
      </c>
      <c r="E2135" s="63">
        <f>'Padrão EPP'!E2135/2</f>
        <v>0</v>
      </c>
      <c r="F2135" s="67">
        <v>3.0000000000000001E-3</v>
      </c>
      <c r="G2135" s="67">
        <v>2E-3</v>
      </c>
      <c r="H2135" s="63"/>
    </row>
    <row r="2136" spans="1:8" x14ac:dyDescent="0.25">
      <c r="A2136" s="63"/>
      <c r="B2136" s="63">
        <f>'Padrão EPP'!B2136</f>
        <v>24</v>
      </c>
      <c r="C2136" s="63" t="str">
        <f>'Padrão EPP'!C2136</f>
        <v>RO</v>
      </c>
      <c r="D2136" s="63" t="str">
        <f>'Padrão EPP'!D2136</f>
        <v>INTERIOR II</v>
      </c>
      <c r="E2136" s="63">
        <f>'Padrão EPP'!E2136/2</f>
        <v>0</v>
      </c>
      <c r="F2136" s="67">
        <v>3.0000000000000001E-3</v>
      </c>
      <c r="G2136" s="67">
        <v>2E-3</v>
      </c>
      <c r="H2136" s="63"/>
    </row>
    <row r="2137" spans="1:8" x14ac:dyDescent="0.25">
      <c r="A2137" s="63"/>
      <c r="B2137" s="63">
        <f>'Padrão EPP'!B2137</f>
        <v>25</v>
      </c>
      <c r="C2137" s="63" t="str">
        <f>'Padrão EPP'!C2137</f>
        <v>RO</v>
      </c>
      <c r="D2137" s="63" t="str">
        <f>'Padrão EPP'!D2137</f>
        <v>INTERIOR II</v>
      </c>
      <c r="E2137" s="63">
        <f>'Padrão EPP'!E2137/2</f>
        <v>0</v>
      </c>
      <c r="F2137" s="67">
        <v>3.0000000000000001E-3</v>
      </c>
      <c r="G2137" s="67">
        <v>2E-3</v>
      </c>
      <c r="H2137" s="63"/>
    </row>
    <row r="2138" spans="1:8" x14ac:dyDescent="0.25">
      <c r="A2138" s="63"/>
      <c r="B2138" s="63">
        <f>'Padrão EPP'!B2138</f>
        <v>26</v>
      </c>
      <c r="C2138" s="63" t="str">
        <f>'Padrão EPP'!C2138</f>
        <v>RO</v>
      </c>
      <c r="D2138" s="63" t="str">
        <f>'Padrão EPP'!D2138</f>
        <v>INTERIOR II</v>
      </c>
      <c r="E2138" s="63">
        <f>'Padrão EPP'!E2138/2</f>
        <v>0</v>
      </c>
      <c r="F2138" s="67">
        <v>3.0000000000000001E-3</v>
      </c>
      <c r="G2138" s="67">
        <v>2E-3</v>
      </c>
      <c r="H2138" s="63"/>
    </row>
    <row r="2139" spans="1:8" x14ac:dyDescent="0.25">
      <c r="A2139" s="63"/>
      <c r="B2139" s="63">
        <f>'Padrão EPP'!B2139</f>
        <v>27</v>
      </c>
      <c r="C2139" s="63" t="str">
        <f>'Padrão EPP'!C2139</f>
        <v>RO</v>
      </c>
      <c r="D2139" s="63" t="str">
        <f>'Padrão EPP'!D2139</f>
        <v>INTERIOR II</v>
      </c>
      <c r="E2139" s="63">
        <f>'Padrão EPP'!E2139/2</f>
        <v>0</v>
      </c>
      <c r="F2139" s="67">
        <v>3.0000000000000001E-3</v>
      </c>
      <c r="G2139" s="67">
        <v>2E-3</v>
      </c>
      <c r="H2139" s="63"/>
    </row>
    <row r="2140" spans="1:8" x14ac:dyDescent="0.25">
      <c r="A2140" s="63"/>
      <c r="B2140" s="63">
        <f>'Padrão EPP'!B2140</f>
        <v>28</v>
      </c>
      <c r="C2140" s="63" t="str">
        <f>'Padrão EPP'!C2140</f>
        <v>RO</v>
      </c>
      <c r="D2140" s="63" t="str">
        <f>'Padrão EPP'!D2140</f>
        <v>INTERIOR II</v>
      </c>
      <c r="E2140" s="63">
        <f>'Padrão EPP'!E2140/2</f>
        <v>0</v>
      </c>
      <c r="F2140" s="67">
        <v>3.0000000000000001E-3</v>
      </c>
      <c r="G2140" s="67">
        <v>2E-3</v>
      </c>
      <c r="H2140" s="63"/>
    </row>
    <row r="2141" spans="1:8" x14ac:dyDescent="0.25">
      <c r="A2141" s="63"/>
      <c r="B2141" s="63">
        <f>'Padrão EPP'!B2141</f>
        <v>29</v>
      </c>
      <c r="C2141" s="63" t="str">
        <f>'Padrão EPP'!C2141</f>
        <v>RO</v>
      </c>
      <c r="D2141" s="63" t="str">
        <f>'Padrão EPP'!D2141</f>
        <v>INTERIOR II</v>
      </c>
      <c r="E2141" s="63">
        <f>'Padrão EPP'!E2141/2</f>
        <v>0</v>
      </c>
      <c r="F2141" s="67">
        <v>3.0000000000000001E-3</v>
      </c>
      <c r="G2141" s="67">
        <v>2E-3</v>
      </c>
      <c r="H2141" s="63"/>
    </row>
    <row r="2142" spans="1:8" x14ac:dyDescent="0.25">
      <c r="A2142" s="63"/>
      <c r="B2142" s="63">
        <f>'Padrão EPP'!B2142</f>
        <v>30</v>
      </c>
      <c r="C2142" s="63" t="str">
        <f>'Padrão EPP'!C2142</f>
        <v>RO</v>
      </c>
      <c r="D2142" s="63" t="str">
        <f>'Padrão EPP'!D2142</f>
        <v>INTERIOR II</v>
      </c>
      <c r="E2142" s="63">
        <f>'Padrão EPP'!E2142/2</f>
        <v>0</v>
      </c>
      <c r="F2142" s="67">
        <v>3.0000000000000001E-3</v>
      </c>
      <c r="G2142" s="67">
        <v>2E-3</v>
      </c>
      <c r="H2142" s="63"/>
    </row>
    <row r="2143" spans="1:8" x14ac:dyDescent="0.25">
      <c r="A2143" s="63"/>
      <c r="B2143" s="63">
        <f>'Padrão EPP'!B2143</f>
        <v>0</v>
      </c>
      <c r="C2143" s="63" t="str">
        <f>'Padrão EPP'!C2143</f>
        <v>RO</v>
      </c>
      <c r="D2143" s="63" t="str">
        <f>'Padrão EPP'!D2143</f>
        <v>INTERIOR II</v>
      </c>
      <c r="E2143" s="63">
        <f>'Padrão EPP'!E2143/2</f>
        <v>1.5214394455252955</v>
      </c>
      <c r="F2143" s="67">
        <v>3.0000000000000001E-3</v>
      </c>
      <c r="G2143" s="67">
        <v>2E-3</v>
      </c>
      <c r="H2143" s="63"/>
    </row>
    <row r="2144" spans="1:8" x14ac:dyDescent="0.25">
      <c r="A2144" s="63"/>
      <c r="B2144" s="63">
        <f>'Padrão EPP'!B2144</f>
        <v>0.25</v>
      </c>
      <c r="C2144" s="63" t="str">
        <f>'Padrão EPP'!C2144</f>
        <v>RO</v>
      </c>
      <c r="D2144" s="63" t="str">
        <f>'Padrão EPP'!D2144</f>
        <v>REDESPACHO</v>
      </c>
      <c r="E2144" s="63">
        <f>'Padrão EPP'!E2144/2</f>
        <v>26.178235012594254</v>
      </c>
      <c r="F2144" s="67">
        <v>3.0000000000000001E-3</v>
      </c>
      <c r="G2144" s="67">
        <v>2E-3</v>
      </c>
      <c r="H2144" s="63"/>
    </row>
    <row r="2145" spans="1:8" x14ac:dyDescent="0.25">
      <c r="A2145" s="63"/>
      <c r="B2145" s="63">
        <f>'Padrão EPP'!B2145</f>
        <v>0.5</v>
      </c>
      <c r="C2145" s="63" t="str">
        <f>'Padrão EPP'!C2145</f>
        <v>RO</v>
      </c>
      <c r="D2145" s="63" t="str">
        <f>'Padrão EPP'!D2145</f>
        <v>REDESPACHO</v>
      </c>
      <c r="E2145" s="63">
        <f>'Padrão EPP'!E2145/2</f>
        <v>26.880103002905145</v>
      </c>
      <c r="F2145" s="67">
        <v>3.0000000000000001E-3</v>
      </c>
      <c r="G2145" s="67">
        <v>2E-3</v>
      </c>
      <c r="H2145" s="63"/>
    </row>
    <row r="2146" spans="1:8" x14ac:dyDescent="0.25">
      <c r="A2146" s="63"/>
      <c r="B2146" s="63">
        <f>'Padrão EPP'!B2146</f>
        <v>0.75</v>
      </c>
      <c r="C2146" s="63" t="str">
        <f>'Padrão EPP'!C2146</f>
        <v>RO</v>
      </c>
      <c r="D2146" s="63" t="str">
        <f>'Padrão EPP'!D2146</f>
        <v>REDESPACHO</v>
      </c>
      <c r="E2146" s="63">
        <f>'Padrão EPP'!E2146/2</f>
        <v>27.112673715433619</v>
      </c>
      <c r="F2146" s="67">
        <v>3.0000000000000001E-3</v>
      </c>
      <c r="G2146" s="67">
        <v>2E-3</v>
      </c>
      <c r="H2146" s="63"/>
    </row>
    <row r="2147" spans="1:8" x14ac:dyDescent="0.25">
      <c r="A2147" s="63"/>
      <c r="B2147" s="63">
        <f>'Padrão EPP'!B2147</f>
        <v>1</v>
      </c>
      <c r="C2147" s="63" t="str">
        <f>'Padrão EPP'!C2147</f>
        <v>RO</v>
      </c>
      <c r="D2147" s="63" t="str">
        <f>'Padrão EPP'!D2147</f>
        <v>REDESPACHO</v>
      </c>
      <c r="E2147" s="63">
        <f>'Padrão EPP'!E2147/2</f>
        <v>27.305322261230241</v>
      </c>
      <c r="F2147" s="67">
        <v>3.0000000000000001E-3</v>
      </c>
      <c r="G2147" s="67">
        <v>2E-3</v>
      </c>
      <c r="H2147" s="63"/>
    </row>
    <row r="2148" spans="1:8" x14ac:dyDescent="0.25">
      <c r="A2148" s="63"/>
      <c r="B2148" s="63">
        <f>'Padrão EPP'!B2148</f>
        <v>2</v>
      </c>
      <c r="C2148" s="63" t="str">
        <f>'Padrão EPP'!C2148</f>
        <v>RO</v>
      </c>
      <c r="D2148" s="63" t="str">
        <f>'Padrão EPP'!D2148</f>
        <v>REDESPACHO</v>
      </c>
      <c r="E2148" s="63">
        <f>'Padrão EPP'!E2148/2</f>
        <v>34.512563485637585</v>
      </c>
      <c r="F2148" s="67">
        <v>3.0000000000000001E-3</v>
      </c>
      <c r="G2148" s="67">
        <v>2E-3</v>
      </c>
      <c r="H2148" s="63"/>
    </row>
    <row r="2149" spans="1:8" x14ac:dyDescent="0.25">
      <c r="A2149" s="63"/>
      <c r="B2149" s="63">
        <f>'Padrão EPP'!B2149</f>
        <v>3</v>
      </c>
      <c r="C2149" s="63" t="str">
        <f>'Padrão EPP'!C2149</f>
        <v>RO</v>
      </c>
      <c r="D2149" s="63" t="str">
        <f>'Padrão EPP'!D2149</f>
        <v>REDESPACHO</v>
      </c>
      <c r="E2149" s="63">
        <f>'Padrão EPP'!E2149/2</f>
        <v>42.413909680136065</v>
      </c>
      <c r="F2149" s="67">
        <v>3.0000000000000001E-3</v>
      </c>
      <c r="G2149" s="67">
        <v>2E-3</v>
      </c>
      <c r="H2149" s="63"/>
    </row>
    <row r="2150" spans="1:8" x14ac:dyDescent="0.25">
      <c r="A2150" s="63"/>
      <c r="B2150" s="63">
        <f>'Padrão EPP'!B2150</f>
        <v>4</v>
      </c>
      <c r="C2150" s="63" t="str">
        <f>'Padrão EPP'!C2150</f>
        <v>RO</v>
      </c>
      <c r="D2150" s="63" t="str">
        <f>'Padrão EPP'!D2150</f>
        <v>REDESPACHO</v>
      </c>
      <c r="E2150" s="63">
        <f>'Padrão EPP'!E2150/2</f>
        <v>50.368247399557752</v>
      </c>
      <c r="F2150" s="67">
        <v>3.0000000000000001E-3</v>
      </c>
      <c r="G2150" s="67">
        <v>2E-3</v>
      </c>
      <c r="H2150" s="63"/>
    </row>
    <row r="2151" spans="1:8" x14ac:dyDescent="0.25">
      <c r="A2151" s="63"/>
      <c r="B2151" s="63">
        <f>'Padrão EPP'!B2151</f>
        <v>5</v>
      </c>
      <c r="C2151" s="63" t="str">
        <f>'Padrão EPP'!C2151</f>
        <v>RO</v>
      </c>
      <c r="D2151" s="63" t="str">
        <f>'Padrão EPP'!D2151</f>
        <v>REDESPACHO</v>
      </c>
      <c r="E2151" s="63">
        <f>'Padrão EPP'!E2151/2</f>
        <v>58.512544186662375</v>
      </c>
      <c r="F2151" s="67">
        <v>3.0000000000000001E-3</v>
      </c>
      <c r="G2151" s="67">
        <v>2E-3</v>
      </c>
      <c r="H2151" s="63"/>
    </row>
    <row r="2152" spans="1:8" x14ac:dyDescent="0.25">
      <c r="A2152" s="63"/>
      <c r="B2152" s="63">
        <f>'Padrão EPP'!B2152</f>
        <v>6</v>
      </c>
      <c r="C2152" s="63" t="str">
        <f>'Padrão EPP'!C2152</f>
        <v>RO</v>
      </c>
      <c r="D2152" s="63" t="str">
        <f>'Padrão EPP'!D2152</f>
        <v>REDESPACHO</v>
      </c>
      <c r="E2152" s="63">
        <f>'Padrão EPP'!E2152/2</f>
        <v>66.79996175308456</v>
      </c>
      <c r="F2152" s="67">
        <v>3.0000000000000001E-3</v>
      </c>
      <c r="G2152" s="67">
        <v>2E-3</v>
      </c>
      <c r="H2152" s="63"/>
    </row>
    <row r="2153" spans="1:8" x14ac:dyDescent="0.25">
      <c r="A2153" s="63"/>
      <c r="B2153" s="63">
        <f>'Padrão EPP'!B2153</f>
        <v>7</v>
      </c>
      <c r="C2153" s="63" t="str">
        <f>'Padrão EPP'!C2153</f>
        <v>RO</v>
      </c>
      <c r="D2153" s="63" t="str">
        <f>'Padrão EPP'!D2153</f>
        <v>REDESPACHO</v>
      </c>
      <c r="E2153" s="63">
        <f>'Padrão EPP'!E2153/2</f>
        <v>75.244812176756028</v>
      </c>
      <c r="F2153" s="67">
        <v>3.0000000000000001E-3</v>
      </c>
      <c r="G2153" s="67">
        <v>2E-3</v>
      </c>
      <c r="H2153" s="63"/>
    </row>
    <row r="2154" spans="1:8" x14ac:dyDescent="0.25">
      <c r="A2154" s="63"/>
      <c r="B2154" s="63">
        <f>'Padrão EPP'!B2154</f>
        <v>8</v>
      </c>
      <c r="C2154" s="63" t="str">
        <f>'Padrão EPP'!C2154</f>
        <v>RO</v>
      </c>
      <c r="D2154" s="63" t="str">
        <f>'Padrão EPP'!D2154</f>
        <v>REDESPACHO</v>
      </c>
      <c r="E2154" s="63">
        <f>'Padrão EPP'!E2154/2</f>
        <v>84.659042386953828</v>
      </c>
      <c r="F2154" s="67">
        <v>3.0000000000000001E-3</v>
      </c>
      <c r="G2154" s="67">
        <v>2E-3</v>
      </c>
      <c r="H2154" s="63"/>
    </row>
    <row r="2155" spans="1:8" x14ac:dyDescent="0.25">
      <c r="A2155" s="63"/>
      <c r="B2155" s="63">
        <f>'Padrão EPP'!B2155</f>
        <v>9</v>
      </c>
      <c r="C2155" s="63" t="str">
        <f>'Padrão EPP'!C2155</f>
        <v>RO</v>
      </c>
      <c r="D2155" s="63" t="str">
        <f>'Padrão EPP'!D2155</f>
        <v>REDESPACHO</v>
      </c>
      <c r="E2155" s="63">
        <f>'Padrão EPP'!E2155/2</f>
        <v>93.547183075226343</v>
      </c>
      <c r="F2155" s="67">
        <v>3.0000000000000001E-3</v>
      </c>
      <c r="G2155" s="67">
        <v>2E-3</v>
      </c>
      <c r="H2155" s="63"/>
    </row>
    <row r="2156" spans="1:8" x14ac:dyDescent="0.25">
      <c r="A2156" s="63"/>
      <c r="B2156" s="63">
        <f>'Padrão EPP'!B2156</f>
        <v>10</v>
      </c>
      <c r="C2156" s="63" t="str">
        <f>'Padrão EPP'!C2156</f>
        <v>RO</v>
      </c>
      <c r="D2156" s="63" t="str">
        <f>'Padrão EPP'!D2156</f>
        <v>REDESPACHO</v>
      </c>
      <c r="E2156" s="63">
        <f>'Padrão EPP'!E2156/2</f>
        <v>102.4513894111145</v>
      </c>
      <c r="F2156" s="67">
        <v>3.0000000000000001E-3</v>
      </c>
      <c r="G2156" s="67">
        <v>2E-3</v>
      </c>
      <c r="H2156" s="63"/>
    </row>
    <row r="2157" spans="1:8" x14ac:dyDescent="0.25">
      <c r="A2157" s="63"/>
      <c r="B2157" s="63">
        <f>'Padrão EPP'!B2157</f>
        <v>11</v>
      </c>
      <c r="C2157" s="63" t="str">
        <f>'Padrão EPP'!C2157</f>
        <v>RO</v>
      </c>
      <c r="D2157" s="63" t="str">
        <f>'Padrão EPP'!D2157</f>
        <v>REDESPACHO</v>
      </c>
      <c r="E2157" s="63">
        <f>'Padrão EPP'!E2157/2</f>
        <v>0</v>
      </c>
      <c r="F2157" s="67">
        <v>3.0000000000000001E-3</v>
      </c>
      <c r="G2157" s="67">
        <v>2E-3</v>
      </c>
      <c r="H2157" s="63"/>
    </row>
    <row r="2158" spans="1:8" x14ac:dyDescent="0.25">
      <c r="A2158" s="63"/>
      <c r="B2158" s="63">
        <f>'Padrão EPP'!B2158</f>
        <v>12</v>
      </c>
      <c r="C2158" s="63" t="str">
        <f>'Padrão EPP'!C2158</f>
        <v>RO</v>
      </c>
      <c r="D2158" s="63" t="str">
        <f>'Padrão EPP'!D2158</f>
        <v>REDESPACHO</v>
      </c>
      <c r="E2158" s="63">
        <f>'Padrão EPP'!E2158/2</f>
        <v>0</v>
      </c>
      <c r="F2158" s="67">
        <v>3.0000000000000001E-3</v>
      </c>
      <c r="G2158" s="67">
        <v>2E-3</v>
      </c>
      <c r="H2158" s="63"/>
    </row>
    <row r="2159" spans="1:8" x14ac:dyDescent="0.25">
      <c r="A2159" s="63"/>
      <c r="B2159" s="63">
        <f>'Padrão EPP'!B2159</f>
        <v>13</v>
      </c>
      <c r="C2159" s="63" t="str">
        <f>'Padrão EPP'!C2159</f>
        <v>RO</v>
      </c>
      <c r="D2159" s="63" t="str">
        <f>'Padrão EPP'!D2159</f>
        <v>REDESPACHO</v>
      </c>
      <c r="E2159" s="63">
        <f>'Padrão EPP'!E2159/2</f>
        <v>0</v>
      </c>
      <c r="F2159" s="67">
        <v>3.0000000000000001E-3</v>
      </c>
      <c r="G2159" s="67">
        <v>2E-3</v>
      </c>
      <c r="H2159" s="63"/>
    </row>
    <row r="2160" spans="1:8" x14ac:dyDescent="0.25">
      <c r="A2160" s="63"/>
      <c r="B2160" s="63">
        <f>'Padrão EPP'!B2160</f>
        <v>14</v>
      </c>
      <c r="C2160" s="63" t="str">
        <f>'Padrão EPP'!C2160</f>
        <v>RO</v>
      </c>
      <c r="D2160" s="63" t="str">
        <f>'Padrão EPP'!D2160</f>
        <v>REDESPACHO</v>
      </c>
      <c r="E2160" s="63">
        <f>'Padrão EPP'!E2160/2</f>
        <v>0</v>
      </c>
      <c r="F2160" s="67">
        <v>3.0000000000000001E-3</v>
      </c>
      <c r="G2160" s="67">
        <v>2E-3</v>
      </c>
      <c r="H2160" s="63"/>
    </row>
    <row r="2161" spans="1:8" x14ac:dyDescent="0.25">
      <c r="A2161" s="63"/>
      <c r="B2161" s="63">
        <f>'Padrão EPP'!B2161</f>
        <v>15</v>
      </c>
      <c r="C2161" s="63" t="str">
        <f>'Padrão EPP'!C2161</f>
        <v>RO</v>
      </c>
      <c r="D2161" s="63" t="str">
        <f>'Padrão EPP'!D2161</f>
        <v>REDESPACHO</v>
      </c>
      <c r="E2161" s="63">
        <f>'Padrão EPP'!E2161/2</f>
        <v>0</v>
      </c>
      <c r="F2161" s="67">
        <v>3.0000000000000001E-3</v>
      </c>
      <c r="G2161" s="67">
        <v>2E-3</v>
      </c>
      <c r="H2161" s="63"/>
    </row>
    <row r="2162" spans="1:8" x14ac:dyDescent="0.25">
      <c r="A2162" s="63"/>
      <c r="B2162" s="63">
        <f>'Padrão EPP'!B2162</f>
        <v>16</v>
      </c>
      <c r="C2162" s="63" t="str">
        <f>'Padrão EPP'!C2162</f>
        <v>RO</v>
      </c>
      <c r="D2162" s="63" t="str">
        <f>'Padrão EPP'!D2162</f>
        <v>REDESPACHO</v>
      </c>
      <c r="E2162" s="63">
        <f>'Padrão EPP'!E2162/2</f>
        <v>0</v>
      </c>
      <c r="F2162" s="67">
        <v>3.0000000000000001E-3</v>
      </c>
      <c r="G2162" s="67">
        <v>2E-3</v>
      </c>
      <c r="H2162" s="63"/>
    </row>
    <row r="2163" spans="1:8" x14ac:dyDescent="0.25">
      <c r="A2163" s="63"/>
      <c r="B2163" s="63">
        <f>'Padrão EPP'!B2163</f>
        <v>17</v>
      </c>
      <c r="C2163" s="63" t="str">
        <f>'Padrão EPP'!C2163</f>
        <v>RO</v>
      </c>
      <c r="D2163" s="63" t="str">
        <f>'Padrão EPP'!D2163</f>
        <v>REDESPACHO</v>
      </c>
      <c r="E2163" s="63">
        <f>'Padrão EPP'!E2163/2</f>
        <v>0</v>
      </c>
      <c r="F2163" s="67">
        <v>3.0000000000000001E-3</v>
      </c>
      <c r="G2163" s="67">
        <v>2E-3</v>
      </c>
      <c r="H2163" s="63"/>
    </row>
    <row r="2164" spans="1:8" x14ac:dyDescent="0.25">
      <c r="A2164" s="63"/>
      <c r="B2164" s="63">
        <f>'Padrão EPP'!B2164</f>
        <v>18</v>
      </c>
      <c r="C2164" s="63" t="str">
        <f>'Padrão EPP'!C2164</f>
        <v>RO</v>
      </c>
      <c r="D2164" s="63" t="str">
        <f>'Padrão EPP'!D2164</f>
        <v>REDESPACHO</v>
      </c>
      <c r="E2164" s="63">
        <f>'Padrão EPP'!E2164/2</f>
        <v>0</v>
      </c>
      <c r="F2164" s="67">
        <v>3.0000000000000001E-3</v>
      </c>
      <c r="G2164" s="67">
        <v>2E-3</v>
      </c>
      <c r="H2164" s="63"/>
    </row>
    <row r="2165" spans="1:8" x14ac:dyDescent="0.25">
      <c r="A2165" s="63"/>
      <c r="B2165" s="63">
        <f>'Padrão EPP'!B2165</f>
        <v>19</v>
      </c>
      <c r="C2165" s="63" t="str">
        <f>'Padrão EPP'!C2165</f>
        <v>RO</v>
      </c>
      <c r="D2165" s="63" t="str">
        <f>'Padrão EPP'!D2165</f>
        <v>REDESPACHO</v>
      </c>
      <c r="E2165" s="63">
        <f>'Padrão EPP'!E2165/2</f>
        <v>0</v>
      </c>
      <c r="F2165" s="67">
        <v>3.0000000000000001E-3</v>
      </c>
      <c r="G2165" s="67">
        <v>2E-3</v>
      </c>
      <c r="H2165" s="63"/>
    </row>
    <row r="2166" spans="1:8" x14ac:dyDescent="0.25">
      <c r="A2166" s="63"/>
      <c r="B2166" s="63">
        <f>'Padrão EPP'!B2166</f>
        <v>20</v>
      </c>
      <c r="C2166" s="63" t="str">
        <f>'Padrão EPP'!C2166</f>
        <v>RO</v>
      </c>
      <c r="D2166" s="63" t="str">
        <f>'Padrão EPP'!D2166</f>
        <v>REDESPACHO</v>
      </c>
      <c r="E2166" s="63">
        <f>'Padrão EPP'!E2166/2</f>
        <v>0</v>
      </c>
      <c r="F2166" s="67">
        <v>3.0000000000000001E-3</v>
      </c>
      <c r="G2166" s="67">
        <v>2E-3</v>
      </c>
      <c r="H2166" s="63"/>
    </row>
    <row r="2167" spans="1:8" x14ac:dyDescent="0.25">
      <c r="A2167" s="63"/>
      <c r="B2167" s="63">
        <f>'Padrão EPP'!B2167</f>
        <v>21</v>
      </c>
      <c r="C2167" s="63" t="str">
        <f>'Padrão EPP'!C2167</f>
        <v>RO</v>
      </c>
      <c r="D2167" s="63" t="str">
        <f>'Padrão EPP'!D2167</f>
        <v>REDESPACHO</v>
      </c>
      <c r="E2167" s="63">
        <f>'Padrão EPP'!E2167/2</f>
        <v>0</v>
      </c>
      <c r="F2167" s="67">
        <v>3.0000000000000001E-3</v>
      </c>
      <c r="G2167" s="67">
        <v>2E-3</v>
      </c>
      <c r="H2167" s="63"/>
    </row>
    <row r="2168" spans="1:8" x14ac:dyDescent="0.25">
      <c r="A2168" s="63"/>
      <c r="B2168" s="63">
        <f>'Padrão EPP'!B2168</f>
        <v>22</v>
      </c>
      <c r="C2168" s="63" t="str">
        <f>'Padrão EPP'!C2168</f>
        <v>RO</v>
      </c>
      <c r="D2168" s="63" t="str">
        <f>'Padrão EPP'!D2168</f>
        <v>REDESPACHO</v>
      </c>
      <c r="E2168" s="63">
        <f>'Padrão EPP'!E2168/2</f>
        <v>0</v>
      </c>
      <c r="F2168" s="67">
        <v>3.0000000000000001E-3</v>
      </c>
      <c r="G2168" s="67">
        <v>2E-3</v>
      </c>
      <c r="H2168" s="63"/>
    </row>
    <row r="2169" spans="1:8" x14ac:dyDescent="0.25">
      <c r="A2169" s="63"/>
      <c r="B2169" s="63">
        <f>'Padrão EPP'!B2169</f>
        <v>23</v>
      </c>
      <c r="C2169" s="63" t="str">
        <f>'Padrão EPP'!C2169</f>
        <v>RO</v>
      </c>
      <c r="D2169" s="63" t="str">
        <f>'Padrão EPP'!D2169</f>
        <v>REDESPACHO</v>
      </c>
      <c r="E2169" s="63">
        <f>'Padrão EPP'!E2169/2</f>
        <v>0</v>
      </c>
      <c r="F2169" s="67">
        <v>3.0000000000000001E-3</v>
      </c>
      <c r="G2169" s="67">
        <v>2E-3</v>
      </c>
      <c r="H2169" s="63"/>
    </row>
    <row r="2170" spans="1:8" x14ac:dyDescent="0.25">
      <c r="A2170" s="63"/>
      <c r="B2170" s="63">
        <f>'Padrão EPP'!B2170</f>
        <v>24</v>
      </c>
      <c r="C2170" s="63" t="str">
        <f>'Padrão EPP'!C2170</f>
        <v>RO</v>
      </c>
      <c r="D2170" s="63" t="str">
        <f>'Padrão EPP'!D2170</f>
        <v>REDESPACHO</v>
      </c>
      <c r="E2170" s="63">
        <f>'Padrão EPP'!E2170/2</f>
        <v>0</v>
      </c>
      <c r="F2170" s="67">
        <v>3.0000000000000001E-3</v>
      </c>
      <c r="G2170" s="67">
        <v>2E-3</v>
      </c>
      <c r="H2170" s="63"/>
    </row>
    <row r="2171" spans="1:8" x14ac:dyDescent="0.25">
      <c r="A2171" s="63"/>
      <c r="B2171" s="63">
        <f>'Padrão EPP'!B2171</f>
        <v>25</v>
      </c>
      <c r="C2171" s="63" t="str">
        <f>'Padrão EPP'!C2171</f>
        <v>RO</v>
      </c>
      <c r="D2171" s="63" t="str">
        <f>'Padrão EPP'!D2171</f>
        <v>REDESPACHO</v>
      </c>
      <c r="E2171" s="63">
        <f>'Padrão EPP'!E2171/2</f>
        <v>0</v>
      </c>
      <c r="F2171" s="67">
        <v>3.0000000000000001E-3</v>
      </c>
      <c r="G2171" s="67">
        <v>2E-3</v>
      </c>
      <c r="H2171" s="63"/>
    </row>
    <row r="2172" spans="1:8" x14ac:dyDescent="0.25">
      <c r="A2172" s="63"/>
      <c r="B2172" s="63">
        <f>'Padrão EPP'!B2172</f>
        <v>26</v>
      </c>
      <c r="C2172" s="63" t="str">
        <f>'Padrão EPP'!C2172</f>
        <v>RO</v>
      </c>
      <c r="D2172" s="63" t="str">
        <f>'Padrão EPP'!D2172</f>
        <v>REDESPACHO</v>
      </c>
      <c r="E2172" s="63">
        <f>'Padrão EPP'!E2172/2</f>
        <v>0</v>
      </c>
      <c r="F2172" s="67">
        <v>3.0000000000000001E-3</v>
      </c>
      <c r="G2172" s="67">
        <v>2E-3</v>
      </c>
      <c r="H2172" s="63"/>
    </row>
    <row r="2173" spans="1:8" x14ac:dyDescent="0.25">
      <c r="A2173" s="63"/>
      <c r="B2173" s="63">
        <f>'Padrão EPP'!B2173</f>
        <v>27</v>
      </c>
      <c r="C2173" s="63" t="str">
        <f>'Padrão EPP'!C2173</f>
        <v>RO</v>
      </c>
      <c r="D2173" s="63" t="str">
        <f>'Padrão EPP'!D2173</f>
        <v>REDESPACHO</v>
      </c>
      <c r="E2173" s="63">
        <f>'Padrão EPP'!E2173/2</f>
        <v>0</v>
      </c>
      <c r="F2173" s="67">
        <v>3.0000000000000001E-3</v>
      </c>
      <c r="G2173" s="67">
        <v>2E-3</v>
      </c>
      <c r="H2173" s="63"/>
    </row>
    <row r="2174" spans="1:8" x14ac:dyDescent="0.25">
      <c r="A2174" s="63"/>
      <c r="B2174" s="63">
        <f>'Padrão EPP'!B2174</f>
        <v>28</v>
      </c>
      <c r="C2174" s="63" t="str">
        <f>'Padrão EPP'!C2174</f>
        <v>RO</v>
      </c>
      <c r="D2174" s="63" t="str">
        <f>'Padrão EPP'!D2174</f>
        <v>REDESPACHO</v>
      </c>
      <c r="E2174" s="63">
        <f>'Padrão EPP'!E2174/2</f>
        <v>0</v>
      </c>
      <c r="F2174" s="67">
        <v>3.0000000000000001E-3</v>
      </c>
      <c r="G2174" s="67">
        <v>2E-3</v>
      </c>
      <c r="H2174" s="63"/>
    </row>
    <row r="2175" spans="1:8" x14ac:dyDescent="0.25">
      <c r="A2175" s="63"/>
      <c r="B2175" s="63">
        <f>'Padrão EPP'!B2175</f>
        <v>29</v>
      </c>
      <c r="C2175" s="63" t="str">
        <f>'Padrão EPP'!C2175</f>
        <v>RO</v>
      </c>
      <c r="D2175" s="63" t="str">
        <f>'Padrão EPP'!D2175</f>
        <v>REDESPACHO</v>
      </c>
      <c r="E2175" s="63">
        <f>'Padrão EPP'!E2175/2</f>
        <v>0</v>
      </c>
      <c r="F2175" s="67">
        <v>3.0000000000000001E-3</v>
      </c>
      <c r="G2175" s="67">
        <v>2E-3</v>
      </c>
      <c r="H2175" s="63"/>
    </row>
    <row r="2176" spans="1:8" x14ac:dyDescent="0.25">
      <c r="A2176" s="63"/>
      <c r="B2176" s="63">
        <f>'Padrão EPP'!B2176</f>
        <v>30</v>
      </c>
      <c r="C2176" s="63" t="str">
        <f>'Padrão EPP'!C2176</f>
        <v>RO</v>
      </c>
      <c r="D2176" s="63" t="str">
        <f>'Padrão EPP'!D2176</f>
        <v>REDESPACHO</v>
      </c>
      <c r="E2176" s="63">
        <f>'Padrão EPP'!E2176/2</f>
        <v>0</v>
      </c>
      <c r="F2176" s="67">
        <v>3.0000000000000001E-3</v>
      </c>
      <c r="G2176" s="67">
        <v>2E-3</v>
      </c>
      <c r="H2176" s="63"/>
    </row>
    <row r="2177" spans="1:8" x14ac:dyDescent="0.25">
      <c r="A2177" s="63"/>
      <c r="B2177" s="63">
        <f>'Padrão EPP'!B2177</f>
        <v>0</v>
      </c>
      <c r="C2177" s="63" t="str">
        <f>'Padrão EPP'!C2177</f>
        <v>RO</v>
      </c>
      <c r="D2177" s="63" t="str">
        <f>'Padrão EPP'!D2177</f>
        <v>REDESPACHO</v>
      </c>
      <c r="E2177" s="63">
        <f>'Padrão EPP'!E2177/2</f>
        <v>1.5214394455252955</v>
      </c>
      <c r="F2177" s="67">
        <v>3.0000000000000001E-3</v>
      </c>
      <c r="G2177" s="67">
        <v>2E-3</v>
      </c>
      <c r="H2177" s="63"/>
    </row>
    <row r="2178" spans="1:8" x14ac:dyDescent="0.25">
      <c r="A2178" s="63"/>
      <c r="B2178" s="63">
        <f>'Padrão EPP'!B2178</f>
        <v>0.25</v>
      </c>
      <c r="C2178" s="63" t="str">
        <f>'Padrão EPP'!C2178</f>
        <v>RR</v>
      </c>
      <c r="D2178" s="63" t="str">
        <f>'Padrão EPP'!D2178</f>
        <v>CAPITAL</v>
      </c>
      <c r="E2178" s="63">
        <f>'Padrão EPP'!E2178/2</f>
        <v>18.207124455221294</v>
      </c>
      <c r="F2178" s="67">
        <v>3.0000000000000001E-3</v>
      </c>
      <c r="G2178" s="67">
        <v>2E-3</v>
      </c>
      <c r="H2178" s="63"/>
    </row>
    <row r="2179" spans="1:8" x14ac:dyDescent="0.25">
      <c r="A2179" s="63"/>
      <c r="B2179" s="63">
        <f>'Padrão EPP'!B2179</f>
        <v>0.5</v>
      </c>
      <c r="C2179" s="63" t="str">
        <f>'Padrão EPP'!C2179</f>
        <v>RR</v>
      </c>
      <c r="D2179" s="63" t="str">
        <f>'Padrão EPP'!D2179</f>
        <v>CAPITAL</v>
      </c>
      <c r="E2179" s="63">
        <f>'Padrão EPP'!E2179/2</f>
        <v>18.423151083942599</v>
      </c>
      <c r="F2179" s="67">
        <v>3.0000000000000001E-3</v>
      </c>
      <c r="G2179" s="67">
        <v>2E-3</v>
      </c>
      <c r="H2179" s="63"/>
    </row>
    <row r="2180" spans="1:8" x14ac:dyDescent="0.25">
      <c r="A2180" s="63"/>
      <c r="B2180" s="63">
        <f>'Padrão EPP'!B2180</f>
        <v>0.75</v>
      </c>
      <c r="C2180" s="63" t="str">
        <f>'Padrão EPP'!C2180</f>
        <v>RR</v>
      </c>
      <c r="D2180" s="63" t="str">
        <f>'Padrão EPP'!D2180</f>
        <v>CAPITAL</v>
      </c>
      <c r="E2180" s="63">
        <f>'Padrão EPP'!E2180/2</f>
        <v>18.571560981917763</v>
      </c>
      <c r="F2180" s="67">
        <v>3.0000000000000001E-3</v>
      </c>
      <c r="G2180" s="67">
        <v>2E-3</v>
      </c>
      <c r="H2180" s="63"/>
    </row>
    <row r="2181" spans="1:8" x14ac:dyDescent="0.25">
      <c r="A2181" s="63"/>
      <c r="B2181" s="63">
        <f>'Padrão EPP'!B2181</f>
        <v>1</v>
      </c>
      <c r="C2181" s="63" t="str">
        <f>'Padrão EPP'!C2181</f>
        <v>RR</v>
      </c>
      <c r="D2181" s="63" t="str">
        <f>'Padrão EPP'!D2181</f>
        <v>CAPITAL</v>
      </c>
      <c r="E2181" s="63">
        <f>'Padrão EPP'!E2181/2</f>
        <v>18.761394342932093</v>
      </c>
      <c r="F2181" s="67">
        <v>3.0000000000000001E-3</v>
      </c>
      <c r="G2181" s="67">
        <v>2E-3</v>
      </c>
      <c r="H2181" s="63"/>
    </row>
    <row r="2182" spans="1:8" x14ac:dyDescent="0.25">
      <c r="A2182" s="63"/>
      <c r="B2182" s="63">
        <f>'Padrão EPP'!B2182</f>
        <v>2</v>
      </c>
      <c r="C2182" s="63" t="str">
        <f>'Padrão EPP'!C2182</f>
        <v>RR</v>
      </c>
      <c r="D2182" s="63" t="str">
        <f>'Padrão EPP'!D2182</f>
        <v>CAPITAL</v>
      </c>
      <c r="E2182" s="63">
        <f>'Padrão EPP'!E2182/2</f>
        <v>24.246211453522204</v>
      </c>
      <c r="F2182" s="67">
        <v>3.0000000000000001E-3</v>
      </c>
      <c r="G2182" s="67">
        <v>2E-3</v>
      </c>
      <c r="H2182" s="63"/>
    </row>
    <row r="2183" spans="1:8" x14ac:dyDescent="0.25">
      <c r="A2183" s="63"/>
      <c r="B2183" s="63">
        <f>'Padrão EPP'!B2183</f>
        <v>3</v>
      </c>
      <c r="C2183" s="63" t="str">
        <f>'Padrão EPP'!C2183</f>
        <v>RR</v>
      </c>
      <c r="D2183" s="63" t="str">
        <f>'Padrão EPP'!D2183</f>
        <v>CAPITAL</v>
      </c>
      <c r="E2183" s="63">
        <f>'Padrão EPP'!E2183/2</f>
        <v>30.274659387126945</v>
      </c>
      <c r="F2183" s="67">
        <v>3.0000000000000001E-3</v>
      </c>
      <c r="G2183" s="67">
        <v>2E-3</v>
      </c>
      <c r="H2183" s="63"/>
    </row>
    <row r="2184" spans="1:8" x14ac:dyDescent="0.25">
      <c r="A2184" s="63"/>
      <c r="B2184" s="63">
        <f>'Padrão EPP'!B2184</f>
        <v>4</v>
      </c>
      <c r="C2184" s="63" t="str">
        <f>'Padrão EPP'!C2184</f>
        <v>RR</v>
      </c>
      <c r="D2184" s="63" t="str">
        <f>'Padrão EPP'!D2184</f>
        <v>CAPITAL</v>
      </c>
      <c r="E2184" s="63">
        <f>'Padrão EPP'!E2184/2</f>
        <v>36.462480564183075</v>
      </c>
      <c r="F2184" s="67">
        <v>3.0000000000000001E-3</v>
      </c>
      <c r="G2184" s="67">
        <v>2E-3</v>
      </c>
      <c r="H2184" s="63"/>
    </row>
    <row r="2185" spans="1:8" x14ac:dyDescent="0.25">
      <c r="A2185" s="63"/>
      <c r="B2185" s="63">
        <f>'Padrão EPP'!B2185</f>
        <v>5</v>
      </c>
      <c r="C2185" s="63" t="str">
        <f>'Padrão EPP'!C2185</f>
        <v>RR</v>
      </c>
      <c r="D2185" s="63" t="str">
        <f>'Padrão EPP'!D2185</f>
        <v>CAPITAL</v>
      </c>
      <c r="E2185" s="63">
        <f>'Padrão EPP'!E2185/2</f>
        <v>42.888825792811026</v>
      </c>
      <c r="F2185" s="67">
        <v>3.0000000000000001E-3</v>
      </c>
      <c r="G2185" s="67">
        <v>2E-3</v>
      </c>
      <c r="H2185" s="63"/>
    </row>
    <row r="2186" spans="1:8" x14ac:dyDescent="0.25">
      <c r="A2186" s="63"/>
      <c r="B2186" s="63">
        <f>'Padrão EPP'!B2186</f>
        <v>6</v>
      </c>
      <c r="C2186" s="63" t="str">
        <f>'Padrão EPP'!C2186</f>
        <v>RR</v>
      </c>
      <c r="D2186" s="63" t="str">
        <f>'Padrão EPP'!D2186</f>
        <v>CAPITAL</v>
      </c>
      <c r="E2186" s="63">
        <f>'Padrão EPP'!E2186/2</f>
        <v>49.067736276368791</v>
      </c>
      <c r="F2186" s="67">
        <v>3.0000000000000001E-3</v>
      </c>
      <c r="G2186" s="67">
        <v>2E-3</v>
      </c>
      <c r="H2186" s="63"/>
    </row>
    <row r="2187" spans="1:8" x14ac:dyDescent="0.25">
      <c r="A2187" s="63"/>
      <c r="B2187" s="63">
        <f>'Padrão EPP'!B2187</f>
        <v>7</v>
      </c>
      <c r="C2187" s="63" t="str">
        <f>'Padrão EPP'!C2187</f>
        <v>RR</v>
      </c>
      <c r="D2187" s="63" t="str">
        <f>'Padrão EPP'!D2187</f>
        <v>CAPITAL</v>
      </c>
      <c r="E2187" s="63">
        <f>'Padrão EPP'!E2187/2</f>
        <v>55.329483609363102</v>
      </c>
      <c r="F2187" s="67">
        <v>3.0000000000000001E-3</v>
      </c>
      <c r="G2187" s="67">
        <v>2E-3</v>
      </c>
      <c r="H2187" s="63"/>
    </row>
    <row r="2188" spans="1:8" x14ac:dyDescent="0.25">
      <c r="A2188" s="63"/>
      <c r="B2188" s="63">
        <f>'Padrão EPP'!B2188</f>
        <v>8</v>
      </c>
      <c r="C2188" s="63" t="str">
        <f>'Padrão EPP'!C2188</f>
        <v>RR</v>
      </c>
      <c r="D2188" s="63" t="str">
        <f>'Padrão EPP'!D2188</f>
        <v>CAPITAL</v>
      </c>
      <c r="E2188" s="63">
        <f>'Padrão EPP'!E2188/2</f>
        <v>61.682351476737615</v>
      </c>
      <c r="F2188" s="67">
        <v>3.0000000000000001E-3</v>
      </c>
      <c r="G2188" s="67">
        <v>2E-3</v>
      </c>
      <c r="H2188" s="63"/>
    </row>
    <row r="2189" spans="1:8" x14ac:dyDescent="0.25">
      <c r="A2189" s="63"/>
      <c r="B2189" s="63">
        <f>'Padrão EPP'!B2189</f>
        <v>9</v>
      </c>
      <c r="C2189" s="63" t="str">
        <f>'Padrão EPP'!C2189</f>
        <v>RR</v>
      </c>
      <c r="D2189" s="63" t="str">
        <f>'Padrão EPP'!D2189</f>
        <v>CAPITAL</v>
      </c>
      <c r="E2189" s="63">
        <f>'Padrão EPP'!E2189/2</f>
        <v>68.135451931930348</v>
      </c>
      <c r="F2189" s="67">
        <v>3.0000000000000001E-3</v>
      </c>
      <c r="G2189" s="67">
        <v>2E-3</v>
      </c>
      <c r="H2189" s="63"/>
    </row>
    <row r="2190" spans="1:8" x14ac:dyDescent="0.25">
      <c r="A2190" s="63"/>
      <c r="B2190" s="63">
        <f>'Padrão EPP'!B2190</f>
        <v>10</v>
      </c>
      <c r="C2190" s="63" t="str">
        <f>'Padrão EPP'!C2190</f>
        <v>RR</v>
      </c>
      <c r="D2190" s="63" t="str">
        <f>'Padrão EPP'!D2190</f>
        <v>CAPITAL</v>
      </c>
      <c r="E2190" s="63">
        <f>'Padrão EPP'!E2190/2</f>
        <v>74.127052914925798</v>
      </c>
      <c r="F2190" s="67">
        <v>3.0000000000000001E-3</v>
      </c>
      <c r="G2190" s="67">
        <v>2E-3</v>
      </c>
      <c r="H2190" s="63"/>
    </row>
    <row r="2191" spans="1:8" x14ac:dyDescent="0.25">
      <c r="A2191" s="63"/>
      <c r="B2191" s="63">
        <f>'Padrão EPP'!B2191</f>
        <v>11</v>
      </c>
      <c r="C2191" s="63" t="str">
        <f>'Padrão EPP'!C2191</f>
        <v>RR</v>
      </c>
      <c r="D2191" s="63" t="str">
        <f>'Padrão EPP'!D2191</f>
        <v>CAPITAL</v>
      </c>
      <c r="E2191" s="63">
        <f>'Padrão EPP'!E2191/2</f>
        <v>0</v>
      </c>
      <c r="F2191" s="67">
        <v>3.0000000000000001E-3</v>
      </c>
      <c r="G2191" s="67">
        <v>2E-3</v>
      </c>
      <c r="H2191" s="63"/>
    </row>
    <row r="2192" spans="1:8" x14ac:dyDescent="0.25">
      <c r="A2192" s="63"/>
      <c r="B2192" s="63">
        <f>'Padrão EPP'!B2192</f>
        <v>12</v>
      </c>
      <c r="C2192" s="63" t="str">
        <f>'Padrão EPP'!C2192</f>
        <v>RR</v>
      </c>
      <c r="D2192" s="63" t="str">
        <f>'Padrão EPP'!D2192</f>
        <v>CAPITAL</v>
      </c>
      <c r="E2192" s="63">
        <f>'Padrão EPP'!E2192/2</f>
        <v>0</v>
      </c>
      <c r="F2192" s="67">
        <v>3.0000000000000001E-3</v>
      </c>
      <c r="G2192" s="67">
        <v>2E-3</v>
      </c>
      <c r="H2192" s="63"/>
    </row>
    <row r="2193" spans="1:8" x14ac:dyDescent="0.25">
      <c r="A2193" s="63"/>
      <c r="B2193" s="63">
        <f>'Padrão EPP'!B2193</f>
        <v>13</v>
      </c>
      <c r="C2193" s="63" t="str">
        <f>'Padrão EPP'!C2193</f>
        <v>RR</v>
      </c>
      <c r="D2193" s="63" t="str">
        <f>'Padrão EPP'!D2193</f>
        <v>CAPITAL</v>
      </c>
      <c r="E2193" s="63">
        <f>'Padrão EPP'!E2193/2</f>
        <v>0</v>
      </c>
      <c r="F2193" s="67">
        <v>3.0000000000000001E-3</v>
      </c>
      <c r="G2193" s="67">
        <v>2E-3</v>
      </c>
      <c r="H2193" s="63"/>
    </row>
    <row r="2194" spans="1:8" x14ac:dyDescent="0.25">
      <c r="A2194" s="63"/>
      <c r="B2194" s="63">
        <f>'Padrão EPP'!B2194</f>
        <v>14</v>
      </c>
      <c r="C2194" s="63" t="str">
        <f>'Padrão EPP'!C2194</f>
        <v>RR</v>
      </c>
      <c r="D2194" s="63" t="str">
        <f>'Padrão EPP'!D2194</f>
        <v>CAPITAL</v>
      </c>
      <c r="E2194" s="63">
        <f>'Padrão EPP'!E2194/2</f>
        <v>0</v>
      </c>
      <c r="F2194" s="67">
        <v>3.0000000000000001E-3</v>
      </c>
      <c r="G2194" s="67">
        <v>2E-3</v>
      </c>
      <c r="H2194" s="63"/>
    </row>
    <row r="2195" spans="1:8" x14ac:dyDescent="0.25">
      <c r="A2195" s="63"/>
      <c r="B2195" s="63">
        <f>'Padrão EPP'!B2195</f>
        <v>15</v>
      </c>
      <c r="C2195" s="63" t="str">
        <f>'Padrão EPP'!C2195</f>
        <v>RR</v>
      </c>
      <c r="D2195" s="63" t="str">
        <f>'Padrão EPP'!D2195</f>
        <v>CAPITAL</v>
      </c>
      <c r="E2195" s="63">
        <f>'Padrão EPP'!E2195/2</f>
        <v>0</v>
      </c>
      <c r="F2195" s="67">
        <v>3.0000000000000001E-3</v>
      </c>
      <c r="G2195" s="67">
        <v>2E-3</v>
      </c>
      <c r="H2195" s="63"/>
    </row>
    <row r="2196" spans="1:8" x14ac:dyDescent="0.25">
      <c r="A2196" s="63"/>
      <c r="B2196" s="63">
        <f>'Padrão EPP'!B2196</f>
        <v>16</v>
      </c>
      <c r="C2196" s="63" t="str">
        <f>'Padrão EPP'!C2196</f>
        <v>RR</v>
      </c>
      <c r="D2196" s="63" t="str">
        <f>'Padrão EPP'!D2196</f>
        <v>CAPITAL</v>
      </c>
      <c r="E2196" s="63">
        <f>'Padrão EPP'!E2196/2</f>
        <v>0</v>
      </c>
      <c r="F2196" s="67">
        <v>3.0000000000000001E-3</v>
      </c>
      <c r="G2196" s="67">
        <v>2E-3</v>
      </c>
      <c r="H2196" s="63"/>
    </row>
    <row r="2197" spans="1:8" x14ac:dyDescent="0.25">
      <c r="A2197" s="63"/>
      <c r="B2197" s="63">
        <f>'Padrão EPP'!B2197</f>
        <v>17</v>
      </c>
      <c r="C2197" s="63" t="str">
        <f>'Padrão EPP'!C2197</f>
        <v>RR</v>
      </c>
      <c r="D2197" s="63" t="str">
        <f>'Padrão EPP'!D2197</f>
        <v>CAPITAL</v>
      </c>
      <c r="E2197" s="63">
        <f>'Padrão EPP'!E2197/2</f>
        <v>0</v>
      </c>
      <c r="F2197" s="67">
        <v>3.0000000000000001E-3</v>
      </c>
      <c r="G2197" s="67">
        <v>2E-3</v>
      </c>
      <c r="H2197" s="63"/>
    </row>
    <row r="2198" spans="1:8" x14ac:dyDescent="0.25">
      <c r="A2198" s="63"/>
      <c r="B2198" s="63">
        <f>'Padrão EPP'!B2198</f>
        <v>18</v>
      </c>
      <c r="C2198" s="63" t="str">
        <f>'Padrão EPP'!C2198</f>
        <v>RR</v>
      </c>
      <c r="D2198" s="63" t="str">
        <f>'Padrão EPP'!D2198</f>
        <v>CAPITAL</v>
      </c>
      <c r="E2198" s="63">
        <f>'Padrão EPP'!E2198/2</f>
        <v>0</v>
      </c>
      <c r="F2198" s="67">
        <v>3.0000000000000001E-3</v>
      </c>
      <c r="G2198" s="67">
        <v>2E-3</v>
      </c>
      <c r="H2198" s="63"/>
    </row>
    <row r="2199" spans="1:8" x14ac:dyDescent="0.25">
      <c r="A2199" s="63"/>
      <c r="B2199" s="63">
        <f>'Padrão EPP'!B2199</f>
        <v>19</v>
      </c>
      <c r="C2199" s="63" t="str">
        <f>'Padrão EPP'!C2199</f>
        <v>RR</v>
      </c>
      <c r="D2199" s="63" t="str">
        <f>'Padrão EPP'!D2199</f>
        <v>CAPITAL</v>
      </c>
      <c r="E2199" s="63">
        <f>'Padrão EPP'!E2199/2</f>
        <v>0</v>
      </c>
      <c r="F2199" s="67">
        <v>3.0000000000000001E-3</v>
      </c>
      <c r="G2199" s="67">
        <v>2E-3</v>
      </c>
      <c r="H2199" s="63"/>
    </row>
    <row r="2200" spans="1:8" x14ac:dyDescent="0.25">
      <c r="A2200" s="63"/>
      <c r="B2200" s="63">
        <f>'Padrão EPP'!B2200</f>
        <v>20</v>
      </c>
      <c r="C2200" s="63" t="str">
        <f>'Padrão EPP'!C2200</f>
        <v>RR</v>
      </c>
      <c r="D2200" s="63" t="str">
        <f>'Padrão EPP'!D2200</f>
        <v>CAPITAL</v>
      </c>
      <c r="E2200" s="63">
        <f>'Padrão EPP'!E2200/2</f>
        <v>0</v>
      </c>
      <c r="F2200" s="67">
        <v>3.0000000000000001E-3</v>
      </c>
      <c r="G2200" s="67">
        <v>2E-3</v>
      </c>
      <c r="H2200" s="63"/>
    </row>
    <row r="2201" spans="1:8" x14ac:dyDescent="0.25">
      <c r="A2201" s="63"/>
      <c r="B2201" s="63">
        <f>'Padrão EPP'!B2201</f>
        <v>21</v>
      </c>
      <c r="C2201" s="63" t="str">
        <f>'Padrão EPP'!C2201</f>
        <v>RR</v>
      </c>
      <c r="D2201" s="63" t="str">
        <f>'Padrão EPP'!D2201</f>
        <v>CAPITAL</v>
      </c>
      <c r="E2201" s="63">
        <f>'Padrão EPP'!E2201/2</f>
        <v>0</v>
      </c>
      <c r="F2201" s="67">
        <v>3.0000000000000001E-3</v>
      </c>
      <c r="G2201" s="67">
        <v>2E-3</v>
      </c>
      <c r="H2201" s="63"/>
    </row>
    <row r="2202" spans="1:8" x14ac:dyDescent="0.25">
      <c r="A2202" s="63"/>
      <c r="B2202" s="63">
        <f>'Padrão EPP'!B2202</f>
        <v>22</v>
      </c>
      <c r="C2202" s="63" t="str">
        <f>'Padrão EPP'!C2202</f>
        <v>RR</v>
      </c>
      <c r="D2202" s="63" t="str">
        <f>'Padrão EPP'!D2202</f>
        <v>CAPITAL</v>
      </c>
      <c r="E2202" s="63">
        <f>'Padrão EPP'!E2202/2</f>
        <v>0</v>
      </c>
      <c r="F2202" s="67">
        <v>3.0000000000000001E-3</v>
      </c>
      <c r="G2202" s="67">
        <v>2E-3</v>
      </c>
      <c r="H2202" s="63"/>
    </row>
    <row r="2203" spans="1:8" x14ac:dyDescent="0.25">
      <c r="A2203" s="63"/>
      <c r="B2203" s="63">
        <f>'Padrão EPP'!B2203</f>
        <v>23</v>
      </c>
      <c r="C2203" s="63" t="str">
        <f>'Padrão EPP'!C2203</f>
        <v>RR</v>
      </c>
      <c r="D2203" s="63" t="str">
        <f>'Padrão EPP'!D2203</f>
        <v>CAPITAL</v>
      </c>
      <c r="E2203" s="63">
        <f>'Padrão EPP'!E2203/2</f>
        <v>0</v>
      </c>
      <c r="F2203" s="67">
        <v>3.0000000000000001E-3</v>
      </c>
      <c r="G2203" s="67">
        <v>2E-3</v>
      </c>
      <c r="H2203" s="63"/>
    </row>
    <row r="2204" spans="1:8" x14ac:dyDescent="0.25">
      <c r="A2204" s="63"/>
      <c r="B2204" s="63">
        <f>'Padrão EPP'!B2204</f>
        <v>24</v>
      </c>
      <c r="C2204" s="63" t="str">
        <f>'Padrão EPP'!C2204</f>
        <v>RR</v>
      </c>
      <c r="D2204" s="63" t="str">
        <f>'Padrão EPP'!D2204</f>
        <v>CAPITAL</v>
      </c>
      <c r="E2204" s="63">
        <f>'Padrão EPP'!E2204/2</f>
        <v>0</v>
      </c>
      <c r="F2204" s="67">
        <v>3.0000000000000001E-3</v>
      </c>
      <c r="G2204" s="67">
        <v>2E-3</v>
      </c>
      <c r="H2204" s="63"/>
    </row>
    <row r="2205" spans="1:8" x14ac:dyDescent="0.25">
      <c r="A2205" s="63"/>
      <c r="B2205" s="63">
        <f>'Padrão EPP'!B2205</f>
        <v>25</v>
      </c>
      <c r="C2205" s="63" t="str">
        <f>'Padrão EPP'!C2205</f>
        <v>RR</v>
      </c>
      <c r="D2205" s="63" t="str">
        <f>'Padrão EPP'!D2205</f>
        <v>CAPITAL</v>
      </c>
      <c r="E2205" s="63">
        <f>'Padrão EPP'!E2205/2</f>
        <v>0</v>
      </c>
      <c r="F2205" s="67">
        <v>3.0000000000000001E-3</v>
      </c>
      <c r="G2205" s="67">
        <v>2E-3</v>
      </c>
      <c r="H2205" s="63"/>
    </row>
    <row r="2206" spans="1:8" x14ac:dyDescent="0.25">
      <c r="A2206" s="63"/>
      <c r="B2206" s="63">
        <f>'Padrão EPP'!B2206</f>
        <v>26</v>
      </c>
      <c r="C2206" s="63" t="str">
        <f>'Padrão EPP'!C2206</f>
        <v>RR</v>
      </c>
      <c r="D2206" s="63" t="str">
        <f>'Padrão EPP'!D2206</f>
        <v>CAPITAL</v>
      </c>
      <c r="E2206" s="63">
        <f>'Padrão EPP'!E2206/2</f>
        <v>0</v>
      </c>
      <c r="F2206" s="67">
        <v>3.0000000000000001E-3</v>
      </c>
      <c r="G2206" s="67">
        <v>2E-3</v>
      </c>
      <c r="H2206" s="63"/>
    </row>
    <row r="2207" spans="1:8" x14ac:dyDescent="0.25">
      <c r="A2207" s="63"/>
      <c r="B2207" s="63">
        <f>'Padrão EPP'!B2207</f>
        <v>27</v>
      </c>
      <c r="C2207" s="63" t="str">
        <f>'Padrão EPP'!C2207</f>
        <v>RR</v>
      </c>
      <c r="D2207" s="63" t="str">
        <f>'Padrão EPP'!D2207</f>
        <v>CAPITAL</v>
      </c>
      <c r="E2207" s="63">
        <f>'Padrão EPP'!E2207/2</f>
        <v>0</v>
      </c>
      <c r="F2207" s="67">
        <v>3.0000000000000001E-3</v>
      </c>
      <c r="G2207" s="67">
        <v>2E-3</v>
      </c>
      <c r="H2207" s="63"/>
    </row>
    <row r="2208" spans="1:8" x14ac:dyDescent="0.25">
      <c r="A2208" s="63"/>
      <c r="B2208" s="63">
        <f>'Padrão EPP'!B2208</f>
        <v>28</v>
      </c>
      <c r="C2208" s="63" t="str">
        <f>'Padrão EPP'!C2208</f>
        <v>RR</v>
      </c>
      <c r="D2208" s="63" t="str">
        <f>'Padrão EPP'!D2208</f>
        <v>CAPITAL</v>
      </c>
      <c r="E2208" s="63">
        <f>'Padrão EPP'!E2208/2</f>
        <v>0</v>
      </c>
      <c r="F2208" s="67">
        <v>3.0000000000000001E-3</v>
      </c>
      <c r="G2208" s="67">
        <v>2E-3</v>
      </c>
      <c r="H2208" s="63"/>
    </row>
    <row r="2209" spans="1:8" x14ac:dyDescent="0.25">
      <c r="A2209" s="63"/>
      <c r="B2209" s="63">
        <f>'Padrão EPP'!B2209</f>
        <v>29</v>
      </c>
      <c r="C2209" s="63" t="str">
        <f>'Padrão EPP'!C2209</f>
        <v>RR</v>
      </c>
      <c r="D2209" s="63" t="str">
        <f>'Padrão EPP'!D2209</f>
        <v>CAPITAL</v>
      </c>
      <c r="E2209" s="63">
        <f>'Padrão EPP'!E2209/2</f>
        <v>0</v>
      </c>
      <c r="F2209" s="67">
        <v>3.0000000000000001E-3</v>
      </c>
      <c r="G2209" s="67">
        <v>2E-3</v>
      </c>
      <c r="H2209" s="63"/>
    </row>
    <row r="2210" spans="1:8" x14ac:dyDescent="0.25">
      <c r="A2210" s="63"/>
      <c r="B2210" s="63">
        <f>'Padrão EPP'!B2210</f>
        <v>30</v>
      </c>
      <c r="C2210" s="63" t="str">
        <f>'Padrão EPP'!C2210</f>
        <v>RR</v>
      </c>
      <c r="D2210" s="63" t="str">
        <f>'Padrão EPP'!D2210</f>
        <v>CAPITAL</v>
      </c>
      <c r="E2210" s="63">
        <f>'Padrão EPP'!E2210/2</f>
        <v>0</v>
      </c>
      <c r="F2210" s="67">
        <v>3.0000000000000001E-3</v>
      </c>
      <c r="G2210" s="67">
        <v>2E-3</v>
      </c>
      <c r="H2210" s="63"/>
    </row>
    <row r="2211" spans="1:8" x14ac:dyDescent="0.25">
      <c r="A2211" s="63"/>
      <c r="B2211" s="63">
        <f>'Padrão EPP'!B2211</f>
        <v>0</v>
      </c>
      <c r="C2211" s="63" t="str">
        <f>'Padrão EPP'!C2211</f>
        <v>RR</v>
      </c>
      <c r="D2211" s="63" t="str">
        <f>'Padrão EPP'!D2211</f>
        <v>CAPITAL</v>
      </c>
      <c r="E2211" s="63">
        <f>'Padrão EPP'!E2211/2</f>
        <v>1.5214394455252955</v>
      </c>
      <c r="F2211" s="67">
        <v>3.0000000000000001E-3</v>
      </c>
      <c r="G2211" s="67">
        <v>2E-3</v>
      </c>
      <c r="H2211" s="63"/>
    </row>
    <row r="2212" spans="1:8" x14ac:dyDescent="0.25">
      <c r="A2212" s="63"/>
      <c r="B2212" s="63">
        <f>'Padrão EPP'!B2212</f>
        <v>0.25</v>
      </c>
      <c r="C2212" s="63" t="str">
        <f>'Padrão EPP'!C2212</f>
        <v>RR</v>
      </c>
      <c r="D2212" s="63" t="str">
        <f>'Padrão EPP'!D2212</f>
        <v>INTERIOR</v>
      </c>
      <c r="E2212" s="63">
        <f>'Padrão EPP'!E2212/2</f>
        <v>19.137722282096508</v>
      </c>
      <c r="F2212" s="67">
        <v>3.0000000000000001E-3</v>
      </c>
      <c r="G2212" s="67">
        <v>2E-3</v>
      </c>
      <c r="H2212" s="63"/>
    </row>
    <row r="2213" spans="1:8" x14ac:dyDescent="0.25">
      <c r="A2213" s="63"/>
      <c r="B2213" s="63">
        <f>'Padrão EPP'!B2213</f>
        <v>0.5</v>
      </c>
      <c r="C2213" s="63" t="str">
        <f>'Padrão EPP'!C2213</f>
        <v>RR</v>
      </c>
      <c r="D2213" s="63" t="str">
        <f>'Padrão EPP'!D2213</f>
        <v>INTERIOR</v>
      </c>
      <c r="E2213" s="63">
        <f>'Padrão EPP'!E2213/2</f>
        <v>19.493575931673913</v>
      </c>
      <c r="F2213" s="67">
        <v>3.0000000000000001E-3</v>
      </c>
      <c r="G2213" s="67">
        <v>2E-3</v>
      </c>
      <c r="H2213" s="63"/>
    </row>
    <row r="2214" spans="1:8" x14ac:dyDescent="0.25">
      <c r="A2214" s="63"/>
      <c r="B2214" s="63">
        <f>'Padrão EPP'!B2214</f>
        <v>0.75</v>
      </c>
      <c r="C2214" s="63" t="str">
        <f>'Padrão EPP'!C2214</f>
        <v>RR</v>
      </c>
      <c r="D2214" s="63" t="str">
        <f>'Padrão EPP'!D2214</f>
        <v>INTERIOR</v>
      </c>
      <c r="E2214" s="63">
        <f>'Padrão EPP'!E2214/2</f>
        <v>19.793158934467858</v>
      </c>
      <c r="F2214" s="67">
        <v>3.0000000000000001E-3</v>
      </c>
      <c r="G2214" s="67">
        <v>2E-3</v>
      </c>
      <c r="H2214" s="63"/>
    </row>
    <row r="2215" spans="1:8" x14ac:dyDescent="0.25">
      <c r="A2215" s="63"/>
      <c r="B2215" s="63">
        <f>'Padrão EPP'!B2215</f>
        <v>1</v>
      </c>
      <c r="C2215" s="63" t="str">
        <f>'Padrão EPP'!C2215</f>
        <v>RR</v>
      </c>
      <c r="D2215" s="63" t="str">
        <f>'Padrão EPP'!D2215</f>
        <v>INTERIOR</v>
      </c>
      <c r="E2215" s="63">
        <f>'Padrão EPP'!E2215/2</f>
        <v>20.520131738663586</v>
      </c>
      <c r="F2215" s="67">
        <v>3.0000000000000001E-3</v>
      </c>
      <c r="G2215" s="67">
        <v>2E-3</v>
      </c>
      <c r="H2215" s="63"/>
    </row>
    <row r="2216" spans="1:8" x14ac:dyDescent="0.25">
      <c r="A2216" s="63"/>
      <c r="B2216" s="63">
        <f>'Padrão EPP'!B2216</f>
        <v>2</v>
      </c>
      <c r="C2216" s="63" t="str">
        <f>'Padrão EPP'!C2216</f>
        <v>RR</v>
      </c>
      <c r="D2216" s="63" t="str">
        <f>'Padrão EPP'!D2216</f>
        <v>INTERIOR</v>
      </c>
      <c r="E2216" s="63">
        <f>'Padrão EPP'!E2216/2</f>
        <v>25.486533625488757</v>
      </c>
      <c r="F2216" s="67">
        <v>3.0000000000000001E-3</v>
      </c>
      <c r="G2216" s="67">
        <v>2E-3</v>
      </c>
      <c r="H2216" s="63"/>
    </row>
    <row r="2217" spans="1:8" x14ac:dyDescent="0.25">
      <c r="A2217" s="63"/>
      <c r="B2217" s="63">
        <f>'Padrão EPP'!B2217</f>
        <v>3</v>
      </c>
      <c r="C2217" s="63" t="str">
        <f>'Padrão EPP'!C2217</f>
        <v>RR</v>
      </c>
      <c r="D2217" s="63" t="str">
        <f>'Padrão EPP'!D2217</f>
        <v>INTERIOR</v>
      </c>
      <c r="E2217" s="63">
        <f>'Padrão EPP'!E2217/2</f>
        <v>31.091208299950711</v>
      </c>
      <c r="F2217" s="67">
        <v>3.0000000000000001E-3</v>
      </c>
      <c r="G2217" s="67">
        <v>2E-3</v>
      </c>
      <c r="H2217" s="63"/>
    </row>
    <row r="2218" spans="1:8" x14ac:dyDescent="0.25">
      <c r="A2218" s="63"/>
      <c r="B2218" s="63">
        <f>'Padrão EPP'!B2218</f>
        <v>4</v>
      </c>
      <c r="C2218" s="63" t="str">
        <f>'Padrão EPP'!C2218</f>
        <v>RR</v>
      </c>
      <c r="D2218" s="63" t="str">
        <f>'Padrão EPP'!D2218</f>
        <v>INTERIOR</v>
      </c>
      <c r="E2218" s="63">
        <f>'Padrão EPP'!E2218/2</f>
        <v>36.870250840004381</v>
      </c>
      <c r="F2218" s="67">
        <v>3.0000000000000001E-3</v>
      </c>
      <c r="G2218" s="67">
        <v>2E-3</v>
      </c>
      <c r="H2218" s="63"/>
    </row>
    <row r="2219" spans="1:8" x14ac:dyDescent="0.25">
      <c r="A2219" s="63"/>
      <c r="B2219" s="63">
        <f>'Padrão EPP'!B2219</f>
        <v>5</v>
      </c>
      <c r="C2219" s="63" t="str">
        <f>'Padrão EPP'!C2219</f>
        <v>RR</v>
      </c>
      <c r="D2219" s="63" t="str">
        <f>'Padrão EPP'!D2219</f>
        <v>INTERIOR</v>
      </c>
      <c r="E2219" s="63">
        <f>'Padrão EPP'!E2219/2</f>
        <v>42.87830375544732</v>
      </c>
      <c r="F2219" s="67">
        <v>3.0000000000000001E-3</v>
      </c>
      <c r="G2219" s="67">
        <v>2E-3</v>
      </c>
      <c r="H2219" s="63"/>
    </row>
    <row r="2220" spans="1:8" x14ac:dyDescent="0.25">
      <c r="A2220" s="63"/>
      <c r="B2220" s="63">
        <f>'Padrão EPP'!B2220</f>
        <v>6</v>
      </c>
      <c r="C2220" s="63" t="str">
        <f>'Padrão EPP'!C2220</f>
        <v>RR</v>
      </c>
      <c r="D2220" s="63" t="str">
        <f>'Padrão EPP'!D2220</f>
        <v>INTERIOR</v>
      </c>
      <c r="E2220" s="63">
        <f>'Padrão EPP'!E2220/2</f>
        <v>49.022899777763669</v>
      </c>
      <c r="F2220" s="67">
        <v>3.0000000000000001E-3</v>
      </c>
      <c r="G2220" s="67">
        <v>2E-3</v>
      </c>
      <c r="H2220" s="63"/>
    </row>
    <row r="2221" spans="1:8" x14ac:dyDescent="0.25">
      <c r="A2221" s="63"/>
      <c r="B2221" s="63">
        <f>'Padrão EPP'!B2221</f>
        <v>7</v>
      </c>
      <c r="C2221" s="63" t="str">
        <f>'Padrão EPP'!C2221</f>
        <v>RR</v>
      </c>
      <c r="D2221" s="63" t="str">
        <f>'Padrão EPP'!D2221</f>
        <v>INTERIOR</v>
      </c>
      <c r="E2221" s="63">
        <f>'Padrão EPP'!E2221/2</f>
        <v>55.321602353980808</v>
      </c>
      <c r="F2221" s="67">
        <v>3.0000000000000001E-3</v>
      </c>
      <c r="G2221" s="67">
        <v>2E-3</v>
      </c>
      <c r="H2221" s="63"/>
    </row>
    <row r="2222" spans="1:8" x14ac:dyDescent="0.25">
      <c r="A2222" s="63"/>
      <c r="B2222" s="63">
        <f>'Padrão EPP'!B2222</f>
        <v>8</v>
      </c>
      <c r="C2222" s="63" t="str">
        <f>'Padrão EPP'!C2222</f>
        <v>RR</v>
      </c>
      <c r="D2222" s="63" t="str">
        <f>'Padrão EPP'!D2222</f>
        <v>INTERIOR</v>
      </c>
      <c r="E2222" s="63">
        <f>'Padrão EPP'!E2222/2</f>
        <v>61.794293754192125</v>
      </c>
      <c r="F2222" s="67">
        <v>3.0000000000000001E-3</v>
      </c>
      <c r="G2222" s="67">
        <v>2E-3</v>
      </c>
      <c r="H2222" s="63"/>
    </row>
    <row r="2223" spans="1:8" x14ac:dyDescent="0.25">
      <c r="A2223" s="63"/>
      <c r="B2223" s="63">
        <f>'Padrão EPP'!B2223</f>
        <v>9</v>
      </c>
      <c r="C2223" s="63" t="str">
        <f>'Padrão EPP'!C2223</f>
        <v>RR</v>
      </c>
      <c r="D2223" s="63" t="str">
        <f>'Padrão EPP'!D2223</f>
        <v>INTERIOR</v>
      </c>
      <c r="E2223" s="63">
        <f>'Padrão EPP'!E2223/2</f>
        <v>68.006299522868318</v>
      </c>
      <c r="F2223" s="67">
        <v>3.0000000000000001E-3</v>
      </c>
      <c r="G2223" s="67">
        <v>2E-3</v>
      </c>
      <c r="H2223" s="63"/>
    </row>
    <row r="2224" spans="1:8" x14ac:dyDescent="0.25">
      <c r="A2224" s="63"/>
      <c r="B2224" s="63">
        <f>'Padrão EPP'!B2224</f>
        <v>10</v>
      </c>
      <c r="C2224" s="63" t="str">
        <f>'Padrão EPP'!C2224</f>
        <v>RR</v>
      </c>
      <c r="D2224" s="63" t="str">
        <f>'Padrão EPP'!D2224</f>
        <v>INTERIOR</v>
      </c>
      <c r="E2224" s="63">
        <f>'Padrão EPP'!E2224/2</f>
        <v>74.125825754649142</v>
      </c>
      <c r="F2224" s="67">
        <v>3.0000000000000001E-3</v>
      </c>
      <c r="G2224" s="67">
        <v>2E-3</v>
      </c>
      <c r="H2224" s="63"/>
    </row>
    <row r="2225" spans="1:8" x14ac:dyDescent="0.25">
      <c r="A2225" s="63"/>
      <c r="B2225" s="63">
        <f>'Padrão EPP'!B2225</f>
        <v>11</v>
      </c>
      <c r="C2225" s="63" t="str">
        <f>'Padrão EPP'!C2225</f>
        <v>RR</v>
      </c>
      <c r="D2225" s="63" t="str">
        <f>'Padrão EPP'!D2225</f>
        <v>INTERIOR</v>
      </c>
      <c r="E2225" s="63">
        <f>'Padrão EPP'!E2225/2</f>
        <v>0</v>
      </c>
      <c r="F2225" s="67">
        <v>3.0000000000000001E-3</v>
      </c>
      <c r="G2225" s="67">
        <v>2E-3</v>
      </c>
      <c r="H2225" s="63"/>
    </row>
    <row r="2226" spans="1:8" x14ac:dyDescent="0.25">
      <c r="A2226" s="63"/>
      <c r="B2226" s="63">
        <f>'Padrão EPP'!B2226</f>
        <v>12</v>
      </c>
      <c r="C2226" s="63" t="str">
        <f>'Padrão EPP'!C2226</f>
        <v>RR</v>
      </c>
      <c r="D2226" s="63" t="str">
        <f>'Padrão EPP'!D2226</f>
        <v>INTERIOR</v>
      </c>
      <c r="E2226" s="63">
        <f>'Padrão EPP'!E2226/2</f>
        <v>0</v>
      </c>
      <c r="F2226" s="67">
        <v>3.0000000000000001E-3</v>
      </c>
      <c r="G2226" s="67">
        <v>2E-3</v>
      </c>
      <c r="H2226" s="63"/>
    </row>
    <row r="2227" spans="1:8" x14ac:dyDescent="0.25">
      <c r="A2227" s="63"/>
      <c r="B2227" s="63">
        <f>'Padrão EPP'!B2227</f>
        <v>13</v>
      </c>
      <c r="C2227" s="63" t="str">
        <f>'Padrão EPP'!C2227</f>
        <v>RR</v>
      </c>
      <c r="D2227" s="63" t="str">
        <f>'Padrão EPP'!D2227</f>
        <v>INTERIOR</v>
      </c>
      <c r="E2227" s="63">
        <f>'Padrão EPP'!E2227/2</f>
        <v>0</v>
      </c>
      <c r="F2227" s="67">
        <v>3.0000000000000001E-3</v>
      </c>
      <c r="G2227" s="67">
        <v>2E-3</v>
      </c>
      <c r="H2227" s="63"/>
    </row>
    <row r="2228" spans="1:8" x14ac:dyDescent="0.25">
      <c r="A2228" s="63"/>
      <c r="B2228" s="63">
        <f>'Padrão EPP'!B2228</f>
        <v>14</v>
      </c>
      <c r="C2228" s="63" t="str">
        <f>'Padrão EPP'!C2228</f>
        <v>RR</v>
      </c>
      <c r="D2228" s="63" t="str">
        <f>'Padrão EPP'!D2228</f>
        <v>INTERIOR</v>
      </c>
      <c r="E2228" s="63">
        <f>'Padrão EPP'!E2228/2</f>
        <v>0</v>
      </c>
      <c r="F2228" s="67">
        <v>3.0000000000000001E-3</v>
      </c>
      <c r="G2228" s="67">
        <v>2E-3</v>
      </c>
      <c r="H2228" s="63"/>
    </row>
    <row r="2229" spans="1:8" x14ac:dyDescent="0.25">
      <c r="A2229" s="63"/>
      <c r="B2229" s="63">
        <f>'Padrão EPP'!B2229</f>
        <v>15</v>
      </c>
      <c r="C2229" s="63" t="str">
        <f>'Padrão EPP'!C2229</f>
        <v>RR</v>
      </c>
      <c r="D2229" s="63" t="str">
        <f>'Padrão EPP'!D2229</f>
        <v>INTERIOR</v>
      </c>
      <c r="E2229" s="63">
        <f>'Padrão EPP'!E2229/2</f>
        <v>0</v>
      </c>
      <c r="F2229" s="67">
        <v>3.0000000000000001E-3</v>
      </c>
      <c r="G2229" s="67">
        <v>2E-3</v>
      </c>
      <c r="H2229" s="63"/>
    </row>
    <row r="2230" spans="1:8" x14ac:dyDescent="0.25">
      <c r="A2230" s="63"/>
      <c r="B2230" s="63">
        <f>'Padrão EPP'!B2230</f>
        <v>16</v>
      </c>
      <c r="C2230" s="63" t="str">
        <f>'Padrão EPP'!C2230</f>
        <v>RR</v>
      </c>
      <c r="D2230" s="63" t="str">
        <f>'Padrão EPP'!D2230</f>
        <v>INTERIOR</v>
      </c>
      <c r="E2230" s="63">
        <f>'Padrão EPP'!E2230/2</f>
        <v>0</v>
      </c>
      <c r="F2230" s="67">
        <v>3.0000000000000001E-3</v>
      </c>
      <c r="G2230" s="67">
        <v>2E-3</v>
      </c>
      <c r="H2230" s="63"/>
    </row>
    <row r="2231" spans="1:8" x14ac:dyDescent="0.25">
      <c r="A2231" s="63"/>
      <c r="B2231" s="63">
        <f>'Padrão EPP'!B2231</f>
        <v>17</v>
      </c>
      <c r="C2231" s="63" t="str">
        <f>'Padrão EPP'!C2231</f>
        <v>RR</v>
      </c>
      <c r="D2231" s="63" t="str">
        <f>'Padrão EPP'!D2231</f>
        <v>INTERIOR</v>
      </c>
      <c r="E2231" s="63">
        <f>'Padrão EPP'!E2231/2</f>
        <v>0</v>
      </c>
      <c r="F2231" s="67">
        <v>3.0000000000000001E-3</v>
      </c>
      <c r="G2231" s="67">
        <v>2E-3</v>
      </c>
      <c r="H2231" s="63"/>
    </row>
    <row r="2232" spans="1:8" x14ac:dyDescent="0.25">
      <c r="A2232" s="63"/>
      <c r="B2232" s="63">
        <f>'Padrão EPP'!B2232</f>
        <v>18</v>
      </c>
      <c r="C2232" s="63" t="str">
        <f>'Padrão EPP'!C2232</f>
        <v>RR</v>
      </c>
      <c r="D2232" s="63" t="str">
        <f>'Padrão EPP'!D2232</f>
        <v>INTERIOR</v>
      </c>
      <c r="E2232" s="63">
        <f>'Padrão EPP'!E2232/2</f>
        <v>0</v>
      </c>
      <c r="F2232" s="67">
        <v>3.0000000000000001E-3</v>
      </c>
      <c r="G2232" s="67">
        <v>2E-3</v>
      </c>
      <c r="H2232" s="63"/>
    </row>
    <row r="2233" spans="1:8" x14ac:dyDescent="0.25">
      <c r="A2233" s="63"/>
      <c r="B2233" s="63">
        <f>'Padrão EPP'!B2233</f>
        <v>19</v>
      </c>
      <c r="C2233" s="63" t="str">
        <f>'Padrão EPP'!C2233</f>
        <v>RR</v>
      </c>
      <c r="D2233" s="63" t="str">
        <f>'Padrão EPP'!D2233</f>
        <v>INTERIOR</v>
      </c>
      <c r="E2233" s="63">
        <f>'Padrão EPP'!E2233/2</f>
        <v>0</v>
      </c>
      <c r="F2233" s="67">
        <v>3.0000000000000001E-3</v>
      </c>
      <c r="G2233" s="67">
        <v>2E-3</v>
      </c>
      <c r="H2233" s="63"/>
    </row>
    <row r="2234" spans="1:8" x14ac:dyDescent="0.25">
      <c r="A2234" s="63"/>
      <c r="B2234" s="63">
        <f>'Padrão EPP'!B2234</f>
        <v>20</v>
      </c>
      <c r="C2234" s="63" t="str">
        <f>'Padrão EPP'!C2234</f>
        <v>RR</v>
      </c>
      <c r="D2234" s="63" t="str">
        <f>'Padrão EPP'!D2234</f>
        <v>INTERIOR</v>
      </c>
      <c r="E2234" s="63">
        <f>'Padrão EPP'!E2234/2</f>
        <v>0</v>
      </c>
      <c r="F2234" s="67">
        <v>3.0000000000000001E-3</v>
      </c>
      <c r="G2234" s="67">
        <v>2E-3</v>
      </c>
      <c r="H2234" s="63"/>
    </row>
    <row r="2235" spans="1:8" x14ac:dyDescent="0.25">
      <c r="A2235" s="63"/>
      <c r="B2235" s="63">
        <f>'Padrão EPP'!B2235</f>
        <v>21</v>
      </c>
      <c r="C2235" s="63" t="str">
        <f>'Padrão EPP'!C2235</f>
        <v>RR</v>
      </c>
      <c r="D2235" s="63" t="str">
        <f>'Padrão EPP'!D2235</f>
        <v>INTERIOR</v>
      </c>
      <c r="E2235" s="63">
        <f>'Padrão EPP'!E2235/2</f>
        <v>0</v>
      </c>
      <c r="F2235" s="67">
        <v>3.0000000000000001E-3</v>
      </c>
      <c r="G2235" s="67">
        <v>2E-3</v>
      </c>
      <c r="H2235" s="63"/>
    </row>
    <row r="2236" spans="1:8" x14ac:dyDescent="0.25">
      <c r="A2236" s="63"/>
      <c r="B2236" s="63">
        <f>'Padrão EPP'!B2236</f>
        <v>22</v>
      </c>
      <c r="C2236" s="63" t="str">
        <f>'Padrão EPP'!C2236</f>
        <v>RR</v>
      </c>
      <c r="D2236" s="63" t="str">
        <f>'Padrão EPP'!D2236</f>
        <v>INTERIOR</v>
      </c>
      <c r="E2236" s="63">
        <f>'Padrão EPP'!E2236/2</f>
        <v>0</v>
      </c>
      <c r="F2236" s="67">
        <v>3.0000000000000001E-3</v>
      </c>
      <c r="G2236" s="67">
        <v>2E-3</v>
      </c>
      <c r="H2236" s="63"/>
    </row>
    <row r="2237" spans="1:8" x14ac:dyDescent="0.25">
      <c r="A2237" s="63"/>
      <c r="B2237" s="63">
        <f>'Padrão EPP'!B2237</f>
        <v>23</v>
      </c>
      <c r="C2237" s="63" t="str">
        <f>'Padrão EPP'!C2237</f>
        <v>RR</v>
      </c>
      <c r="D2237" s="63" t="str">
        <f>'Padrão EPP'!D2237</f>
        <v>INTERIOR</v>
      </c>
      <c r="E2237" s="63">
        <f>'Padrão EPP'!E2237/2</f>
        <v>0</v>
      </c>
      <c r="F2237" s="67">
        <v>3.0000000000000001E-3</v>
      </c>
      <c r="G2237" s="67">
        <v>2E-3</v>
      </c>
      <c r="H2237" s="63"/>
    </row>
    <row r="2238" spans="1:8" x14ac:dyDescent="0.25">
      <c r="A2238" s="63"/>
      <c r="B2238" s="63">
        <f>'Padrão EPP'!B2238</f>
        <v>24</v>
      </c>
      <c r="C2238" s="63" t="str">
        <f>'Padrão EPP'!C2238</f>
        <v>RR</v>
      </c>
      <c r="D2238" s="63" t="str">
        <f>'Padrão EPP'!D2238</f>
        <v>INTERIOR</v>
      </c>
      <c r="E2238" s="63">
        <f>'Padrão EPP'!E2238/2</f>
        <v>0</v>
      </c>
      <c r="F2238" s="67">
        <v>3.0000000000000001E-3</v>
      </c>
      <c r="G2238" s="67">
        <v>2E-3</v>
      </c>
      <c r="H2238" s="63"/>
    </row>
    <row r="2239" spans="1:8" x14ac:dyDescent="0.25">
      <c r="A2239" s="63"/>
      <c r="B2239" s="63">
        <f>'Padrão EPP'!B2239</f>
        <v>25</v>
      </c>
      <c r="C2239" s="63" t="str">
        <f>'Padrão EPP'!C2239</f>
        <v>RR</v>
      </c>
      <c r="D2239" s="63" t="str">
        <f>'Padrão EPP'!D2239</f>
        <v>INTERIOR</v>
      </c>
      <c r="E2239" s="63">
        <f>'Padrão EPP'!E2239/2</f>
        <v>0</v>
      </c>
      <c r="F2239" s="67">
        <v>3.0000000000000001E-3</v>
      </c>
      <c r="G2239" s="67">
        <v>2E-3</v>
      </c>
      <c r="H2239" s="63"/>
    </row>
    <row r="2240" spans="1:8" x14ac:dyDescent="0.25">
      <c r="A2240" s="63"/>
      <c r="B2240" s="63">
        <f>'Padrão EPP'!B2240</f>
        <v>26</v>
      </c>
      <c r="C2240" s="63" t="str">
        <f>'Padrão EPP'!C2240</f>
        <v>RR</v>
      </c>
      <c r="D2240" s="63" t="str">
        <f>'Padrão EPP'!D2240</f>
        <v>INTERIOR</v>
      </c>
      <c r="E2240" s="63">
        <f>'Padrão EPP'!E2240/2</f>
        <v>0</v>
      </c>
      <c r="F2240" s="67">
        <v>3.0000000000000001E-3</v>
      </c>
      <c r="G2240" s="67">
        <v>2E-3</v>
      </c>
      <c r="H2240" s="63"/>
    </row>
    <row r="2241" spans="1:8" x14ac:dyDescent="0.25">
      <c r="A2241" s="63"/>
      <c r="B2241" s="63">
        <f>'Padrão EPP'!B2241</f>
        <v>27</v>
      </c>
      <c r="C2241" s="63" t="str">
        <f>'Padrão EPP'!C2241</f>
        <v>RR</v>
      </c>
      <c r="D2241" s="63" t="str">
        <f>'Padrão EPP'!D2241</f>
        <v>INTERIOR</v>
      </c>
      <c r="E2241" s="63">
        <f>'Padrão EPP'!E2241/2</f>
        <v>0</v>
      </c>
      <c r="F2241" s="67">
        <v>3.0000000000000001E-3</v>
      </c>
      <c r="G2241" s="67">
        <v>2E-3</v>
      </c>
      <c r="H2241" s="63"/>
    </row>
    <row r="2242" spans="1:8" x14ac:dyDescent="0.25">
      <c r="A2242" s="63"/>
      <c r="B2242" s="63">
        <f>'Padrão EPP'!B2242</f>
        <v>28</v>
      </c>
      <c r="C2242" s="63" t="str">
        <f>'Padrão EPP'!C2242</f>
        <v>RR</v>
      </c>
      <c r="D2242" s="63" t="str">
        <f>'Padrão EPP'!D2242</f>
        <v>INTERIOR</v>
      </c>
      <c r="E2242" s="63">
        <f>'Padrão EPP'!E2242/2</f>
        <v>0</v>
      </c>
      <c r="F2242" s="67">
        <v>3.0000000000000001E-3</v>
      </c>
      <c r="G2242" s="67">
        <v>2E-3</v>
      </c>
      <c r="H2242" s="63"/>
    </row>
    <row r="2243" spans="1:8" x14ac:dyDescent="0.25">
      <c r="A2243" s="63"/>
      <c r="B2243" s="63">
        <f>'Padrão EPP'!B2243</f>
        <v>29</v>
      </c>
      <c r="C2243" s="63" t="str">
        <f>'Padrão EPP'!C2243</f>
        <v>RR</v>
      </c>
      <c r="D2243" s="63" t="str">
        <f>'Padrão EPP'!D2243</f>
        <v>INTERIOR</v>
      </c>
      <c r="E2243" s="63">
        <f>'Padrão EPP'!E2243/2</f>
        <v>0</v>
      </c>
      <c r="F2243" s="67">
        <v>3.0000000000000001E-3</v>
      </c>
      <c r="G2243" s="67">
        <v>2E-3</v>
      </c>
      <c r="H2243" s="63"/>
    </row>
    <row r="2244" spans="1:8" x14ac:dyDescent="0.25">
      <c r="A2244" s="63"/>
      <c r="B2244" s="63">
        <f>'Padrão EPP'!B2244</f>
        <v>30</v>
      </c>
      <c r="C2244" s="63" t="str">
        <f>'Padrão EPP'!C2244</f>
        <v>RR</v>
      </c>
      <c r="D2244" s="63" t="str">
        <f>'Padrão EPP'!D2244</f>
        <v>INTERIOR</v>
      </c>
      <c r="E2244" s="63">
        <f>'Padrão EPP'!E2244/2</f>
        <v>0</v>
      </c>
      <c r="F2244" s="67">
        <v>3.0000000000000001E-3</v>
      </c>
      <c r="G2244" s="67">
        <v>2E-3</v>
      </c>
      <c r="H2244" s="63"/>
    </row>
    <row r="2245" spans="1:8" x14ac:dyDescent="0.25">
      <c r="A2245" s="63"/>
      <c r="B2245" s="63">
        <f>'Padrão EPP'!B2245</f>
        <v>0</v>
      </c>
      <c r="C2245" s="63" t="str">
        <f>'Padrão EPP'!C2245</f>
        <v>RR</v>
      </c>
      <c r="D2245" s="63" t="str">
        <f>'Padrão EPP'!D2245</f>
        <v>INTERIOR</v>
      </c>
      <c r="E2245" s="63">
        <f>'Padrão EPP'!E2245/2</f>
        <v>1.5214394455252955</v>
      </c>
      <c r="F2245" s="67">
        <v>3.0000000000000001E-3</v>
      </c>
      <c r="G2245" s="67">
        <v>2E-3</v>
      </c>
      <c r="H2245" s="63"/>
    </row>
    <row r="2246" spans="1:8" x14ac:dyDescent="0.25">
      <c r="A2246" s="63"/>
      <c r="B2246" s="63">
        <f>'Padrão EPP'!B2246</f>
        <v>0.25</v>
      </c>
      <c r="C2246" s="63" t="str">
        <f>'Padrão EPP'!C2246</f>
        <v>RR</v>
      </c>
      <c r="D2246" s="63" t="str">
        <f>'Padrão EPP'!D2246</f>
        <v>INTERIOR II</v>
      </c>
      <c r="E2246" s="63">
        <f>'Padrão EPP'!E2246/2</f>
        <v>21.984700535337279</v>
      </c>
      <c r="F2246" s="67">
        <v>3.0000000000000001E-3</v>
      </c>
      <c r="G2246" s="67">
        <v>2E-3</v>
      </c>
      <c r="H2246" s="63"/>
    </row>
    <row r="2247" spans="1:8" x14ac:dyDescent="0.25">
      <c r="A2247" s="63"/>
      <c r="B2247" s="63">
        <f>'Padrão EPP'!B2247</f>
        <v>0.5</v>
      </c>
      <c r="C2247" s="63" t="str">
        <f>'Padrão EPP'!C2247</f>
        <v>RR</v>
      </c>
      <c r="D2247" s="63" t="str">
        <f>'Padrão EPP'!D2247</f>
        <v>INTERIOR II</v>
      </c>
      <c r="E2247" s="63">
        <f>'Padrão EPP'!E2247/2</f>
        <v>22.362622758380375</v>
      </c>
      <c r="F2247" s="67">
        <v>3.0000000000000001E-3</v>
      </c>
      <c r="G2247" s="67">
        <v>2E-3</v>
      </c>
      <c r="H2247" s="63"/>
    </row>
    <row r="2248" spans="1:8" x14ac:dyDescent="0.25">
      <c r="A2248" s="63"/>
      <c r="B2248" s="63">
        <f>'Padrão EPP'!B2248</f>
        <v>0.75</v>
      </c>
      <c r="C2248" s="63" t="str">
        <f>'Padrão EPP'!C2248</f>
        <v>RR</v>
      </c>
      <c r="D2248" s="63" t="str">
        <f>'Padrão EPP'!D2248</f>
        <v>INTERIOR II</v>
      </c>
      <c r="E2248" s="63">
        <f>'Padrão EPP'!E2248/2</f>
        <v>22.68495686783999</v>
      </c>
      <c r="F2248" s="67">
        <v>3.0000000000000001E-3</v>
      </c>
      <c r="G2248" s="67">
        <v>2E-3</v>
      </c>
      <c r="H2248" s="63"/>
    </row>
    <row r="2249" spans="1:8" x14ac:dyDescent="0.25">
      <c r="A2249" s="63"/>
      <c r="B2249" s="63">
        <f>'Padrão EPP'!B2249</f>
        <v>1</v>
      </c>
      <c r="C2249" s="63" t="str">
        <f>'Padrão EPP'!C2249</f>
        <v>RR</v>
      </c>
      <c r="D2249" s="63" t="str">
        <f>'Padrão EPP'!D2249</f>
        <v>INTERIOR II</v>
      </c>
      <c r="E2249" s="63">
        <f>'Padrão EPP'!E2249/2</f>
        <v>23.052125017873866</v>
      </c>
      <c r="F2249" s="67">
        <v>3.0000000000000001E-3</v>
      </c>
      <c r="G2249" s="67">
        <v>2E-3</v>
      </c>
      <c r="H2249" s="63"/>
    </row>
    <row r="2250" spans="1:8" x14ac:dyDescent="0.25">
      <c r="A2250" s="63"/>
      <c r="B2250" s="63">
        <f>'Padrão EPP'!B2250</f>
        <v>2</v>
      </c>
      <c r="C2250" s="63" t="str">
        <f>'Padrão EPP'!C2250</f>
        <v>RR</v>
      </c>
      <c r="D2250" s="63" t="str">
        <f>'Padrão EPP'!D2250</f>
        <v>INTERIOR II</v>
      </c>
      <c r="E2250" s="63">
        <f>'Padrão EPP'!E2250/2</f>
        <v>28.030853674844224</v>
      </c>
      <c r="F2250" s="67">
        <v>3.0000000000000001E-3</v>
      </c>
      <c r="G2250" s="67">
        <v>2E-3</v>
      </c>
      <c r="H2250" s="63"/>
    </row>
    <row r="2251" spans="1:8" x14ac:dyDescent="0.25">
      <c r="A2251" s="63"/>
      <c r="B2251" s="63">
        <f>'Padrão EPP'!B2251</f>
        <v>3</v>
      </c>
      <c r="C2251" s="63" t="str">
        <f>'Padrão EPP'!C2251</f>
        <v>RR</v>
      </c>
      <c r="D2251" s="63" t="str">
        <f>'Padrão EPP'!D2251</f>
        <v>INTERIOR II</v>
      </c>
      <c r="E2251" s="63">
        <f>'Padrão EPP'!E2251/2</f>
        <v>33.779386008677236</v>
      </c>
      <c r="F2251" s="67">
        <v>3.0000000000000001E-3</v>
      </c>
      <c r="G2251" s="67">
        <v>2E-3</v>
      </c>
      <c r="H2251" s="63"/>
    </row>
    <row r="2252" spans="1:8" x14ac:dyDescent="0.25">
      <c r="A2252" s="63"/>
      <c r="B2252" s="63">
        <f>'Padrão EPP'!B2252</f>
        <v>4</v>
      </c>
      <c r="C2252" s="63" t="str">
        <f>'Padrão EPP'!C2252</f>
        <v>RR</v>
      </c>
      <c r="D2252" s="63" t="str">
        <f>'Padrão EPP'!D2252</f>
        <v>INTERIOR II</v>
      </c>
      <c r="E2252" s="63">
        <f>'Padrão EPP'!E2252/2</f>
        <v>39.611049823273781</v>
      </c>
      <c r="F2252" s="67">
        <v>3.0000000000000001E-3</v>
      </c>
      <c r="G2252" s="67">
        <v>2E-3</v>
      </c>
      <c r="H2252" s="63"/>
    </row>
    <row r="2253" spans="1:8" x14ac:dyDescent="0.25">
      <c r="A2253" s="63"/>
      <c r="B2253" s="63">
        <f>'Padrão EPP'!B2253</f>
        <v>5</v>
      </c>
      <c r="C2253" s="63" t="str">
        <f>'Padrão EPP'!C2253</f>
        <v>RR</v>
      </c>
      <c r="D2253" s="63" t="str">
        <f>'Padrão EPP'!D2253</f>
        <v>INTERIOR II</v>
      </c>
      <c r="E2253" s="63">
        <f>'Padrão EPP'!E2253/2</f>
        <v>45.534158266710172</v>
      </c>
      <c r="F2253" s="67">
        <v>3.0000000000000001E-3</v>
      </c>
      <c r="G2253" s="67">
        <v>2E-3</v>
      </c>
      <c r="H2253" s="63"/>
    </row>
    <row r="2254" spans="1:8" x14ac:dyDescent="0.25">
      <c r="A2254" s="63"/>
      <c r="B2254" s="63">
        <f>'Padrão EPP'!B2254</f>
        <v>6</v>
      </c>
      <c r="C2254" s="63" t="str">
        <f>'Padrão EPP'!C2254</f>
        <v>RR</v>
      </c>
      <c r="D2254" s="63" t="str">
        <f>'Padrão EPP'!D2254</f>
        <v>INTERIOR II</v>
      </c>
      <c r="E2254" s="63">
        <f>'Padrão EPP'!E2254/2</f>
        <v>53.182290788005645</v>
      </c>
      <c r="F2254" s="67">
        <v>3.0000000000000001E-3</v>
      </c>
      <c r="G2254" s="67">
        <v>2E-3</v>
      </c>
      <c r="H2254" s="63"/>
    </row>
    <row r="2255" spans="1:8" x14ac:dyDescent="0.25">
      <c r="A2255" s="63"/>
      <c r="B2255" s="63">
        <f>'Padrão EPP'!B2255</f>
        <v>7</v>
      </c>
      <c r="C2255" s="63" t="str">
        <f>'Padrão EPP'!C2255</f>
        <v>RR</v>
      </c>
      <c r="D2255" s="63" t="str">
        <f>'Padrão EPP'!D2255</f>
        <v>INTERIOR II</v>
      </c>
      <c r="E2255" s="63">
        <f>'Padrão EPP'!E2255/2</f>
        <v>58.668707541685365</v>
      </c>
      <c r="F2255" s="67">
        <v>3.0000000000000001E-3</v>
      </c>
      <c r="G2255" s="67">
        <v>2E-3</v>
      </c>
      <c r="H2255" s="63"/>
    </row>
    <row r="2256" spans="1:8" x14ac:dyDescent="0.25">
      <c r="A2256" s="63"/>
      <c r="B2256" s="63">
        <f>'Padrão EPP'!B2256</f>
        <v>8</v>
      </c>
      <c r="C2256" s="63" t="str">
        <f>'Padrão EPP'!C2256</f>
        <v>RR</v>
      </c>
      <c r="D2256" s="63" t="str">
        <f>'Padrão EPP'!D2256</f>
        <v>INTERIOR II</v>
      </c>
      <c r="E2256" s="63">
        <f>'Padrão EPP'!E2256/2</f>
        <v>64.264717110202568</v>
      </c>
      <c r="F2256" s="67">
        <v>3.0000000000000001E-3</v>
      </c>
      <c r="G2256" s="67">
        <v>2E-3</v>
      </c>
      <c r="H2256" s="63"/>
    </row>
    <row r="2257" spans="1:8" x14ac:dyDescent="0.25">
      <c r="A2257" s="63"/>
      <c r="B2257" s="63">
        <f>'Padrão EPP'!B2257</f>
        <v>9</v>
      </c>
      <c r="C2257" s="63" t="str">
        <f>'Padrão EPP'!C2257</f>
        <v>RR</v>
      </c>
      <c r="D2257" s="63" t="str">
        <f>'Padrão EPP'!D2257</f>
        <v>INTERIOR II</v>
      </c>
      <c r="E2257" s="63">
        <f>'Padrão EPP'!E2257/2</f>
        <v>70.694254723312085</v>
      </c>
      <c r="F2257" s="67">
        <v>3.0000000000000001E-3</v>
      </c>
      <c r="G2257" s="67">
        <v>2E-3</v>
      </c>
      <c r="H2257" s="63"/>
    </row>
    <row r="2258" spans="1:8" x14ac:dyDescent="0.25">
      <c r="A2258" s="63"/>
      <c r="B2258" s="63">
        <f>'Padrão EPP'!B2258</f>
        <v>10</v>
      </c>
      <c r="C2258" s="63" t="str">
        <f>'Padrão EPP'!C2258</f>
        <v>RR</v>
      </c>
      <c r="D2258" s="63" t="str">
        <f>'Padrão EPP'!D2258</f>
        <v>INTERIOR II</v>
      </c>
      <c r="E2258" s="63">
        <f>'Padrão EPP'!E2258/2</f>
        <v>76.350413336920951</v>
      </c>
      <c r="F2258" s="67">
        <v>3.0000000000000001E-3</v>
      </c>
      <c r="G2258" s="67">
        <v>2E-3</v>
      </c>
      <c r="H2258" s="63"/>
    </row>
    <row r="2259" spans="1:8" x14ac:dyDescent="0.25">
      <c r="A2259" s="63"/>
      <c r="B2259" s="63">
        <f>'Padrão EPP'!B2259</f>
        <v>11</v>
      </c>
      <c r="C2259" s="63" t="str">
        <f>'Padrão EPP'!C2259</f>
        <v>RR</v>
      </c>
      <c r="D2259" s="63" t="str">
        <f>'Padrão EPP'!D2259</f>
        <v>INTERIOR II</v>
      </c>
      <c r="E2259" s="63">
        <f>'Padrão EPP'!E2259/2</f>
        <v>0</v>
      </c>
      <c r="F2259" s="67">
        <v>3.0000000000000001E-3</v>
      </c>
      <c r="G2259" s="67">
        <v>2E-3</v>
      </c>
      <c r="H2259" s="63"/>
    </row>
    <row r="2260" spans="1:8" x14ac:dyDescent="0.25">
      <c r="A2260" s="63"/>
      <c r="B2260" s="63">
        <f>'Padrão EPP'!B2260</f>
        <v>12</v>
      </c>
      <c r="C2260" s="63" t="str">
        <f>'Padrão EPP'!C2260</f>
        <v>RR</v>
      </c>
      <c r="D2260" s="63" t="str">
        <f>'Padrão EPP'!D2260</f>
        <v>INTERIOR II</v>
      </c>
      <c r="E2260" s="63">
        <f>'Padrão EPP'!E2260/2</f>
        <v>0</v>
      </c>
      <c r="F2260" s="67">
        <v>3.0000000000000001E-3</v>
      </c>
      <c r="G2260" s="67">
        <v>2E-3</v>
      </c>
      <c r="H2260" s="63"/>
    </row>
    <row r="2261" spans="1:8" x14ac:dyDescent="0.25">
      <c r="A2261" s="63"/>
      <c r="B2261" s="63">
        <f>'Padrão EPP'!B2261</f>
        <v>13</v>
      </c>
      <c r="C2261" s="63" t="str">
        <f>'Padrão EPP'!C2261</f>
        <v>RR</v>
      </c>
      <c r="D2261" s="63" t="str">
        <f>'Padrão EPP'!D2261</f>
        <v>INTERIOR II</v>
      </c>
      <c r="E2261" s="63">
        <f>'Padrão EPP'!E2261/2</f>
        <v>0</v>
      </c>
      <c r="F2261" s="67">
        <v>3.0000000000000001E-3</v>
      </c>
      <c r="G2261" s="67">
        <v>2E-3</v>
      </c>
      <c r="H2261" s="63"/>
    </row>
    <row r="2262" spans="1:8" x14ac:dyDescent="0.25">
      <c r="A2262" s="63"/>
      <c r="B2262" s="63">
        <f>'Padrão EPP'!B2262</f>
        <v>14</v>
      </c>
      <c r="C2262" s="63" t="str">
        <f>'Padrão EPP'!C2262</f>
        <v>RR</v>
      </c>
      <c r="D2262" s="63" t="str">
        <f>'Padrão EPP'!D2262</f>
        <v>INTERIOR II</v>
      </c>
      <c r="E2262" s="63">
        <f>'Padrão EPP'!E2262/2</f>
        <v>0</v>
      </c>
      <c r="F2262" s="67">
        <v>3.0000000000000001E-3</v>
      </c>
      <c r="G2262" s="67">
        <v>2E-3</v>
      </c>
      <c r="H2262" s="63"/>
    </row>
    <row r="2263" spans="1:8" x14ac:dyDescent="0.25">
      <c r="A2263" s="63"/>
      <c r="B2263" s="63">
        <f>'Padrão EPP'!B2263</f>
        <v>15</v>
      </c>
      <c r="C2263" s="63" t="str">
        <f>'Padrão EPP'!C2263</f>
        <v>RR</v>
      </c>
      <c r="D2263" s="63" t="str">
        <f>'Padrão EPP'!D2263</f>
        <v>INTERIOR II</v>
      </c>
      <c r="E2263" s="63">
        <f>'Padrão EPP'!E2263/2</f>
        <v>0</v>
      </c>
      <c r="F2263" s="67">
        <v>3.0000000000000001E-3</v>
      </c>
      <c r="G2263" s="67">
        <v>2E-3</v>
      </c>
      <c r="H2263" s="63"/>
    </row>
    <row r="2264" spans="1:8" x14ac:dyDescent="0.25">
      <c r="A2264" s="63"/>
      <c r="B2264" s="63">
        <f>'Padrão EPP'!B2264</f>
        <v>16</v>
      </c>
      <c r="C2264" s="63" t="str">
        <f>'Padrão EPP'!C2264</f>
        <v>RR</v>
      </c>
      <c r="D2264" s="63" t="str">
        <f>'Padrão EPP'!D2264</f>
        <v>INTERIOR II</v>
      </c>
      <c r="E2264" s="63">
        <f>'Padrão EPP'!E2264/2</f>
        <v>0</v>
      </c>
      <c r="F2264" s="67">
        <v>3.0000000000000001E-3</v>
      </c>
      <c r="G2264" s="67">
        <v>2E-3</v>
      </c>
      <c r="H2264" s="63"/>
    </row>
    <row r="2265" spans="1:8" x14ac:dyDescent="0.25">
      <c r="A2265" s="63"/>
      <c r="B2265" s="63">
        <f>'Padrão EPP'!B2265</f>
        <v>17</v>
      </c>
      <c r="C2265" s="63" t="str">
        <f>'Padrão EPP'!C2265</f>
        <v>RR</v>
      </c>
      <c r="D2265" s="63" t="str">
        <f>'Padrão EPP'!D2265</f>
        <v>INTERIOR II</v>
      </c>
      <c r="E2265" s="63">
        <f>'Padrão EPP'!E2265/2</f>
        <v>0</v>
      </c>
      <c r="F2265" s="67">
        <v>3.0000000000000001E-3</v>
      </c>
      <c r="G2265" s="67">
        <v>2E-3</v>
      </c>
      <c r="H2265" s="63"/>
    </row>
    <row r="2266" spans="1:8" x14ac:dyDescent="0.25">
      <c r="A2266" s="63"/>
      <c r="B2266" s="63">
        <f>'Padrão EPP'!B2266</f>
        <v>18</v>
      </c>
      <c r="C2266" s="63" t="str">
        <f>'Padrão EPP'!C2266</f>
        <v>RR</v>
      </c>
      <c r="D2266" s="63" t="str">
        <f>'Padrão EPP'!D2266</f>
        <v>INTERIOR II</v>
      </c>
      <c r="E2266" s="63">
        <f>'Padrão EPP'!E2266/2</f>
        <v>0</v>
      </c>
      <c r="F2266" s="67">
        <v>3.0000000000000001E-3</v>
      </c>
      <c r="G2266" s="67">
        <v>2E-3</v>
      </c>
      <c r="H2266" s="63"/>
    </row>
    <row r="2267" spans="1:8" x14ac:dyDescent="0.25">
      <c r="A2267" s="63"/>
      <c r="B2267" s="63">
        <f>'Padrão EPP'!B2267</f>
        <v>19</v>
      </c>
      <c r="C2267" s="63" t="str">
        <f>'Padrão EPP'!C2267</f>
        <v>RR</v>
      </c>
      <c r="D2267" s="63" t="str">
        <f>'Padrão EPP'!D2267</f>
        <v>INTERIOR II</v>
      </c>
      <c r="E2267" s="63">
        <f>'Padrão EPP'!E2267/2</f>
        <v>0</v>
      </c>
      <c r="F2267" s="67">
        <v>3.0000000000000001E-3</v>
      </c>
      <c r="G2267" s="67">
        <v>2E-3</v>
      </c>
      <c r="H2267" s="63"/>
    </row>
    <row r="2268" spans="1:8" x14ac:dyDescent="0.25">
      <c r="A2268" s="63"/>
      <c r="B2268" s="63">
        <f>'Padrão EPP'!B2268</f>
        <v>20</v>
      </c>
      <c r="C2268" s="63" t="str">
        <f>'Padrão EPP'!C2268</f>
        <v>RR</v>
      </c>
      <c r="D2268" s="63" t="str">
        <f>'Padrão EPP'!D2268</f>
        <v>INTERIOR II</v>
      </c>
      <c r="E2268" s="63">
        <f>'Padrão EPP'!E2268/2</f>
        <v>0</v>
      </c>
      <c r="F2268" s="67">
        <v>3.0000000000000001E-3</v>
      </c>
      <c r="G2268" s="67">
        <v>2E-3</v>
      </c>
      <c r="H2268" s="63"/>
    </row>
    <row r="2269" spans="1:8" x14ac:dyDescent="0.25">
      <c r="A2269" s="63"/>
      <c r="B2269" s="63">
        <f>'Padrão EPP'!B2269</f>
        <v>21</v>
      </c>
      <c r="C2269" s="63" t="str">
        <f>'Padrão EPP'!C2269</f>
        <v>RR</v>
      </c>
      <c r="D2269" s="63" t="str">
        <f>'Padrão EPP'!D2269</f>
        <v>INTERIOR II</v>
      </c>
      <c r="E2269" s="63">
        <f>'Padrão EPP'!E2269/2</f>
        <v>0</v>
      </c>
      <c r="F2269" s="67">
        <v>3.0000000000000001E-3</v>
      </c>
      <c r="G2269" s="67">
        <v>2E-3</v>
      </c>
      <c r="H2269" s="63"/>
    </row>
    <row r="2270" spans="1:8" x14ac:dyDescent="0.25">
      <c r="A2270" s="63"/>
      <c r="B2270" s="63">
        <f>'Padrão EPP'!B2270</f>
        <v>22</v>
      </c>
      <c r="C2270" s="63" t="str">
        <f>'Padrão EPP'!C2270</f>
        <v>RR</v>
      </c>
      <c r="D2270" s="63" t="str">
        <f>'Padrão EPP'!D2270</f>
        <v>INTERIOR II</v>
      </c>
      <c r="E2270" s="63">
        <f>'Padrão EPP'!E2270/2</f>
        <v>0</v>
      </c>
      <c r="F2270" s="67">
        <v>3.0000000000000001E-3</v>
      </c>
      <c r="G2270" s="67">
        <v>2E-3</v>
      </c>
      <c r="H2270" s="63"/>
    </row>
    <row r="2271" spans="1:8" x14ac:dyDescent="0.25">
      <c r="A2271" s="63"/>
      <c r="B2271" s="63">
        <f>'Padrão EPP'!B2271</f>
        <v>23</v>
      </c>
      <c r="C2271" s="63" t="str">
        <f>'Padrão EPP'!C2271</f>
        <v>RR</v>
      </c>
      <c r="D2271" s="63" t="str">
        <f>'Padrão EPP'!D2271</f>
        <v>INTERIOR II</v>
      </c>
      <c r="E2271" s="63">
        <f>'Padrão EPP'!E2271/2</f>
        <v>0</v>
      </c>
      <c r="F2271" s="67">
        <v>3.0000000000000001E-3</v>
      </c>
      <c r="G2271" s="67">
        <v>2E-3</v>
      </c>
      <c r="H2271" s="63"/>
    </row>
    <row r="2272" spans="1:8" x14ac:dyDescent="0.25">
      <c r="A2272" s="63"/>
      <c r="B2272" s="63">
        <f>'Padrão EPP'!B2272</f>
        <v>24</v>
      </c>
      <c r="C2272" s="63" t="str">
        <f>'Padrão EPP'!C2272</f>
        <v>RR</v>
      </c>
      <c r="D2272" s="63" t="str">
        <f>'Padrão EPP'!D2272</f>
        <v>INTERIOR II</v>
      </c>
      <c r="E2272" s="63">
        <f>'Padrão EPP'!E2272/2</f>
        <v>0</v>
      </c>
      <c r="F2272" s="67">
        <v>3.0000000000000001E-3</v>
      </c>
      <c r="G2272" s="67">
        <v>2E-3</v>
      </c>
      <c r="H2272" s="63"/>
    </row>
    <row r="2273" spans="1:8" x14ac:dyDescent="0.25">
      <c r="A2273" s="63"/>
      <c r="B2273" s="63">
        <f>'Padrão EPP'!B2273</f>
        <v>25</v>
      </c>
      <c r="C2273" s="63" t="str">
        <f>'Padrão EPP'!C2273</f>
        <v>RR</v>
      </c>
      <c r="D2273" s="63" t="str">
        <f>'Padrão EPP'!D2273</f>
        <v>INTERIOR II</v>
      </c>
      <c r="E2273" s="63">
        <f>'Padrão EPP'!E2273/2</f>
        <v>0</v>
      </c>
      <c r="F2273" s="67">
        <v>3.0000000000000001E-3</v>
      </c>
      <c r="G2273" s="67">
        <v>2E-3</v>
      </c>
      <c r="H2273" s="63"/>
    </row>
    <row r="2274" spans="1:8" x14ac:dyDescent="0.25">
      <c r="A2274" s="63"/>
      <c r="B2274" s="63">
        <f>'Padrão EPP'!B2274</f>
        <v>26</v>
      </c>
      <c r="C2274" s="63" t="str">
        <f>'Padrão EPP'!C2274</f>
        <v>RR</v>
      </c>
      <c r="D2274" s="63" t="str">
        <f>'Padrão EPP'!D2274</f>
        <v>INTERIOR II</v>
      </c>
      <c r="E2274" s="63">
        <f>'Padrão EPP'!E2274/2</f>
        <v>0</v>
      </c>
      <c r="F2274" s="67">
        <v>3.0000000000000001E-3</v>
      </c>
      <c r="G2274" s="67">
        <v>2E-3</v>
      </c>
      <c r="H2274" s="63"/>
    </row>
    <row r="2275" spans="1:8" x14ac:dyDescent="0.25">
      <c r="A2275" s="63"/>
      <c r="B2275" s="63">
        <f>'Padrão EPP'!B2275</f>
        <v>27</v>
      </c>
      <c r="C2275" s="63" t="str">
        <f>'Padrão EPP'!C2275</f>
        <v>RR</v>
      </c>
      <c r="D2275" s="63" t="str">
        <f>'Padrão EPP'!D2275</f>
        <v>INTERIOR II</v>
      </c>
      <c r="E2275" s="63">
        <f>'Padrão EPP'!E2275/2</f>
        <v>0</v>
      </c>
      <c r="F2275" s="67">
        <v>3.0000000000000001E-3</v>
      </c>
      <c r="G2275" s="67">
        <v>2E-3</v>
      </c>
      <c r="H2275" s="63"/>
    </row>
    <row r="2276" spans="1:8" x14ac:dyDescent="0.25">
      <c r="A2276" s="63"/>
      <c r="B2276" s="63">
        <f>'Padrão EPP'!B2276</f>
        <v>28</v>
      </c>
      <c r="C2276" s="63" t="str">
        <f>'Padrão EPP'!C2276</f>
        <v>RR</v>
      </c>
      <c r="D2276" s="63" t="str">
        <f>'Padrão EPP'!D2276</f>
        <v>INTERIOR II</v>
      </c>
      <c r="E2276" s="63">
        <f>'Padrão EPP'!E2276/2</f>
        <v>0</v>
      </c>
      <c r="F2276" s="67">
        <v>3.0000000000000001E-3</v>
      </c>
      <c r="G2276" s="67">
        <v>2E-3</v>
      </c>
      <c r="H2276" s="63"/>
    </row>
    <row r="2277" spans="1:8" x14ac:dyDescent="0.25">
      <c r="A2277" s="63"/>
      <c r="B2277" s="63">
        <f>'Padrão EPP'!B2277</f>
        <v>29</v>
      </c>
      <c r="C2277" s="63" t="str">
        <f>'Padrão EPP'!C2277</f>
        <v>RR</v>
      </c>
      <c r="D2277" s="63" t="str">
        <f>'Padrão EPP'!D2277</f>
        <v>INTERIOR II</v>
      </c>
      <c r="E2277" s="63">
        <f>'Padrão EPP'!E2277/2</f>
        <v>0</v>
      </c>
      <c r="F2277" s="67">
        <v>3.0000000000000001E-3</v>
      </c>
      <c r="G2277" s="67">
        <v>2E-3</v>
      </c>
      <c r="H2277" s="63"/>
    </row>
    <row r="2278" spans="1:8" x14ac:dyDescent="0.25">
      <c r="A2278" s="63"/>
      <c r="B2278" s="63">
        <f>'Padrão EPP'!B2278</f>
        <v>30</v>
      </c>
      <c r="C2278" s="63" t="str">
        <f>'Padrão EPP'!C2278</f>
        <v>RR</v>
      </c>
      <c r="D2278" s="63" t="str">
        <f>'Padrão EPP'!D2278</f>
        <v>INTERIOR II</v>
      </c>
      <c r="E2278" s="63">
        <f>'Padrão EPP'!E2278/2</f>
        <v>0</v>
      </c>
      <c r="F2278" s="67">
        <v>3.0000000000000001E-3</v>
      </c>
      <c r="G2278" s="67">
        <v>2E-3</v>
      </c>
      <c r="H2278" s="63"/>
    </row>
    <row r="2279" spans="1:8" x14ac:dyDescent="0.25">
      <c r="A2279" s="63"/>
      <c r="B2279" s="63">
        <f>'Padrão EPP'!B2279</f>
        <v>0</v>
      </c>
      <c r="C2279" s="63" t="str">
        <f>'Padrão EPP'!C2279</f>
        <v>RR</v>
      </c>
      <c r="D2279" s="63" t="str">
        <f>'Padrão EPP'!D2279</f>
        <v>INTERIOR II</v>
      </c>
      <c r="E2279" s="63">
        <f>'Padrão EPP'!E2279/2</f>
        <v>1.5214394455252955</v>
      </c>
      <c r="F2279" s="67">
        <v>3.0000000000000001E-3</v>
      </c>
      <c r="G2279" s="67">
        <v>2E-3</v>
      </c>
      <c r="H2279" s="63"/>
    </row>
    <row r="2280" spans="1:8" x14ac:dyDescent="0.25">
      <c r="A2280" s="63"/>
      <c r="B2280" s="63">
        <f>'Padrão EPP'!B2280</f>
        <v>0.25</v>
      </c>
      <c r="C2280" s="63" t="str">
        <f>'Padrão EPP'!C2280</f>
        <v>RR</v>
      </c>
      <c r="D2280" s="63" t="str">
        <f>'Padrão EPP'!D2280</f>
        <v>REDESPACHO</v>
      </c>
      <c r="E2280" s="63">
        <f>'Padrão EPP'!E2280/2</f>
        <v>33.466610498870949</v>
      </c>
      <c r="F2280" s="67">
        <v>3.0000000000000001E-3</v>
      </c>
      <c r="G2280" s="67">
        <v>2E-3</v>
      </c>
      <c r="H2280" s="63"/>
    </row>
    <row r="2281" spans="1:8" x14ac:dyDescent="0.25">
      <c r="A2281" s="63"/>
      <c r="B2281" s="63">
        <f>'Padrão EPP'!B2281</f>
        <v>0.5</v>
      </c>
      <c r="C2281" s="63" t="str">
        <f>'Padrão EPP'!C2281</f>
        <v>RR</v>
      </c>
      <c r="D2281" s="63" t="str">
        <f>'Padrão EPP'!D2281</f>
        <v>REDESPACHO</v>
      </c>
      <c r="E2281" s="63">
        <f>'Padrão EPP'!E2281/2</f>
        <v>34.37051033347651</v>
      </c>
      <c r="F2281" s="67">
        <v>3.0000000000000001E-3</v>
      </c>
      <c r="G2281" s="67">
        <v>2E-3</v>
      </c>
      <c r="H2281" s="63"/>
    </row>
    <row r="2282" spans="1:8" x14ac:dyDescent="0.25">
      <c r="A2282" s="63"/>
      <c r="B2282" s="63">
        <f>'Padrão EPP'!B2282</f>
        <v>0.75</v>
      </c>
      <c r="C2282" s="63" t="str">
        <f>'Padrão EPP'!C2282</f>
        <v>RR</v>
      </c>
      <c r="D2282" s="63" t="str">
        <f>'Padrão EPP'!D2282</f>
        <v>REDESPACHO</v>
      </c>
      <c r="E2282" s="63">
        <f>'Padrão EPP'!E2282/2</f>
        <v>35.206890744661628</v>
      </c>
      <c r="F2282" s="67">
        <v>3.0000000000000001E-3</v>
      </c>
      <c r="G2282" s="67">
        <v>2E-3</v>
      </c>
      <c r="H2282" s="63"/>
    </row>
    <row r="2283" spans="1:8" x14ac:dyDescent="0.25">
      <c r="A2283" s="63"/>
      <c r="B2283" s="63">
        <f>'Padrão EPP'!B2283</f>
        <v>1</v>
      </c>
      <c r="C2283" s="63" t="str">
        <f>'Padrão EPP'!C2283</f>
        <v>RR</v>
      </c>
      <c r="D2283" s="63" t="str">
        <f>'Padrão EPP'!D2283</f>
        <v>REDESPACHO</v>
      </c>
      <c r="E2283" s="63">
        <f>'Padrão EPP'!E2283/2</f>
        <v>40.546526130459199</v>
      </c>
      <c r="F2283" s="67">
        <v>3.0000000000000001E-3</v>
      </c>
      <c r="G2283" s="67">
        <v>2E-3</v>
      </c>
      <c r="H2283" s="63"/>
    </row>
    <row r="2284" spans="1:8" x14ac:dyDescent="0.25">
      <c r="A2284" s="63"/>
      <c r="B2284" s="63">
        <f>'Padrão EPP'!B2284</f>
        <v>2</v>
      </c>
      <c r="C2284" s="63" t="str">
        <f>'Padrão EPP'!C2284</f>
        <v>RR</v>
      </c>
      <c r="D2284" s="63" t="str">
        <f>'Padrão EPP'!D2284</f>
        <v>REDESPACHO</v>
      </c>
      <c r="E2284" s="63">
        <f>'Padrão EPP'!E2284/2</f>
        <v>49.998739212843404</v>
      </c>
      <c r="F2284" s="67">
        <v>3.0000000000000001E-3</v>
      </c>
      <c r="G2284" s="67">
        <v>2E-3</v>
      </c>
      <c r="H2284" s="63"/>
    </row>
    <row r="2285" spans="1:8" x14ac:dyDescent="0.25">
      <c r="A2285" s="63"/>
      <c r="B2285" s="63">
        <f>'Padrão EPP'!B2285</f>
        <v>3</v>
      </c>
      <c r="C2285" s="63" t="str">
        <f>'Padrão EPP'!C2285</f>
        <v>RR</v>
      </c>
      <c r="D2285" s="63" t="str">
        <f>'Padrão EPP'!D2285</f>
        <v>REDESPACHO</v>
      </c>
      <c r="E2285" s="63">
        <f>'Padrão EPP'!E2285/2</f>
        <v>55.580444384127752</v>
      </c>
      <c r="F2285" s="67">
        <v>3.0000000000000001E-3</v>
      </c>
      <c r="G2285" s="67">
        <v>2E-3</v>
      </c>
      <c r="H2285" s="63"/>
    </row>
    <row r="2286" spans="1:8" x14ac:dyDescent="0.25">
      <c r="A2286" s="63"/>
      <c r="B2286" s="63">
        <f>'Padrão EPP'!B2286</f>
        <v>4</v>
      </c>
      <c r="C2286" s="63" t="str">
        <f>'Padrão EPP'!C2286</f>
        <v>RR</v>
      </c>
      <c r="D2286" s="63" t="str">
        <f>'Padrão EPP'!D2286</f>
        <v>REDESPACHO</v>
      </c>
      <c r="E2286" s="63">
        <f>'Padrão EPP'!E2286/2</f>
        <v>63.05817456557952</v>
      </c>
      <c r="F2286" s="67">
        <v>3.0000000000000001E-3</v>
      </c>
      <c r="G2286" s="67">
        <v>2E-3</v>
      </c>
      <c r="H2286" s="63"/>
    </row>
    <row r="2287" spans="1:8" x14ac:dyDescent="0.25">
      <c r="A2287" s="63"/>
      <c r="B2287" s="63">
        <f>'Padrão EPP'!B2287</f>
        <v>5</v>
      </c>
      <c r="C2287" s="63" t="str">
        <f>'Padrão EPP'!C2287</f>
        <v>RR</v>
      </c>
      <c r="D2287" s="63" t="str">
        <f>'Padrão EPP'!D2287</f>
        <v>REDESPACHO</v>
      </c>
      <c r="E2287" s="63">
        <f>'Padrão EPP'!E2287/2</f>
        <v>68.129224834637483</v>
      </c>
      <c r="F2287" s="67">
        <v>3.0000000000000001E-3</v>
      </c>
      <c r="G2287" s="67">
        <v>2E-3</v>
      </c>
      <c r="H2287" s="63"/>
    </row>
    <row r="2288" spans="1:8" x14ac:dyDescent="0.25">
      <c r="A2288" s="63"/>
      <c r="B2288" s="63">
        <f>'Padrão EPP'!B2288</f>
        <v>6</v>
      </c>
      <c r="C2288" s="63" t="str">
        <f>'Padrão EPP'!C2288</f>
        <v>RR</v>
      </c>
      <c r="D2288" s="63" t="str">
        <f>'Padrão EPP'!D2288</f>
        <v>REDESPACHO</v>
      </c>
      <c r="E2288" s="63">
        <f>'Padrão EPP'!E2288/2</f>
        <v>73.98674575560122</v>
      </c>
      <c r="F2288" s="67">
        <v>3.0000000000000001E-3</v>
      </c>
      <c r="G2288" s="67">
        <v>2E-3</v>
      </c>
      <c r="H2288" s="63"/>
    </row>
    <row r="2289" spans="1:8" x14ac:dyDescent="0.25">
      <c r="A2289" s="63"/>
      <c r="B2289" s="63">
        <f>'Padrão EPP'!B2289</f>
        <v>7</v>
      </c>
      <c r="C2289" s="63" t="str">
        <f>'Padrão EPP'!C2289</f>
        <v>RR</v>
      </c>
      <c r="D2289" s="63" t="str">
        <f>'Padrão EPP'!D2289</f>
        <v>REDESPACHO</v>
      </c>
      <c r="E2289" s="63">
        <f>'Padrão EPP'!E2289/2</f>
        <v>81.427650018661325</v>
      </c>
      <c r="F2289" s="67">
        <v>3.0000000000000001E-3</v>
      </c>
      <c r="G2289" s="67">
        <v>2E-3</v>
      </c>
      <c r="H2289" s="63"/>
    </row>
    <row r="2290" spans="1:8" x14ac:dyDescent="0.25">
      <c r="A2290" s="63"/>
      <c r="B2290" s="63">
        <f>'Padrão EPP'!B2290</f>
        <v>8</v>
      </c>
      <c r="C2290" s="63" t="str">
        <f>'Padrão EPP'!C2290</f>
        <v>RR</v>
      </c>
      <c r="D2290" s="63" t="str">
        <f>'Padrão EPP'!D2290</f>
        <v>REDESPACHO</v>
      </c>
      <c r="E2290" s="63">
        <f>'Padrão EPP'!E2290/2</f>
        <v>88.464747452931533</v>
      </c>
      <c r="F2290" s="67">
        <v>3.0000000000000001E-3</v>
      </c>
      <c r="G2290" s="67">
        <v>2E-3</v>
      </c>
      <c r="H2290" s="63"/>
    </row>
    <row r="2291" spans="1:8" x14ac:dyDescent="0.25">
      <c r="A2291" s="63"/>
      <c r="B2291" s="63">
        <f>'Padrão EPP'!B2291</f>
        <v>9</v>
      </c>
      <c r="C2291" s="63" t="str">
        <f>'Padrão EPP'!C2291</f>
        <v>RR</v>
      </c>
      <c r="D2291" s="63" t="str">
        <f>'Padrão EPP'!D2291</f>
        <v>REDESPACHO</v>
      </c>
      <c r="E2291" s="63">
        <f>'Padrão EPP'!E2291/2</f>
        <v>94.984980010724684</v>
      </c>
      <c r="F2291" s="67">
        <v>3.0000000000000001E-3</v>
      </c>
      <c r="G2291" s="67">
        <v>2E-3</v>
      </c>
      <c r="H2291" s="63"/>
    </row>
    <row r="2292" spans="1:8" x14ac:dyDescent="0.25">
      <c r="A2292" s="63"/>
      <c r="B2292" s="63">
        <f>'Padrão EPP'!B2292</f>
        <v>10</v>
      </c>
      <c r="C2292" s="63" t="str">
        <f>'Padrão EPP'!C2292</f>
        <v>RR</v>
      </c>
      <c r="D2292" s="63" t="str">
        <f>'Padrão EPP'!D2292</f>
        <v>REDESPACHO</v>
      </c>
      <c r="E2292" s="63">
        <f>'Padrão EPP'!E2292/2</f>
        <v>87.822378053855047</v>
      </c>
      <c r="F2292" s="67">
        <v>3.0000000000000001E-3</v>
      </c>
      <c r="G2292" s="67">
        <v>2E-3</v>
      </c>
      <c r="H2292" s="63"/>
    </row>
    <row r="2293" spans="1:8" x14ac:dyDescent="0.25">
      <c r="A2293" s="63"/>
      <c r="B2293" s="63">
        <f>'Padrão EPP'!B2293</f>
        <v>11</v>
      </c>
      <c r="C2293" s="63" t="str">
        <f>'Padrão EPP'!C2293</f>
        <v>RR</v>
      </c>
      <c r="D2293" s="63" t="str">
        <f>'Padrão EPP'!D2293</f>
        <v>REDESPACHO</v>
      </c>
      <c r="E2293" s="63">
        <f>'Padrão EPP'!E2293/2</f>
        <v>0</v>
      </c>
      <c r="F2293" s="67">
        <v>3.0000000000000001E-3</v>
      </c>
      <c r="G2293" s="67">
        <v>2E-3</v>
      </c>
      <c r="H2293" s="63"/>
    </row>
    <row r="2294" spans="1:8" x14ac:dyDescent="0.25">
      <c r="A2294" s="63"/>
      <c r="B2294" s="63">
        <f>'Padrão EPP'!B2294</f>
        <v>12</v>
      </c>
      <c r="C2294" s="63" t="str">
        <f>'Padrão EPP'!C2294</f>
        <v>RR</v>
      </c>
      <c r="D2294" s="63" t="str">
        <f>'Padrão EPP'!D2294</f>
        <v>REDESPACHO</v>
      </c>
      <c r="E2294" s="63">
        <f>'Padrão EPP'!E2294/2</f>
        <v>0</v>
      </c>
      <c r="F2294" s="67">
        <v>3.0000000000000001E-3</v>
      </c>
      <c r="G2294" s="67">
        <v>2E-3</v>
      </c>
      <c r="H2294" s="63"/>
    </row>
    <row r="2295" spans="1:8" x14ac:dyDescent="0.25">
      <c r="A2295" s="63"/>
      <c r="B2295" s="63">
        <f>'Padrão EPP'!B2295</f>
        <v>13</v>
      </c>
      <c r="C2295" s="63" t="str">
        <f>'Padrão EPP'!C2295</f>
        <v>RR</v>
      </c>
      <c r="D2295" s="63" t="str">
        <f>'Padrão EPP'!D2295</f>
        <v>REDESPACHO</v>
      </c>
      <c r="E2295" s="63">
        <f>'Padrão EPP'!E2295/2</f>
        <v>0</v>
      </c>
      <c r="F2295" s="67">
        <v>3.0000000000000001E-3</v>
      </c>
      <c r="G2295" s="67">
        <v>2E-3</v>
      </c>
      <c r="H2295" s="63"/>
    </row>
    <row r="2296" spans="1:8" x14ac:dyDescent="0.25">
      <c r="A2296" s="63"/>
      <c r="B2296" s="63">
        <f>'Padrão EPP'!B2296</f>
        <v>14</v>
      </c>
      <c r="C2296" s="63" t="str">
        <f>'Padrão EPP'!C2296</f>
        <v>RR</v>
      </c>
      <c r="D2296" s="63" t="str">
        <f>'Padrão EPP'!D2296</f>
        <v>REDESPACHO</v>
      </c>
      <c r="E2296" s="63">
        <f>'Padrão EPP'!E2296/2</f>
        <v>0</v>
      </c>
      <c r="F2296" s="67">
        <v>3.0000000000000001E-3</v>
      </c>
      <c r="G2296" s="67">
        <v>2E-3</v>
      </c>
      <c r="H2296" s="63"/>
    </row>
    <row r="2297" spans="1:8" x14ac:dyDescent="0.25">
      <c r="A2297" s="63"/>
      <c r="B2297" s="63">
        <f>'Padrão EPP'!B2297</f>
        <v>15</v>
      </c>
      <c r="C2297" s="63" t="str">
        <f>'Padrão EPP'!C2297</f>
        <v>RR</v>
      </c>
      <c r="D2297" s="63" t="str">
        <f>'Padrão EPP'!D2297</f>
        <v>REDESPACHO</v>
      </c>
      <c r="E2297" s="63">
        <f>'Padrão EPP'!E2297/2</f>
        <v>0</v>
      </c>
      <c r="F2297" s="67">
        <v>3.0000000000000001E-3</v>
      </c>
      <c r="G2297" s="67">
        <v>2E-3</v>
      </c>
      <c r="H2297" s="63"/>
    </row>
    <row r="2298" spans="1:8" x14ac:dyDescent="0.25">
      <c r="A2298" s="63"/>
      <c r="B2298" s="63">
        <f>'Padrão EPP'!B2298</f>
        <v>16</v>
      </c>
      <c r="C2298" s="63" t="str">
        <f>'Padrão EPP'!C2298</f>
        <v>RR</v>
      </c>
      <c r="D2298" s="63" t="str">
        <f>'Padrão EPP'!D2298</f>
        <v>REDESPACHO</v>
      </c>
      <c r="E2298" s="63">
        <f>'Padrão EPP'!E2298/2</f>
        <v>0</v>
      </c>
      <c r="F2298" s="67">
        <v>3.0000000000000001E-3</v>
      </c>
      <c r="G2298" s="67">
        <v>2E-3</v>
      </c>
      <c r="H2298" s="63"/>
    </row>
    <row r="2299" spans="1:8" x14ac:dyDescent="0.25">
      <c r="A2299" s="63"/>
      <c r="B2299" s="63">
        <f>'Padrão EPP'!B2299</f>
        <v>17</v>
      </c>
      <c r="C2299" s="63" t="str">
        <f>'Padrão EPP'!C2299</f>
        <v>RR</v>
      </c>
      <c r="D2299" s="63" t="str">
        <f>'Padrão EPP'!D2299</f>
        <v>REDESPACHO</v>
      </c>
      <c r="E2299" s="63">
        <f>'Padrão EPP'!E2299/2</f>
        <v>0</v>
      </c>
      <c r="F2299" s="67">
        <v>3.0000000000000001E-3</v>
      </c>
      <c r="G2299" s="67">
        <v>2E-3</v>
      </c>
      <c r="H2299" s="63"/>
    </row>
    <row r="2300" spans="1:8" x14ac:dyDescent="0.25">
      <c r="A2300" s="63"/>
      <c r="B2300" s="63">
        <f>'Padrão EPP'!B2300</f>
        <v>18</v>
      </c>
      <c r="C2300" s="63" t="str">
        <f>'Padrão EPP'!C2300</f>
        <v>RR</v>
      </c>
      <c r="D2300" s="63" t="str">
        <f>'Padrão EPP'!D2300</f>
        <v>REDESPACHO</v>
      </c>
      <c r="E2300" s="63">
        <f>'Padrão EPP'!E2300/2</f>
        <v>0</v>
      </c>
      <c r="F2300" s="67">
        <v>3.0000000000000001E-3</v>
      </c>
      <c r="G2300" s="67">
        <v>2E-3</v>
      </c>
      <c r="H2300" s="63"/>
    </row>
    <row r="2301" spans="1:8" x14ac:dyDescent="0.25">
      <c r="A2301" s="63"/>
      <c r="B2301" s="63">
        <f>'Padrão EPP'!B2301</f>
        <v>19</v>
      </c>
      <c r="C2301" s="63" t="str">
        <f>'Padrão EPP'!C2301</f>
        <v>RR</v>
      </c>
      <c r="D2301" s="63" t="str">
        <f>'Padrão EPP'!D2301</f>
        <v>REDESPACHO</v>
      </c>
      <c r="E2301" s="63">
        <f>'Padrão EPP'!E2301/2</f>
        <v>0</v>
      </c>
      <c r="F2301" s="67">
        <v>3.0000000000000001E-3</v>
      </c>
      <c r="G2301" s="67">
        <v>2E-3</v>
      </c>
      <c r="H2301" s="63"/>
    </row>
    <row r="2302" spans="1:8" x14ac:dyDescent="0.25">
      <c r="A2302" s="63"/>
      <c r="B2302" s="63">
        <f>'Padrão EPP'!B2302</f>
        <v>20</v>
      </c>
      <c r="C2302" s="63" t="str">
        <f>'Padrão EPP'!C2302</f>
        <v>RR</v>
      </c>
      <c r="D2302" s="63" t="str">
        <f>'Padrão EPP'!D2302</f>
        <v>REDESPACHO</v>
      </c>
      <c r="E2302" s="63">
        <f>'Padrão EPP'!E2302/2</f>
        <v>0</v>
      </c>
      <c r="F2302" s="67">
        <v>3.0000000000000001E-3</v>
      </c>
      <c r="G2302" s="67">
        <v>2E-3</v>
      </c>
      <c r="H2302" s="63"/>
    </row>
    <row r="2303" spans="1:8" x14ac:dyDescent="0.25">
      <c r="A2303" s="63"/>
      <c r="B2303" s="63">
        <f>'Padrão EPP'!B2303</f>
        <v>21</v>
      </c>
      <c r="C2303" s="63" t="str">
        <f>'Padrão EPP'!C2303</f>
        <v>RR</v>
      </c>
      <c r="D2303" s="63" t="str">
        <f>'Padrão EPP'!D2303</f>
        <v>REDESPACHO</v>
      </c>
      <c r="E2303" s="63">
        <f>'Padrão EPP'!E2303/2</f>
        <v>0</v>
      </c>
      <c r="F2303" s="67">
        <v>3.0000000000000001E-3</v>
      </c>
      <c r="G2303" s="67">
        <v>2E-3</v>
      </c>
      <c r="H2303" s="63"/>
    </row>
    <row r="2304" spans="1:8" x14ac:dyDescent="0.25">
      <c r="A2304" s="63"/>
      <c r="B2304" s="63">
        <f>'Padrão EPP'!B2304</f>
        <v>22</v>
      </c>
      <c r="C2304" s="63" t="str">
        <f>'Padrão EPP'!C2304</f>
        <v>RR</v>
      </c>
      <c r="D2304" s="63" t="str">
        <f>'Padrão EPP'!D2304</f>
        <v>REDESPACHO</v>
      </c>
      <c r="E2304" s="63">
        <f>'Padrão EPP'!E2304/2</f>
        <v>0</v>
      </c>
      <c r="F2304" s="67">
        <v>3.0000000000000001E-3</v>
      </c>
      <c r="G2304" s="67">
        <v>2E-3</v>
      </c>
      <c r="H2304" s="63"/>
    </row>
    <row r="2305" spans="1:8" x14ac:dyDescent="0.25">
      <c r="A2305" s="63"/>
      <c r="B2305" s="63">
        <f>'Padrão EPP'!B2305</f>
        <v>23</v>
      </c>
      <c r="C2305" s="63" t="str">
        <f>'Padrão EPP'!C2305</f>
        <v>RR</v>
      </c>
      <c r="D2305" s="63" t="str">
        <f>'Padrão EPP'!D2305</f>
        <v>REDESPACHO</v>
      </c>
      <c r="E2305" s="63">
        <f>'Padrão EPP'!E2305/2</f>
        <v>0</v>
      </c>
      <c r="F2305" s="67">
        <v>3.0000000000000001E-3</v>
      </c>
      <c r="G2305" s="67">
        <v>2E-3</v>
      </c>
      <c r="H2305" s="63"/>
    </row>
    <row r="2306" spans="1:8" x14ac:dyDescent="0.25">
      <c r="A2306" s="63"/>
      <c r="B2306" s="63">
        <f>'Padrão EPP'!B2306</f>
        <v>24</v>
      </c>
      <c r="C2306" s="63" t="str">
        <f>'Padrão EPP'!C2306</f>
        <v>RR</v>
      </c>
      <c r="D2306" s="63" t="str">
        <f>'Padrão EPP'!D2306</f>
        <v>REDESPACHO</v>
      </c>
      <c r="E2306" s="63">
        <f>'Padrão EPP'!E2306/2</f>
        <v>0</v>
      </c>
      <c r="F2306" s="67">
        <v>3.0000000000000001E-3</v>
      </c>
      <c r="G2306" s="67">
        <v>2E-3</v>
      </c>
      <c r="H2306" s="63"/>
    </row>
    <row r="2307" spans="1:8" x14ac:dyDescent="0.25">
      <c r="A2307" s="63"/>
      <c r="B2307" s="63">
        <f>'Padrão EPP'!B2307</f>
        <v>25</v>
      </c>
      <c r="C2307" s="63" t="str">
        <f>'Padrão EPP'!C2307</f>
        <v>RR</v>
      </c>
      <c r="D2307" s="63" t="str">
        <f>'Padrão EPP'!D2307</f>
        <v>REDESPACHO</v>
      </c>
      <c r="E2307" s="63">
        <f>'Padrão EPP'!E2307/2</f>
        <v>0</v>
      </c>
      <c r="F2307" s="67">
        <v>3.0000000000000001E-3</v>
      </c>
      <c r="G2307" s="67">
        <v>2E-3</v>
      </c>
      <c r="H2307" s="63"/>
    </row>
    <row r="2308" spans="1:8" x14ac:dyDescent="0.25">
      <c r="A2308" s="63"/>
      <c r="B2308" s="63">
        <f>'Padrão EPP'!B2308</f>
        <v>26</v>
      </c>
      <c r="C2308" s="63" t="str">
        <f>'Padrão EPP'!C2308</f>
        <v>RR</v>
      </c>
      <c r="D2308" s="63" t="str">
        <f>'Padrão EPP'!D2308</f>
        <v>REDESPACHO</v>
      </c>
      <c r="E2308" s="63">
        <f>'Padrão EPP'!E2308/2</f>
        <v>0</v>
      </c>
      <c r="F2308" s="67">
        <v>3.0000000000000001E-3</v>
      </c>
      <c r="G2308" s="67">
        <v>2E-3</v>
      </c>
      <c r="H2308" s="63"/>
    </row>
    <row r="2309" spans="1:8" x14ac:dyDescent="0.25">
      <c r="A2309" s="63"/>
      <c r="B2309" s="63">
        <f>'Padrão EPP'!B2309</f>
        <v>27</v>
      </c>
      <c r="C2309" s="63" t="str">
        <f>'Padrão EPP'!C2309</f>
        <v>RR</v>
      </c>
      <c r="D2309" s="63" t="str">
        <f>'Padrão EPP'!D2309</f>
        <v>REDESPACHO</v>
      </c>
      <c r="E2309" s="63">
        <f>'Padrão EPP'!E2309/2</f>
        <v>0</v>
      </c>
      <c r="F2309" s="67">
        <v>3.0000000000000001E-3</v>
      </c>
      <c r="G2309" s="67">
        <v>2E-3</v>
      </c>
      <c r="H2309" s="63"/>
    </row>
    <row r="2310" spans="1:8" x14ac:dyDescent="0.25">
      <c r="A2310" s="63"/>
      <c r="B2310" s="63">
        <f>'Padrão EPP'!B2310</f>
        <v>28</v>
      </c>
      <c r="C2310" s="63" t="str">
        <f>'Padrão EPP'!C2310</f>
        <v>RR</v>
      </c>
      <c r="D2310" s="63" t="str">
        <f>'Padrão EPP'!D2310</f>
        <v>REDESPACHO</v>
      </c>
      <c r="E2310" s="63">
        <f>'Padrão EPP'!E2310/2</f>
        <v>0</v>
      </c>
      <c r="F2310" s="67">
        <v>3.0000000000000001E-3</v>
      </c>
      <c r="G2310" s="67">
        <v>2E-3</v>
      </c>
      <c r="H2310" s="63"/>
    </row>
    <row r="2311" spans="1:8" x14ac:dyDescent="0.25">
      <c r="A2311" s="63"/>
      <c r="B2311" s="63">
        <f>'Padrão EPP'!B2311</f>
        <v>29</v>
      </c>
      <c r="C2311" s="63" t="str">
        <f>'Padrão EPP'!C2311</f>
        <v>RR</v>
      </c>
      <c r="D2311" s="63" t="str">
        <f>'Padrão EPP'!D2311</f>
        <v>REDESPACHO</v>
      </c>
      <c r="E2311" s="63">
        <f>'Padrão EPP'!E2311/2</f>
        <v>0</v>
      </c>
      <c r="F2311" s="67">
        <v>3.0000000000000001E-3</v>
      </c>
      <c r="G2311" s="67">
        <v>2E-3</v>
      </c>
      <c r="H2311" s="63"/>
    </row>
    <row r="2312" spans="1:8" x14ac:dyDescent="0.25">
      <c r="A2312" s="63"/>
      <c r="B2312" s="63">
        <f>'Padrão EPP'!B2312</f>
        <v>30</v>
      </c>
      <c r="C2312" s="63" t="str">
        <f>'Padrão EPP'!C2312</f>
        <v>RR</v>
      </c>
      <c r="D2312" s="63" t="str">
        <f>'Padrão EPP'!D2312</f>
        <v>REDESPACHO</v>
      </c>
      <c r="E2312" s="63">
        <f>'Padrão EPP'!E2312/2</f>
        <v>0</v>
      </c>
      <c r="F2312" s="67">
        <v>3.0000000000000001E-3</v>
      </c>
      <c r="G2312" s="67">
        <v>2E-3</v>
      </c>
      <c r="H2312" s="63"/>
    </row>
    <row r="2313" spans="1:8" x14ac:dyDescent="0.25">
      <c r="A2313" s="63"/>
      <c r="B2313" s="63">
        <f>'Padrão EPP'!B2313</f>
        <v>0</v>
      </c>
      <c r="C2313" s="63" t="str">
        <f>'Padrão EPP'!C2313</f>
        <v>RR</v>
      </c>
      <c r="D2313" s="63" t="str">
        <f>'Padrão EPP'!D2313</f>
        <v>REDESPACHO</v>
      </c>
      <c r="E2313" s="63">
        <f>'Padrão EPP'!E2313/2</f>
        <v>1.5214394455252955</v>
      </c>
      <c r="F2313" s="67">
        <v>3.0000000000000001E-3</v>
      </c>
      <c r="G2313" s="67">
        <v>2E-3</v>
      </c>
      <c r="H2313" s="63"/>
    </row>
    <row r="2314" spans="1:8" x14ac:dyDescent="0.25">
      <c r="A2314" s="63"/>
      <c r="B2314" s="63">
        <f>'Padrão EPP'!B2314</f>
        <v>0.25</v>
      </c>
      <c r="C2314" s="63" t="str">
        <f>'Padrão EPP'!C2314</f>
        <v>TO</v>
      </c>
      <c r="D2314" s="63" t="str">
        <f>'Padrão EPP'!D2314</f>
        <v>CAPITAL</v>
      </c>
      <c r="E2314" s="63">
        <f>'Padrão EPP'!E2314/2</f>
        <v>11.014835509285202</v>
      </c>
      <c r="F2314" s="67">
        <v>3.0000000000000001E-3</v>
      </c>
      <c r="G2314" s="67">
        <v>2E-3</v>
      </c>
      <c r="H2314" s="63"/>
    </row>
    <row r="2315" spans="1:8" x14ac:dyDescent="0.25">
      <c r="A2315" s="63"/>
      <c r="B2315" s="63">
        <f>'Padrão EPP'!B2315</f>
        <v>0.5</v>
      </c>
      <c r="C2315" s="63" t="str">
        <f>'Padrão EPP'!C2315</f>
        <v>TO</v>
      </c>
      <c r="D2315" s="63" t="str">
        <f>'Padrão EPP'!D2315</f>
        <v>CAPITAL</v>
      </c>
      <c r="E2315" s="63">
        <f>'Padrão EPP'!E2315/2</f>
        <v>11.174413867883741</v>
      </c>
      <c r="F2315" s="67">
        <v>3.0000000000000001E-3</v>
      </c>
      <c r="G2315" s="67">
        <v>2E-3</v>
      </c>
      <c r="H2315" s="63"/>
    </row>
    <row r="2316" spans="1:8" x14ac:dyDescent="0.25">
      <c r="A2316" s="63"/>
      <c r="B2316" s="63">
        <f>'Padrão EPP'!B2316</f>
        <v>0.75</v>
      </c>
      <c r="C2316" s="63" t="str">
        <f>'Padrão EPP'!C2316</f>
        <v>TO</v>
      </c>
      <c r="D2316" s="63" t="str">
        <f>'Padrão EPP'!D2316</f>
        <v>CAPITAL</v>
      </c>
      <c r="E2316" s="63">
        <f>'Padrão EPP'!E2316/2</f>
        <v>11.289940486773375</v>
      </c>
      <c r="F2316" s="67">
        <v>3.0000000000000001E-3</v>
      </c>
      <c r="G2316" s="67">
        <v>2E-3</v>
      </c>
      <c r="H2316" s="63"/>
    </row>
    <row r="2317" spans="1:8" x14ac:dyDescent="0.25">
      <c r="A2317" s="63"/>
      <c r="B2317" s="63">
        <f>'Padrão EPP'!B2317</f>
        <v>1</v>
      </c>
      <c r="C2317" s="63" t="str">
        <f>'Padrão EPP'!C2317</f>
        <v>TO</v>
      </c>
      <c r="D2317" s="63" t="str">
        <f>'Padrão EPP'!D2317</f>
        <v>CAPITAL</v>
      </c>
      <c r="E2317" s="63">
        <f>'Padrão EPP'!E2317/2</f>
        <v>11.622593746584778</v>
      </c>
      <c r="F2317" s="67">
        <v>3.0000000000000001E-3</v>
      </c>
      <c r="G2317" s="67">
        <v>2E-3</v>
      </c>
      <c r="H2317" s="63"/>
    </row>
    <row r="2318" spans="1:8" x14ac:dyDescent="0.25">
      <c r="A2318" s="63"/>
      <c r="B2318" s="63">
        <f>'Padrão EPP'!B2318</f>
        <v>2</v>
      </c>
      <c r="C2318" s="63" t="str">
        <f>'Padrão EPP'!C2318</f>
        <v>TO</v>
      </c>
      <c r="D2318" s="63" t="str">
        <f>'Padrão EPP'!D2318</f>
        <v>CAPITAL</v>
      </c>
      <c r="E2318" s="63">
        <f>'Padrão EPP'!E2318/2</f>
        <v>14.523736706087705</v>
      </c>
      <c r="F2318" s="67">
        <v>3.0000000000000001E-3</v>
      </c>
      <c r="G2318" s="67">
        <v>2E-3</v>
      </c>
      <c r="H2318" s="63"/>
    </row>
    <row r="2319" spans="1:8" x14ac:dyDescent="0.25">
      <c r="A2319" s="63"/>
      <c r="B2319" s="63">
        <f>'Padrão EPP'!B2319</f>
        <v>3</v>
      </c>
      <c r="C2319" s="63" t="str">
        <f>'Padrão EPP'!C2319</f>
        <v>TO</v>
      </c>
      <c r="D2319" s="63" t="str">
        <f>'Padrão EPP'!D2319</f>
        <v>CAPITAL</v>
      </c>
      <c r="E2319" s="63">
        <f>'Padrão EPP'!E2319/2</f>
        <v>17.898498442609348</v>
      </c>
      <c r="F2319" s="67">
        <v>3.0000000000000001E-3</v>
      </c>
      <c r="G2319" s="67">
        <v>2E-3</v>
      </c>
      <c r="H2319" s="63"/>
    </row>
    <row r="2320" spans="1:8" x14ac:dyDescent="0.25">
      <c r="A2320" s="63"/>
      <c r="B2320" s="63">
        <f>'Padrão EPP'!B2320</f>
        <v>4</v>
      </c>
      <c r="C2320" s="63" t="str">
        <f>'Padrão EPP'!C2320</f>
        <v>TO</v>
      </c>
      <c r="D2320" s="63" t="str">
        <f>'Padrão EPP'!D2320</f>
        <v>CAPITAL</v>
      </c>
      <c r="E2320" s="63">
        <f>'Padrão EPP'!E2320/2</f>
        <v>21.622793270075015</v>
      </c>
      <c r="F2320" s="67">
        <v>3.0000000000000001E-3</v>
      </c>
      <c r="G2320" s="67">
        <v>2E-3</v>
      </c>
      <c r="H2320" s="63"/>
    </row>
    <row r="2321" spans="1:8" x14ac:dyDescent="0.25">
      <c r="A2321" s="63"/>
      <c r="B2321" s="63">
        <f>'Padrão EPP'!B2321</f>
        <v>5</v>
      </c>
      <c r="C2321" s="63" t="str">
        <f>'Padrão EPP'!C2321</f>
        <v>TO</v>
      </c>
      <c r="D2321" s="63" t="str">
        <f>'Padrão EPP'!D2321</f>
        <v>CAPITAL</v>
      </c>
      <c r="E2321" s="63">
        <f>'Padrão EPP'!E2321/2</f>
        <v>25.396249690988654</v>
      </c>
      <c r="F2321" s="67">
        <v>3.0000000000000001E-3</v>
      </c>
      <c r="G2321" s="67">
        <v>2E-3</v>
      </c>
      <c r="H2321" s="63"/>
    </row>
    <row r="2322" spans="1:8" x14ac:dyDescent="0.25">
      <c r="A2322" s="63"/>
      <c r="B2322" s="63">
        <f>'Padrão EPP'!B2322</f>
        <v>6</v>
      </c>
      <c r="C2322" s="63" t="str">
        <f>'Padrão EPP'!C2322</f>
        <v>TO</v>
      </c>
      <c r="D2322" s="63" t="str">
        <f>'Padrão EPP'!D2322</f>
        <v>CAPITAL</v>
      </c>
      <c r="E2322" s="63">
        <f>'Padrão EPP'!E2322/2</f>
        <v>28.921775505619529</v>
      </c>
      <c r="F2322" s="67">
        <v>3.0000000000000001E-3</v>
      </c>
      <c r="G2322" s="67">
        <v>2E-3</v>
      </c>
      <c r="H2322" s="63"/>
    </row>
    <row r="2323" spans="1:8" x14ac:dyDescent="0.25">
      <c r="A2323" s="63"/>
      <c r="B2323" s="63">
        <f>'Padrão EPP'!B2323</f>
        <v>7</v>
      </c>
      <c r="C2323" s="63" t="str">
        <f>'Padrão EPP'!C2323</f>
        <v>TO</v>
      </c>
      <c r="D2323" s="63" t="str">
        <f>'Padrão EPP'!D2323</f>
        <v>CAPITAL</v>
      </c>
      <c r="E2323" s="63">
        <f>'Padrão EPP'!E2323/2</f>
        <v>32.72014463763248</v>
      </c>
      <c r="F2323" s="67">
        <v>3.0000000000000001E-3</v>
      </c>
      <c r="G2323" s="67">
        <v>2E-3</v>
      </c>
      <c r="H2323" s="63"/>
    </row>
    <row r="2324" spans="1:8" x14ac:dyDescent="0.25">
      <c r="A2324" s="63"/>
      <c r="B2324" s="63">
        <f>'Padrão EPP'!B2324</f>
        <v>8</v>
      </c>
      <c r="C2324" s="63" t="str">
        <f>'Padrão EPP'!C2324</f>
        <v>TO</v>
      </c>
      <c r="D2324" s="63" t="str">
        <f>'Padrão EPP'!D2324</f>
        <v>CAPITAL</v>
      </c>
      <c r="E2324" s="63">
        <f>'Padrão EPP'!E2324/2</f>
        <v>36.419976448071708</v>
      </c>
      <c r="F2324" s="67">
        <v>3.0000000000000001E-3</v>
      </c>
      <c r="G2324" s="67">
        <v>2E-3</v>
      </c>
      <c r="H2324" s="63"/>
    </row>
    <row r="2325" spans="1:8" x14ac:dyDescent="0.25">
      <c r="A2325" s="63"/>
      <c r="B2325" s="63">
        <f>'Padrão EPP'!B2325</f>
        <v>9</v>
      </c>
      <c r="C2325" s="63" t="str">
        <f>'Padrão EPP'!C2325</f>
        <v>TO</v>
      </c>
      <c r="D2325" s="63" t="str">
        <f>'Padrão EPP'!D2325</f>
        <v>CAPITAL</v>
      </c>
      <c r="E2325" s="63">
        <f>'Padrão EPP'!E2325/2</f>
        <v>40.220241713238643</v>
      </c>
      <c r="F2325" s="67">
        <v>3.0000000000000001E-3</v>
      </c>
      <c r="G2325" s="67">
        <v>2E-3</v>
      </c>
      <c r="H2325" s="63"/>
    </row>
    <row r="2326" spans="1:8" x14ac:dyDescent="0.25">
      <c r="A2326" s="63"/>
      <c r="B2326" s="63">
        <f>'Padrão EPP'!B2326</f>
        <v>10</v>
      </c>
      <c r="C2326" s="63" t="str">
        <f>'Padrão EPP'!C2326</f>
        <v>TO</v>
      </c>
      <c r="D2326" s="63" t="str">
        <f>'Padrão EPP'!D2326</f>
        <v>CAPITAL</v>
      </c>
      <c r="E2326" s="63">
        <f>'Padrão EPP'!E2326/2</f>
        <v>43.747923119801797</v>
      </c>
      <c r="F2326" s="67">
        <v>3.0000000000000001E-3</v>
      </c>
      <c r="G2326" s="67">
        <v>2E-3</v>
      </c>
      <c r="H2326" s="63"/>
    </row>
    <row r="2327" spans="1:8" x14ac:dyDescent="0.25">
      <c r="A2327" s="63"/>
      <c r="B2327" s="63">
        <f>'Padrão EPP'!B2327</f>
        <v>11</v>
      </c>
      <c r="C2327" s="63" t="str">
        <f>'Padrão EPP'!C2327</f>
        <v>TO</v>
      </c>
      <c r="D2327" s="63" t="str">
        <f>'Padrão EPP'!D2327</f>
        <v>CAPITAL</v>
      </c>
      <c r="E2327" s="63">
        <f>'Padrão EPP'!E2327/2</f>
        <v>0</v>
      </c>
      <c r="F2327" s="67">
        <v>3.0000000000000001E-3</v>
      </c>
      <c r="G2327" s="67">
        <v>2E-3</v>
      </c>
      <c r="H2327" s="63"/>
    </row>
    <row r="2328" spans="1:8" x14ac:dyDescent="0.25">
      <c r="A2328" s="63"/>
      <c r="B2328" s="63">
        <f>'Padrão EPP'!B2328</f>
        <v>12</v>
      </c>
      <c r="C2328" s="63" t="str">
        <f>'Padrão EPP'!C2328</f>
        <v>TO</v>
      </c>
      <c r="D2328" s="63" t="str">
        <f>'Padrão EPP'!D2328</f>
        <v>CAPITAL</v>
      </c>
      <c r="E2328" s="63">
        <f>'Padrão EPP'!E2328/2</f>
        <v>0</v>
      </c>
      <c r="F2328" s="67">
        <v>3.0000000000000001E-3</v>
      </c>
      <c r="G2328" s="67">
        <v>2E-3</v>
      </c>
      <c r="H2328" s="63"/>
    </row>
    <row r="2329" spans="1:8" x14ac:dyDescent="0.25">
      <c r="A2329" s="63"/>
      <c r="B2329" s="63">
        <f>'Padrão EPP'!B2329</f>
        <v>13</v>
      </c>
      <c r="C2329" s="63" t="str">
        <f>'Padrão EPP'!C2329</f>
        <v>TO</v>
      </c>
      <c r="D2329" s="63" t="str">
        <f>'Padrão EPP'!D2329</f>
        <v>CAPITAL</v>
      </c>
      <c r="E2329" s="63">
        <f>'Padrão EPP'!E2329/2</f>
        <v>0</v>
      </c>
      <c r="F2329" s="67">
        <v>3.0000000000000001E-3</v>
      </c>
      <c r="G2329" s="67">
        <v>2E-3</v>
      </c>
      <c r="H2329" s="63"/>
    </row>
    <row r="2330" spans="1:8" x14ac:dyDescent="0.25">
      <c r="A2330" s="63"/>
      <c r="B2330" s="63">
        <f>'Padrão EPP'!B2330</f>
        <v>14</v>
      </c>
      <c r="C2330" s="63" t="str">
        <f>'Padrão EPP'!C2330</f>
        <v>TO</v>
      </c>
      <c r="D2330" s="63" t="str">
        <f>'Padrão EPP'!D2330</f>
        <v>CAPITAL</v>
      </c>
      <c r="E2330" s="63">
        <f>'Padrão EPP'!E2330/2</f>
        <v>0</v>
      </c>
      <c r="F2330" s="67">
        <v>3.0000000000000001E-3</v>
      </c>
      <c r="G2330" s="67">
        <v>2E-3</v>
      </c>
      <c r="H2330" s="63"/>
    </row>
    <row r="2331" spans="1:8" x14ac:dyDescent="0.25">
      <c r="A2331" s="63"/>
      <c r="B2331" s="63">
        <f>'Padrão EPP'!B2331</f>
        <v>15</v>
      </c>
      <c r="C2331" s="63" t="str">
        <f>'Padrão EPP'!C2331</f>
        <v>TO</v>
      </c>
      <c r="D2331" s="63" t="str">
        <f>'Padrão EPP'!D2331</f>
        <v>CAPITAL</v>
      </c>
      <c r="E2331" s="63">
        <f>'Padrão EPP'!E2331/2</f>
        <v>0</v>
      </c>
      <c r="F2331" s="67">
        <v>3.0000000000000001E-3</v>
      </c>
      <c r="G2331" s="67">
        <v>2E-3</v>
      </c>
      <c r="H2331" s="63"/>
    </row>
    <row r="2332" spans="1:8" x14ac:dyDescent="0.25">
      <c r="A2332" s="63"/>
      <c r="B2332" s="63">
        <f>'Padrão EPP'!B2332</f>
        <v>16</v>
      </c>
      <c r="C2332" s="63" t="str">
        <f>'Padrão EPP'!C2332</f>
        <v>TO</v>
      </c>
      <c r="D2332" s="63" t="str">
        <f>'Padrão EPP'!D2332</f>
        <v>CAPITAL</v>
      </c>
      <c r="E2332" s="63">
        <f>'Padrão EPP'!E2332/2</f>
        <v>0</v>
      </c>
      <c r="F2332" s="67">
        <v>3.0000000000000001E-3</v>
      </c>
      <c r="G2332" s="67">
        <v>2E-3</v>
      </c>
      <c r="H2332" s="63"/>
    </row>
    <row r="2333" spans="1:8" x14ac:dyDescent="0.25">
      <c r="A2333" s="63"/>
      <c r="B2333" s="63">
        <f>'Padrão EPP'!B2333</f>
        <v>17</v>
      </c>
      <c r="C2333" s="63" t="str">
        <f>'Padrão EPP'!C2333</f>
        <v>TO</v>
      </c>
      <c r="D2333" s="63" t="str">
        <f>'Padrão EPP'!D2333</f>
        <v>CAPITAL</v>
      </c>
      <c r="E2333" s="63">
        <f>'Padrão EPP'!E2333/2</f>
        <v>0</v>
      </c>
      <c r="F2333" s="67">
        <v>3.0000000000000001E-3</v>
      </c>
      <c r="G2333" s="67">
        <v>2E-3</v>
      </c>
      <c r="H2333" s="63"/>
    </row>
    <row r="2334" spans="1:8" x14ac:dyDescent="0.25">
      <c r="A2334" s="63"/>
      <c r="B2334" s="63">
        <f>'Padrão EPP'!B2334</f>
        <v>18</v>
      </c>
      <c r="C2334" s="63" t="str">
        <f>'Padrão EPP'!C2334</f>
        <v>TO</v>
      </c>
      <c r="D2334" s="63" t="str">
        <f>'Padrão EPP'!D2334</f>
        <v>CAPITAL</v>
      </c>
      <c r="E2334" s="63">
        <f>'Padrão EPP'!E2334/2</f>
        <v>0</v>
      </c>
      <c r="F2334" s="67">
        <v>3.0000000000000001E-3</v>
      </c>
      <c r="G2334" s="67">
        <v>2E-3</v>
      </c>
      <c r="H2334" s="63"/>
    </row>
    <row r="2335" spans="1:8" x14ac:dyDescent="0.25">
      <c r="A2335" s="63"/>
      <c r="B2335" s="63">
        <f>'Padrão EPP'!B2335</f>
        <v>19</v>
      </c>
      <c r="C2335" s="63" t="str">
        <f>'Padrão EPP'!C2335</f>
        <v>TO</v>
      </c>
      <c r="D2335" s="63" t="str">
        <f>'Padrão EPP'!D2335</f>
        <v>CAPITAL</v>
      </c>
      <c r="E2335" s="63">
        <f>'Padrão EPP'!E2335/2</f>
        <v>0</v>
      </c>
      <c r="F2335" s="67">
        <v>3.0000000000000001E-3</v>
      </c>
      <c r="G2335" s="67">
        <v>2E-3</v>
      </c>
      <c r="H2335" s="63"/>
    </row>
    <row r="2336" spans="1:8" x14ac:dyDescent="0.25">
      <c r="A2336" s="63"/>
      <c r="B2336" s="63">
        <f>'Padrão EPP'!B2336</f>
        <v>20</v>
      </c>
      <c r="C2336" s="63" t="str">
        <f>'Padrão EPP'!C2336</f>
        <v>TO</v>
      </c>
      <c r="D2336" s="63" t="str">
        <f>'Padrão EPP'!D2336</f>
        <v>CAPITAL</v>
      </c>
      <c r="E2336" s="63">
        <f>'Padrão EPP'!E2336/2</f>
        <v>0</v>
      </c>
      <c r="F2336" s="67">
        <v>3.0000000000000001E-3</v>
      </c>
      <c r="G2336" s="67">
        <v>2E-3</v>
      </c>
      <c r="H2336" s="63"/>
    </row>
    <row r="2337" spans="1:8" x14ac:dyDescent="0.25">
      <c r="A2337" s="63"/>
      <c r="B2337" s="63">
        <f>'Padrão EPP'!B2337</f>
        <v>21</v>
      </c>
      <c r="C2337" s="63" t="str">
        <f>'Padrão EPP'!C2337</f>
        <v>TO</v>
      </c>
      <c r="D2337" s="63" t="str">
        <f>'Padrão EPP'!D2337</f>
        <v>CAPITAL</v>
      </c>
      <c r="E2337" s="63">
        <f>'Padrão EPP'!E2337/2</f>
        <v>0</v>
      </c>
      <c r="F2337" s="67">
        <v>3.0000000000000001E-3</v>
      </c>
      <c r="G2337" s="67">
        <v>2E-3</v>
      </c>
      <c r="H2337" s="63"/>
    </row>
    <row r="2338" spans="1:8" x14ac:dyDescent="0.25">
      <c r="A2338" s="63"/>
      <c r="B2338" s="63">
        <f>'Padrão EPP'!B2338</f>
        <v>22</v>
      </c>
      <c r="C2338" s="63" t="str">
        <f>'Padrão EPP'!C2338</f>
        <v>TO</v>
      </c>
      <c r="D2338" s="63" t="str">
        <f>'Padrão EPP'!D2338</f>
        <v>CAPITAL</v>
      </c>
      <c r="E2338" s="63">
        <f>'Padrão EPP'!E2338/2</f>
        <v>0</v>
      </c>
      <c r="F2338" s="67">
        <v>3.0000000000000001E-3</v>
      </c>
      <c r="G2338" s="67">
        <v>2E-3</v>
      </c>
      <c r="H2338" s="63"/>
    </row>
    <row r="2339" spans="1:8" x14ac:dyDescent="0.25">
      <c r="A2339" s="63"/>
      <c r="B2339" s="63">
        <f>'Padrão EPP'!B2339</f>
        <v>23</v>
      </c>
      <c r="C2339" s="63" t="str">
        <f>'Padrão EPP'!C2339</f>
        <v>TO</v>
      </c>
      <c r="D2339" s="63" t="str">
        <f>'Padrão EPP'!D2339</f>
        <v>CAPITAL</v>
      </c>
      <c r="E2339" s="63">
        <f>'Padrão EPP'!E2339/2</f>
        <v>0</v>
      </c>
      <c r="F2339" s="67">
        <v>3.0000000000000001E-3</v>
      </c>
      <c r="G2339" s="67">
        <v>2E-3</v>
      </c>
      <c r="H2339" s="63"/>
    </row>
    <row r="2340" spans="1:8" x14ac:dyDescent="0.25">
      <c r="A2340" s="63"/>
      <c r="B2340" s="63">
        <f>'Padrão EPP'!B2340</f>
        <v>24</v>
      </c>
      <c r="C2340" s="63" t="str">
        <f>'Padrão EPP'!C2340</f>
        <v>TO</v>
      </c>
      <c r="D2340" s="63" t="str">
        <f>'Padrão EPP'!D2340</f>
        <v>CAPITAL</v>
      </c>
      <c r="E2340" s="63">
        <f>'Padrão EPP'!E2340/2</f>
        <v>0</v>
      </c>
      <c r="F2340" s="67">
        <v>3.0000000000000001E-3</v>
      </c>
      <c r="G2340" s="67">
        <v>2E-3</v>
      </c>
      <c r="H2340" s="63"/>
    </row>
    <row r="2341" spans="1:8" x14ac:dyDescent="0.25">
      <c r="A2341" s="63"/>
      <c r="B2341" s="63">
        <f>'Padrão EPP'!B2341</f>
        <v>25</v>
      </c>
      <c r="C2341" s="63" t="str">
        <f>'Padrão EPP'!C2341</f>
        <v>TO</v>
      </c>
      <c r="D2341" s="63" t="str">
        <f>'Padrão EPP'!D2341</f>
        <v>CAPITAL</v>
      </c>
      <c r="E2341" s="63">
        <f>'Padrão EPP'!E2341/2</f>
        <v>0</v>
      </c>
      <c r="F2341" s="67">
        <v>3.0000000000000001E-3</v>
      </c>
      <c r="G2341" s="67">
        <v>2E-3</v>
      </c>
      <c r="H2341" s="63"/>
    </row>
    <row r="2342" spans="1:8" x14ac:dyDescent="0.25">
      <c r="A2342" s="63"/>
      <c r="B2342" s="63">
        <f>'Padrão EPP'!B2342</f>
        <v>26</v>
      </c>
      <c r="C2342" s="63" t="str">
        <f>'Padrão EPP'!C2342</f>
        <v>TO</v>
      </c>
      <c r="D2342" s="63" t="str">
        <f>'Padrão EPP'!D2342</f>
        <v>CAPITAL</v>
      </c>
      <c r="E2342" s="63">
        <f>'Padrão EPP'!E2342/2</f>
        <v>0</v>
      </c>
      <c r="F2342" s="67">
        <v>3.0000000000000001E-3</v>
      </c>
      <c r="G2342" s="67">
        <v>2E-3</v>
      </c>
      <c r="H2342" s="63"/>
    </row>
    <row r="2343" spans="1:8" x14ac:dyDescent="0.25">
      <c r="A2343" s="63"/>
      <c r="B2343" s="63">
        <f>'Padrão EPP'!B2343</f>
        <v>27</v>
      </c>
      <c r="C2343" s="63" t="str">
        <f>'Padrão EPP'!C2343</f>
        <v>TO</v>
      </c>
      <c r="D2343" s="63" t="str">
        <f>'Padrão EPP'!D2343</f>
        <v>CAPITAL</v>
      </c>
      <c r="E2343" s="63">
        <f>'Padrão EPP'!E2343/2</f>
        <v>0</v>
      </c>
      <c r="F2343" s="67">
        <v>3.0000000000000001E-3</v>
      </c>
      <c r="G2343" s="67">
        <v>2E-3</v>
      </c>
      <c r="H2343" s="63"/>
    </row>
    <row r="2344" spans="1:8" x14ac:dyDescent="0.25">
      <c r="A2344" s="63"/>
      <c r="B2344" s="63">
        <f>'Padrão EPP'!B2344</f>
        <v>28</v>
      </c>
      <c r="C2344" s="63" t="str">
        <f>'Padrão EPP'!C2344</f>
        <v>TO</v>
      </c>
      <c r="D2344" s="63" t="str">
        <f>'Padrão EPP'!D2344</f>
        <v>CAPITAL</v>
      </c>
      <c r="E2344" s="63">
        <f>'Padrão EPP'!E2344/2</f>
        <v>0</v>
      </c>
      <c r="F2344" s="67">
        <v>3.0000000000000001E-3</v>
      </c>
      <c r="G2344" s="67">
        <v>2E-3</v>
      </c>
      <c r="H2344" s="63"/>
    </row>
    <row r="2345" spans="1:8" x14ac:dyDescent="0.25">
      <c r="A2345" s="63"/>
      <c r="B2345" s="63">
        <f>'Padrão EPP'!B2345</f>
        <v>29</v>
      </c>
      <c r="C2345" s="63" t="str">
        <f>'Padrão EPP'!C2345</f>
        <v>TO</v>
      </c>
      <c r="D2345" s="63" t="str">
        <f>'Padrão EPP'!D2345</f>
        <v>CAPITAL</v>
      </c>
      <c r="E2345" s="63">
        <f>'Padrão EPP'!E2345/2</f>
        <v>0</v>
      </c>
      <c r="F2345" s="67">
        <v>3.0000000000000001E-3</v>
      </c>
      <c r="G2345" s="67">
        <v>2E-3</v>
      </c>
      <c r="H2345" s="63"/>
    </row>
    <row r="2346" spans="1:8" x14ac:dyDescent="0.25">
      <c r="A2346" s="63"/>
      <c r="B2346" s="63">
        <f>'Padrão EPP'!B2346</f>
        <v>30</v>
      </c>
      <c r="C2346" s="63" t="str">
        <f>'Padrão EPP'!C2346</f>
        <v>TO</v>
      </c>
      <c r="D2346" s="63" t="str">
        <f>'Padrão EPP'!D2346</f>
        <v>CAPITAL</v>
      </c>
      <c r="E2346" s="63">
        <f>'Padrão EPP'!E2346/2</f>
        <v>0</v>
      </c>
      <c r="F2346" s="67">
        <v>3.0000000000000001E-3</v>
      </c>
      <c r="G2346" s="67">
        <v>2E-3</v>
      </c>
      <c r="H2346" s="63"/>
    </row>
    <row r="2347" spans="1:8" x14ac:dyDescent="0.25">
      <c r="A2347" s="63"/>
      <c r="B2347" s="63">
        <f>'Padrão EPP'!B2347</f>
        <v>0</v>
      </c>
      <c r="C2347" s="63" t="str">
        <f>'Padrão EPP'!C2347</f>
        <v>TO</v>
      </c>
      <c r="D2347" s="63" t="str">
        <f>'Padrão EPP'!D2347</f>
        <v>CAPITAL</v>
      </c>
      <c r="E2347" s="63">
        <f>'Padrão EPP'!E2347/2</f>
        <v>1.5214394455252955</v>
      </c>
      <c r="F2347" s="67">
        <v>3.0000000000000001E-3</v>
      </c>
      <c r="G2347" s="67">
        <v>2E-3</v>
      </c>
      <c r="H2347" s="63"/>
    </row>
    <row r="2348" spans="1:8" x14ac:dyDescent="0.25">
      <c r="A2348" s="63"/>
      <c r="B2348" s="63">
        <f>'Padrão EPP'!B2348</f>
        <v>0.25</v>
      </c>
      <c r="C2348" s="63" t="str">
        <f>'Padrão EPP'!C2348</f>
        <v>TO</v>
      </c>
      <c r="D2348" s="63" t="str">
        <f>'Padrão EPP'!D2348</f>
        <v>INTERIOR</v>
      </c>
      <c r="E2348" s="63">
        <f>'Padrão EPP'!E2348/2</f>
        <v>16.166168900549103</v>
      </c>
      <c r="F2348" s="67">
        <v>3.0000000000000001E-3</v>
      </c>
      <c r="G2348" s="67">
        <v>2E-3</v>
      </c>
      <c r="H2348" s="63"/>
    </row>
    <row r="2349" spans="1:8" x14ac:dyDescent="0.25">
      <c r="A2349" s="63"/>
      <c r="B2349" s="63">
        <f>'Padrão EPP'!B2349</f>
        <v>0.5</v>
      </c>
      <c r="C2349" s="63" t="str">
        <f>'Padrão EPP'!C2349</f>
        <v>TO</v>
      </c>
      <c r="D2349" s="63" t="str">
        <f>'Padrão EPP'!D2349</f>
        <v>INTERIOR</v>
      </c>
      <c r="E2349" s="63">
        <f>'Padrão EPP'!E2349/2</f>
        <v>16.470261692347815</v>
      </c>
      <c r="F2349" s="67">
        <v>3.0000000000000001E-3</v>
      </c>
      <c r="G2349" s="67">
        <v>2E-3</v>
      </c>
      <c r="H2349" s="63"/>
    </row>
    <row r="2350" spans="1:8" x14ac:dyDescent="0.25">
      <c r="A2350" s="63"/>
      <c r="B2350" s="63">
        <f>'Padrão EPP'!B2350</f>
        <v>0.75</v>
      </c>
      <c r="C2350" s="63" t="str">
        <f>'Padrão EPP'!C2350</f>
        <v>TO</v>
      </c>
      <c r="D2350" s="63" t="str">
        <f>'Padrão EPP'!D2350</f>
        <v>INTERIOR</v>
      </c>
      <c r="E2350" s="63">
        <f>'Padrão EPP'!E2350/2</f>
        <v>17.087742142046086</v>
      </c>
      <c r="F2350" s="67">
        <v>3.0000000000000001E-3</v>
      </c>
      <c r="G2350" s="67">
        <v>2E-3</v>
      </c>
      <c r="H2350" s="63"/>
    </row>
    <row r="2351" spans="1:8" x14ac:dyDescent="0.25">
      <c r="A2351" s="63"/>
      <c r="B2351" s="63">
        <f>'Padrão EPP'!B2351</f>
        <v>1</v>
      </c>
      <c r="C2351" s="63" t="str">
        <f>'Padrão EPP'!C2351</f>
        <v>TO</v>
      </c>
      <c r="D2351" s="63" t="str">
        <f>'Padrão EPP'!D2351</f>
        <v>INTERIOR</v>
      </c>
      <c r="E2351" s="63">
        <f>'Padrão EPP'!E2351/2</f>
        <v>18.510760807359183</v>
      </c>
      <c r="F2351" s="67">
        <v>3.0000000000000001E-3</v>
      </c>
      <c r="G2351" s="67">
        <v>2E-3</v>
      </c>
      <c r="H2351" s="63"/>
    </row>
    <row r="2352" spans="1:8" x14ac:dyDescent="0.25">
      <c r="A2352" s="63"/>
      <c r="B2352" s="63">
        <f>'Padrão EPP'!B2352</f>
        <v>2</v>
      </c>
      <c r="C2352" s="63" t="str">
        <f>'Padrão EPP'!C2352</f>
        <v>TO</v>
      </c>
      <c r="D2352" s="63" t="str">
        <f>'Padrão EPP'!D2352</f>
        <v>INTERIOR</v>
      </c>
      <c r="E2352" s="63">
        <f>'Padrão EPP'!E2352/2</f>
        <v>21.105636840084102</v>
      </c>
      <c r="F2352" s="67">
        <v>3.0000000000000001E-3</v>
      </c>
      <c r="G2352" s="67">
        <v>2E-3</v>
      </c>
      <c r="H2352" s="63"/>
    </row>
    <row r="2353" spans="1:8" x14ac:dyDescent="0.25">
      <c r="A2353" s="63"/>
      <c r="B2353" s="63">
        <f>'Padrão EPP'!B2353</f>
        <v>3</v>
      </c>
      <c r="C2353" s="63" t="str">
        <f>'Padrão EPP'!C2353</f>
        <v>TO</v>
      </c>
      <c r="D2353" s="63" t="str">
        <f>'Padrão EPP'!D2353</f>
        <v>INTERIOR</v>
      </c>
      <c r="E2353" s="63">
        <f>'Padrão EPP'!E2353/2</f>
        <v>24.275085611757383</v>
      </c>
      <c r="F2353" s="67">
        <v>3.0000000000000001E-3</v>
      </c>
      <c r="G2353" s="67">
        <v>2E-3</v>
      </c>
      <c r="H2353" s="63"/>
    </row>
    <row r="2354" spans="1:8" x14ac:dyDescent="0.25">
      <c r="A2354" s="63"/>
      <c r="B2354" s="63">
        <f>'Padrão EPP'!B2354</f>
        <v>4</v>
      </c>
      <c r="C2354" s="63" t="str">
        <f>'Padrão EPP'!C2354</f>
        <v>TO</v>
      </c>
      <c r="D2354" s="63" t="str">
        <f>'Padrão EPP'!D2354</f>
        <v>INTERIOR</v>
      </c>
      <c r="E2354" s="63">
        <f>'Padrão EPP'!E2354/2</f>
        <v>23.108366005873481</v>
      </c>
      <c r="F2354" s="67">
        <v>3.0000000000000001E-3</v>
      </c>
      <c r="G2354" s="67">
        <v>2E-3</v>
      </c>
      <c r="H2354" s="63"/>
    </row>
    <row r="2355" spans="1:8" x14ac:dyDescent="0.25">
      <c r="A2355" s="63"/>
      <c r="B2355" s="63">
        <f>'Padrão EPP'!B2355</f>
        <v>5</v>
      </c>
      <c r="C2355" s="63" t="str">
        <f>'Padrão EPP'!C2355</f>
        <v>TO</v>
      </c>
      <c r="D2355" s="63" t="str">
        <f>'Padrão EPP'!D2355</f>
        <v>INTERIOR</v>
      </c>
      <c r="E2355" s="63">
        <f>'Padrão EPP'!E2355/2</f>
        <v>26.360115961369704</v>
      </c>
      <c r="F2355" s="67">
        <v>3.0000000000000001E-3</v>
      </c>
      <c r="G2355" s="67">
        <v>2E-3</v>
      </c>
      <c r="H2355" s="63"/>
    </row>
    <row r="2356" spans="1:8" x14ac:dyDescent="0.25">
      <c r="A2356" s="63"/>
      <c r="B2356" s="63">
        <f>'Padrão EPP'!B2356</f>
        <v>6</v>
      </c>
      <c r="C2356" s="63" t="str">
        <f>'Padrão EPP'!C2356</f>
        <v>TO</v>
      </c>
      <c r="D2356" s="63" t="str">
        <f>'Padrão EPP'!D2356</f>
        <v>INTERIOR</v>
      </c>
      <c r="E2356" s="63">
        <f>'Padrão EPP'!E2356/2</f>
        <v>30.243986572882395</v>
      </c>
      <c r="F2356" s="67">
        <v>3.0000000000000001E-3</v>
      </c>
      <c r="G2356" s="67">
        <v>2E-3</v>
      </c>
      <c r="H2356" s="63"/>
    </row>
    <row r="2357" spans="1:8" x14ac:dyDescent="0.25">
      <c r="A2357" s="63"/>
      <c r="B2357" s="63">
        <f>'Padrão EPP'!B2357</f>
        <v>7</v>
      </c>
      <c r="C2357" s="63" t="str">
        <f>'Padrão EPP'!C2357</f>
        <v>TO</v>
      </c>
      <c r="D2357" s="63" t="str">
        <f>'Padrão EPP'!D2357</f>
        <v>INTERIOR</v>
      </c>
      <c r="E2357" s="63">
        <f>'Padrão EPP'!E2357/2</f>
        <v>34.282272569065221</v>
      </c>
      <c r="F2357" s="67">
        <v>3.0000000000000001E-3</v>
      </c>
      <c r="G2357" s="67">
        <v>2E-3</v>
      </c>
      <c r="H2357" s="63"/>
    </row>
    <row r="2358" spans="1:8" x14ac:dyDescent="0.25">
      <c r="A2358" s="63"/>
      <c r="B2358" s="63">
        <f>'Padrão EPP'!B2358</f>
        <v>8</v>
      </c>
      <c r="C2358" s="63" t="str">
        <f>'Padrão EPP'!C2358</f>
        <v>TO</v>
      </c>
      <c r="D2358" s="63" t="str">
        <f>'Padrão EPP'!D2358</f>
        <v>INTERIOR</v>
      </c>
      <c r="E2358" s="63">
        <f>'Padrão EPP'!E2358/2</f>
        <v>38.494896064240187</v>
      </c>
      <c r="F2358" s="67">
        <v>3.0000000000000001E-3</v>
      </c>
      <c r="G2358" s="67">
        <v>2E-3</v>
      </c>
      <c r="H2358" s="63"/>
    </row>
    <row r="2359" spans="1:8" x14ac:dyDescent="0.25">
      <c r="A2359" s="63"/>
      <c r="B2359" s="63">
        <f>'Padrão EPP'!B2359</f>
        <v>9</v>
      </c>
      <c r="C2359" s="63" t="str">
        <f>'Padrão EPP'!C2359</f>
        <v>TO</v>
      </c>
      <c r="D2359" s="63" t="str">
        <f>'Padrão EPP'!D2359</f>
        <v>INTERIOR</v>
      </c>
      <c r="E2359" s="63">
        <f>'Padrão EPP'!E2359/2</f>
        <v>42.446311511784778</v>
      </c>
      <c r="F2359" s="67">
        <v>3.0000000000000001E-3</v>
      </c>
      <c r="G2359" s="67">
        <v>2E-3</v>
      </c>
      <c r="H2359" s="63"/>
    </row>
    <row r="2360" spans="1:8" x14ac:dyDescent="0.25">
      <c r="A2360" s="63"/>
      <c r="B2360" s="63">
        <f>'Padrão EPP'!B2360</f>
        <v>10</v>
      </c>
      <c r="C2360" s="63" t="str">
        <f>'Padrão EPP'!C2360</f>
        <v>TO</v>
      </c>
      <c r="D2360" s="63" t="str">
        <f>'Padrão EPP'!D2360</f>
        <v>INTERIOR</v>
      </c>
      <c r="E2360" s="63">
        <f>'Padrão EPP'!E2360/2</f>
        <v>46.305062092700737</v>
      </c>
      <c r="F2360" s="67">
        <v>3.0000000000000001E-3</v>
      </c>
      <c r="G2360" s="67">
        <v>2E-3</v>
      </c>
      <c r="H2360" s="63"/>
    </row>
    <row r="2361" spans="1:8" x14ac:dyDescent="0.25">
      <c r="A2361" s="63"/>
      <c r="B2361" s="63">
        <f>'Padrão EPP'!B2361</f>
        <v>11</v>
      </c>
      <c r="C2361" s="63" t="str">
        <f>'Padrão EPP'!C2361</f>
        <v>TO</v>
      </c>
      <c r="D2361" s="63" t="str">
        <f>'Padrão EPP'!D2361</f>
        <v>INTERIOR</v>
      </c>
      <c r="E2361" s="63">
        <f>'Padrão EPP'!E2361/2</f>
        <v>0</v>
      </c>
      <c r="F2361" s="67">
        <v>3.0000000000000001E-3</v>
      </c>
      <c r="G2361" s="67">
        <v>2E-3</v>
      </c>
      <c r="H2361" s="63"/>
    </row>
    <row r="2362" spans="1:8" x14ac:dyDescent="0.25">
      <c r="A2362" s="63"/>
      <c r="B2362" s="63">
        <f>'Padrão EPP'!B2362</f>
        <v>12</v>
      </c>
      <c r="C2362" s="63" t="str">
        <f>'Padrão EPP'!C2362</f>
        <v>TO</v>
      </c>
      <c r="D2362" s="63" t="str">
        <f>'Padrão EPP'!D2362</f>
        <v>INTERIOR</v>
      </c>
      <c r="E2362" s="63">
        <f>'Padrão EPP'!E2362/2</f>
        <v>0</v>
      </c>
      <c r="F2362" s="67">
        <v>3.0000000000000001E-3</v>
      </c>
      <c r="G2362" s="67">
        <v>2E-3</v>
      </c>
      <c r="H2362" s="63"/>
    </row>
    <row r="2363" spans="1:8" x14ac:dyDescent="0.25">
      <c r="A2363" s="63"/>
      <c r="B2363" s="63">
        <f>'Padrão EPP'!B2363</f>
        <v>13</v>
      </c>
      <c r="C2363" s="63" t="str">
        <f>'Padrão EPP'!C2363</f>
        <v>TO</v>
      </c>
      <c r="D2363" s="63" t="str">
        <f>'Padrão EPP'!D2363</f>
        <v>INTERIOR</v>
      </c>
      <c r="E2363" s="63">
        <f>'Padrão EPP'!E2363/2</f>
        <v>0</v>
      </c>
      <c r="F2363" s="67">
        <v>3.0000000000000001E-3</v>
      </c>
      <c r="G2363" s="67">
        <v>2E-3</v>
      </c>
      <c r="H2363" s="63"/>
    </row>
    <row r="2364" spans="1:8" x14ac:dyDescent="0.25">
      <c r="A2364" s="63"/>
      <c r="B2364" s="63">
        <f>'Padrão EPP'!B2364</f>
        <v>14</v>
      </c>
      <c r="C2364" s="63" t="str">
        <f>'Padrão EPP'!C2364</f>
        <v>TO</v>
      </c>
      <c r="D2364" s="63" t="str">
        <f>'Padrão EPP'!D2364</f>
        <v>INTERIOR</v>
      </c>
      <c r="E2364" s="63">
        <f>'Padrão EPP'!E2364/2</f>
        <v>0</v>
      </c>
      <c r="F2364" s="67">
        <v>3.0000000000000001E-3</v>
      </c>
      <c r="G2364" s="67">
        <v>2E-3</v>
      </c>
      <c r="H2364" s="63"/>
    </row>
    <row r="2365" spans="1:8" x14ac:dyDescent="0.25">
      <c r="A2365" s="63"/>
      <c r="B2365" s="63">
        <f>'Padrão EPP'!B2365</f>
        <v>15</v>
      </c>
      <c r="C2365" s="63" t="str">
        <f>'Padrão EPP'!C2365</f>
        <v>TO</v>
      </c>
      <c r="D2365" s="63" t="str">
        <f>'Padrão EPP'!D2365</f>
        <v>INTERIOR</v>
      </c>
      <c r="E2365" s="63">
        <f>'Padrão EPP'!E2365/2</f>
        <v>0</v>
      </c>
      <c r="F2365" s="67">
        <v>3.0000000000000001E-3</v>
      </c>
      <c r="G2365" s="67">
        <v>2E-3</v>
      </c>
      <c r="H2365" s="63"/>
    </row>
    <row r="2366" spans="1:8" x14ac:dyDescent="0.25">
      <c r="A2366" s="63"/>
      <c r="B2366" s="63">
        <f>'Padrão EPP'!B2366</f>
        <v>16</v>
      </c>
      <c r="C2366" s="63" t="str">
        <f>'Padrão EPP'!C2366</f>
        <v>TO</v>
      </c>
      <c r="D2366" s="63" t="str">
        <f>'Padrão EPP'!D2366</f>
        <v>INTERIOR</v>
      </c>
      <c r="E2366" s="63">
        <f>'Padrão EPP'!E2366/2</f>
        <v>0</v>
      </c>
      <c r="F2366" s="67">
        <v>3.0000000000000001E-3</v>
      </c>
      <c r="G2366" s="67">
        <v>2E-3</v>
      </c>
      <c r="H2366" s="63"/>
    </row>
    <row r="2367" spans="1:8" x14ac:dyDescent="0.25">
      <c r="A2367" s="63"/>
      <c r="B2367" s="63">
        <f>'Padrão EPP'!B2367</f>
        <v>17</v>
      </c>
      <c r="C2367" s="63" t="str">
        <f>'Padrão EPP'!C2367</f>
        <v>TO</v>
      </c>
      <c r="D2367" s="63" t="str">
        <f>'Padrão EPP'!D2367</f>
        <v>INTERIOR</v>
      </c>
      <c r="E2367" s="63">
        <f>'Padrão EPP'!E2367/2</f>
        <v>0</v>
      </c>
      <c r="F2367" s="67">
        <v>3.0000000000000001E-3</v>
      </c>
      <c r="G2367" s="67">
        <v>2E-3</v>
      </c>
      <c r="H2367" s="63"/>
    </row>
    <row r="2368" spans="1:8" x14ac:dyDescent="0.25">
      <c r="A2368" s="63"/>
      <c r="B2368" s="63">
        <f>'Padrão EPP'!B2368</f>
        <v>18</v>
      </c>
      <c r="C2368" s="63" t="str">
        <f>'Padrão EPP'!C2368</f>
        <v>TO</v>
      </c>
      <c r="D2368" s="63" t="str">
        <f>'Padrão EPP'!D2368</f>
        <v>INTERIOR</v>
      </c>
      <c r="E2368" s="63">
        <f>'Padrão EPP'!E2368/2</f>
        <v>0</v>
      </c>
      <c r="F2368" s="67">
        <v>3.0000000000000001E-3</v>
      </c>
      <c r="G2368" s="67">
        <v>2E-3</v>
      </c>
      <c r="H2368" s="63"/>
    </row>
    <row r="2369" spans="1:8" x14ac:dyDescent="0.25">
      <c r="A2369" s="63"/>
      <c r="B2369" s="63">
        <f>'Padrão EPP'!B2369</f>
        <v>19</v>
      </c>
      <c r="C2369" s="63" t="str">
        <f>'Padrão EPP'!C2369</f>
        <v>TO</v>
      </c>
      <c r="D2369" s="63" t="str">
        <f>'Padrão EPP'!D2369</f>
        <v>INTERIOR</v>
      </c>
      <c r="E2369" s="63">
        <f>'Padrão EPP'!E2369/2</f>
        <v>0</v>
      </c>
      <c r="F2369" s="67">
        <v>3.0000000000000001E-3</v>
      </c>
      <c r="G2369" s="67">
        <v>2E-3</v>
      </c>
      <c r="H2369" s="63"/>
    </row>
    <row r="2370" spans="1:8" x14ac:dyDescent="0.25">
      <c r="A2370" s="63"/>
      <c r="B2370" s="63">
        <f>'Padrão EPP'!B2370</f>
        <v>20</v>
      </c>
      <c r="C2370" s="63" t="str">
        <f>'Padrão EPP'!C2370</f>
        <v>TO</v>
      </c>
      <c r="D2370" s="63" t="str">
        <f>'Padrão EPP'!D2370</f>
        <v>INTERIOR</v>
      </c>
      <c r="E2370" s="63">
        <f>'Padrão EPP'!E2370/2</f>
        <v>0</v>
      </c>
      <c r="F2370" s="67">
        <v>3.0000000000000001E-3</v>
      </c>
      <c r="G2370" s="67">
        <v>2E-3</v>
      </c>
      <c r="H2370" s="63"/>
    </row>
    <row r="2371" spans="1:8" x14ac:dyDescent="0.25">
      <c r="A2371" s="63"/>
      <c r="B2371" s="63">
        <f>'Padrão EPP'!B2371</f>
        <v>21</v>
      </c>
      <c r="C2371" s="63" t="str">
        <f>'Padrão EPP'!C2371</f>
        <v>TO</v>
      </c>
      <c r="D2371" s="63" t="str">
        <f>'Padrão EPP'!D2371</f>
        <v>INTERIOR</v>
      </c>
      <c r="E2371" s="63">
        <f>'Padrão EPP'!E2371/2</f>
        <v>0</v>
      </c>
      <c r="F2371" s="67">
        <v>3.0000000000000001E-3</v>
      </c>
      <c r="G2371" s="67">
        <v>2E-3</v>
      </c>
      <c r="H2371" s="63"/>
    </row>
    <row r="2372" spans="1:8" x14ac:dyDescent="0.25">
      <c r="A2372" s="63"/>
      <c r="B2372" s="63">
        <f>'Padrão EPP'!B2372</f>
        <v>22</v>
      </c>
      <c r="C2372" s="63" t="str">
        <f>'Padrão EPP'!C2372</f>
        <v>TO</v>
      </c>
      <c r="D2372" s="63" t="str">
        <f>'Padrão EPP'!D2372</f>
        <v>INTERIOR</v>
      </c>
      <c r="E2372" s="63">
        <f>'Padrão EPP'!E2372/2</f>
        <v>0</v>
      </c>
      <c r="F2372" s="67">
        <v>3.0000000000000001E-3</v>
      </c>
      <c r="G2372" s="67">
        <v>2E-3</v>
      </c>
      <c r="H2372" s="63"/>
    </row>
    <row r="2373" spans="1:8" x14ac:dyDescent="0.25">
      <c r="A2373" s="63"/>
      <c r="B2373" s="63">
        <f>'Padrão EPP'!B2373</f>
        <v>23</v>
      </c>
      <c r="C2373" s="63" t="str">
        <f>'Padrão EPP'!C2373</f>
        <v>TO</v>
      </c>
      <c r="D2373" s="63" t="str">
        <f>'Padrão EPP'!D2373</f>
        <v>INTERIOR</v>
      </c>
      <c r="E2373" s="63">
        <f>'Padrão EPP'!E2373/2</f>
        <v>0</v>
      </c>
      <c r="F2373" s="67">
        <v>3.0000000000000001E-3</v>
      </c>
      <c r="G2373" s="67">
        <v>2E-3</v>
      </c>
      <c r="H2373" s="63"/>
    </row>
    <row r="2374" spans="1:8" x14ac:dyDescent="0.25">
      <c r="A2374" s="63"/>
      <c r="B2374" s="63">
        <f>'Padrão EPP'!B2374</f>
        <v>24</v>
      </c>
      <c r="C2374" s="63" t="str">
        <f>'Padrão EPP'!C2374</f>
        <v>TO</v>
      </c>
      <c r="D2374" s="63" t="str">
        <f>'Padrão EPP'!D2374</f>
        <v>INTERIOR</v>
      </c>
      <c r="E2374" s="63">
        <f>'Padrão EPP'!E2374/2</f>
        <v>0</v>
      </c>
      <c r="F2374" s="67">
        <v>3.0000000000000001E-3</v>
      </c>
      <c r="G2374" s="67">
        <v>2E-3</v>
      </c>
      <c r="H2374" s="63"/>
    </row>
    <row r="2375" spans="1:8" x14ac:dyDescent="0.25">
      <c r="A2375" s="63"/>
      <c r="B2375" s="63">
        <f>'Padrão EPP'!B2375</f>
        <v>25</v>
      </c>
      <c r="C2375" s="63" t="str">
        <f>'Padrão EPP'!C2375</f>
        <v>TO</v>
      </c>
      <c r="D2375" s="63" t="str">
        <f>'Padrão EPP'!D2375</f>
        <v>INTERIOR</v>
      </c>
      <c r="E2375" s="63">
        <f>'Padrão EPP'!E2375/2</f>
        <v>0</v>
      </c>
      <c r="F2375" s="67">
        <v>3.0000000000000001E-3</v>
      </c>
      <c r="G2375" s="67">
        <v>2E-3</v>
      </c>
      <c r="H2375" s="63"/>
    </row>
    <row r="2376" spans="1:8" x14ac:dyDescent="0.25">
      <c r="A2376" s="63"/>
      <c r="B2376" s="63">
        <f>'Padrão EPP'!B2376</f>
        <v>26</v>
      </c>
      <c r="C2376" s="63" t="str">
        <f>'Padrão EPP'!C2376</f>
        <v>TO</v>
      </c>
      <c r="D2376" s="63" t="str">
        <f>'Padrão EPP'!D2376</f>
        <v>INTERIOR</v>
      </c>
      <c r="E2376" s="63">
        <f>'Padrão EPP'!E2376/2</f>
        <v>0</v>
      </c>
      <c r="F2376" s="67">
        <v>3.0000000000000001E-3</v>
      </c>
      <c r="G2376" s="67">
        <v>2E-3</v>
      </c>
      <c r="H2376" s="63"/>
    </row>
    <row r="2377" spans="1:8" x14ac:dyDescent="0.25">
      <c r="A2377" s="63"/>
      <c r="B2377" s="63">
        <f>'Padrão EPP'!B2377</f>
        <v>27</v>
      </c>
      <c r="C2377" s="63" t="str">
        <f>'Padrão EPP'!C2377</f>
        <v>TO</v>
      </c>
      <c r="D2377" s="63" t="str">
        <f>'Padrão EPP'!D2377</f>
        <v>INTERIOR</v>
      </c>
      <c r="E2377" s="63">
        <f>'Padrão EPP'!E2377/2</f>
        <v>0</v>
      </c>
      <c r="F2377" s="67">
        <v>3.0000000000000001E-3</v>
      </c>
      <c r="G2377" s="67">
        <v>2E-3</v>
      </c>
      <c r="H2377" s="63"/>
    </row>
    <row r="2378" spans="1:8" x14ac:dyDescent="0.25">
      <c r="A2378" s="63"/>
      <c r="B2378" s="63">
        <f>'Padrão EPP'!B2378</f>
        <v>28</v>
      </c>
      <c r="C2378" s="63" t="str">
        <f>'Padrão EPP'!C2378</f>
        <v>TO</v>
      </c>
      <c r="D2378" s="63" t="str">
        <f>'Padrão EPP'!D2378</f>
        <v>INTERIOR</v>
      </c>
      <c r="E2378" s="63">
        <f>'Padrão EPP'!E2378/2</f>
        <v>0</v>
      </c>
      <c r="F2378" s="67">
        <v>3.0000000000000001E-3</v>
      </c>
      <c r="G2378" s="67">
        <v>2E-3</v>
      </c>
      <c r="H2378" s="63"/>
    </row>
    <row r="2379" spans="1:8" x14ac:dyDescent="0.25">
      <c r="A2379" s="63"/>
      <c r="B2379" s="63">
        <f>'Padrão EPP'!B2379</f>
        <v>29</v>
      </c>
      <c r="C2379" s="63" t="str">
        <f>'Padrão EPP'!C2379</f>
        <v>TO</v>
      </c>
      <c r="D2379" s="63" t="str">
        <f>'Padrão EPP'!D2379</f>
        <v>INTERIOR</v>
      </c>
      <c r="E2379" s="63">
        <f>'Padrão EPP'!E2379/2</f>
        <v>0</v>
      </c>
      <c r="F2379" s="67">
        <v>3.0000000000000001E-3</v>
      </c>
      <c r="G2379" s="67">
        <v>2E-3</v>
      </c>
      <c r="H2379" s="63"/>
    </row>
    <row r="2380" spans="1:8" x14ac:dyDescent="0.25">
      <c r="A2380" s="63"/>
      <c r="B2380" s="63">
        <f>'Padrão EPP'!B2380</f>
        <v>30</v>
      </c>
      <c r="C2380" s="63" t="str">
        <f>'Padrão EPP'!C2380</f>
        <v>TO</v>
      </c>
      <c r="D2380" s="63" t="str">
        <f>'Padrão EPP'!D2380</f>
        <v>INTERIOR</v>
      </c>
      <c r="E2380" s="63">
        <f>'Padrão EPP'!E2380/2</f>
        <v>0</v>
      </c>
      <c r="F2380" s="67">
        <v>3.0000000000000001E-3</v>
      </c>
      <c r="G2380" s="67">
        <v>2E-3</v>
      </c>
      <c r="H2380" s="63"/>
    </row>
    <row r="2381" spans="1:8" x14ac:dyDescent="0.25">
      <c r="A2381" s="63"/>
      <c r="B2381" s="63">
        <f>'Padrão EPP'!B2381</f>
        <v>0</v>
      </c>
      <c r="C2381" s="63" t="str">
        <f>'Padrão EPP'!C2381</f>
        <v>TO</v>
      </c>
      <c r="D2381" s="63" t="str">
        <f>'Padrão EPP'!D2381</f>
        <v>INTERIOR</v>
      </c>
      <c r="E2381" s="63">
        <f>'Padrão EPP'!E2381/2</f>
        <v>1.5214394455252955</v>
      </c>
      <c r="F2381" s="67">
        <v>3.0000000000000001E-3</v>
      </c>
      <c r="G2381" s="67">
        <v>2E-3</v>
      </c>
      <c r="H2381" s="63"/>
    </row>
    <row r="2382" spans="1:8" x14ac:dyDescent="0.25">
      <c r="A2382" s="63"/>
      <c r="B2382" s="63">
        <f>'Padrão EPP'!B2382</f>
        <v>0.25</v>
      </c>
      <c r="C2382" s="63" t="str">
        <f>'Padrão EPP'!C2382</f>
        <v>TO</v>
      </c>
      <c r="D2382" s="63" t="str">
        <f>'Padrão EPP'!D2382</f>
        <v>INTERIOR II</v>
      </c>
      <c r="E2382" s="63">
        <f>'Padrão EPP'!E2382/2</f>
        <v>16.890665750504919</v>
      </c>
      <c r="F2382" s="67">
        <v>3.0000000000000001E-3</v>
      </c>
      <c r="G2382" s="67">
        <v>2E-3</v>
      </c>
      <c r="H2382" s="63"/>
    </row>
    <row r="2383" spans="1:8" x14ac:dyDescent="0.25">
      <c r="A2383" s="63"/>
      <c r="B2383" s="63">
        <f>'Padrão EPP'!B2383</f>
        <v>0.5</v>
      </c>
      <c r="C2383" s="63" t="str">
        <f>'Padrão EPP'!C2383</f>
        <v>TO</v>
      </c>
      <c r="D2383" s="63" t="str">
        <f>'Padrão EPP'!D2383</f>
        <v>INTERIOR II</v>
      </c>
      <c r="E2383" s="63">
        <f>'Padrão EPP'!E2383/2</f>
        <v>17.216969573473165</v>
      </c>
      <c r="F2383" s="67">
        <v>3.0000000000000001E-3</v>
      </c>
      <c r="G2383" s="67">
        <v>2E-3</v>
      </c>
      <c r="H2383" s="63"/>
    </row>
    <row r="2384" spans="1:8" x14ac:dyDescent="0.25">
      <c r="A2384" s="63"/>
      <c r="B2384" s="63">
        <f>'Padrão EPP'!B2384</f>
        <v>0.75</v>
      </c>
      <c r="C2384" s="63" t="str">
        <f>'Padrão EPP'!C2384</f>
        <v>TO</v>
      </c>
      <c r="D2384" s="63" t="str">
        <f>'Padrão EPP'!D2384</f>
        <v>INTERIOR II</v>
      </c>
      <c r="E2384" s="63">
        <f>'Padrão EPP'!E2384/2</f>
        <v>17.857652280462496</v>
      </c>
      <c r="F2384" s="67">
        <v>3.0000000000000001E-3</v>
      </c>
      <c r="G2384" s="67">
        <v>2E-3</v>
      </c>
      <c r="H2384" s="63"/>
    </row>
    <row r="2385" spans="1:8" x14ac:dyDescent="0.25">
      <c r="A2385" s="63"/>
      <c r="B2385" s="63">
        <f>'Padrão EPP'!B2385</f>
        <v>1</v>
      </c>
      <c r="C2385" s="63" t="str">
        <f>'Padrão EPP'!C2385</f>
        <v>TO</v>
      </c>
      <c r="D2385" s="63" t="str">
        <f>'Padrão EPP'!D2385</f>
        <v>INTERIOR II</v>
      </c>
      <c r="E2385" s="63">
        <f>'Padrão EPP'!E2385/2</f>
        <v>18.920966156674989</v>
      </c>
      <c r="F2385" s="67">
        <v>3.0000000000000001E-3</v>
      </c>
      <c r="G2385" s="67">
        <v>2E-3</v>
      </c>
      <c r="H2385" s="63"/>
    </row>
    <row r="2386" spans="1:8" x14ac:dyDescent="0.25">
      <c r="A2386" s="63"/>
      <c r="B2386" s="63">
        <f>'Padrão EPP'!B2386</f>
        <v>2</v>
      </c>
      <c r="C2386" s="63" t="str">
        <f>'Padrão EPP'!C2386</f>
        <v>TO</v>
      </c>
      <c r="D2386" s="63" t="str">
        <f>'Padrão EPP'!D2386</f>
        <v>INTERIOR II</v>
      </c>
      <c r="E2386" s="63">
        <f>'Padrão EPP'!E2386/2</f>
        <v>21.53055335545929</v>
      </c>
      <c r="F2386" s="67">
        <v>3.0000000000000001E-3</v>
      </c>
      <c r="G2386" s="67">
        <v>2E-3</v>
      </c>
      <c r="H2386" s="63"/>
    </row>
    <row r="2387" spans="1:8" x14ac:dyDescent="0.25">
      <c r="A2387" s="63"/>
      <c r="B2387" s="63">
        <f>'Padrão EPP'!B2387</f>
        <v>3</v>
      </c>
      <c r="C2387" s="63" t="str">
        <f>'Padrão EPP'!C2387</f>
        <v>TO</v>
      </c>
      <c r="D2387" s="63" t="str">
        <f>'Padrão EPP'!D2387</f>
        <v>INTERIOR II</v>
      </c>
      <c r="E2387" s="63">
        <f>'Padrão EPP'!E2387/2</f>
        <v>24.846631175457016</v>
      </c>
      <c r="F2387" s="67">
        <v>3.0000000000000001E-3</v>
      </c>
      <c r="G2387" s="67">
        <v>2E-3</v>
      </c>
      <c r="H2387" s="63"/>
    </row>
    <row r="2388" spans="1:8" x14ac:dyDescent="0.25">
      <c r="A2388" s="63"/>
      <c r="B2388" s="63">
        <f>'Padrão EPP'!B2388</f>
        <v>4</v>
      </c>
      <c r="C2388" s="63" t="str">
        <f>'Padrão EPP'!C2388</f>
        <v>TO</v>
      </c>
      <c r="D2388" s="63" t="str">
        <f>'Padrão EPP'!D2388</f>
        <v>INTERIOR II</v>
      </c>
      <c r="E2388" s="63">
        <f>'Padrão EPP'!E2388/2</f>
        <v>28.246007072372112</v>
      </c>
      <c r="F2388" s="67">
        <v>3.0000000000000001E-3</v>
      </c>
      <c r="G2388" s="67">
        <v>2E-3</v>
      </c>
      <c r="H2388" s="63"/>
    </row>
    <row r="2389" spans="1:8" x14ac:dyDescent="0.25">
      <c r="A2389" s="63"/>
      <c r="B2389" s="63">
        <f>'Padrão EPP'!B2389</f>
        <v>5</v>
      </c>
      <c r="C2389" s="63" t="str">
        <f>'Padrão EPP'!C2389</f>
        <v>TO</v>
      </c>
      <c r="D2389" s="63" t="str">
        <f>'Padrão EPP'!D2389</f>
        <v>INTERIOR II</v>
      </c>
      <c r="E2389" s="63">
        <f>'Padrão EPP'!E2389/2</f>
        <v>31.778572520313965</v>
      </c>
      <c r="F2389" s="67">
        <v>3.0000000000000001E-3</v>
      </c>
      <c r="G2389" s="67">
        <v>2E-3</v>
      </c>
      <c r="H2389" s="63"/>
    </row>
    <row r="2390" spans="1:8" x14ac:dyDescent="0.25">
      <c r="A2390" s="63"/>
      <c r="B2390" s="63">
        <f>'Padrão EPP'!B2390</f>
        <v>6</v>
      </c>
      <c r="C2390" s="63" t="str">
        <f>'Padrão EPP'!C2390</f>
        <v>TO</v>
      </c>
      <c r="D2390" s="63" t="str">
        <f>'Padrão EPP'!D2390</f>
        <v>INTERIOR II</v>
      </c>
      <c r="E2390" s="63">
        <f>'Padrão EPP'!E2390/2</f>
        <v>37.633983706989582</v>
      </c>
      <c r="F2390" s="67">
        <v>3.0000000000000001E-3</v>
      </c>
      <c r="G2390" s="67">
        <v>2E-3</v>
      </c>
      <c r="H2390" s="63"/>
    </row>
    <row r="2391" spans="1:8" x14ac:dyDescent="0.25">
      <c r="A2391" s="63"/>
      <c r="B2391" s="63">
        <f>'Padrão EPP'!B2391</f>
        <v>7</v>
      </c>
      <c r="C2391" s="63" t="str">
        <f>'Padrão EPP'!C2391</f>
        <v>TO</v>
      </c>
      <c r="D2391" s="63" t="str">
        <f>'Padrão EPP'!D2391</f>
        <v>INTERIOR II</v>
      </c>
      <c r="E2391" s="63">
        <f>'Padrão EPP'!E2391/2</f>
        <v>41.323347030322736</v>
      </c>
      <c r="F2391" s="67">
        <v>3.0000000000000001E-3</v>
      </c>
      <c r="G2391" s="67">
        <v>2E-3</v>
      </c>
      <c r="H2391" s="63"/>
    </row>
    <row r="2392" spans="1:8" x14ac:dyDescent="0.25">
      <c r="A2392" s="63"/>
      <c r="B2392" s="63">
        <f>'Padrão EPP'!B2392</f>
        <v>8</v>
      </c>
      <c r="C2392" s="63" t="str">
        <f>'Padrão EPP'!C2392</f>
        <v>TO</v>
      </c>
      <c r="D2392" s="63" t="str">
        <f>'Padrão EPP'!D2392</f>
        <v>INTERIOR II</v>
      </c>
      <c r="E2392" s="63">
        <f>'Padrão EPP'!E2392/2</f>
        <v>45.122522793372845</v>
      </c>
      <c r="F2392" s="67">
        <v>3.0000000000000001E-3</v>
      </c>
      <c r="G2392" s="67">
        <v>2E-3</v>
      </c>
      <c r="H2392" s="63"/>
    </row>
    <row r="2393" spans="1:8" x14ac:dyDescent="0.25">
      <c r="A2393" s="63"/>
      <c r="B2393" s="63">
        <f>'Padrão EPP'!B2393</f>
        <v>9</v>
      </c>
      <c r="C2393" s="63" t="str">
        <f>'Padrão EPP'!C2393</f>
        <v>TO</v>
      </c>
      <c r="D2393" s="63" t="str">
        <f>'Padrão EPP'!D2393</f>
        <v>INTERIOR II</v>
      </c>
      <c r="E2393" s="63">
        <f>'Padrão EPP'!E2393/2</f>
        <v>49.756896997898188</v>
      </c>
      <c r="F2393" s="67">
        <v>3.0000000000000001E-3</v>
      </c>
      <c r="G2393" s="67">
        <v>2E-3</v>
      </c>
      <c r="H2393" s="63"/>
    </row>
    <row r="2394" spans="1:8" x14ac:dyDescent="0.25">
      <c r="A2394" s="63"/>
      <c r="B2394" s="63">
        <f>'Padrão EPP'!B2394</f>
        <v>10</v>
      </c>
      <c r="C2394" s="63" t="str">
        <f>'Padrão EPP'!C2394</f>
        <v>TO</v>
      </c>
      <c r="D2394" s="63" t="str">
        <f>'Padrão EPP'!D2394</f>
        <v>INTERIOR II</v>
      </c>
      <c r="E2394" s="63">
        <f>'Padrão EPP'!E2394/2</f>
        <v>53.616342345208452</v>
      </c>
      <c r="F2394" s="67">
        <v>3.0000000000000001E-3</v>
      </c>
      <c r="G2394" s="67">
        <v>2E-3</v>
      </c>
      <c r="H2394" s="63"/>
    </row>
    <row r="2395" spans="1:8" x14ac:dyDescent="0.25">
      <c r="A2395" s="63"/>
      <c r="B2395" s="63">
        <f>'Padrão EPP'!B2395</f>
        <v>11</v>
      </c>
      <c r="C2395" s="63" t="str">
        <f>'Padrão EPP'!C2395</f>
        <v>TO</v>
      </c>
      <c r="D2395" s="63" t="str">
        <f>'Padrão EPP'!D2395</f>
        <v>INTERIOR II</v>
      </c>
      <c r="E2395" s="63">
        <f>'Padrão EPP'!E2395/2</f>
        <v>0</v>
      </c>
      <c r="F2395" s="67">
        <v>3.0000000000000001E-3</v>
      </c>
      <c r="G2395" s="67">
        <v>2E-3</v>
      </c>
      <c r="H2395" s="63"/>
    </row>
    <row r="2396" spans="1:8" x14ac:dyDescent="0.25">
      <c r="A2396" s="63"/>
      <c r="B2396" s="63">
        <f>'Padrão EPP'!B2396</f>
        <v>12</v>
      </c>
      <c r="C2396" s="63" t="str">
        <f>'Padrão EPP'!C2396</f>
        <v>TO</v>
      </c>
      <c r="D2396" s="63" t="str">
        <f>'Padrão EPP'!D2396</f>
        <v>INTERIOR II</v>
      </c>
      <c r="E2396" s="63">
        <f>'Padrão EPP'!E2396/2</f>
        <v>0</v>
      </c>
      <c r="F2396" s="67">
        <v>3.0000000000000001E-3</v>
      </c>
      <c r="G2396" s="67">
        <v>2E-3</v>
      </c>
      <c r="H2396" s="63"/>
    </row>
    <row r="2397" spans="1:8" x14ac:dyDescent="0.25">
      <c r="A2397" s="63"/>
      <c r="B2397" s="63">
        <f>'Padrão EPP'!B2397</f>
        <v>13</v>
      </c>
      <c r="C2397" s="63" t="str">
        <f>'Padrão EPP'!C2397</f>
        <v>TO</v>
      </c>
      <c r="D2397" s="63" t="str">
        <f>'Padrão EPP'!D2397</f>
        <v>INTERIOR II</v>
      </c>
      <c r="E2397" s="63">
        <f>'Padrão EPP'!E2397/2</f>
        <v>0</v>
      </c>
      <c r="F2397" s="67">
        <v>3.0000000000000001E-3</v>
      </c>
      <c r="G2397" s="67">
        <v>2E-3</v>
      </c>
      <c r="H2397" s="63"/>
    </row>
    <row r="2398" spans="1:8" x14ac:dyDescent="0.25">
      <c r="A2398" s="63"/>
      <c r="B2398" s="63">
        <f>'Padrão EPP'!B2398</f>
        <v>14</v>
      </c>
      <c r="C2398" s="63" t="str">
        <f>'Padrão EPP'!C2398</f>
        <v>TO</v>
      </c>
      <c r="D2398" s="63" t="str">
        <f>'Padrão EPP'!D2398</f>
        <v>INTERIOR II</v>
      </c>
      <c r="E2398" s="63">
        <f>'Padrão EPP'!E2398/2</f>
        <v>0</v>
      </c>
      <c r="F2398" s="67">
        <v>3.0000000000000001E-3</v>
      </c>
      <c r="G2398" s="67">
        <v>2E-3</v>
      </c>
      <c r="H2398" s="63"/>
    </row>
    <row r="2399" spans="1:8" x14ac:dyDescent="0.25">
      <c r="A2399" s="63"/>
      <c r="B2399" s="63">
        <f>'Padrão EPP'!B2399</f>
        <v>15</v>
      </c>
      <c r="C2399" s="63" t="str">
        <f>'Padrão EPP'!C2399</f>
        <v>TO</v>
      </c>
      <c r="D2399" s="63" t="str">
        <f>'Padrão EPP'!D2399</f>
        <v>INTERIOR II</v>
      </c>
      <c r="E2399" s="63">
        <f>'Padrão EPP'!E2399/2</f>
        <v>0</v>
      </c>
      <c r="F2399" s="67">
        <v>3.0000000000000001E-3</v>
      </c>
      <c r="G2399" s="67">
        <v>2E-3</v>
      </c>
      <c r="H2399" s="63"/>
    </row>
    <row r="2400" spans="1:8" x14ac:dyDescent="0.25">
      <c r="A2400" s="63"/>
      <c r="B2400" s="63">
        <f>'Padrão EPP'!B2400</f>
        <v>16</v>
      </c>
      <c r="C2400" s="63" t="str">
        <f>'Padrão EPP'!C2400</f>
        <v>TO</v>
      </c>
      <c r="D2400" s="63" t="str">
        <f>'Padrão EPP'!D2400</f>
        <v>INTERIOR II</v>
      </c>
      <c r="E2400" s="63">
        <f>'Padrão EPP'!E2400/2</f>
        <v>0</v>
      </c>
      <c r="F2400" s="67">
        <v>3.0000000000000001E-3</v>
      </c>
      <c r="G2400" s="67">
        <v>2E-3</v>
      </c>
      <c r="H2400" s="63"/>
    </row>
    <row r="2401" spans="1:8" x14ac:dyDescent="0.25">
      <c r="A2401" s="63"/>
      <c r="B2401" s="63">
        <f>'Padrão EPP'!B2401</f>
        <v>17</v>
      </c>
      <c r="C2401" s="63" t="str">
        <f>'Padrão EPP'!C2401</f>
        <v>TO</v>
      </c>
      <c r="D2401" s="63" t="str">
        <f>'Padrão EPP'!D2401</f>
        <v>INTERIOR II</v>
      </c>
      <c r="E2401" s="63">
        <f>'Padrão EPP'!E2401/2</f>
        <v>0</v>
      </c>
      <c r="F2401" s="67">
        <v>3.0000000000000001E-3</v>
      </c>
      <c r="G2401" s="67">
        <v>2E-3</v>
      </c>
      <c r="H2401" s="63"/>
    </row>
    <row r="2402" spans="1:8" x14ac:dyDescent="0.25">
      <c r="A2402" s="63"/>
      <c r="B2402" s="63">
        <f>'Padrão EPP'!B2402</f>
        <v>18</v>
      </c>
      <c r="C2402" s="63" t="str">
        <f>'Padrão EPP'!C2402</f>
        <v>TO</v>
      </c>
      <c r="D2402" s="63" t="str">
        <f>'Padrão EPP'!D2402</f>
        <v>INTERIOR II</v>
      </c>
      <c r="E2402" s="63">
        <f>'Padrão EPP'!E2402/2</f>
        <v>0</v>
      </c>
      <c r="F2402" s="67">
        <v>3.0000000000000001E-3</v>
      </c>
      <c r="G2402" s="67">
        <v>2E-3</v>
      </c>
      <c r="H2402" s="63"/>
    </row>
    <row r="2403" spans="1:8" x14ac:dyDescent="0.25">
      <c r="A2403" s="63"/>
      <c r="B2403" s="63">
        <f>'Padrão EPP'!B2403</f>
        <v>19</v>
      </c>
      <c r="C2403" s="63" t="str">
        <f>'Padrão EPP'!C2403</f>
        <v>TO</v>
      </c>
      <c r="D2403" s="63" t="str">
        <f>'Padrão EPP'!D2403</f>
        <v>INTERIOR II</v>
      </c>
      <c r="E2403" s="63">
        <f>'Padrão EPP'!E2403/2</f>
        <v>0</v>
      </c>
      <c r="F2403" s="67">
        <v>3.0000000000000001E-3</v>
      </c>
      <c r="G2403" s="67">
        <v>2E-3</v>
      </c>
      <c r="H2403" s="63"/>
    </row>
    <row r="2404" spans="1:8" x14ac:dyDescent="0.25">
      <c r="A2404" s="63"/>
      <c r="B2404" s="63">
        <f>'Padrão EPP'!B2404</f>
        <v>20</v>
      </c>
      <c r="C2404" s="63" t="str">
        <f>'Padrão EPP'!C2404</f>
        <v>TO</v>
      </c>
      <c r="D2404" s="63" t="str">
        <f>'Padrão EPP'!D2404</f>
        <v>INTERIOR II</v>
      </c>
      <c r="E2404" s="63">
        <f>'Padrão EPP'!E2404/2</f>
        <v>0</v>
      </c>
      <c r="F2404" s="67">
        <v>3.0000000000000001E-3</v>
      </c>
      <c r="G2404" s="67">
        <v>2E-3</v>
      </c>
      <c r="H2404" s="63"/>
    </row>
    <row r="2405" spans="1:8" x14ac:dyDescent="0.25">
      <c r="A2405" s="63"/>
      <c r="B2405" s="63">
        <f>'Padrão EPP'!B2405</f>
        <v>21</v>
      </c>
      <c r="C2405" s="63" t="str">
        <f>'Padrão EPP'!C2405</f>
        <v>TO</v>
      </c>
      <c r="D2405" s="63" t="str">
        <f>'Padrão EPP'!D2405</f>
        <v>INTERIOR II</v>
      </c>
      <c r="E2405" s="63">
        <f>'Padrão EPP'!E2405/2</f>
        <v>0</v>
      </c>
      <c r="F2405" s="67">
        <v>3.0000000000000001E-3</v>
      </c>
      <c r="G2405" s="67">
        <v>2E-3</v>
      </c>
      <c r="H2405" s="63"/>
    </row>
    <row r="2406" spans="1:8" x14ac:dyDescent="0.25">
      <c r="A2406" s="63"/>
      <c r="B2406" s="63">
        <f>'Padrão EPP'!B2406</f>
        <v>22</v>
      </c>
      <c r="C2406" s="63" t="str">
        <f>'Padrão EPP'!C2406</f>
        <v>TO</v>
      </c>
      <c r="D2406" s="63" t="str">
        <f>'Padrão EPP'!D2406</f>
        <v>INTERIOR II</v>
      </c>
      <c r="E2406" s="63">
        <f>'Padrão EPP'!E2406/2</f>
        <v>0</v>
      </c>
      <c r="F2406" s="67">
        <v>3.0000000000000001E-3</v>
      </c>
      <c r="G2406" s="67">
        <v>2E-3</v>
      </c>
      <c r="H2406" s="63"/>
    </row>
    <row r="2407" spans="1:8" x14ac:dyDescent="0.25">
      <c r="A2407" s="63"/>
      <c r="B2407" s="63">
        <f>'Padrão EPP'!B2407</f>
        <v>23</v>
      </c>
      <c r="C2407" s="63" t="str">
        <f>'Padrão EPP'!C2407</f>
        <v>TO</v>
      </c>
      <c r="D2407" s="63" t="str">
        <f>'Padrão EPP'!D2407</f>
        <v>INTERIOR II</v>
      </c>
      <c r="E2407" s="63">
        <f>'Padrão EPP'!E2407/2</f>
        <v>0</v>
      </c>
      <c r="F2407" s="67">
        <v>3.0000000000000001E-3</v>
      </c>
      <c r="G2407" s="67">
        <v>2E-3</v>
      </c>
      <c r="H2407" s="63"/>
    </row>
    <row r="2408" spans="1:8" x14ac:dyDescent="0.25">
      <c r="A2408" s="63"/>
      <c r="B2408" s="63">
        <f>'Padrão EPP'!B2408</f>
        <v>24</v>
      </c>
      <c r="C2408" s="63" t="str">
        <f>'Padrão EPP'!C2408</f>
        <v>TO</v>
      </c>
      <c r="D2408" s="63" t="str">
        <f>'Padrão EPP'!D2408</f>
        <v>INTERIOR II</v>
      </c>
      <c r="E2408" s="63">
        <f>'Padrão EPP'!E2408/2</f>
        <v>0</v>
      </c>
      <c r="F2408" s="67">
        <v>3.0000000000000001E-3</v>
      </c>
      <c r="G2408" s="67">
        <v>2E-3</v>
      </c>
      <c r="H2408" s="63"/>
    </row>
    <row r="2409" spans="1:8" x14ac:dyDescent="0.25">
      <c r="A2409" s="63"/>
      <c r="B2409" s="63">
        <f>'Padrão EPP'!B2409</f>
        <v>25</v>
      </c>
      <c r="C2409" s="63" t="str">
        <f>'Padrão EPP'!C2409</f>
        <v>TO</v>
      </c>
      <c r="D2409" s="63" t="str">
        <f>'Padrão EPP'!D2409</f>
        <v>INTERIOR II</v>
      </c>
      <c r="E2409" s="63">
        <f>'Padrão EPP'!E2409/2</f>
        <v>0</v>
      </c>
      <c r="F2409" s="67">
        <v>3.0000000000000001E-3</v>
      </c>
      <c r="G2409" s="67">
        <v>2E-3</v>
      </c>
      <c r="H2409" s="63"/>
    </row>
    <row r="2410" spans="1:8" x14ac:dyDescent="0.25">
      <c r="A2410" s="63"/>
      <c r="B2410" s="63">
        <f>'Padrão EPP'!B2410</f>
        <v>26</v>
      </c>
      <c r="C2410" s="63" t="str">
        <f>'Padrão EPP'!C2410</f>
        <v>TO</v>
      </c>
      <c r="D2410" s="63" t="str">
        <f>'Padrão EPP'!D2410</f>
        <v>INTERIOR II</v>
      </c>
      <c r="E2410" s="63">
        <f>'Padrão EPP'!E2410/2</f>
        <v>0</v>
      </c>
      <c r="F2410" s="67">
        <v>3.0000000000000001E-3</v>
      </c>
      <c r="G2410" s="67">
        <v>2E-3</v>
      </c>
      <c r="H2410" s="63"/>
    </row>
    <row r="2411" spans="1:8" x14ac:dyDescent="0.25">
      <c r="A2411" s="63"/>
      <c r="B2411" s="63">
        <f>'Padrão EPP'!B2411</f>
        <v>27</v>
      </c>
      <c r="C2411" s="63" t="str">
        <f>'Padrão EPP'!C2411</f>
        <v>TO</v>
      </c>
      <c r="D2411" s="63" t="str">
        <f>'Padrão EPP'!D2411</f>
        <v>INTERIOR II</v>
      </c>
      <c r="E2411" s="63">
        <f>'Padrão EPP'!E2411/2</f>
        <v>0</v>
      </c>
      <c r="F2411" s="67">
        <v>3.0000000000000001E-3</v>
      </c>
      <c r="G2411" s="67">
        <v>2E-3</v>
      </c>
      <c r="H2411" s="63"/>
    </row>
    <row r="2412" spans="1:8" x14ac:dyDescent="0.25">
      <c r="A2412" s="63"/>
      <c r="B2412" s="63">
        <f>'Padrão EPP'!B2412</f>
        <v>28</v>
      </c>
      <c r="C2412" s="63" t="str">
        <f>'Padrão EPP'!C2412</f>
        <v>TO</v>
      </c>
      <c r="D2412" s="63" t="str">
        <f>'Padrão EPP'!D2412</f>
        <v>INTERIOR II</v>
      </c>
      <c r="E2412" s="63">
        <f>'Padrão EPP'!E2412/2</f>
        <v>0</v>
      </c>
      <c r="F2412" s="67">
        <v>3.0000000000000001E-3</v>
      </c>
      <c r="G2412" s="67">
        <v>2E-3</v>
      </c>
      <c r="H2412" s="63"/>
    </row>
    <row r="2413" spans="1:8" x14ac:dyDescent="0.25">
      <c r="A2413" s="63"/>
      <c r="B2413" s="63">
        <f>'Padrão EPP'!B2413</f>
        <v>29</v>
      </c>
      <c r="C2413" s="63" t="str">
        <f>'Padrão EPP'!C2413</f>
        <v>TO</v>
      </c>
      <c r="D2413" s="63" t="str">
        <f>'Padrão EPP'!D2413</f>
        <v>INTERIOR II</v>
      </c>
      <c r="E2413" s="63">
        <f>'Padrão EPP'!E2413/2</f>
        <v>0</v>
      </c>
      <c r="F2413" s="67">
        <v>3.0000000000000001E-3</v>
      </c>
      <c r="G2413" s="67">
        <v>2E-3</v>
      </c>
      <c r="H2413" s="63"/>
    </row>
    <row r="2414" spans="1:8" x14ac:dyDescent="0.25">
      <c r="A2414" s="63"/>
      <c r="B2414" s="63">
        <f>'Padrão EPP'!B2414</f>
        <v>30</v>
      </c>
      <c r="C2414" s="63" t="str">
        <f>'Padrão EPP'!C2414</f>
        <v>TO</v>
      </c>
      <c r="D2414" s="63" t="str">
        <f>'Padrão EPP'!D2414</f>
        <v>INTERIOR II</v>
      </c>
      <c r="E2414" s="63">
        <f>'Padrão EPP'!E2414/2</f>
        <v>0</v>
      </c>
      <c r="F2414" s="67">
        <v>3.0000000000000001E-3</v>
      </c>
      <c r="G2414" s="67">
        <v>2E-3</v>
      </c>
      <c r="H2414" s="63"/>
    </row>
    <row r="2415" spans="1:8" x14ac:dyDescent="0.25">
      <c r="A2415" s="63"/>
      <c r="B2415" s="63">
        <f>'Padrão EPP'!B2415</f>
        <v>0</v>
      </c>
      <c r="C2415" s="63" t="str">
        <f>'Padrão EPP'!C2415</f>
        <v>TO</v>
      </c>
      <c r="D2415" s="63" t="str">
        <f>'Padrão EPP'!D2415</f>
        <v>INTERIOR II</v>
      </c>
      <c r="E2415" s="63">
        <f>'Padrão EPP'!E2415/2</f>
        <v>1.5214394455252955</v>
      </c>
      <c r="F2415" s="67">
        <v>3.0000000000000001E-3</v>
      </c>
      <c r="G2415" s="67">
        <v>2E-3</v>
      </c>
      <c r="H2415" s="63"/>
    </row>
    <row r="2416" spans="1:8" x14ac:dyDescent="0.25">
      <c r="A2416" s="63"/>
      <c r="B2416" s="63">
        <f>'Padrão EPP'!B2416</f>
        <v>0.25</v>
      </c>
      <c r="C2416" s="63" t="str">
        <f>'Padrão EPP'!C2416</f>
        <v>TO</v>
      </c>
      <c r="D2416" s="63" t="str">
        <f>'Padrão EPP'!D2416</f>
        <v>REDESPACHO</v>
      </c>
      <c r="E2416" s="63">
        <f>'Padrão EPP'!E2416/2</f>
        <v>24.682547573618933</v>
      </c>
      <c r="F2416" s="67">
        <v>3.0000000000000001E-3</v>
      </c>
      <c r="G2416" s="67">
        <v>2E-3</v>
      </c>
      <c r="H2416" s="63"/>
    </row>
    <row r="2417" spans="1:8" x14ac:dyDescent="0.25">
      <c r="A2417" s="63"/>
      <c r="B2417" s="63">
        <f>'Padrão EPP'!B2417</f>
        <v>0.5</v>
      </c>
      <c r="C2417" s="63" t="str">
        <f>'Padrão EPP'!C2417</f>
        <v>TO</v>
      </c>
      <c r="D2417" s="63" t="str">
        <f>'Padrão EPP'!D2417</f>
        <v>REDESPACHO</v>
      </c>
      <c r="E2417" s="63">
        <f>'Padrão EPP'!E2417/2</f>
        <v>25.385444360978706</v>
      </c>
      <c r="F2417" s="67">
        <v>3.0000000000000001E-3</v>
      </c>
      <c r="G2417" s="67">
        <v>2E-3</v>
      </c>
      <c r="H2417" s="63"/>
    </row>
    <row r="2418" spans="1:8" x14ac:dyDescent="0.25">
      <c r="A2418" s="63"/>
      <c r="B2418" s="63">
        <f>'Padrão EPP'!B2418</f>
        <v>0.75</v>
      </c>
      <c r="C2418" s="63" t="str">
        <f>'Padrão EPP'!C2418</f>
        <v>TO</v>
      </c>
      <c r="D2418" s="63" t="str">
        <f>'Padrão EPP'!D2418</f>
        <v>REDESPACHO</v>
      </c>
      <c r="E2418" s="63">
        <f>'Padrão EPP'!E2418/2</f>
        <v>26.100217157554262</v>
      </c>
      <c r="F2418" s="67">
        <v>3.0000000000000001E-3</v>
      </c>
      <c r="G2418" s="67">
        <v>2E-3</v>
      </c>
      <c r="H2418" s="63"/>
    </row>
    <row r="2419" spans="1:8" x14ac:dyDescent="0.25">
      <c r="A2419" s="63"/>
      <c r="B2419" s="63">
        <f>'Padrão EPP'!B2419</f>
        <v>1</v>
      </c>
      <c r="C2419" s="63" t="str">
        <f>'Padrão EPP'!C2419</f>
        <v>TO</v>
      </c>
      <c r="D2419" s="63" t="str">
        <f>'Padrão EPP'!D2419</f>
        <v>REDESPACHO</v>
      </c>
      <c r="E2419" s="63">
        <f>'Padrão EPP'!E2419/2</f>
        <v>26.362420114308296</v>
      </c>
      <c r="F2419" s="67">
        <v>3.0000000000000001E-3</v>
      </c>
      <c r="G2419" s="67">
        <v>2E-3</v>
      </c>
      <c r="H2419" s="63"/>
    </row>
    <row r="2420" spans="1:8" x14ac:dyDescent="0.25">
      <c r="A2420" s="63"/>
      <c r="B2420" s="63">
        <f>'Padrão EPP'!B2420</f>
        <v>2</v>
      </c>
      <c r="C2420" s="63" t="str">
        <f>'Padrão EPP'!C2420</f>
        <v>TO</v>
      </c>
      <c r="D2420" s="63" t="str">
        <f>'Padrão EPP'!D2420</f>
        <v>REDESPACHO</v>
      </c>
      <c r="E2420" s="63">
        <f>'Padrão EPP'!E2420/2</f>
        <v>29.736319012086152</v>
      </c>
      <c r="F2420" s="67">
        <v>3.0000000000000001E-3</v>
      </c>
      <c r="G2420" s="67">
        <v>2E-3</v>
      </c>
      <c r="H2420" s="63"/>
    </row>
    <row r="2421" spans="1:8" x14ac:dyDescent="0.25">
      <c r="A2421" s="63"/>
      <c r="B2421" s="63">
        <f>'Padrão EPP'!B2421</f>
        <v>3</v>
      </c>
      <c r="C2421" s="63" t="str">
        <f>'Padrão EPP'!C2421</f>
        <v>TO</v>
      </c>
      <c r="D2421" s="63" t="str">
        <f>'Padrão EPP'!D2421</f>
        <v>REDESPACHO</v>
      </c>
      <c r="E2421" s="63">
        <f>'Padrão EPP'!E2421/2</f>
        <v>36.071361850794773</v>
      </c>
      <c r="F2421" s="67">
        <v>3.0000000000000001E-3</v>
      </c>
      <c r="G2421" s="67">
        <v>2E-3</v>
      </c>
      <c r="H2421" s="63"/>
    </row>
    <row r="2422" spans="1:8" x14ac:dyDescent="0.25">
      <c r="A2422" s="63"/>
      <c r="B2422" s="63">
        <f>'Padrão EPP'!B2422</f>
        <v>4</v>
      </c>
      <c r="C2422" s="63" t="str">
        <f>'Padrão EPP'!C2422</f>
        <v>TO</v>
      </c>
      <c r="D2422" s="63" t="str">
        <f>'Padrão EPP'!D2422</f>
        <v>REDESPACHO</v>
      </c>
      <c r="E2422" s="63">
        <f>'Padrão EPP'!E2422/2</f>
        <v>40.754729159088463</v>
      </c>
      <c r="F2422" s="67">
        <v>3.0000000000000001E-3</v>
      </c>
      <c r="G2422" s="67">
        <v>2E-3</v>
      </c>
      <c r="H2422" s="63"/>
    </row>
    <row r="2423" spans="1:8" x14ac:dyDescent="0.25">
      <c r="A2423" s="63"/>
      <c r="B2423" s="63">
        <f>'Padrão EPP'!B2423</f>
        <v>5</v>
      </c>
      <c r="C2423" s="63" t="str">
        <f>'Padrão EPP'!C2423</f>
        <v>TO</v>
      </c>
      <c r="D2423" s="63" t="str">
        <f>'Padrão EPP'!D2423</f>
        <v>REDESPACHO</v>
      </c>
      <c r="E2423" s="63">
        <f>'Padrão EPP'!E2423/2</f>
        <v>44.931986449997332</v>
      </c>
      <c r="F2423" s="67">
        <v>3.0000000000000001E-3</v>
      </c>
      <c r="G2423" s="67">
        <v>2E-3</v>
      </c>
      <c r="H2423" s="63"/>
    </row>
    <row r="2424" spans="1:8" x14ac:dyDescent="0.25">
      <c r="A2424" s="63"/>
      <c r="B2424" s="63">
        <f>'Padrão EPP'!B2424</f>
        <v>6</v>
      </c>
      <c r="C2424" s="63" t="str">
        <f>'Padrão EPP'!C2424</f>
        <v>TO</v>
      </c>
      <c r="D2424" s="63" t="str">
        <f>'Padrão EPP'!D2424</f>
        <v>REDESPACHO</v>
      </c>
      <c r="E2424" s="63">
        <f>'Padrão EPP'!E2424/2</f>
        <v>49.309324157497038</v>
      </c>
      <c r="F2424" s="67">
        <v>3.0000000000000001E-3</v>
      </c>
      <c r="G2424" s="67">
        <v>2E-3</v>
      </c>
      <c r="H2424" s="63"/>
    </row>
    <row r="2425" spans="1:8" x14ac:dyDescent="0.25">
      <c r="A2425" s="63"/>
      <c r="B2425" s="63">
        <f>'Padrão EPP'!B2425</f>
        <v>7</v>
      </c>
      <c r="C2425" s="63" t="str">
        <f>'Padrão EPP'!C2425</f>
        <v>TO</v>
      </c>
      <c r="D2425" s="63" t="str">
        <f>'Padrão EPP'!D2425</f>
        <v>REDESPACHO</v>
      </c>
      <c r="E2425" s="63">
        <f>'Padrão EPP'!E2425/2</f>
        <v>54.361892510746785</v>
      </c>
      <c r="F2425" s="67">
        <v>3.0000000000000001E-3</v>
      </c>
      <c r="G2425" s="67">
        <v>2E-3</v>
      </c>
      <c r="H2425" s="63"/>
    </row>
    <row r="2426" spans="1:8" x14ac:dyDescent="0.25">
      <c r="A2426" s="63"/>
      <c r="B2426" s="63">
        <f>'Padrão EPP'!B2426</f>
        <v>8</v>
      </c>
      <c r="C2426" s="63" t="str">
        <f>'Padrão EPP'!C2426</f>
        <v>TO</v>
      </c>
      <c r="D2426" s="63" t="str">
        <f>'Padrão EPP'!D2426</f>
        <v>REDESPACHO</v>
      </c>
      <c r="E2426" s="63">
        <f>'Padrão EPP'!E2426/2</f>
        <v>60.183464967235082</v>
      </c>
      <c r="F2426" s="67">
        <v>3.0000000000000001E-3</v>
      </c>
      <c r="G2426" s="67">
        <v>2E-3</v>
      </c>
      <c r="H2426" s="63"/>
    </row>
    <row r="2427" spans="1:8" x14ac:dyDescent="0.25">
      <c r="A2427" s="63"/>
      <c r="B2427" s="63">
        <f>'Padrão EPP'!B2427</f>
        <v>9</v>
      </c>
      <c r="C2427" s="63" t="str">
        <f>'Padrão EPP'!C2427</f>
        <v>TO</v>
      </c>
      <c r="D2427" s="63" t="str">
        <f>'Padrão EPP'!D2427</f>
        <v>REDESPACHO</v>
      </c>
      <c r="E2427" s="63">
        <f>'Padrão EPP'!E2427/2</f>
        <v>65.675564588958594</v>
      </c>
      <c r="F2427" s="67">
        <v>3.0000000000000001E-3</v>
      </c>
      <c r="G2427" s="67">
        <v>2E-3</v>
      </c>
      <c r="H2427" s="63"/>
    </row>
    <row r="2428" spans="1:8" x14ac:dyDescent="0.25">
      <c r="A2428" s="63"/>
      <c r="B2428" s="63">
        <f>'Padrão EPP'!B2428</f>
        <v>10</v>
      </c>
      <c r="C2428" s="63" t="str">
        <f>'Padrão EPP'!C2428</f>
        <v>TO</v>
      </c>
      <c r="D2428" s="63" t="str">
        <f>'Padrão EPP'!D2428</f>
        <v>REDESPACHO</v>
      </c>
      <c r="E2428" s="63">
        <f>'Padrão EPP'!E2428/2</f>
        <v>71.165909308214907</v>
      </c>
      <c r="F2428" s="67">
        <v>3.0000000000000001E-3</v>
      </c>
      <c r="G2428" s="67">
        <v>2E-3</v>
      </c>
      <c r="H2428" s="63"/>
    </row>
    <row r="2429" spans="1:8" x14ac:dyDescent="0.25">
      <c r="A2429" s="63"/>
      <c r="B2429" s="63">
        <f>'Padrão EPP'!B2429</f>
        <v>11</v>
      </c>
      <c r="C2429" s="63" t="str">
        <f>'Padrão EPP'!C2429</f>
        <v>TO</v>
      </c>
      <c r="D2429" s="63" t="str">
        <f>'Padrão EPP'!D2429</f>
        <v>REDESPACHO</v>
      </c>
      <c r="E2429" s="63">
        <f>'Padrão EPP'!E2429/2</f>
        <v>0</v>
      </c>
      <c r="F2429" s="67">
        <v>3.0000000000000001E-3</v>
      </c>
      <c r="G2429" s="67">
        <v>2E-3</v>
      </c>
      <c r="H2429" s="63"/>
    </row>
    <row r="2430" spans="1:8" x14ac:dyDescent="0.25">
      <c r="A2430" s="63"/>
      <c r="B2430" s="63">
        <f>'Padrão EPP'!B2430</f>
        <v>12</v>
      </c>
      <c r="C2430" s="63" t="str">
        <f>'Padrão EPP'!C2430</f>
        <v>TO</v>
      </c>
      <c r="D2430" s="63" t="str">
        <f>'Padrão EPP'!D2430</f>
        <v>REDESPACHO</v>
      </c>
      <c r="E2430" s="63">
        <f>'Padrão EPP'!E2430/2</f>
        <v>0</v>
      </c>
      <c r="F2430" s="67">
        <v>3.0000000000000001E-3</v>
      </c>
      <c r="G2430" s="67">
        <v>2E-3</v>
      </c>
      <c r="H2430" s="63"/>
    </row>
    <row r="2431" spans="1:8" x14ac:dyDescent="0.25">
      <c r="A2431" s="63"/>
      <c r="B2431" s="63">
        <f>'Padrão EPP'!B2431</f>
        <v>13</v>
      </c>
      <c r="C2431" s="63" t="str">
        <f>'Padrão EPP'!C2431</f>
        <v>TO</v>
      </c>
      <c r="D2431" s="63" t="str">
        <f>'Padrão EPP'!D2431</f>
        <v>REDESPACHO</v>
      </c>
      <c r="E2431" s="63">
        <f>'Padrão EPP'!E2431/2</f>
        <v>0</v>
      </c>
      <c r="F2431" s="67">
        <v>3.0000000000000001E-3</v>
      </c>
      <c r="G2431" s="67">
        <v>2E-3</v>
      </c>
      <c r="H2431" s="63"/>
    </row>
    <row r="2432" spans="1:8" x14ac:dyDescent="0.25">
      <c r="A2432" s="63"/>
      <c r="B2432" s="63">
        <f>'Padrão EPP'!B2432</f>
        <v>14</v>
      </c>
      <c r="C2432" s="63" t="str">
        <f>'Padrão EPP'!C2432</f>
        <v>TO</v>
      </c>
      <c r="D2432" s="63" t="str">
        <f>'Padrão EPP'!D2432</f>
        <v>REDESPACHO</v>
      </c>
      <c r="E2432" s="63">
        <f>'Padrão EPP'!E2432/2</f>
        <v>0</v>
      </c>
      <c r="F2432" s="67">
        <v>3.0000000000000001E-3</v>
      </c>
      <c r="G2432" s="67">
        <v>2E-3</v>
      </c>
      <c r="H2432" s="63"/>
    </row>
    <row r="2433" spans="1:8" x14ac:dyDescent="0.25">
      <c r="A2433" s="63"/>
      <c r="B2433" s="63">
        <f>'Padrão EPP'!B2433</f>
        <v>15</v>
      </c>
      <c r="C2433" s="63" t="str">
        <f>'Padrão EPP'!C2433</f>
        <v>TO</v>
      </c>
      <c r="D2433" s="63" t="str">
        <f>'Padrão EPP'!D2433</f>
        <v>REDESPACHO</v>
      </c>
      <c r="E2433" s="63">
        <f>'Padrão EPP'!E2433/2</f>
        <v>0</v>
      </c>
      <c r="F2433" s="67">
        <v>3.0000000000000001E-3</v>
      </c>
      <c r="G2433" s="67">
        <v>2E-3</v>
      </c>
      <c r="H2433" s="63"/>
    </row>
    <row r="2434" spans="1:8" x14ac:dyDescent="0.25">
      <c r="A2434" s="63"/>
      <c r="B2434" s="63">
        <f>'Padrão EPP'!B2434</f>
        <v>16</v>
      </c>
      <c r="C2434" s="63" t="str">
        <f>'Padrão EPP'!C2434</f>
        <v>TO</v>
      </c>
      <c r="D2434" s="63" t="str">
        <f>'Padrão EPP'!D2434</f>
        <v>REDESPACHO</v>
      </c>
      <c r="E2434" s="63">
        <f>'Padrão EPP'!E2434/2</f>
        <v>0</v>
      </c>
      <c r="F2434" s="67">
        <v>3.0000000000000001E-3</v>
      </c>
      <c r="G2434" s="67">
        <v>2E-3</v>
      </c>
      <c r="H2434" s="63"/>
    </row>
    <row r="2435" spans="1:8" x14ac:dyDescent="0.25">
      <c r="A2435" s="63"/>
      <c r="B2435" s="63">
        <f>'Padrão EPP'!B2435</f>
        <v>17</v>
      </c>
      <c r="C2435" s="63" t="str">
        <f>'Padrão EPP'!C2435</f>
        <v>TO</v>
      </c>
      <c r="D2435" s="63" t="str">
        <f>'Padrão EPP'!D2435</f>
        <v>REDESPACHO</v>
      </c>
      <c r="E2435" s="63">
        <f>'Padrão EPP'!E2435/2</f>
        <v>0</v>
      </c>
      <c r="F2435" s="67">
        <v>3.0000000000000001E-3</v>
      </c>
      <c r="G2435" s="67">
        <v>2E-3</v>
      </c>
      <c r="H2435" s="63"/>
    </row>
    <row r="2436" spans="1:8" x14ac:dyDescent="0.25">
      <c r="A2436" s="63"/>
      <c r="B2436" s="63">
        <f>'Padrão EPP'!B2436</f>
        <v>18</v>
      </c>
      <c r="C2436" s="63" t="str">
        <f>'Padrão EPP'!C2436</f>
        <v>TO</v>
      </c>
      <c r="D2436" s="63" t="str">
        <f>'Padrão EPP'!D2436</f>
        <v>REDESPACHO</v>
      </c>
      <c r="E2436" s="63">
        <f>'Padrão EPP'!E2436/2</f>
        <v>0</v>
      </c>
      <c r="F2436" s="67">
        <v>3.0000000000000001E-3</v>
      </c>
      <c r="G2436" s="67">
        <v>2E-3</v>
      </c>
      <c r="H2436" s="63"/>
    </row>
    <row r="2437" spans="1:8" x14ac:dyDescent="0.25">
      <c r="A2437" s="63"/>
      <c r="B2437" s="63">
        <f>'Padrão EPP'!B2437</f>
        <v>19</v>
      </c>
      <c r="C2437" s="63" t="str">
        <f>'Padrão EPP'!C2437</f>
        <v>TO</v>
      </c>
      <c r="D2437" s="63" t="str">
        <f>'Padrão EPP'!D2437</f>
        <v>REDESPACHO</v>
      </c>
      <c r="E2437" s="63">
        <f>'Padrão EPP'!E2437/2</f>
        <v>0</v>
      </c>
      <c r="F2437" s="67">
        <v>3.0000000000000001E-3</v>
      </c>
      <c r="G2437" s="67">
        <v>2E-3</v>
      </c>
      <c r="H2437" s="63"/>
    </row>
    <row r="2438" spans="1:8" x14ac:dyDescent="0.25">
      <c r="A2438" s="63"/>
      <c r="B2438" s="63">
        <f>'Padrão EPP'!B2438</f>
        <v>20</v>
      </c>
      <c r="C2438" s="63" t="str">
        <f>'Padrão EPP'!C2438</f>
        <v>TO</v>
      </c>
      <c r="D2438" s="63" t="str">
        <f>'Padrão EPP'!D2438</f>
        <v>REDESPACHO</v>
      </c>
      <c r="E2438" s="63">
        <f>'Padrão EPP'!E2438/2</f>
        <v>0</v>
      </c>
      <c r="F2438" s="67">
        <v>3.0000000000000001E-3</v>
      </c>
      <c r="G2438" s="67">
        <v>2E-3</v>
      </c>
      <c r="H2438" s="63"/>
    </row>
    <row r="2439" spans="1:8" x14ac:dyDescent="0.25">
      <c r="A2439" s="63"/>
      <c r="B2439" s="63">
        <f>'Padrão EPP'!B2439</f>
        <v>21</v>
      </c>
      <c r="C2439" s="63" t="str">
        <f>'Padrão EPP'!C2439</f>
        <v>TO</v>
      </c>
      <c r="D2439" s="63" t="str">
        <f>'Padrão EPP'!D2439</f>
        <v>REDESPACHO</v>
      </c>
      <c r="E2439" s="63">
        <f>'Padrão EPP'!E2439/2</f>
        <v>0</v>
      </c>
      <c r="F2439" s="67">
        <v>3.0000000000000001E-3</v>
      </c>
      <c r="G2439" s="67">
        <v>2E-3</v>
      </c>
      <c r="H2439" s="63"/>
    </row>
    <row r="2440" spans="1:8" x14ac:dyDescent="0.25">
      <c r="A2440" s="63"/>
      <c r="B2440" s="63">
        <f>'Padrão EPP'!B2440</f>
        <v>22</v>
      </c>
      <c r="C2440" s="63" t="str">
        <f>'Padrão EPP'!C2440</f>
        <v>TO</v>
      </c>
      <c r="D2440" s="63" t="str">
        <f>'Padrão EPP'!D2440</f>
        <v>REDESPACHO</v>
      </c>
      <c r="E2440" s="63">
        <f>'Padrão EPP'!E2440/2</f>
        <v>0</v>
      </c>
      <c r="F2440" s="67">
        <v>3.0000000000000001E-3</v>
      </c>
      <c r="G2440" s="67">
        <v>2E-3</v>
      </c>
      <c r="H2440" s="63"/>
    </row>
    <row r="2441" spans="1:8" x14ac:dyDescent="0.25">
      <c r="A2441" s="63"/>
      <c r="B2441" s="63">
        <f>'Padrão EPP'!B2441</f>
        <v>23</v>
      </c>
      <c r="C2441" s="63" t="str">
        <f>'Padrão EPP'!C2441</f>
        <v>TO</v>
      </c>
      <c r="D2441" s="63" t="str">
        <f>'Padrão EPP'!D2441</f>
        <v>REDESPACHO</v>
      </c>
      <c r="E2441" s="63">
        <f>'Padrão EPP'!E2441/2</f>
        <v>0</v>
      </c>
      <c r="F2441" s="67">
        <v>3.0000000000000001E-3</v>
      </c>
      <c r="G2441" s="67">
        <v>2E-3</v>
      </c>
      <c r="H2441" s="63"/>
    </row>
    <row r="2442" spans="1:8" x14ac:dyDescent="0.25">
      <c r="A2442" s="63"/>
      <c r="B2442" s="63">
        <f>'Padrão EPP'!B2442</f>
        <v>24</v>
      </c>
      <c r="C2442" s="63" t="str">
        <f>'Padrão EPP'!C2442</f>
        <v>TO</v>
      </c>
      <c r="D2442" s="63" t="str">
        <f>'Padrão EPP'!D2442</f>
        <v>REDESPACHO</v>
      </c>
      <c r="E2442" s="63">
        <f>'Padrão EPP'!E2442/2</f>
        <v>0</v>
      </c>
      <c r="F2442" s="67">
        <v>3.0000000000000001E-3</v>
      </c>
      <c r="G2442" s="67">
        <v>2E-3</v>
      </c>
      <c r="H2442" s="63"/>
    </row>
    <row r="2443" spans="1:8" x14ac:dyDescent="0.25">
      <c r="A2443" s="63"/>
      <c r="B2443" s="63">
        <f>'Padrão EPP'!B2443</f>
        <v>25</v>
      </c>
      <c r="C2443" s="63" t="str">
        <f>'Padrão EPP'!C2443</f>
        <v>TO</v>
      </c>
      <c r="D2443" s="63" t="str">
        <f>'Padrão EPP'!D2443</f>
        <v>REDESPACHO</v>
      </c>
      <c r="E2443" s="63">
        <f>'Padrão EPP'!E2443/2</f>
        <v>0</v>
      </c>
      <c r="F2443" s="67">
        <v>3.0000000000000001E-3</v>
      </c>
      <c r="G2443" s="67">
        <v>2E-3</v>
      </c>
      <c r="H2443" s="63"/>
    </row>
    <row r="2444" spans="1:8" x14ac:dyDescent="0.25">
      <c r="A2444" s="63"/>
      <c r="B2444" s="63">
        <f>'Padrão EPP'!B2444</f>
        <v>26</v>
      </c>
      <c r="C2444" s="63" t="str">
        <f>'Padrão EPP'!C2444</f>
        <v>TO</v>
      </c>
      <c r="D2444" s="63" t="str">
        <f>'Padrão EPP'!D2444</f>
        <v>REDESPACHO</v>
      </c>
      <c r="E2444" s="63">
        <f>'Padrão EPP'!E2444/2</f>
        <v>0</v>
      </c>
      <c r="F2444" s="67">
        <v>3.0000000000000001E-3</v>
      </c>
      <c r="G2444" s="67">
        <v>2E-3</v>
      </c>
      <c r="H2444" s="63"/>
    </row>
    <row r="2445" spans="1:8" x14ac:dyDescent="0.25">
      <c r="A2445" s="63"/>
      <c r="B2445" s="63">
        <f>'Padrão EPP'!B2445</f>
        <v>27</v>
      </c>
      <c r="C2445" s="63" t="str">
        <f>'Padrão EPP'!C2445</f>
        <v>TO</v>
      </c>
      <c r="D2445" s="63" t="str">
        <f>'Padrão EPP'!D2445</f>
        <v>REDESPACHO</v>
      </c>
      <c r="E2445" s="63">
        <f>'Padrão EPP'!E2445/2</f>
        <v>0</v>
      </c>
      <c r="F2445" s="67">
        <v>3.0000000000000001E-3</v>
      </c>
      <c r="G2445" s="67">
        <v>2E-3</v>
      </c>
      <c r="H2445" s="63"/>
    </row>
    <row r="2446" spans="1:8" x14ac:dyDescent="0.25">
      <c r="A2446" s="63"/>
      <c r="B2446" s="63">
        <f>'Padrão EPP'!B2446</f>
        <v>28</v>
      </c>
      <c r="C2446" s="63" t="str">
        <f>'Padrão EPP'!C2446</f>
        <v>TO</v>
      </c>
      <c r="D2446" s="63" t="str">
        <f>'Padrão EPP'!D2446</f>
        <v>REDESPACHO</v>
      </c>
      <c r="E2446" s="63">
        <f>'Padrão EPP'!E2446/2</f>
        <v>0</v>
      </c>
      <c r="F2446" s="67">
        <v>3.0000000000000001E-3</v>
      </c>
      <c r="G2446" s="67">
        <v>2E-3</v>
      </c>
      <c r="H2446" s="63"/>
    </row>
    <row r="2447" spans="1:8" x14ac:dyDescent="0.25">
      <c r="A2447" s="63"/>
      <c r="B2447" s="63">
        <f>'Padrão EPP'!B2447</f>
        <v>29</v>
      </c>
      <c r="C2447" s="63" t="str">
        <f>'Padrão EPP'!C2447</f>
        <v>TO</v>
      </c>
      <c r="D2447" s="63" t="str">
        <f>'Padrão EPP'!D2447</f>
        <v>REDESPACHO</v>
      </c>
      <c r="E2447" s="63">
        <f>'Padrão EPP'!E2447/2</f>
        <v>0</v>
      </c>
      <c r="F2447" s="67">
        <v>3.0000000000000001E-3</v>
      </c>
      <c r="G2447" s="67">
        <v>2E-3</v>
      </c>
      <c r="H2447" s="63"/>
    </row>
    <row r="2448" spans="1:8" x14ac:dyDescent="0.25">
      <c r="A2448" s="63"/>
      <c r="B2448" s="63">
        <f>'Padrão EPP'!B2448</f>
        <v>30</v>
      </c>
      <c r="C2448" s="63" t="str">
        <f>'Padrão EPP'!C2448</f>
        <v>TO</v>
      </c>
      <c r="D2448" s="63" t="str">
        <f>'Padrão EPP'!D2448</f>
        <v>REDESPACHO</v>
      </c>
      <c r="E2448" s="63">
        <f>'Padrão EPP'!E2448/2</f>
        <v>0</v>
      </c>
      <c r="F2448" s="67">
        <v>3.0000000000000001E-3</v>
      </c>
      <c r="G2448" s="67">
        <v>2E-3</v>
      </c>
      <c r="H2448" s="63"/>
    </row>
    <row r="2449" spans="1:8" x14ac:dyDescent="0.25">
      <c r="A2449" s="63"/>
      <c r="B2449" s="63">
        <f>'Padrão EPP'!B2449</f>
        <v>0</v>
      </c>
      <c r="C2449" s="63" t="str">
        <f>'Padrão EPP'!C2449</f>
        <v>TO</v>
      </c>
      <c r="D2449" s="63" t="str">
        <f>'Padrão EPP'!D2449</f>
        <v>REDESPACHO</v>
      </c>
      <c r="E2449" s="63">
        <f>'Padrão EPP'!E2449/2</f>
        <v>1.5214394455252955</v>
      </c>
      <c r="F2449" s="67">
        <v>3.0000000000000001E-3</v>
      </c>
      <c r="G2449" s="67">
        <v>2E-3</v>
      </c>
      <c r="H2449" s="63"/>
    </row>
    <row r="2450" spans="1:8" x14ac:dyDescent="0.25">
      <c r="A2450" s="63"/>
      <c r="B2450" s="63">
        <f>'Padrão EPP'!B2450</f>
        <v>0.25</v>
      </c>
      <c r="C2450" s="63" t="str">
        <f>'Padrão EPP'!C2450</f>
        <v>BA</v>
      </c>
      <c r="D2450" s="63" t="str">
        <f>'Padrão EPP'!D2450</f>
        <v>CAPITAL</v>
      </c>
      <c r="E2450" s="63">
        <f>'Padrão EPP'!E2450/2</f>
        <v>6.8036295729440406</v>
      </c>
      <c r="F2450" s="67">
        <v>3.0000000000000001E-3</v>
      </c>
      <c r="G2450" s="67">
        <v>2E-3</v>
      </c>
      <c r="H2450" s="63"/>
    </row>
    <row r="2451" spans="1:8" x14ac:dyDescent="0.25">
      <c r="A2451" s="63"/>
      <c r="B2451" s="63">
        <f>'Padrão EPP'!B2451</f>
        <v>0.5</v>
      </c>
      <c r="C2451" s="63" t="str">
        <f>'Padrão EPP'!C2451</f>
        <v>BA</v>
      </c>
      <c r="D2451" s="63" t="str">
        <f>'Padrão EPP'!D2451</f>
        <v>CAPITAL</v>
      </c>
      <c r="E2451" s="63">
        <f>'Padrão EPP'!E2451/2</f>
        <v>7.3666476364081932</v>
      </c>
      <c r="F2451" s="67">
        <v>3.0000000000000001E-3</v>
      </c>
      <c r="G2451" s="67">
        <v>2E-3</v>
      </c>
      <c r="H2451" s="63"/>
    </row>
    <row r="2452" spans="1:8" x14ac:dyDescent="0.25">
      <c r="A2452" s="63"/>
      <c r="B2452" s="63">
        <f>'Padrão EPP'!B2452</f>
        <v>0.75</v>
      </c>
      <c r="C2452" s="63" t="str">
        <f>'Padrão EPP'!C2452</f>
        <v>BA</v>
      </c>
      <c r="D2452" s="63" t="str">
        <f>'Padrão EPP'!D2452</f>
        <v>CAPITAL</v>
      </c>
      <c r="E2452" s="63">
        <f>'Padrão EPP'!E2452/2</f>
        <v>7.8943415967378545</v>
      </c>
      <c r="F2452" s="67">
        <v>3.0000000000000001E-3</v>
      </c>
      <c r="G2452" s="67">
        <v>2E-3</v>
      </c>
      <c r="H2452" s="63"/>
    </row>
    <row r="2453" spans="1:8" x14ac:dyDescent="0.25">
      <c r="A2453" s="63"/>
      <c r="B2453" s="63">
        <f>'Padrão EPP'!B2453</f>
        <v>1</v>
      </c>
      <c r="C2453" s="63" t="str">
        <f>'Padrão EPP'!C2453</f>
        <v>BA</v>
      </c>
      <c r="D2453" s="63" t="str">
        <f>'Padrão EPP'!D2453</f>
        <v>CAPITAL</v>
      </c>
      <c r="E2453" s="63">
        <f>'Padrão EPP'!E2453/2</f>
        <v>8.5558538497580692</v>
      </c>
      <c r="F2453" s="67">
        <v>3.0000000000000001E-3</v>
      </c>
      <c r="G2453" s="67">
        <v>2E-3</v>
      </c>
      <c r="H2453" s="63"/>
    </row>
    <row r="2454" spans="1:8" x14ac:dyDescent="0.25">
      <c r="A2454" s="63"/>
      <c r="B2454" s="63">
        <f>'Padrão EPP'!B2454</f>
        <v>2</v>
      </c>
      <c r="C2454" s="63" t="str">
        <f>'Padrão EPP'!C2454</f>
        <v>BA</v>
      </c>
      <c r="D2454" s="63" t="str">
        <f>'Padrão EPP'!D2454</f>
        <v>CAPITAL</v>
      </c>
      <c r="E2454" s="63">
        <f>'Padrão EPP'!E2454/2</f>
        <v>10.26648584510032</v>
      </c>
      <c r="F2454" s="67">
        <v>3.0000000000000001E-3</v>
      </c>
      <c r="G2454" s="67">
        <v>2E-3</v>
      </c>
      <c r="H2454" s="63"/>
    </row>
    <row r="2455" spans="1:8" x14ac:dyDescent="0.25">
      <c r="A2455" s="63"/>
      <c r="B2455" s="63">
        <f>'Padrão EPP'!B2455</f>
        <v>3</v>
      </c>
      <c r="C2455" s="63" t="str">
        <f>'Padrão EPP'!C2455</f>
        <v>BA</v>
      </c>
      <c r="D2455" s="63" t="str">
        <f>'Padrão EPP'!D2455</f>
        <v>CAPITAL</v>
      </c>
      <c r="E2455" s="63">
        <f>'Padrão EPP'!E2455/2</f>
        <v>13.168165547423783</v>
      </c>
      <c r="F2455" s="67">
        <v>3.0000000000000001E-3</v>
      </c>
      <c r="G2455" s="67">
        <v>2E-3</v>
      </c>
      <c r="H2455" s="63"/>
    </row>
    <row r="2456" spans="1:8" x14ac:dyDescent="0.25">
      <c r="A2456" s="63"/>
      <c r="B2456" s="63">
        <f>'Padrão EPP'!B2456</f>
        <v>4</v>
      </c>
      <c r="C2456" s="63" t="str">
        <f>'Padrão EPP'!C2456</f>
        <v>BA</v>
      </c>
      <c r="D2456" s="63" t="str">
        <f>'Padrão EPP'!D2456</f>
        <v>CAPITAL</v>
      </c>
      <c r="E2456" s="63">
        <f>'Padrão EPP'!E2456/2</f>
        <v>16.157696424288222</v>
      </c>
      <c r="F2456" s="67">
        <v>3.0000000000000001E-3</v>
      </c>
      <c r="G2456" s="67">
        <v>2E-3</v>
      </c>
      <c r="H2456" s="63"/>
    </row>
    <row r="2457" spans="1:8" x14ac:dyDescent="0.25">
      <c r="A2457" s="63"/>
      <c r="B2457" s="63">
        <f>'Padrão EPP'!B2457</f>
        <v>5</v>
      </c>
      <c r="C2457" s="63" t="str">
        <f>'Padrão EPP'!C2457</f>
        <v>BA</v>
      </c>
      <c r="D2457" s="63" t="str">
        <f>'Padrão EPP'!D2457</f>
        <v>CAPITAL</v>
      </c>
      <c r="E2457" s="63">
        <f>'Padrão EPP'!E2457/2</f>
        <v>19.278708706895983</v>
      </c>
      <c r="F2457" s="67">
        <v>3.0000000000000001E-3</v>
      </c>
      <c r="G2457" s="67">
        <v>2E-3</v>
      </c>
      <c r="H2457" s="63"/>
    </row>
    <row r="2458" spans="1:8" x14ac:dyDescent="0.25">
      <c r="A2458" s="63"/>
      <c r="B2458" s="63">
        <f>'Padrão EPP'!B2458</f>
        <v>6</v>
      </c>
      <c r="C2458" s="63" t="str">
        <f>'Padrão EPP'!C2458</f>
        <v>BA</v>
      </c>
      <c r="D2458" s="63" t="str">
        <f>'Padrão EPP'!D2458</f>
        <v>CAPITAL</v>
      </c>
      <c r="E2458" s="63">
        <f>'Padrão EPP'!E2458/2</f>
        <v>24.064180990230309</v>
      </c>
      <c r="F2458" s="67">
        <v>3.0000000000000001E-3</v>
      </c>
      <c r="G2458" s="67">
        <v>2E-3</v>
      </c>
      <c r="H2458" s="63"/>
    </row>
    <row r="2459" spans="1:8" x14ac:dyDescent="0.25">
      <c r="A2459" s="63"/>
      <c r="B2459" s="63">
        <f>'Padrão EPP'!B2459</f>
        <v>7</v>
      </c>
      <c r="C2459" s="63" t="str">
        <f>'Padrão EPP'!C2459</f>
        <v>BA</v>
      </c>
      <c r="D2459" s="63" t="str">
        <f>'Padrão EPP'!D2459</f>
        <v>CAPITAL</v>
      </c>
      <c r="E2459" s="63">
        <f>'Padrão EPP'!E2459/2</f>
        <v>27.091934119615821</v>
      </c>
      <c r="F2459" s="67">
        <v>3.0000000000000001E-3</v>
      </c>
      <c r="G2459" s="67">
        <v>2E-3</v>
      </c>
      <c r="H2459" s="63"/>
    </row>
    <row r="2460" spans="1:8" x14ac:dyDescent="0.25">
      <c r="A2460" s="63"/>
      <c r="B2460" s="63">
        <f>'Padrão EPP'!B2460</f>
        <v>8</v>
      </c>
      <c r="C2460" s="63" t="str">
        <f>'Padrão EPP'!C2460</f>
        <v>BA</v>
      </c>
      <c r="D2460" s="63" t="str">
        <f>'Padrão EPP'!D2460</f>
        <v>CAPITAL</v>
      </c>
      <c r="E2460" s="63">
        <f>'Padrão EPP'!E2460/2</f>
        <v>30.169915542011772</v>
      </c>
      <c r="F2460" s="67">
        <v>3.0000000000000001E-3</v>
      </c>
      <c r="G2460" s="67">
        <v>2E-3</v>
      </c>
      <c r="H2460" s="63"/>
    </row>
    <row r="2461" spans="1:8" x14ac:dyDescent="0.25">
      <c r="A2461" s="63"/>
      <c r="B2461" s="63">
        <f>'Padrão EPP'!B2461</f>
        <v>9</v>
      </c>
      <c r="C2461" s="63" t="str">
        <f>'Padrão EPP'!C2461</f>
        <v>BA</v>
      </c>
      <c r="D2461" s="63" t="str">
        <f>'Padrão EPP'!D2461</f>
        <v>CAPITAL</v>
      </c>
      <c r="E2461" s="63">
        <f>'Padrão EPP'!E2461/2</f>
        <v>33.303148086719197</v>
      </c>
      <c r="F2461" s="67">
        <v>3.0000000000000001E-3</v>
      </c>
      <c r="G2461" s="67">
        <v>2E-3</v>
      </c>
      <c r="H2461" s="63"/>
    </row>
    <row r="2462" spans="1:8" x14ac:dyDescent="0.25">
      <c r="A2462" s="63"/>
      <c r="B2462" s="63">
        <f>'Padrão EPP'!B2462</f>
        <v>10</v>
      </c>
      <c r="C2462" s="63" t="str">
        <f>'Padrão EPP'!C2462</f>
        <v>BA</v>
      </c>
      <c r="D2462" s="63" t="str">
        <f>'Padrão EPP'!D2462</f>
        <v>CAPITAL</v>
      </c>
      <c r="E2462" s="63">
        <f>'Padrão EPP'!E2462/2</f>
        <v>36.181988678269576</v>
      </c>
      <c r="F2462" s="67">
        <v>3.0000000000000001E-3</v>
      </c>
      <c r="G2462" s="67">
        <v>2E-3</v>
      </c>
      <c r="H2462" s="63"/>
    </row>
    <row r="2463" spans="1:8" x14ac:dyDescent="0.25">
      <c r="A2463" s="63"/>
      <c r="B2463" s="63">
        <f>'Padrão EPP'!B2463</f>
        <v>11</v>
      </c>
      <c r="C2463" s="63" t="str">
        <f>'Padrão EPP'!C2463</f>
        <v>BA</v>
      </c>
      <c r="D2463" s="63" t="str">
        <f>'Padrão EPP'!D2463</f>
        <v>CAPITAL</v>
      </c>
      <c r="E2463" s="63">
        <f>'Padrão EPP'!E2463/2</f>
        <v>0</v>
      </c>
      <c r="F2463" s="67">
        <v>3.0000000000000001E-3</v>
      </c>
      <c r="G2463" s="67">
        <v>2E-3</v>
      </c>
      <c r="H2463" s="63"/>
    </row>
    <row r="2464" spans="1:8" x14ac:dyDescent="0.25">
      <c r="A2464" s="63"/>
      <c r="B2464" s="63">
        <f>'Padrão EPP'!B2464</f>
        <v>12</v>
      </c>
      <c r="C2464" s="63" t="str">
        <f>'Padrão EPP'!C2464</f>
        <v>BA</v>
      </c>
      <c r="D2464" s="63" t="str">
        <f>'Padrão EPP'!D2464</f>
        <v>CAPITAL</v>
      </c>
      <c r="E2464" s="63">
        <f>'Padrão EPP'!E2464/2</f>
        <v>0</v>
      </c>
      <c r="F2464" s="67">
        <v>3.0000000000000001E-3</v>
      </c>
      <c r="G2464" s="67">
        <v>2E-3</v>
      </c>
      <c r="H2464" s="63"/>
    </row>
    <row r="2465" spans="1:8" x14ac:dyDescent="0.25">
      <c r="A2465" s="63"/>
      <c r="B2465" s="63">
        <f>'Padrão EPP'!B2465</f>
        <v>13</v>
      </c>
      <c r="C2465" s="63" t="str">
        <f>'Padrão EPP'!C2465</f>
        <v>BA</v>
      </c>
      <c r="D2465" s="63" t="str">
        <f>'Padrão EPP'!D2465</f>
        <v>CAPITAL</v>
      </c>
      <c r="E2465" s="63">
        <f>'Padrão EPP'!E2465/2</f>
        <v>0</v>
      </c>
      <c r="F2465" s="67">
        <v>3.0000000000000001E-3</v>
      </c>
      <c r="G2465" s="67">
        <v>2E-3</v>
      </c>
      <c r="H2465" s="63"/>
    </row>
    <row r="2466" spans="1:8" x14ac:dyDescent="0.25">
      <c r="A2466" s="63"/>
      <c r="B2466" s="63">
        <f>'Padrão EPP'!B2466</f>
        <v>14</v>
      </c>
      <c r="C2466" s="63" t="str">
        <f>'Padrão EPP'!C2466</f>
        <v>BA</v>
      </c>
      <c r="D2466" s="63" t="str">
        <f>'Padrão EPP'!D2466</f>
        <v>CAPITAL</v>
      </c>
      <c r="E2466" s="63">
        <f>'Padrão EPP'!E2466/2</f>
        <v>0</v>
      </c>
      <c r="F2466" s="67">
        <v>3.0000000000000001E-3</v>
      </c>
      <c r="G2466" s="67">
        <v>2E-3</v>
      </c>
      <c r="H2466" s="63"/>
    </row>
    <row r="2467" spans="1:8" x14ac:dyDescent="0.25">
      <c r="A2467" s="63"/>
      <c r="B2467" s="63">
        <f>'Padrão EPP'!B2467</f>
        <v>15</v>
      </c>
      <c r="C2467" s="63" t="str">
        <f>'Padrão EPP'!C2467</f>
        <v>BA</v>
      </c>
      <c r="D2467" s="63" t="str">
        <f>'Padrão EPP'!D2467</f>
        <v>CAPITAL</v>
      </c>
      <c r="E2467" s="63">
        <f>'Padrão EPP'!E2467/2</f>
        <v>0</v>
      </c>
      <c r="F2467" s="67">
        <v>3.0000000000000001E-3</v>
      </c>
      <c r="G2467" s="67">
        <v>2E-3</v>
      </c>
      <c r="H2467" s="63"/>
    </row>
    <row r="2468" spans="1:8" x14ac:dyDescent="0.25">
      <c r="A2468" s="63"/>
      <c r="B2468" s="63">
        <f>'Padrão EPP'!B2468</f>
        <v>16</v>
      </c>
      <c r="C2468" s="63" t="str">
        <f>'Padrão EPP'!C2468</f>
        <v>BA</v>
      </c>
      <c r="D2468" s="63" t="str">
        <f>'Padrão EPP'!D2468</f>
        <v>CAPITAL</v>
      </c>
      <c r="E2468" s="63">
        <f>'Padrão EPP'!E2468/2</f>
        <v>0</v>
      </c>
      <c r="F2468" s="67">
        <v>3.0000000000000001E-3</v>
      </c>
      <c r="G2468" s="67">
        <v>2E-3</v>
      </c>
      <c r="H2468" s="63"/>
    </row>
    <row r="2469" spans="1:8" x14ac:dyDescent="0.25">
      <c r="A2469" s="63"/>
      <c r="B2469" s="63">
        <f>'Padrão EPP'!B2469</f>
        <v>17</v>
      </c>
      <c r="C2469" s="63" t="str">
        <f>'Padrão EPP'!C2469</f>
        <v>BA</v>
      </c>
      <c r="D2469" s="63" t="str">
        <f>'Padrão EPP'!D2469</f>
        <v>CAPITAL</v>
      </c>
      <c r="E2469" s="63">
        <f>'Padrão EPP'!E2469/2</f>
        <v>0</v>
      </c>
      <c r="F2469" s="67">
        <v>3.0000000000000001E-3</v>
      </c>
      <c r="G2469" s="67">
        <v>2E-3</v>
      </c>
      <c r="H2469" s="63"/>
    </row>
    <row r="2470" spans="1:8" x14ac:dyDescent="0.25">
      <c r="A2470" s="63"/>
      <c r="B2470" s="63">
        <f>'Padrão EPP'!B2470</f>
        <v>18</v>
      </c>
      <c r="C2470" s="63" t="str">
        <f>'Padrão EPP'!C2470</f>
        <v>BA</v>
      </c>
      <c r="D2470" s="63" t="str">
        <f>'Padrão EPP'!D2470</f>
        <v>CAPITAL</v>
      </c>
      <c r="E2470" s="63">
        <f>'Padrão EPP'!E2470/2</f>
        <v>0</v>
      </c>
      <c r="F2470" s="67">
        <v>3.0000000000000001E-3</v>
      </c>
      <c r="G2470" s="67">
        <v>2E-3</v>
      </c>
      <c r="H2470" s="63"/>
    </row>
    <row r="2471" spans="1:8" x14ac:dyDescent="0.25">
      <c r="A2471" s="63"/>
      <c r="B2471" s="63">
        <f>'Padrão EPP'!B2471</f>
        <v>19</v>
      </c>
      <c r="C2471" s="63" t="str">
        <f>'Padrão EPP'!C2471</f>
        <v>BA</v>
      </c>
      <c r="D2471" s="63" t="str">
        <f>'Padrão EPP'!D2471</f>
        <v>CAPITAL</v>
      </c>
      <c r="E2471" s="63">
        <f>'Padrão EPP'!E2471/2</f>
        <v>0</v>
      </c>
      <c r="F2471" s="67">
        <v>3.0000000000000001E-3</v>
      </c>
      <c r="G2471" s="67">
        <v>2E-3</v>
      </c>
      <c r="H2471" s="63"/>
    </row>
    <row r="2472" spans="1:8" x14ac:dyDescent="0.25">
      <c r="A2472" s="63"/>
      <c r="B2472" s="63">
        <f>'Padrão EPP'!B2472</f>
        <v>20</v>
      </c>
      <c r="C2472" s="63" t="str">
        <f>'Padrão EPP'!C2472</f>
        <v>BA</v>
      </c>
      <c r="D2472" s="63" t="str">
        <f>'Padrão EPP'!D2472</f>
        <v>CAPITAL</v>
      </c>
      <c r="E2472" s="63">
        <f>'Padrão EPP'!E2472/2</f>
        <v>0</v>
      </c>
      <c r="F2472" s="67">
        <v>3.0000000000000001E-3</v>
      </c>
      <c r="G2472" s="67">
        <v>2E-3</v>
      </c>
      <c r="H2472" s="63"/>
    </row>
    <row r="2473" spans="1:8" x14ac:dyDescent="0.25">
      <c r="A2473" s="63"/>
      <c r="B2473" s="63">
        <f>'Padrão EPP'!B2473</f>
        <v>21</v>
      </c>
      <c r="C2473" s="63" t="str">
        <f>'Padrão EPP'!C2473</f>
        <v>BA</v>
      </c>
      <c r="D2473" s="63" t="str">
        <f>'Padrão EPP'!D2473</f>
        <v>CAPITAL</v>
      </c>
      <c r="E2473" s="63">
        <f>'Padrão EPP'!E2473/2</f>
        <v>0</v>
      </c>
      <c r="F2473" s="67">
        <v>3.0000000000000001E-3</v>
      </c>
      <c r="G2473" s="67">
        <v>2E-3</v>
      </c>
      <c r="H2473" s="63"/>
    </row>
    <row r="2474" spans="1:8" x14ac:dyDescent="0.25">
      <c r="A2474" s="63"/>
      <c r="B2474" s="63">
        <f>'Padrão EPP'!B2474</f>
        <v>22</v>
      </c>
      <c r="C2474" s="63" t="str">
        <f>'Padrão EPP'!C2474</f>
        <v>BA</v>
      </c>
      <c r="D2474" s="63" t="str">
        <f>'Padrão EPP'!D2474</f>
        <v>CAPITAL</v>
      </c>
      <c r="E2474" s="63">
        <f>'Padrão EPP'!E2474/2</f>
        <v>0</v>
      </c>
      <c r="F2474" s="67">
        <v>3.0000000000000001E-3</v>
      </c>
      <c r="G2474" s="67">
        <v>2E-3</v>
      </c>
      <c r="H2474" s="63"/>
    </row>
    <row r="2475" spans="1:8" x14ac:dyDescent="0.25">
      <c r="A2475" s="63"/>
      <c r="B2475" s="63">
        <f>'Padrão EPP'!B2475</f>
        <v>23</v>
      </c>
      <c r="C2475" s="63" t="str">
        <f>'Padrão EPP'!C2475</f>
        <v>BA</v>
      </c>
      <c r="D2475" s="63" t="str">
        <f>'Padrão EPP'!D2475</f>
        <v>CAPITAL</v>
      </c>
      <c r="E2475" s="63">
        <f>'Padrão EPP'!E2475/2</f>
        <v>0</v>
      </c>
      <c r="F2475" s="67">
        <v>3.0000000000000001E-3</v>
      </c>
      <c r="G2475" s="67">
        <v>2E-3</v>
      </c>
      <c r="H2475" s="63"/>
    </row>
    <row r="2476" spans="1:8" x14ac:dyDescent="0.25">
      <c r="A2476" s="63"/>
      <c r="B2476" s="63">
        <f>'Padrão EPP'!B2476</f>
        <v>24</v>
      </c>
      <c r="C2476" s="63" t="str">
        <f>'Padrão EPP'!C2476</f>
        <v>BA</v>
      </c>
      <c r="D2476" s="63" t="str">
        <f>'Padrão EPP'!D2476</f>
        <v>CAPITAL</v>
      </c>
      <c r="E2476" s="63">
        <f>'Padrão EPP'!E2476/2</f>
        <v>0</v>
      </c>
      <c r="F2476" s="67">
        <v>3.0000000000000001E-3</v>
      </c>
      <c r="G2476" s="67">
        <v>2E-3</v>
      </c>
      <c r="H2476" s="63"/>
    </row>
    <row r="2477" spans="1:8" x14ac:dyDescent="0.25">
      <c r="A2477" s="63"/>
      <c r="B2477" s="63">
        <f>'Padrão EPP'!B2477</f>
        <v>25</v>
      </c>
      <c r="C2477" s="63" t="str">
        <f>'Padrão EPP'!C2477</f>
        <v>BA</v>
      </c>
      <c r="D2477" s="63" t="str">
        <f>'Padrão EPP'!D2477</f>
        <v>CAPITAL</v>
      </c>
      <c r="E2477" s="63">
        <f>'Padrão EPP'!E2477/2</f>
        <v>0</v>
      </c>
      <c r="F2477" s="67">
        <v>3.0000000000000001E-3</v>
      </c>
      <c r="G2477" s="67">
        <v>2E-3</v>
      </c>
      <c r="H2477" s="63"/>
    </row>
    <row r="2478" spans="1:8" x14ac:dyDescent="0.25">
      <c r="A2478" s="63"/>
      <c r="B2478" s="63">
        <f>'Padrão EPP'!B2478</f>
        <v>26</v>
      </c>
      <c r="C2478" s="63" t="str">
        <f>'Padrão EPP'!C2478</f>
        <v>BA</v>
      </c>
      <c r="D2478" s="63" t="str">
        <f>'Padrão EPP'!D2478</f>
        <v>CAPITAL</v>
      </c>
      <c r="E2478" s="63">
        <f>'Padrão EPP'!E2478/2</f>
        <v>0</v>
      </c>
      <c r="F2478" s="67">
        <v>3.0000000000000001E-3</v>
      </c>
      <c r="G2478" s="67">
        <v>2E-3</v>
      </c>
      <c r="H2478" s="63"/>
    </row>
    <row r="2479" spans="1:8" x14ac:dyDescent="0.25">
      <c r="A2479" s="63"/>
      <c r="B2479" s="63">
        <f>'Padrão EPP'!B2479</f>
        <v>27</v>
      </c>
      <c r="C2479" s="63" t="str">
        <f>'Padrão EPP'!C2479</f>
        <v>BA</v>
      </c>
      <c r="D2479" s="63" t="str">
        <f>'Padrão EPP'!D2479</f>
        <v>CAPITAL</v>
      </c>
      <c r="E2479" s="63">
        <f>'Padrão EPP'!E2479/2</f>
        <v>0</v>
      </c>
      <c r="F2479" s="67">
        <v>3.0000000000000001E-3</v>
      </c>
      <c r="G2479" s="67">
        <v>2E-3</v>
      </c>
      <c r="H2479" s="63"/>
    </row>
    <row r="2480" spans="1:8" x14ac:dyDescent="0.25">
      <c r="A2480" s="63"/>
      <c r="B2480" s="63">
        <f>'Padrão EPP'!B2480</f>
        <v>28</v>
      </c>
      <c r="C2480" s="63" t="str">
        <f>'Padrão EPP'!C2480</f>
        <v>BA</v>
      </c>
      <c r="D2480" s="63" t="str">
        <f>'Padrão EPP'!D2480</f>
        <v>CAPITAL</v>
      </c>
      <c r="E2480" s="63">
        <f>'Padrão EPP'!E2480/2</f>
        <v>0</v>
      </c>
      <c r="F2480" s="67">
        <v>3.0000000000000001E-3</v>
      </c>
      <c r="G2480" s="67">
        <v>2E-3</v>
      </c>
      <c r="H2480" s="63"/>
    </row>
    <row r="2481" spans="1:8" x14ac:dyDescent="0.25">
      <c r="A2481" s="63"/>
      <c r="B2481" s="63">
        <f>'Padrão EPP'!B2481</f>
        <v>29</v>
      </c>
      <c r="C2481" s="63" t="str">
        <f>'Padrão EPP'!C2481</f>
        <v>BA</v>
      </c>
      <c r="D2481" s="63" t="str">
        <f>'Padrão EPP'!D2481</f>
        <v>CAPITAL</v>
      </c>
      <c r="E2481" s="63">
        <f>'Padrão EPP'!E2481/2</f>
        <v>0</v>
      </c>
      <c r="F2481" s="67">
        <v>3.0000000000000001E-3</v>
      </c>
      <c r="G2481" s="67">
        <v>2E-3</v>
      </c>
      <c r="H2481" s="63"/>
    </row>
    <row r="2482" spans="1:8" x14ac:dyDescent="0.25">
      <c r="A2482" s="63"/>
      <c r="B2482" s="63">
        <f>'Padrão EPP'!B2482</f>
        <v>30</v>
      </c>
      <c r="C2482" s="63" t="str">
        <f>'Padrão EPP'!C2482</f>
        <v>BA</v>
      </c>
      <c r="D2482" s="63" t="str">
        <f>'Padrão EPP'!D2482</f>
        <v>CAPITAL</v>
      </c>
      <c r="E2482" s="63">
        <f>'Padrão EPP'!E2482/2</f>
        <v>0</v>
      </c>
      <c r="F2482" s="67">
        <v>3.0000000000000001E-3</v>
      </c>
      <c r="G2482" s="67">
        <v>2E-3</v>
      </c>
      <c r="H2482" s="63"/>
    </row>
    <row r="2483" spans="1:8" x14ac:dyDescent="0.25">
      <c r="A2483" s="63"/>
      <c r="B2483" s="63">
        <f>'Padrão EPP'!B2483</f>
        <v>0</v>
      </c>
      <c r="C2483" s="63" t="str">
        <f>'Padrão EPP'!C2483</f>
        <v>BA</v>
      </c>
      <c r="D2483" s="63" t="str">
        <f>'Padrão EPP'!D2483</f>
        <v>CAPITAL</v>
      </c>
      <c r="E2483" s="63">
        <f>'Padrão EPP'!E2483/2</f>
        <v>1.5214394455252955</v>
      </c>
      <c r="F2483" s="67">
        <v>3.0000000000000001E-3</v>
      </c>
      <c r="G2483" s="67">
        <v>2E-3</v>
      </c>
      <c r="H2483" s="63"/>
    </row>
    <row r="2484" spans="1:8" x14ac:dyDescent="0.25">
      <c r="A2484" s="63"/>
      <c r="B2484" s="63">
        <f>'Padrão EPP'!B2484</f>
        <v>0.25</v>
      </c>
      <c r="C2484" s="63" t="str">
        <f>'Padrão EPP'!C2484</f>
        <v>BA</v>
      </c>
      <c r="D2484" s="63" t="str">
        <f>'Padrão EPP'!D2484</f>
        <v>INTERIOR</v>
      </c>
      <c r="E2484" s="63">
        <f>'Padrão EPP'!E2484/2</f>
        <v>9.4152128968908375</v>
      </c>
      <c r="F2484" s="67">
        <v>3.0000000000000001E-3</v>
      </c>
      <c r="G2484" s="67">
        <v>2E-3</v>
      </c>
      <c r="H2484" s="63"/>
    </row>
    <row r="2485" spans="1:8" x14ac:dyDescent="0.25">
      <c r="A2485" s="63"/>
      <c r="B2485" s="63">
        <f>'Padrão EPP'!B2485</f>
        <v>0.5</v>
      </c>
      <c r="C2485" s="63" t="str">
        <f>'Padrão EPP'!C2485</f>
        <v>BA</v>
      </c>
      <c r="D2485" s="63" t="str">
        <f>'Padrão EPP'!D2485</f>
        <v>INTERIOR</v>
      </c>
      <c r="E2485" s="63">
        <f>'Padrão EPP'!E2485/2</f>
        <v>10.133712426238535</v>
      </c>
      <c r="F2485" s="67">
        <v>3.0000000000000001E-3</v>
      </c>
      <c r="G2485" s="67">
        <v>2E-3</v>
      </c>
      <c r="H2485" s="63"/>
    </row>
    <row r="2486" spans="1:8" x14ac:dyDescent="0.25">
      <c r="A2486" s="63"/>
      <c r="B2486" s="63">
        <f>'Padrão EPP'!B2486</f>
        <v>0.75</v>
      </c>
      <c r="C2486" s="63" t="str">
        <f>'Padrão EPP'!C2486</f>
        <v>BA</v>
      </c>
      <c r="D2486" s="63" t="str">
        <f>'Padrão EPP'!D2486</f>
        <v>INTERIOR</v>
      </c>
      <c r="E2486" s="63">
        <f>'Padrão EPP'!E2486/2</f>
        <v>11.179298831759933</v>
      </c>
      <c r="F2486" s="67">
        <v>3.0000000000000001E-3</v>
      </c>
      <c r="G2486" s="67">
        <v>2E-3</v>
      </c>
      <c r="H2486" s="63"/>
    </row>
    <row r="2487" spans="1:8" x14ac:dyDescent="0.25">
      <c r="A2487" s="63"/>
      <c r="B2487" s="63">
        <f>'Padrão EPP'!B2487</f>
        <v>1</v>
      </c>
      <c r="C2487" s="63" t="str">
        <f>'Padrão EPP'!C2487</f>
        <v>BA</v>
      </c>
      <c r="D2487" s="63" t="str">
        <f>'Padrão EPP'!D2487</f>
        <v>INTERIOR</v>
      </c>
      <c r="E2487" s="63">
        <f>'Padrão EPP'!E2487/2</f>
        <v>12.298211350350646</v>
      </c>
      <c r="F2487" s="67">
        <v>3.0000000000000001E-3</v>
      </c>
      <c r="G2487" s="67">
        <v>2E-3</v>
      </c>
      <c r="H2487" s="63"/>
    </row>
    <row r="2488" spans="1:8" x14ac:dyDescent="0.25">
      <c r="A2488" s="63"/>
      <c r="B2488" s="63">
        <f>'Padrão EPP'!B2488</f>
        <v>2</v>
      </c>
      <c r="C2488" s="63" t="str">
        <f>'Padrão EPP'!C2488</f>
        <v>BA</v>
      </c>
      <c r="D2488" s="63" t="str">
        <f>'Padrão EPP'!D2488</f>
        <v>INTERIOR</v>
      </c>
      <c r="E2488" s="63">
        <f>'Padrão EPP'!E2488/2</f>
        <v>15.031403486385161</v>
      </c>
      <c r="F2488" s="67">
        <v>3.0000000000000001E-3</v>
      </c>
      <c r="G2488" s="67">
        <v>2E-3</v>
      </c>
      <c r="H2488" s="63"/>
    </row>
    <row r="2489" spans="1:8" x14ac:dyDescent="0.25">
      <c r="A2489" s="63"/>
      <c r="B2489" s="63">
        <f>'Padrão EPP'!B2489</f>
        <v>3</v>
      </c>
      <c r="C2489" s="63" t="str">
        <f>'Padrão EPP'!C2489</f>
        <v>BA</v>
      </c>
      <c r="D2489" s="63" t="str">
        <f>'Padrão EPP'!D2489</f>
        <v>INTERIOR</v>
      </c>
      <c r="E2489" s="63">
        <f>'Padrão EPP'!E2489/2</f>
        <v>18.129417079099085</v>
      </c>
      <c r="F2489" s="67">
        <v>3.0000000000000001E-3</v>
      </c>
      <c r="G2489" s="67">
        <v>2E-3</v>
      </c>
      <c r="H2489" s="63"/>
    </row>
    <row r="2490" spans="1:8" x14ac:dyDescent="0.25">
      <c r="A2490" s="63"/>
      <c r="B2490" s="63">
        <f>'Padrão EPP'!B2490</f>
        <v>4</v>
      </c>
      <c r="C2490" s="63" t="str">
        <f>'Padrão EPP'!C2490</f>
        <v>BA</v>
      </c>
      <c r="D2490" s="63" t="str">
        <f>'Padrão EPP'!D2490</f>
        <v>INTERIOR</v>
      </c>
      <c r="E2490" s="63">
        <f>'Padrão EPP'!E2490/2</f>
        <v>21.331076166659841</v>
      </c>
      <c r="F2490" s="67">
        <v>3.0000000000000001E-3</v>
      </c>
      <c r="G2490" s="67">
        <v>2E-3</v>
      </c>
      <c r="H2490" s="63"/>
    </row>
    <row r="2491" spans="1:8" x14ac:dyDescent="0.25">
      <c r="A2491" s="63"/>
      <c r="B2491" s="63">
        <f>'Padrão EPP'!B2491</f>
        <v>5</v>
      </c>
      <c r="C2491" s="63" t="str">
        <f>'Padrão EPP'!C2491</f>
        <v>BA</v>
      </c>
      <c r="D2491" s="63" t="str">
        <f>'Padrão EPP'!D2491</f>
        <v>INTERIOR</v>
      </c>
      <c r="E2491" s="63">
        <f>'Padrão EPP'!E2491/2</f>
        <v>24.668860644078016</v>
      </c>
      <c r="F2491" s="67">
        <v>3.0000000000000001E-3</v>
      </c>
      <c r="G2491" s="67">
        <v>2E-3</v>
      </c>
      <c r="H2491" s="63"/>
    </row>
    <row r="2492" spans="1:8" x14ac:dyDescent="0.25">
      <c r="A2492" s="63"/>
      <c r="B2492" s="63">
        <f>'Padrão EPP'!B2492</f>
        <v>6</v>
      </c>
      <c r="C2492" s="63" t="str">
        <f>'Padrão EPP'!C2492</f>
        <v>BA</v>
      </c>
      <c r="D2492" s="63" t="str">
        <f>'Padrão EPP'!D2492</f>
        <v>INTERIOR</v>
      </c>
      <c r="E2492" s="63">
        <f>'Padrão EPP'!E2492/2</f>
        <v>28.087807311741471</v>
      </c>
      <c r="F2492" s="67">
        <v>3.0000000000000001E-3</v>
      </c>
      <c r="G2492" s="67">
        <v>2E-3</v>
      </c>
      <c r="H2492" s="63"/>
    </row>
    <row r="2493" spans="1:8" x14ac:dyDescent="0.25">
      <c r="A2493" s="63"/>
      <c r="B2493" s="63">
        <f>'Padrão EPP'!B2493</f>
        <v>7</v>
      </c>
      <c r="C2493" s="63" t="str">
        <f>'Padrão EPP'!C2493</f>
        <v>BA</v>
      </c>
      <c r="D2493" s="63" t="str">
        <f>'Padrão EPP'!D2493</f>
        <v>INTERIOR</v>
      </c>
      <c r="E2493" s="63">
        <f>'Padrão EPP'!E2493/2</f>
        <v>31.598356007014679</v>
      </c>
      <c r="F2493" s="67">
        <v>3.0000000000000001E-3</v>
      </c>
      <c r="G2493" s="67">
        <v>2E-3</v>
      </c>
      <c r="H2493" s="63"/>
    </row>
    <row r="2494" spans="1:8" x14ac:dyDescent="0.25">
      <c r="A2494" s="63"/>
      <c r="B2494" s="63">
        <f>'Padrão EPP'!B2494</f>
        <v>8</v>
      </c>
      <c r="C2494" s="63" t="str">
        <f>'Padrão EPP'!C2494</f>
        <v>BA</v>
      </c>
      <c r="D2494" s="63" t="str">
        <f>'Padrão EPP'!D2494</f>
        <v>INTERIOR</v>
      </c>
      <c r="E2494" s="63">
        <f>'Padrão EPP'!E2494/2</f>
        <v>35.212324892123299</v>
      </c>
      <c r="F2494" s="67">
        <v>3.0000000000000001E-3</v>
      </c>
      <c r="G2494" s="67">
        <v>2E-3</v>
      </c>
      <c r="H2494" s="63"/>
    </row>
    <row r="2495" spans="1:8" x14ac:dyDescent="0.25">
      <c r="A2495" s="63"/>
      <c r="B2495" s="63">
        <f>'Padrão EPP'!B2495</f>
        <v>9</v>
      </c>
      <c r="C2495" s="63" t="str">
        <f>'Padrão EPP'!C2495</f>
        <v>BA</v>
      </c>
      <c r="D2495" s="63" t="str">
        <f>'Padrão EPP'!D2495</f>
        <v>INTERIOR</v>
      </c>
      <c r="E2495" s="63">
        <f>'Padrão EPP'!E2495/2</f>
        <v>38.671340390676292</v>
      </c>
      <c r="F2495" s="67">
        <v>3.0000000000000001E-3</v>
      </c>
      <c r="G2495" s="67">
        <v>2E-3</v>
      </c>
      <c r="H2495" s="63"/>
    </row>
    <row r="2496" spans="1:8" x14ac:dyDescent="0.25">
      <c r="A2496" s="63"/>
      <c r="B2496" s="63">
        <f>'Padrão EPP'!B2496</f>
        <v>10</v>
      </c>
      <c r="C2496" s="63" t="str">
        <f>'Padrão EPP'!C2496</f>
        <v>BA</v>
      </c>
      <c r="D2496" s="63" t="str">
        <f>'Padrão EPP'!D2496</f>
        <v>INTERIOR</v>
      </c>
      <c r="E2496" s="63">
        <f>'Padrão EPP'!E2496/2</f>
        <v>42.371723615697356</v>
      </c>
      <c r="F2496" s="67">
        <v>3.0000000000000001E-3</v>
      </c>
      <c r="G2496" s="67">
        <v>2E-3</v>
      </c>
      <c r="H2496" s="63"/>
    </row>
    <row r="2497" spans="1:8" x14ac:dyDescent="0.25">
      <c r="A2497" s="63"/>
      <c r="B2497" s="63">
        <f>'Padrão EPP'!B2497</f>
        <v>11</v>
      </c>
      <c r="C2497" s="63" t="str">
        <f>'Padrão EPP'!C2497</f>
        <v>BA</v>
      </c>
      <c r="D2497" s="63" t="str">
        <f>'Padrão EPP'!D2497</f>
        <v>INTERIOR</v>
      </c>
      <c r="E2497" s="63">
        <f>'Padrão EPP'!E2497/2</f>
        <v>0</v>
      </c>
      <c r="F2497" s="67">
        <v>3.0000000000000001E-3</v>
      </c>
      <c r="G2497" s="67">
        <v>2E-3</v>
      </c>
      <c r="H2497" s="63"/>
    </row>
    <row r="2498" spans="1:8" x14ac:dyDescent="0.25">
      <c r="A2498" s="63"/>
      <c r="B2498" s="63">
        <f>'Padrão EPP'!B2498</f>
        <v>12</v>
      </c>
      <c r="C2498" s="63" t="str">
        <f>'Padrão EPP'!C2498</f>
        <v>BA</v>
      </c>
      <c r="D2498" s="63" t="str">
        <f>'Padrão EPP'!D2498</f>
        <v>INTERIOR</v>
      </c>
      <c r="E2498" s="63">
        <f>'Padrão EPP'!E2498/2</f>
        <v>0</v>
      </c>
      <c r="F2498" s="67">
        <v>3.0000000000000001E-3</v>
      </c>
      <c r="G2498" s="67">
        <v>2E-3</v>
      </c>
      <c r="H2498" s="63"/>
    </row>
    <row r="2499" spans="1:8" x14ac:dyDescent="0.25">
      <c r="A2499" s="63"/>
      <c r="B2499" s="63">
        <f>'Padrão EPP'!B2499</f>
        <v>13</v>
      </c>
      <c r="C2499" s="63" t="str">
        <f>'Padrão EPP'!C2499</f>
        <v>BA</v>
      </c>
      <c r="D2499" s="63" t="str">
        <f>'Padrão EPP'!D2499</f>
        <v>INTERIOR</v>
      </c>
      <c r="E2499" s="63">
        <f>'Padrão EPP'!E2499/2</f>
        <v>0</v>
      </c>
      <c r="F2499" s="67">
        <v>3.0000000000000001E-3</v>
      </c>
      <c r="G2499" s="67">
        <v>2E-3</v>
      </c>
      <c r="H2499" s="63"/>
    </row>
    <row r="2500" spans="1:8" x14ac:dyDescent="0.25">
      <c r="A2500" s="63"/>
      <c r="B2500" s="63">
        <f>'Padrão EPP'!B2500</f>
        <v>14</v>
      </c>
      <c r="C2500" s="63" t="str">
        <f>'Padrão EPP'!C2500</f>
        <v>BA</v>
      </c>
      <c r="D2500" s="63" t="str">
        <f>'Padrão EPP'!D2500</f>
        <v>INTERIOR</v>
      </c>
      <c r="E2500" s="63">
        <f>'Padrão EPP'!E2500/2</f>
        <v>0</v>
      </c>
      <c r="F2500" s="67">
        <v>3.0000000000000001E-3</v>
      </c>
      <c r="G2500" s="67">
        <v>2E-3</v>
      </c>
      <c r="H2500" s="63"/>
    </row>
    <row r="2501" spans="1:8" x14ac:dyDescent="0.25">
      <c r="A2501" s="63"/>
      <c r="B2501" s="63">
        <f>'Padrão EPP'!B2501</f>
        <v>15</v>
      </c>
      <c r="C2501" s="63" t="str">
        <f>'Padrão EPP'!C2501</f>
        <v>BA</v>
      </c>
      <c r="D2501" s="63" t="str">
        <f>'Padrão EPP'!D2501</f>
        <v>INTERIOR</v>
      </c>
      <c r="E2501" s="63">
        <f>'Padrão EPP'!E2501/2</f>
        <v>0</v>
      </c>
      <c r="F2501" s="67">
        <v>3.0000000000000001E-3</v>
      </c>
      <c r="G2501" s="67">
        <v>2E-3</v>
      </c>
      <c r="H2501" s="63"/>
    </row>
    <row r="2502" spans="1:8" x14ac:dyDescent="0.25">
      <c r="A2502" s="63"/>
      <c r="B2502" s="63">
        <f>'Padrão EPP'!B2502</f>
        <v>16</v>
      </c>
      <c r="C2502" s="63" t="str">
        <f>'Padrão EPP'!C2502</f>
        <v>BA</v>
      </c>
      <c r="D2502" s="63" t="str">
        <f>'Padrão EPP'!D2502</f>
        <v>INTERIOR</v>
      </c>
      <c r="E2502" s="63">
        <f>'Padrão EPP'!E2502/2</f>
        <v>0</v>
      </c>
      <c r="F2502" s="67">
        <v>3.0000000000000001E-3</v>
      </c>
      <c r="G2502" s="67">
        <v>2E-3</v>
      </c>
      <c r="H2502" s="63"/>
    </row>
    <row r="2503" spans="1:8" x14ac:dyDescent="0.25">
      <c r="A2503" s="63"/>
      <c r="B2503" s="63">
        <f>'Padrão EPP'!B2503</f>
        <v>17</v>
      </c>
      <c r="C2503" s="63" t="str">
        <f>'Padrão EPP'!C2503</f>
        <v>BA</v>
      </c>
      <c r="D2503" s="63" t="str">
        <f>'Padrão EPP'!D2503</f>
        <v>INTERIOR</v>
      </c>
      <c r="E2503" s="63">
        <f>'Padrão EPP'!E2503/2</f>
        <v>0</v>
      </c>
      <c r="F2503" s="67">
        <v>3.0000000000000001E-3</v>
      </c>
      <c r="G2503" s="67">
        <v>2E-3</v>
      </c>
      <c r="H2503" s="63"/>
    </row>
    <row r="2504" spans="1:8" x14ac:dyDescent="0.25">
      <c r="A2504" s="63"/>
      <c r="B2504" s="63">
        <f>'Padrão EPP'!B2504</f>
        <v>18</v>
      </c>
      <c r="C2504" s="63" t="str">
        <f>'Padrão EPP'!C2504</f>
        <v>BA</v>
      </c>
      <c r="D2504" s="63" t="str">
        <f>'Padrão EPP'!D2504</f>
        <v>INTERIOR</v>
      </c>
      <c r="E2504" s="63">
        <f>'Padrão EPP'!E2504/2</f>
        <v>0</v>
      </c>
      <c r="F2504" s="67">
        <v>3.0000000000000001E-3</v>
      </c>
      <c r="G2504" s="67">
        <v>2E-3</v>
      </c>
      <c r="H2504" s="63"/>
    </row>
    <row r="2505" spans="1:8" x14ac:dyDescent="0.25">
      <c r="A2505" s="63"/>
      <c r="B2505" s="63">
        <f>'Padrão EPP'!B2505</f>
        <v>19</v>
      </c>
      <c r="C2505" s="63" t="str">
        <f>'Padrão EPP'!C2505</f>
        <v>BA</v>
      </c>
      <c r="D2505" s="63" t="str">
        <f>'Padrão EPP'!D2505</f>
        <v>INTERIOR</v>
      </c>
      <c r="E2505" s="63">
        <f>'Padrão EPP'!E2505/2</f>
        <v>0</v>
      </c>
      <c r="F2505" s="67">
        <v>3.0000000000000001E-3</v>
      </c>
      <c r="G2505" s="67">
        <v>2E-3</v>
      </c>
      <c r="H2505" s="63"/>
    </row>
    <row r="2506" spans="1:8" x14ac:dyDescent="0.25">
      <c r="A2506" s="63"/>
      <c r="B2506" s="63">
        <f>'Padrão EPP'!B2506</f>
        <v>20</v>
      </c>
      <c r="C2506" s="63" t="str">
        <f>'Padrão EPP'!C2506</f>
        <v>BA</v>
      </c>
      <c r="D2506" s="63" t="str">
        <f>'Padrão EPP'!D2506</f>
        <v>INTERIOR</v>
      </c>
      <c r="E2506" s="63">
        <f>'Padrão EPP'!E2506/2</f>
        <v>0</v>
      </c>
      <c r="F2506" s="67">
        <v>3.0000000000000001E-3</v>
      </c>
      <c r="G2506" s="67">
        <v>2E-3</v>
      </c>
      <c r="H2506" s="63"/>
    </row>
    <row r="2507" spans="1:8" x14ac:dyDescent="0.25">
      <c r="A2507" s="63"/>
      <c r="B2507" s="63">
        <f>'Padrão EPP'!B2507</f>
        <v>21</v>
      </c>
      <c r="C2507" s="63" t="str">
        <f>'Padrão EPP'!C2507</f>
        <v>BA</v>
      </c>
      <c r="D2507" s="63" t="str">
        <f>'Padrão EPP'!D2507</f>
        <v>INTERIOR</v>
      </c>
      <c r="E2507" s="63">
        <f>'Padrão EPP'!E2507/2</f>
        <v>0</v>
      </c>
      <c r="F2507" s="67">
        <v>3.0000000000000001E-3</v>
      </c>
      <c r="G2507" s="67">
        <v>2E-3</v>
      </c>
      <c r="H2507" s="63"/>
    </row>
    <row r="2508" spans="1:8" x14ac:dyDescent="0.25">
      <c r="A2508" s="63"/>
      <c r="B2508" s="63">
        <f>'Padrão EPP'!B2508</f>
        <v>22</v>
      </c>
      <c r="C2508" s="63" t="str">
        <f>'Padrão EPP'!C2508</f>
        <v>BA</v>
      </c>
      <c r="D2508" s="63" t="str">
        <f>'Padrão EPP'!D2508</f>
        <v>INTERIOR</v>
      </c>
      <c r="E2508" s="63">
        <f>'Padrão EPP'!E2508/2</f>
        <v>0</v>
      </c>
      <c r="F2508" s="67">
        <v>3.0000000000000001E-3</v>
      </c>
      <c r="G2508" s="67">
        <v>2E-3</v>
      </c>
      <c r="H2508" s="63"/>
    </row>
    <row r="2509" spans="1:8" x14ac:dyDescent="0.25">
      <c r="A2509" s="63"/>
      <c r="B2509" s="63">
        <f>'Padrão EPP'!B2509</f>
        <v>23</v>
      </c>
      <c r="C2509" s="63" t="str">
        <f>'Padrão EPP'!C2509</f>
        <v>BA</v>
      </c>
      <c r="D2509" s="63" t="str">
        <f>'Padrão EPP'!D2509</f>
        <v>INTERIOR</v>
      </c>
      <c r="E2509" s="63">
        <f>'Padrão EPP'!E2509/2</f>
        <v>0</v>
      </c>
      <c r="F2509" s="67">
        <v>3.0000000000000001E-3</v>
      </c>
      <c r="G2509" s="67">
        <v>2E-3</v>
      </c>
      <c r="H2509" s="63"/>
    </row>
    <row r="2510" spans="1:8" x14ac:dyDescent="0.25">
      <c r="A2510" s="63"/>
      <c r="B2510" s="63">
        <f>'Padrão EPP'!B2510</f>
        <v>24</v>
      </c>
      <c r="C2510" s="63" t="str">
        <f>'Padrão EPP'!C2510</f>
        <v>BA</v>
      </c>
      <c r="D2510" s="63" t="str">
        <f>'Padrão EPP'!D2510</f>
        <v>INTERIOR</v>
      </c>
      <c r="E2510" s="63">
        <f>'Padrão EPP'!E2510/2</f>
        <v>0</v>
      </c>
      <c r="F2510" s="67">
        <v>3.0000000000000001E-3</v>
      </c>
      <c r="G2510" s="67">
        <v>2E-3</v>
      </c>
      <c r="H2510" s="63"/>
    </row>
    <row r="2511" spans="1:8" x14ac:dyDescent="0.25">
      <c r="A2511" s="63"/>
      <c r="B2511" s="63">
        <f>'Padrão EPP'!B2511</f>
        <v>25</v>
      </c>
      <c r="C2511" s="63" t="str">
        <f>'Padrão EPP'!C2511</f>
        <v>BA</v>
      </c>
      <c r="D2511" s="63" t="str">
        <f>'Padrão EPP'!D2511</f>
        <v>INTERIOR</v>
      </c>
      <c r="E2511" s="63">
        <f>'Padrão EPP'!E2511/2</f>
        <v>0</v>
      </c>
      <c r="F2511" s="67">
        <v>3.0000000000000001E-3</v>
      </c>
      <c r="G2511" s="67">
        <v>2E-3</v>
      </c>
      <c r="H2511" s="63"/>
    </row>
    <row r="2512" spans="1:8" x14ac:dyDescent="0.25">
      <c r="A2512" s="63"/>
      <c r="B2512" s="63">
        <f>'Padrão EPP'!B2512</f>
        <v>26</v>
      </c>
      <c r="C2512" s="63" t="str">
        <f>'Padrão EPP'!C2512</f>
        <v>BA</v>
      </c>
      <c r="D2512" s="63" t="str">
        <f>'Padrão EPP'!D2512</f>
        <v>INTERIOR</v>
      </c>
      <c r="E2512" s="63">
        <f>'Padrão EPP'!E2512/2</f>
        <v>0</v>
      </c>
      <c r="F2512" s="67">
        <v>3.0000000000000001E-3</v>
      </c>
      <c r="G2512" s="67">
        <v>2E-3</v>
      </c>
      <c r="H2512" s="63"/>
    </row>
    <row r="2513" spans="1:8" x14ac:dyDescent="0.25">
      <c r="A2513" s="63"/>
      <c r="B2513" s="63">
        <f>'Padrão EPP'!B2513</f>
        <v>27</v>
      </c>
      <c r="C2513" s="63" t="str">
        <f>'Padrão EPP'!C2513</f>
        <v>BA</v>
      </c>
      <c r="D2513" s="63" t="str">
        <f>'Padrão EPP'!D2513</f>
        <v>INTERIOR</v>
      </c>
      <c r="E2513" s="63">
        <f>'Padrão EPP'!E2513/2</f>
        <v>0</v>
      </c>
      <c r="F2513" s="67">
        <v>3.0000000000000001E-3</v>
      </c>
      <c r="G2513" s="67">
        <v>2E-3</v>
      </c>
      <c r="H2513" s="63"/>
    </row>
    <row r="2514" spans="1:8" x14ac:dyDescent="0.25">
      <c r="A2514" s="63"/>
      <c r="B2514" s="63">
        <f>'Padrão EPP'!B2514</f>
        <v>28</v>
      </c>
      <c r="C2514" s="63" t="str">
        <f>'Padrão EPP'!C2514</f>
        <v>BA</v>
      </c>
      <c r="D2514" s="63" t="str">
        <f>'Padrão EPP'!D2514</f>
        <v>INTERIOR</v>
      </c>
      <c r="E2514" s="63">
        <f>'Padrão EPP'!E2514/2</f>
        <v>0</v>
      </c>
      <c r="F2514" s="67">
        <v>3.0000000000000001E-3</v>
      </c>
      <c r="G2514" s="67">
        <v>2E-3</v>
      </c>
      <c r="H2514" s="63"/>
    </row>
    <row r="2515" spans="1:8" x14ac:dyDescent="0.25">
      <c r="A2515" s="63"/>
      <c r="B2515" s="63">
        <f>'Padrão EPP'!B2515</f>
        <v>29</v>
      </c>
      <c r="C2515" s="63" t="str">
        <f>'Padrão EPP'!C2515</f>
        <v>BA</v>
      </c>
      <c r="D2515" s="63" t="str">
        <f>'Padrão EPP'!D2515</f>
        <v>INTERIOR</v>
      </c>
      <c r="E2515" s="63">
        <f>'Padrão EPP'!E2515/2</f>
        <v>0</v>
      </c>
      <c r="F2515" s="67">
        <v>3.0000000000000001E-3</v>
      </c>
      <c r="G2515" s="67">
        <v>2E-3</v>
      </c>
      <c r="H2515" s="63"/>
    </row>
    <row r="2516" spans="1:8" x14ac:dyDescent="0.25">
      <c r="A2516" s="63"/>
      <c r="B2516" s="63">
        <f>'Padrão EPP'!B2516</f>
        <v>30</v>
      </c>
      <c r="C2516" s="63" t="str">
        <f>'Padrão EPP'!C2516</f>
        <v>BA</v>
      </c>
      <c r="D2516" s="63" t="str">
        <f>'Padrão EPP'!D2516</f>
        <v>INTERIOR</v>
      </c>
      <c r="E2516" s="63">
        <f>'Padrão EPP'!E2516/2</f>
        <v>0</v>
      </c>
      <c r="F2516" s="67">
        <v>3.0000000000000001E-3</v>
      </c>
      <c r="G2516" s="67">
        <v>2E-3</v>
      </c>
      <c r="H2516" s="63"/>
    </row>
    <row r="2517" spans="1:8" x14ac:dyDescent="0.25">
      <c r="A2517" s="63"/>
      <c r="B2517" s="63">
        <f>'Padrão EPP'!B2517</f>
        <v>0</v>
      </c>
      <c r="C2517" s="63" t="str">
        <f>'Padrão EPP'!C2517</f>
        <v>BA</v>
      </c>
      <c r="D2517" s="63" t="str">
        <f>'Padrão EPP'!D2517</f>
        <v>INTERIOR</v>
      </c>
      <c r="E2517" s="63">
        <f>'Padrão EPP'!E2517/2</f>
        <v>1.5214394455252955</v>
      </c>
      <c r="F2517" s="67">
        <v>3.0000000000000001E-3</v>
      </c>
      <c r="G2517" s="67">
        <v>2E-3</v>
      </c>
      <c r="H2517" s="63"/>
    </row>
    <row r="2518" spans="1:8" x14ac:dyDescent="0.25">
      <c r="A2518" s="63"/>
      <c r="B2518" s="63">
        <f>'Padrão EPP'!B2518</f>
        <v>0.25</v>
      </c>
      <c r="C2518" s="63" t="str">
        <f>'Padrão EPP'!C2518</f>
        <v>BA</v>
      </c>
      <c r="D2518" s="63" t="str">
        <f>'Padrão EPP'!D2518</f>
        <v>INTERIOR II</v>
      </c>
      <c r="E2518" s="63">
        <f>'Padrão EPP'!E2518/2</f>
        <v>11.46695842547472</v>
      </c>
      <c r="F2518" s="67">
        <v>3.0000000000000001E-3</v>
      </c>
      <c r="G2518" s="67">
        <v>2E-3</v>
      </c>
      <c r="H2518" s="63"/>
    </row>
    <row r="2519" spans="1:8" x14ac:dyDescent="0.25">
      <c r="A2519" s="63"/>
      <c r="B2519" s="63">
        <f>'Padrão EPP'!B2519</f>
        <v>0.5</v>
      </c>
      <c r="C2519" s="63" t="str">
        <f>'Padrão EPP'!C2519</f>
        <v>BA</v>
      </c>
      <c r="D2519" s="63" t="str">
        <f>'Padrão EPP'!D2519</f>
        <v>INTERIOR II</v>
      </c>
      <c r="E2519" s="63">
        <f>'Padrão EPP'!E2519/2</f>
        <v>12.586872924273033</v>
      </c>
      <c r="F2519" s="67">
        <v>3.0000000000000001E-3</v>
      </c>
      <c r="G2519" s="67">
        <v>2E-3</v>
      </c>
      <c r="H2519" s="63"/>
    </row>
    <row r="2520" spans="1:8" x14ac:dyDescent="0.25">
      <c r="A2520" s="63"/>
      <c r="B2520" s="63">
        <f>'Padrão EPP'!B2520</f>
        <v>0.75</v>
      </c>
      <c r="C2520" s="63" t="str">
        <f>'Padrão EPP'!C2520</f>
        <v>BA</v>
      </c>
      <c r="D2520" s="63" t="str">
        <f>'Padrão EPP'!D2520</f>
        <v>INTERIOR II</v>
      </c>
      <c r="E2520" s="63">
        <f>'Padrão EPP'!E2520/2</f>
        <v>13.820845269671887</v>
      </c>
      <c r="F2520" s="67">
        <v>3.0000000000000001E-3</v>
      </c>
      <c r="G2520" s="67">
        <v>2E-3</v>
      </c>
      <c r="H2520" s="63"/>
    </row>
    <row r="2521" spans="1:8" x14ac:dyDescent="0.25">
      <c r="A2521" s="63"/>
      <c r="B2521" s="63">
        <f>'Padrão EPP'!B2521</f>
        <v>1</v>
      </c>
      <c r="C2521" s="63" t="str">
        <f>'Padrão EPP'!C2521</f>
        <v>BA</v>
      </c>
      <c r="D2521" s="63" t="str">
        <f>'Padrão EPP'!D2521</f>
        <v>INTERIOR II</v>
      </c>
      <c r="E2521" s="63">
        <f>'Padrão EPP'!E2521/2</f>
        <v>14.865189286964334</v>
      </c>
      <c r="F2521" s="67">
        <v>3.0000000000000001E-3</v>
      </c>
      <c r="G2521" s="67">
        <v>2E-3</v>
      </c>
      <c r="H2521" s="63"/>
    </row>
    <row r="2522" spans="1:8" x14ac:dyDescent="0.25">
      <c r="A2522" s="63"/>
      <c r="B2522" s="63">
        <f>'Padrão EPP'!B2522</f>
        <v>2</v>
      </c>
      <c r="C2522" s="63" t="str">
        <f>'Padrão EPP'!C2522</f>
        <v>BA</v>
      </c>
      <c r="D2522" s="63" t="str">
        <f>'Padrão EPP'!D2522</f>
        <v>INTERIOR II</v>
      </c>
      <c r="E2522" s="63">
        <f>'Padrão EPP'!E2522/2</f>
        <v>18.091795108664861</v>
      </c>
      <c r="F2522" s="67">
        <v>3.0000000000000001E-3</v>
      </c>
      <c r="G2522" s="67">
        <v>2E-3</v>
      </c>
      <c r="H2522" s="63"/>
    </row>
    <row r="2523" spans="1:8" x14ac:dyDescent="0.25">
      <c r="A2523" s="63"/>
      <c r="B2523" s="63">
        <f>'Padrão EPP'!B2523</f>
        <v>3</v>
      </c>
      <c r="C2523" s="63" t="str">
        <f>'Padrão EPP'!C2523</f>
        <v>BA</v>
      </c>
      <c r="D2523" s="63" t="str">
        <f>'Padrão EPP'!D2523</f>
        <v>INTERIOR II</v>
      </c>
      <c r="E2523" s="63">
        <f>'Padrão EPP'!E2523/2</f>
        <v>21.761405279604734</v>
      </c>
      <c r="F2523" s="67">
        <v>3.0000000000000001E-3</v>
      </c>
      <c r="G2523" s="67">
        <v>2E-3</v>
      </c>
      <c r="H2523" s="63"/>
    </row>
    <row r="2524" spans="1:8" x14ac:dyDescent="0.25">
      <c r="A2524" s="63"/>
      <c r="B2524" s="63">
        <f>'Padrão EPP'!B2524</f>
        <v>4</v>
      </c>
      <c r="C2524" s="63" t="str">
        <f>'Padrão EPP'!C2524</f>
        <v>BA</v>
      </c>
      <c r="D2524" s="63" t="str">
        <f>'Padrão EPP'!D2524</f>
        <v>INTERIOR II</v>
      </c>
      <c r="E2524" s="63">
        <f>'Padrão EPP'!E2524/2</f>
        <v>25.48042939176506</v>
      </c>
      <c r="F2524" s="67">
        <v>3.0000000000000001E-3</v>
      </c>
      <c r="G2524" s="67">
        <v>2E-3</v>
      </c>
      <c r="H2524" s="63"/>
    </row>
    <row r="2525" spans="1:8" x14ac:dyDescent="0.25">
      <c r="A2525" s="63"/>
      <c r="B2525" s="63">
        <f>'Padrão EPP'!B2525</f>
        <v>5</v>
      </c>
      <c r="C2525" s="63" t="str">
        <f>'Padrão EPP'!C2525</f>
        <v>BA</v>
      </c>
      <c r="D2525" s="63" t="str">
        <f>'Padrão EPP'!D2525</f>
        <v>INTERIOR II</v>
      </c>
      <c r="E2525" s="63">
        <f>'Padrão EPP'!E2525/2</f>
        <v>29.253808839267869</v>
      </c>
      <c r="F2525" s="67">
        <v>3.0000000000000001E-3</v>
      </c>
      <c r="G2525" s="67">
        <v>2E-3</v>
      </c>
      <c r="H2525" s="63"/>
    </row>
    <row r="2526" spans="1:8" x14ac:dyDescent="0.25">
      <c r="A2526" s="63"/>
      <c r="B2526" s="63">
        <f>'Padrão EPP'!B2526</f>
        <v>6</v>
      </c>
      <c r="C2526" s="63" t="str">
        <f>'Padrão EPP'!C2526</f>
        <v>BA</v>
      </c>
      <c r="D2526" s="63" t="str">
        <f>'Padrão EPP'!D2526</f>
        <v>INTERIOR II</v>
      </c>
      <c r="E2526" s="63">
        <f>'Padrão EPP'!E2526/2</f>
        <v>34.052554821858237</v>
      </c>
      <c r="F2526" s="67">
        <v>3.0000000000000001E-3</v>
      </c>
      <c r="G2526" s="67">
        <v>2E-3</v>
      </c>
      <c r="H2526" s="63"/>
    </row>
    <row r="2527" spans="1:8" x14ac:dyDescent="0.25">
      <c r="A2527" s="63"/>
      <c r="B2527" s="63">
        <f>'Padrão EPP'!B2527</f>
        <v>7</v>
      </c>
      <c r="C2527" s="63" t="str">
        <f>'Padrão EPP'!C2527</f>
        <v>BA</v>
      </c>
      <c r="D2527" s="63" t="str">
        <f>'Padrão EPP'!D2527</f>
        <v>INTERIOR II</v>
      </c>
      <c r="E2527" s="63">
        <f>'Padrão EPP'!E2527/2</f>
        <v>37.566361634651464</v>
      </c>
      <c r="F2527" s="67">
        <v>3.0000000000000001E-3</v>
      </c>
      <c r="G2527" s="67">
        <v>2E-3</v>
      </c>
      <c r="H2527" s="63"/>
    </row>
    <row r="2528" spans="1:8" x14ac:dyDescent="0.25">
      <c r="A2528" s="63"/>
      <c r="B2528" s="63">
        <f>'Padrão EPP'!B2528</f>
        <v>8</v>
      </c>
      <c r="C2528" s="63" t="str">
        <f>'Padrão EPP'!C2528</f>
        <v>BA</v>
      </c>
      <c r="D2528" s="63" t="str">
        <f>'Padrão EPP'!D2528</f>
        <v>INTERIOR II</v>
      </c>
      <c r="E2528" s="63">
        <f>'Padrão EPP'!E2528/2</f>
        <v>41.145311193138959</v>
      </c>
      <c r="F2528" s="67">
        <v>3.0000000000000001E-3</v>
      </c>
      <c r="G2528" s="67">
        <v>2E-3</v>
      </c>
      <c r="H2528" s="63"/>
    </row>
    <row r="2529" spans="1:8" x14ac:dyDescent="0.25">
      <c r="A2529" s="63"/>
      <c r="B2529" s="63">
        <f>'Padrão EPP'!B2529</f>
        <v>9</v>
      </c>
      <c r="C2529" s="63" t="str">
        <f>'Padrão EPP'!C2529</f>
        <v>BA</v>
      </c>
      <c r="D2529" s="63" t="str">
        <f>'Padrão EPP'!D2529</f>
        <v>INTERIOR II</v>
      </c>
      <c r="E2529" s="63">
        <f>'Padrão EPP'!E2529/2</f>
        <v>45.219715727560825</v>
      </c>
      <c r="F2529" s="67">
        <v>3.0000000000000001E-3</v>
      </c>
      <c r="G2529" s="67">
        <v>2E-3</v>
      </c>
      <c r="H2529" s="63"/>
    </row>
    <row r="2530" spans="1:8" x14ac:dyDescent="0.25">
      <c r="A2530" s="63"/>
      <c r="B2530" s="63">
        <f>'Padrão EPP'!B2530</f>
        <v>10</v>
      </c>
      <c r="C2530" s="63" t="str">
        <f>'Padrão EPP'!C2530</f>
        <v>BA</v>
      </c>
      <c r="D2530" s="63" t="str">
        <f>'Padrão EPP'!D2530</f>
        <v>INTERIOR II</v>
      </c>
      <c r="E2530" s="63">
        <f>'Padrão EPP'!E2530/2</f>
        <v>49.190024166846307</v>
      </c>
      <c r="F2530" s="67">
        <v>3.0000000000000001E-3</v>
      </c>
      <c r="G2530" s="67">
        <v>2E-3</v>
      </c>
      <c r="H2530" s="63"/>
    </row>
    <row r="2531" spans="1:8" x14ac:dyDescent="0.25">
      <c r="A2531" s="63"/>
      <c r="B2531" s="63">
        <f>'Padrão EPP'!B2531</f>
        <v>11</v>
      </c>
      <c r="C2531" s="63" t="str">
        <f>'Padrão EPP'!C2531</f>
        <v>BA</v>
      </c>
      <c r="D2531" s="63" t="str">
        <f>'Padrão EPP'!D2531</f>
        <v>INTERIOR II</v>
      </c>
      <c r="E2531" s="63">
        <f>'Padrão EPP'!E2531/2</f>
        <v>0</v>
      </c>
      <c r="F2531" s="67">
        <v>3.0000000000000001E-3</v>
      </c>
      <c r="G2531" s="67">
        <v>2E-3</v>
      </c>
      <c r="H2531" s="63"/>
    </row>
    <row r="2532" spans="1:8" x14ac:dyDescent="0.25">
      <c r="A2532" s="63"/>
      <c r="B2532" s="63">
        <f>'Padrão EPP'!B2532</f>
        <v>12</v>
      </c>
      <c r="C2532" s="63" t="str">
        <f>'Padrão EPP'!C2532</f>
        <v>BA</v>
      </c>
      <c r="D2532" s="63" t="str">
        <f>'Padrão EPP'!D2532</f>
        <v>INTERIOR II</v>
      </c>
      <c r="E2532" s="63">
        <f>'Padrão EPP'!E2532/2</f>
        <v>0</v>
      </c>
      <c r="F2532" s="67">
        <v>3.0000000000000001E-3</v>
      </c>
      <c r="G2532" s="67">
        <v>2E-3</v>
      </c>
      <c r="H2532" s="63"/>
    </row>
    <row r="2533" spans="1:8" x14ac:dyDescent="0.25">
      <c r="A2533" s="63"/>
      <c r="B2533" s="63">
        <f>'Padrão EPP'!B2533</f>
        <v>13</v>
      </c>
      <c r="C2533" s="63" t="str">
        <f>'Padrão EPP'!C2533</f>
        <v>BA</v>
      </c>
      <c r="D2533" s="63" t="str">
        <f>'Padrão EPP'!D2533</f>
        <v>INTERIOR II</v>
      </c>
      <c r="E2533" s="63">
        <f>'Padrão EPP'!E2533/2</f>
        <v>0</v>
      </c>
      <c r="F2533" s="67">
        <v>3.0000000000000001E-3</v>
      </c>
      <c r="G2533" s="67">
        <v>2E-3</v>
      </c>
      <c r="H2533" s="63"/>
    </row>
    <row r="2534" spans="1:8" x14ac:dyDescent="0.25">
      <c r="A2534" s="63"/>
      <c r="B2534" s="63">
        <f>'Padrão EPP'!B2534</f>
        <v>14</v>
      </c>
      <c r="C2534" s="63" t="str">
        <f>'Padrão EPP'!C2534</f>
        <v>BA</v>
      </c>
      <c r="D2534" s="63" t="str">
        <f>'Padrão EPP'!D2534</f>
        <v>INTERIOR II</v>
      </c>
      <c r="E2534" s="63">
        <f>'Padrão EPP'!E2534/2</f>
        <v>0</v>
      </c>
      <c r="F2534" s="67">
        <v>3.0000000000000001E-3</v>
      </c>
      <c r="G2534" s="67">
        <v>2E-3</v>
      </c>
      <c r="H2534" s="63"/>
    </row>
    <row r="2535" spans="1:8" x14ac:dyDescent="0.25">
      <c r="A2535" s="63"/>
      <c r="B2535" s="63">
        <f>'Padrão EPP'!B2535</f>
        <v>15</v>
      </c>
      <c r="C2535" s="63" t="str">
        <f>'Padrão EPP'!C2535</f>
        <v>BA</v>
      </c>
      <c r="D2535" s="63" t="str">
        <f>'Padrão EPP'!D2535</f>
        <v>INTERIOR II</v>
      </c>
      <c r="E2535" s="63">
        <f>'Padrão EPP'!E2535/2</f>
        <v>0</v>
      </c>
      <c r="F2535" s="67">
        <v>3.0000000000000001E-3</v>
      </c>
      <c r="G2535" s="67">
        <v>2E-3</v>
      </c>
      <c r="H2535" s="63"/>
    </row>
    <row r="2536" spans="1:8" x14ac:dyDescent="0.25">
      <c r="A2536" s="63"/>
      <c r="B2536" s="63">
        <f>'Padrão EPP'!B2536</f>
        <v>16</v>
      </c>
      <c r="C2536" s="63" t="str">
        <f>'Padrão EPP'!C2536</f>
        <v>BA</v>
      </c>
      <c r="D2536" s="63" t="str">
        <f>'Padrão EPP'!D2536</f>
        <v>INTERIOR II</v>
      </c>
      <c r="E2536" s="63">
        <f>'Padrão EPP'!E2536/2</f>
        <v>0</v>
      </c>
      <c r="F2536" s="67">
        <v>3.0000000000000001E-3</v>
      </c>
      <c r="G2536" s="67">
        <v>2E-3</v>
      </c>
      <c r="H2536" s="63"/>
    </row>
    <row r="2537" spans="1:8" x14ac:dyDescent="0.25">
      <c r="A2537" s="63"/>
      <c r="B2537" s="63">
        <f>'Padrão EPP'!B2537</f>
        <v>17</v>
      </c>
      <c r="C2537" s="63" t="str">
        <f>'Padrão EPP'!C2537</f>
        <v>BA</v>
      </c>
      <c r="D2537" s="63" t="str">
        <f>'Padrão EPP'!D2537</f>
        <v>INTERIOR II</v>
      </c>
      <c r="E2537" s="63">
        <f>'Padrão EPP'!E2537/2</f>
        <v>0</v>
      </c>
      <c r="F2537" s="67">
        <v>3.0000000000000001E-3</v>
      </c>
      <c r="G2537" s="67">
        <v>2E-3</v>
      </c>
      <c r="H2537" s="63"/>
    </row>
    <row r="2538" spans="1:8" x14ac:dyDescent="0.25">
      <c r="A2538" s="63"/>
      <c r="B2538" s="63">
        <f>'Padrão EPP'!B2538</f>
        <v>18</v>
      </c>
      <c r="C2538" s="63" t="str">
        <f>'Padrão EPP'!C2538</f>
        <v>BA</v>
      </c>
      <c r="D2538" s="63" t="str">
        <f>'Padrão EPP'!D2538</f>
        <v>INTERIOR II</v>
      </c>
      <c r="E2538" s="63">
        <f>'Padrão EPP'!E2538/2</f>
        <v>0</v>
      </c>
      <c r="F2538" s="67">
        <v>3.0000000000000001E-3</v>
      </c>
      <c r="G2538" s="67">
        <v>2E-3</v>
      </c>
      <c r="H2538" s="63"/>
    </row>
    <row r="2539" spans="1:8" x14ac:dyDescent="0.25">
      <c r="A2539" s="63"/>
      <c r="B2539" s="63">
        <f>'Padrão EPP'!B2539</f>
        <v>19</v>
      </c>
      <c r="C2539" s="63" t="str">
        <f>'Padrão EPP'!C2539</f>
        <v>BA</v>
      </c>
      <c r="D2539" s="63" t="str">
        <f>'Padrão EPP'!D2539</f>
        <v>INTERIOR II</v>
      </c>
      <c r="E2539" s="63">
        <f>'Padrão EPP'!E2539/2</f>
        <v>0</v>
      </c>
      <c r="F2539" s="67">
        <v>3.0000000000000001E-3</v>
      </c>
      <c r="G2539" s="67">
        <v>2E-3</v>
      </c>
      <c r="H2539" s="63"/>
    </row>
    <row r="2540" spans="1:8" x14ac:dyDescent="0.25">
      <c r="A2540" s="63"/>
      <c r="B2540" s="63">
        <f>'Padrão EPP'!B2540</f>
        <v>20</v>
      </c>
      <c r="C2540" s="63" t="str">
        <f>'Padrão EPP'!C2540</f>
        <v>BA</v>
      </c>
      <c r="D2540" s="63" t="str">
        <f>'Padrão EPP'!D2540</f>
        <v>INTERIOR II</v>
      </c>
      <c r="E2540" s="63">
        <f>'Padrão EPP'!E2540/2</f>
        <v>0</v>
      </c>
      <c r="F2540" s="67">
        <v>3.0000000000000001E-3</v>
      </c>
      <c r="G2540" s="67">
        <v>2E-3</v>
      </c>
      <c r="H2540" s="63"/>
    </row>
    <row r="2541" spans="1:8" x14ac:dyDescent="0.25">
      <c r="A2541" s="63"/>
      <c r="B2541" s="63">
        <f>'Padrão EPP'!B2541</f>
        <v>21</v>
      </c>
      <c r="C2541" s="63" t="str">
        <f>'Padrão EPP'!C2541</f>
        <v>BA</v>
      </c>
      <c r="D2541" s="63" t="str">
        <f>'Padrão EPP'!D2541</f>
        <v>INTERIOR II</v>
      </c>
      <c r="E2541" s="63">
        <f>'Padrão EPP'!E2541/2</f>
        <v>0</v>
      </c>
      <c r="F2541" s="67">
        <v>3.0000000000000001E-3</v>
      </c>
      <c r="G2541" s="67">
        <v>2E-3</v>
      </c>
      <c r="H2541" s="63"/>
    </row>
    <row r="2542" spans="1:8" x14ac:dyDescent="0.25">
      <c r="A2542" s="63"/>
      <c r="B2542" s="63">
        <f>'Padrão EPP'!B2542</f>
        <v>22</v>
      </c>
      <c r="C2542" s="63" t="str">
        <f>'Padrão EPP'!C2542</f>
        <v>BA</v>
      </c>
      <c r="D2542" s="63" t="str">
        <f>'Padrão EPP'!D2542</f>
        <v>INTERIOR II</v>
      </c>
      <c r="E2542" s="63">
        <f>'Padrão EPP'!E2542/2</f>
        <v>0</v>
      </c>
      <c r="F2542" s="67">
        <v>3.0000000000000001E-3</v>
      </c>
      <c r="G2542" s="67">
        <v>2E-3</v>
      </c>
      <c r="H2542" s="63"/>
    </row>
    <row r="2543" spans="1:8" x14ac:dyDescent="0.25">
      <c r="A2543" s="63"/>
      <c r="B2543" s="63">
        <f>'Padrão EPP'!B2543</f>
        <v>23</v>
      </c>
      <c r="C2543" s="63" t="str">
        <f>'Padrão EPP'!C2543</f>
        <v>BA</v>
      </c>
      <c r="D2543" s="63" t="str">
        <f>'Padrão EPP'!D2543</f>
        <v>INTERIOR II</v>
      </c>
      <c r="E2543" s="63">
        <f>'Padrão EPP'!E2543/2</f>
        <v>0</v>
      </c>
      <c r="F2543" s="67">
        <v>3.0000000000000001E-3</v>
      </c>
      <c r="G2543" s="67">
        <v>2E-3</v>
      </c>
      <c r="H2543" s="63"/>
    </row>
    <row r="2544" spans="1:8" x14ac:dyDescent="0.25">
      <c r="A2544" s="63"/>
      <c r="B2544" s="63">
        <f>'Padrão EPP'!B2544</f>
        <v>24</v>
      </c>
      <c r="C2544" s="63" t="str">
        <f>'Padrão EPP'!C2544</f>
        <v>BA</v>
      </c>
      <c r="D2544" s="63" t="str">
        <f>'Padrão EPP'!D2544</f>
        <v>INTERIOR II</v>
      </c>
      <c r="E2544" s="63">
        <f>'Padrão EPP'!E2544/2</f>
        <v>0</v>
      </c>
      <c r="F2544" s="67">
        <v>3.0000000000000001E-3</v>
      </c>
      <c r="G2544" s="67">
        <v>2E-3</v>
      </c>
      <c r="H2544" s="63"/>
    </row>
    <row r="2545" spans="1:8" x14ac:dyDescent="0.25">
      <c r="A2545" s="63"/>
      <c r="B2545" s="63">
        <f>'Padrão EPP'!B2545</f>
        <v>25</v>
      </c>
      <c r="C2545" s="63" t="str">
        <f>'Padrão EPP'!C2545</f>
        <v>BA</v>
      </c>
      <c r="D2545" s="63" t="str">
        <f>'Padrão EPP'!D2545</f>
        <v>INTERIOR II</v>
      </c>
      <c r="E2545" s="63">
        <f>'Padrão EPP'!E2545/2</f>
        <v>0</v>
      </c>
      <c r="F2545" s="67">
        <v>3.0000000000000001E-3</v>
      </c>
      <c r="G2545" s="67">
        <v>2E-3</v>
      </c>
      <c r="H2545" s="63"/>
    </row>
    <row r="2546" spans="1:8" x14ac:dyDescent="0.25">
      <c r="A2546" s="63"/>
      <c r="B2546" s="63">
        <f>'Padrão EPP'!B2546</f>
        <v>26</v>
      </c>
      <c r="C2546" s="63" t="str">
        <f>'Padrão EPP'!C2546</f>
        <v>BA</v>
      </c>
      <c r="D2546" s="63" t="str">
        <f>'Padrão EPP'!D2546</f>
        <v>INTERIOR II</v>
      </c>
      <c r="E2546" s="63">
        <f>'Padrão EPP'!E2546/2</f>
        <v>0</v>
      </c>
      <c r="F2546" s="67">
        <v>3.0000000000000001E-3</v>
      </c>
      <c r="G2546" s="67">
        <v>2E-3</v>
      </c>
      <c r="H2546" s="63"/>
    </row>
    <row r="2547" spans="1:8" x14ac:dyDescent="0.25">
      <c r="A2547" s="63"/>
      <c r="B2547" s="63">
        <f>'Padrão EPP'!B2547</f>
        <v>27</v>
      </c>
      <c r="C2547" s="63" t="str">
        <f>'Padrão EPP'!C2547</f>
        <v>BA</v>
      </c>
      <c r="D2547" s="63" t="str">
        <f>'Padrão EPP'!D2547</f>
        <v>INTERIOR II</v>
      </c>
      <c r="E2547" s="63">
        <f>'Padrão EPP'!E2547/2</f>
        <v>0</v>
      </c>
      <c r="F2547" s="67">
        <v>3.0000000000000001E-3</v>
      </c>
      <c r="G2547" s="67">
        <v>2E-3</v>
      </c>
      <c r="H2547" s="63"/>
    </row>
    <row r="2548" spans="1:8" x14ac:dyDescent="0.25">
      <c r="A2548" s="63"/>
      <c r="B2548" s="63">
        <f>'Padrão EPP'!B2548</f>
        <v>28</v>
      </c>
      <c r="C2548" s="63" t="str">
        <f>'Padrão EPP'!C2548</f>
        <v>BA</v>
      </c>
      <c r="D2548" s="63" t="str">
        <f>'Padrão EPP'!D2548</f>
        <v>INTERIOR II</v>
      </c>
      <c r="E2548" s="63">
        <f>'Padrão EPP'!E2548/2</f>
        <v>0</v>
      </c>
      <c r="F2548" s="67">
        <v>3.0000000000000001E-3</v>
      </c>
      <c r="G2548" s="67">
        <v>2E-3</v>
      </c>
      <c r="H2548" s="63"/>
    </row>
    <row r="2549" spans="1:8" x14ac:dyDescent="0.25">
      <c r="A2549" s="63"/>
      <c r="B2549" s="63">
        <f>'Padrão EPP'!B2549</f>
        <v>29</v>
      </c>
      <c r="C2549" s="63" t="str">
        <f>'Padrão EPP'!C2549</f>
        <v>BA</v>
      </c>
      <c r="D2549" s="63" t="str">
        <f>'Padrão EPP'!D2549</f>
        <v>INTERIOR II</v>
      </c>
      <c r="E2549" s="63">
        <f>'Padrão EPP'!E2549/2</f>
        <v>0</v>
      </c>
      <c r="F2549" s="67">
        <v>3.0000000000000001E-3</v>
      </c>
      <c r="G2549" s="67">
        <v>2E-3</v>
      </c>
      <c r="H2549" s="63"/>
    </row>
    <row r="2550" spans="1:8" x14ac:dyDescent="0.25">
      <c r="A2550" s="63"/>
      <c r="B2550" s="63">
        <f>'Padrão EPP'!B2550</f>
        <v>30</v>
      </c>
      <c r="C2550" s="63" t="str">
        <f>'Padrão EPP'!C2550</f>
        <v>BA</v>
      </c>
      <c r="D2550" s="63" t="str">
        <f>'Padrão EPP'!D2550</f>
        <v>INTERIOR II</v>
      </c>
      <c r="E2550" s="63">
        <f>'Padrão EPP'!E2550/2</f>
        <v>0</v>
      </c>
      <c r="F2550" s="67">
        <v>3.0000000000000001E-3</v>
      </c>
      <c r="G2550" s="67">
        <v>2E-3</v>
      </c>
      <c r="H2550" s="63"/>
    </row>
    <row r="2551" spans="1:8" x14ac:dyDescent="0.25">
      <c r="A2551" s="63"/>
      <c r="B2551" s="63">
        <f>'Padrão EPP'!B2551</f>
        <v>0</v>
      </c>
      <c r="C2551" s="63" t="str">
        <f>'Padrão EPP'!C2551</f>
        <v>BA</v>
      </c>
      <c r="D2551" s="63" t="str">
        <f>'Padrão EPP'!D2551</f>
        <v>INTERIOR II</v>
      </c>
      <c r="E2551" s="63">
        <f>'Padrão EPP'!E2551/2</f>
        <v>1.5214394455252955</v>
      </c>
      <c r="F2551" s="67">
        <v>3.0000000000000001E-3</v>
      </c>
      <c r="G2551" s="67">
        <v>2E-3</v>
      </c>
      <c r="H2551" s="63"/>
    </row>
    <row r="2552" spans="1:8" x14ac:dyDescent="0.25">
      <c r="A2552" s="63"/>
      <c r="B2552" s="63">
        <f>'Padrão EPP'!B2552</f>
        <v>0.25</v>
      </c>
      <c r="C2552" s="63" t="str">
        <f>'Padrão EPP'!C2552</f>
        <v>BA</v>
      </c>
      <c r="D2552" s="63" t="str">
        <f>'Padrão EPP'!D2552</f>
        <v>REDESPACHO</v>
      </c>
      <c r="E2552" s="63">
        <f>'Padrão EPP'!E2552/2</f>
        <v>14.683442224191033</v>
      </c>
      <c r="F2552" s="67">
        <v>3.0000000000000001E-3</v>
      </c>
      <c r="G2552" s="67">
        <v>2E-3</v>
      </c>
      <c r="H2552" s="63"/>
    </row>
    <row r="2553" spans="1:8" x14ac:dyDescent="0.25">
      <c r="A2553" s="63"/>
      <c r="B2553" s="63">
        <f>'Padrão EPP'!B2553</f>
        <v>0.5</v>
      </c>
      <c r="C2553" s="63" t="str">
        <f>'Padrão EPP'!C2553</f>
        <v>BA</v>
      </c>
      <c r="D2553" s="63" t="str">
        <f>'Padrão EPP'!D2553</f>
        <v>REDESPACHO</v>
      </c>
      <c r="E2553" s="63">
        <f>'Padrão EPP'!E2553/2</f>
        <v>16.153900848905902</v>
      </c>
      <c r="F2553" s="67">
        <v>3.0000000000000001E-3</v>
      </c>
      <c r="G2553" s="67">
        <v>2E-3</v>
      </c>
      <c r="H2553" s="63"/>
    </row>
    <row r="2554" spans="1:8" x14ac:dyDescent="0.25">
      <c r="A2554" s="63"/>
      <c r="B2554" s="63">
        <f>'Padrão EPP'!B2554</f>
        <v>0.75</v>
      </c>
      <c r="C2554" s="63" t="str">
        <f>'Padrão EPP'!C2554</f>
        <v>BA</v>
      </c>
      <c r="D2554" s="63" t="str">
        <f>'Padrão EPP'!D2554</f>
        <v>REDESPACHO</v>
      </c>
      <c r="E2554" s="63">
        <f>'Padrão EPP'!E2554/2</f>
        <v>17.772152850689675</v>
      </c>
      <c r="F2554" s="67">
        <v>3.0000000000000001E-3</v>
      </c>
      <c r="G2554" s="67">
        <v>2E-3</v>
      </c>
      <c r="H2554" s="63"/>
    </row>
    <row r="2555" spans="1:8" x14ac:dyDescent="0.25">
      <c r="A2555" s="63"/>
      <c r="B2555" s="63">
        <f>'Padrão EPP'!B2555</f>
        <v>1</v>
      </c>
      <c r="C2555" s="63" t="str">
        <f>'Padrão EPP'!C2555</f>
        <v>BA</v>
      </c>
      <c r="D2555" s="63" t="str">
        <f>'Padrão EPP'!D2555</f>
        <v>REDESPACHO</v>
      </c>
      <c r="E2555" s="63">
        <f>'Padrão EPP'!E2555/2</f>
        <v>18.870909885259302</v>
      </c>
      <c r="F2555" s="67">
        <v>3.0000000000000001E-3</v>
      </c>
      <c r="G2555" s="67">
        <v>2E-3</v>
      </c>
      <c r="H2555" s="63"/>
    </row>
    <row r="2556" spans="1:8" x14ac:dyDescent="0.25">
      <c r="A2556" s="63"/>
      <c r="B2556" s="63">
        <f>'Padrão EPP'!B2556</f>
        <v>2</v>
      </c>
      <c r="C2556" s="63" t="str">
        <f>'Padrão EPP'!C2556</f>
        <v>BA</v>
      </c>
      <c r="D2556" s="63" t="str">
        <f>'Padrão EPP'!D2556</f>
        <v>REDESPACHO</v>
      </c>
      <c r="E2556" s="63">
        <f>'Padrão EPP'!E2556/2</f>
        <v>22.61912284370846</v>
      </c>
      <c r="F2556" s="67">
        <v>3.0000000000000001E-3</v>
      </c>
      <c r="G2556" s="67">
        <v>2E-3</v>
      </c>
      <c r="H2556" s="63"/>
    </row>
    <row r="2557" spans="1:8" x14ac:dyDescent="0.25">
      <c r="A2557" s="63"/>
      <c r="B2557" s="63">
        <f>'Padrão EPP'!B2557</f>
        <v>3</v>
      </c>
      <c r="C2557" s="63" t="str">
        <f>'Padrão EPP'!C2557</f>
        <v>BA</v>
      </c>
      <c r="D2557" s="63" t="str">
        <f>'Padrão EPP'!D2557</f>
        <v>REDESPACHO</v>
      </c>
      <c r="E2557" s="63">
        <f>'Padrão EPP'!E2557/2</f>
        <v>29.045028207396257</v>
      </c>
      <c r="F2557" s="67">
        <v>3.0000000000000001E-3</v>
      </c>
      <c r="G2557" s="67">
        <v>2E-3</v>
      </c>
      <c r="H2557" s="63"/>
    </row>
    <row r="2558" spans="1:8" x14ac:dyDescent="0.25">
      <c r="A2558" s="63"/>
      <c r="B2558" s="63">
        <f>'Padrão EPP'!B2558</f>
        <v>4</v>
      </c>
      <c r="C2558" s="63" t="str">
        <f>'Padrão EPP'!C2558</f>
        <v>BA</v>
      </c>
      <c r="D2558" s="63" t="str">
        <f>'Padrão EPP'!D2558</f>
        <v>REDESPACHO</v>
      </c>
      <c r="E2558" s="63">
        <f>'Padrão EPP'!E2558/2</f>
        <v>33.663846121691272</v>
      </c>
      <c r="F2558" s="67">
        <v>3.0000000000000001E-3</v>
      </c>
      <c r="G2558" s="67">
        <v>2E-3</v>
      </c>
      <c r="H2558" s="63"/>
    </row>
    <row r="2559" spans="1:8" x14ac:dyDescent="0.25">
      <c r="A2559" s="63"/>
      <c r="B2559" s="63">
        <f>'Padrão EPP'!B2559</f>
        <v>5</v>
      </c>
      <c r="C2559" s="63" t="str">
        <f>'Padrão EPP'!C2559</f>
        <v>BA</v>
      </c>
      <c r="D2559" s="63" t="str">
        <f>'Padrão EPP'!D2559</f>
        <v>REDESPACHO</v>
      </c>
      <c r="E2559" s="63">
        <f>'Padrão EPP'!E2559/2</f>
        <v>38.39171574311186</v>
      </c>
      <c r="F2559" s="67">
        <v>3.0000000000000001E-3</v>
      </c>
      <c r="G2559" s="67">
        <v>2E-3</v>
      </c>
      <c r="H2559" s="63"/>
    </row>
    <row r="2560" spans="1:8" x14ac:dyDescent="0.25">
      <c r="A2560" s="63"/>
      <c r="B2560" s="63">
        <f>'Padrão EPP'!B2560</f>
        <v>6</v>
      </c>
      <c r="C2560" s="63" t="str">
        <f>'Padrão EPP'!C2560</f>
        <v>BA</v>
      </c>
      <c r="D2560" s="63" t="str">
        <f>'Padrão EPP'!D2560</f>
        <v>REDESPACHO</v>
      </c>
      <c r="E2560" s="63">
        <f>'Padrão EPP'!E2560/2</f>
        <v>43.239542242370568</v>
      </c>
      <c r="F2560" s="67">
        <v>3.0000000000000001E-3</v>
      </c>
      <c r="G2560" s="67">
        <v>2E-3</v>
      </c>
      <c r="H2560" s="63"/>
    </row>
    <row r="2561" spans="1:8" x14ac:dyDescent="0.25">
      <c r="A2561" s="63"/>
      <c r="B2561" s="63">
        <f>'Padrão EPP'!B2561</f>
        <v>7</v>
      </c>
      <c r="C2561" s="63" t="str">
        <f>'Padrão EPP'!C2561</f>
        <v>BA</v>
      </c>
      <c r="D2561" s="63" t="str">
        <f>'Padrão EPP'!D2561</f>
        <v>REDESPACHO</v>
      </c>
      <c r="E2561" s="63">
        <f>'Padrão EPP'!E2561/2</f>
        <v>48.219321307251185</v>
      </c>
      <c r="F2561" s="67">
        <v>3.0000000000000001E-3</v>
      </c>
      <c r="G2561" s="67">
        <v>2E-3</v>
      </c>
      <c r="H2561" s="63"/>
    </row>
    <row r="2562" spans="1:8" x14ac:dyDescent="0.25">
      <c r="A2562" s="63"/>
      <c r="B2562" s="63">
        <f>'Padrão EPP'!B2562</f>
        <v>8</v>
      </c>
      <c r="C2562" s="63" t="str">
        <f>'Padrão EPP'!C2562</f>
        <v>BA</v>
      </c>
      <c r="D2562" s="63" t="str">
        <f>'Padrão EPP'!D2562</f>
        <v>REDESPACHO</v>
      </c>
      <c r="E2562" s="63">
        <f>'Padrão EPP'!E2562/2</f>
        <v>53.344248194315966</v>
      </c>
      <c r="F2562" s="67">
        <v>3.0000000000000001E-3</v>
      </c>
      <c r="G2562" s="67">
        <v>2E-3</v>
      </c>
      <c r="H2562" s="63"/>
    </row>
    <row r="2563" spans="1:8" x14ac:dyDescent="0.25">
      <c r="A2563" s="63"/>
      <c r="B2563" s="63">
        <f>'Padrão EPP'!B2563</f>
        <v>9</v>
      </c>
      <c r="C2563" s="63" t="str">
        <f>'Padrão EPP'!C2563</f>
        <v>BA</v>
      </c>
      <c r="D2563" s="63" t="str">
        <f>'Padrão EPP'!D2563</f>
        <v>REDESPACHO</v>
      </c>
      <c r="E2563" s="63">
        <f>'Padrão EPP'!E2563/2</f>
        <v>58.62883768578326</v>
      </c>
      <c r="F2563" s="67">
        <v>3.0000000000000001E-3</v>
      </c>
      <c r="G2563" s="67">
        <v>2E-3</v>
      </c>
      <c r="H2563" s="63"/>
    </row>
    <row r="2564" spans="1:8" x14ac:dyDescent="0.25">
      <c r="A2564" s="63"/>
      <c r="B2564" s="63">
        <f>'Padrão EPP'!B2564</f>
        <v>10</v>
      </c>
      <c r="C2564" s="63" t="str">
        <f>'Padrão EPP'!C2564</f>
        <v>BA</v>
      </c>
      <c r="D2564" s="63" t="str">
        <f>'Padrão EPP'!D2564</f>
        <v>REDESPACHO</v>
      </c>
      <c r="E2564" s="63">
        <f>'Padrão EPP'!E2564/2</f>
        <v>64.484173666749257</v>
      </c>
      <c r="F2564" s="67">
        <v>3.0000000000000001E-3</v>
      </c>
      <c r="G2564" s="67">
        <v>2E-3</v>
      </c>
      <c r="H2564" s="63"/>
    </row>
    <row r="2565" spans="1:8" x14ac:dyDescent="0.25">
      <c r="A2565" s="63"/>
      <c r="B2565" s="63">
        <f>'Padrão EPP'!B2565</f>
        <v>11</v>
      </c>
      <c r="C2565" s="63" t="str">
        <f>'Padrão EPP'!C2565</f>
        <v>BA</v>
      </c>
      <c r="D2565" s="63" t="str">
        <f>'Padrão EPP'!D2565</f>
        <v>REDESPACHO</v>
      </c>
      <c r="E2565" s="63">
        <f>'Padrão EPP'!E2565/2</f>
        <v>0</v>
      </c>
      <c r="F2565" s="67">
        <v>3.0000000000000001E-3</v>
      </c>
      <c r="G2565" s="67">
        <v>2E-3</v>
      </c>
      <c r="H2565" s="63"/>
    </row>
    <row r="2566" spans="1:8" x14ac:dyDescent="0.25">
      <c r="A2566" s="63"/>
      <c r="B2566" s="63">
        <f>'Padrão EPP'!B2566</f>
        <v>12</v>
      </c>
      <c r="C2566" s="63" t="str">
        <f>'Padrão EPP'!C2566</f>
        <v>BA</v>
      </c>
      <c r="D2566" s="63" t="str">
        <f>'Padrão EPP'!D2566</f>
        <v>REDESPACHO</v>
      </c>
      <c r="E2566" s="63">
        <f>'Padrão EPP'!E2566/2</f>
        <v>0</v>
      </c>
      <c r="F2566" s="67">
        <v>3.0000000000000001E-3</v>
      </c>
      <c r="G2566" s="67">
        <v>2E-3</v>
      </c>
      <c r="H2566" s="63"/>
    </row>
    <row r="2567" spans="1:8" x14ac:dyDescent="0.25">
      <c r="A2567" s="63"/>
      <c r="B2567" s="63">
        <f>'Padrão EPP'!B2567</f>
        <v>13</v>
      </c>
      <c r="C2567" s="63" t="str">
        <f>'Padrão EPP'!C2567</f>
        <v>BA</v>
      </c>
      <c r="D2567" s="63" t="str">
        <f>'Padrão EPP'!D2567</f>
        <v>REDESPACHO</v>
      </c>
      <c r="E2567" s="63">
        <f>'Padrão EPP'!E2567/2</f>
        <v>0</v>
      </c>
      <c r="F2567" s="67">
        <v>3.0000000000000001E-3</v>
      </c>
      <c r="G2567" s="67">
        <v>2E-3</v>
      </c>
      <c r="H2567" s="63"/>
    </row>
    <row r="2568" spans="1:8" x14ac:dyDescent="0.25">
      <c r="A2568" s="63"/>
      <c r="B2568" s="63">
        <f>'Padrão EPP'!B2568</f>
        <v>14</v>
      </c>
      <c r="C2568" s="63" t="str">
        <f>'Padrão EPP'!C2568</f>
        <v>BA</v>
      </c>
      <c r="D2568" s="63" t="str">
        <f>'Padrão EPP'!D2568</f>
        <v>REDESPACHO</v>
      </c>
      <c r="E2568" s="63">
        <f>'Padrão EPP'!E2568/2</f>
        <v>0</v>
      </c>
      <c r="F2568" s="67">
        <v>3.0000000000000001E-3</v>
      </c>
      <c r="G2568" s="67">
        <v>2E-3</v>
      </c>
      <c r="H2568" s="63"/>
    </row>
    <row r="2569" spans="1:8" x14ac:dyDescent="0.25">
      <c r="A2569" s="63"/>
      <c r="B2569" s="63">
        <f>'Padrão EPP'!B2569</f>
        <v>15</v>
      </c>
      <c r="C2569" s="63" t="str">
        <f>'Padrão EPP'!C2569</f>
        <v>BA</v>
      </c>
      <c r="D2569" s="63" t="str">
        <f>'Padrão EPP'!D2569</f>
        <v>REDESPACHO</v>
      </c>
      <c r="E2569" s="63">
        <f>'Padrão EPP'!E2569/2</f>
        <v>0</v>
      </c>
      <c r="F2569" s="67">
        <v>3.0000000000000001E-3</v>
      </c>
      <c r="G2569" s="67">
        <v>2E-3</v>
      </c>
      <c r="H2569" s="63"/>
    </row>
    <row r="2570" spans="1:8" x14ac:dyDescent="0.25">
      <c r="A2570" s="63"/>
      <c r="B2570" s="63">
        <f>'Padrão EPP'!B2570</f>
        <v>16</v>
      </c>
      <c r="C2570" s="63" t="str">
        <f>'Padrão EPP'!C2570</f>
        <v>BA</v>
      </c>
      <c r="D2570" s="63" t="str">
        <f>'Padrão EPP'!D2570</f>
        <v>REDESPACHO</v>
      </c>
      <c r="E2570" s="63">
        <f>'Padrão EPP'!E2570/2</f>
        <v>0</v>
      </c>
      <c r="F2570" s="67">
        <v>3.0000000000000001E-3</v>
      </c>
      <c r="G2570" s="67">
        <v>2E-3</v>
      </c>
      <c r="H2570" s="63"/>
    </row>
    <row r="2571" spans="1:8" x14ac:dyDescent="0.25">
      <c r="A2571" s="63"/>
      <c r="B2571" s="63">
        <f>'Padrão EPP'!B2571</f>
        <v>17</v>
      </c>
      <c r="C2571" s="63" t="str">
        <f>'Padrão EPP'!C2571</f>
        <v>BA</v>
      </c>
      <c r="D2571" s="63" t="str">
        <f>'Padrão EPP'!D2571</f>
        <v>REDESPACHO</v>
      </c>
      <c r="E2571" s="63">
        <f>'Padrão EPP'!E2571/2</f>
        <v>0</v>
      </c>
      <c r="F2571" s="67">
        <v>3.0000000000000001E-3</v>
      </c>
      <c r="G2571" s="67">
        <v>2E-3</v>
      </c>
      <c r="H2571" s="63"/>
    </row>
    <row r="2572" spans="1:8" x14ac:dyDescent="0.25">
      <c r="A2572" s="63"/>
      <c r="B2572" s="63">
        <f>'Padrão EPP'!B2572</f>
        <v>18</v>
      </c>
      <c r="C2572" s="63" t="str">
        <f>'Padrão EPP'!C2572</f>
        <v>BA</v>
      </c>
      <c r="D2572" s="63" t="str">
        <f>'Padrão EPP'!D2572</f>
        <v>REDESPACHO</v>
      </c>
      <c r="E2572" s="63">
        <f>'Padrão EPP'!E2572/2</f>
        <v>0</v>
      </c>
      <c r="F2572" s="67">
        <v>3.0000000000000001E-3</v>
      </c>
      <c r="G2572" s="67">
        <v>2E-3</v>
      </c>
      <c r="H2572" s="63"/>
    </row>
    <row r="2573" spans="1:8" x14ac:dyDescent="0.25">
      <c r="A2573" s="63"/>
      <c r="B2573" s="63">
        <f>'Padrão EPP'!B2573</f>
        <v>19</v>
      </c>
      <c r="C2573" s="63" t="str">
        <f>'Padrão EPP'!C2573</f>
        <v>BA</v>
      </c>
      <c r="D2573" s="63" t="str">
        <f>'Padrão EPP'!D2573</f>
        <v>REDESPACHO</v>
      </c>
      <c r="E2573" s="63">
        <f>'Padrão EPP'!E2573/2</f>
        <v>0</v>
      </c>
      <c r="F2573" s="67">
        <v>3.0000000000000001E-3</v>
      </c>
      <c r="G2573" s="67">
        <v>2E-3</v>
      </c>
      <c r="H2573" s="63"/>
    </row>
    <row r="2574" spans="1:8" x14ac:dyDescent="0.25">
      <c r="A2574" s="63"/>
      <c r="B2574" s="63">
        <f>'Padrão EPP'!B2574</f>
        <v>20</v>
      </c>
      <c r="C2574" s="63" t="str">
        <f>'Padrão EPP'!C2574</f>
        <v>BA</v>
      </c>
      <c r="D2574" s="63" t="str">
        <f>'Padrão EPP'!D2574</f>
        <v>REDESPACHO</v>
      </c>
      <c r="E2574" s="63">
        <f>'Padrão EPP'!E2574/2</f>
        <v>0</v>
      </c>
      <c r="F2574" s="67">
        <v>3.0000000000000001E-3</v>
      </c>
      <c r="G2574" s="67">
        <v>2E-3</v>
      </c>
      <c r="H2574" s="63"/>
    </row>
    <row r="2575" spans="1:8" x14ac:dyDescent="0.25">
      <c r="A2575" s="63"/>
      <c r="B2575" s="63">
        <f>'Padrão EPP'!B2575</f>
        <v>21</v>
      </c>
      <c r="C2575" s="63" t="str">
        <f>'Padrão EPP'!C2575</f>
        <v>BA</v>
      </c>
      <c r="D2575" s="63" t="str">
        <f>'Padrão EPP'!D2575</f>
        <v>REDESPACHO</v>
      </c>
      <c r="E2575" s="63">
        <f>'Padrão EPP'!E2575/2</f>
        <v>0</v>
      </c>
      <c r="F2575" s="67">
        <v>3.0000000000000001E-3</v>
      </c>
      <c r="G2575" s="67">
        <v>2E-3</v>
      </c>
      <c r="H2575" s="63"/>
    </row>
    <row r="2576" spans="1:8" x14ac:dyDescent="0.25">
      <c r="A2576" s="63"/>
      <c r="B2576" s="63">
        <f>'Padrão EPP'!B2576</f>
        <v>22</v>
      </c>
      <c r="C2576" s="63" t="str">
        <f>'Padrão EPP'!C2576</f>
        <v>BA</v>
      </c>
      <c r="D2576" s="63" t="str">
        <f>'Padrão EPP'!D2576</f>
        <v>REDESPACHO</v>
      </c>
      <c r="E2576" s="63">
        <f>'Padrão EPP'!E2576/2</f>
        <v>0</v>
      </c>
      <c r="F2576" s="67">
        <v>3.0000000000000001E-3</v>
      </c>
      <c r="G2576" s="67">
        <v>2E-3</v>
      </c>
      <c r="H2576" s="63"/>
    </row>
    <row r="2577" spans="1:8" x14ac:dyDescent="0.25">
      <c r="A2577" s="63"/>
      <c r="B2577" s="63">
        <f>'Padrão EPP'!B2577</f>
        <v>23</v>
      </c>
      <c r="C2577" s="63" t="str">
        <f>'Padrão EPP'!C2577</f>
        <v>BA</v>
      </c>
      <c r="D2577" s="63" t="str">
        <f>'Padrão EPP'!D2577</f>
        <v>REDESPACHO</v>
      </c>
      <c r="E2577" s="63">
        <f>'Padrão EPP'!E2577/2</f>
        <v>0</v>
      </c>
      <c r="F2577" s="67">
        <v>3.0000000000000001E-3</v>
      </c>
      <c r="G2577" s="67">
        <v>2E-3</v>
      </c>
      <c r="H2577" s="63"/>
    </row>
    <row r="2578" spans="1:8" x14ac:dyDescent="0.25">
      <c r="A2578" s="63"/>
      <c r="B2578" s="63">
        <f>'Padrão EPP'!B2578</f>
        <v>24</v>
      </c>
      <c r="C2578" s="63" t="str">
        <f>'Padrão EPP'!C2578</f>
        <v>BA</v>
      </c>
      <c r="D2578" s="63" t="str">
        <f>'Padrão EPP'!D2578</f>
        <v>REDESPACHO</v>
      </c>
      <c r="E2578" s="63">
        <f>'Padrão EPP'!E2578/2</f>
        <v>0</v>
      </c>
      <c r="F2578" s="67">
        <v>3.0000000000000001E-3</v>
      </c>
      <c r="G2578" s="67">
        <v>2E-3</v>
      </c>
      <c r="H2578" s="63"/>
    </row>
    <row r="2579" spans="1:8" x14ac:dyDescent="0.25">
      <c r="A2579" s="63"/>
      <c r="B2579" s="63">
        <f>'Padrão EPP'!B2579</f>
        <v>25</v>
      </c>
      <c r="C2579" s="63" t="str">
        <f>'Padrão EPP'!C2579</f>
        <v>BA</v>
      </c>
      <c r="D2579" s="63" t="str">
        <f>'Padrão EPP'!D2579</f>
        <v>REDESPACHO</v>
      </c>
      <c r="E2579" s="63">
        <f>'Padrão EPP'!E2579/2</f>
        <v>0</v>
      </c>
      <c r="F2579" s="67">
        <v>3.0000000000000001E-3</v>
      </c>
      <c r="G2579" s="67">
        <v>2E-3</v>
      </c>
      <c r="H2579" s="63"/>
    </row>
    <row r="2580" spans="1:8" x14ac:dyDescent="0.25">
      <c r="A2580" s="63"/>
      <c r="B2580" s="63">
        <f>'Padrão EPP'!B2580</f>
        <v>26</v>
      </c>
      <c r="C2580" s="63" t="str">
        <f>'Padrão EPP'!C2580</f>
        <v>BA</v>
      </c>
      <c r="D2580" s="63" t="str">
        <f>'Padrão EPP'!D2580</f>
        <v>REDESPACHO</v>
      </c>
      <c r="E2580" s="63">
        <f>'Padrão EPP'!E2580/2</f>
        <v>0</v>
      </c>
      <c r="F2580" s="67">
        <v>3.0000000000000001E-3</v>
      </c>
      <c r="G2580" s="67">
        <v>2E-3</v>
      </c>
      <c r="H2580" s="63"/>
    </row>
    <row r="2581" spans="1:8" x14ac:dyDescent="0.25">
      <c r="A2581" s="63"/>
      <c r="B2581" s="63">
        <f>'Padrão EPP'!B2581</f>
        <v>27</v>
      </c>
      <c r="C2581" s="63" t="str">
        <f>'Padrão EPP'!C2581</f>
        <v>BA</v>
      </c>
      <c r="D2581" s="63" t="str">
        <f>'Padrão EPP'!D2581</f>
        <v>REDESPACHO</v>
      </c>
      <c r="E2581" s="63">
        <f>'Padrão EPP'!E2581/2</f>
        <v>0</v>
      </c>
      <c r="F2581" s="67">
        <v>3.0000000000000001E-3</v>
      </c>
      <c r="G2581" s="67">
        <v>2E-3</v>
      </c>
      <c r="H2581" s="63"/>
    </row>
    <row r="2582" spans="1:8" x14ac:dyDescent="0.25">
      <c r="A2582" s="63"/>
      <c r="B2582" s="63">
        <f>'Padrão EPP'!B2582</f>
        <v>28</v>
      </c>
      <c r="C2582" s="63" t="str">
        <f>'Padrão EPP'!C2582</f>
        <v>BA</v>
      </c>
      <c r="D2582" s="63" t="str">
        <f>'Padrão EPP'!D2582</f>
        <v>REDESPACHO</v>
      </c>
      <c r="E2582" s="63">
        <f>'Padrão EPP'!E2582/2</f>
        <v>0</v>
      </c>
      <c r="F2582" s="67">
        <v>3.0000000000000001E-3</v>
      </c>
      <c r="G2582" s="67">
        <v>2E-3</v>
      </c>
      <c r="H2582" s="63"/>
    </row>
    <row r="2583" spans="1:8" x14ac:dyDescent="0.25">
      <c r="A2583" s="63"/>
      <c r="B2583" s="63">
        <f>'Padrão EPP'!B2583</f>
        <v>29</v>
      </c>
      <c r="C2583" s="63" t="str">
        <f>'Padrão EPP'!C2583</f>
        <v>BA</v>
      </c>
      <c r="D2583" s="63" t="str">
        <f>'Padrão EPP'!D2583</f>
        <v>REDESPACHO</v>
      </c>
      <c r="E2583" s="63">
        <f>'Padrão EPP'!E2583/2</f>
        <v>0</v>
      </c>
      <c r="F2583" s="67">
        <v>3.0000000000000001E-3</v>
      </c>
      <c r="G2583" s="67">
        <v>2E-3</v>
      </c>
      <c r="H2583" s="63"/>
    </row>
    <row r="2584" spans="1:8" x14ac:dyDescent="0.25">
      <c r="A2584" s="63"/>
      <c r="B2584" s="63">
        <f>'Padrão EPP'!B2584</f>
        <v>30</v>
      </c>
      <c r="C2584" s="63" t="str">
        <f>'Padrão EPP'!C2584</f>
        <v>BA</v>
      </c>
      <c r="D2584" s="63" t="str">
        <f>'Padrão EPP'!D2584</f>
        <v>REDESPACHO</v>
      </c>
      <c r="E2584" s="63">
        <f>'Padrão EPP'!E2584/2</f>
        <v>0</v>
      </c>
      <c r="F2584" s="67">
        <v>3.0000000000000001E-3</v>
      </c>
      <c r="G2584" s="67">
        <v>2E-3</v>
      </c>
      <c r="H2584" s="63"/>
    </row>
    <row r="2585" spans="1:8" x14ac:dyDescent="0.25">
      <c r="A2585" s="63"/>
      <c r="B2585" s="63">
        <f>'Padrão EPP'!B2585</f>
        <v>0</v>
      </c>
      <c r="C2585" s="63" t="str">
        <f>'Padrão EPP'!C2585</f>
        <v>BA</v>
      </c>
      <c r="D2585" s="63" t="str">
        <f>'Padrão EPP'!D2585</f>
        <v>REDESPACHO</v>
      </c>
      <c r="E2585" s="63">
        <f>'Padrão EPP'!E2585/2</f>
        <v>1.5214394455252955</v>
      </c>
      <c r="F2585" s="67">
        <v>3.0000000000000001E-3</v>
      </c>
      <c r="G2585" s="67">
        <v>2E-3</v>
      </c>
      <c r="H2585" s="63"/>
    </row>
    <row r="2586" spans="1:8" x14ac:dyDescent="0.25">
      <c r="A2586" s="63"/>
      <c r="B2586" s="63">
        <f>'Padrão EPP'!B2586</f>
        <v>0.25</v>
      </c>
      <c r="C2586" s="63" t="str">
        <f>'Padrão EPP'!C2586</f>
        <v>PE</v>
      </c>
      <c r="D2586" s="63" t="str">
        <f>'Padrão EPP'!D2586</f>
        <v>CAPITAL</v>
      </c>
      <c r="E2586" s="63">
        <f>'Padrão EPP'!E2586/2</f>
        <v>6.2733045519829647</v>
      </c>
      <c r="F2586" s="67">
        <v>3.0000000000000001E-3</v>
      </c>
      <c r="G2586" s="67">
        <v>2E-3</v>
      </c>
      <c r="H2586" s="63"/>
    </row>
    <row r="2587" spans="1:8" x14ac:dyDescent="0.25">
      <c r="A2587" s="63"/>
      <c r="B2587" s="63">
        <f>'Padrão EPP'!B2587</f>
        <v>0.5</v>
      </c>
      <c r="C2587" s="63" t="str">
        <f>'Padrão EPP'!C2587</f>
        <v>PE</v>
      </c>
      <c r="D2587" s="63" t="str">
        <f>'Padrão EPP'!D2587</f>
        <v>CAPITAL</v>
      </c>
      <c r="E2587" s="63">
        <f>'Padrão EPP'!E2587/2</f>
        <v>6.835908742377816</v>
      </c>
      <c r="F2587" s="67">
        <v>3.0000000000000001E-3</v>
      </c>
      <c r="G2587" s="67">
        <v>2E-3</v>
      </c>
      <c r="H2587" s="63"/>
    </row>
    <row r="2588" spans="1:8" x14ac:dyDescent="0.25">
      <c r="A2588" s="63"/>
      <c r="B2588" s="63">
        <f>'Padrão EPP'!B2588</f>
        <v>0.75</v>
      </c>
      <c r="C2588" s="63" t="str">
        <f>'Padrão EPP'!C2588</f>
        <v>PE</v>
      </c>
      <c r="D2588" s="63" t="str">
        <f>'Padrão EPP'!D2588</f>
        <v>CAPITAL</v>
      </c>
      <c r="E2588" s="63">
        <f>'Padrão EPP'!E2588/2</f>
        <v>7.3627745375593143</v>
      </c>
      <c r="F2588" s="67">
        <v>3.0000000000000001E-3</v>
      </c>
      <c r="G2588" s="67">
        <v>2E-3</v>
      </c>
      <c r="H2588" s="63"/>
    </row>
    <row r="2589" spans="1:8" x14ac:dyDescent="0.25">
      <c r="A2589" s="63"/>
      <c r="B2589" s="63">
        <f>'Padrão EPP'!B2589</f>
        <v>1</v>
      </c>
      <c r="C2589" s="63" t="str">
        <f>'Padrão EPP'!C2589</f>
        <v>PE</v>
      </c>
      <c r="D2589" s="63" t="str">
        <f>'Padrão EPP'!D2589</f>
        <v>CAPITAL</v>
      </c>
      <c r="E2589" s="63">
        <f>'Padrão EPP'!E2589/2</f>
        <v>8.0247351406335099</v>
      </c>
      <c r="F2589" s="67">
        <v>3.0000000000000001E-3</v>
      </c>
      <c r="G2589" s="67">
        <v>2E-3</v>
      </c>
      <c r="H2589" s="63"/>
    </row>
    <row r="2590" spans="1:8" x14ac:dyDescent="0.25">
      <c r="A2590" s="63"/>
      <c r="B2590" s="63">
        <f>'Padrão EPP'!B2590</f>
        <v>2</v>
      </c>
      <c r="C2590" s="63" t="str">
        <f>'Padrão EPP'!C2590</f>
        <v>PE</v>
      </c>
      <c r="D2590" s="63" t="str">
        <f>'Padrão EPP'!D2590</f>
        <v>CAPITAL</v>
      </c>
      <c r="E2590" s="63">
        <f>'Padrão EPP'!E2590/2</f>
        <v>9.7134598501519154</v>
      </c>
      <c r="F2590" s="67">
        <v>3.0000000000000001E-3</v>
      </c>
      <c r="G2590" s="67">
        <v>2E-3</v>
      </c>
      <c r="H2590" s="63"/>
    </row>
    <row r="2591" spans="1:8" x14ac:dyDescent="0.25">
      <c r="A2591" s="63"/>
      <c r="B2591" s="63">
        <f>'Padrão EPP'!B2591</f>
        <v>3</v>
      </c>
      <c r="C2591" s="63" t="str">
        <f>'Padrão EPP'!C2591</f>
        <v>PE</v>
      </c>
      <c r="D2591" s="63" t="str">
        <f>'Padrão EPP'!D2591</f>
        <v>CAPITAL</v>
      </c>
      <c r="E2591" s="63">
        <f>'Padrão EPP'!E2591/2</f>
        <v>12.566074420908373</v>
      </c>
      <c r="F2591" s="67">
        <v>3.0000000000000001E-3</v>
      </c>
      <c r="G2591" s="67">
        <v>2E-3</v>
      </c>
      <c r="H2591" s="63"/>
    </row>
    <row r="2592" spans="1:8" x14ac:dyDescent="0.25">
      <c r="A2592" s="63"/>
      <c r="B2592" s="63">
        <f>'Padrão EPP'!B2592</f>
        <v>4</v>
      </c>
      <c r="C2592" s="63" t="str">
        <f>'Padrão EPP'!C2592</f>
        <v>PE</v>
      </c>
      <c r="D2592" s="63" t="str">
        <f>'Padrão EPP'!D2592</f>
        <v>CAPITAL</v>
      </c>
      <c r="E2592" s="63">
        <f>'Padrão EPP'!E2592/2</f>
        <v>15.489061898051398</v>
      </c>
      <c r="F2592" s="67">
        <v>3.0000000000000001E-3</v>
      </c>
      <c r="G2592" s="67">
        <v>2E-3</v>
      </c>
      <c r="H2592" s="63"/>
    </row>
    <row r="2593" spans="1:8" x14ac:dyDescent="0.25">
      <c r="A2593" s="63"/>
      <c r="B2593" s="63">
        <f>'Padrão EPP'!B2593</f>
        <v>5</v>
      </c>
      <c r="C2593" s="63" t="str">
        <f>'Padrão EPP'!C2593</f>
        <v>PE</v>
      </c>
      <c r="D2593" s="63" t="str">
        <f>'Padrão EPP'!D2593</f>
        <v>CAPITAL</v>
      </c>
      <c r="E2593" s="63">
        <f>'Padrão EPP'!E2593/2</f>
        <v>18.517372140727069</v>
      </c>
      <c r="F2593" s="67">
        <v>3.0000000000000001E-3</v>
      </c>
      <c r="G2593" s="67">
        <v>2E-3</v>
      </c>
      <c r="H2593" s="63"/>
    </row>
    <row r="2594" spans="1:8" x14ac:dyDescent="0.25">
      <c r="A2594" s="63"/>
      <c r="B2594" s="63">
        <f>'Padrão EPP'!B2594</f>
        <v>6</v>
      </c>
      <c r="C2594" s="63" t="str">
        <f>'Padrão EPP'!C2594</f>
        <v>PE</v>
      </c>
      <c r="D2594" s="63" t="str">
        <f>'Padrão EPP'!D2594</f>
        <v>CAPITAL</v>
      </c>
      <c r="E2594" s="63">
        <f>'Padrão EPP'!E2594/2</f>
        <v>23.255286781570955</v>
      </c>
      <c r="F2594" s="67">
        <v>3.0000000000000001E-3</v>
      </c>
      <c r="G2594" s="67">
        <v>2E-3</v>
      </c>
      <c r="H2594" s="63"/>
    </row>
    <row r="2595" spans="1:8" x14ac:dyDescent="0.25">
      <c r="A2595" s="63"/>
      <c r="B2595" s="63">
        <f>'Padrão EPP'!B2595</f>
        <v>7</v>
      </c>
      <c r="C2595" s="63" t="str">
        <f>'Padrão EPP'!C2595</f>
        <v>PE</v>
      </c>
      <c r="D2595" s="63" t="str">
        <f>'Padrão EPP'!D2595</f>
        <v>CAPITAL</v>
      </c>
      <c r="E2595" s="63">
        <f>'Padrão EPP'!E2595/2</f>
        <v>26.208363840394139</v>
      </c>
      <c r="F2595" s="67">
        <v>3.0000000000000001E-3</v>
      </c>
      <c r="G2595" s="67">
        <v>2E-3</v>
      </c>
      <c r="H2595" s="63"/>
    </row>
    <row r="2596" spans="1:8" x14ac:dyDescent="0.25">
      <c r="A2596" s="63"/>
      <c r="B2596" s="63">
        <f>'Padrão EPP'!B2596</f>
        <v>8</v>
      </c>
      <c r="C2596" s="63" t="str">
        <f>'Padrão EPP'!C2596</f>
        <v>PE</v>
      </c>
      <c r="D2596" s="63" t="str">
        <f>'Padrão EPP'!D2596</f>
        <v>CAPITAL</v>
      </c>
      <c r="E2596" s="63">
        <f>'Padrão EPP'!E2596/2</f>
        <v>29.201676114972273</v>
      </c>
      <c r="F2596" s="67">
        <v>3.0000000000000001E-3</v>
      </c>
      <c r="G2596" s="67">
        <v>2E-3</v>
      </c>
      <c r="H2596" s="63"/>
    </row>
    <row r="2597" spans="1:8" x14ac:dyDescent="0.25">
      <c r="A2597" s="63"/>
      <c r="B2597" s="63">
        <f>'Padrão EPP'!B2597</f>
        <v>9</v>
      </c>
      <c r="C2597" s="63" t="str">
        <f>'Padrão EPP'!C2597</f>
        <v>PE</v>
      </c>
      <c r="D2597" s="63" t="str">
        <f>'Padrão EPP'!D2597</f>
        <v>CAPITAL</v>
      </c>
      <c r="E2597" s="63">
        <f>'Padrão EPP'!E2597/2</f>
        <v>32.239247126880834</v>
      </c>
      <c r="F2597" s="67">
        <v>3.0000000000000001E-3</v>
      </c>
      <c r="G2597" s="67">
        <v>2E-3</v>
      </c>
      <c r="H2597" s="63"/>
    </row>
    <row r="2598" spans="1:8" x14ac:dyDescent="0.25">
      <c r="A2598" s="63"/>
      <c r="B2598" s="63">
        <f>'Padrão EPP'!B2598</f>
        <v>10</v>
      </c>
      <c r="C2598" s="63" t="str">
        <f>'Padrão EPP'!C2598</f>
        <v>PE</v>
      </c>
      <c r="D2598" s="63" t="str">
        <f>'Padrão EPP'!D2598</f>
        <v>CAPITAL</v>
      </c>
      <c r="E2598" s="63">
        <f>'Padrão EPP'!E2598/2</f>
        <v>35.073038266766545</v>
      </c>
      <c r="F2598" s="67">
        <v>3.0000000000000001E-3</v>
      </c>
      <c r="G2598" s="67">
        <v>2E-3</v>
      </c>
      <c r="H2598" s="63"/>
    </row>
    <row r="2599" spans="1:8" x14ac:dyDescent="0.25">
      <c r="A2599" s="63"/>
      <c r="B2599" s="63">
        <f>'Padrão EPP'!B2599</f>
        <v>11</v>
      </c>
      <c r="C2599" s="63" t="str">
        <f>'Padrão EPP'!C2599</f>
        <v>PE</v>
      </c>
      <c r="D2599" s="63" t="str">
        <f>'Padrão EPP'!D2599</f>
        <v>CAPITAL</v>
      </c>
      <c r="E2599" s="63">
        <f>'Padrão EPP'!E2599/2</f>
        <v>0</v>
      </c>
      <c r="F2599" s="67">
        <v>3.0000000000000001E-3</v>
      </c>
      <c r="G2599" s="67">
        <v>2E-3</v>
      </c>
      <c r="H2599" s="63"/>
    </row>
    <row r="2600" spans="1:8" x14ac:dyDescent="0.25">
      <c r="A2600" s="63"/>
      <c r="B2600" s="63">
        <f>'Padrão EPP'!B2600</f>
        <v>12</v>
      </c>
      <c r="C2600" s="63" t="str">
        <f>'Padrão EPP'!C2600</f>
        <v>PE</v>
      </c>
      <c r="D2600" s="63" t="str">
        <f>'Padrão EPP'!D2600</f>
        <v>CAPITAL</v>
      </c>
      <c r="E2600" s="63">
        <f>'Padrão EPP'!E2600/2</f>
        <v>0</v>
      </c>
      <c r="F2600" s="67">
        <v>3.0000000000000001E-3</v>
      </c>
      <c r="G2600" s="67">
        <v>2E-3</v>
      </c>
      <c r="H2600" s="63"/>
    </row>
    <row r="2601" spans="1:8" x14ac:dyDescent="0.25">
      <c r="A2601" s="63"/>
      <c r="B2601" s="63">
        <f>'Padrão EPP'!B2601</f>
        <v>13</v>
      </c>
      <c r="C2601" s="63" t="str">
        <f>'Padrão EPP'!C2601</f>
        <v>PE</v>
      </c>
      <c r="D2601" s="63" t="str">
        <f>'Padrão EPP'!D2601</f>
        <v>CAPITAL</v>
      </c>
      <c r="E2601" s="63">
        <f>'Padrão EPP'!E2601/2</f>
        <v>0</v>
      </c>
      <c r="F2601" s="67">
        <v>3.0000000000000001E-3</v>
      </c>
      <c r="G2601" s="67">
        <v>2E-3</v>
      </c>
      <c r="H2601" s="63"/>
    </row>
    <row r="2602" spans="1:8" x14ac:dyDescent="0.25">
      <c r="A2602" s="63"/>
      <c r="B2602" s="63">
        <f>'Padrão EPP'!B2602</f>
        <v>14</v>
      </c>
      <c r="C2602" s="63" t="str">
        <f>'Padrão EPP'!C2602</f>
        <v>PE</v>
      </c>
      <c r="D2602" s="63" t="str">
        <f>'Padrão EPP'!D2602</f>
        <v>CAPITAL</v>
      </c>
      <c r="E2602" s="63">
        <f>'Padrão EPP'!E2602/2</f>
        <v>0</v>
      </c>
      <c r="F2602" s="67">
        <v>3.0000000000000001E-3</v>
      </c>
      <c r="G2602" s="67">
        <v>2E-3</v>
      </c>
      <c r="H2602" s="63"/>
    </row>
    <row r="2603" spans="1:8" x14ac:dyDescent="0.25">
      <c r="A2603" s="63"/>
      <c r="B2603" s="63">
        <f>'Padrão EPP'!B2603</f>
        <v>15</v>
      </c>
      <c r="C2603" s="63" t="str">
        <f>'Padrão EPP'!C2603</f>
        <v>PE</v>
      </c>
      <c r="D2603" s="63" t="str">
        <f>'Padrão EPP'!D2603</f>
        <v>CAPITAL</v>
      </c>
      <c r="E2603" s="63">
        <f>'Padrão EPP'!E2603/2</f>
        <v>0</v>
      </c>
      <c r="F2603" s="67">
        <v>3.0000000000000001E-3</v>
      </c>
      <c r="G2603" s="67">
        <v>2E-3</v>
      </c>
      <c r="H2603" s="63"/>
    </row>
    <row r="2604" spans="1:8" x14ac:dyDescent="0.25">
      <c r="A2604" s="63"/>
      <c r="B2604" s="63">
        <f>'Padrão EPP'!B2604</f>
        <v>16</v>
      </c>
      <c r="C2604" s="63" t="str">
        <f>'Padrão EPP'!C2604</f>
        <v>PE</v>
      </c>
      <c r="D2604" s="63" t="str">
        <f>'Padrão EPP'!D2604</f>
        <v>CAPITAL</v>
      </c>
      <c r="E2604" s="63">
        <f>'Padrão EPP'!E2604/2</f>
        <v>0</v>
      </c>
      <c r="F2604" s="67">
        <v>3.0000000000000001E-3</v>
      </c>
      <c r="G2604" s="67">
        <v>2E-3</v>
      </c>
      <c r="H2604" s="63"/>
    </row>
    <row r="2605" spans="1:8" x14ac:dyDescent="0.25">
      <c r="A2605" s="63"/>
      <c r="B2605" s="63">
        <f>'Padrão EPP'!B2605</f>
        <v>17</v>
      </c>
      <c r="C2605" s="63" t="str">
        <f>'Padrão EPP'!C2605</f>
        <v>PE</v>
      </c>
      <c r="D2605" s="63" t="str">
        <f>'Padrão EPP'!D2605</f>
        <v>CAPITAL</v>
      </c>
      <c r="E2605" s="63">
        <f>'Padrão EPP'!E2605/2</f>
        <v>0</v>
      </c>
      <c r="F2605" s="67">
        <v>3.0000000000000001E-3</v>
      </c>
      <c r="G2605" s="67">
        <v>2E-3</v>
      </c>
      <c r="H2605" s="63"/>
    </row>
    <row r="2606" spans="1:8" x14ac:dyDescent="0.25">
      <c r="A2606" s="63"/>
      <c r="B2606" s="63">
        <f>'Padrão EPP'!B2606</f>
        <v>18</v>
      </c>
      <c r="C2606" s="63" t="str">
        <f>'Padrão EPP'!C2606</f>
        <v>PE</v>
      </c>
      <c r="D2606" s="63" t="str">
        <f>'Padrão EPP'!D2606</f>
        <v>CAPITAL</v>
      </c>
      <c r="E2606" s="63">
        <f>'Padrão EPP'!E2606/2</f>
        <v>0</v>
      </c>
      <c r="F2606" s="67">
        <v>3.0000000000000001E-3</v>
      </c>
      <c r="G2606" s="67">
        <v>2E-3</v>
      </c>
      <c r="H2606" s="63"/>
    </row>
    <row r="2607" spans="1:8" x14ac:dyDescent="0.25">
      <c r="A2607" s="63"/>
      <c r="B2607" s="63">
        <f>'Padrão EPP'!B2607</f>
        <v>19</v>
      </c>
      <c r="C2607" s="63" t="str">
        <f>'Padrão EPP'!C2607</f>
        <v>PE</v>
      </c>
      <c r="D2607" s="63" t="str">
        <f>'Padrão EPP'!D2607</f>
        <v>CAPITAL</v>
      </c>
      <c r="E2607" s="63">
        <f>'Padrão EPP'!E2607/2</f>
        <v>0</v>
      </c>
      <c r="F2607" s="67">
        <v>3.0000000000000001E-3</v>
      </c>
      <c r="G2607" s="67">
        <v>2E-3</v>
      </c>
      <c r="H2607" s="63"/>
    </row>
    <row r="2608" spans="1:8" x14ac:dyDescent="0.25">
      <c r="A2608" s="63"/>
      <c r="B2608" s="63">
        <f>'Padrão EPP'!B2608</f>
        <v>20</v>
      </c>
      <c r="C2608" s="63" t="str">
        <f>'Padrão EPP'!C2608</f>
        <v>PE</v>
      </c>
      <c r="D2608" s="63" t="str">
        <f>'Padrão EPP'!D2608</f>
        <v>CAPITAL</v>
      </c>
      <c r="E2608" s="63">
        <f>'Padrão EPP'!E2608/2</f>
        <v>0</v>
      </c>
      <c r="F2608" s="67">
        <v>3.0000000000000001E-3</v>
      </c>
      <c r="G2608" s="67">
        <v>2E-3</v>
      </c>
      <c r="H2608" s="63"/>
    </row>
    <row r="2609" spans="1:8" x14ac:dyDescent="0.25">
      <c r="A2609" s="63"/>
      <c r="B2609" s="63">
        <f>'Padrão EPP'!B2609</f>
        <v>21</v>
      </c>
      <c r="C2609" s="63" t="str">
        <f>'Padrão EPP'!C2609</f>
        <v>PE</v>
      </c>
      <c r="D2609" s="63" t="str">
        <f>'Padrão EPP'!D2609</f>
        <v>CAPITAL</v>
      </c>
      <c r="E2609" s="63">
        <f>'Padrão EPP'!E2609/2</f>
        <v>0</v>
      </c>
      <c r="F2609" s="67">
        <v>3.0000000000000001E-3</v>
      </c>
      <c r="G2609" s="67">
        <v>2E-3</v>
      </c>
      <c r="H2609" s="63"/>
    </row>
    <row r="2610" spans="1:8" x14ac:dyDescent="0.25">
      <c r="A2610" s="63"/>
      <c r="B2610" s="63">
        <f>'Padrão EPP'!B2610</f>
        <v>22</v>
      </c>
      <c r="C2610" s="63" t="str">
        <f>'Padrão EPP'!C2610</f>
        <v>PE</v>
      </c>
      <c r="D2610" s="63" t="str">
        <f>'Padrão EPP'!D2610</f>
        <v>CAPITAL</v>
      </c>
      <c r="E2610" s="63">
        <f>'Padrão EPP'!E2610/2</f>
        <v>0</v>
      </c>
      <c r="F2610" s="67">
        <v>3.0000000000000001E-3</v>
      </c>
      <c r="G2610" s="67">
        <v>2E-3</v>
      </c>
      <c r="H2610" s="63"/>
    </row>
    <row r="2611" spans="1:8" x14ac:dyDescent="0.25">
      <c r="A2611" s="63"/>
      <c r="B2611" s="63">
        <f>'Padrão EPP'!B2611</f>
        <v>23</v>
      </c>
      <c r="C2611" s="63" t="str">
        <f>'Padrão EPP'!C2611</f>
        <v>PE</v>
      </c>
      <c r="D2611" s="63" t="str">
        <f>'Padrão EPP'!D2611</f>
        <v>CAPITAL</v>
      </c>
      <c r="E2611" s="63">
        <f>'Padrão EPP'!E2611/2</f>
        <v>0</v>
      </c>
      <c r="F2611" s="67">
        <v>3.0000000000000001E-3</v>
      </c>
      <c r="G2611" s="67">
        <v>2E-3</v>
      </c>
      <c r="H2611" s="63"/>
    </row>
    <row r="2612" spans="1:8" x14ac:dyDescent="0.25">
      <c r="A2612" s="63"/>
      <c r="B2612" s="63">
        <f>'Padrão EPP'!B2612</f>
        <v>24</v>
      </c>
      <c r="C2612" s="63" t="str">
        <f>'Padrão EPP'!C2612</f>
        <v>PE</v>
      </c>
      <c r="D2612" s="63" t="str">
        <f>'Padrão EPP'!D2612</f>
        <v>CAPITAL</v>
      </c>
      <c r="E2612" s="63">
        <f>'Padrão EPP'!E2612/2</f>
        <v>0</v>
      </c>
      <c r="F2612" s="67">
        <v>3.0000000000000001E-3</v>
      </c>
      <c r="G2612" s="67">
        <v>2E-3</v>
      </c>
      <c r="H2612" s="63"/>
    </row>
    <row r="2613" spans="1:8" x14ac:dyDescent="0.25">
      <c r="A2613" s="63"/>
      <c r="B2613" s="63">
        <f>'Padrão EPP'!B2613</f>
        <v>25</v>
      </c>
      <c r="C2613" s="63" t="str">
        <f>'Padrão EPP'!C2613</f>
        <v>PE</v>
      </c>
      <c r="D2613" s="63" t="str">
        <f>'Padrão EPP'!D2613</f>
        <v>CAPITAL</v>
      </c>
      <c r="E2613" s="63">
        <f>'Padrão EPP'!E2613/2</f>
        <v>0</v>
      </c>
      <c r="F2613" s="67">
        <v>3.0000000000000001E-3</v>
      </c>
      <c r="G2613" s="67">
        <v>2E-3</v>
      </c>
      <c r="H2613" s="63"/>
    </row>
    <row r="2614" spans="1:8" x14ac:dyDescent="0.25">
      <c r="A2614" s="63"/>
      <c r="B2614" s="63">
        <f>'Padrão EPP'!B2614</f>
        <v>26</v>
      </c>
      <c r="C2614" s="63" t="str">
        <f>'Padrão EPP'!C2614</f>
        <v>PE</v>
      </c>
      <c r="D2614" s="63" t="str">
        <f>'Padrão EPP'!D2614</f>
        <v>CAPITAL</v>
      </c>
      <c r="E2614" s="63">
        <f>'Padrão EPP'!E2614/2</f>
        <v>0</v>
      </c>
      <c r="F2614" s="67">
        <v>3.0000000000000001E-3</v>
      </c>
      <c r="G2614" s="67">
        <v>2E-3</v>
      </c>
      <c r="H2614" s="63"/>
    </row>
    <row r="2615" spans="1:8" x14ac:dyDescent="0.25">
      <c r="A2615" s="63"/>
      <c r="B2615" s="63">
        <f>'Padrão EPP'!B2615</f>
        <v>27</v>
      </c>
      <c r="C2615" s="63" t="str">
        <f>'Padrão EPP'!C2615</f>
        <v>PE</v>
      </c>
      <c r="D2615" s="63" t="str">
        <f>'Padrão EPP'!D2615</f>
        <v>CAPITAL</v>
      </c>
      <c r="E2615" s="63">
        <f>'Padrão EPP'!E2615/2</f>
        <v>0</v>
      </c>
      <c r="F2615" s="67">
        <v>3.0000000000000001E-3</v>
      </c>
      <c r="G2615" s="67">
        <v>2E-3</v>
      </c>
      <c r="H2615" s="63"/>
    </row>
    <row r="2616" spans="1:8" x14ac:dyDescent="0.25">
      <c r="A2616" s="63"/>
      <c r="B2616" s="63">
        <f>'Padrão EPP'!B2616</f>
        <v>28</v>
      </c>
      <c r="C2616" s="63" t="str">
        <f>'Padrão EPP'!C2616</f>
        <v>PE</v>
      </c>
      <c r="D2616" s="63" t="str">
        <f>'Padrão EPP'!D2616</f>
        <v>CAPITAL</v>
      </c>
      <c r="E2616" s="63">
        <f>'Padrão EPP'!E2616/2</f>
        <v>0</v>
      </c>
      <c r="F2616" s="67">
        <v>3.0000000000000001E-3</v>
      </c>
      <c r="G2616" s="67">
        <v>2E-3</v>
      </c>
      <c r="H2616" s="63"/>
    </row>
    <row r="2617" spans="1:8" x14ac:dyDescent="0.25">
      <c r="A2617" s="63"/>
      <c r="B2617" s="63">
        <f>'Padrão EPP'!B2617</f>
        <v>29</v>
      </c>
      <c r="C2617" s="63" t="str">
        <f>'Padrão EPP'!C2617</f>
        <v>PE</v>
      </c>
      <c r="D2617" s="63" t="str">
        <f>'Padrão EPP'!D2617</f>
        <v>CAPITAL</v>
      </c>
      <c r="E2617" s="63">
        <f>'Padrão EPP'!E2617/2</f>
        <v>0</v>
      </c>
      <c r="F2617" s="67">
        <v>3.0000000000000001E-3</v>
      </c>
      <c r="G2617" s="67">
        <v>2E-3</v>
      </c>
      <c r="H2617" s="63"/>
    </row>
    <row r="2618" spans="1:8" x14ac:dyDescent="0.25">
      <c r="A2618" s="63"/>
      <c r="B2618" s="63">
        <f>'Padrão EPP'!B2618</f>
        <v>30</v>
      </c>
      <c r="C2618" s="63" t="str">
        <f>'Padrão EPP'!C2618</f>
        <v>PE</v>
      </c>
      <c r="D2618" s="63" t="str">
        <f>'Padrão EPP'!D2618</f>
        <v>CAPITAL</v>
      </c>
      <c r="E2618" s="63">
        <f>'Padrão EPP'!E2618/2</f>
        <v>0</v>
      </c>
      <c r="F2618" s="67">
        <v>3.0000000000000001E-3</v>
      </c>
      <c r="G2618" s="67">
        <v>2E-3</v>
      </c>
      <c r="H2618" s="63"/>
    </row>
    <row r="2619" spans="1:8" x14ac:dyDescent="0.25">
      <c r="A2619" s="63"/>
      <c r="B2619" s="63">
        <f>'Padrão EPP'!B2619</f>
        <v>0</v>
      </c>
      <c r="C2619" s="63" t="str">
        <f>'Padrão EPP'!C2619</f>
        <v>PE</v>
      </c>
      <c r="D2619" s="63" t="str">
        <f>'Padrão EPP'!D2619</f>
        <v>CAPITAL</v>
      </c>
      <c r="E2619" s="63">
        <f>'Padrão EPP'!E2619/2</f>
        <v>1.5214394455252955</v>
      </c>
      <c r="F2619" s="67">
        <v>3.0000000000000001E-3</v>
      </c>
      <c r="G2619" s="67">
        <v>2E-3</v>
      </c>
      <c r="H2619" s="63"/>
    </row>
    <row r="2620" spans="1:8" x14ac:dyDescent="0.25">
      <c r="A2620" s="63"/>
      <c r="B2620" s="63">
        <f>'Padrão EPP'!B2620</f>
        <v>0.25</v>
      </c>
      <c r="C2620" s="63" t="str">
        <f>'Padrão EPP'!C2620</f>
        <v>PE</v>
      </c>
      <c r="D2620" s="63" t="str">
        <f>'Padrão EPP'!D2620</f>
        <v>INTERIOR</v>
      </c>
      <c r="E2620" s="63">
        <f>'Padrão EPP'!E2620/2</f>
        <v>8.6814595312393763</v>
      </c>
      <c r="F2620" s="67">
        <v>3.0000000000000001E-3</v>
      </c>
      <c r="G2620" s="67">
        <v>2E-3</v>
      </c>
      <c r="H2620" s="63"/>
    </row>
    <row r="2621" spans="1:8" x14ac:dyDescent="0.25">
      <c r="A2621" s="63"/>
      <c r="B2621" s="63">
        <f>'Padrão EPP'!B2621</f>
        <v>0.5</v>
      </c>
      <c r="C2621" s="63" t="str">
        <f>'Padrão EPP'!C2621</f>
        <v>PE</v>
      </c>
      <c r="D2621" s="63" t="str">
        <f>'Padrão EPP'!D2621</f>
        <v>INTERIOR</v>
      </c>
      <c r="E2621" s="63">
        <f>'Padrão EPP'!E2621/2</f>
        <v>9.3815387313046656</v>
      </c>
      <c r="F2621" s="67">
        <v>3.0000000000000001E-3</v>
      </c>
      <c r="G2621" s="67">
        <v>2E-3</v>
      </c>
      <c r="H2621" s="63"/>
    </row>
    <row r="2622" spans="1:8" x14ac:dyDescent="0.25">
      <c r="A2622" s="63"/>
      <c r="B2622" s="63">
        <f>'Padrão EPP'!B2622</f>
        <v>0.75</v>
      </c>
      <c r="C2622" s="63" t="str">
        <f>'Padrão EPP'!C2622</f>
        <v>PE</v>
      </c>
      <c r="D2622" s="63" t="str">
        <f>'Padrão EPP'!D2622</f>
        <v>INTERIOR</v>
      </c>
      <c r="E2622" s="63">
        <f>'Padrão EPP'!E2622/2</f>
        <v>10.411183759050466</v>
      </c>
      <c r="F2622" s="67">
        <v>3.0000000000000001E-3</v>
      </c>
      <c r="G2622" s="67">
        <v>2E-3</v>
      </c>
      <c r="H2622" s="63"/>
    </row>
    <row r="2623" spans="1:8" x14ac:dyDescent="0.25">
      <c r="A2623" s="63"/>
      <c r="B2623" s="63">
        <f>'Padrão EPP'!B2623</f>
        <v>1</v>
      </c>
      <c r="C2623" s="63" t="str">
        <f>'Padrão EPP'!C2623</f>
        <v>PE</v>
      </c>
      <c r="D2623" s="63" t="str">
        <f>'Padrão EPP'!D2623</f>
        <v>INTERIOR</v>
      </c>
      <c r="E2623" s="63">
        <f>'Padrão EPP'!E2623/2</f>
        <v>11.466328503434113</v>
      </c>
      <c r="F2623" s="67">
        <v>3.0000000000000001E-3</v>
      </c>
      <c r="G2623" s="67">
        <v>2E-3</v>
      </c>
      <c r="H2623" s="63"/>
    </row>
    <row r="2624" spans="1:8" x14ac:dyDescent="0.25">
      <c r="A2624" s="63"/>
      <c r="B2624" s="63">
        <f>'Padrão EPP'!B2624</f>
        <v>2</v>
      </c>
      <c r="C2624" s="63" t="str">
        <f>'Padrão EPP'!C2624</f>
        <v>PE</v>
      </c>
      <c r="D2624" s="63" t="str">
        <f>'Padrão EPP'!D2624</f>
        <v>INTERIOR</v>
      </c>
      <c r="E2624" s="63">
        <f>'Padrão EPP'!E2624/2</f>
        <v>14.197320654836604</v>
      </c>
      <c r="F2624" s="67">
        <v>3.0000000000000001E-3</v>
      </c>
      <c r="G2624" s="67">
        <v>2E-3</v>
      </c>
      <c r="H2624" s="63"/>
    </row>
    <row r="2625" spans="1:8" x14ac:dyDescent="0.25">
      <c r="A2625" s="63"/>
      <c r="B2625" s="63">
        <f>'Padrão EPP'!B2625</f>
        <v>3</v>
      </c>
      <c r="C2625" s="63" t="str">
        <f>'Padrão EPP'!C2625</f>
        <v>PE</v>
      </c>
      <c r="D2625" s="63" t="str">
        <f>'Padrão EPP'!D2625</f>
        <v>INTERIOR</v>
      </c>
      <c r="E2625" s="63">
        <f>'Padrão EPP'!E2625/2</f>
        <v>17.240676726969742</v>
      </c>
      <c r="F2625" s="67">
        <v>3.0000000000000001E-3</v>
      </c>
      <c r="G2625" s="67">
        <v>2E-3</v>
      </c>
      <c r="H2625" s="63"/>
    </row>
    <row r="2626" spans="1:8" x14ac:dyDescent="0.25">
      <c r="A2626" s="63"/>
      <c r="B2626" s="63">
        <f>'Padrão EPP'!B2626</f>
        <v>4</v>
      </c>
      <c r="C2626" s="63" t="str">
        <f>'Padrão EPP'!C2626</f>
        <v>PE</v>
      </c>
      <c r="D2626" s="63" t="str">
        <f>'Padrão EPP'!D2626</f>
        <v>INTERIOR</v>
      </c>
      <c r="E2626" s="63">
        <f>'Padrão EPP'!E2626/2</f>
        <v>20.366993459917097</v>
      </c>
      <c r="F2626" s="67">
        <v>3.0000000000000001E-3</v>
      </c>
      <c r="G2626" s="67">
        <v>2E-3</v>
      </c>
      <c r="H2626" s="63"/>
    </row>
    <row r="2627" spans="1:8" x14ac:dyDescent="0.25">
      <c r="A2627" s="63"/>
      <c r="B2627" s="63">
        <f>'Padrão EPP'!B2627</f>
        <v>5</v>
      </c>
      <c r="C2627" s="63" t="str">
        <f>'Padrão EPP'!C2627</f>
        <v>PE</v>
      </c>
      <c r="D2627" s="63" t="str">
        <f>'Padrão EPP'!D2627</f>
        <v>INTERIOR</v>
      </c>
      <c r="E2627" s="63">
        <f>'Padrão EPP'!E2627/2</f>
        <v>23.60226864120656</v>
      </c>
      <c r="F2627" s="67">
        <v>3.0000000000000001E-3</v>
      </c>
      <c r="G2627" s="67">
        <v>2E-3</v>
      </c>
      <c r="H2627" s="63"/>
    </row>
    <row r="2628" spans="1:8" x14ac:dyDescent="0.25">
      <c r="A2628" s="63"/>
      <c r="B2628" s="63">
        <f>'Padrão EPP'!B2628</f>
        <v>6</v>
      </c>
      <c r="C2628" s="63" t="str">
        <f>'Padrão EPP'!C2628</f>
        <v>PE</v>
      </c>
      <c r="D2628" s="63" t="str">
        <f>'Padrão EPP'!D2628</f>
        <v>INTERIOR</v>
      </c>
      <c r="E2628" s="63">
        <f>'Padrão EPP'!E2628/2</f>
        <v>26.902508237455187</v>
      </c>
      <c r="F2628" s="67">
        <v>3.0000000000000001E-3</v>
      </c>
      <c r="G2628" s="67">
        <v>2E-3</v>
      </c>
      <c r="H2628" s="63"/>
    </row>
    <row r="2629" spans="1:8" x14ac:dyDescent="0.25">
      <c r="A2629" s="63"/>
      <c r="B2629" s="63">
        <f>'Padrão EPP'!B2629</f>
        <v>7</v>
      </c>
      <c r="C2629" s="63" t="str">
        <f>'Padrão EPP'!C2629</f>
        <v>PE</v>
      </c>
      <c r="D2629" s="63" t="str">
        <f>'Padrão EPP'!D2629</f>
        <v>INTERIOR</v>
      </c>
      <c r="E2629" s="63">
        <f>'Padrão EPP'!E2629/2</f>
        <v>30.276068577202196</v>
      </c>
      <c r="F2629" s="67">
        <v>3.0000000000000001E-3</v>
      </c>
      <c r="G2629" s="67">
        <v>2E-3</v>
      </c>
      <c r="H2629" s="63"/>
    </row>
    <row r="2630" spans="1:8" x14ac:dyDescent="0.25">
      <c r="A2630" s="63"/>
      <c r="B2630" s="63">
        <f>'Padrão EPP'!B2630</f>
        <v>8</v>
      </c>
      <c r="C2630" s="63" t="str">
        <f>'Padrão EPP'!C2630</f>
        <v>PE</v>
      </c>
      <c r="D2630" s="63" t="str">
        <f>'Padrão EPP'!D2630</f>
        <v>INTERIOR</v>
      </c>
      <c r="E2630" s="63">
        <f>'Padrão EPP'!E2630/2</f>
        <v>33.732409237530938</v>
      </c>
      <c r="F2630" s="67">
        <v>3.0000000000000001E-3</v>
      </c>
      <c r="G2630" s="67">
        <v>2E-3</v>
      </c>
      <c r="H2630" s="63"/>
    </row>
    <row r="2631" spans="1:8" x14ac:dyDescent="0.25">
      <c r="A2631" s="63"/>
      <c r="B2631" s="63">
        <f>'Padrão EPP'!B2631</f>
        <v>9</v>
      </c>
      <c r="C2631" s="63" t="str">
        <f>'Padrão EPP'!C2631</f>
        <v>PE</v>
      </c>
      <c r="D2631" s="63" t="str">
        <f>'Padrão EPP'!D2631</f>
        <v>INTERIOR</v>
      </c>
      <c r="E2631" s="63">
        <f>'Padrão EPP'!E2631/2</f>
        <v>37.064721011094761</v>
      </c>
      <c r="F2631" s="67">
        <v>3.0000000000000001E-3</v>
      </c>
      <c r="G2631" s="67">
        <v>2E-3</v>
      </c>
      <c r="H2631" s="63"/>
    </row>
    <row r="2632" spans="1:8" x14ac:dyDescent="0.25">
      <c r="A2632" s="63"/>
      <c r="B2632" s="63">
        <f>'Padrão EPP'!B2632</f>
        <v>10</v>
      </c>
      <c r="C2632" s="63" t="str">
        <f>'Padrão EPP'!C2632</f>
        <v>PE</v>
      </c>
      <c r="D2632" s="63" t="str">
        <f>'Padrão EPP'!D2632</f>
        <v>INTERIOR</v>
      </c>
      <c r="E2632" s="63">
        <f>'Padrão EPP'!E2632/2</f>
        <v>40.652334514908652</v>
      </c>
      <c r="F2632" s="67">
        <v>3.0000000000000001E-3</v>
      </c>
      <c r="G2632" s="67">
        <v>2E-3</v>
      </c>
      <c r="H2632" s="63"/>
    </row>
    <row r="2633" spans="1:8" x14ac:dyDescent="0.25">
      <c r="A2633" s="63"/>
      <c r="B2633" s="63">
        <f>'Padrão EPP'!B2633</f>
        <v>11</v>
      </c>
      <c r="C2633" s="63" t="str">
        <f>'Padrão EPP'!C2633</f>
        <v>PE</v>
      </c>
      <c r="D2633" s="63" t="str">
        <f>'Padrão EPP'!D2633</f>
        <v>INTERIOR</v>
      </c>
      <c r="E2633" s="63">
        <f>'Padrão EPP'!E2633/2</f>
        <v>0</v>
      </c>
      <c r="F2633" s="67">
        <v>3.0000000000000001E-3</v>
      </c>
      <c r="G2633" s="67">
        <v>2E-3</v>
      </c>
      <c r="H2633" s="63"/>
    </row>
    <row r="2634" spans="1:8" x14ac:dyDescent="0.25">
      <c r="A2634" s="63"/>
      <c r="B2634" s="63">
        <f>'Padrão EPP'!B2634</f>
        <v>12</v>
      </c>
      <c r="C2634" s="63" t="str">
        <f>'Padrão EPP'!C2634</f>
        <v>PE</v>
      </c>
      <c r="D2634" s="63" t="str">
        <f>'Padrão EPP'!D2634</f>
        <v>INTERIOR</v>
      </c>
      <c r="E2634" s="63">
        <f>'Padrão EPP'!E2634/2</f>
        <v>0</v>
      </c>
      <c r="F2634" s="67">
        <v>3.0000000000000001E-3</v>
      </c>
      <c r="G2634" s="67">
        <v>2E-3</v>
      </c>
      <c r="H2634" s="63"/>
    </row>
    <row r="2635" spans="1:8" x14ac:dyDescent="0.25">
      <c r="A2635" s="63"/>
      <c r="B2635" s="63">
        <f>'Padrão EPP'!B2635</f>
        <v>13</v>
      </c>
      <c r="C2635" s="63" t="str">
        <f>'Padrão EPP'!C2635</f>
        <v>PE</v>
      </c>
      <c r="D2635" s="63" t="str">
        <f>'Padrão EPP'!D2635</f>
        <v>INTERIOR</v>
      </c>
      <c r="E2635" s="63">
        <f>'Padrão EPP'!E2635/2</f>
        <v>0</v>
      </c>
      <c r="F2635" s="67">
        <v>3.0000000000000001E-3</v>
      </c>
      <c r="G2635" s="67">
        <v>2E-3</v>
      </c>
      <c r="H2635" s="63"/>
    </row>
    <row r="2636" spans="1:8" x14ac:dyDescent="0.25">
      <c r="A2636" s="63"/>
      <c r="B2636" s="63">
        <f>'Padrão EPP'!B2636</f>
        <v>14</v>
      </c>
      <c r="C2636" s="63" t="str">
        <f>'Padrão EPP'!C2636</f>
        <v>PE</v>
      </c>
      <c r="D2636" s="63" t="str">
        <f>'Padrão EPP'!D2636</f>
        <v>INTERIOR</v>
      </c>
      <c r="E2636" s="63">
        <f>'Padrão EPP'!E2636/2</f>
        <v>0</v>
      </c>
      <c r="F2636" s="67">
        <v>3.0000000000000001E-3</v>
      </c>
      <c r="G2636" s="67">
        <v>2E-3</v>
      </c>
      <c r="H2636" s="63"/>
    </row>
    <row r="2637" spans="1:8" x14ac:dyDescent="0.25">
      <c r="A2637" s="63"/>
      <c r="B2637" s="63">
        <f>'Padrão EPP'!B2637</f>
        <v>15</v>
      </c>
      <c r="C2637" s="63" t="str">
        <f>'Padrão EPP'!C2637</f>
        <v>PE</v>
      </c>
      <c r="D2637" s="63" t="str">
        <f>'Padrão EPP'!D2637</f>
        <v>INTERIOR</v>
      </c>
      <c r="E2637" s="63">
        <f>'Padrão EPP'!E2637/2</f>
        <v>0</v>
      </c>
      <c r="F2637" s="67">
        <v>3.0000000000000001E-3</v>
      </c>
      <c r="G2637" s="67">
        <v>2E-3</v>
      </c>
      <c r="H2637" s="63"/>
    </row>
    <row r="2638" spans="1:8" x14ac:dyDescent="0.25">
      <c r="A2638" s="63"/>
      <c r="B2638" s="63">
        <f>'Padrão EPP'!B2638</f>
        <v>16</v>
      </c>
      <c r="C2638" s="63" t="str">
        <f>'Padrão EPP'!C2638</f>
        <v>PE</v>
      </c>
      <c r="D2638" s="63" t="str">
        <f>'Padrão EPP'!D2638</f>
        <v>INTERIOR</v>
      </c>
      <c r="E2638" s="63">
        <f>'Padrão EPP'!E2638/2</f>
        <v>0</v>
      </c>
      <c r="F2638" s="67">
        <v>3.0000000000000001E-3</v>
      </c>
      <c r="G2638" s="67">
        <v>2E-3</v>
      </c>
      <c r="H2638" s="63"/>
    </row>
    <row r="2639" spans="1:8" x14ac:dyDescent="0.25">
      <c r="A2639" s="63"/>
      <c r="B2639" s="63">
        <f>'Padrão EPP'!B2639</f>
        <v>17</v>
      </c>
      <c r="C2639" s="63" t="str">
        <f>'Padrão EPP'!C2639</f>
        <v>PE</v>
      </c>
      <c r="D2639" s="63" t="str">
        <f>'Padrão EPP'!D2639</f>
        <v>INTERIOR</v>
      </c>
      <c r="E2639" s="63">
        <f>'Padrão EPP'!E2639/2</f>
        <v>0</v>
      </c>
      <c r="F2639" s="67">
        <v>3.0000000000000001E-3</v>
      </c>
      <c r="G2639" s="67">
        <v>2E-3</v>
      </c>
      <c r="H2639" s="63"/>
    </row>
    <row r="2640" spans="1:8" x14ac:dyDescent="0.25">
      <c r="A2640" s="63"/>
      <c r="B2640" s="63">
        <f>'Padrão EPP'!B2640</f>
        <v>18</v>
      </c>
      <c r="C2640" s="63" t="str">
        <f>'Padrão EPP'!C2640</f>
        <v>PE</v>
      </c>
      <c r="D2640" s="63" t="str">
        <f>'Padrão EPP'!D2640</f>
        <v>INTERIOR</v>
      </c>
      <c r="E2640" s="63">
        <f>'Padrão EPP'!E2640/2</f>
        <v>0</v>
      </c>
      <c r="F2640" s="67">
        <v>3.0000000000000001E-3</v>
      </c>
      <c r="G2640" s="67">
        <v>2E-3</v>
      </c>
      <c r="H2640" s="63"/>
    </row>
    <row r="2641" spans="1:8" x14ac:dyDescent="0.25">
      <c r="A2641" s="63"/>
      <c r="B2641" s="63">
        <f>'Padrão EPP'!B2641</f>
        <v>19</v>
      </c>
      <c r="C2641" s="63" t="str">
        <f>'Padrão EPP'!C2641</f>
        <v>PE</v>
      </c>
      <c r="D2641" s="63" t="str">
        <f>'Padrão EPP'!D2641</f>
        <v>INTERIOR</v>
      </c>
      <c r="E2641" s="63">
        <f>'Padrão EPP'!E2641/2</f>
        <v>0</v>
      </c>
      <c r="F2641" s="67">
        <v>3.0000000000000001E-3</v>
      </c>
      <c r="G2641" s="67">
        <v>2E-3</v>
      </c>
      <c r="H2641" s="63"/>
    </row>
    <row r="2642" spans="1:8" x14ac:dyDescent="0.25">
      <c r="A2642" s="63"/>
      <c r="B2642" s="63">
        <f>'Padrão EPP'!B2642</f>
        <v>20</v>
      </c>
      <c r="C2642" s="63" t="str">
        <f>'Padrão EPP'!C2642</f>
        <v>PE</v>
      </c>
      <c r="D2642" s="63" t="str">
        <f>'Padrão EPP'!D2642</f>
        <v>INTERIOR</v>
      </c>
      <c r="E2642" s="63">
        <f>'Padrão EPP'!E2642/2</f>
        <v>0</v>
      </c>
      <c r="F2642" s="67">
        <v>3.0000000000000001E-3</v>
      </c>
      <c r="G2642" s="67">
        <v>2E-3</v>
      </c>
      <c r="H2642" s="63"/>
    </row>
    <row r="2643" spans="1:8" x14ac:dyDescent="0.25">
      <c r="A2643" s="63"/>
      <c r="B2643" s="63">
        <f>'Padrão EPP'!B2643</f>
        <v>21</v>
      </c>
      <c r="C2643" s="63" t="str">
        <f>'Padrão EPP'!C2643</f>
        <v>PE</v>
      </c>
      <c r="D2643" s="63" t="str">
        <f>'Padrão EPP'!D2643</f>
        <v>INTERIOR</v>
      </c>
      <c r="E2643" s="63">
        <f>'Padrão EPP'!E2643/2</f>
        <v>0</v>
      </c>
      <c r="F2643" s="67">
        <v>3.0000000000000001E-3</v>
      </c>
      <c r="G2643" s="67">
        <v>2E-3</v>
      </c>
      <c r="H2643" s="63"/>
    </row>
    <row r="2644" spans="1:8" x14ac:dyDescent="0.25">
      <c r="A2644" s="63"/>
      <c r="B2644" s="63">
        <f>'Padrão EPP'!B2644</f>
        <v>22</v>
      </c>
      <c r="C2644" s="63" t="str">
        <f>'Padrão EPP'!C2644</f>
        <v>PE</v>
      </c>
      <c r="D2644" s="63" t="str">
        <f>'Padrão EPP'!D2644</f>
        <v>INTERIOR</v>
      </c>
      <c r="E2644" s="63">
        <f>'Padrão EPP'!E2644/2</f>
        <v>0</v>
      </c>
      <c r="F2644" s="67">
        <v>3.0000000000000001E-3</v>
      </c>
      <c r="G2644" s="67">
        <v>2E-3</v>
      </c>
      <c r="H2644" s="63"/>
    </row>
    <row r="2645" spans="1:8" x14ac:dyDescent="0.25">
      <c r="A2645" s="63"/>
      <c r="B2645" s="63">
        <f>'Padrão EPP'!B2645</f>
        <v>23</v>
      </c>
      <c r="C2645" s="63" t="str">
        <f>'Padrão EPP'!C2645</f>
        <v>PE</v>
      </c>
      <c r="D2645" s="63" t="str">
        <f>'Padrão EPP'!D2645</f>
        <v>INTERIOR</v>
      </c>
      <c r="E2645" s="63">
        <f>'Padrão EPP'!E2645/2</f>
        <v>0</v>
      </c>
      <c r="F2645" s="67">
        <v>3.0000000000000001E-3</v>
      </c>
      <c r="G2645" s="67">
        <v>2E-3</v>
      </c>
      <c r="H2645" s="63"/>
    </row>
    <row r="2646" spans="1:8" x14ac:dyDescent="0.25">
      <c r="A2646" s="63"/>
      <c r="B2646" s="63">
        <f>'Padrão EPP'!B2646</f>
        <v>24</v>
      </c>
      <c r="C2646" s="63" t="str">
        <f>'Padrão EPP'!C2646</f>
        <v>PE</v>
      </c>
      <c r="D2646" s="63" t="str">
        <f>'Padrão EPP'!D2646</f>
        <v>INTERIOR</v>
      </c>
      <c r="E2646" s="63">
        <f>'Padrão EPP'!E2646/2</f>
        <v>0</v>
      </c>
      <c r="F2646" s="67">
        <v>3.0000000000000001E-3</v>
      </c>
      <c r="G2646" s="67">
        <v>2E-3</v>
      </c>
      <c r="H2646" s="63"/>
    </row>
    <row r="2647" spans="1:8" x14ac:dyDescent="0.25">
      <c r="A2647" s="63"/>
      <c r="B2647" s="63">
        <f>'Padrão EPP'!B2647</f>
        <v>25</v>
      </c>
      <c r="C2647" s="63" t="str">
        <f>'Padrão EPP'!C2647</f>
        <v>PE</v>
      </c>
      <c r="D2647" s="63" t="str">
        <f>'Padrão EPP'!D2647</f>
        <v>INTERIOR</v>
      </c>
      <c r="E2647" s="63">
        <f>'Padrão EPP'!E2647/2</f>
        <v>0</v>
      </c>
      <c r="F2647" s="67">
        <v>3.0000000000000001E-3</v>
      </c>
      <c r="G2647" s="67">
        <v>2E-3</v>
      </c>
      <c r="H2647" s="63"/>
    </row>
    <row r="2648" spans="1:8" x14ac:dyDescent="0.25">
      <c r="A2648" s="63"/>
      <c r="B2648" s="63">
        <f>'Padrão EPP'!B2648</f>
        <v>26</v>
      </c>
      <c r="C2648" s="63" t="str">
        <f>'Padrão EPP'!C2648</f>
        <v>PE</v>
      </c>
      <c r="D2648" s="63" t="str">
        <f>'Padrão EPP'!D2648</f>
        <v>INTERIOR</v>
      </c>
      <c r="E2648" s="63">
        <f>'Padrão EPP'!E2648/2</f>
        <v>0</v>
      </c>
      <c r="F2648" s="67">
        <v>3.0000000000000001E-3</v>
      </c>
      <c r="G2648" s="67">
        <v>2E-3</v>
      </c>
      <c r="H2648" s="63"/>
    </row>
    <row r="2649" spans="1:8" x14ac:dyDescent="0.25">
      <c r="A2649" s="63"/>
      <c r="B2649" s="63">
        <f>'Padrão EPP'!B2649</f>
        <v>27</v>
      </c>
      <c r="C2649" s="63" t="str">
        <f>'Padrão EPP'!C2649</f>
        <v>PE</v>
      </c>
      <c r="D2649" s="63" t="str">
        <f>'Padrão EPP'!D2649</f>
        <v>INTERIOR</v>
      </c>
      <c r="E2649" s="63">
        <f>'Padrão EPP'!E2649/2</f>
        <v>0</v>
      </c>
      <c r="F2649" s="67">
        <v>3.0000000000000001E-3</v>
      </c>
      <c r="G2649" s="67">
        <v>2E-3</v>
      </c>
      <c r="H2649" s="63"/>
    </row>
    <row r="2650" spans="1:8" x14ac:dyDescent="0.25">
      <c r="A2650" s="63"/>
      <c r="B2650" s="63">
        <f>'Padrão EPP'!B2650</f>
        <v>28</v>
      </c>
      <c r="C2650" s="63" t="str">
        <f>'Padrão EPP'!C2650</f>
        <v>PE</v>
      </c>
      <c r="D2650" s="63" t="str">
        <f>'Padrão EPP'!D2650</f>
        <v>INTERIOR</v>
      </c>
      <c r="E2650" s="63">
        <f>'Padrão EPP'!E2650/2</f>
        <v>0</v>
      </c>
      <c r="F2650" s="67">
        <v>3.0000000000000001E-3</v>
      </c>
      <c r="G2650" s="67">
        <v>2E-3</v>
      </c>
      <c r="H2650" s="63"/>
    </row>
    <row r="2651" spans="1:8" x14ac:dyDescent="0.25">
      <c r="A2651" s="63"/>
      <c r="B2651" s="63">
        <f>'Padrão EPP'!B2651</f>
        <v>29</v>
      </c>
      <c r="C2651" s="63" t="str">
        <f>'Padrão EPP'!C2651</f>
        <v>PE</v>
      </c>
      <c r="D2651" s="63" t="str">
        <f>'Padrão EPP'!D2651</f>
        <v>INTERIOR</v>
      </c>
      <c r="E2651" s="63">
        <f>'Padrão EPP'!E2651/2</f>
        <v>0</v>
      </c>
      <c r="F2651" s="67">
        <v>3.0000000000000001E-3</v>
      </c>
      <c r="G2651" s="67">
        <v>2E-3</v>
      </c>
      <c r="H2651" s="63"/>
    </row>
    <row r="2652" spans="1:8" x14ac:dyDescent="0.25">
      <c r="A2652" s="63"/>
      <c r="B2652" s="63">
        <f>'Padrão EPP'!B2652</f>
        <v>30</v>
      </c>
      <c r="C2652" s="63" t="str">
        <f>'Padrão EPP'!C2652</f>
        <v>PE</v>
      </c>
      <c r="D2652" s="63" t="str">
        <f>'Padrão EPP'!D2652</f>
        <v>INTERIOR</v>
      </c>
      <c r="E2652" s="63">
        <f>'Padrão EPP'!E2652/2</f>
        <v>0</v>
      </c>
      <c r="F2652" s="67">
        <v>3.0000000000000001E-3</v>
      </c>
      <c r="G2652" s="67">
        <v>2E-3</v>
      </c>
      <c r="H2652" s="63"/>
    </row>
    <row r="2653" spans="1:8" x14ac:dyDescent="0.25">
      <c r="A2653" s="63"/>
      <c r="B2653" s="63">
        <f>'Padrão EPP'!B2653</f>
        <v>0</v>
      </c>
      <c r="C2653" s="63" t="str">
        <f>'Padrão EPP'!C2653</f>
        <v>PE</v>
      </c>
      <c r="D2653" s="63" t="str">
        <f>'Padrão EPP'!D2653</f>
        <v>INTERIOR</v>
      </c>
      <c r="E2653" s="63">
        <f>'Padrão EPP'!E2653/2</f>
        <v>1.5214394455252955</v>
      </c>
      <c r="F2653" s="67">
        <v>3.0000000000000001E-3</v>
      </c>
      <c r="G2653" s="67">
        <v>2E-3</v>
      </c>
      <c r="H2653" s="63"/>
    </row>
    <row r="2654" spans="1:8" x14ac:dyDescent="0.25">
      <c r="A2654" s="63"/>
      <c r="B2654" s="63">
        <f>'Padrão EPP'!B2654</f>
        <v>0.25</v>
      </c>
      <c r="C2654" s="63" t="str">
        <f>'Padrão EPP'!C2654</f>
        <v>PE</v>
      </c>
      <c r="D2654" s="63" t="str">
        <f>'Padrão EPP'!D2654</f>
        <v>INTERIOR II</v>
      </c>
      <c r="E2654" s="63">
        <f>'Padrão EPP'!E2654/2</f>
        <v>10.664834362042317</v>
      </c>
      <c r="F2654" s="67">
        <v>3.0000000000000001E-3</v>
      </c>
      <c r="G2654" s="67">
        <v>2E-3</v>
      </c>
      <c r="H2654" s="63"/>
    </row>
    <row r="2655" spans="1:8" x14ac:dyDescent="0.25">
      <c r="A2655" s="63"/>
      <c r="B2655" s="63">
        <f>'Padrão EPP'!B2655</f>
        <v>0.5</v>
      </c>
      <c r="C2655" s="63" t="str">
        <f>'Padrão EPP'!C2655</f>
        <v>PE</v>
      </c>
      <c r="D2655" s="63" t="str">
        <f>'Padrão EPP'!D2655</f>
        <v>INTERIOR II</v>
      </c>
      <c r="E2655" s="63">
        <f>'Padrão EPP'!E2655/2</f>
        <v>11.767593563116643</v>
      </c>
      <c r="F2655" s="67">
        <v>3.0000000000000001E-3</v>
      </c>
      <c r="G2655" s="67">
        <v>2E-3</v>
      </c>
      <c r="H2655" s="63"/>
    </row>
    <row r="2656" spans="1:8" x14ac:dyDescent="0.25">
      <c r="A2656" s="63"/>
      <c r="B2656" s="63">
        <f>'Padrão EPP'!B2656</f>
        <v>0.75</v>
      </c>
      <c r="C2656" s="63" t="str">
        <f>'Padrão EPP'!C2656</f>
        <v>PE</v>
      </c>
      <c r="D2656" s="63" t="str">
        <f>'Padrão EPP'!D2656</f>
        <v>INTERIOR II</v>
      </c>
      <c r="E2656" s="63">
        <f>'Padrão EPP'!E2656/2</f>
        <v>12.984674247730331</v>
      </c>
      <c r="F2656" s="67">
        <v>3.0000000000000001E-3</v>
      </c>
      <c r="G2656" s="67">
        <v>2E-3</v>
      </c>
      <c r="H2656" s="63"/>
    </row>
    <row r="2657" spans="1:8" x14ac:dyDescent="0.25">
      <c r="A2657" s="63"/>
      <c r="B2657" s="63">
        <f>'Padrão EPP'!B2657</f>
        <v>1</v>
      </c>
      <c r="C2657" s="63" t="str">
        <f>'Padrão EPP'!C2657</f>
        <v>PE</v>
      </c>
      <c r="D2657" s="63" t="str">
        <f>'Padrão EPP'!D2657</f>
        <v>INTERIOR II</v>
      </c>
      <c r="E2657" s="63">
        <f>'Padrão EPP'!E2657/2</f>
        <v>14.009326257526483</v>
      </c>
      <c r="F2657" s="67">
        <v>3.0000000000000001E-3</v>
      </c>
      <c r="G2657" s="67">
        <v>2E-3</v>
      </c>
      <c r="H2657" s="63"/>
    </row>
    <row r="2658" spans="1:8" x14ac:dyDescent="0.25">
      <c r="A2658" s="63"/>
      <c r="B2658" s="63">
        <f>'Padrão EPP'!B2658</f>
        <v>2</v>
      </c>
      <c r="C2658" s="63" t="str">
        <f>'Padrão EPP'!C2658</f>
        <v>PE</v>
      </c>
      <c r="D2658" s="63" t="str">
        <f>'Padrão EPP'!D2658</f>
        <v>INTERIOR II</v>
      </c>
      <c r="E2658" s="63">
        <f>'Padrão EPP'!E2658/2</f>
        <v>17.237130665620064</v>
      </c>
      <c r="F2658" s="67">
        <v>3.0000000000000001E-3</v>
      </c>
      <c r="G2658" s="67">
        <v>2E-3</v>
      </c>
      <c r="H2658" s="63"/>
    </row>
    <row r="2659" spans="1:8" x14ac:dyDescent="0.25">
      <c r="A2659" s="63"/>
      <c r="B2659" s="63">
        <f>'Padrão EPP'!B2659</f>
        <v>3</v>
      </c>
      <c r="C2659" s="63" t="str">
        <f>'Padrão EPP'!C2659</f>
        <v>PE</v>
      </c>
      <c r="D2659" s="63" t="str">
        <f>'Padrão EPP'!D2659</f>
        <v>INTERIOR II</v>
      </c>
      <c r="E2659" s="63">
        <f>'Padrão EPP'!E2659/2</f>
        <v>20.8398786988562</v>
      </c>
      <c r="F2659" s="67">
        <v>3.0000000000000001E-3</v>
      </c>
      <c r="G2659" s="67">
        <v>2E-3</v>
      </c>
      <c r="H2659" s="63"/>
    </row>
    <row r="2660" spans="1:8" x14ac:dyDescent="0.25">
      <c r="A2660" s="63"/>
      <c r="B2660" s="63">
        <f>'Padrão EPP'!B2660</f>
        <v>4</v>
      </c>
      <c r="C2660" s="63" t="str">
        <f>'Padrão EPP'!C2660</f>
        <v>PE</v>
      </c>
      <c r="D2660" s="63" t="str">
        <f>'Padrão EPP'!D2660</f>
        <v>INTERIOR II</v>
      </c>
      <c r="E2660" s="63">
        <f>'Padrão EPP'!E2660/2</f>
        <v>24.482178988783669</v>
      </c>
      <c r="F2660" s="67">
        <v>3.0000000000000001E-3</v>
      </c>
      <c r="G2660" s="67">
        <v>2E-3</v>
      </c>
      <c r="H2660" s="63"/>
    </row>
    <row r="2661" spans="1:8" x14ac:dyDescent="0.25">
      <c r="A2661" s="63"/>
      <c r="B2661" s="63">
        <f>'Padrão EPP'!B2661</f>
        <v>5</v>
      </c>
      <c r="C2661" s="63" t="str">
        <f>'Padrão EPP'!C2661</f>
        <v>PE</v>
      </c>
      <c r="D2661" s="63" t="str">
        <f>'Padrão EPP'!D2661</f>
        <v>INTERIOR II</v>
      </c>
      <c r="E2661" s="63">
        <f>'Padrão EPP'!E2661/2</f>
        <v>28.167986761071607</v>
      </c>
      <c r="F2661" s="67">
        <v>3.0000000000000001E-3</v>
      </c>
      <c r="G2661" s="67">
        <v>2E-3</v>
      </c>
      <c r="H2661" s="63"/>
    </row>
    <row r="2662" spans="1:8" x14ac:dyDescent="0.25">
      <c r="A2662" s="63"/>
      <c r="B2662" s="63">
        <f>'Padrão EPP'!B2662</f>
        <v>6</v>
      </c>
      <c r="C2662" s="63" t="str">
        <f>'Padrão EPP'!C2662</f>
        <v>PE</v>
      </c>
      <c r="D2662" s="63" t="str">
        <f>'Padrão EPP'!D2662</f>
        <v>INTERIOR II</v>
      </c>
      <c r="E2662" s="63">
        <f>'Padrão EPP'!E2662/2</f>
        <v>32.674525675155373</v>
      </c>
      <c r="F2662" s="67">
        <v>3.0000000000000001E-3</v>
      </c>
      <c r="G2662" s="67">
        <v>2E-3</v>
      </c>
      <c r="H2662" s="63"/>
    </row>
    <row r="2663" spans="1:8" x14ac:dyDescent="0.25">
      <c r="A2663" s="63"/>
      <c r="B2663" s="63">
        <f>'Padrão EPP'!B2663</f>
        <v>7</v>
      </c>
      <c r="C2663" s="63" t="str">
        <f>'Padrão EPP'!C2663</f>
        <v>PE</v>
      </c>
      <c r="D2663" s="63" t="str">
        <f>'Padrão EPP'!D2663</f>
        <v>INTERIOR II</v>
      </c>
      <c r="E2663" s="63">
        <f>'Padrão EPP'!E2663/2</f>
        <v>36.152564481347717</v>
      </c>
      <c r="F2663" s="67">
        <v>3.0000000000000001E-3</v>
      </c>
      <c r="G2663" s="67">
        <v>2E-3</v>
      </c>
      <c r="H2663" s="63"/>
    </row>
    <row r="2664" spans="1:8" x14ac:dyDescent="0.25">
      <c r="A2664" s="63"/>
      <c r="B2664" s="63">
        <f>'Padrão EPP'!B2664</f>
        <v>8</v>
      </c>
      <c r="C2664" s="63" t="str">
        <f>'Padrão EPP'!C2664</f>
        <v>PE</v>
      </c>
      <c r="D2664" s="63" t="str">
        <f>'Padrão EPP'!D2664</f>
        <v>INTERIOR II</v>
      </c>
      <c r="E2664" s="63">
        <f>'Padrão EPP'!E2664/2</f>
        <v>39.682745305271126</v>
      </c>
      <c r="F2664" s="67">
        <v>3.0000000000000001E-3</v>
      </c>
      <c r="G2664" s="67">
        <v>2E-3</v>
      </c>
      <c r="H2664" s="63"/>
    </row>
    <row r="2665" spans="1:8" x14ac:dyDescent="0.25">
      <c r="A2665" s="63"/>
      <c r="B2665" s="63">
        <f>'Padrão EPP'!B2665</f>
        <v>9</v>
      </c>
      <c r="C2665" s="63" t="str">
        <f>'Padrão EPP'!C2665</f>
        <v>PE</v>
      </c>
      <c r="D2665" s="63" t="str">
        <f>'Padrão EPP'!D2665</f>
        <v>INTERIOR II</v>
      </c>
      <c r="E2665" s="63">
        <f>'Padrão EPP'!E2665/2</f>
        <v>43.609501708943021</v>
      </c>
      <c r="F2665" s="67">
        <v>3.0000000000000001E-3</v>
      </c>
      <c r="G2665" s="67">
        <v>2E-3</v>
      </c>
      <c r="H2665" s="63"/>
    </row>
    <row r="2666" spans="1:8" x14ac:dyDescent="0.25">
      <c r="A2666" s="63"/>
      <c r="B2666" s="63">
        <f>'Padrão EPP'!B2666</f>
        <v>10</v>
      </c>
      <c r="C2666" s="63" t="str">
        <f>'Padrão EPP'!C2666</f>
        <v>PE</v>
      </c>
      <c r="D2666" s="63" t="str">
        <f>'Padrão EPP'!D2666</f>
        <v>INTERIOR II</v>
      </c>
      <c r="E2666" s="63">
        <f>'Padrão EPP'!E2666/2</f>
        <v>47.527462137970488</v>
      </c>
      <c r="F2666" s="67">
        <v>3.0000000000000001E-3</v>
      </c>
      <c r="G2666" s="67">
        <v>2E-3</v>
      </c>
      <c r="H2666" s="63"/>
    </row>
    <row r="2667" spans="1:8" x14ac:dyDescent="0.25">
      <c r="A2667" s="63"/>
      <c r="B2667" s="63">
        <f>'Padrão EPP'!B2667</f>
        <v>11</v>
      </c>
      <c r="C2667" s="63" t="str">
        <f>'Padrão EPP'!C2667</f>
        <v>PE</v>
      </c>
      <c r="D2667" s="63" t="str">
        <f>'Padrão EPP'!D2667</f>
        <v>INTERIOR II</v>
      </c>
      <c r="E2667" s="63">
        <f>'Padrão EPP'!E2667/2</f>
        <v>0</v>
      </c>
      <c r="F2667" s="67">
        <v>3.0000000000000001E-3</v>
      </c>
      <c r="G2667" s="67">
        <v>2E-3</v>
      </c>
      <c r="H2667" s="63"/>
    </row>
    <row r="2668" spans="1:8" x14ac:dyDescent="0.25">
      <c r="A2668" s="63"/>
      <c r="B2668" s="63">
        <f>'Padrão EPP'!B2668</f>
        <v>12</v>
      </c>
      <c r="C2668" s="63" t="str">
        <f>'Padrão EPP'!C2668</f>
        <v>PE</v>
      </c>
      <c r="D2668" s="63" t="str">
        <f>'Padrão EPP'!D2668</f>
        <v>INTERIOR II</v>
      </c>
      <c r="E2668" s="63">
        <f>'Padrão EPP'!E2668/2</f>
        <v>0</v>
      </c>
      <c r="F2668" s="67">
        <v>3.0000000000000001E-3</v>
      </c>
      <c r="G2668" s="67">
        <v>2E-3</v>
      </c>
      <c r="H2668" s="63"/>
    </row>
    <row r="2669" spans="1:8" x14ac:dyDescent="0.25">
      <c r="A2669" s="63"/>
      <c r="B2669" s="63">
        <f>'Padrão EPP'!B2669</f>
        <v>13</v>
      </c>
      <c r="C2669" s="63" t="str">
        <f>'Padrão EPP'!C2669</f>
        <v>PE</v>
      </c>
      <c r="D2669" s="63" t="str">
        <f>'Padrão EPP'!D2669</f>
        <v>INTERIOR II</v>
      </c>
      <c r="E2669" s="63">
        <f>'Padrão EPP'!E2669/2</f>
        <v>0</v>
      </c>
      <c r="F2669" s="67">
        <v>3.0000000000000001E-3</v>
      </c>
      <c r="G2669" s="67">
        <v>2E-3</v>
      </c>
      <c r="H2669" s="63"/>
    </row>
    <row r="2670" spans="1:8" x14ac:dyDescent="0.25">
      <c r="A2670" s="63"/>
      <c r="B2670" s="63">
        <f>'Padrão EPP'!B2670</f>
        <v>14</v>
      </c>
      <c r="C2670" s="63" t="str">
        <f>'Padrão EPP'!C2670</f>
        <v>PE</v>
      </c>
      <c r="D2670" s="63" t="str">
        <f>'Padrão EPP'!D2670</f>
        <v>INTERIOR II</v>
      </c>
      <c r="E2670" s="63">
        <f>'Padrão EPP'!E2670/2</f>
        <v>0</v>
      </c>
      <c r="F2670" s="67">
        <v>3.0000000000000001E-3</v>
      </c>
      <c r="G2670" s="67">
        <v>2E-3</v>
      </c>
      <c r="H2670" s="63"/>
    </row>
    <row r="2671" spans="1:8" x14ac:dyDescent="0.25">
      <c r="A2671" s="63"/>
      <c r="B2671" s="63">
        <f>'Padrão EPP'!B2671</f>
        <v>15</v>
      </c>
      <c r="C2671" s="63" t="str">
        <f>'Padrão EPP'!C2671</f>
        <v>PE</v>
      </c>
      <c r="D2671" s="63" t="str">
        <f>'Padrão EPP'!D2671</f>
        <v>INTERIOR II</v>
      </c>
      <c r="E2671" s="63">
        <f>'Padrão EPP'!E2671/2</f>
        <v>0</v>
      </c>
      <c r="F2671" s="67">
        <v>3.0000000000000001E-3</v>
      </c>
      <c r="G2671" s="67">
        <v>2E-3</v>
      </c>
      <c r="H2671" s="63"/>
    </row>
    <row r="2672" spans="1:8" x14ac:dyDescent="0.25">
      <c r="A2672" s="63"/>
      <c r="B2672" s="63">
        <f>'Padrão EPP'!B2672</f>
        <v>16</v>
      </c>
      <c r="C2672" s="63" t="str">
        <f>'Padrão EPP'!C2672</f>
        <v>PE</v>
      </c>
      <c r="D2672" s="63" t="str">
        <f>'Padrão EPP'!D2672</f>
        <v>INTERIOR II</v>
      </c>
      <c r="E2672" s="63">
        <f>'Padrão EPP'!E2672/2</f>
        <v>0</v>
      </c>
      <c r="F2672" s="67">
        <v>3.0000000000000001E-3</v>
      </c>
      <c r="G2672" s="67">
        <v>2E-3</v>
      </c>
      <c r="H2672" s="63"/>
    </row>
    <row r="2673" spans="1:8" x14ac:dyDescent="0.25">
      <c r="A2673" s="63"/>
      <c r="B2673" s="63">
        <f>'Padrão EPP'!B2673</f>
        <v>17</v>
      </c>
      <c r="C2673" s="63" t="str">
        <f>'Padrão EPP'!C2673</f>
        <v>PE</v>
      </c>
      <c r="D2673" s="63" t="str">
        <f>'Padrão EPP'!D2673</f>
        <v>INTERIOR II</v>
      </c>
      <c r="E2673" s="63">
        <f>'Padrão EPP'!E2673/2</f>
        <v>0</v>
      </c>
      <c r="F2673" s="67">
        <v>3.0000000000000001E-3</v>
      </c>
      <c r="G2673" s="67">
        <v>2E-3</v>
      </c>
      <c r="H2673" s="63"/>
    </row>
    <row r="2674" spans="1:8" x14ac:dyDescent="0.25">
      <c r="A2674" s="63"/>
      <c r="B2674" s="63">
        <f>'Padrão EPP'!B2674</f>
        <v>18</v>
      </c>
      <c r="C2674" s="63" t="str">
        <f>'Padrão EPP'!C2674</f>
        <v>PE</v>
      </c>
      <c r="D2674" s="63" t="str">
        <f>'Padrão EPP'!D2674</f>
        <v>INTERIOR II</v>
      </c>
      <c r="E2674" s="63">
        <f>'Padrão EPP'!E2674/2</f>
        <v>0</v>
      </c>
      <c r="F2674" s="67">
        <v>3.0000000000000001E-3</v>
      </c>
      <c r="G2674" s="67">
        <v>2E-3</v>
      </c>
      <c r="H2674" s="63"/>
    </row>
    <row r="2675" spans="1:8" x14ac:dyDescent="0.25">
      <c r="A2675" s="63"/>
      <c r="B2675" s="63">
        <f>'Padrão EPP'!B2675</f>
        <v>19</v>
      </c>
      <c r="C2675" s="63" t="str">
        <f>'Padrão EPP'!C2675</f>
        <v>PE</v>
      </c>
      <c r="D2675" s="63" t="str">
        <f>'Padrão EPP'!D2675</f>
        <v>INTERIOR II</v>
      </c>
      <c r="E2675" s="63">
        <f>'Padrão EPP'!E2675/2</f>
        <v>0</v>
      </c>
      <c r="F2675" s="67">
        <v>3.0000000000000001E-3</v>
      </c>
      <c r="G2675" s="67">
        <v>2E-3</v>
      </c>
      <c r="H2675" s="63"/>
    </row>
    <row r="2676" spans="1:8" x14ac:dyDescent="0.25">
      <c r="A2676" s="63"/>
      <c r="B2676" s="63">
        <f>'Padrão EPP'!B2676</f>
        <v>20</v>
      </c>
      <c r="C2676" s="63" t="str">
        <f>'Padrão EPP'!C2676</f>
        <v>PE</v>
      </c>
      <c r="D2676" s="63" t="str">
        <f>'Padrão EPP'!D2676</f>
        <v>INTERIOR II</v>
      </c>
      <c r="E2676" s="63">
        <f>'Padrão EPP'!E2676/2</f>
        <v>0</v>
      </c>
      <c r="F2676" s="67">
        <v>3.0000000000000001E-3</v>
      </c>
      <c r="G2676" s="67">
        <v>2E-3</v>
      </c>
      <c r="H2676" s="63"/>
    </row>
    <row r="2677" spans="1:8" x14ac:dyDescent="0.25">
      <c r="A2677" s="63"/>
      <c r="B2677" s="63">
        <f>'Padrão EPP'!B2677</f>
        <v>21</v>
      </c>
      <c r="C2677" s="63" t="str">
        <f>'Padrão EPP'!C2677</f>
        <v>PE</v>
      </c>
      <c r="D2677" s="63" t="str">
        <f>'Padrão EPP'!D2677</f>
        <v>INTERIOR II</v>
      </c>
      <c r="E2677" s="63">
        <f>'Padrão EPP'!E2677/2</f>
        <v>0</v>
      </c>
      <c r="F2677" s="67">
        <v>3.0000000000000001E-3</v>
      </c>
      <c r="G2677" s="67">
        <v>2E-3</v>
      </c>
      <c r="H2677" s="63"/>
    </row>
    <row r="2678" spans="1:8" x14ac:dyDescent="0.25">
      <c r="A2678" s="63"/>
      <c r="B2678" s="63">
        <f>'Padrão EPP'!B2678</f>
        <v>22</v>
      </c>
      <c r="C2678" s="63" t="str">
        <f>'Padrão EPP'!C2678</f>
        <v>PE</v>
      </c>
      <c r="D2678" s="63" t="str">
        <f>'Padrão EPP'!D2678</f>
        <v>INTERIOR II</v>
      </c>
      <c r="E2678" s="63">
        <f>'Padrão EPP'!E2678/2</f>
        <v>0</v>
      </c>
      <c r="F2678" s="67">
        <v>3.0000000000000001E-3</v>
      </c>
      <c r="G2678" s="67">
        <v>2E-3</v>
      </c>
      <c r="H2678" s="63"/>
    </row>
    <row r="2679" spans="1:8" x14ac:dyDescent="0.25">
      <c r="A2679" s="63"/>
      <c r="B2679" s="63">
        <f>'Padrão EPP'!B2679</f>
        <v>23</v>
      </c>
      <c r="C2679" s="63" t="str">
        <f>'Padrão EPP'!C2679</f>
        <v>PE</v>
      </c>
      <c r="D2679" s="63" t="str">
        <f>'Padrão EPP'!D2679</f>
        <v>INTERIOR II</v>
      </c>
      <c r="E2679" s="63">
        <f>'Padrão EPP'!E2679/2</f>
        <v>0</v>
      </c>
      <c r="F2679" s="67">
        <v>3.0000000000000001E-3</v>
      </c>
      <c r="G2679" s="67">
        <v>2E-3</v>
      </c>
      <c r="H2679" s="63"/>
    </row>
    <row r="2680" spans="1:8" x14ac:dyDescent="0.25">
      <c r="A2680" s="63"/>
      <c r="B2680" s="63">
        <f>'Padrão EPP'!B2680</f>
        <v>24</v>
      </c>
      <c r="C2680" s="63" t="str">
        <f>'Padrão EPP'!C2680</f>
        <v>PE</v>
      </c>
      <c r="D2680" s="63" t="str">
        <f>'Padrão EPP'!D2680</f>
        <v>INTERIOR II</v>
      </c>
      <c r="E2680" s="63">
        <f>'Padrão EPP'!E2680/2</f>
        <v>0</v>
      </c>
      <c r="F2680" s="67">
        <v>3.0000000000000001E-3</v>
      </c>
      <c r="G2680" s="67">
        <v>2E-3</v>
      </c>
      <c r="H2680" s="63"/>
    </row>
    <row r="2681" spans="1:8" x14ac:dyDescent="0.25">
      <c r="A2681" s="63"/>
      <c r="B2681" s="63">
        <f>'Padrão EPP'!B2681</f>
        <v>25</v>
      </c>
      <c r="C2681" s="63" t="str">
        <f>'Padrão EPP'!C2681</f>
        <v>PE</v>
      </c>
      <c r="D2681" s="63" t="str">
        <f>'Padrão EPP'!D2681</f>
        <v>INTERIOR II</v>
      </c>
      <c r="E2681" s="63">
        <f>'Padrão EPP'!E2681/2</f>
        <v>0</v>
      </c>
      <c r="F2681" s="67">
        <v>3.0000000000000001E-3</v>
      </c>
      <c r="G2681" s="67">
        <v>2E-3</v>
      </c>
      <c r="H2681" s="63"/>
    </row>
    <row r="2682" spans="1:8" x14ac:dyDescent="0.25">
      <c r="A2682" s="63"/>
      <c r="B2682" s="63">
        <f>'Padrão EPP'!B2682</f>
        <v>26</v>
      </c>
      <c r="C2682" s="63" t="str">
        <f>'Padrão EPP'!C2682</f>
        <v>PE</v>
      </c>
      <c r="D2682" s="63" t="str">
        <f>'Padrão EPP'!D2682</f>
        <v>INTERIOR II</v>
      </c>
      <c r="E2682" s="63">
        <f>'Padrão EPP'!E2682/2</f>
        <v>0</v>
      </c>
      <c r="F2682" s="67">
        <v>3.0000000000000001E-3</v>
      </c>
      <c r="G2682" s="67">
        <v>2E-3</v>
      </c>
      <c r="H2682" s="63"/>
    </row>
    <row r="2683" spans="1:8" x14ac:dyDescent="0.25">
      <c r="A2683" s="63"/>
      <c r="B2683" s="63">
        <f>'Padrão EPP'!B2683</f>
        <v>27</v>
      </c>
      <c r="C2683" s="63" t="str">
        <f>'Padrão EPP'!C2683</f>
        <v>PE</v>
      </c>
      <c r="D2683" s="63" t="str">
        <f>'Padrão EPP'!D2683</f>
        <v>INTERIOR II</v>
      </c>
      <c r="E2683" s="63">
        <f>'Padrão EPP'!E2683/2</f>
        <v>0</v>
      </c>
      <c r="F2683" s="67">
        <v>3.0000000000000001E-3</v>
      </c>
      <c r="G2683" s="67">
        <v>2E-3</v>
      </c>
      <c r="H2683" s="63"/>
    </row>
    <row r="2684" spans="1:8" x14ac:dyDescent="0.25">
      <c r="A2684" s="63"/>
      <c r="B2684" s="63">
        <f>'Padrão EPP'!B2684</f>
        <v>28</v>
      </c>
      <c r="C2684" s="63" t="str">
        <f>'Padrão EPP'!C2684</f>
        <v>PE</v>
      </c>
      <c r="D2684" s="63" t="str">
        <f>'Padrão EPP'!D2684</f>
        <v>INTERIOR II</v>
      </c>
      <c r="E2684" s="63">
        <f>'Padrão EPP'!E2684/2</f>
        <v>0</v>
      </c>
      <c r="F2684" s="67">
        <v>3.0000000000000001E-3</v>
      </c>
      <c r="G2684" s="67">
        <v>2E-3</v>
      </c>
      <c r="H2684" s="63"/>
    </row>
    <row r="2685" spans="1:8" x14ac:dyDescent="0.25">
      <c r="A2685" s="63"/>
      <c r="B2685" s="63">
        <f>'Padrão EPP'!B2685</f>
        <v>29</v>
      </c>
      <c r="C2685" s="63" t="str">
        <f>'Padrão EPP'!C2685</f>
        <v>PE</v>
      </c>
      <c r="D2685" s="63" t="str">
        <f>'Padrão EPP'!D2685</f>
        <v>INTERIOR II</v>
      </c>
      <c r="E2685" s="63">
        <f>'Padrão EPP'!E2685/2</f>
        <v>0</v>
      </c>
      <c r="F2685" s="67">
        <v>3.0000000000000001E-3</v>
      </c>
      <c r="G2685" s="67">
        <v>2E-3</v>
      </c>
      <c r="H2685" s="63"/>
    </row>
    <row r="2686" spans="1:8" x14ac:dyDescent="0.25">
      <c r="A2686" s="63"/>
      <c r="B2686" s="63">
        <f>'Padrão EPP'!B2686</f>
        <v>30</v>
      </c>
      <c r="C2686" s="63" t="str">
        <f>'Padrão EPP'!C2686</f>
        <v>PE</v>
      </c>
      <c r="D2686" s="63" t="str">
        <f>'Padrão EPP'!D2686</f>
        <v>INTERIOR II</v>
      </c>
      <c r="E2686" s="63">
        <f>'Padrão EPP'!E2686/2</f>
        <v>0</v>
      </c>
      <c r="F2686" s="67">
        <v>3.0000000000000001E-3</v>
      </c>
      <c r="G2686" s="67">
        <v>2E-3</v>
      </c>
      <c r="H2686" s="63"/>
    </row>
    <row r="2687" spans="1:8" x14ac:dyDescent="0.25">
      <c r="A2687" s="63"/>
      <c r="B2687" s="63">
        <f>'Padrão EPP'!B2687</f>
        <v>0</v>
      </c>
      <c r="C2687" s="63" t="str">
        <f>'Padrão EPP'!C2687</f>
        <v>PE</v>
      </c>
      <c r="D2687" s="63" t="str">
        <f>'Padrão EPP'!D2687</f>
        <v>INTERIOR II</v>
      </c>
      <c r="E2687" s="63">
        <f>'Padrão EPP'!E2687/2</f>
        <v>1.5214394455252955</v>
      </c>
      <c r="F2687" s="67">
        <v>3.0000000000000001E-3</v>
      </c>
      <c r="G2687" s="67">
        <v>2E-3</v>
      </c>
      <c r="H2687" s="63"/>
    </row>
    <row r="2688" spans="1:8" x14ac:dyDescent="0.25">
      <c r="A2688" s="63"/>
      <c r="B2688" s="63">
        <f>'Padrão EPP'!B2688</f>
        <v>0.25</v>
      </c>
      <c r="C2688" s="63" t="str">
        <f>'Padrão EPP'!C2688</f>
        <v>PE</v>
      </c>
      <c r="D2688" s="63" t="str">
        <f>'Padrão EPP'!D2688</f>
        <v>REDESPACHO</v>
      </c>
      <c r="E2688" s="63">
        <f>'Padrão EPP'!E2688/2</f>
        <v>14.762246421278281</v>
      </c>
      <c r="F2688" s="67">
        <v>3.0000000000000001E-3</v>
      </c>
      <c r="G2688" s="67">
        <v>2E-3</v>
      </c>
      <c r="H2688" s="63"/>
    </row>
    <row r="2689" spans="1:8" x14ac:dyDescent="0.25">
      <c r="A2689" s="63"/>
      <c r="B2689" s="63">
        <f>'Padrão EPP'!B2689</f>
        <v>0.5</v>
      </c>
      <c r="C2689" s="63" t="str">
        <f>'Padrão EPP'!C2689</f>
        <v>PE</v>
      </c>
      <c r="D2689" s="63" t="str">
        <f>'Padrão EPP'!D2689</f>
        <v>REDESPACHO</v>
      </c>
      <c r="E2689" s="63">
        <f>'Padrão EPP'!E2689/2</f>
        <v>16.243645248091735</v>
      </c>
      <c r="F2689" s="67">
        <v>3.0000000000000001E-3</v>
      </c>
      <c r="G2689" s="67">
        <v>2E-3</v>
      </c>
      <c r="H2689" s="63"/>
    </row>
    <row r="2690" spans="1:8" x14ac:dyDescent="0.25">
      <c r="A2690" s="63"/>
      <c r="B2690" s="63">
        <f>'Padrão EPP'!B2690</f>
        <v>0.75</v>
      </c>
      <c r="C2690" s="63" t="str">
        <f>'Padrão EPP'!C2690</f>
        <v>PE</v>
      </c>
      <c r="D2690" s="63" t="str">
        <f>'Padrão EPP'!D2690</f>
        <v>REDESPACHO</v>
      </c>
      <c r="E2690" s="63">
        <f>'Padrão EPP'!E2690/2</f>
        <v>17.874058267803452</v>
      </c>
      <c r="F2690" s="67">
        <v>3.0000000000000001E-3</v>
      </c>
      <c r="G2690" s="67">
        <v>2E-3</v>
      </c>
      <c r="H2690" s="63"/>
    </row>
    <row r="2691" spans="1:8" x14ac:dyDescent="0.25">
      <c r="A2691" s="63"/>
      <c r="B2691" s="63">
        <f>'Padrão EPP'!B2691</f>
        <v>1</v>
      </c>
      <c r="C2691" s="63" t="str">
        <f>'Padrão EPP'!C2691</f>
        <v>PE</v>
      </c>
      <c r="D2691" s="63" t="str">
        <f>'Padrão EPP'!D2691</f>
        <v>REDESPACHO</v>
      </c>
      <c r="E2691" s="63">
        <f>'Padrão EPP'!E2691/2</f>
        <v>18.982821407354656</v>
      </c>
      <c r="F2691" s="67">
        <v>3.0000000000000001E-3</v>
      </c>
      <c r="G2691" s="67">
        <v>2E-3</v>
      </c>
      <c r="H2691" s="63"/>
    </row>
    <row r="2692" spans="1:8" x14ac:dyDescent="0.25">
      <c r="A2692" s="63"/>
      <c r="B2692" s="63">
        <f>'Padrão EPP'!B2692</f>
        <v>2</v>
      </c>
      <c r="C2692" s="63" t="str">
        <f>'Padrão EPP'!C2692</f>
        <v>PE</v>
      </c>
      <c r="D2692" s="63" t="str">
        <f>'Padrão EPP'!D2692</f>
        <v>REDESPACHO</v>
      </c>
      <c r="E2692" s="63">
        <f>'Padrão EPP'!E2692/2</f>
        <v>22.765238410226459</v>
      </c>
      <c r="F2692" s="67">
        <v>3.0000000000000001E-3</v>
      </c>
      <c r="G2692" s="67">
        <v>2E-3</v>
      </c>
      <c r="H2692" s="63"/>
    </row>
    <row r="2693" spans="1:8" x14ac:dyDescent="0.25">
      <c r="A2693" s="63"/>
      <c r="B2693" s="63">
        <f>'Padrão EPP'!B2693</f>
        <v>3</v>
      </c>
      <c r="C2693" s="63" t="str">
        <f>'Padrão EPP'!C2693</f>
        <v>PE</v>
      </c>
      <c r="D2693" s="63" t="str">
        <f>'Padrão EPP'!D2693</f>
        <v>REDESPACHO</v>
      </c>
      <c r="E2693" s="63">
        <f>'Padrão EPP'!E2693/2</f>
        <v>29.22642678234466</v>
      </c>
      <c r="F2693" s="67">
        <v>3.0000000000000001E-3</v>
      </c>
      <c r="G2693" s="67">
        <v>2E-3</v>
      </c>
      <c r="H2693" s="63"/>
    </row>
    <row r="2694" spans="1:8" x14ac:dyDescent="0.25">
      <c r="A2694" s="63"/>
      <c r="B2694" s="63">
        <f>'Padrão EPP'!B2694</f>
        <v>4</v>
      </c>
      <c r="C2694" s="63" t="str">
        <f>'Padrão EPP'!C2694</f>
        <v>PE</v>
      </c>
      <c r="D2694" s="63" t="str">
        <f>'Padrão EPP'!D2694</f>
        <v>REDESPACHO</v>
      </c>
      <c r="E2694" s="63">
        <f>'Padrão EPP'!E2694/2</f>
        <v>33.880527705070058</v>
      </c>
      <c r="F2694" s="67">
        <v>3.0000000000000001E-3</v>
      </c>
      <c r="G2694" s="67">
        <v>2E-3</v>
      </c>
      <c r="H2694" s="63"/>
    </row>
    <row r="2695" spans="1:8" x14ac:dyDescent="0.25">
      <c r="A2695" s="63"/>
      <c r="B2695" s="63">
        <f>'Padrão EPP'!B2695</f>
        <v>5</v>
      </c>
      <c r="C2695" s="63" t="str">
        <f>'Padrão EPP'!C2695</f>
        <v>PE</v>
      </c>
      <c r="D2695" s="63" t="str">
        <f>'Padrão EPP'!D2695</f>
        <v>REDESPACHO</v>
      </c>
      <c r="E2695" s="63">
        <f>'Padrão EPP'!E2695/2</f>
        <v>38.643680334921051</v>
      </c>
      <c r="F2695" s="67">
        <v>3.0000000000000001E-3</v>
      </c>
      <c r="G2695" s="67">
        <v>2E-3</v>
      </c>
      <c r="H2695" s="63"/>
    </row>
    <row r="2696" spans="1:8" x14ac:dyDescent="0.25">
      <c r="A2696" s="63"/>
      <c r="B2696" s="63">
        <f>'Padrão EPP'!B2696</f>
        <v>6</v>
      </c>
      <c r="C2696" s="63" t="str">
        <f>'Padrão EPP'!C2696</f>
        <v>PE</v>
      </c>
      <c r="D2696" s="63" t="str">
        <f>'Padrão EPP'!D2696</f>
        <v>REDESPACHO</v>
      </c>
      <c r="E2696" s="63">
        <f>'Padrão EPP'!E2696/2</f>
        <v>43.526789842610135</v>
      </c>
      <c r="F2696" s="67">
        <v>3.0000000000000001E-3</v>
      </c>
      <c r="G2696" s="67">
        <v>2E-3</v>
      </c>
      <c r="H2696" s="63"/>
    </row>
    <row r="2697" spans="1:8" x14ac:dyDescent="0.25">
      <c r="A2697" s="63"/>
      <c r="B2697" s="63">
        <f>'Padrão EPP'!B2697</f>
        <v>7</v>
      </c>
      <c r="C2697" s="63" t="str">
        <f>'Padrão EPP'!C2697</f>
        <v>PE</v>
      </c>
      <c r="D2697" s="63" t="str">
        <f>'Padrão EPP'!D2697</f>
        <v>REDESPACHO</v>
      </c>
      <c r="E2697" s="63">
        <f>'Padrão EPP'!E2697/2</f>
        <v>48.541851915921157</v>
      </c>
      <c r="F2697" s="67">
        <v>3.0000000000000001E-3</v>
      </c>
      <c r="G2697" s="67">
        <v>2E-3</v>
      </c>
      <c r="H2697" s="63"/>
    </row>
    <row r="2698" spans="1:8" x14ac:dyDescent="0.25">
      <c r="A2698" s="63"/>
      <c r="B2698" s="63">
        <f>'Padrão EPP'!B2698</f>
        <v>8</v>
      </c>
      <c r="C2698" s="63" t="str">
        <f>'Padrão EPP'!C2698</f>
        <v>PE</v>
      </c>
      <c r="D2698" s="63" t="str">
        <f>'Padrão EPP'!D2698</f>
        <v>REDESPACHO</v>
      </c>
      <c r="E2698" s="63">
        <f>'Padrão EPP'!E2698/2</f>
        <v>53.702061811416328</v>
      </c>
      <c r="F2698" s="67">
        <v>3.0000000000000001E-3</v>
      </c>
      <c r="G2698" s="67">
        <v>2E-3</v>
      </c>
      <c r="H2698" s="63"/>
    </row>
    <row r="2699" spans="1:8" x14ac:dyDescent="0.25">
      <c r="A2699" s="63"/>
      <c r="B2699" s="63">
        <f>'Padrão EPP'!B2699</f>
        <v>9</v>
      </c>
      <c r="C2699" s="63" t="str">
        <f>'Padrão EPP'!C2699</f>
        <v>PE</v>
      </c>
      <c r="D2699" s="63" t="str">
        <f>'Padrão EPP'!D2699</f>
        <v>REDESPACHO</v>
      </c>
      <c r="E2699" s="63">
        <f>'Padrão EPP'!E2699/2</f>
        <v>59.021934311314027</v>
      </c>
      <c r="F2699" s="67">
        <v>3.0000000000000001E-3</v>
      </c>
      <c r="G2699" s="67">
        <v>2E-3</v>
      </c>
      <c r="H2699" s="63"/>
    </row>
    <row r="2700" spans="1:8" x14ac:dyDescent="0.25">
      <c r="A2700" s="63"/>
      <c r="B2700" s="63">
        <f>'Padrão EPP'!B2700</f>
        <v>10</v>
      </c>
      <c r="C2700" s="63" t="str">
        <f>'Padrão EPP'!C2700</f>
        <v>PE</v>
      </c>
      <c r="D2700" s="63" t="str">
        <f>'Padrão EPP'!D2700</f>
        <v>REDESPACHO</v>
      </c>
      <c r="E2700" s="63">
        <f>'Padrão EPP'!E2700/2</f>
        <v>64.916504476956959</v>
      </c>
      <c r="F2700" s="67">
        <v>3.0000000000000001E-3</v>
      </c>
      <c r="G2700" s="67">
        <v>2E-3</v>
      </c>
      <c r="H2700" s="63"/>
    </row>
    <row r="2701" spans="1:8" x14ac:dyDescent="0.25">
      <c r="A2701" s="63"/>
      <c r="B2701" s="63">
        <f>'Padrão EPP'!B2701</f>
        <v>11</v>
      </c>
      <c r="C2701" s="63" t="str">
        <f>'Padrão EPP'!C2701</f>
        <v>PE</v>
      </c>
      <c r="D2701" s="63" t="str">
        <f>'Padrão EPP'!D2701</f>
        <v>REDESPACHO</v>
      </c>
      <c r="E2701" s="63">
        <f>'Padrão EPP'!E2701/2</f>
        <v>0</v>
      </c>
      <c r="F2701" s="67">
        <v>3.0000000000000001E-3</v>
      </c>
      <c r="G2701" s="67">
        <v>2E-3</v>
      </c>
      <c r="H2701" s="63"/>
    </row>
    <row r="2702" spans="1:8" x14ac:dyDescent="0.25">
      <c r="A2702" s="63"/>
      <c r="B2702" s="63">
        <f>'Padrão EPP'!B2702</f>
        <v>12</v>
      </c>
      <c r="C2702" s="63" t="str">
        <f>'Padrão EPP'!C2702</f>
        <v>PE</v>
      </c>
      <c r="D2702" s="63" t="str">
        <f>'Padrão EPP'!D2702</f>
        <v>REDESPACHO</v>
      </c>
      <c r="E2702" s="63">
        <f>'Padrão EPP'!E2702/2</f>
        <v>0</v>
      </c>
      <c r="F2702" s="67">
        <v>3.0000000000000001E-3</v>
      </c>
      <c r="G2702" s="67">
        <v>2E-3</v>
      </c>
      <c r="H2702" s="63"/>
    </row>
    <row r="2703" spans="1:8" x14ac:dyDescent="0.25">
      <c r="A2703" s="63"/>
      <c r="B2703" s="63">
        <f>'Padrão EPP'!B2703</f>
        <v>13</v>
      </c>
      <c r="C2703" s="63" t="str">
        <f>'Padrão EPP'!C2703</f>
        <v>PE</v>
      </c>
      <c r="D2703" s="63" t="str">
        <f>'Padrão EPP'!D2703</f>
        <v>REDESPACHO</v>
      </c>
      <c r="E2703" s="63">
        <f>'Padrão EPP'!E2703/2</f>
        <v>0</v>
      </c>
      <c r="F2703" s="67">
        <v>3.0000000000000001E-3</v>
      </c>
      <c r="G2703" s="67">
        <v>2E-3</v>
      </c>
      <c r="H2703" s="63"/>
    </row>
    <row r="2704" spans="1:8" x14ac:dyDescent="0.25">
      <c r="A2704" s="63"/>
      <c r="B2704" s="63">
        <f>'Padrão EPP'!B2704</f>
        <v>14</v>
      </c>
      <c r="C2704" s="63" t="str">
        <f>'Padrão EPP'!C2704</f>
        <v>PE</v>
      </c>
      <c r="D2704" s="63" t="str">
        <f>'Padrão EPP'!D2704</f>
        <v>REDESPACHO</v>
      </c>
      <c r="E2704" s="63">
        <f>'Padrão EPP'!E2704/2</f>
        <v>0</v>
      </c>
      <c r="F2704" s="67">
        <v>3.0000000000000001E-3</v>
      </c>
      <c r="G2704" s="67">
        <v>2E-3</v>
      </c>
      <c r="H2704" s="63"/>
    </row>
    <row r="2705" spans="1:8" x14ac:dyDescent="0.25">
      <c r="A2705" s="63"/>
      <c r="B2705" s="63">
        <f>'Padrão EPP'!B2705</f>
        <v>15</v>
      </c>
      <c r="C2705" s="63" t="str">
        <f>'Padrão EPP'!C2705</f>
        <v>PE</v>
      </c>
      <c r="D2705" s="63" t="str">
        <f>'Padrão EPP'!D2705</f>
        <v>REDESPACHO</v>
      </c>
      <c r="E2705" s="63">
        <f>'Padrão EPP'!E2705/2</f>
        <v>0</v>
      </c>
      <c r="F2705" s="67">
        <v>3.0000000000000001E-3</v>
      </c>
      <c r="G2705" s="67">
        <v>2E-3</v>
      </c>
      <c r="H2705" s="63"/>
    </row>
    <row r="2706" spans="1:8" x14ac:dyDescent="0.25">
      <c r="A2706" s="63"/>
      <c r="B2706" s="63">
        <f>'Padrão EPP'!B2706</f>
        <v>16</v>
      </c>
      <c r="C2706" s="63" t="str">
        <f>'Padrão EPP'!C2706</f>
        <v>PE</v>
      </c>
      <c r="D2706" s="63" t="str">
        <f>'Padrão EPP'!D2706</f>
        <v>REDESPACHO</v>
      </c>
      <c r="E2706" s="63">
        <f>'Padrão EPP'!E2706/2</f>
        <v>0</v>
      </c>
      <c r="F2706" s="67">
        <v>3.0000000000000001E-3</v>
      </c>
      <c r="G2706" s="67">
        <v>2E-3</v>
      </c>
      <c r="H2706" s="63"/>
    </row>
    <row r="2707" spans="1:8" x14ac:dyDescent="0.25">
      <c r="A2707" s="63"/>
      <c r="B2707" s="63">
        <f>'Padrão EPP'!B2707</f>
        <v>17</v>
      </c>
      <c r="C2707" s="63" t="str">
        <f>'Padrão EPP'!C2707</f>
        <v>PE</v>
      </c>
      <c r="D2707" s="63" t="str">
        <f>'Padrão EPP'!D2707</f>
        <v>REDESPACHO</v>
      </c>
      <c r="E2707" s="63">
        <f>'Padrão EPP'!E2707/2</f>
        <v>0</v>
      </c>
      <c r="F2707" s="67">
        <v>3.0000000000000001E-3</v>
      </c>
      <c r="G2707" s="67">
        <v>2E-3</v>
      </c>
      <c r="H2707" s="63"/>
    </row>
    <row r="2708" spans="1:8" x14ac:dyDescent="0.25">
      <c r="A2708" s="63"/>
      <c r="B2708" s="63">
        <f>'Padrão EPP'!B2708</f>
        <v>18</v>
      </c>
      <c r="C2708" s="63" t="str">
        <f>'Padrão EPP'!C2708</f>
        <v>PE</v>
      </c>
      <c r="D2708" s="63" t="str">
        <f>'Padrão EPP'!D2708</f>
        <v>REDESPACHO</v>
      </c>
      <c r="E2708" s="63">
        <f>'Padrão EPP'!E2708/2</f>
        <v>0</v>
      </c>
      <c r="F2708" s="67">
        <v>3.0000000000000001E-3</v>
      </c>
      <c r="G2708" s="67">
        <v>2E-3</v>
      </c>
      <c r="H2708" s="63"/>
    </row>
    <row r="2709" spans="1:8" x14ac:dyDescent="0.25">
      <c r="A2709" s="63"/>
      <c r="B2709" s="63">
        <f>'Padrão EPP'!B2709</f>
        <v>19</v>
      </c>
      <c r="C2709" s="63" t="str">
        <f>'Padrão EPP'!C2709</f>
        <v>PE</v>
      </c>
      <c r="D2709" s="63" t="str">
        <f>'Padrão EPP'!D2709</f>
        <v>REDESPACHO</v>
      </c>
      <c r="E2709" s="63">
        <f>'Padrão EPP'!E2709/2</f>
        <v>0</v>
      </c>
      <c r="F2709" s="67">
        <v>3.0000000000000001E-3</v>
      </c>
      <c r="G2709" s="67">
        <v>2E-3</v>
      </c>
      <c r="H2709" s="63"/>
    </row>
    <row r="2710" spans="1:8" x14ac:dyDescent="0.25">
      <c r="A2710" s="63"/>
      <c r="B2710" s="63">
        <f>'Padrão EPP'!B2710</f>
        <v>20</v>
      </c>
      <c r="C2710" s="63" t="str">
        <f>'Padrão EPP'!C2710</f>
        <v>PE</v>
      </c>
      <c r="D2710" s="63" t="str">
        <f>'Padrão EPP'!D2710</f>
        <v>REDESPACHO</v>
      </c>
      <c r="E2710" s="63">
        <f>'Padrão EPP'!E2710/2</f>
        <v>0</v>
      </c>
      <c r="F2710" s="67">
        <v>3.0000000000000001E-3</v>
      </c>
      <c r="G2710" s="67">
        <v>2E-3</v>
      </c>
      <c r="H2710" s="63"/>
    </row>
    <row r="2711" spans="1:8" x14ac:dyDescent="0.25">
      <c r="A2711" s="63"/>
      <c r="B2711" s="63">
        <f>'Padrão EPP'!B2711</f>
        <v>21</v>
      </c>
      <c r="C2711" s="63" t="str">
        <f>'Padrão EPP'!C2711</f>
        <v>PE</v>
      </c>
      <c r="D2711" s="63" t="str">
        <f>'Padrão EPP'!D2711</f>
        <v>REDESPACHO</v>
      </c>
      <c r="E2711" s="63">
        <f>'Padrão EPP'!E2711/2</f>
        <v>0</v>
      </c>
      <c r="F2711" s="67">
        <v>3.0000000000000001E-3</v>
      </c>
      <c r="G2711" s="67">
        <v>2E-3</v>
      </c>
      <c r="H2711" s="63"/>
    </row>
    <row r="2712" spans="1:8" x14ac:dyDescent="0.25">
      <c r="A2712" s="63"/>
      <c r="B2712" s="63">
        <f>'Padrão EPP'!B2712</f>
        <v>22</v>
      </c>
      <c r="C2712" s="63" t="str">
        <f>'Padrão EPP'!C2712</f>
        <v>PE</v>
      </c>
      <c r="D2712" s="63" t="str">
        <f>'Padrão EPP'!D2712</f>
        <v>REDESPACHO</v>
      </c>
      <c r="E2712" s="63">
        <f>'Padrão EPP'!E2712/2</f>
        <v>0</v>
      </c>
      <c r="F2712" s="67">
        <v>3.0000000000000001E-3</v>
      </c>
      <c r="G2712" s="67">
        <v>2E-3</v>
      </c>
      <c r="H2712" s="63"/>
    </row>
    <row r="2713" spans="1:8" x14ac:dyDescent="0.25">
      <c r="A2713" s="63"/>
      <c r="B2713" s="63">
        <f>'Padrão EPP'!B2713</f>
        <v>23</v>
      </c>
      <c r="C2713" s="63" t="str">
        <f>'Padrão EPP'!C2713</f>
        <v>PE</v>
      </c>
      <c r="D2713" s="63" t="str">
        <f>'Padrão EPP'!D2713</f>
        <v>REDESPACHO</v>
      </c>
      <c r="E2713" s="63">
        <f>'Padrão EPP'!E2713/2</f>
        <v>0</v>
      </c>
      <c r="F2713" s="67">
        <v>3.0000000000000001E-3</v>
      </c>
      <c r="G2713" s="67">
        <v>2E-3</v>
      </c>
      <c r="H2713" s="63"/>
    </row>
    <row r="2714" spans="1:8" x14ac:dyDescent="0.25">
      <c r="A2714" s="63"/>
      <c r="B2714" s="63">
        <f>'Padrão EPP'!B2714</f>
        <v>24</v>
      </c>
      <c r="C2714" s="63" t="str">
        <f>'Padrão EPP'!C2714</f>
        <v>PE</v>
      </c>
      <c r="D2714" s="63" t="str">
        <f>'Padrão EPP'!D2714</f>
        <v>REDESPACHO</v>
      </c>
      <c r="E2714" s="63">
        <f>'Padrão EPP'!E2714/2</f>
        <v>0</v>
      </c>
      <c r="F2714" s="67">
        <v>3.0000000000000001E-3</v>
      </c>
      <c r="G2714" s="67">
        <v>2E-3</v>
      </c>
      <c r="H2714" s="63"/>
    </row>
    <row r="2715" spans="1:8" x14ac:dyDescent="0.25">
      <c r="A2715" s="63"/>
      <c r="B2715" s="63">
        <f>'Padrão EPP'!B2715</f>
        <v>25</v>
      </c>
      <c r="C2715" s="63" t="str">
        <f>'Padrão EPP'!C2715</f>
        <v>PE</v>
      </c>
      <c r="D2715" s="63" t="str">
        <f>'Padrão EPP'!D2715</f>
        <v>REDESPACHO</v>
      </c>
      <c r="E2715" s="63">
        <f>'Padrão EPP'!E2715/2</f>
        <v>0</v>
      </c>
      <c r="F2715" s="67">
        <v>3.0000000000000001E-3</v>
      </c>
      <c r="G2715" s="67">
        <v>2E-3</v>
      </c>
      <c r="H2715" s="63"/>
    </row>
    <row r="2716" spans="1:8" x14ac:dyDescent="0.25">
      <c r="A2716" s="63"/>
      <c r="B2716" s="63">
        <f>'Padrão EPP'!B2716</f>
        <v>26</v>
      </c>
      <c r="C2716" s="63" t="str">
        <f>'Padrão EPP'!C2716</f>
        <v>PE</v>
      </c>
      <c r="D2716" s="63" t="str">
        <f>'Padrão EPP'!D2716</f>
        <v>REDESPACHO</v>
      </c>
      <c r="E2716" s="63">
        <f>'Padrão EPP'!E2716/2</f>
        <v>0</v>
      </c>
      <c r="F2716" s="67">
        <v>3.0000000000000001E-3</v>
      </c>
      <c r="G2716" s="67">
        <v>2E-3</v>
      </c>
      <c r="H2716" s="63"/>
    </row>
    <row r="2717" spans="1:8" x14ac:dyDescent="0.25">
      <c r="A2717" s="63"/>
      <c r="B2717" s="63">
        <f>'Padrão EPP'!B2717</f>
        <v>27</v>
      </c>
      <c r="C2717" s="63" t="str">
        <f>'Padrão EPP'!C2717</f>
        <v>PE</v>
      </c>
      <c r="D2717" s="63" t="str">
        <f>'Padrão EPP'!D2717</f>
        <v>REDESPACHO</v>
      </c>
      <c r="E2717" s="63">
        <f>'Padrão EPP'!E2717/2</f>
        <v>0</v>
      </c>
      <c r="F2717" s="67">
        <v>3.0000000000000001E-3</v>
      </c>
      <c r="G2717" s="67">
        <v>2E-3</v>
      </c>
      <c r="H2717" s="63"/>
    </row>
    <row r="2718" spans="1:8" x14ac:dyDescent="0.25">
      <c r="A2718" s="63"/>
      <c r="B2718" s="63">
        <f>'Padrão EPP'!B2718</f>
        <v>28</v>
      </c>
      <c r="C2718" s="63" t="str">
        <f>'Padrão EPP'!C2718</f>
        <v>PE</v>
      </c>
      <c r="D2718" s="63" t="str">
        <f>'Padrão EPP'!D2718</f>
        <v>REDESPACHO</v>
      </c>
      <c r="E2718" s="63">
        <f>'Padrão EPP'!E2718/2</f>
        <v>0</v>
      </c>
      <c r="F2718" s="67">
        <v>3.0000000000000001E-3</v>
      </c>
      <c r="G2718" s="67">
        <v>2E-3</v>
      </c>
      <c r="H2718" s="63"/>
    </row>
    <row r="2719" spans="1:8" x14ac:dyDescent="0.25">
      <c r="A2719" s="63"/>
      <c r="B2719" s="63">
        <f>'Padrão EPP'!B2719</f>
        <v>29</v>
      </c>
      <c r="C2719" s="63" t="str">
        <f>'Padrão EPP'!C2719</f>
        <v>PE</v>
      </c>
      <c r="D2719" s="63" t="str">
        <f>'Padrão EPP'!D2719</f>
        <v>REDESPACHO</v>
      </c>
      <c r="E2719" s="63">
        <f>'Padrão EPP'!E2719/2</f>
        <v>0</v>
      </c>
      <c r="F2719" s="67">
        <v>3.0000000000000001E-3</v>
      </c>
      <c r="G2719" s="67">
        <v>2E-3</v>
      </c>
      <c r="H2719" s="63"/>
    </row>
    <row r="2720" spans="1:8" x14ac:dyDescent="0.25">
      <c r="A2720" s="63"/>
      <c r="B2720" s="63">
        <f>'Padrão EPP'!B2720</f>
        <v>30</v>
      </c>
      <c r="C2720" s="63" t="str">
        <f>'Padrão EPP'!C2720</f>
        <v>PE</v>
      </c>
      <c r="D2720" s="63" t="str">
        <f>'Padrão EPP'!D2720</f>
        <v>REDESPACHO</v>
      </c>
      <c r="E2720" s="63">
        <f>'Padrão EPP'!E2720/2</f>
        <v>0</v>
      </c>
      <c r="F2720" s="67">
        <v>3.0000000000000001E-3</v>
      </c>
      <c r="G2720" s="67">
        <v>2E-3</v>
      </c>
      <c r="H2720" s="63"/>
    </row>
    <row r="2721" spans="1:8" x14ac:dyDescent="0.25">
      <c r="A2721" s="63"/>
      <c r="B2721" s="63">
        <f>'Padrão EPP'!B2721</f>
        <v>0</v>
      </c>
      <c r="C2721" s="63" t="str">
        <f>'Padrão EPP'!C2721</f>
        <v>PE</v>
      </c>
      <c r="D2721" s="63" t="str">
        <f>'Padrão EPP'!D2721</f>
        <v>REDESPACHO</v>
      </c>
      <c r="E2721" s="63">
        <f>'Padrão EPP'!E2721/2</f>
        <v>1.5214394455252955</v>
      </c>
      <c r="F2721" s="67">
        <v>3.0000000000000001E-3</v>
      </c>
      <c r="G2721" s="67">
        <v>2E-3</v>
      </c>
      <c r="H2721" s="63"/>
    </row>
    <row r="2722" spans="1:8" x14ac:dyDescent="0.25">
      <c r="A2722" s="63"/>
      <c r="B2722" s="63">
        <f>'Padrão EPP'!B2722</f>
        <v>0.25</v>
      </c>
      <c r="C2722" s="63" t="str">
        <f>'Padrão EPP'!C2722</f>
        <v>CE</v>
      </c>
      <c r="D2722" s="63" t="str">
        <f>'Padrão EPP'!D2722</f>
        <v>CAPITAL</v>
      </c>
      <c r="E2722" s="63">
        <f>'Padrão EPP'!E2722/2</f>
        <v>7.4937732795378356</v>
      </c>
      <c r="F2722" s="67">
        <v>3.0000000000000001E-3</v>
      </c>
      <c r="G2722" s="67">
        <v>2E-3</v>
      </c>
      <c r="H2722" s="63"/>
    </row>
    <row r="2723" spans="1:8" x14ac:dyDescent="0.25">
      <c r="A2723" s="63"/>
      <c r="B2723" s="63">
        <f>'Padrão EPP'!B2723</f>
        <v>0.5</v>
      </c>
      <c r="C2723" s="63" t="str">
        <f>'Padrão EPP'!C2723</f>
        <v>CE</v>
      </c>
      <c r="D2723" s="63" t="str">
        <f>'Padrão EPP'!D2723</f>
        <v>CAPITAL</v>
      </c>
      <c r="E2723" s="63">
        <f>'Padrão EPP'!E2723/2</f>
        <v>8.0851955902659451</v>
      </c>
      <c r="F2723" s="67">
        <v>3.0000000000000001E-3</v>
      </c>
      <c r="G2723" s="67">
        <v>2E-3</v>
      </c>
      <c r="H2723" s="63"/>
    </row>
    <row r="2724" spans="1:8" x14ac:dyDescent="0.25">
      <c r="A2724" s="63"/>
      <c r="B2724" s="63">
        <f>'Padrão EPP'!B2724</f>
        <v>0.75</v>
      </c>
      <c r="C2724" s="63" t="str">
        <f>'Padrão EPP'!C2724</f>
        <v>CE</v>
      </c>
      <c r="D2724" s="63" t="str">
        <f>'Padrão EPP'!D2724</f>
        <v>CAPITAL</v>
      </c>
      <c r="E2724" s="63">
        <f>'Padrão EPP'!E2724/2</f>
        <v>8.6401894432078095</v>
      </c>
      <c r="F2724" s="67">
        <v>3.0000000000000001E-3</v>
      </c>
      <c r="G2724" s="67">
        <v>2E-3</v>
      </c>
      <c r="H2724" s="63"/>
    </row>
    <row r="2725" spans="1:8" x14ac:dyDescent="0.25">
      <c r="A2725" s="63"/>
      <c r="B2725" s="63">
        <f>'Padrão EPP'!B2725</f>
        <v>1</v>
      </c>
      <c r="C2725" s="63" t="str">
        <f>'Padrão EPP'!C2725</f>
        <v>CE</v>
      </c>
      <c r="D2725" s="63" t="str">
        <f>'Padrão EPP'!D2725</f>
        <v>CAPITAL</v>
      </c>
      <c r="E2725" s="63">
        <f>'Padrão EPP'!E2725/2</f>
        <v>9.3355188506245739</v>
      </c>
      <c r="F2725" s="67">
        <v>3.0000000000000001E-3</v>
      </c>
      <c r="G2725" s="67">
        <v>2E-3</v>
      </c>
      <c r="H2725" s="63"/>
    </row>
    <row r="2726" spans="1:8" x14ac:dyDescent="0.25">
      <c r="A2726" s="63"/>
      <c r="B2726" s="63">
        <f>'Padrão EPP'!B2726</f>
        <v>2</v>
      </c>
      <c r="C2726" s="63" t="str">
        <f>'Padrão EPP'!C2726</f>
        <v>CE</v>
      </c>
      <c r="D2726" s="63" t="str">
        <f>'Padrão EPP'!D2726</f>
        <v>CAPITAL</v>
      </c>
      <c r="E2726" s="63">
        <f>'Padrão EPP'!E2726/2</f>
        <v>11.137291003732706</v>
      </c>
      <c r="F2726" s="67">
        <v>3.0000000000000001E-3</v>
      </c>
      <c r="G2726" s="67">
        <v>2E-3</v>
      </c>
      <c r="H2726" s="63"/>
    </row>
    <row r="2727" spans="1:8" x14ac:dyDescent="0.25">
      <c r="A2727" s="63"/>
      <c r="B2727" s="63">
        <f>'Padrão EPP'!B2727</f>
        <v>3</v>
      </c>
      <c r="C2727" s="63" t="str">
        <f>'Padrão EPP'!C2727</f>
        <v>CE</v>
      </c>
      <c r="D2727" s="63" t="str">
        <f>'Padrão EPP'!D2727</f>
        <v>CAPITAL</v>
      </c>
      <c r="E2727" s="63">
        <f>'Padrão EPP'!E2727/2</f>
        <v>14.393072017604876</v>
      </c>
      <c r="F2727" s="67">
        <v>3.0000000000000001E-3</v>
      </c>
      <c r="G2727" s="67">
        <v>2E-3</v>
      </c>
      <c r="H2727" s="63"/>
    </row>
    <row r="2728" spans="1:8" x14ac:dyDescent="0.25">
      <c r="A2728" s="63"/>
      <c r="B2728" s="63">
        <f>'Padrão EPP'!B2728</f>
        <v>4</v>
      </c>
      <c r="C2728" s="63" t="str">
        <f>'Padrão EPP'!C2728</f>
        <v>CE</v>
      </c>
      <c r="D2728" s="63" t="str">
        <f>'Padrão EPP'!D2728</f>
        <v>CAPITAL</v>
      </c>
      <c r="E2728" s="63">
        <f>'Padrão EPP'!E2728/2</f>
        <v>17.888478910554696</v>
      </c>
      <c r="F2728" s="67">
        <v>3.0000000000000001E-3</v>
      </c>
      <c r="G2728" s="67">
        <v>2E-3</v>
      </c>
      <c r="H2728" s="63"/>
    </row>
    <row r="2729" spans="1:8" x14ac:dyDescent="0.25">
      <c r="A2729" s="63"/>
      <c r="B2729" s="63">
        <f>'Padrão EPP'!B2729</f>
        <v>5</v>
      </c>
      <c r="C2729" s="63" t="str">
        <f>'Padrão EPP'!C2729</f>
        <v>CE</v>
      </c>
      <c r="D2729" s="63" t="str">
        <f>'Padrão EPP'!D2729</f>
        <v>CAPITAL</v>
      </c>
      <c r="E2729" s="63">
        <f>'Padrão EPP'!E2729/2</f>
        <v>21.526433584549316</v>
      </c>
      <c r="F2729" s="67">
        <v>3.0000000000000001E-3</v>
      </c>
      <c r="G2729" s="67">
        <v>2E-3</v>
      </c>
      <c r="H2729" s="63"/>
    </row>
    <row r="2730" spans="1:8" x14ac:dyDescent="0.25">
      <c r="A2730" s="63"/>
      <c r="B2730" s="63">
        <f>'Padrão EPP'!B2730</f>
        <v>6</v>
      </c>
      <c r="C2730" s="63" t="str">
        <f>'Padrão EPP'!C2730</f>
        <v>CE</v>
      </c>
      <c r="D2730" s="63" t="str">
        <f>'Padrão EPP'!D2730</f>
        <v>CAPITAL</v>
      </c>
      <c r="E2730" s="63">
        <f>'Padrão EPP'!E2730/2</f>
        <v>26.23721203510425</v>
      </c>
      <c r="F2730" s="67">
        <v>3.0000000000000001E-3</v>
      </c>
      <c r="G2730" s="67">
        <v>2E-3</v>
      </c>
      <c r="H2730" s="63"/>
    </row>
    <row r="2731" spans="1:8" x14ac:dyDescent="0.25">
      <c r="A2731" s="63"/>
      <c r="B2731" s="63">
        <f>'Padrão EPP'!B2731</f>
        <v>7</v>
      </c>
      <c r="C2731" s="63" t="str">
        <f>'Padrão EPP'!C2731</f>
        <v>CE</v>
      </c>
      <c r="D2731" s="63" t="str">
        <f>'Padrão EPP'!D2731</f>
        <v>CAPITAL</v>
      </c>
      <c r="E2731" s="63">
        <f>'Padrão EPP'!E2731/2</f>
        <v>29.539381198795244</v>
      </c>
      <c r="F2731" s="67">
        <v>3.0000000000000001E-3</v>
      </c>
      <c r="G2731" s="67">
        <v>2E-3</v>
      </c>
      <c r="H2731" s="63"/>
    </row>
    <row r="2732" spans="1:8" x14ac:dyDescent="0.25">
      <c r="A2732" s="63"/>
      <c r="B2732" s="63">
        <f>'Padrão EPP'!B2732</f>
        <v>8</v>
      </c>
      <c r="C2732" s="63" t="str">
        <f>'Padrão EPP'!C2732</f>
        <v>CE</v>
      </c>
      <c r="D2732" s="63" t="str">
        <f>'Padrão EPP'!D2732</f>
        <v>CAPITAL</v>
      </c>
      <c r="E2732" s="63">
        <f>'Padrão EPP'!E2732/2</f>
        <v>32.896006212526999</v>
      </c>
      <c r="F2732" s="67">
        <v>3.0000000000000001E-3</v>
      </c>
      <c r="G2732" s="67">
        <v>2E-3</v>
      </c>
      <c r="H2732" s="63"/>
    </row>
    <row r="2733" spans="1:8" x14ac:dyDescent="0.25">
      <c r="A2733" s="63"/>
      <c r="B2733" s="63">
        <f>'Padrão EPP'!B2733</f>
        <v>9</v>
      </c>
      <c r="C2733" s="63" t="str">
        <f>'Padrão EPP'!C2733</f>
        <v>CE</v>
      </c>
      <c r="D2733" s="63" t="str">
        <f>'Padrão EPP'!D2733</f>
        <v>CAPITAL</v>
      </c>
      <c r="E2733" s="63">
        <f>'Padrão EPP'!E2733/2</f>
        <v>36.312532661303585</v>
      </c>
      <c r="F2733" s="67">
        <v>3.0000000000000001E-3</v>
      </c>
      <c r="G2733" s="67">
        <v>2E-3</v>
      </c>
      <c r="H2733" s="63"/>
    </row>
    <row r="2734" spans="1:8" x14ac:dyDescent="0.25">
      <c r="A2734" s="63"/>
      <c r="B2734" s="63">
        <f>'Padrão EPP'!B2734</f>
        <v>10</v>
      </c>
      <c r="C2734" s="63" t="str">
        <f>'Padrão EPP'!C2734</f>
        <v>CE</v>
      </c>
      <c r="D2734" s="63" t="str">
        <f>'Padrão EPP'!D2734</f>
        <v>CAPITAL</v>
      </c>
      <c r="E2734" s="63">
        <f>'Padrão EPP'!E2734/2</f>
        <v>39.453255788437978</v>
      </c>
      <c r="F2734" s="67">
        <v>3.0000000000000001E-3</v>
      </c>
      <c r="G2734" s="67">
        <v>2E-3</v>
      </c>
      <c r="H2734" s="63"/>
    </row>
    <row r="2735" spans="1:8" x14ac:dyDescent="0.25">
      <c r="A2735" s="63"/>
      <c r="B2735" s="63">
        <f>'Padrão EPP'!B2735</f>
        <v>11</v>
      </c>
      <c r="C2735" s="63" t="str">
        <f>'Padrão EPP'!C2735</f>
        <v>CE</v>
      </c>
      <c r="D2735" s="63" t="str">
        <f>'Padrão EPP'!D2735</f>
        <v>CAPITAL</v>
      </c>
      <c r="E2735" s="63">
        <f>'Padrão EPP'!E2735/2</f>
        <v>0</v>
      </c>
      <c r="F2735" s="67">
        <v>3.0000000000000001E-3</v>
      </c>
      <c r="G2735" s="67">
        <v>2E-3</v>
      </c>
      <c r="H2735" s="63"/>
    </row>
    <row r="2736" spans="1:8" x14ac:dyDescent="0.25">
      <c r="A2736" s="63"/>
      <c r="B2736" s="63">
        <f>'Padrão EPP'!B2736</f>
        <v>12</v>
      </c>
      <c r="C2736" s="63" t="str">
        <f>'Padrão EPP'!C2736</f>
        <v>CE</v>
      </c>
      <c r="D2736" s="63" t="str">
        <f>'Padrão EPP'!D2736</f>
        <v>CAPITAL</v>
      </c>
      <c r="E2736" s="63">
        <f>'Padrão EPP'!E2736/2</f>
        <v>0</v>
      </c>
      <c r="F2736" s="67">
        <v>3.0000000000000001E-3</v>
      </c>
      <c r="G2736" s="67">
        <v>2E-3</v>
      </c>
      <c r="H2736" s="63"/>
    </row>
    <row r="2737" spans="1:8" x14ac:dyDescent="0.25">
      <c r="A2737" s="63"/>
      <c r="B2737" s="63">
        <f>'Padrão EPP'!B2737</f>
        <v>13</v>
      </c>
      <c r="C2737" s="63" t="str">
        <f>'Padrão EPP'!C2737</f>
        <v>CE</v>
      </c>
      <c r="D2737" s="63" t="str">
        <f>'Padrão EPP'!D2737</f>
        <v>CAPITAL</v>
      </c>
      <c r="E2737" s="63">
        <f>'Padrão EPP'!E2737/2</f>
        <v>0</v>
      </c>
      <c r="F2737" s="67">
        <v>3.0000000000000001E-3</v>
      </c>
      <c r="G2737" s="67">
        <v>2E-3</v>
      </c>
      <c r="H2737" s="63"/>
    </row>
    <row r="2738" spans="1:8" x14ac:dyDescent="0.25">
      <c r="A2738" s="63"/>
      <c r="B2738" s="63">
        <f>'Padrão EPP'!B2738</f>
        <v>14</v>
      </c>
      <c r="C2738" s="63" t="str">
        <f>'Padrão EPP'!C2738</f>
        <v>CE</v>
      </c>
      <c r="D2738" s="63" t="str">
        <f>'Padrão EPP'!D2738</f>
        <v>CAPITAL</v>
      </c>
      <c r="E2738" s="63">
        <f>'Padrão EPP'!E2738/2</f>
        <v>0</v>
      </c>
      <c r="F2738" s="67">
        <v>3.0000000000000001E-3</v>
      </c>
      <c r="G2738" s="67">
        <v>2E-3</v>
      </c>
      <c r="H2738" s="63"/>
    </row>
    <row r="2739" spans="1:8" x14ac:dyDescent="0.25">
      <c r="A2739" s="63"/>
      <c r="B2739" s="63">
        <f>'Padrão EPP'!B2739</f>
        <v>15</v>
      </c>
      <c r="C2739" s="63" t="str">
        <f>'Padrão EPP'!C2739</f>
        <v>CE</v>
      </c>
      <c r="D2739" s="63" t="str">
        <f>'Padrão EPP'!D2739</f>
        <v>CAPITAL</v>
      </c>
      <c r="E2739" s="63">
        <f>'Padrão EPP'!E2739/2</f>
        <v>0</v>
      </c>
      <c r="F2739" s="67">
        <v>3.0000000000000001E-3</v>
      </c>
      <c r="G2739" s="67">
        <v>2E-3</v>
      </c>
      <c r="H2739" s="63"/>
    </row>
    <row r="2740" spans="1:8" x14ac:dyDescent="0.25">
      <c r="A2740" s="63"/>
      <c r="B2740" s="63">
        <f>'Padrão EPP'!B2740</f>
        <v>16</v>
      </c>
      <c r="C2740" s="63" t="str">
        <f>'Padrão EPP'!C2740</f>
        <v>CE</v>
      </c>
      <c r="D2740" s="63" t="str">
        <f>'Padrão EPP'!D2740</f>
        <v>CAPITAL</v>
      </c>
      <c r="E2740" s="63">
        <f>'Padrão EPP'!E2740/2</f>
        <v>0</v>
      </c>
      <c r="F2740" s="67">
        <v>3.0000000000000001E-3</v>
      </c>
      <c r="G2740" s="67">
        <v>2E-3</v>
      </c>
      <c r="H2740" s="63"/>
    </row>
    <row r="2741" spans="1:8" x14ac:dyDescent="0.25">
      <c r="A2741" s="63"/>
      <c r="B2741" s="63">
        <f>'Padrão EPP'!B2741</f>
        <v>17</v>
      </c>
      <c r="C2741" s="63" t="str">
        <f>'Padrão EPP'!C2741</f>
        <v>CE</v>
      </c>
      <c r="D2741" s="63" t="str">
        <f>'Padrão EPP'!D2741</f>
        <v>CAPITAL</v>
      </c>
      <c r="E2741" s="63">
        <f>'Padrão EPP'!E2741/2</f>
        <v>0</v>
      </c>
      <c r="F2741" s="67">
        <v>3.0000000000000001E-3</v>
      </c>
      <c r="G2741" s="67">
        <v>2E-3</v>
      </c>
      <c r="H2741" s="63"/>
    </row>
    <row r="2742" spans="1:8" x14ac:dyDescent="0.25">
      <c r="A2742" s="63"/>
      <c r="B2742" s="63">
        <f>'Padrão EPP'!B2742</f>
        <v>18</v>
      </c>
      <c r="C2742" s="63" t="str">
        <f>'Padrão EPP'!C2742</f>
        <v>CE</v>
      </c>
      <c r="D2742" s="63" t="str">
        <f>'Padrão EPP'!D2742</f>
        <v>CAPITAL</v>
      </c>
      <c r="E2742" s="63">
        <f>'Padrão EPP'!E2742/2</f>
        <v>0</v>
      </c>
      <c r="F2742" s="67">
        <v>3.0000000000000001E-3</v>
      </c>
      <c r="G2742" s="67">
        <v>2E-3</v>
      </c>
      <c r="H2742" s="63"/>
    </row>
    <row r="2743" spans="1:8" x14ac:dyDescent="0.25">
      <c r="A2743" s="63"/>
      <c r="B2743" s="63">
        <f>'Padrão EPP'!B2743</f>
        <v>19</v>
      </c>
      <c r="C2743" s="63" t="str">
        <f>'Padrão EPP'!C2743</f>
        <v>CE</v>
      </c>
      <c r="D2743" s="63" t="str">
        <f>'Padrão EPP'!D2743</f>
        <v>CAPITAL</v>
      </c>
      <c r="E2743" s="63">
        <f>'Padrão EPP'!E2743/2</f>
        <v>0</v>
      </c>
      <c r="F2743" s="67">
        <v>3.0000000000000001E-3</v>
      </c>
      <c r="G2743" s="67">
        <v>2E-3</v>
      </c>
      <c r="H2743" s="63"/>
    </row>
    <row r="2744" spans="1:8" x14ac:dyDescent="0.25">
      <c r="A2744" s="63"/>
      <c r="B2744" s="63">
        <f>'Padrão EPP'!B2744</f>
        <v>20</v>
      </c>
      <c r="C2744" s="63" t="str">
        <f>'Padrão EPP'!C2744</f>
        <v>CE</v>
      </c>
      <c r="D2744" s="63" t="str">
        <f>'Padrão EPP'!D2744</f>
        <v>CAPITAL</v>
      </c>
      <c r="E2744" s="63">
        <f>'Padrão EPP'!E2744/2</f>
        <v>0</v>
      </c>
      <c r="F2744" s="67">
        <v>3.0000000000000001E-3</v>
      </c>
      <c r="G2744" s="67">
        <v>2E-3</v>
      </c>
      <c r="H2744" s="63"/>
    </row>
    <row r="2745" spans="1:8" x14ac:dyDescent="0.25">
      <c r="A2745" s="63"/>
      <c r="B2745" s="63">
        <f>'Padrão EPP'!B2745</f>
        <v>21</v>
      </c>
      <c r="C2745" s="63" t="str">
        <f>'Padrão EPP'!C2745</f>
        <v>CE</v>
      </c>
      <c r="D2745" s="63" t="str">
        <f>'Padrão EPP'!D2745</f>
        <v>CAPITAL</v>
      </c>
      <c r="E2745" s="63">
        <f>'Padrão EPP'!E2745/2</f>
        <v>0</v>
      </c>
      <c r="F2745" s="67">
        <v>3.0000000000000001E-3</v>
      </c>
      <c r="G2745" s="67">
        <v>2E-3</v>
      </c>
      <c r="H2745" s="63"/>
    </row>
    <row r="2746" spans="1:8" x14ac:dyDescent="0.25">
      <c r="A2746" s="63"/>
      <c r="B2746" s="63">
        <f>'Padrão EPP'!B2746</f>
        <v>22</v>
      </c>
      <c r="C2746" s="63" t="str">
        <f>'Padrão EPP'!C2746</f>
        <v>CE</v>
      </c>
      <c r="D2746" s="63" t="str">
        <f>'Padrão EPP'!D2746</f>
        <v>CAPITAL</v>
      </c>
      <c r="E2746" s="63">
        <f>'Padrão EPP'!E2746/2</f>
        <v>0</v>
      </c>
      <c r="F2746" s="67">
        <v>3.0000000000000001E-3</v>
      </c>
      <c r="G2746" s="67">
        <v>2E-3</v>
      </c>
      <c r="H2746" s="63"/>
    </row>
    <row r="2747" spans="1:8" x14ac:dyDescent="0.25">
      <c r="A2747" s="63"/>
      <c r="B2747" s="63">
        <f>'Padrão EPP'!B2747</f>
        <v>23</v>
      </c>
      <c r="C2747" s="63" t="str">
        <f>'Padrão EPP'!C2747</f>
        <v>CE</v>
      </c>
      <c r="D2747" s="63" t="str">
        <f>'Padrão EPP'!D2747</f>
        <v>CAPITAL</v>
      </c>
      <c r="E2747" s="63">
        <f>'Padrão EPP'!E2747/2</f>
        <v>0</v>
      </c>
      <c r="F2747" s="67">
        <v>3.0000000000000001E-3</v>
      </c>
      <c r="G2747" s="67">
        <v>2E-3</v>
      </c>
      <c r="H2747" s="63"/>
    </row>
    <row r="2748" spans="1:8" x14ac:dyDescent="0.25">
      <c r="A2748" s="63"/>
      <c r="B2748" s="63">
        <f>'Padrão EPP'!B2748</f>
        <v>24</v>
      </c>
      <c r="C2748" s="63" t="str">
        <f>'Padrão EPP'!C2748</f>
        <v>CE</v>
      </c>
      <c r="D2748" s="63" t="str">
        <f>'Padrão EPP'!D2748</f>
        <v>CAPITAL</v>
      </c>
      <c r="E2748" s="63">
        <f>'Padrão EPP'!E2748/2</f>
        <v>0</v>
      </c>
      <c r="F2748" s="67">
        <v>3.0000000000000001E-3</v>
      </c>
      <c r="G2748" s="67">
        <v>2E-3</v>
      </c>
      <c r="H2748" s="63"/>
    </row>
    <row r="2749" spans="1:8" x14ac:dyDescent="0.25">
      <c r="A2749" s="63"/>
      <c r="B2749" s="63">
        <f>'Padrão EPP'!B2749</f>
        <v>25</v>
      </c>
      <c r="C2749" s="63" t="str">
        <f>'Padrão EPP'!C2749</f>
        <v>CE</v>
      </c>
      <c r="D2749" s="63" t="str">
        <f>'Padrão EPP'!D2749</f>
        <v>CAPITAL</v>
      </c>
      <c r="E2749" s="63">
        <f>'Padrão EPP'!E2749/2</f>
        <v>0</v>
      </c>
      <c r="F2749" s="67">
        <v>3.0000000000000001E-3</v>
      </c>
      <c r="G2749" s="67">
        <v>2E-3</v>
      </c>
      <c r="H2749" s="63"/>
    </row>
    <row r="2750" spans="1:8" x14ac:dyDescent="0.25">
      <c r="A2750" s="63"/>
      <c r="B2750" s="63">
        <f>'Padrão EPP'!B2750</f>
        <v>26</v>
      </c>
      <c r="C2750" s="63" t="str">
        <f>'Padrão EPP'!C2750</f>
        <v>CE</v>
      </c>
      <c r="D2750" s="63" t="str">
        <f>'Padrão EPP'!D2750</f>
        <v>CAPITAL</v>
      </c>
      <c r="E2750" s="63">
        <f>'Padrão EPP'!E2750/2</f>
        <v>0</v>
      </c>
      <c r="F2750" s="67">
        <v>3.0000000000000001E-3</v>
      </c>
      <c r="G2750" s="67">
        <v>2E-3</v>
      </c>
      <c r="H2750" s="63"/>
    </row>
    <row r="2751" spans="1:8" x14ac:dyDescent="0.25">
      <c r="A2751" s="63"/>
      <c r="B2751" s="63">
        <f>'Padrão EPP'!B2751</f>
        <v>27</v>
      </c>
      <c r="C2751" s="63" t="str">
        <f>'Padrão EPP'!C2751</f>
        <v>CE</v>
      </c>
      <c r="D2751" s="63" t="str">
        <f>'Padrão EPP'!D2751</f>
        <v>CAPITAL</v>
      </c>
      <c r="E2751" s="63">
        <f>'Padrão EPP'!E2751/2</f>
        <v>0</v>
      </c>
      <c r="F2751" s="67">
        <v>3.0000000000000001E-3</v>
      </c>
      <c r="G2751" s="67">
        <v>2E-3</v>
      </c>
      <c r="H2751" s="63"/>
    </row>
    <row r="2752" spans="1:8" x14ac:dyDescent="0.25">
      <c r="A2752" s="63"/>
      <c r="B2752" s="63">
        <f>'Padrão EPP'!B2752</f>
        <v>28</v>
      </c>
      <c r="C2752" s="63" t="str">
        <f>'Padrão EPP'!C2752</f>
        <v>CE</v>
      </c>
      <c r="D2752" s="63" t="str">
        <f>'Padrão EPP'!D2752</f>
        <v>CAPITAL</v>
      </c>
      <c r="E2752" s="63">
        <f>'Padrão EPP'!E2752/2</f>
        <v>0</v>
      </c>
      <c r="F2752" s="67">
        <v>3.0000000000000001E-3</v>
      </c>
      <c r="G2752" s="67">
        <v>2E-3</v>
      </c>
      <c r="H2752" s="63"/>
    </row>
    <row r="2753" spans="1:8" x14ac:dyDescent="0.25">
      <c r="A2753" s="63"/>
      <c r="B2753" s="63">
        <f>'Padrão EPP'!B2753</f>
        <v>29</v>
      </c>
      <c r="C2753" s="63" t="str">
        <f>'Padrão EPP'!C2753</f>
        <v>CE</v>
      </c>
      <c r="D2753" s="63" t="str">
        <f>'Padrão EPP'!D2753</f>
        <v>CAPITAL</v>
      </c>
      <c r="E2753" s="63">
        <f>'Padrão EPP'!E2753/2</f>
        <v>0</v>
      </c>
      <c r="F2753" s="67">
        <v>3.0000000000000001E-3</v>
      </c>
      <c r="G2753" s="67">
        <v>2E-3</v>
      </c>
      <c r="H2753" s="63"/>
    </row>
    <row r="2754" spans="1:8" x14ac:dyDescent="0.25">
      <c r="A2754" s="63"/>
      <c r="B2754" s="63">
        <f>'Padrão EPP'!B2754</f>
        <v>30</v>
      </c>
      <c r="C2754" s="63" t="str">
        <f>'Padrão EPP'!C2754</f>
        <v>CE</v>
      </c>
      <c r="D2754" s="63" t="str">
        <f>'Padrão EPP'!D2754</f>
        <v>CAPITAL</v>
      </c>
      <c r="E2754" s="63">
        <f>'Padrão EPP'!E2754/2</f>
        <v>0</v>
      </c>
      <c r="F2754" s="67">
        <v>3.0000000000000001E-3</v>
      </c>
      <c r="G2754" s="67">
        <v>2E-3</v>
      </c>
      <c r="H2754" s="63"/>
    </row>
    <row r="2755" spans="1:8" x14ac:dyDescent="0.25">
      <c r="A2755" s="63"/>
      <c r="B2755" s="63">
        <f>'Padrão EPP'!B2755</f>
        <v>0</v>
      </c>
      <c r="C2755" s="63" t="str">
        <f>'Padrão EPP'!C2755</f>
        <v>CE</v>
      </c>
      <c r="D2755" s="63" t="str">
        <f>'Padrão EPP'!D2755</f>
        <v>CAPITAL</v>
      </c>
      <c r="E2755" s="63">
        <f>'Padrão EPP'!E2755/2</f>
        <v>1.5214394455252955</v>
      </c>
      <c r="F2755" s="67">
        <v>3.0000000000000001E-3</v>
      </c>
      <c r="G2755" s="67">
        <v>2E-3</v>
      </c>
      <c r="H2755" s="63"/>
    </row>
    <row r="2756" spans="1:8" x14ac:dyDescent="0.25">
      <c r="A2756" s="63"/>
      <c r="B2756" s="63">
        <f>'Padrão EPP'!B2756</f>
        <v>0.25</v>
      </c>
      <c r="C2756" s="63" t="str">
        <f>'Padrão EPP'!C2756</f>
        <v>CE</v>
      </c>
      <c r="D2756" s="63" t="str">
        <f>'Padrão EPP'!D2756</f>
        <v>INTERIOR</v>
      </c>
      <c r="E2756" s="63">
        <f>'Padrão EPP'!E2756/2</f>
        <v>10.248255556666297</v>
      </c>
      <c r="F2756" s="67">
        <v>3.0000000000000001E-3</v>
      </c>
      <c r="G2756" s="67">
        <v>2E-3</v>
      </c>
      <c r="H2756" s="63"/>
    </row>
    <row r="2757" spans="1:8" x14ac:dyDescent="0.25">
      <c r="A2757" s="63"/>
      <c r="B2757" s="63">
        <f>'Padrão EPP'!B2757</f>
        <v>0.5</v>
      </c>
      <c r="C2757" s="63" t="str">
        <f>'Padrão EPP'!C2757</f>
        <v>CE</v>
      </c>
      <c r="D2757" s="63" t="str">
        <f>'Padrão EPP'!D2757</f>
        <v>INTERIOR</v>
      </c>
      <c r="E2757" s="63">
        <f>'Padrão EPP'!E2757/2</f>
        <v>11.184616632502907</v>
      </c>
      <c r="F2757" s="67">
        <v>3.0000000000000001E-3</v>
      </c>
      <c r="G2757" s="67">
        <v>2E-3</v>
      </c>
      <c r="H2757" s="63"/>
    </row>
    <row r="2758" spans="1:8" x14ac:dyDescent="0.25">
      <c r="A2758" s="63"/>
      <c r="B2758" s="63">
        <f>'Padrão EPP'!B2758</f>
        <v>0.75</v>
      </c>
      <c r="C2758" s="63" t="str">
        <f>'Padrão EPP'!C2758</f>
        <v>CE</v>
      </c>
      <c r="D2758" s="63" t="str">
        <f>'Padrão EPP'!D2758</f>
        <v>INTERIOR</v>
      </c>
      <c r="E2758" s="63">
        <f>'Padrão EPP'!E2758/2</f>
        <v>12.18489579129939</v>
      </c>
      <c r="F2758" s="67">
        <v>3.0000000000000001E-3</v>
      </c>
      <c r="G2758" s="67">
        <v>2E-3</v>
      </c>
      <c r="H2758" s="63"/>
    </row>
    <row r="2759" spans="1:8" x14ac:dyDescent="0.25">
      <c r="A2759" s="63"/>
      <c r="B2759" s="63">
        <f>'Padrão EPP'!B2759</f>
        <v>1</v>
      </c>
      <c r="C2759" s="63" t="str">
        <f>'Padrão EPP'!C2759</f>
        <v>CE</v>
      </c>
      <c r="D2759" s="63" t="str">
        <f>'Padrão EPP'!D2759</f>
        <v>INTERIOR</v>
      </c>
      <c r="E2759" s="63">
        <f>'Padrão EPP'!E2759/2</f>
        <v>13.396936336992569</v>
      </c>
      <c r="F2759" s="67">
        <v>3.0000000000000001E-3</v>
      </c>
      <c r="G2759" s="67">
        <v>2E-3</v>
      </c>
      <c r="H2759" s="63"/>
    </row>
    <row r="2760" spans="1:8" x14ac:dyDescent="0.25">
      <c r="A2760" s="63"/>
      <c r="B2760" s="63">
        <f>'Padrão EPP'!B2760</f>
        <v>2</v>
      </c>
      <c r="C2760" s="63" t="str">
        <f>'Padrão EPP'!C2760</f>
        <v>CE</v>
      </c>
      <c r="D2760" s="63" t="str">
        <f>'Padrão EPP'!D2760</f>
        <v>INTERIOR</v>
      </c>
      <c r="E2760" s="63">
        <f>'Padrão EPP'!E2760/2</f>
        <v>16.374848501347302</v>
      </c>
      <c r="F2760" s="67">
        <v>3.0000000000000001E-3</v>
      </c>
      <c r="G2760" s="67">
        <v>2E-3</v>
      </c>
      <c r="H2760" s="63"/>
    </row>
    <row r="2761" spans="1:8" x14ac:dyDescent="0.25">
      <c r="A2761" s="63"/>
      <c r="B2761" s="63">
        <f>'Padrão EPP'!B2761</f>
        <v>3</v>
      </c>
      <c r="C2761" s="63" t="str">
        <f>'Padrão EPP'!C2761</f>
        <v>CE</v>
      </c>
      <c r="D2761" s="63" t="str">
        <f>'Padrão EPP'!D2761</f>
        <v>INTERIOR</v>
      </c>
      <c r="E2761" s="63">
        <f>'Padrão EPP'!E2761/2</f>
        <v>19.754438648796228</v>
      </c>
      <c r="F2761" s="67">
        <v>3.0000000000000001E-3</v>
      </c>
      <c r="G2761" s="67">
        <v>2E-3</v>
      </c>
      <c r="H2761" s="63"/>
    </row>
    <row r="2762" spans="1:8" x14ac:dyDescent="0.25">
      <c r="A2762" s="63"/>
      <c r="B2762" s="63">
        <f>'Padrão EPP'!B2762</f>
        <v>4</v>
      </c>
      <c r="C2762" s="63" t="str">
        <f>'Padrão EPP'!C2762</f>
        <v>CE</v>
      </c>
      <c r="D2762" s="63" t="str">
        <f>'Padrão EPP'!D2762</f>
        <v>INTERIOR</v>
      </c>
      <c r="E2762" s="63">
        <f>'Padrão EPP'!E2762/2</f>
        <v>23.246340498117597</v>
      </c>
      <c r="F2762" s="67">
        <v>3.0000000000000001E-3</v>
      </c>
      <c r="G2762" s="67">
        <v>2E-3</v>
      </c>
      <c r="H2762" s="63"/>
    </row>
    <row r="2763" spans="1:8" x14ac:dyDescent="0.25">
      <c r="A2763" s="63"/>
      <c r="B2763" s="63">
        <f>'Padrão EPP'!B2763</f>
        <v>5</v>
      </c>
      <c r="C2763" s="63" t="str">
        <f>'Padrão EPP'!C2763</f>
        <v>CE</v>
      </c>
      <c r="D2763" s="63" t="str">
        <f>'Padrão EPP'!D2763</f>
        <v>INTERIOR</v>
      </c>
      <c r="E2763" s="63">
        <f>'Padrão EPP'!E2763/2</f>
        <v>26.885749715950535</v>
      </c>
      <c r="F2763" s="67">
        <v>3.0000000000000001E-3</v>
      </c>
      <c r="G2763" s="67">
        <v>2E-3</v>
      </c>
      <c r="H2763" s="63"/>
    </row>
    <row r="2764" spans="1:8" x14ac:dyDescent="0.25">
      <c r="A2764" s="63"/>
      <c r="B2764" s="63">
        <f>'Padrão EPP'!B2764</f>
        <v>6</v>
      </c>
      <c r="C2764" s="63" t="str">
        <f>'Padrão EPP'!C2764</f>
        <v>CE</v>
      </c>
      <c r="D2764" s="63" t="str">
        <f>'Padrão EPP'!D2764</f>
        <v>INTERIOR</v>
      </c>
      <c r="E2764" s="63">
        <f>'Padrão EPP'!E2764/2</f>
        <v>30.613107413624455</v>
      </c>
      <c r="F2764" s="67">
        <v>3.0000000000000001E-3</v>
      </c>
      <c r="G2764" s="67">
        <v>2E-3</v>
      </c>
      <c r="H2764" s="63"/>
    </row>
    <row r="2765" spans="1:8" x14ac:dyDescent="0.25">
      <c r="A2765" s="63"/>
      <c r="B2765" s="63">
        <f>'Padrão EPP'!B2765</f>
        <v>7</v>
      </c>
      <c r="C2765" s="63" t="str">
        <f>'Padrão EPP'!C2765</f>
        <v>CE</v>
      </c>
      <c r="D2765" s="63" t="str">
        <f>'Padrão EPP'!D2765</f>
        <v>INTERIOR</v>
      </c>
      <c r="E2765" s="63">
        <f>'Padrão EPP'!E2765/2</f>
        <v>34.439726344321791</v>
      </c>
      <c r="F2765" s="67">
        <v>3.0000000000000001E-3</v>
      </c>
      <c r="G2765" s="67">
        <v>2E-3</v>
      </c>
      <c r="H2765" s="63"/>
    </row>
    <row r="2766" spans="1:8" x14ac:dyDescent="0.25">
      <c r="A2766" s="63"/>
      <c r="B2766" s="63">
        <f>'Padrão EPP'!B2766</f>
        <v>8</v>
      </c>
      <c r="C2766" s="63" t="str">
        <f>'Padrão EPP'!C2766</f>
        <v>CE</v>
      </c>
      <c r="D2766" s="63" t="str">
        <f>'Padrão EPP'!D2766</f>
        <v>INTERIOR</v>
      </c>
      <c r="E2766" s="63">
        <f>'Padrão EPP'!E2766/2</f>
        <v>38.378412833242962</v>
      </c>
      <c r="F2766" s="67">
        <v>3.0000000000000001E-3</v>
      </c>
      <c r="G2766" s="67">
        <v>2E-3</v>
      </c>
      <c r="H2766" s="63"/>
    </row>
    <row r="2767" spans="1:8" x14ac:dyDescent="0.25">
      <c r="A2767" s="63"/>
      <c r="B2767" s="63">
        <f>'Padrão EPP'!B2767</f>
        <v>9</v>
      </c>
      <c r="C2767" s="63" t="str">
        <f>'Padrão EPP'!C2767</f>
        <v>CE</v>
      </c>
      <c r="D2767" s="63" t="str">
        <f>'Padrão EPP'!D2767</f>
        <v>INTERIOR</v>
      </c>
      <c r="E2767" s="63">
        <f>'Padrão EPP'!E2767/2</f>
        <v>42.149189674179119</v>
      </c>
      <c r="F2767" s="67">
        <v>3.0000000000000001E-3</v>
      </c>
      <c r="G2767" s="67">
        <v>2E-3</v>
      </c>
      <c r="H2767" s="63"/>
    </row>
    <row r="2768" spans="1:8" x14ac:dyDescent="0.25">
      <c r="A2768" s="63"/>
      <c r="B2768" s="63">
        <f>'Padrão EPP'!B2768</f>
        <v>10</v>
      </c>
      <c r="C2768" s="63" t="str">
        <f>'Padrão EPP'!C2768</f>
        <v>CE</v>
      </c>
      <c r="D2768" s="63" t="str">
        <f>'Padrão EPP'!D2768</f>
        <v>INTERIOR</v>
      </c>
      <c r="E2768" s="63">
        <f>'Padrão EPP'!E2768/2</f>
        <v>46.183999527203667</v>
      </c>
      <c r="F2768" s="67">
        <v>3.0000000000000001E-3</v>
      </c>
      <c r="G2768" s="67">
        <v>2E-3</v>
      </c>
      <c r="H2768" s="63"/>
    </row>
    <row r="2769" spans="1:8" x14ac:dyDescent="0.25">
      <c r="A2769" s="63"/>
      <c r="B2769" s="63">
        <f>'Padrão EPP'!B2769</f>
        <v>11</v>
      </c>
      <c r="C2769" s="63" t="str">
        <f>'Padrão EPP'!C2769</f>
        <v>CE</v>
      </c>
      <c r="D2769" s="63" t="str">
        <f>'Padrão EPP'!D2769</f>
        <v>INTERIOR</v>
      </c>
      <c r="E2769" s="63">
        <f>'Padrão EPP'!E2769/2</f>
        <v>0</v>
      </c>
      <c r="F2769" s="67">
        <v>3.0000000000000001E-3</v>
      </c>
      <c r="G2769" s="67">
        <v>2E-3</v>
      </c>
      <c r="H2769" s="63"/>
    </row>
    <row r="2770" spans="1:8" x14ac:dyDescent="0.25">
      <c r="A2770" s="63"/>
      <c r="B2770" s="63">
        <f>'Padrão EPP'!B2770</f>
        <v>12</v>
      </c>
      <c r="C2770" s="63" t="str">
        <f>'Padrão EPP'!C2770</f>
        <v>CE</v>
      </c>
      <c r="D2770" s="63" t="str">
        <f>'Padrão EPP'!D2770</f>
        <v>INTERIOR</v>
      </c>
      <c r="E2770" s="63">
        <f>'Padrão EPP'!E2770/2</f>
        <v>0</v>
      </c>
      <c r="F2770" s="67">
        <v>3.0000000000000001E-3</v>
      </c>
      <c r="G2770" s="67">
        <v>2E-3</v>
      </c>
      <c r="H2770" s="63"/>
    </row>
    <row r="2771" spans="1:8" x14ac:dyDescent="0.25">
      <c r="A2771" s="63"/>
      <c r="B2771" s="63">
        <f>'Padrão EPP'!B2771</f>
        <v>13</v>
      </c>
      <c r="C2771" s="63" t="str">
        <f>'Padrão EPP'!C2771</f>
        <v>CE</v>
      </c>
      <c r="D2771" s="63" t="str">
        <f>'Padrão EPP'!D2771</f>
        <v>INTERIOR</v>
      </c>
      <c r="E2771" s="63">
        <f>'Padrão EPP'!E2771/2</f>
        <v>0</v>
      </c>
      <c r="F2771" s="67">
        <v>3.0000000000000001E-3</v>
      </c>
      <c r="G2771" s="67">
        <v>2E-3</v>
      </c>
      <c r="H2771" s="63"/>
    </row>
    <row r="2772" spans="1:8" x14ac:dyDescent="0.25">
      <c r="A2772" s="63"/>
      <c r="B2772" s="63">
        <f>'Padrão EPP'!B2772</f>
        <v>14</v>
      </c>
      <c r="C2772" s="63" t="str">
        <f>'Padrão EPP'!C2772</f>
        <v>CE</v>
      </c>
      <c r="D2772" s="63" t="str">
        <f>'Padrão EPP'!D2772</f>
        <v>INTERIOR</v>
      </c>
      <c r="E2772" s="63">
        <f>'Padrão EPP'!E2772/2</f>
        <v>0</v>
      </c>
      <c r="F2772" s="67">
        <v>3.0000000000000001E-3</v>
      </c>
      <c r="G2772" s="67">
        <v>2E-3</v>
      </c>
      <c r="H2772" s="63"/>
    </row>
    <row r="2773" spans="1:8" x14ac:dyDescent="0.25">
      <c r="A2773" s="63"/>
      <c r="B2773" s="63">
        <f>'Padrão EPP'!B2773</f>
        <v>15</v>
      </c>
      <c r="C2773" s="63" t="str">
        <f>'Padrão EPP'!C2773</f>
        <v>CE</v>
      </c>
      <c r="D2773" s="63" t="str">
        <f>'Padrão EPP'!D2773</f>
        <v>INTERIOR</v>
      </c>
      <c r="E2773" s="63">
        <f>'Padrão EPP'!E2773/2</f>
        <v>0</v>
      </c>
      <c r="F2773" s="67">
        <v>3.0000000000000001E-3</v>
      </c>
      <c r="G2773" s="67">
        <v>2E-3</v>
      </c>
      <c r="H2773" s="63"/>
    </row>
    <row r="2774" spans="1:8" x14ac:dyDescent="0.25">
      <c r="A2774" s="63"/>
      <c r="B2774" s="63">
        <f>'Padrão EPP'!B2774</f>
        <v>16</v>
      </c>
      <c r="C2774" s="63" t="str">
        <f>'Padrão EPP'!C2774</f>
        <v>CE</v>
      </c>
      <c r="D2774" s="63" t="str">
        <f>'Padrão EPP'!D2774</f>
        <v>INTERIOR</v>
      </c>
      <c r="E2774" s="63">
        <f>'Padrão EPP'!E2774/2</f>
        <v>0</v>
      </c>
      <c r="F2774" s="67">
        <v>3.0000000000000001E-3</v>
      </c>
      <c r="G2774" s="67">
        <v>2E-3</v>
      </c>
      <c r="H2774" s="63"/>
    </row>
    <row r="2775" spans="1:8" x14ac:dyDescent="0.25">
      <c r="A2775" s="63"/>
      <c r="B2775" s="63">
        <f>'Padrão EPP'!B2775</f>
        <v>17</v>
      </c>
      <c r="C2775" s="63" t="str">
        <f>'Padrão EPP'!C2775</f>
        <v>CE</v>
      </c>
      <c r="D2775" s="63" t="str">
        <f>'Padrão EPP'!D2775</f>
        <v>INTERIOR</v>
      </c>
      <c r="E2775" s="63">
        <f>'Padrão EPP'!E2775/2</f>
        <v>0</v>
      </c>
      <c r="F2775" s="67">
        <v>3.0000000000000001E-3</v>
      </c>
      <c r="G2775" s="67">
        <v>2E-3</v>
      </c>
      <c r="H2775" s="63"/>
    </row>
    <row r="2776" spans="1:8" x14ac:dyDescent="0.25">
      <c r="A2776" s="63"/>
      <c r="B2776" s="63">
        <f>'Padrão EPP'!B2776</f>
        <v>18</v>
      </c>
      <c r="C2776" s="63" t="str">
        <f>'Padrão EPP'!C2776</f>
        <v>CE</v>
      </c>
      <c r="D2776" s="63" t="str">
        <f>'Padrão EPP'!D2776</f>
        <v>INTERIOR</v>
      </c>
      <c r="E2776" s="63">
        <f>'Padrão EPP'!E2776/2</f>
        <v>0</v>
      </c>
      <c r="F2776" s="67">
        <v>3.0000000000000001E-3</v>
      </c>
      <c r="G2776" s="67">
        <v>2E-3</v>
      </c>
      <c r="H2776" s="63"/>
    </row>
    <row r="2777" spans="1:8" x14ac:dyDescent="0.25">
      <c r="A2777" s="63"/>
      <c r="B2777" s="63">
        <f>'Padrão EPP'!B2777</f>
        <v>19</v>
      </c>
      <c r="C2777" s="63" t="str">
        <f>'Padrão EPP'!C2777</f>
        <v>CE</v>
      </c>
      <c r="D2777" s="63" t="str">
        <f>'Padrão EPP'!D2777</f>
        <v>INTERIOR</v>
      </c>
      <c r="E2777" s="63">
        <f>'Padrão EPP'!E2777/2</f>
        <v>0</v>
      </c>
      <c r="F2777" s="67">
        <v>3.0000000000000001E-3</v>
      </c>
      <c r="G2777" s="67">
        <v>2E-3</v>
      </c>
      <c r="H2777" s="63"/>
    </row>
    <row r="2778" spans="1:8" x14ac:dyDescent="0.25">
      <c r="A2778" s="63"/>
      <c r="B2778" s="63">
        <f>'Padrão EPP'!B2778</f>
        <v>20</v>
      </c>
      <c r="C2778" s="63" t="str">
        <f>'Padrão EPP'!C2778</f>
        <v>CE</v>
      </c>
      <c r="D2778" s="63" t="str">
        <f>'Padrão EPP'!D2778</f>
        <v>INTERIOR</v>
      </c>
      <c r="E2778" s="63">
        <f>'Padrão EPP'!E2778/2</f>
        <v>0</v>
      </c>
      <c r="F2778" s="67">
        <v>3.0000000000000001E-3</v>
      </c>
      <c r="G2778" s="67">
        <v>2E-3</v>
      </c>
      <c r="H2778" s="63"/>
    </row>
    <row r="2779" spans="1:8" x14ac:dyDescent="0.25">
      <c r="A2779" s="63"/>
      <c r="B2779" s="63">
        <f>'Padrão EPP'!B2779</f>
        <v>21</v>
      </c>
      <c r="C2779" s="63" t="str">
        <f>'Padrão EPP'!C2779</f>
        <v>CE</v>
      </c>
      <c r="D2779" s="63" t="str">
        <f>'Padrão EPP'!D2779</f>
        <v>INTERIOR</v>
      </c>
      <c r="E2779" s="63">
        <f>'Padrão EPP'!E2779/2</f>
        <v>0</v>
      </c>
      <c r="F2779" s="67">
        <v>3.0000000000000001E-3</v>
      </c>
      <c r="G2779" s="67">
        <v>2E-3</v>
      </c>
      <c r="H2779" s="63"/>
    </row>
    <row r="2780" spans="1:8" x14ac:dyDescent="0.25">
      <c r="A2780" s="63"/>
      <c r="B2780" s="63">
        <f>'Padrão EPP'!B2780</f>
        <v>22</v>
      </c>
      <c r="C2780" s="63" t="str">
        <f>'Padrão EPP'!C2780</f>
        <v>CE</v>
      </c>
      <c r="D2780" s="63" t="str">
        <f>'Padrão EPP'!D2780</f>
        <v>INTERIOR</v>
      </c>
      <c r="E2780" s="63">
        <f>'Padrão EPP'!E2780/2</f>
        <v>0</v>
      </c>
      <c r="F2780" s="67">
        <v>3.0000000000000001E-3</v>
      </c>
      <c r="G2780" s="67">
        <v>2E-3</v>
      </c>
      <c r="H2780" s="63"/>
    </row>
    <row r="2781" spans="1:8" x14ac:dyDescent="0.25">
      <c r="A2781" s="63"/>
      <c r="B2781" s="63">
        <f>'Padrão EPP'!B2781</f>
        <v>23</v>
      </c>
      <c r="C2781" s="63" t="str">
        <f>'Padrão EPP'!C2781</f>
        <v>CE</v>
      </c>
      <c r="D2781" s="63" t="str">
        <f>'Padrão EPP'!D2781</f>
        <v>INTERIOR</v>
      </c>
      <c r="E2781" s="63">
        <f>'Padrão EPP'!E2781/2</f>
        <v>0</v>
      </c>
      <c r="F2781" s="67">
        <v>3.0000000000000001E-3</v>
      </c>
      <c r="G2781" s="67">
        <v>2E-3</v>
      </c>
      <c r="H2781" s="63"/>
    </row>
    <row r="2782" spans="1:8" x14ac:dyDescent="0.25">
      <c r="A2782" s="63"/>
      <c r="B2782" s="63">
        <f>'Padrão EPP'!B2782</f>
        <v>24</v>
      </c>
      <c r="C2782" s="63" t="str">
        <f>'Padrão EPP'!C2782</f>
        <v>CE</v>
      </c>
      <c r="D2782" s="63" t="str">
        <f>'Padrão EPP'!D2782</f>
        <v>INTERIOR</v>
      </c>
      <c r="E2782" s="63">
        <f>'Padrão EPP'!E2782/2</f>
        <v>0</v>
      </c>
      <c r="F2782" s="67">
        <v>3.0000000000000001E-3</v>
      </c>
      <c r="G2782" s="67">
        <v>2E-3</v>
      </c>
      <c r="H2782" s="63"/>
    </row>
    <row r="2783" spans="1:8" x14ac:dyDescent="0.25">
      <c r="A2783" s="63"/>
      <c r="B2783" s="63">
        <f>'Padrão EPP'!B2783</f>
        <v>25</v>
      </c>
      <c r="C2783" s="63" t="str">
        <f>'Padrão EPP'!C2783</f>
        <v>CE</v>
      </c>
      <c r="D2783" s="63" t="str">
        <f>'Padrão EPP'!D2783</f>
        <v>INTERIOR</v>
      </c>
      <c r="E2783" s="63">
        <f>'Padrão EPP'!E2783/2</f>
        <v>0</v>
      </c>
      <c r="F2783" s="67">
        <v>3.0000000000000001E-3</v>
      </c>
      <c r="G2783" s="67">
        <v>2E-3</v>
      </c>
      <c r="H2783" s="63"/>
    </row>
    <row r="2784" spans="1:8" x14ac:dyDescent="0.25">
      <c r="A2784" s="63"/>
      <c r="B2784" s="63">
        <f>'Padrão EPP'!B2784</f>
        <v>26</v>
      </c>
      <c r="C2784" s="63" t="str">
        <f>'Padrão EPP'!C2784</f>
        <v>CE</v>
      </c>
      <c r="D2784" s="63" t="str">
        <f>'Padrão EPP'!D2784</f>
        <v>INTERIOR</v>
      </c>
      <c r="E2784" s="63">
        <f>'Padrão EPP'!E2784/2</f>
        <v>0</v>
      </c>
      <c r="F2784" s="67">
        <v>3.0000000000000001E-3</v>
      </c>
      <c r="G2784" s="67">
        <v>2E-3</v>
      </c>
      <c r="H2784" s="63"/>
    </row>
    <row r="2785" spans="1:8" x14ac:dyDescent="0.25">
      <c r="A2785" s="63"/>
      <c r="B2785" s="63">
        <f>'Padrão EPP'!B2785</f>
        <v>27</v>
      </c>
      <c r="C2785" s="63" t="str">
        <f>'Padrão EPP'!C2785</f>
        <v>CE</v>
      </c>
      <c r="D2785" s="63" t="str">
        <f>'Padrão EPP'!D2785</f>
        <v>INTERIOR</v>
      </c>
      <c r="E2785" s="63">
        <f>'Padrão EPP'!E2785/2</f>
        <v>0</v>
      </c>
      <c r="F2785" s="67">
        <v>3.0000000000000001E-3</v>
      </c>
      <c r="G2785" s="67">
        <v>2E-3</v>
      </c>
      <c r="H2785" s="63"/>
    </row>
    <row r="2786" spans="1:8" x14ac:dyDescent="0.25">
      <c r="A2786" s="63"/>
      <c r="B2786" s="63">
        <f>'Padrão EPP'!B2786</f>
        <v>28</v>
      </c>
      <c r="C2786" s="63" t="str">
        <f>'Padrão EPP'!C2786</f>
        <v>CE</v>
      </c>
      <c r="D2786" s="63" t="str">
        <f>'Padrão EPP'!D2786</f>
        <v>INTERIOR</v>
      </c>
      <c r="E2786" s="63">
        <f>'Padrão EPP'!E2786/2</f>
        <v>0</v>
      </c>
      <c r="F2786" s="67">
        <v>3.0000000000000001E-3</v>
      </c>
      <c r="G2786" s="67">
        <v>2E-3</v>
      </c>
      <c r="H2786" s="63"/>
    </row>
    <row r="2787" spans="1:8" x14ac:dyDescent="0.25">
      <c r="A2787" s="63"/>
      <c r="B2787" s="63">
        <f>'Padrão EPP'!B2787</f>
        <v>29</v>
      </c>
      <c r="C2787" s="63" t="str">
        <f>'Padrão EPP'!C2787</f>
        <v>CE</v>
      </c>
      <c r="D2787" s="63" t="str">
        <f>'Padrão EPP'!D2787</f>
        <v>INTERIOR</v>
      </c>
      <c r="E2787" s="63">
        <f>'Padrão EPP'!E2787/2</f>
        <v>0</v>
      </c>
      <c r="F2787" s="67">
        <v>3.0000000000000001E-3</v>
      </c>
      <c r="G2787" s="67">
        <v>2E-3</v>
      </c>
      <c r="H2787" s="63"/>
    </row>
    <row r="2788" spans="1:8" x14ac:dyDescent="0.25">
      <c r="A2788" s="63"/>
      <c r="B2788" s="63">
        <f>'Padrão EPP'!B2788</f>
        <v>30</v>
      </c>
      <c r="C2788" s="63" t="str">
        <f>'Padrão EPP'!C2788</f>
        <v>CE</v>
      </c>
      <c r="D2788" s="63" t="str">
        <f>'Padrão EPP'!D2788</f>
        <v>INTERIOR</v>
      </c>
      <c r="E2788" s="63">
        <f>'Padrão EPP'!E2788/2</f>
        <v>0</v>
      </c>
      <c r="F2788" s="67">
        <v>3.0000000000000001E-3</v>
      </c>
      <c r="G2788" s="67">
        <v>2E-3</v>
      </c>
      <c r="H2788" s="63"/>
    </row>
    <row r="2789" spans="1:8" x14ac:dyDescent="0.25">
      <c r="A2789" s="63"/>
      <c r="B2789" s="63">
        <f>'Padrão EPP'!B2789</f>
        <v>0</v>
      </c>
      <c r="C2789" s="63" t="str">
        <f>'Padrão EPP'!C2789</f>
        <v>CE</v>
      </c>
      <c r="D2789" s="63" t="str">
        <f>'Padrão EPP'!D2789</f>
        <v>INTERIOR</v>
      </c>
      <c r="E2789" s="63">
        <f>'Padrão EPP'!E2789/2</f>
        <v>1.5214394455252955</v>
      </c>
      <c r="F2789" s="67">
        <v>3.0000000000000001E-3</v>
      </c>
      <c r="G2789" s="67">
        <v>2E-3</v>
      </c>
      <c r="H2789" s="63"/>
    </row>
    <row r="2790" spans="1:8" x14ac:dyDescent="0.25">
      <c r="A2790" s="63"/>
      <c r="B2790" s="63">
        <f>'Padrão EPP'!B2790</f>
        <v>0.25</v>
      </c>
      <c r="C2790" s="63" t="str">
        <f>'Padrão EPP'!C2790</f>
        <v>CE</v>
      </c>
      <c r="D2790" s="63" t="str">
        <f>'Padrão EPP'!D2790</f>
        <v>INTERIOR II</v>
      </c>
      <c r="E2790" s="63">
        <f>'Padrão EPP'!E2790/2</f>
        <v>12.520973657372119</v>
      </c>
      <c r="F2790" s="67">
        <v>3.0000000000000001E-3</v>
      </c>
      <c r="G2790" s="67">
        <v>2E-3</v>
      </c>
      <c r="H2790" s="63"/>
    </row>
    <row r="2791" spans="1:8" x14ac:dyDescent="0.25">
      <c r="A2791" s="63"/>
      <c r="B2791" s="63">
        <f>'Padrão EPP'!B2791</f>
        <v>0.5</v>
      </c>
      <c r="C2791" s="63" t="str">
        <f>'Padrão EPP'!C2791</f>
        <v>CE</v>
      </c>
      <c r="D2791" s="63" t="str">
        <f>'Padrão EPP'!D2791</f>
        <v>INTERIOR II</v>
      </c>
      <c r="E2791" s="63">
        <f>'Padrão EPP'!E2791/2</f>
        <v>13.728176701881081</v>
      </c>
      <c r="F2791" s="67">
        <v>3.0000000000000001E-3</v>
      </c>
      <c r="G2791" s="67">
        <v>2E-3</v>
      </c>
      <c r="H2791" s="63"/>
    </row>
    <row r="2792" spans="1:8" x14ac:dyDescent="0.25">
      <c r="A2792" s="63"/>
      <c r="B2792" s="63">
        <f>'Padrão EPP'!B2792</f>
        <v>0.75</v>
      </c>
      <c r="C2792" s="63" t="str">
        <f>'Padrão EPP'!C2792</f>
        <v>CE</v>
      </c>
      <c r="D2792" s="63" t="str">
        <f>'Padrão EPP'!D2792</f>
        <v>INTERIOR II</v>
      </c>
      <c r="E2792" s="63">
        <f>'Padrão EPP'!E2792/2</f>
        <v>15.053325785067173</v>
      </c>
      <c r="F2792" s="67">
        <v>3.0000000000000001E-3</v>
      </c>
      <c r="G2792" s="67">
        <v>2E-3</v>
      </c>
      <c r="H2792" s="63"/>
    </row>
    <row r="2793" spans="1:8" x14ac:dyDescent="0.25">
      <c r="A2793" s="63"/>
      <c r="B2793" s="63">
        <f>'Padrão EPP'!B2793</f>
        <v>1</v>
      </c>
      <c r="C2793" s="63" t="str">
        <f>'Padrão EPP'!C2793</f>
        <v>CE</v>
      </c>
      <c r="D2793" s="63" t="str">
        <f>'Padrão EPP'!D2793</f>
        <v>INTERIOR II</v>
      </c>
      <c r="E2793" s="63">
        <f>'Padrão EPP'!E2793/2</f>
        <v>16.192538925810325</v>
      </c>
      <c r="F2793" s="67">
        <v>3.0000000000000001E-3</v>
      </c>
      <c r="G2793" s="67">
        <v>2E-3</v>
      </c>
      <c r="H2793" s="63"/>
    </row>
    <row r="2794" spans="1:8" x14ac:dyDescent="0.25">
      <c r="A2794" s="63"/>
      <c r="B2794" s="63">
        <f>'Padrão EPP'!B2794</f>
        <v>2</v>
      </c>
      <c r="C2794" s="63" t="str">
        <f>'Padrão EPP'!C2794</f>
        <v>CE</v>
      </c>
      <c r="D2794" s="63" t="str">
        <f>'Padrão EPP'!D2794</f>
        <v>INTERIOR II</v>
      </c>
      <c r="E2794" s="63">
        <f>'Padrão EPP'!E2794/2</f>
        <v>19.714733405561443</v>
      </c>
      <c r="F2794" s="67">
        <v>3.0000000000000001E-3</v>
      </c>
      <c r="G2794" s="67">
        <v>2E-3</v>
      </c>
      <c r="H2794" s="63"/>
    </row>
    <row r="2795" spans="1:8" x14ac:dyDescent="0.25">
      <c r="A2795" s="63"/>
      <c r="B2795" s="63">
        <f>'Padrão EPP'!B2795</f>
        <v>3</v>
      </c>
      <c r="C2795" s="63" t="str">
        <f>'Padrão EPP'!C2795</f>
        <v>CE</v>
      </c>
      <c r="D2795" s="63" t="str">
        <f>'Padrão EPP'!D2795</f>
        <v>INTERIOR II</v>
      </c>
      <c r="E2795" s="63">
        <f>'Padrão EPP'!E2795/2</f>
        <v>23.71778741096028</v>
      </c>
      <c r="F2795" s="67">
        <v>3.0000000000000001E-3</v>
      </c>
      <c r="G2795" s="67">
        <v>2E-3</v>
      </c>
      <c r="H2795" s="63"/>
    </row>
    <row r="2796" spans="1:8" x14ac:dyDescent="0.25">
      <c r="A2796" s="63"/>
      <c r="B2796" s="63">
        <f>'Padrão EPP'!B2796</f>
        <v>4</v>
      </c>
      <c r="C2796" s="63" t="str">
        <f>'Padrão EPP'!C2796</f>
        <v>CE</v>
      </c>
      <c r="D2796" s="63" t="str">
        <f>'Padrão EPP'!D2796</f>
        <v>INTERIOR II</v>
      </c>
      <c r="E2796" s="63">
        <f>'Padrão EPP'!E2796/2</f>
        <v>27.774387051342032</v>
      </c>
      <c r="F2796" s="67">
        <v>3.0000000000000001E-3</v>
      </c>
      <c r="G2796" s="67">
        <v>2E-3</v>
      </c>
      <c r="H2796" s="63"/>
    </row>
    <row r="2797" spans="1:8" x14ac:dyDescent="0.25">
      <c r="A2797" s="63"/>
      <c r="B2797" s="63">
        <f>'Padrão EPP'!B2797</f>
        <v>5</v>
      </c>
      <c r="C2797" s="63" t="str">
        <f>'Padrão EPP'!C2797</f>
        <v>CE</v>
      </c>
      <c r="D2797" s="63" t="str">
        <f>'Padrão EPP'!D2797</f>
        <v>INTERIOR II</v>
      </c>
      <c r="E2797" s="63">
        <f>'Padrão EPP'!E2797/2</f>
        <v>31.889886890205013</v>
      </c>
      <c r="F2797" s="67">
        <v>3.0000000000000001E-3</v>
      </c>
      <c r="G2797" s="67">
        <v>2E-3</v>
      </c>
      <c r="H2797" s="63"/>
    </row>
    <row r="2798" spans="1:8" x14ac:dyDescent="0.25">
      <c r="A2798" s="63"/>
      <c r="B2798" s="63">
        <f>'Padrão EPP'!B2798</f>
        <v>6</v>
      </c>
      <c r="C2798" s="63" t="str">
        <f>'Padrão EPP'!C2798</f>
        <v>CE</v>
      </c>
      <c r="D2798" s="63" t="str">
        <f>'Padrão EPP'!D2798</f>
        <v>INTERIOR II</v>
      </c>
      <c r="E2798" s="63">
        <f>'Padrão EPP'!E2798/2</f>
        <v>37.116488188604862</v>
      </c>
      <c r="F2798" s="67">
        <v>3.0000000000000001E-3</v>
      </c>
      <c r="G2798" s="67">
        <v>2E-3</v>
      </c>
      <c r="H2798" s="63"/>
    </row>
    <row r="2799" spans="1:8" x14ac:dyDescent="0.25">
      <c r="A2799" s="63"/>
      <c r="B2799" s="63">
        <f>'Padrão EPP'!B2799</f>
        <v>7</v>
      </c>
      <c r="C2799" s="63" t="str">
        <f>'Padrão EPP'!C2799</f>
        <v>CE</v>
      </c>
      <c r="D2799" s="63" t="str">
        <f>'Padrão EPP'!D2799</f>
        <v>INTERIOR II</v>
      </c>
      <c r="E2799" s="63">
        <f>'Padrão EPP'!E2799/2</f>
        <v>40.9507115049636</v>
      </c>
      <c r="F2799" s="67">
        <v>3.0000000000000001E-3</v>
      </c>
      <c r="G2799" s="67">
        <v>2E-3</v>
      </c>
      <c r="H2799" s="63"/>
    </row>
    <row r="2800" spans="1:8" x14ac:dyDescent="0.25">
      <c r="A2800" s="63"/>
      <c r="B2800" s="63">
        <f>'Padrão EPP'!B2800</f>
        <v>8</v>
      </c>
      <c r="C2800" s="63" t="str">
        <f>'Padrão EPP'!C2800</f>
        <v>CE</v>
      </c>
      <c r="D2800" s="63" t="str">
        <f>'Padrão EPP'!D2800</f>
        <v>INTERIOR II</v>
      </c>
      <c r="E2800" s="63">
        <f>'Padrão EPP'!E2800/2</f>
        <v>44.855524407916299</v>
      </c>
      <c r="F2800" s="67">
        <v>3.0000000000000001E-3</v>
      </c>
      <c r="G2800" s="67">
        <v>2E-3</v>
      </c>
      <c r="H2800" s="63"/>
    </row>
    <row r="2801" spans="1:8" x14ac:dyDescent="0.25">
      <c r="A2801" s="63"/>
      <c r="B2801" s="63">
        <f>'Padrão EPP'!B2801</f>
        <v>9</v>
      </c>
      <c r="C2801" s="63" t="str">
        <f>'Padrão EPP'!C2801</f>
        <v>CE</v>
      </c>
      <c r="D2801" s="63" t="str">
        <f>'Padrão EPP'!D2801</f>
        <v>INTERIOR II</v>
      </c>
      <c r="E2801" s="63">
        <f>'Padrão EPP'!E2801/2</f>
        <v>49.297219223880241</v>
      </c>
      <c r="F2801" s="67">
        <v>3.0000000000000001E-3</v>
      </c>
      <c r="G2801" s="67">
        <v>2E-3</v>
      </c>
      <c r="H2801" s="63"/>
    </row>
    <row r="2802" spans="1:8" x14ac:dyDescent="0.25">
      <c r="A2802" s="63"/>
      <c r="B2802" s="63">
        <f>'Padrão EPP'!B2802</f>
        <v>10</v>
      </c>
      <c r="C2802" s="63" t="str">
        <f>'Padrão EPP'!C2802</f>
        <v>CE</v>
      </c>
      <c r="D2802" s="63" t="str">
        <f>'Padrão EPP'!D2802</f>
        <v>INTERIOR II</v>
      </c>
      <c r="E2802" s="63">
        <f>'Padrão EPP'!E2802/2</f>
        <v>53.629094359294044</v>
      </c>
      <c r="F2802" s="67">
        <v>3.0000000000000001E-3</v>
      </c>
      <c r="G2802" s="67">
        <v>2E-3</v>
      </c>
      <c r="H2802" s="63"/>
    </row>
    <row r="2803" spans="1:8" x14ac:dyDescent="0.25">
      <c r="A2803" s="63"/>
      <c r="B2803" s="63">
        <f>'Padrão EPP'!B2803</f>
        <v>11</v>
      </c>
      <c r="C2803" s="63" t="str">
        <f>'Padrão EPP'!C2803</f>
        <v>CE</v>
      </c>
      <c r="D2803" s="63" t="str">
        <f>'Padrão EPP'!D2803</f>
        <v>INTERIOR II</v>
      </c>
      <c r="E2803" s="63">
        <f>'Padrão EPP'!E2803/2</f>
        <v>0</v>
      </c>
      <c r="F2803" s="67">
        <v>3.0000000000000001E-3</v>
      </c>
      <c r="G2803" s="67">
        <v>2E-3</v>
      </c>
      <c r="H2803" s="63"/>
    </row>
    <row r="2804" spans="1:8" x14ac:dyDescent="0.25">
      <c r="A2804" s="63"/>
      <c r="B2804" s="63">
        <f>'Padrão EPP'!B2804</f>
        <v>12</v>
      </c>
      <c r="C2804" s="63" t="str">
        <f>'Padrão EPP'!C2804</f>
        <v>CE</v>
      </c>
      <c r="D2804" s="63" t="str">
        <f>'Padrão EPP'!D2804</f>
        <v>INTERIOR II</v>
      </c>
      <c r="E2804" s="63">
        <f>'Padrão EPP'!E2804/2</f>
        <v>0</v>
      </c>
      <c r="F2804" s="67">
        <v>3.0000000000000001E-3</v>
      </c>
      <c r="G2804" s="67">
        <v>2E-3</v>
      </c>
      <c r="H2804" s="63"/>
    </row>
    <row r="2805" spans="1:8" x14ac:dyDescent="0.25">
      <c r="A2805" s="63"/>
      <c r="B2805" s="63">
        <f>'Padrão EPP'!B2805</f>
        <v>13</v>
      </c>
      <c r="C2805" s="63" t="str">
        <f>'Padrão EPP'!C2805</f>
        <v>CE</v>
      </c>
      <c r="D2805" s="63" t="str">
        <f>'Padrão EPP'!D2805</f>
        <v>INTERIOR II</v>
      </c>
      <c r="E2805" s="63">
        <f>'Padrão EPP'!E2805/2</f>
        <v>0</v>
      </c>
      <c r="F2805" s="67">
        <v>3.0000000000000001E-3</v>
      </c>
      <c r="G2805" s="67">
        <v>2E-3</v>
      </c>
      <c r="H2805" s="63"/>
    </row>
    <row r="2806" spans="1:8" x14ac:dyDescent="0.25">
      <c r="A2806" s="63"/>
      <c r="B2806" s="63">
        <f>'Padrão EPP'!B2806</f>
        <v>14</v>
      </c>
      <c r="C2806" s="63" t="str">
        <f>'Padrão EPP'!C2806</f>
        <v>CE</v>
      </c>
      <c r="D2806" s="63" t="str">
        <f>'Padrão EPP'!D2806</f>
        <v>INTERIOR II</v>
      </c>
      <c r="E2806" s="63">
        <f>'Padrão EPP'!E2806/2</f>
        <v>0</v>
      </c>
      <c r="F2806" s="67">
        <v>3.0000000000000001E-3</v>
      </c>
      <c r="G2806" s="67">
        <v>2E-3</v>
      </c>
      <c r="H2806" s="63"/>
    </row>
    <row r="2807" spans="1:8" x14ac:dyDescent="0.25">
      <c r="A2807" s="63"/>
      <c r="B2807" s="63">
        <f>'Padrão EPP'!B2807</f>
        <v>15</v>
      </c>
      <c r="C2807" s="63" t="str">
        <f>'Padrão EPP'!C2807</f>
        <v>CE</v>
      </c>
      <c r="D2807" s="63" t="str">
        <f>'Padrão EPP'!D2807</f>
        <v>INTERIOR II</v>
      </c>
      <c r="E2807" s="63">
        <f>'Padrão EPP'!E2807/2</f>
        <v>0</v>
      </c>
      <c r="F2807" s="67">
        <v>3.0000000000000001E-3</v>
      </c>
      <c r="G2807" s="67">
        <v>2E-3</v>
      </c>
      <c r="H2807" s="63"/>
    </row>
    <row r="2808" spans="1:8" x14ac:dyDescent="0.25">
      <c r="A2808" s="63"/>
      <c r="B2808" s="63">
        <f>'Padrão EPP'!B2808</f>
        <v>16</v>
      </c>
      <c r="C2808" s="63" t="str">
        <f>'Padrão EPP'!C2808</f>
        <v>CE</v>
      </c>
      <c r="D2808" s="63" t="str">
        <f>'Padrão EPP'!D2808</f>
        <v>INTERIOR II</v>
      </c>
      <c r="E2808" s="63">
        <f>'Padrão EPP'!E2808/2</f>
        <v>0</v>
      </c>
      <c r="F2808" s="67">
        <v>3.0000000000000001E-3</v>
      </c>
      <c r="G2808" s="67">
        <v>2E-3</v>
      </c>
      <c r="H2808" s="63"/>
    </row>
    <row r="2809" spans="1:8" x14ac:dyDescent="0.25">
      <c r="A2809" s="63"/>
      <c r="B2809" s="63">
        <f>'Padrão EPP'!B2809</f>
        <v>17</v>
      </c>
      <c r="C2809" s="63" t="str">
        <f>'Padrão EPP'!C2809</f>
        <v>CE</v>
      </c>
      <c r="D2809" s="63" t="str">
        <f>'Padrão EPP'!D2809</f>
        <v>INTERIOR II</v>
      </c>
      <c r="E2809" s="63">
        <f>'Padrão EPP'!E2809/2</f>
        <v>0</v>
      </c>
      <c r="F2809" s="67">
        <v>3.0000000000000001E-3</v>
      </c>
      <c r="G2809" s="67">
        <v>2E-3</v>
      </c>
      <c r="H2809" s="63"/>
    </row>
    <row r="2810" spans="1:8" x14ac:dyDescent="0.25">
      <c r="A2810" s="63"/>
      <c r="B2810" s="63">
        <f>'Padrão EPP'!B2810</f>
        <v>18</v>
      </c>
      <c r="C2810" s="63" t="str">
        <f>'Padrão EPP'!C2810</f>
        <v>CE</v>
      </c>
      <c r="D2810" s="63" t="str">
        <f>'Padrão EPP'!D2810</f>
        <v>INTERIOR II</v>
      </c>
      <c r="E2810" s="63">
        <f>'Padrão EPP'!E2810/2</f>
        <v>0</v>
      </c>
      <c r="F2810" s="67">
        <v>3.0000000000000001E-3</v>
      </c>
      <c r="G2810" s="67">
        <v>2E-3</v>
      </c>
      <c r="H2810" s="63"/>
    </row>
    <row r="2811" spans="1:8" x14ac:dyDescent="0.25">
      <c r="A2811" s="63"/>
      <c r="B2811" s="63">
        <f>'Padrão EPP'!B2811</f>
        <v>19</v>
      </c>
      <c r="C2811" s="63" t="str">
        <f>'Padrão EPP'!C2811</f>
        <v>CE</v>
      </c>
      <c r="D2811" s="63" t="str">
        <f>'Padrão EPP'!D2811</f>
        <v>INTERIOR II</v>
      </c>
      <c r="E2811" s="63">
        <f>'Padrão EPP'!E2811/2</f>
        <v>0</v>
      </c>
      <c r="F2811" s="67">
        <v>3.0000000000000001E-3</v>
      </c>
      <c r="G2811" s="67">
        <v>2E-3</v>
      </c>
      <c r="H2811" s="63"/>
    </row>
    <row r="2812" spans="1:8" x14ac:dyDescent="0.25">
      <c r="A2812" s="63"/>
      <c r="B2812" s="63">
        <f>'Padrão EPP'!B2812</f>
        <v>20</v>
      </c>
      <c r="C2812" s="63" t="str">
        <f>'Padrão EPP'!C2812</f>
        <v>CE</v>
      </c>
      <c r="D2812" s="63" t="str">
        <f>'Padrão EPP'!D2812</f>
        <v>INTERIOR II</v>
      </c>
      <c r="E2812" s="63">
        <f>'Padrão EPP'!E2812/2</f>
        <v>0</v>
      </c>
      <c r="F2812" s="67">
        <v>3.0000000000000001E-3</v>
      </c>
      <c r="G2812" s="67">
        <v>2E-3</v>
      </c>
      <c r="H2812" s="63"/>
    </row>
    <row r="2813" spans="1:8" x14ac:dyDescent="0.25">
      <c r="A2813" s="63"/>
      <c r="B2813" s="63">
        <f>'Padrão EPP'!B2813</f>
        <v>21</v>
      </c>
      <c r="C2813" s="63" t="str">
        <f>'Padrão EPP'!C2813</f>
        <v>CE</v>
      </c>
      <c r="D2813" s="63" t="str">
        <f>'Padrão EPP'!D2813</f>
        <v>INTERIOR II</v>
      </c>
      <c r="E2813" s="63">
        <f>'Padrão EPP'!E2813/2</f>
        <v>0</v>
      </c>
      <c r="F2813" s="67">
        <v>3.0000000000000001E-3</v>
      </c>
      <c r="G2813" s="67">
        <v>2E-3</v>
      </c>
      <c r="H2813" s="63"/>
    </row>
    <row r="2814" spans="1:8" x14ac:dyDescent="0.25">
      <c r="A2814" s="63"/>
      <c r="B2814" s="63">
        <f>'Padrão EPP'!B2814</f>
        <v>22</v>
      </c>
      <c r="C2814" s="63" t="str">
        <f>'Padrão EPP'!C2814</f>
        <v>CE</v>
      </c>
      <c r="D2814" s="63" t="str">
        <f>'Padrão EPP'!D2814</f>
        <v>INTERIOR II</v>
      </c>
      <c r="E2814" s="63">
        <f>'Padrão EPP'!E2814/2</f>
        <v>0</v>
      </c>
      <c r="F2814" s="67">
        <v>3.0000000000000001E-3</v>
      </c>
      <c r="G2814" s="67">
        <v>2E-3</v>
      </c>
      <c r="H2814" s="63"/>
    </row>
    <row r="2815" spans="1:8" x14ac:dyDescent="0.25">
      <c r="A2815" s="63"/>
      <c r="B2815" s="63">
        <f>'Padrão EPP'!B2815</f>
        <v>23</v>
      </c>
      <c r="C2815" s="63" t="str">
        <f>'Padrão EPP'!C2815</f>
        <v>CE</v>
      </c>
      <c r="D2815" s="63" t="str">
        <f>'Padrão EPP'!D2815</f>
        <v>INTERIOR II</v>
      </c>
      <c r="E2815" s="63">
        <f>'Padrão EPP'!E2815/2</f>
        <v>0</v>
      </c>
      <c r="F2815" s="67">
        <v>3.0000000000000001E-3</v>
      </c>
      <c r="G2815" s="67">
        <v>2E-3</v>
      </c>
      <c r="H2815" s="63"/>
    </row>
    <row r="2816" spans="1:8" x14ac:dyDescent="0.25">
      <c r="A2816" s="63"/>
      <c r="B2816" s="63">
        <f>'Padrão EPP'!B2816</f>
        <v>24</v>
      </c>
      <c r="C2816" s="63" t="str">
        <f>'Padrão EPP'!C2816</f>
        <v>CE</v>
      </c>
      <c r="D2816" s="63" t="str">
        <f>'Padrão EPP'!D2816</f>
        <v>INTERIOR II</v>
      </c>
      <c r="E2816" s="63">
        <f>'Padrão EPP'!E2816/2</f>
        <v>0</v>
      </c>
      <c r="F2816" s="67">
        <v>3.0000000000000001E-3</v>
      </c>
      <c r="G2816" s="67">
        <v>2E-3</v>
      </c>
      <c r="H2816" s="63"/>
    </row>
    <row r="2817" spans="1:8" x14ac:dyDescent="0.25">
      <c r="A2817" s="63"/>
      <c r="B2817" s="63">
        <f>'Padrão EPP'!B2817</f>
        <v>25</v>
      </c>
      <c r="C2817" s="63" t="str">
        <f>'Padrão EPP'!C2817</f>
        <v>CE</v>
      </c>
      <c r="D2817" s="63" t="str">
        <f>'Padrão EPP'!D2817</f>
        <v>INTERIOR II</v>
      </c>
      <c r="E2817" s="63">
        <f>'Padrão EPP'!E2817/2</f>
        <v>0</v>
      </c>
      <c r="F2817" s="67">
        <v>3.0000000000000001E-3</v>
      </c>
      <c r="G2817" s="67">
        <v>2E-3</v>
      </c>
      <c r="H2817" s="63"/>
    </row>
    <row r="2818" spans="1:8" x14ac:dyDescent="0.25">
      <c r="A2818" s="63"/>
      <c r="B2818" s="63">
        <f>'Padrão EPP'!B2818</f>
        <v>26</v>
      </c>
      <c r="C2818" s="63" t="str">
        <f>'Padrão EPP'!C2818</f>
        <v>CE</v>
      </c>
      <c r="D2818" s="63" t="str">
        <f>'Padrão EPP'!D2818</f>
        <v>INTERIOR II</v>
      </c>
      <c r="E2818" s="63">
        <f>'Padrão EPP'!E2818/2</f>
        <v>0</v>
      </c>
      <c r="F2818" s="67">
        <v>3.0000000000000001E-3</v>
      </c>
      <c r="G2818" s="67">
        <v>2E-3</v>
      </c>
      <c r="H2818" s="63"/>
    </row>
    <row r="2819" spans="1:8" x14ac:dyDescent="0.25">
      <c r="A2819" s="63"/>
      <c r="B2819" s="63">
        <f>'Padrão EPP'!B2819</f>
        <v>27</v>
      </c>
      <c r="C2819" s="63" t="str">
        <f>'Padrão EPP'!C2819</f>
        <v>CE</v>
      </c>
      <c r="D2819" s="63" t="str">
        <f>'Padrão EPP'!D2819</f>
        <v>INTERIOR II</v>
      </c>
      <c r="E2819" s="63">
        <f>'Padrão EPP'!E2819/2</f>
        <v>0</v>
      </c>
      <c r="F2819" s="67">
        <v>3.0000000000000001E-3</v>
      </c>
      <c r="G2819" s="67">
        <v>2E-3</v>
      </c>
      <c r="H2819" s="63"/>
    </row>
    <row r="2820" spans="1:8" x14ac:dyDescent="0.25">
      <c r="A2820" s="63"/>
      <c r="B2820" s="63">
        <f>'Padrão EPP'!B2820</f>
        <v>28</v>
      </c>
      <c r="C2820" s="63" t="str">
        <f>'Padrão EPP'!C2820</f>
        <v>CE</v>
      </c>
      <c r="D2820" s="63" t="str">
        <f>'Padrão EPP'!D2820</f>
        <v>INTERIOR II</v>
      </c>
      <c r="E2820" s="63">
        <f>'Padrão EPP'!E2820/2</f>
        <v>0</v>
      </c>
      <c r="F2820" s="67">
        <v>3.0000000000000001E-3</v>
      </c>
      <c r="G2820" s="67">
        <v>2E-3</v>
      </c>
      <c r="H2820" s="63"/>
    </row>
    <row r="2821" spans="1:8" x14ac:dyDescent="0.25">
      <c r="A2821" s="63"/>
      <c r="B2821" s="63">
        <f>'Padrão EPP'!B2821</f>
        <v>29</v>
      </c>
      <c r="C2821" s="63" t="str">
        <f>'Padrão EPP'!C2821</f>
        <v>CE</v>
      </c>
      <c r="D2821" s="63" t="str">
        <f>'Padrão EPP'!D2821</f>
        <v>INTERIOR II</v>
      </c>
      <c r="E2821" s="63">
        <f>'Padrão EPP'!E2821/2</f>
        <v>0</v>
      </c>
      <c r="F2821" s="67">
        <v>3.0000000000000001E-3</v>
      </c>
      <c r="G2821" s="67">
        <v>2E-3</v>
      </c>
      <c r="H2821" s="63"/>
    </row>
    <row r="2822" spans="1:8" x14ac:dyDescent="0.25">
      <c r="A2822" s="63"/>
      <c r="B2822" s="63">
        <f>'Padrão EPP'!B2822</f>
        <v>30</v>
      </c>
      <c r="C2822" s="63" t="str">
        <f>'Padrão EPP'!C2822</f>
        <v>CE</v>
      </c>
      <c r="D2822" s="63" t="str">
        <f>'Padrão EPP'!D2822</f>
        <v>INTERIOR II</v>
      </c>
      <c r="E2822" s="63">
        <f>'Padrão EPP'!E2822/2</f>
        <v>0</v>
      </c>
      <c r="F2822" s="67">
        <v>3.0000000000000001E-3</v>
      </c>
      <c r="G2822" s="67">
        <v>2E-3</v>
      </c>
      <c r="H2822" s="63"/>
    </row>
    <row r="2823" spans="1:8" x14ac:dyDescent="0.25">
      <c r="A2823" s="63"/>
      <c r="B2823" s="63">
        <f>'Padrão EPP'!B2823</f>
        <v>0</v>
      </c>
      <c r="C2823" s="63" t="str">
        <f>'Padrão EPP'!C2823</f>
        <v>CE</v>
      </c>
      <c r="D2823" s="63" t="str">
        <f>'Padrão EPP'!D2823</f>
        <v>INTERIOR II</v>
      </c>
      <c r="E2823" s="63">
        <f>'Padrão EPP'!E2823/2</f>
        <v>1.5214394455252955</v>
      </c>
      <c r="F2823" s="67">
        <v>3.0000000000000001E-3</v>
      </c>
      <c r="G2823" s="67">
        <v>2E-3</v>
      </c>
      <c r="H2823" s="63"/>
    </row>
    <row r="2824" spans="1:8" x14ac:dyDescent="0.25">
      <c r="A2824" s="63"/>
      <c r="B2824" s="63">
        <f>'Padrão EPP'!B2824</f>
        <v>0.25</v>
      </c>
      <c r="C2824" s="63" t="str">
        <f>'Padrão EPP'!C2824</f>
        <v>CE</v>
      </c>
      <c r="D2824" s="63" t="str">
        <f>'Padrão EPP'!D2824</f>
        <v>REDESPACHO</v>
      </c>
      <c r="E2824" s="63">
        <f>'Padrão EPP'!E2824/2</f>
        <v>15.722994726918856</v>
      </c>
      <c r="F2824" s="67">
        <v>3.0000000000000001E-3</v>
      </c>
      <c r="G2824" s="67">
        <v>2E-3</v>
      </c>
      <c r="H2824" s="63"/>
    </row>
    <row r="2825" spans="1:8" x14ac:dyDescent="0.25">
      <c r="A2825" s="63"/>
      <c r="B2825" s="63">
        <f>'Padrão EPP'!B2825</f>
        <v>0.5</v>
      </c>
      <c r="C2825" s="63" t="str">
        <f>'Padrão EPP'!C2825</f>
        <v>CE</v>
      </c>
      <c r="D2825" s="63" t="str">
        <f>'Padrão EPP'!D2825</f>
        <v>REDESPACHO</v>
      </c>
      <c r="E2825" s="63">
        <f>'Padrão EPP'!E2825/2</f>
        <v>17.293079118801504</v>
      </c>
      <c r="F2825" s="67">
        <v>3.0000000000000001E-3</v>
      </c>
      <c r="G2825" s="67">
        <v>2E-3</v>
      </c>
      <c r="H2825" s="63"/>
    </row>
    <row r="2826" spans="1:8" x14ac:dyDescent="0.25">
      <c r="A2826" s="63"/>
      <c r="B2826" s="63">
        <f>'Padrão EPP'!B2826</f>
        <v>0.75</v>
      </c>
      <c r="C2826" s="63" t="str">
        <f>'Padrão EPP'!C2826</f>
        <v>CE</v>
      </c>
      <c r="D2826" s="63" t="str">
        <f>'Padrão EPP'!D2826</f>
        <v>REDESPACHO</v>
      </c>
      <c r="E2826" s="63">
        <f>'Padrão EPP'!E2826/2</f>
        <v>19.015927106588276</v>
      </c>
      <c r="F2826" s="67">
        <v>3.0000000000000001E-3</v>
      </c>
      <c r="G2826" s="67">
        <v>2E-3</v>
      </c>
      <c r="H2826" s="63"/>
    </row>
    <row r="2827" spans="1:8" x14ac:dyDescent="0.25">
      <c r="A2827" s="63"/>
      <c r="B2827" s="63">
        <f>'Padrão EPP'!B2827</f>
        <v>1</v>
      </c>
      <c r="C2827" s="63" t="str">
        <f>'Padrão EPP'!C2827</f>
        <v>CE</v>
      </c>
      <c r="D2827" s="63" t="str">
        <f>'Padrão EPP'!D2827</f>
        <v>REDESPACHO</v>
      </c>
      <c r="E2827" s="63">
        <f>'Padrão EPP'!E2827/2</f>
        <v>20.210700255231064</v>
      </c>
      <c r="F2827" s="67">
        <v>3.0000000000000001E-3</v>
      </c>
      <c r="G2827" s="67">
        <v>2E-3</v>
      </c>
      <c r="H2827" s="63"/>
    </row>
    <row r="2828" spans="1:8" x14ac:dyDescent="0.25">
      <c r="A2828" s="63"/>
      <c r="B2828" s="63">
        <f>'Padrão EPP'!B2828</f>
        <v>2</v>
      </c>
      <c r="C2828" s="63" t="str">
        <f>'Padrão EPP'!C2828</f>
        <v>CE</v>
      </c>
      <c r="D2828" s="63" t="str">
        <f>'Padrão EPP'!D2828</f>
        <v>REDESPACHO</v>
      </c>
      <c r="E2828" s="63">
        <f>'Padrão EPP'!E2828/2</f>
        <v>24.286816207470864</v>
      </c>
      <c r="F2828" s="67">
        <v>3.0000000000000001E-3</v>
      </c>
      <c r="G2828" s="67">
        <v>2E-3</v>
      </c>
      <c r="H2828" s="63"/>
    </row>
    <row r="2829" spans="1:8" x14ac:dyDescent="0.25">
      <c r="A2829" s="63"/>
      <c r="B2829" s="63">
        <f>'Padrão EPP'!B2829</f>
        <v>3</v>
      </c>
      <c r="C2829" s="63" t="str">
        <f>'Padrão EPP'!C2829</f>
        <v>CE</v>
      </c>
      <c r="D2829" s="63" t="str">
        <f>'Padrão EPP'!D2829</f>
        <v>REDESPACHO</v>
      </c>
      <c r="E2829" s="63">
        <f>'Padrão EPP'!E2829/2</f>
        <v>31.154370234719686</v>
      </c>
      <c r="F2829" s="67">
        <v>3.0000000000000001E-3</v>
      </c>
      <c r="G2829" s="67">
        <v>2E-3</v>
      </c>
      <c r="H2829" s="63"/>
    </row>
    <row r="2830" spans="1:8" x14ac:dyDescent="0.25">
      <c r="A2830" s="63"/>
      <c r="B2830" s="63">
        <f>'Padrão EPP'!B2830</f>
        <v>4</v>
      </c>
      <c r="C2830" s="63" t="str">
        <f>'Padrão EPP'!C2830</f>
        <v>CE</v>
      </c>
      <c r="D2830" s="63" t="str">
        <f>'Padrão EPP'!D2830</f>
        <v>REDESPACHO</v>
      </c>
      <c r="E2830" s="63">
        <f>'Padrão EPP'!E2830/2</f>
        <v>36.141830479620239</v>
      </c>
      <c r="F2830" s="67">
        <v>3.0000000000000001E-3</v>
      </c>
      <c r="G2830" s="67">
        <v>2E-3</v>
      </c>
      <c r="H2830" s="63"/>
    </row>
    <row r="2831" spans="1:8" x14ac:dyDescent="0.25">
      <c r="A2831" s="63"/>
      <c r="B2831" s="63">
        <f>'Padrão EPP'!B2831</f>
        <v>5</v>
      </c>
      <c r="C2831" s="63" t="str">
        <f>'Padrão EPP'!C2831</f>
        <v>CE</v>
      </c>
      <c r="D2831" s="63" t="str">
        <f>'Padrão EPP'!D2831</f>
        <v>REDESPACHO</v>
      </c>
      <c r="E2831" s="63">
        <f>'Padrão EPP'!E2831/2</f>
        <v>41.242748120614237</v>
      </c>
      <c r="F2831" s="67">
        <v>3.0000000000000001E-3</v>
      </c>
      <c r="G2831" s="67">
        <v>2E-3</v>
      </c>
      <c r="H2831" s="63"/>
    </row>
    <row r="2832" spans="1:8" x14ac:dyDescent="0.25">
      <c r="A2832" s="63"/>
      <c r="B2832" s="63">
        <f>'Padrão EPP'!B2832</f>
        <v>6</v>
      </c>
      <c r="C2832" s="63" t="str">
        <f>'Padrão EPP'!C2832</f>
        <v>CE</v>
      </c>
      <c r="D2832" s="63" t="str">
        <f>'Padrão EPP'!D2832</f>
        <v>REDESPACHO</v>
      </c>
      <c r="E2832" s="63">
        <f>'Padrão EPP'!E2832/2</f>
        <v>46.468468897310984</v>
      </c>
      <c r="F2832" s="67">
        <v>3.0000000000000001E-3</v>
      </c>
      <c r="G2832" s="67">
        <v>2E-3</v>
      </c>
      <c r="H2832" s="63"/>
    </row>
    <row r="2833" spans="1:8" x14ac:dyDescent="0.25">
      <c r="A2833" s="63"/>
      <c r="B2833" s="63">
        <f>'Padrão EPP'!B2833</f>
        <v>7</v>
      </c>
      <c r="C2833" s="63" t="str">
        <f>'Padrão EPP'!C2833</f>
        <v>CE</v>
      </c>
      <c r="D2833" s="63" t="str">
        <f>'Padrão EPP'!D2833</f>
        <v>REDESPACHO</v>
      </c>
      <c r="E2833" s="63">
        <f>'Padrão EPP'!E2833/2</f>
        <v>51.831473123280844</v>
      </c>
      <c r="F2833" s="67">
        <v>3.0000000000000001E-3</v>
      </c>
      <c r="G2833" s="67">
        <v>2E-3</v>
      </c>
      <c r="H2833" s="63"/>
    </row>
    <row r="2834" spans="1:8" x14ac:dyDescent="0.25">
      <c r="A2834" s="63"/>
      <c r="B2834" s="63">
        <f>'Padrão EPP'!B2834</f>
        <v>8</v>
      </c>
      <c r="C2834" s="63" t="str">
        <f>'Padrão EPP'!C2834</f>
        <v>CE</v>
      </c>
      <c r="D2834" s="63" t="str">
        <f>'Padrão EPP'!D2834</f>
        <v>REDESPACHO</v>
      </c>
      <c r="E2834" s="63">
        <f>'Padrão EPP'!E2834/2</f>
        <v>57.345489143451047</v>
      </c>
      <c r="F2834" s="67">
        <v>3.0000000000000001E-3</v>
      </c>
      <c r="G2834" s="67">
        <v>2E-3</v>
      </c>
      <c r="H2834" s="63"/>
    </row>
    <row r="2835" spans="1:8" x14ac:dyDescent="0.25">
      <c r="A2835" s="63"/>
      <c r="B2835" s="63">
        <f>'Padrão EPP'!B2835</f>
        <v>9</v>
      </c>
      <c r="C2835" s="63" t="str">
        <f>'Padrão EPP'!C2835</f>
        <v>CE</v>
      </c>
      <c r="D2835" s="63" t="str">
        <f>'Padrão EPP'!D2835</f>
        <v>REDESPACHO</v>
      </c>
      <c r="E2835" s="63">
        <f>'Padrão EPP'!E2835/2</f>
        <v>63.025618137241665</v>
      </c>
      <c r="F2835" s="67">
        <v>3.0000000000000001E-3</v>
      </c>
      <c r="G2835" s="67">
        <v>2E-3</v>
      </c>
      <c r="H2835" s="63"/>
    </row>
    <row r="2836" spans="1:8" x14ac:dyDescent="0.25">
      <c r="A2836" s="63"/>
      <c r="B2836" s="63">
        <f>'Padrão EPP'!B2836</f>
        <v>10</v>
      </c>
      <c r="C2836" s="63" t="str">
        <f>'Padrão EPP'!C2836</f>
        <v>CE</v>
      </c>
      <c r="D2836" s="63" t="str">
        <f>'Padrão EPP'!D2836</f>
        <v>REDESPACHO</v>
      </c>
      <c r="E2836" s="63">
        <f>'Padrão EPP'!E2836/2</f>
        <v>69.319937805905241</v>
      </c>
      <c r="F2836" s="67">
        <v>3.0000000000000001E-3</v>
      </c>
      <c r="G2836" s="67">
        <v>2E-3</v>
      </c>
      <c r="H2836" s="63"/>
    </row>
    <row r="2837" spans="1:8" x14ac:dyDescent="0.25">
      <c r="A2837" s="63"/>
      <c r="B2837" s="63">
        <f>'Padrão EPP'!B2837</f>
        <v>11</v>
      </c>
      <c r="C2837" s="63" t="str">
        <f>'Padrão EPP'!C2837</f>
        <v>CE</v>
      </c>
      <c r="D2837" s="63" t="str">
        <f>'Padrão EPP'!D2837</f>
        <v>REDESPACHO</v>
      </c>
      <c r="E2837" s="63">
        <f>'Padrão EPP'!E2837/2</f>
        <v>0</v>
      </c>
      <c r="F2837" s="67">
        <v>3.0000000000000001E-3</v>
      </c>
      <c r="G2837" s="67">
        <v>2E-3</v>
      </c>
      <c r="H2837" s="63"/>
    </row>
    <row r="2838" spans="1:8" x14ac:dyDescent="0.25">
      <c r="A2838" s="63"/>
      <c r="B2838" s="63">
        <f>'Padrão EPP'!B2838</f>
        <v>12</v>
      </c>
      <c r="C2838" s="63" t="str">
        <f>'Padrão EPP'!C2838</f>
        <v>CE</v>
      </c>
      <c r="D2838" s="63" t="str">
        <f>'Padrão EPP'!D2838</f>
        <v>REDESPACHO</v>
      </c>
      <c r="E2838" s="63">
        <f>'Padrão EPP'!E2838/2</f>
        <v>0</v>
      </c>
      <c r="F2838" s="67">
        <v>3.0000000000000001E-3</v>
      </c>
      <c r="G2838" s="67">
        <v>2E-3</v>
      </c>
      <c r="H2838" s="63"/>
    </row>
    <row r="2839" spans="1:8" x14ac:dyDescent="0.25">
      <c r="A2839" s="63"/>
      <c r="B2839" s="63">
        <f>'Padrão EPP'!B2839</f>
        <v>13</v>
      </c>
      <c r="C2839" s="63" t="str">
        <f>'Padrão EPP'!C2839</f>
        <v>CE</v>
      </c>
      <c r="D2839" s="63" t="str">
        <f>'Padrão EPP'!D2839</f>
        <v>REDESPACHO</v>
      </c>
      <c r="E2839" s="63">
        <f>'Padrão EPP'!E2839/2</f>
        <v>0</v>
      </c>
      <c r="F2839" s="67">
        <v>3.0000000000000001E-3</v>
      </c>
      <c r="G2839" s="67">
        <v>2E-3</v>
      </c>
      <c r="H2839" s="63"/>
    </row>
    <row r="2840" spans="1:8" x14ac:dyDescent="0.25">
      <c r="A2840" s="63"/>
      <c r="B2840" s="63">
        <f>'Padrão EPP'!B2840</f>
        <v>14</v>
      </c>
      <c r="C2840" s="63" t="str">
        <f>'Padrão EPP'!C2840</f>
        <v>CE</v>
      </c>
      <c r="D2840" s="63" t="str">
        <f>'Padrão EPP'!D2840</f>
        <v>REDESPACHO</v>
      </c>
      <c r="E2840" s="63">
        <f>'Padrão EPP'!E2840/2</f>
        <v>0</v>
      </c>
      <c r="F2840" s="67">
        <v>3.0000000000000001E-3</v>
      </c>
      <c r="G2840" s="67">
        <v>2E-3</v>
      </c>
      <c r="H2840" s="63"/>
    </row>
    <row r="2841" spans="1:8" x14ac:dyDescent="0.25">
      <c r="A2841" s="63"/>
      <c r="B2841" s="63">
        <f>'Padrão EPP'!B2841</f>
        <v>15</v>
      </c>
      <c r="C2841" s="63" t="str">
        <f>'Padrão EPP'!C2841</f>
        <v>CE</v>
      </c>
      <c r="D2841" s="63" t="str">
        <f>'Padrão EPP'!D2841</f>
        <v>REDESPACHO</v>
      </c>
      <c r="E2841" s="63">
        <f>'Padrão EPP'!E2841/2</f>
        <v>0</v>
      </c>
      <c r="F2841" s="67">
        <v>3.0000000000000001E-3</v>
      </c>
      <c r="G2841" s="67">
        <v>2E-3</v>
      </c>
      <c r="H2841" s="63"/>
    </row>
    <row r="2842" spans="1:8" x14ac:dyDescent="0.25">
      <c r="A2842" s="63"/>
      <c r="B2842" s="63">
        <f>'Padrão EPP'!B2842</f>
        <v>16</v>
      </c>
      <c r="C2842" s="63" t="str">
        <f>'Padrão EPP'!C2842</f>
        <v>CE</v>
      </c>
      <c r="D2842" s="63" t="str">
        <f>'Padrão EPP'!D2842</f>
        <v>REDESPACHO</v>
      </c>
      <c r="E2842" s="63">
        <f>'Padrão EPP'!E2842/2</f>
        <v>0</v>
      </c>
      <c r="F2842" s="67">
        <v>3.0000000000000001E-3</v>
      </c>
      <c r="G2842" s="67">
        <v>2E-3</v>
      </c>
      <c r="H2842" s="63"/>
    </row>
    <row r="2843" spans="1:8" x14ac:dyDescent="0.25">
      <c r="A2843" s="63"/>
      <c r="B2843" s="63">
        <f>'Padrão EPP'!B2843</f>
        <v>17</v>
      </c>
      <c r="C2843" s="63" t="str">
        <f>'Padrão EPP'!C2843</f>
        <v>CE</v>
      </c>
      <c r="D2843" s="63" t="str">
        <f>'Padrão EPP'!D2843</f>
        <v>REDESPACHO</v>
      </c>
      <c r="E2843" s="63">
        <f>'Padrão EPP'!E2843/2</f>
        <v>0</v>
      </c>
      <c r="F2843" s="67">
        <v>3.0000000000000001E-3</v>
      </c>
      <c r="G2843" s="67">
        <v>2E-3</v>
      </c>
      <c r="H2843" s="63"/>
    </row>
    <row r="2844" spans="1:8" x14ac:dyDescent="0.25">
      <c r="A2844" s="63"/>
      <c r="B2844" s="63">
        <f>'Padrão EPP'!B2844</f>
        <v>18</v>
      </c>
      <c r="C2844" s="63" t="str">
        <f>'Padrão EPP'!C2844</f>
        <v>CE</v>
      </c>
      <c r="D2844" s="63" t="str">
        <f>'Padrão EPP'!D2844</f>
        <v>REDESPACHO</v>
      </c>
      <c r="E2844" s="63">
        <f>'Padrão EPP'!E2844/2</f>
        <v>0</v>
      </c>
      <c r="F2844" s="67">
        <v>3.0000000000000001E-3</v>
      </c>
      <c r="G2844" s="67">
        <v>2E-3</v>
      </c>
      <c r="H2844" s="63"/>
    </row>
    <row r="2845" spans="1:8" x14ac:dyDescent="0.25">
      <c r="A2845" s="63"/>
      <c r="B2845" s="63">
        <f>'Padrão EPP'!B2845</f>
        <v>19</v>
      </c>
      <c r="C2845" s="63" t="str">
        <f>'Padrão EPP'!C2845</f>
        <v>CE</v>
      </c>
      <c r="D2845" s="63" t="str">
        <f>'Padrão EPP'!D2845</f>
        <v>REDESPACHO</v>
      </c>
      <c r="E2845" s="63">
        <f>'Padrão EPP'!E2845/2</f>
        <v>0</v>
      </c>
      <c r="F2845" s="67">
        <v>3.0000000000000001E-3</v>
      </c>
      <c r="G2845" s="67">
        <v>2E-3</v>
      </c>
      <c r="H2845" s="63"/>
    </row>
    <row r="2846" spans="1:8" x14ac:dyDescent="0.25">
      <c r="A2846" s="63"/>
      <c r="B2846" s="63">
        <f>'Padrão EPP'!B2846</f>
        <v>20</v>
      </c>
      <c r="C2846" s="63" t="str">
        <f>'Padrão EPP'!C2846</f>
        <v>CE</v>
      </c>
      <c r="D2846" s="63" t="str">
        <f>'Padrão EPP'!D2846</f>
        <v>REDESPACHO</v>
      </c>
      <c r="E2846" s="63">
        <f>'Padrão EPP'!E2846/2</f>
        <v>0</v>
      </c>
      <c r="F2846" s="67">
        <v>3.0000000000000001E-3</v>
      </c>
      <c r="G2846" s="67">
        <v>2E-3</v>
      </c>
      <c r="H2846" s="63"/>
    </row>
    <row r="2847" spans="1:8" x14ac:dyDescent="0.25">
      <c r="A2847" s="63"/>
      <c r="B2847" s="63">
        <f>'Padrão EPP'!B2847</f>
        <v>21</v>
      </c>
      <c r="C2847" s="63" t="str">
        <f>'Padrão EPP'!C2847</f>
        <v>CE</v>
      </c>
      <c r="D2847" s="63" t="str">
        <f>'Padrão EPP'!D2847</f>
        <v>REDESPACHO</v>
      </c>
      <c r="E2847" s="63">
        <f>'Padrão EPP'!E2847/2</f>
        <v>0</v>
      </c>
      <c r="F2847" s="67">
        <v>3.0000000000000001E-3</v>
      </c>
      <c r="G2847" s="67">
        <v>2E-3</v>
      </c>
      <c r="H2847" s="63"/>
    </row>
    <row r="2848" spans="1:8" x14ac:dyDescent="0.25">
      <c r="A2848" s="63"/>
      <c r="B2848" s="63">
        <f>'Padrão EPP'!B2848</f>
        <v>22</v>
      </c>
      <c r="C2848" s="63" t="str">
        <f>'Padrão EPP'!C2848</f>
        <v>CE</v>
      </c>
      <c r="D2848" s="63" t="str">
        <f>'Padrão EPP'!D2848</f>
        <v>REDESPACHO</v>
      </c>
      <c r="E2848" s="63">
        <f>'Padrão EPP'!E2848/2</f>
        <v>0</v>
      </c>
      <c r="F2848" s="67">
        <v>3.0000000000000001E-3</v>
      </c>
      <c r="G2848" s="67">
        <v>2E-3</v>
      </c>
      <c r="H2848" s="63"/>
    </row>
    <row r="2849" spans="1:8" x14ac:dyDescent="0.25">
      <c r="A2849" s="63"/>
      <c r="B2849" s="63">
        <f>'Padrão EPP'!B2849</f>
        <v>23</v>
      </c>
      <c r="C2849" s="63" t="str">
        <f>'Padrão EPP'!C2849</f>
        <v>CE</v>
      </c>
      <c r="D2849" s="63" t="str">
        <f>'Padrão EPP'!D2849</f>
        <v>REDESPACHO</v>
      </c>
      <c r="E2849" s="63">
        <f>'Padrão EPP'!E2849/2</f>
        <v>0</v>
      </c>
      <c r="F2849" s="67">
        <v>3.0000000000000001E-3</v>
      </c>
      <c r="G2849" s="67">
        <v>2E-3</v>
      </c>
      <c r="H2849" s="63"/>
    </row>
    <row r="2850" spans="1:8" x14ac:dyDescent="0.25">
      <c r="A2850" s="63"/>
      <c r="B2850" s="63">
        <f>'Padrão EPP'!B2850</f>
        <v>24</v>
      </c>
      <c r="C2850" s="63" t="str">
        <f>'Padrão EPP'!C2850</f>
        <v>CE</v>
      </c>
      <c r="D2850" s="63" t="str">
        <f>'Padrão EPP'!D2850</f>
        <v>REDESPACHO</v>
      </c>
      <c r="E2850" s="63">
        <f>'Padrão EPP'!E2850/2</f>
        <v>0</v>
      </c>
      <c r="F2850" s="67">
        <v>3.0000000000000001E-3</v>
      </c>
      <c r="G2850" s="67">
        <v>2E-3</v>
      </c>
      <c r="H2850" s="63"/>
    </row>
    <row r="2851" spans="1:8" x14ac:dyDescent="0.25">
      <c r="A2851" s="63"/>
      <c r="B2851" s="63">
        <f>'Padrão EPP'!B2851</f>
        <v>25</v>
      </c>
      <c r="C2851" s="63" t="str">
        <f>'Padrão EPP'!C2851</f>
        <v>CE</v>
      </c>
      <c r="D2851" s="63" t="str">
        <f>'Padrão EPP'!D2851</f>
        <v>REDESPACHO</v>
      </c>
      <c r="E2851" s="63">
        <f>'Padrão EPP'!E2851/2</f>
        <v>0</v>
      </c>
      <c r="F2851" s="67">
        <v>3.0000000000000001E-3</v>
      </c>
      <c r="G2851" s="67">
        <v>2E-3</v>
      </c>
      <c r="H2851" s="63"/>
    </row>
    <row r="2852" spans="1:8" x14ac:dyDescent="0.25">
      <c r="A2852" s="63"/>
      <c r="B2852" s="63">
        <f>'Padrão EPP'!B2852</f>
        <v>26</v>
      </c>
      <c r="C2852" s="63" t="str">
        <f>'Padrão EPP'!C2852</f>
        <v>CE</v>
      </c>
      <c r="D2852" s="63" t="str">
        <f>'Padrão EPP'!D2852</f>
        <v>REDESPACHO</v>
      </c>
      <c r="E2852" s="63">
        <f>'Padrão EPP'!E2852/2</f>
        <v>0</v>
      </c>
      <c r="F2852" s="67">
        <v>3.0000000000000001E-3</v>
      </c>
      <c r="G2852" s="67">
        <v>2E-3</v>
      </c>
      <c r="H2852" s="63"/>
    </row>
    <row r="2853" spans="1:8" x14ac:dyDescent="0.25">
      <c r="A2853" s="63"/>
      <c r="B2853" s="63">
        <f>'Padrão EPP'!B2853</f>
        <v>27</v>
      </c>
      <c r="C2853" s="63" t="str">
        <f>'Padrão EPP'!C2853</f>
        <v>CE</v>
      </c>
      <c r="D2853" s="63" t="str">
        <f>'Padrão EPP'!D2853</f>
        <v>REDESPACHO</v>
      </c>
      <c r="E2853" s="63">
        <f>'Padrão EPP'!E2853/2</f>
        <v>0</v>
      </c>
      <c r="F2853" s="67">
        <v>3.0000000000000001E-3</v>
      </c>
      <c r="G2853" s="67">
        <v>2E-3</v>
      </c>
      <c r="H2853" s="63"/>
    </row>
    <row r="2854" spans="1:8" x14ac:dyDescent="0.25">
      <c r="A2854" s="63"/>
      <c r="B2854" s="63">
        <f>'Padrão EPP'!B2854</f>
        <v>28</v>
      </c>
      <c r="C2854" s="63" t="str">
        <f>'Padrão EPP'!C2854</f>
        <v>CE</v>
      </c>
      <c r="D2854" s="63" t="str">
        <f>'Padrão EPP'!D2854</f>
        <v>REDESPACHO</v>
      </c>
      <c r="E2854" s="63">
        <f>'Padrão EPP'!E2854/2</f>
        <v>0</v>
      </c>
      <c r="F2854" s="67">
        <v>3.0000000000000001E-3</v>
      </c>
      <c r="G2854" s="67">
        <v>2E-3</v>
      </c>
      <c r="H2854" s="63"/>
    </row>
    <row r="2855" spans="1:8" x14ac:dyDescent="0.25">
      <c r="A2855" s="63"/>
      <c r="B2855" s="63">
        <f>'Padrão EPP'!B2855</f>
        <v>29</v>
      </c>
      <c r="C2855" s="63" t="str">
        <f>'Padrão EPP'!C2855</f>
        <v>CE</v>
      </c>
      <c r="D2855" s="63" t="str">
        <f>'Padrão EPP'!D2855</f>
        <v>REDESPACHO</v>
      </c>
      <c r="E2855" s="63">
        <f>'Padrão EPP'!E2855/2</f>
        <v>0</v>
      </c>
      <c r="F2855" s="67">
        <v>3.0000000000000001E-3</v>
      </c>
      <c r="G2855" s="67">
        <v>2E-3</v>
      </c>
      <c r="H2855" s="63"/>
    </row>
    <row r="2856" spans="1:8" x14ac:dyDescent="0.25">
      <c r="A2856" s="63"/>
      <c r="B2856" s="63">
        <f>'Padrão EPP'!B2856</f>
        <v>30</v>
      </c>
      <c r="C2856" s="63" t="str">
        <f>'Padrão EPP'!C2856</f>
        <v>CE</v>
      </c>
      <c r="D2856" s="63" t="str">
        <f>'Padrão EPP'!D2856</f>
        <v>REDESPACHO</v>
      </c>
      <c r="E2856" s="63">
        <f>'Padrão EPP'!E2856/2</f>
        <v>0</v>
      </c>
      <c r="F2856" s="67">
        <v>3.0000000000000001E-3</v>
      </c>
      <c r="G2856" s="67">
        <v>2E-3</v>
      </c>
      <c r="H2856" s="63"/>
    </row>
    <row r="2857" spans="1:8" x14ac:dyDescent="0.25">
      <c r="A2857" s="63"/>
      <c r="B2857" s="63">
        <f>'Padrão EPP'!B2857</f>
        <v>0</v>
      </c>
      <c r="C2857" s="63" t="str">
        <f>'Padrão EPP'!C2857</f>
        <v>CE</v>
      </c>
      <c r="D2857" s="63" t="str">
        <f>'Padrão EPP'!D2857</f>
        <v>REDESPACHO</v>
      </c>
      <c r="E2857" s="63">
        <f>'Padrão EPP'!E2857/2</f>
        <v>1.5214394455252955</v>
      </c>
      <c r="F2857" s="67">
        <v>3.0000000000000001E-3</v>
      </c>
      <c r="G2857" s="67">
        <v>2E-3</v>
      </c>
      <c r="H2857" s="63"/>
    </row>
    <row r="2858" spans="1:8" x14ac:dyDescent="0.25">
      <c r="A2858" s="63"/>
      <c r="B2858" s="63">
        <f>'Padrão EPP'!B2858</f>
        <v>0.25</v>
      </c>
      <c r="C2858" s="63" t="str">
        <f>'Padrão EPP'!C2858</f>
        <v>AL</v>
      </c>
      <c r="D2858" s="63" t="str">
        <f>'Padrão EPP'!D2858</f>
        <v>CAPITAL</v>
      </c>
      <c r="E2858" s="63">
        <f>'Padrão EPP'!E2858/2</f>
        <v>7.3290062942038041</v>
      </c>
      <c r="F2858" s="67">
        <v>3.0000000000000001E-3</v>
      </c>
      <c r="G2858" s="67">
        <v>2E-3</v>
      </c>
      <c r="H2858" s="63"/>
    </row>
    <row r="2859" spans="1:8" x14ac:dyDescent="0.25">
      <c r="A2859" s="63"/>
      <c r="B2859" s="63">
        <f>'Padrão EPP'!B2859</f>
        <v>0.5</v>
      </c>
      <c r="C2859" s="63" t="str">
        <f>'Padrão EPP'!C2859</f>
        <v>AL</v>
      </c>
      <c r="D2859" s="63" t="str">
        <f>'Padrão EPP'!D2859</f>
        <v>CAPITAL</v>
      </c>
      <c r="E2859" s="63">
        <f>'Padrão EPP'!E2859/2</f>
        <v>7.9575046840253298</v>
      </c>
      <c r="F2859" s="67">
        <v>3.0000000000000001E-3</v>
      </c>
      <c r="G2859" s="67">
        <v>2E-3</v>
      </c>
      <c r="H2859" s="63"/>
    </row>
    <row r="2860" spans="1:8" x14ac:dyDescent="0.25">
      <c r="A2860" s="63"/>
      <c r="B2860" s="63">
        <f>'Padrão EPP'!B2860</f>
        <v>0.75</v>
      </c>
      <c r="C2860" s="63" t="str">
        <f>'Padrão EPP'!C2860</f>
        <v>AL</v>
      </c>
      <c r="D2860" s="63" t="str">
        <f>'Padrão EPP'!D2860</f>
        <v>CAPITAL</v>
      </c>
      <c r="E2860" s="63">
        <f>'Padrão EPP'!E2860/2</f>
        <v>8.546347849992447</v>
      </c>
      <c r="F2860" s="67">
        <v>3.0000000000000001E-3</v>
      </c>
      <c r="G2860" s="67">
        <v>2E-3</v>
      </c>
      <c r="H2860" s="63"/>
    </row>
    <row r="2861" spans="1:8" x14ac:dyDescent="0.25">
      <c r="A2861" s="63"/>
      <c r="B2861" s="63">
        <f>'Padrão EPP'!B2861</f>
        <v>1</v>
      </c>
      <c r="C2861" s="63" t="str">
        <f>'Padrão EPP'!C2861</f>
        <v>AL</v>
      </c>
      <c r="D2861" s="63" t="str">
        <f>'Padrão EPP'!D2861</f>
        <v>CAPITAL</v>
      </c>
      <c r="E2861" s="63">
        <f>'Padrão EPP'!E2861/2</f>
        <v>9.2852686121403281</v>
      </c>
      <c r="F2861" s="67">
        <v>3.0000000000000001E-3</v>
      </c>
      <c r="G2861" s="67">
        <v>2E-3</v>
      </c>
      <c r="H2861" s="63"/>
    </row>
    <row r="2862" spans="1:8" x14ac:dyDescent="0.25">
      <c r="A2862" s="63"/>
      <c r="B2862" s="63">
        <f>'Padrão EPP'!B2862</f>
        <v>2</v>
      </c>
      <c r="C2862" s="63" t="str">
        <f>'Padrão EPP'!C2862</f>
        <v>AL</v>
      </c>
      <c r="D2862" s="63" t="str">
        <f>'Padrão EPP'!D2862</f>
        <v>CAPITAL</v>
      </c>
      <c r="E2862" s="63">
        <f>'Padrão EPP'!E2862/2</f>
        <v>11.184398890248385</v>
      </c>
      <c r="F2862" s="67">
        <v>3.0000000000000001E-3</v>
      </c>
      <c r="G2862" s="67">
        <v>2E-3</v>
      </c>
      <c r="H2862" s="63"/>
    </row>
    <row r="2863" spans="1:8" x14ac:dyDescent="0.25">
      <c r="A2863" s="63"/>
      <c r="B2863" s="63">
        <f>'Padrão EPP'!B2863</f>
        <v>3</v>
      </c>
      <c r="C2863" s="63" t="str">
        <f>'Padrão EPP'!C2863</f>
        <v>AL</v>
      </c>
      <c r="D2863" s="63" t="str">
        <f>'Padrão EPP'!D2863</f>
        <v>CAPITAL</v>
      </c>
      <c r="E2863" s="63">
        <f>'Padrão EPP'!E2863/2</f>
        <v>14.399795294998757</v>
      </c>
      <c r="F2863" s="67">
        <v>3.0000000000000001E-3</v>
      </c>
      <c r="G2863" s="67">
        <v>2E-3</v>
      </c>
      <c r="H2863" s="63"/>
    </row>
    <row r="2864" spans="1:8" x14ac:dyDescent="0.25">
      <c r="A2864" s="63"/>
      <c r="B2864" s="63">
        <f>'Padrão EPP'!B2864</f>
        <v>4</v>
      </c>
      <c r="C2864" s="63" t="str">
        <f>'Padrão EPP'!C2864</f>
        <v>AL</v>
      </c>
      <c r="D2864" s="63" t="str">
        <f>'Padrão EPP'!D2864</f>
        <v>CAPITAL</v>
      </c>
      <c r="E2864" s="63">
        <f>'Padrão EPP'!E2864/2</f>
        <v>17.704445941330544</v>
      </c>
      <c r="F2864" s="67">
        <v>3.0000000000000001E-3</v>
      </c>
      <c r="G2864" s="67">
        <v>2E-3</v>
      </c>
      <c r="H2864" s="63"/>
    </row>
    <row r="2865" spans="1:8" x14ac:dyDescent="0.25">
      <c r="A2865" s="63"/>
      <c r="B2865" s="63">
        <f>'Padrão EPP'!B2865</f>
        <v>5</v>
      </c>
      <c r="C2865" s="63" t="str">
        <f>'Padrão EPP'!C2865</f>
        <v>AL</v>
      </c>
      <c r="D2865" s="63" t="str">
        <f>'Padrão EPP'!D2865</f>
        <v>CAPITAL</v>
      </c>
      <c r="E2865" s="63">
        <f>'Padrão EPP'!E2865/2</f>
        <v>21.1426778768482</v>
      </c>
      <c r="F2865" s="67">
        <v>3.0000000000000001E-3</v>
      </c>
      <c r="G2865" s="67">
        <v>2E-3</v>
      </c>
      <c r="H2865" s="63"/>
    </row>
    <row r="2866" spans="1:8" x14ac:dyDescent="0.25">
      <c r="A2866" s="63"/>
      <c r="B2866" s="63">
        <f>'Padrão EPP'!B2866</f>
        <v>6</v>
      </c>
      <c r="C2866" s="63" t="str">
        <f>'Padrão EPP'!C2866</f>
        <v>AL</v>
      </c>
      <c r="D2866" s="63" t="str">
        <f>'Padrão EPP'!D2866</f>
        <v>CAPITAL</v>
      </c>
      <c r="E2866" s="63">
        <f>'Padrão EPP'!E2866/2</f>
        <v>26.462420340997458</v>
      </c>
      <c r="F2866" s="67">
        <v>3.0000000000000001E-3</v>
      </c>
      <c r="G2866" s="67">
        <v>2E-3</v>
      </c>
      <c r="H2866" s="63"/>
    </row>
    <row r="2867" spans="1:8" x14ac:dyDescent="0.25">
      <c r="A2867" s="63"/>
      <c r="B2867" s="63">
        <f>'Padrão EPP'!B2867</f>
        <v>7</v>
      </c>
      <c r="C2867" s="63" t="str">
        <f>'Padrão EPP'!C2867</f>
        <v>AL</v>
      </c>
      <c r="D2867" s="63" t="str">
        <f>'Padrão EPP'!D2867</f>
        <v>CAPITAL</v>
      </c>
      <c r="E2867" s="63">
        <f>'Padrão EPP'!E2867/2</f>
        <v>29.80563631156507</v>
      </c>
      <c r="F2867" s="67">
        <v>3.0000000000000001E-3</v>
      </c>
      <c r="G2867" s="67">
        <v>2E-3</v>
      </c>
      <c r="H2867" s="63"/>
    </row>
    <row r="2868" spans="1:8" x14ac:dyDescent="0.25">
      <c r="A2868" s="63"/>
      <c r="B2868" s="63">
        <f>'Padrão EPP'!B2868</f>
        <v>8</v>
      </c>
      <c r="C2868" s="63" t="str">
        <f>'Padrão EPP'!C2868</f>
        <v>AL</v>
      </c>
      <c r="D2868" s="63" t="str">
        <f>'Padrão EPP'!D2868</f>
        <v>CAPITAL</v>
      </c>
      <c r="E2868" s="63">
        <f>'Padrão EPP'!E2868/2</f>
        <v>33.199882768884862</v>
      </c>
      <c r="F2868" s="67">
        <v>3.0000000000000001E-3</v>
      </c>
      <c r="G2868" s="67">
        <v>2E-3</v>
      </c>
      <c r="H2868" s="63"/>
    </row>
    <row r="2869" spans="1:8" x14ac:dyDescent="0.25">
      <c r="A2869" s="63"/>
      <c r="B2869" s="63">
        <f>'Padrão EPP'!B2869</f>
        <v>9</v>
      </c>
      <c r="C2869" s="63" t="str">
        <f>'Padrão EPP'!C2869</f>
        <v>AL</v>
      </c>
      <c r="D2869" s="63" t="str">
        <f>'Padrão EPP'!D2869</f>
        <v>CAPITAL</v>
      </c>
      <c r="E2869" s="63">
        <f>'Padrão EPP'!E2869/2</f>
        <v>36.650262761632028</v>
      </c>
      <c r="F2869" s="67">
        <v>3.0000000000000001E-3</v>
      </c>
      <c r="G2869" s="67">
        <v>2E-3</v>
      </c>
      <c r="H2869" s="63"/>
    </row>
    <row r="2870" spans="1:8" x14ac:dyDescent="0.25">
      <c r="A2870" s="63"/>
      <c r="B2870" s="63">
        <f>'Padrão EPP'!B2870</f>
        <v>10</v>
      </c>
      <c r="C2870" s="63" t="str">
        <f>'Padrão EPP'!C2870</f>
        <v>AL</v>
      </c>
      <c r="D2870" s="63" t="str">
        <f>'Padrão EPP'!D2870</f>
        <v>CAPITAL</v>
      </c>
      <c r="E2870" s="63">
        <f>'Padrão EPP'!E2870/2</f>
        <v>39.842187919118508</v>
      </c>
      <c r="F2870" s="67">
        <v>3.0000000000000001E-3</v>
      </c>
      <c r="G2870" s="67">
        <v>2E-3</v>
      </c>
      <c r="H2870" s="63"/>
    </row>
    <row r="2871" spans="1:8" x14ac:dyDescent="0.25">
      <c r="A2871" s="63"/>
      <c r="B2871" s="63">
        <f>'Padrão EPP'!B2871</f>
        <v>11</v>
      </c>
      <c r="C2871" s="63" t="str">
        <f>'Padrão EPP'!C2871</f>
        <v>AL</v>
      </c>
      <c r="D2871" s="63" t="str">
        <f>'Padrão EPP'!D2871</f>
        <v>CAPITAL</v>
      </c>
      <c r="E2871" s="63">
        <f>'Padrão EPP'!E2871/2</f>
        <v>0</v>
      </c>
      <c r="F2871" s="67">
        <v>3.0000000000000001E-3</v>
      </c>
      <c r="G2871" s="67">
        <v>2E-3</v>
      </c>
      <c r="H2871" s="63"/>
    </row>
    <row r="2872" spans="1:8" x14ac:dyDescent="0.25">
      <c r="A2872" s="63"/>
      <c r="B2872" s="63">
        <f>'Padrão EPP'!B2872</f>
        <v>12</v>
      </c>
      <c r="C2872" s="63" t="str">
        <f>'Padrão EPP'!C2872</f>
        <v>AL</v>
      </c>
      <c r="D2872" s="63" t="str">
        <f>'Padrão EPP'!D2872</f>
        <v>CAPITAL</v>
      </c>
      <c r="E2872" s="63">
        <f>'Padrão EPP'!E2872/2</f>
        <v>0</v>
      </c>
      <c r="F2872" s="67">
        <v>3.0000000000000001E-3</v>
      </c>
      <c r="G2872" s="67">
        <v>2E-3</v>
      </c>
      <c r="H2872" s="63"/>
    </row>
    <row r="2873" spans="1:8" x14ac:dyDescent="0.25">
      <c r="A2873" s="63"/>
      <c r="B2873" s="63">
        <f>'Padrão EPP'!B2873</f>
        <v>13</v>
      </c>
      <c r="C2873" s="63" t="str">
        <f>'Padrão EPP'!C2873</f>
        <v>AL</v>
      </c>
      <c r="D2873" s="63" t="str">
        <f>'Padrão EPP'!D2873</f>
        <v>CAPITAL</v>
      </c>
      <c r="E2873" s="63">
        <f>'Padrão EPP'!E2873/2</f>
        <v>0</v>
      </c>
      <c r="F2873" s="67">
        <v>3.0000000000000001E-3</v>
      </c>
      <c r="G2873" s="67">
        <v>2E-3</v>
      </c>
      <c r="H2873" s="63"/>
    </row>
    <row r="2874" spans="1:8" x14ac:dyDescent="0.25">
      <c r="A2874" s="63"/>
      <c r="B2874" s="63">
        <f>'Padrão EPP'!B2874</f>
        <v>14</v>
      </c>
      <c r="C2874" s="63" t="str">
        <f>'Padrão EPP'!C2874</f>
        <v>AL</v>
      </c>
      <c r="D2874" s="63" t="str">
        <f>'Padrão EPP'!D2874</f>
        <v>CAPITAL</v>
      </c>
      <c r="E2874" s="63">
        <f>'Padrão EPP'!E2874/2</f>
        <v>0</v>
      </c>
      <c r="F2874" s="67">
        <v>3.0000000000000001E-3</v>
      </c>
      <c r="G2874" s="67">
        <v>2E-3</v>
      </c>
      <c r="H2874" s="63"/>
    </row>
    <row r="2875" spans="1:8" x14ac:dyDescent="0.25">
      <c r="A2875" s="63"/>
      <c r="B2875" s="63">
        <f>'Padrão EPP'!B2875</f>
        <v>15</v>
      </c>
      <c r="C2875" s="63" t="str">
        <f>'Padrão EPP'!C2875</f>
        <v>AL</v>
      </c>
      <c r="D2875" s="63" t="str">
        <f>'Padrão EPP'!D2875</f>
        <v>CAPITAL</v>
      </c>
      <c r="E2875" s="63">
        <f>'Padrão EPP'!E2875/2</f>
        <v>0</v>
      </c>
      <c r="F2875" s="67">
        <v>3.0000000000000001E-3</v>
      </c>
      <c r="G2875" s="67">
        <v>2E-3</v>
      </c>
      <c r="H2875" s="63"/>
    </row>
    <row r="2876" spans="1:8" x14ac:dyDescent="0.25">
      <c r="A2876" s="63"/>
      <c r="B2876" s="63">
        <f>'Padrão EPP'!B2876</f>
        <v>16</v>
      </c>
      <c r="C2876" s="63" t="str">
        <f>'Padrão EPP'!C2876</f>
        <v>AL</v>
      </c>
      <c r="D2876" s="63" t="str">
        <f>'Padrão EPP'!D2876</f>
        <v>CAPITAL</v>
      </c>
      <c r="E2876" s="63">
        <f>'Padrão EPP'!E2876/2</f>
        <v>0</v>
      </c>
      <c r="F2876" s="67">
        <v>3.0000000000000001E-3</v>
      </c>
      <c r="G2876" s="67">
        <v>2E-3</v>
      </c>
      <c r="H2876" s="63"/>
    </row>
    <row r="2877" spans="1:8" x14ac:dyDescent="0.25">
      <c r="A2877" s="63"/>
      <c r="B2877" s="63">
        <f>'Padrão EPP'!B2877</f>
        <v>17</v>
      </c>
      <c r="C2877" s="63" t="str">
        <f>'Padrão EPP'!C2877</f>
        <v>AL</v>
      </c>
      <c r="D2877" s="63" t="str">
        <f>'Padrão EPP'!D2877</f>
        <v>CAPITAL</v>
      </c>
      <c r="E2877" s="63">
        <f>'Padrão EPP'!E2877/2</f>
        <v>0</v>
      </c>
      <c r="F2877" s="67">
        <v>3.0000000000000001E-3</v>
      </c>
      <c r="G2877" s="67">
        <v>2E-3</v>
      </c>
      <c r="H2877" s="63"/>
    </row>
    <row r="2878" spans="1:8" x14ac:dyDescent="0.25">
      <c r="A2878" s="63"/>
      <c r="B2878" s="63">
        <f>'Padrão EPP'!B2878</f>
        <v>18</v>
      </c>
      <c r="C2878" s="63" t="str">
        <f>'Padrão EPP'!C2878</f>
        <v>AL</v>
      </c>
      <c r="D2878" s="63" t="str">
        <f>'Padrão EPP'!D2878</f>
        <v>CAPITAL</v>
      </c>
      <c r="E2878" s="63">
        <f>'Padrão EPP'!E2878/2</f>
        <v>0</v>
      </c>
      <c r="F2878" s="67">
        <v>3.0000000000000001E-3</v>
      </c>
      <c r="G2878" s="67">
        <v>2E-3</v>
      </c>
      <c r="H2878" s="63"/>
    </row>
    <row r="2879" spans="1:8" x14ac:dyDescent="0.25">
      <c r="A2879" s="63"/>
      <c r="B2879" s="63">
        <f>'Padrão EPP'!B2879</f>
        <v>19</v>
      </c>
      <c r="C2879" s="63" t="str">
        <f>'Padrão EPP'!C2879</f>
        <v>AL</v>
      </c>
      <c r="D2879" s="63" t="str">
        <f>'Padrão EPP'!D2879</f>
        <v>CAPITAL</v>
      </c>
      <c r="E2879" s="63">
        <f>'Padrão EPP'!E2879/2</f>
        <v>0</v>
      </c>
      <c r="F2879" s="67">
        <v>3.0000000000000001E-3</v>
      </c>
      <c r="G2879" s="67">
        <v>2E-3</v>
      </c>
      <c r="H2879" s="63"/>
    </row>
    <row r="2880" spans="1:8" x14ac:dyDescent="0.25">
      <c r="A2880" s="63"/>
      <c r="B2880" s="63">
        <f>'Padrão EPP'!B2880</f>
        <v>20</v>
      </c>
      <c r="C2880" s="63" t="str">
        <f>'Padrão EPP'!C2880</f>
        <v>AL</v>
      </c>
      <c r="D2880" s="63" t="str">
        <f>'Padrão EPP'!D2880</f>
        <v>CAPITAL</v>
      </c>
      <c r="E2880" s="63">
        <f>'Padrão EPP'!E2880/2</f>
        <v>0</v>
      </c>
      <c r="F2880" s="67">
        <v>3.0000000000000001E-3</v>
      </c>
      <c r="G2880" s="67">
        <v>2E-3</v>
      </c>
      <c r="H2880" s="63"/>
    </row>
    <row r="2881" spans="1:8" x14ac:dyDescent="0.25">
      <c r="A2881" s="63"/>
      <c r="B2881" s="63">
        <f>'Padrão EPP'!B2881</f>
        <v>21</v>
      </c>
      <c r="C2881" s="63" t="str">
        <f>'Padrão EPP'!C2881</f>
        <v>AL</v>
      </c>
      <c r="D2881" s="63" t="str">
        <f>'Padrão EPP'!D2881</f>
        <v>CAPITAL</v>
      </c>
      <c r="E2881" s="63">
        <f>'Padrão EPP'!E2881/2</f>
        <v>0</v>
      </c>
      <c r="F2881" s="67">
        <v>3.0000000000000001E-3</v>
      </c>
      <c r="G2881" s="67">
        <v>2E-3</v>
      </c>
      <c r="H2881" s="63"/>
    </row>
    <row r="2882" spans="1:8" x14ac:dyDescent="0.25">
      <c r="A2882" s="63"/>
      <c r="B2882" s="63">
        <f>'Padrão EPP'!B2882</f>
        <v>22</v>
      </c>
      <c r="C2882" s="63" t="str">
        <f>'Padrão EPP'!C2882</f>
        <v>AL</v>
      </c>
      <c r="D2882" s="63" t="str">
        <f>'Padrão EPP'!D2882</f>
        <v>CAPITAL</v>
      </c>
      <c r="E2882" s="63">
        <f>'Padrão EPP'!E2882/2</f>
        <v>0</v>
      </c>
      <c r="F2882" s="67">
        <v>3.0000000000000001E-3</v>
      </c>
      <c r="G2882" s="67">
        <v>2E-3</v>
      </c>
      <c r="H2882" s="63"/>
    </row>
    <row r="2883" spans="1:8" x14ac:dyDescent="0.25">
      <c r="A2883" s="63"/>
      <c r="B2883" s="63">
        <f>'Padrão EPP'!B2883</f>
        <v>23</v>
      </c>
      <c r="C2883" s="63" t="str">
        <f>'Padrão EPP'!C2883</f>
        <v>AL</v>
      </c>
      <c r="D2883" s="63" t="str">
        <f>'Padrão EPP'!D2883</f>
        <v>CAPITAL</v>
      </c>
      <c r="E2883" s="63">
        <f>'Padrão EPP'!E2883/2</f>
        <v>0</v>
      </c>
      <c r="F2883" s="67">
        <v>3.0000000000000001E-3</v>
      </c>
      <c r="G2883" s="67">
        <v>2E-3</v>
      </c>
      <c r="H2883" s="63"/>
    </row>
    <row r="2884" spans="1:8" x14ac:dyDescent="0.25">
      <c r="A2884" s="63"/>
      <c r="B2884" s="63">
        <f>'Padrão EPP'!B2884</f>
        <v>24</v>
      </c>
      <c r="C2884" s="63" t="str">
        <f>'Padrão EPP'!C2884</f>
        <v>AL</v>
      </c>
      <c r="D2884" s="63" t="str">
        <f>'Padrão EPP'!D2884</f>
        <v>CAPITAL</v>
      </c>
      <c r="E2884" s="63">
        <f>'Padrão EPP'!E2884/2</f>
        <v>0</v>
      </c>
      <c r="F2884" s="67">
        <v>3.0000000000000001E-3</v>
      </c>
      <c r="G2884" s="67">
        <v>2E-3</v>
      </c>
      <c r="H2884" s="63"/>
    </row>
    <row r="2885" spans="1:8" x14ac:dyDescent="0.25">
      <c r="A2885" s="63"/>
      <c r="B2885" s="63">
        <f>'Padrão EPP'!B2885</f>
        <v>25</v>
      </c>
      <c r="C2885" s="63" t="str">
        <f>'Padrão EPP'!C2885</f>
        <v>AL</v>
      </c>
      <c r="D2885" s="63" t="str">
        <f>'Padrão EPP'!D2885</f>
        <v>CAPITAL</v>
      </c>
      <c r="E2885" s="63">
        <f>'Padrão EPP'!E2885/2</f>
        <v>0</v>
      </c>
      <c r="F2885" s="67">
        <v>3.0000000000000001E-3</v>
      </c>
      <c r="G2885" s="67">
        <v>2E-3</v>
      </c>
      <c r="H2885" s="63"/>
    </row>
    <row r="2886" spans="1:8" x14ac:dyDescent="0.25">
      <c r="A2886" s="63"/>
      <c r="B2886" s="63">
        <f>'Padrão EPP'!B2886</f>
        <v>26</v>
      </c>
      <c r="C2886" s="63" t="str">
        <f>'Padrão EPP'!C2886</f>
        <v>AL</v>
      </c>
      <c r="D2886" s="63" t="str">
        <f>'Padrão EPP'!D2886</f>
        <v>CAPITAL</v>
      </c>
      <c r="E2886" s="63">
        <f>'Padrão EPP'!E2886/2</f>
        <v>0</v>
      </c>
      <c r="F2886" s="67">
        <v>3.0000000000000001E-3</v>
      </c>
      <c r="G2886" s="67">
        <v>2E-3</v>
      </c>
      <c r="H2886" s="63"/>
    </row>
    <row r="2887" spans="1:8" x14ac:dyDescent="0.25">
      <c r="A2887" s="63"/>
      <c r="B2887" s="63">
        <f>'Padrão EPP'!B2887</f>
        <v>27</v>
      </c>
      <c r="C2887" s="63" t="str">
        <f>'Padrão EPP'!C2887</f>
        <v>AL</v>
      </c>
      <c r="D2887" s="63" t="str">
        <f>'Padrão EPP'!D2887</f>
        <v>CAPITAL</v>
      </c>
      <c r="E2887" s="63">
        <f>'Padrão EPP'!E2887/2</f>
        <v>0</v>
      </c>
      <c r="F2887" s="67">
        <v>3.0000000000000001E-3</v>
      </c>
      <c r="G2887" s="67">
        <v>2E-3</v>
      </c>
      <c r="H2887" s="63"/>
    </row>
    <row r="2888" spans="1:8" x14ac:dyDescent="0.25">
      <c r="A2888" s="63"/>
      <c r="B2888" s="63">
        <f>'Padrão EPP'!B2888</f>
        <v>28</v>
      </c>
      <c r="C2888" s="63" t="str">
        <f>'Padrão EPP'!C2888</f>
        <v>AL</v>
      </c>
      <c r="D2888" s="63" t="str">
        <f>'Padrão EPP'!D2888</f>
        <v>CAPITAL</v>
      </c>
      <c r="E2888" s="63">
        <f>'Padrão EPP'!E2888/2</f>
        <v>0</v>
      </c>
      <c r="F2888" s="67">
        <v>3.0000000000000001E-3</v>
      </c>
      <c r="G2888" s="67">
        <v>2E-3</v>
      </c>
      <c r="H2888" s="63"/>
    </row>
    <row r="2889" spans="1:8" x14ac:dyDescent="0.25">
      <c r="A2889" s="63"/>
      <c r="B2889" s="63">
        <f>'Padrão EPP'!B2889</f>
        <v>29</v>
      </c>
      <c r="C2889" s="63" t="str">
        <f>'Padrão EPP'!C2889</f>
        <v>AL</v>
      </c>
      <c r="D2889" s="63" t="str">
        <f>'Padrão EPP'!D2889</f>
        <v>CAPITAL</v>
      </c>
      <c r="E2889" s="63">
        <f>'Padrão EPP'!E2889/2</f>
        <v>0</v>
      </c>
      <c r="F2889" s="67">
        <v>3.0000000000000001E-3</v>
      </c>
      <c r="G2889" s="67">
        <v>2E-3</v>
      </c>
      <c r="H2889" s="63"/>
    </row>
    <row r="2890" spans="1:8" x14ac:dyDescent="0.25">
      <c r="A2890" s="63"/>
      <c r="B2890" s="63">
        <f>'Padrão EPP'!B2890</f>
        <v>30</v>
      </c>
      <c r="C2890" s="63" t="str">
        <f>'Padrão EPP'!C2890</f>
        <v>AL</v>
      </c>
      <c r="D2890" s="63" t="str">
        <f>'Padrão EPP'!D2890</f>
        <v>CAPITAL</v>
      </c>
      <c r="E2890" s="63">
        <f>'Padrão EPP'!E2890/2</f>
        <v>0</v>
      </c>
      <c r="F2890" s="67">
        <v>3.0000000000000001E-3</v>
      </c>
      <c r="G2890" s="67">
        <v>2E-3</v>
      </c>
      <c r="H2890" s="63"/>
    </row>
    <row r="2891" spans="1:8" x14ac:dyDescent="0.25">
      <c r="A2891" s="63"/>
      <c r="B2891" s="63">
        <f>'Padrão EPP'!B2891</f>
        <v>0</v>
      </c>
      <c r="C2891" s="63" t="str">
        <f>'Padrão EPP'!C2891</f>
        <v>AL</v>
      </c>
      <c r="D2891" s="63" t="str">
        <f>'Padrão EPP'!D2891</f>
        <v>CAPITAL</v>
      </c>
      <c r="E2891" s="63">
        <f>'Padrão EPP'!E2891/2</f>
        <v>1.5214394455252955</v>
      </c>
      <c r="F2891" s="67">
        <v>3.0000000000000001E-3</v>
      </c>
      <c r="G2891" s="67">
        <v>2E-3</v>
      </c>
      <c r="H2891" s="63"/>
    </row>
    <row r="2892" spans="1:8" x14ac:dyDescent="0.25">
      <c r="A2892" s="63"/>
      <c r="B2892" s="63">
        <f>'Padrão EPP'!B2892</f>
        <v>0.25</v>
      </c>
      <c r="C2892" s="63" t="str">
        <f>'Padrão EPP'!C2892</f>
        <v>AL</v>
      </c>
      <c r="D2892" s="63" t="str">
        <f>'Padrão EPP'!D2892</f>
        <v>INTERIOR</v>
      </c>
      <c r="E2892" s="63">
        <f>'Padrão EPP'!E2892/2</f>
        <v>10.142750534659488</v>
      </c>
      <c r="F2892" s="67">
        <v>3.0000000000000001E-3</v>
      </c>
      <c r="G2892" s="67">
        <v>2E-3</v>
      </c>
      <c r="H2892" s="63"/>
    </row>
    <row r="2893" spans="1:8" x14ac:dyDescent="0.25">
      <c r="A2893" s="63"/>
      <c r="B2893" s="63">
        <f>'Padrão EPP'!B2893</f>
        <v>0.5</v>
      </c>
      <c r="C2893" s="63" t="str">
        <f>'Padrão EPP'!C2893</f>
        <v>AL</v>
      </c>
      <c r="D2893" s="63" t="str">
        <f>'Padrão EPP'!D2893</f>
        <v>INTERIOR</v>
      </c>
      <c r="E2893" s="63">
        <f>'Padrão EPP'!E2893/2</f>
        <v>10.935830656951362</v>
      </c>
      <c r="F2893" s="67">
        <v>3.0000000000000001E-3</v>
      </c>
      <c r="G2893" s="67">
        <v>2E-3</v>
      </c>
      <c r="H2893" s="63"/>
    </row>
    <row r="2894" spans="1:8" x14ac:dyDescent="0.25">
      <c r="A2894" s="63"/>
      <c r="B2894" s="63">
        <f>'Padrão EPP'!B2894</f>
        <v>0.75</v>
      </c>
      <c r="C2894" s="63" t="str">
        <f>'Padrão EPP'!C2894</f>
        <v>AL</v>
      </c>
      <c r="D2894" s="63" t="str">
        <f>'Padrão EPP'!D2894</f>
        <v>INTERIOR</v>
      </c>
      <c r="E2894" s="63">
        <f>'Padrão EPP'!E2894/2</f>
        <v>12.095460680577579</v>
      </c>
      <c r="F2894" s="67">
        <v>3.0000000000000001E-3</v>
      </c>
      <c r="G2894" s="67">
        <v>2E-3</v>
      </c>
      <c r="H2894" s="63"/>
    </row>
    <row r="2895" spans="1:8" x14ac:dyDescent="0.25">
      <c r="A2895" s="63"/>
      <c r="B2895" s="63">
        <f>'Padrão EPP'!B2895</f>
        <v>1</v>
      </c>
      <c r="C2895" s="63" t="str">
        <f>'Padrão EPP'!C2895</f>
        <v>AL</v>
      </c>
      <c r="D2895" s="63" t="str">
        <f>'Padrão EPP'!D2895</f>
        <v>INTERIOR</v>
      </c>
      <c r="E2895" s="63">
        <f>'Padrão EPP'!E2895/2</f>
        <v>13.312720846045702</v>
      </c>
      <c r="F2895" s="67">
        <v>3.0000000000000001E-3</v>
      </c>
      <c r="G2895" s="67">
        <v>2E-3</v>
      </c>
      <c r="H2895" s="63"/>
    </row>
    <row r="2896" spans="1:8" x14ac:dyDescent="0.25">
      <c r="A2896" s="63"/>
      <c r="B2896" s="63">
        <f>'Padrão EPP'!B2896</f>
        <v>2</v>
      </c>
      <c r="C2896" s="63" t="str">
        <f>'Padrão EPP'!C2896</f>
        <v>AL</v>
      </c>
      <c r="D2896" s="63" t="str">
        <f>'Padrão EPP'!D2896</f>
        <v>INTERIOR</v>
      </c>
      <c r="E2896" s="63">
        <f>'Padrão EPP'!E2896/2</f>
        <v>16.364048730730985</v>
      </c>
      <c r="F2896" s="67">
        <v>3.0000000000000001E-3</v>
      </c>
      <c r="G2896" s="67">
        <v>2E-3</v>
      </c>
      <c r="H2896" s="63"/>
    </row>
    <row r="2897" spans="1:8" x14ac:dyDescent="0.25">
      <c r="A2897" s="63"/>
      <c r="B2897" s="63">
        <f>'Padrão EPP'!B2897</f>
        <v>3</v>
      </c>
      <c r="C2897" s="63" t="str">
        <f>'Padrão EPP'!C2897</f>
        <v>AL</v>
      </c>
      <c r="D2897" s="63" t="str">
        <f>'Padrão EPP'!D2897</f>
        <v>INTERIOR</v>
      </c>
      <c r="E2897" s="63">
        <f>'Padrão EPP'!E2897/2</f>
        <v>19.796201110489964</v>
      </c>
      <c r="F2897" s="67">
        <v>3.0000000000000001E-3</v>
      </c>
      <c r="G2897" s="67">
        <v>2E-3</v>
      </c>
      <c r="H2897" s="63"/>
    </row>
    <row r="2898" spans="1:8" x14ac:dyDescent="0.25">
      <c r="A2898" s="63"/>
      <c r="B2898" s="63">
        <f>'Padrão EPP'!B2898</f>
        <v>4</v>
      </c>
      <c r="C2898" s="63" t="str">
        <f>'Padrão EPP'!C2898</f>
        <v>AL</v>
      </c>
      <c r="D2898" s="63" t="str">
        <f>'Padrão EPP'!D2898</f>
        <v>INTERIOR</v>
      </c>
      <c r="E2898" s="63">
        <f>'Padrão EPP'!E2898/2</f>
        <v>23.333612563141092</v>
      </c>
      <c r="F2898" s="67">
        <v>3.0000000000000001E-3</v>
      </c>
      <c r="G2898" s="67">
        <v>2E-3</v>
      </c>
      <c r="H2898" s="63"/>
    </row>
    <row r="2899" spans="1:8" x14ac:dyDescent="0.25">
      <c r="A2899" s="63"/>
      <c r="B2899" s="63">
        <f>'Padrão EPP'!B2899</f>
        <v>5</v>
      </c>
      <c r="C2899" s="63" t="str">
        <f>'Padrão EPP'!C2899</f>
        <v>AL</v>
      </c>
      <c r="D2899" s="63" t="str">
        <f>'Padrão EPP'!D2899</f>
        <v>INTERIOR</v>
      </c>
      <c r="E2899" s="63">
        <f>'Padrão EPP'!E2899/2</f>
        <v>27.00926863852904</v>
      </c>
      <c r="F2899" s="67">
        <v>3.0000000000000001E-3</v>
      </c>
      <c r="G2899" s="67">
        <v>2E-3</v>
      </c>
      <c r="H2899" s="63"/>
    </row>
    <row r="2900" spans="1:8" x14ac:dyDescent="0.25">
      <c r="A2900" s="63"/>
      <c r="B2900" s="63">
        <f>'Padrão EPP'!B2900</f>
        <v>6</v>
      </c>
      <c r="C2900" s="63" t="str">
        <f>'Padrão EPP'!C2900</f>
        <v>AL</v>
      </c>
      <c r="D2900" s="63" t="str">
        <f>'Padrão EPP'!D2900</f>
        <v>INTERIOR</v>
      </c>
      <c r="E2900" s="63">
        <f>'Padrão EPP'!E2900/2</f>
        <v>30.767350456702417</v>
      </c>
      <c r="F2900" s="67">
        <v>3.0000000000000001E-3</v>
      </c>
      <c r="G2900" s="67">
        <v>2E-3</v>
      </c>
      <c r="H2900" s="63"/>
    </row>
    <row r="2901" spans="1:8" x14ac:dyDescent="0.25">
      <c r="A2901" s="63"/>
      <c r="B2901" s="63">
        <f>'Padrão EPP'!B2901</f>
        <v>7</v>
      </c>
      <c r="C2901" s="63" t="str">
        <f>'Padrão EPP'!C2901</f>
        <v>AL</v>
      </c>
      <c r="D2901" s="63" t="str">
        <f>'Padrão EPP'!D2901</f>
        <v>INTERIOR</v>
      </c>
      <c r="E2901" s="63">
        <f>'Padrão EPP'!E2901/2</f>
        <v>34.61846038493011</v>
      </c>
      <c r="F2901" s="67">
        <v>3.0000000000000001E-3</v>
      </c>
      <c r="G2901" s="67">
        <v>2E-3</v>
      </c>
      <c r="H2901" s="63"/>
    </row>
    <row r="2902" spans="1:8" x14ac:dyDescent="0.25">
      <c r="A2902" s="63"/>
      <c r="B2902" s="63">
        <f>'Padrão EPP'!B2902</f>
        <v>8</v>
      </c>
      <c r="C2902" s="63" t="str">
        <f>'Padrão EPP'!C2902</f>
        <v>AL</v>
      </c>
      <c r="D2902" s="63" t="str">
        <f>'Padrão EPP'!D2902</f>
        <v>INTERIOR</v>
      </c>
      <c r="E2902" s="63">
        <f>'Padrão EPP'!E2902/2</f>
        <v>38.574600573435788</v>
      </c>
      <c r="F2902" s="67">
        <v>3.0000000000000001E-3</v>
      </c>
      <c r="G2902" s="67">
        <v>2E-3</v>
      </c>
      <c r="H2902" s="63"/>
    </row>
    <row r="2903" spans="1:8" x14ac:dyDescent="0.25">
      <c r="A2903" s="63"/>
      <c r="B2903" s="63">
        <f>'Padrão EPP'!B2903</f>
        <v>9</v>
      </c>
      <c r="C2903" s="63" t="str">
        <f>'Padrão EPP'!C2903</f>
        <v>AL</v>
      </c>
      <c r="D2903" s="63" t="str">
        <f>'Padrão EPP'!D2903</f>
        <v>INTERIOR</v>
      </c>
      <c r="E2903" s="63">
        <f>'Padrão EPP'!E2903/2</f>
        <v>42.373375023715717</v>
      </c>
      <c r="F2903" s="67">
        <v>3.0000000000000001E-3</v>
      </c>
      <c r="G2903" s="67">
        <v>2E-3</v>
      </c>
      <c r="H2903" s="63"/>
    </row>
    <row r="2904" spans="1:8" x14ac:dyDescent="0.25">
      <c r="A2904" s="63"/>
      <c r="B2904" s="63">
        <f>'Padrão EPP'!B2904</f>
        <v>10</v>
      </c>
      <c r="C2904" s="63" t="str">
        <f>'Padrão EPP'!C2904</f>
        <v>AL</v>
      </c>
      <c r="D2904" s="63" t="str">
        <f>'Padrão EPP'!D2904</f>
        <v>INTERIOR</v>
      </c>
      <c r="E2904" s="63">
        <f>'Padrão EPP'!E2904/2</f>
        <v>46.448778557796302</v>
      </c>
      <c r="F2904" s="67">
        <v>3.0000000000000001E-3</v>
      </c>
      <c r="G2904" s="67">
        <v>2E-3</v>
      </c>
      <c r="H2904" s="63"/>
    </row>
    <row r="2905" spans="1:8" x14ac:dyDescent="0.25">
      <c r="A2905" s="63"/>
      <c r="B2905" s="63">
        <f>'Padrão EPP'!B2905</f>
        <v>11</v>
      </c>
      <c r="C2905" s="63" t="str">
        <f>'Padrão EPP'!C2905</f>
        <v>AL</v>
      </c>
      <c r="D2905" s="63" t="str">
        <f>'Padrão EPP'!D2905</f>
        <v>INTERIOR</v>
      </c>
      <c r="E2905" s="63">
        <f>'Padrão EPP'!E2905/2</f>
        <v>0</v>
      </c>
      <c r="F2905" s="67">
        <v>3.0000000000000001E-3</v>
      </c>
      <c r="G2905" s="67">
        <v>2E-3</v>
      </c>
      <c r="H2905" s="63"/>
    </row>
    <row r="2906" spans="1:8" x14ac:dyDescent="0.25">
      <c r="A2906" s="63"/>
      <c r="B2906" s="63">
        <f>'Padrão EPP'!B2906</f>
        <v>12</v>
      </c>
      <c r="C2906" s="63" t="str">
        <f>'Padrão EPP'!C2906</f>
        <v>AL</v>
      </c>
      <c r="D2906" s="63" t="str">
        <f>'Padrão EPP'!D2906</f>
        <v>INTERIOR</v>
      </c>
      <c r="E2906" s="63">
        <f>'Padrão EPP'!E2906/2</f>
        <v>0</v>
      </c>
      <c r="F2906" s="67">
        <v>3.0000000000000001E-3</v>
      </c>
      <c r="G2906" s="67">
        <v>2E-3</v>
      </c>
      <c r="H2906" s="63"/>
    </row>
    <row r="2907" spans="1:8" x14ac:dyDescent="0.25">
      <c r="A2907" s="63"/>
      <c r="B2907" s="63">
        <f>'Padrão EPP'!B2907</f>
        <v>13</v>
      </c>
      <c r="C2907" s="63" t="str">
        <f>'Padrão EPP'!C2907</f>
        <v>AL</v>
      </c>
      <c r="D2907" s="63" t="str">
        <f>'Padrão EPP'!D2907</f>
        <v>INTERIOR</v>
      </c>
      <c r="E2907" s="63">
        <f>'Padrão EPP'!E2907/2</f>
        <v>0</v>
      </c>
      <c r="F2907" s="67">
        <v>3.0000000000000001E-3</v>
      </c>
      <c r="G2907" s="67">
        <v>2E-3</v>
      </c>
      <c r="H2907" s="63"/>
    </row>
    <row r="2908" spans="1:8" x14ac:dyDescent="0.25">
      <c r="A2908" s="63"/>
      <c r="B2908" s="63">
        <f>'Padrão EPP'!B2908</f>
        <v>14</v>
      </c>
      <c r="C2908" s="63" t="str">
        <f>'Padrão EPP'!C2908</f>
        <v>AL</v>
      </c>
      <c r="D2908" s="63" t="str">
        <f>'Padrão EPP'!D2908</f>
        <v>INTERIOR</v>
      </c>
      <c r="E2908" s="63">
        <f>'Padrão EPP'!E2908/2</f>
        <v>0</v>
      </c>
      <c r="F2908" s="67">
        <v>3.0000000000000001E-3</v>
      </c>
      <c r="G2908" s="67">
        <v>2E-3</v>
      </c>
      <c r="H2908" s="63"/>
    </row>
    <row r="2909" spans="1:8" x14ac:dyDescent="0.25">
      <c r="A2909" s="63"/>
      <c r="B2909" s="63">
        <f>'Padrão EPP'!B2909</f>
        <v>15</v>
      </c>
      <c r="C2909" s="63" t="str">
        <f>'Padrão EPP'!C2909</f>
        <v>AL</v>
      </c>
      <c r="D2909" s="63" t="str">
        <f>'Padrão EPP'!D2909</f>
        <v>INTERIOR</v>
      </c>
      <c r="E2909" s="63">
        <f>'Padrão EPP'!E2909/2</f>
        <v>0</v>
      </c>
      <c r="F2909" s="67">
        <v>3.0000000000000001E-3</v>
      </c>
      <c r="G2909" s="67">
        <v>2E-3</v>
      </c>
      <c r="H2909" s="63"/>
    </row>
    <row r="2910" spans="1:8" x14ac:dyDescent="0.25">
      <c r="A2910" s="63"/>
      <c r="B2910" s="63">
        <f>'Padrão EPP'!B2910</f>
        <v>16</v>
      </c>
      <c r="C2910" s="63" t="str">
        <f>'Padrão EPP'!C2910</f>
        <v>AL</v>
      </c>
      <c r="D2910" s="63" t="str">
        <f>'Padrão EPP'!D2910</f>
        <v>INTERIOR</v>
      </c>
      <c r="E2910" s="63">
        <f>'Padrão EPP'!E2910/2</f>
        <v>0</v>
      </c>
      <c r="F2910" s="67">
        <v>3.0000000000000001E-3</v>
      </c>
      <c r="G2910" s="67">
        <v>2E-3</v>
      </c>
      <c r="H2910" s="63"/>
    </row>
    <row r="2911" spans="1:8" x14ac:dyDescent="0.25">
      <c r="A2911" s="63"/>
      <c r="B2911" s="63">
        <f>'Padrão EPP'!B2911</f>
        <v>17</v>
      </c>
      <c r="C2911" s="63" t="str">
        <f>'Padrão EPP'!C2911</f>
        <v>AL</v>
      </c>
      <c r="D2911" s="63" t="str">
        <f>'Padrão EPP'!D2911</f>
        <v>INTERIOR</v>
      </c>
      <c r="E2911" s="63">
        <f>'Padrão EPP'!E2911/2</f>
        <v>0</v>
      </c>
      <c r="F2911" s="67">
        <v>3.0000000000000001E-3</v>
      </c>
      <c r="G2911" s="67">
        <v>2E-3</v>
      </c>
      <c r="H2911" s="63"/>
    </row>
    <row r="2912" spans="1:8" x14ac:dyDescent="0.25">
      <c r="A2912" s="63"/>
      <c r="B2912" s="63">
        <f>'Padrão EPP'!B2912</f>
        <v>18</v>
      </c>
      <c r="C2912" s="63" t="str">
        <f>'Padrão EPP'!C2912</f>
        <v>AL</v>
      </c>
      <c r="D2912" s="63" t="str">
        <f>'Padrão EPP'!D2912</f>
        <v>INTERIOR</v>
      </c>
      <c r="E2912" s="63">
        <f>'Padrão EPP'!E2912/2</f>
        <v>0</v>
      </c>
      <c r="F2912" s="67">
        <v>3.0000000000000001E-3</v>
      </c>
      <c r="G2912" s="67">
        <v>2E-3</v>
      </c>
      <c r="H2912" s="63"/>
    </row>
    <row r="2913" spans="1:8" x14ac:dyDescent="0.25">
      <c r="A2913" s="63"/>
      <c r="B2913" s="63">
        <f>'Padrão EPP'!B2913</f>
        <v>19</v>
      </c>
      <c r="C2913" s="63" t="str">
        <f>'Padrão EPP'!C2913</f>
        <v>AL</v>
      </c>
      <c r="D2913" s="63" t="str">
        <f>'Padrão EPP'!D2913</f>
        <v>INTERIOR</v>
      </c>
      <c r="E2913" s="63">
        <f>'Padrão EPP'!E2913/2</f>
        <v>0</v>
      </c>
      <c r="F2913" s="67">
        <v>3.0000000000000001E-3</v>
      </c>
      <c r="G2913" s="67">
        <v>2E-3</v>
      </c>
      <c r="H2913" s="63"/>
    </row>
    <row r="2914" spans="1:8" x14ac:dyDescent="0.25">
      <c r="A2914" s="63"/>
      <c r="B2914" s="63">
        <f>'Padrão EPP'!B2914</f>
        <v>20</v>
      </c>
      <c r="C2914" s="63" t="str">
        <f>'Padrão EPP'!C2914</f>
        <v>AL</v>
      </c>
      <c r="D2914" s="63" t="str">
        <f>'Padrão EPP'!D2914</f>
        <v>INTERIOR</v>
      </c>
      <c r="E2914" s="63">
        <f>'Padrão EPP'!E2914/2</f>
        <v>0</v>
      </c>
      <c r="F2914" s="67">
        <v>3.0000000000000001E-3</v>
      </c>
      <c r="G2914" s="67">
        <v>2E-3</v>
      </c>
      <c r="H2914" s="63"/>
    </row>
    <row r="2915" spans="1:8" x14ac:dyDescent="0.25">
      <c r="A2915" s="63"/>
      <c r="B2915" s="63">
        <f>'Padrão EPP'!B2915</f>
        <v>21</v>
      </c>
      <c r="C2915" s="63" t="str">
        <f>'Padrão EPP'!C2915</f>
        <v>AL</v>
      </c>
      <c r="D2915" s="63" t="str">
        <f>'Padrão EPP'!D2915</f>
        <v>INTERIOR</v>
      </c>
      <c r="E2915" s="63">
        <f>'Padrão EPP'!E2915/2</f>
        <v>0</v>
      </c>
      <c r="F2915" s="67">
        <v>3.0000000000000001E-3</v>
      </c>
      <c r="G2915" s="67">
        <v>2E-3</v>
      </c>
      <c r="H2915" s="63"/>
    </row>
    <row r="2916" spans="1:8" x14ac:dyDescent="0.25">
      <c r="A2916" s="63"/>
      <c r="B2916" s="63">
        <f>'Padrão EPP'!B2916</f>
        <v>22</v>
      </c>
      <c r="C2916" s="63" t="str">
        <f>'Padrão EPP'!C2916</f>
        <v>AL</v>
      </c>
      <c r="D2916" s="63" t="str">
        <f>'Padrão EPP'!D2916</f>
        <v>INTERIOR</v>
      </c>
      <c r="E2916" s="63">
        <f>'Padrão EPP'!E2916/2</f>
        <v>0</v>
      </c>
      <c r="F2916" s="67">
        <v>3.0000000000000001E-3</v>
      </c>
      <c r="G2916" s="67">
        <v>2E-3</v>
      </c>
      <c r="H2916" s="63"/>
    </row>
    <row r="2917" spans="1:8" x14ac:dyDescent="0.25">
      <c r="A2917" s="63"/>
      <c r="B2917" s="63">
        <f>'Padrão EPP'!B2917</f>
        <v>23</v>
      </c>
      <c r="C2917" s="63" t="str">
        <f>'Padrão EPP'!C2917</f>
        <v>AL</v>
      </c>
      <c r="D2917" s="63" t="str">
        <f>'Padrão EPP'!D2917</f>
        <v>INTERIOR</v>
      </c>
      <c r="E2917" s="63">
        <f>'Padrão EPP'!E2917/2</f>
        <v>0</v>
      </c>
      <c r="F2917" s="67">
        <v>3.0000000000000001E-3</v>
      </c>
      <c r="G2917" s="67">
        <v>2E-3</v>
      </c>
      <c r="H2917" s="63"/>
    </row>
    <row r="2918" spans="1:8" x14ac:dyDescent="0.25">
      <c r="A2918" s="63"/>
      <c r="B2918" s="63">
        <f>'Padrão EPP'!B2918</f>
        <v>24</v>
      </c>
      <c r="C2918" s="63" t="str">
        <f>'Padrão EPP'!C2918</f>
        <v>AL</v>
      </c>
      <c r="D2918" s="63" t="str">
        <f>'Padrão EPP'!D2918</f>
        <v>INTERIOR</v>
      </c>
      <c r="E2918" s="63">
        <f>'Padrão EPP'!E2918/2</f>
        <v>0</v>
      </c>
      <c r="F2918" s="67">
        <v>3.0000000000000001E-3</v>
      </c>
      <c r="G2918" s="67">
        <v>2E-3</v>
      </c>
      <c r="H2918" s="63"/>
    </row>
    <row r="2919" spans="1:8" x14ac:dyDescent="0.25">
      <c r="A2919" s="63"/>
      <c r="B2919" s="63">
        <f>'Padrão EPP'!B2919</f>
        <v>25</v>
      </c>
      <c r="C2919" s="63" t="str">
        <f>'Padrão EPP'!C2919</f>
        <v>AL</v>
      </c>
      <c r="D2919" s="63" t="str">
        <f>'Padrão EPP'!D2919</f>
        <v>INTERIOR</v>
      </c>
      <c r="E2919" s="63">
        <f>'Padrão EPP'!E2919/2</f>
        <v>0</v>
      </c>
      <c r="F2919" s="67">
        <v>3.0000000000000001E-3</v>
      </c>
      <c r="G2919" s="67">
        <v>2E-3</v>
      </c>
      <c r="H2919" s="63"/>
    </row>
    <row r="2920" spans="1:8" x14ac:dyDescent="0.25">
      <c r="A2920" s="63"/>
      <c r="B2920" s="63">
        <f>'Padrão EPP'!B2920</f>
        <v>26</v>
      </c>
      <c r="C2920" s="63" t="str">
        <f>'Padrão EPP'!C2920</f>
        <v>AL</v>
      </c>
      <c r="D2920" s="63" t="str">
        <f>'Padrão EPP'!D2920</f>
        <v>INTERIOR</v>
      </c>
      <c r="E2920" s="63">
        <f>'Padrão EPP'!E2920/2</f>
        <v>0</v>
      </c>
      <c r="F2920" s="67">
        <v>3.0000000000000001E-3</v>
      </c>
      <c r="G2920" s="67">
        <v>2E-3</v>
      </c>
      <c r="H2920" s="63"/>
    </row>
    <row r="2921" spans="1:8" x14ac:dyDescent="0.25">
      <c r="A2921" s="63"/>
      <c r="B2921" s="63">
        <f>'Padrão EPP'!B2921</f>
        <v>27</v>
      </c>
      <c r="C2921" s="63" t="str">
        <f>'Padrão EPP'!C2921</f>
        <v>AL</v>
      </c>
      <c r="D2921" s="63" t="str">
        <f>'Padrão EPP'!D2921</f>
        <v>INTERIOR</v>
      </c>
      <c r="E2921" s="63">
        <f>'Padrão EPP'!E2921/2</f>
        <v>0</v>
      </c>
      <c r="F2921" s="67">
        <v>3.0000000000000001E-3</v>
      </c>
      <c r="G2921" s="67">
        <v>2E-3</v>
      </c>
      <c r="H2921" s="63"/>
    </row>
    <row r="2922" spans="1:8" x14ac:dyDescent="0.25">
      <c r="A2922" s="63"/>
      <c r="B2922" s="63">
        <f>'Padrão EPP'!B2922</f>
        <v>28</v>
      </c>
      <c r="C2922" s="63" t="str">
        <f>'Padrão EPP'!C2922</f>
        <v>AL</v>
      </c>
      <c r="D2922" s="63" t="str">
        <f>'Padrão EPP'!D2922</f>
        <v>INTERIOR</v>
      </c>
      <c r="E2922" s="63">
        <f>'Padrão EPP'!E2922/2</f>
        <v>0</v>
      </c>
      <c r="F2922" s="67">
        <v>3.0000000000000001E-3</v>
      </c>
      <c r="G2922" s="67">
        <v>2E-3</v>
      </c>
      <c r="H2922" s="63"/>
    </row>
    <row r="2923" spans="1:8" x14ac:dyDescent="0.25">
      <c r="A2923" s="63"/>
      <c r="B2923" s="63">
        <f>'Padrão EPP'!B2923</f>
        <v>29</v>
      </c>
      <c r="C2923" s="63" t="str">
        <f>'Padrão EPP'!C2923</f>
        <v>AL</v>
      </c>
      <c r="D2923" s="63" t="str">
        <f>'Padrão EPP'!D2923</f>
        <v>INTERIOR</v>
      </c>
      <c r="E2923" s="63">
        <f>'Padrão EPP'!E2923/2</f>
        <v>0</v>
      </c>
      <c r="F2923" s="67">
        <v>3.0000000000000001E-3</v>
      </c>
      <c r="G2923" s="67">
        <v>2E-3</v>
      </c>
      <c r="H2923" s="63"/>
    </row>
    <row r="2924" spans="1:8" x14ac:dyDescent="0.25">
      <c r="A2924" s="63"/>
      <c r="B2924" s="63">
        <f>'Padrão EPP'!B2924</f>
        <v>30</v>
      </c>
      <c r="C2924" s="63" t="str">
        <f>'Padrão EPP'!C2924</f>
        <v>AL</v>
      </c>
      <c r="D2924" s="63" t="str">
        <f>'Padrão EPP'!D2924</f>
        <v>INTERIOR</v>
      </c>
      <c r="E2924" s="63">
        <f>'Padrão EPP'!E2924/2</f>
        <v>0</v>
      </c>
      <c r="F2924" s="67">
        <v>3.0000000000000001E-3</v>
      </c>
      <c r="G2924" s="67">
        <v>2E-3</v>
      </c>
      <c r="H2924" s="63"/>
    </row>
    <row r="2925" spans="1:8" x14ac:dyDescent="0.25">
      <c r="A2925" s="63"/>
      <c r="B2925" s="63">
        <f>'Padrão EPP'!B2925</f>
        <v>0</v>
      </c>
      <c r="C2925" s="63" t="str">
        <f>'Padrão EPP'!C2925</f>
        <v>AL</v>
      </c>
      <c r="D2925" s="63" t="str">
        <f>'Padrão EPP'!D2925</f>
        <v>INTERIOR</v>
      </c>
      <c r="E2925" s="63">
        <f>'Padrão EPP'!E2925/2</f>
        <v>1.5214394455252955</v>
      </c>
      <c r="F2925" s="67">
        <v>3.0000000000000001E-3</v>
      </c>
      <c r="G2925" s="67">
        <v>2E-3</v>
      </c>
      <c r="H2925" s="63"/>
    </row>
    <row r="2926" spans="1:8" x14ac:dyDescent="0.25">
      <c r="A2926" s="63"/>
      <c r="B2926" s="63">
        <f>'Padrão EPP'!B2926</f>
        <v>0.25</v>
      </c>
      <c r="C2926" s="63" t="str">
        <f>'Padrão EPP'!C2926</f>
        <v>AL</v>
      </c>
      <c r="D2926" s="63" t="str">
        <f>'Padrão EPP'!D2926</f>
        <v>INTERIOR II</v>
      </c>
      <c r="E2926" s="63">
        <f>'Padrão EPP'!E2926/2</f>
        <v>12.399468766571413</v>
      </c>
      <c r="F2926" s="67">
        <v>3.0000000000000001E-3</v>
      </c>
      <c r="G2926" s="67">
        <v>2E-3</v>
      </c>
      <c r="H2926" s="63"/>
    </row>
    <row r="2927" spans="1:8" x14ac:dyDescent="0.25">
      <c r="A2927" s="63"/>
      <c r="B2927" s="63">
        <f>'Padrão EPP'!B2927</f>
        <v>0.5</v>
      </c>
      <c r="C2927" s="63" t="str">
        <f>'Padrão EPP'!C2927</f>
        <v>AL</v>
      </c>
      <c r="D2927" s="63" t="str">
        <f>'Padrão EPP'!D2927</f>
        <v>INTERIOR II</v>
      </c>
      <c r="E2927" s="63">
        <f>'Padrão EPP'!E2927/2</f>
        <v>13.641493025469812</v>
      </c>
      <c r="F2927" s="67">
        <v>3.0000000000000001E-3</v>
      </c>
      <c r="G2927" s="67">
        <v>2E-3</v>
      </c>
      <c r="H2927" s="63"/>
    </row>
    <row r="2928" spans="1:8" x14ac:dyDescent="0.25">
      <c r="A2928" s="63"/>
      <c r="B2928" s="63">
        <f>'Padrão EPP'!B2928</f>
        <v>0.75</v>
      </c>
      <c r="C2928" s="63" t="str">
        <f>'Padrão EPP'!C2928</f>
        <v>AL</v>
      </c>
      <c r="D2928" s="63" t="str">
        <f>'Padrão EPP'!D2928</f>
        <v>INTERIOR II</v>
      </c>
      <c r="E2928" s="63">
        <f>'Padrão EPP'!E2928/2</f>
        <v>15.011031443808447</v>
      </c>
      <c r="F2928" s="67">
        <v>3.0000000000000001E-3</v>
      </c>
      <c r="G2928" s="67">
        <v>2E-3</v>
      </c>
      <c r="H2928" s="63"/>
    </row>
    <row r="2929" spans="1:8" x14ac:dyDescent="0.25">
      <c r="A2929" s="63"/>
      <c r="B2929" s="63">
        <f>'Padrão EPP'!B2929</f>
        <v>1</v>
      </c>
      <c r="C2929" s="63" t="str">
        <f>'Padrão EPP'!C2929</f>
        <v>AL</v>
      </c>
      <c r="D2929" s="63" t="str">
        <f>'Padrão EPP'!D2929</f>
        <v>INTERIOR II</v>
      </c>
      <c r="E2929" s="63">
        <f>'Padrão EPP'!E2929/2</f>
        <v>16.16737138232665</v>
      </c>
      <c r="F2929" s="67">
        <v>3.0000000000000001E-3</v>
      </c>
      <c r="G2929" s="67">
        <v>2E-3</v>
      </c>
      <c r="H2929" s="63"/>
    </row>
    <row r="2930" spans="1:8" x14ac:dyDescent="0.25">
      <c r="A2930" s="63"/>
      <c r="B2930" s="63">
        <f>'Padrão EPP'!B2930</f>
        <v>2</v>
      </c>
      <c r="C2930" s="63" t="str">
        <f>'Padrão EPP'!C2930</f>
        <v>AL</v>
      </c>
      <c r="D2930" s="63" t="str">
        <f>'Padrão EPP'!D2930</f>
        <v>INTERIOR II</v>
      </c>
      <c r="E2930" s="63">
        <f>'Padrão EPP'!E2930/2</f>
        <v>19.771470350128343</v>
      </c>
      <c r="F2930" s="67">
        <v>3.0000000000000001E-3</v>
      </c>
      <c r="G2930" s="67">
        <v>2E-3</v>
      </c>
      <c r="H2930" s="63"/>
    </row>
    <row r="2931" spans="1:8" x14ac:dyDescent="0.25">
      <c r="A2931" s="63"/>
      <c r="B2931" s="63">
        <f>'Padrão EPP'!B2931</f>
        <v>3</v>
      </c>
      <c r="C2931" s="63" t="str">
        <f>'Padrão EPP'!C2931</f>
        <v>AL</v>
      </c>
      <c r="D2931" s="63" t="str">
        <f>'Padrão EPP'!D2931</f>
        <v>INTERIOR II</v>
      </c>
      <c r="E2931" s="63">
        <f>'Padrão EPP'!E2931/2</f>
        <v>23.835793875679361</v>
      </c>
      <c r="F2931" s="67">
        <v>3.0000000000000001E-3</v>
      </c>
      <c r="G2931" s="67">
        <v>2E-3</v>
      </c>
      <c r="H2931" s="63"/>
    </row>
    <row r="2932" spans="1:8" x14ac:dyDescent="0.25">
      <c r="A2932" s="63"/>
      <c r="B2932" s="63">
        <f>'Padrão EPP'!B2932</f>
        <v>4</v>
      </c>
      <c r="C2932" s="63" t="str">
        <f>'Padrão EPP'!C2932</f>
        <v>AL</v>
      </c>
      <c r="D2932" s="63" t="str">
        <f>'Padrão EPP'!D2932</f>
        <v>INTERIOR II</v>
      </c>
      <c r="E2932" s="63">
        <f>'Padrão EPP'!E2932/2</f>
        <v>27.950300630597923</v>
      </c>
      <c r="F2932" s="67">
        <v>3.0000000000000001E-3</v>
      </c>
      <c r="G2932" s="67">
        <v>2E-3</v>
      </c>
      <c r="H2932" s="63"/>
    </row>
    <row r="2933" spans="1:8" x14ac:dyDescent="0.25">
      <c r="A2933" s="63"/>
      <c r="B2933" s="63">
        <f>'Padrão EPP'!B2933</f>
        <v>5</v>
      </c>
      <c r="C2933" s="63" t="str">
        <f>'Padrão EPP'!C2933</f>
        <v>AL</v>
      </c>
      <c r="D2933" s="63" t="str">
        <f>'Padrão EPP'!D2933</f>
        <v>INTERIOR II</v>
      </c>
      <c r="E2933" s="63">
        <f>'Padrão EPP'!E2933/2</f>
        <v>32.120008937820785</v>
      </c>
      <c r="F2933" s="67">
        <v>3.0000000000000001E-3</v>
      </c>
      <c r="G2933" s="67">
        <v>2E-3</v>
      </c>
      <c r="H2933" s="63"/>
    </row>
    <row r="2934" spans="1:8" x14ac:dyDescent="0.25">
      <c r="A2934" s="63"/>
      <c r="B2934" s="63">
        <f>'Padrão EPP'!B2934</f>
        <v>6</v>
      </c>
      <c r="C2934" s="63" t="str">
        <f>'Padrão EPP'!C2934</f>
        <v>AL</v>
      </c>
      <c r="D2934" s="63" t="str">
        <f>'Padrão EPP'!D2934</f>
        <v>INTERIOR II</v>
      </c>
      <c r="E2934" s="63">
        <f>'Padrão EPP'!E2934/2</f>
        <v>37.331046933492118</v>
      </c>
      <c r="F2934" s="67">
        <v>3.0000000000000001E-3</v>
      </c>
      <c r="G2934" s="67">
        <v>2E-3</v>
      </c>
      <c r="H2934" s="63"/>
    </row>
    <row r="2935" spans="1:8" x14ac:dyDescent="0.25">
      <c r="A2935" s="63"/>
      <c r="B2935" s="63">
        <f>'Padrão EPP'!B2935</f>
        <v>7</v>
      </c>
      <c r="C2935" s="63" t="str">
        <f>'Padrão EPP'!C2935</f>
        <v>AL</v>
      </c>
      <c r="D2935" s="63" t="str">
        <f>'Padrão EPP'!D2935</f>
        <v>INTERIOR II</v>
      </c>
      <c r="E2935" s="63">
        <f>'Padrão EPP'!E2935/2</f>
        <v>41.237141516663804</v>
      </c>
      <c r="F2935" s="67">
        <v>3.0000000000000001E-3</v>
      </c>
      <c r="G2935" s="67">
        <v>2E-3</v>
      </c>
      <c r="H2935" s="63"/>
    </row>
    <row r="2936" spans="1:8" x14ac:dyDescent="0.25">
      <c r="A2936" s="63"/>
      <c r="B2936" s="63">
        <f>'Padrão EPP'!B2936</f>
        <v>8</v>
      </c>
      <c r="C2936" s="63" t="str">
        <f>'Padrão EPP'!C2936</f>
        <v>AL</v>
      </c>
      <c r="D2936" s="63" t="str">
        <f>'Padrão EPP'!D2936</f>
        <v>INTERIOR II</v>
      </c>
      <c r="E2936" s="63">
        <f>'Padrão EPP'!E2936/2</f>
        <v>45.209393003495961</v>
      </c>
      <c r="F2936" s="67">
        <v>3.0000000000000001E-3</v>
      </c>
      <c r="G2936" s="67">
        <v>2E-3</v>
      </c>
      <c r="H2936" s="63"/>
    </row>
    <row r="2937" spans="1:8" x14ac:dyDescent="0.25">
      <c r="A2937" s="63"/>
      <c r="B2937" s="63">
        <f>'Padrão EPP'!B2937</f>
        <v>9</v>
      </c>
      <c r="C2937" s="63" t="str">
        <f>'Padrão EPP'!C2937</f>
        <v>AL</v>
      </c>
      <c r="D2937" s="63" t="str">
        <f>'Padrão EPP'!D2937</f>
        <v>INTERIOR II</v>
      </c>
      <c r="E2937" s="63">
        <f>'Padrão EPP'!E2937/2</f>
        <v>49.684812828746672</v>
      </c>
      <c r="F2937" s="67">
        <v>3.0000000000000001E-3</v>
      </c>
      <c r="G2937" s="67">
        <v>2E-3</v>
      </c>
      <c r="H2937" s="63"/>
    </row>
    <row r="2938" spans="1:8" x14ac:dyDescent="0.25">
      <c r="A2938" s="63"/>
      <c r="B2938" s="63">
        <f>'Padrão EPP'!B2938</f>
        <v>10</v>
      </c>
      <c r="C2938" s="63" t="str">
        <f>'Padrão EPP'!C2938</f>
        <v>AL</v>
      </c>
      <c r="D2938" s="63" t="str">
        <f>'Padrão EPP'!D2938</f>
        <v>INTERIOR II</v>
      </c>
      <c r="E2938" s="63">
        <f>'Padrão EPP'!E2938/2</f>
        <v>54.092320389430263</v>
      </c>
      <c r="F2938" s="67">
        <v>3.0000000000000001E-3</v>
      </c>
      <c r="G2938" s="67">
        <v>2E-3</v>
      </c>
      <c r="H2938" s="63"/>
    </row>
    <row r="2939" spans="1:8" x14ac:dyDescent="0.25">
      <c r="A2939" s="63"/>
      <c r="B2939" s="63">
        <f>'Padrão EPP'!B2939</f>
        <v>11</v>
      </c>
      <c r="C2939" s="63" t="str">
        <f>'Padrão EPP'!C2939</f>
        <v>AL</v>
      </c>
      <c r="D2939" s="63" t="str">
        <f>'Padrão EPP'!D2939</f>
        <v>INTERIOR II</v>
      </c>
      <c r="E2939" s="63">
        <f>'Padrão EPP'!E2939/2</f>
        <v>0</v>
      </c>
      <c r="F2939" s="67">
        <v>3.0000000000000001E-3</v>
      </c>
      <c r="G2939" s="67">
        <v>2E-3</v>
      </c>
      <c r="H2939" s="63"/>
    </row>
    <row r="2940" spans="1:8" x14ac:dyDescent="0.25">
      <c r="A2940" s="63"/>
      <c r="B2940" s="63">
        <f>'Padrão EPP'!B2940</f>
        <v>12</v>
      </c>
      <c r="C2940" s="63" t="str">
        <f>'Padrão EPP'!C2940</f>
        <v>AL</v>
      </c>
      <c r="D2940" s="63" t="str">
        <f>'Padrão EPP'!D2940</f>
        <v>INTERIOR II</v>
      </c>
      <c r="E2940" s="63">
        <f>'Padrão EPP'!E2940/2</f>
        <v>0</v>
      </c>
      <c r="F2940" s="67">
        <v>3.0000000000000001E-3</v>
      </c>
      <c r="G2940" s="67">
        <v>2E-3</v>
      </c>
      <c r="H2940" s="63"/>
    </row>
    <row r="2941" spans="1:8" x14ac:dyDescent="0.25">
      <c r="A2941" s="63"/>
      <c r="B2941" s="63">
        <f>'Padrão EPP'!B2941</f>
        <v>13</v>
      </c>
      <c r="C2941" s="63" t="str">
        <f>'Padrão EPP'!C2941</f>
        <v>AL</v>
      </c>
      <c r="D2941" s="63" t="str">
        <f>'Padrão EPP'!D2941</f>
        <v>INTERIOR II</v>
      </c>
      <c r="E2941" s="63">
        <f>'Padrão EPP'!E2941/2</f>
        <v>0</v>
      </c>
      <c r="F2941" s="67">
        <v>3.0000000000000001E-3</v>
      </c>
      <c r="G2941" s="67">
        <v>2E-3</v>
      </c>
      <c r="H2941" s="63"/>
    </row>
    <row r="2942" spans="1:8" x14ac:dyDescent="0.25">
      <c r="A2942" s="63"/>
      <c r="B2942" s="63">
        <f>'Padrão EPP'!B2942</f>
        <v>14</v>
      </c>
      <c r="C2942" s="63" t="str">
        <f>'Padrão EPP'!C2942</f>
        <v>AL</v>
      </c>
      <c r="D2942" s="63" t="str">
        <f>'Padrão EPP'!D2942</f>
        <v>INTERIOR II</v>
      </c>
      <c r="E2942" s="63">
        <f>'Padrão EPP'!E2942/2</f>
        <v>0</v>
      </c>
      <c r="F2942" s="67">
        <v>3.0000000000000001E-3</v>
      </c>
      <c r="G2942" s="67">
        <v>2E-3</v>
      </c>
      <c r="H2942" s="63"/>
    </row>
    <row r="2943" spans="1:8" x14ac:dyDescent="0.25">
      <c r="A2943" s="63"/>
      <c r="B2943" s="63">
        <f>'Padrão EPP'!B2943</f>
        <v>15</v>
      </c>
      <c r="C2943" s="63" t="str">
        <f>'Padrão EPP'!C2943</f>
        <v>AL</v>
      </c>
      <c r="D2943" s="63" t="str">
        <f>'Padrão EPP'!D2943</f>
        <v>INTERIOR II</v>
      </c>
      <c r="E2943" s="63">
        <f>'Padrão EPP'!E2943/2</f>
        <v>0</v>
      </c>
      <c r="F2943" s="67">
        <v>3.0000000000000001E-3</v>
      </c>
      <c r="G2943" s="67">
        <v>2E-3</v>
      </c>
      <c r="H2943" s="63"/>
    </row>
    <row r="2944" spans="1:8" x14ac:dyDescent="0.25">
      <c r="A2944" s="63"/>
      <c r="B2944" s="63">
        <f>'Padrão EPP'!B2944</f>
        <v>16</v>
      </c>
      <c r="C2944" s="63" t="str">
        <f>'Padrão EPP'!C2944</f>
        <v>AL</v>
      </c>
      <c r="D2944" s="63" t="str">
        <f>'Padrão EPP'!D2944</f>
        <v>INTERIOR II</v>
      </c>
      <c r="E2944" s="63">
        <f>'Padrão EPP'!E2944/2</f>
        <v>0</v>
      </c>
      <c r="F2944" s="67">
        <v>3.0000000000000001E-3</v>
      </c>
      <c r="G2944" s="67">
        <v>2E-3</v>
      </c>
      <c r="H2944" s="63"/>
    </row>
    <row r="2945" spans="1:8" x14ac:dyDescent="0.25">
      <c r="A2945" s="63"/>
      <c r="B2945" s="63">
        <f>'Padrão EPP'!B2945</f>
        <v>17</v>
      </c>
      <c r="C2945" s="63" t="str">
        <f>'Padrão EPP'!C2945</f>
        <v>AL</v>
      </c>
      <c r="D2945" s="63" t="str">
        <f>'Padrão EPP'!D2945</f>
        <v>INTERIOR II</v>
      </c>
      <c r="E2945" s="63">
        <f>'Padrão EPP'!E2945/2</f>
        <v>0</v>
      </c>
      <c r="F2945" s="67">
        <v>3.0000000000000001E-3</v>
      </c>
      <c r="G2945" s="67">
        <v>2E-3</v>
      </c>
      <c r="H2945" s="63"/>
    </row>
    <row r="2946" spans="1:8" x14ac:dyDescent="0.25">
      <c r="A2946" s="63"/>
      <c r="B2946" s="63">
        <f>'Padrão EPP'!B2946</f>
        <v>18</v>
      </c>
      <c r="C2946" s="63" t="str">
        <f>'Padrão EPP'!C2946</f>
        <v>AL</v>
      </c>
      <c r="D2946" s="63" t="str">
        <f>'Padrão EPP'!D2946</f>
        <v>INTERIOR II</v>
      </c>
      <c r="E2946" s="63">
        <f>'Padrão EPP'!E2946/2</f>
        <v>0</v>
      </c>
      <c r="F2946" s="67">
        <v>3.0000000000000001E-3</v>
      </c>
      <c r="G2946" s="67">
        <v>2E-3</v>
      </c>
      <c r="H2946" s="63"/>
    </row>
    <row r="2947" spans="1:8" x14ac:dyDescent="0.25">
      <c r="A2947" s="63"/>
      <c r="B2947" s="63">
        <f>'Padrão EPP'!B2947</f>
        <v>19</v>
      </c>
      <c r="C2947" s="63" t="str">
        <f>'Padrão EPP'!C2947</f>
        <v>AL</v>
      </c>
      <c r="D2947" s="63" t="str">
        <f>'Padrão EPP'!D2947</f>
        <v>INTERIOR II</v>
      </c>
      <c r="E2947" s="63">
        <f>'Padrão EPP'!E2947/2</f>
        <v>0</v>
      </c>
      <c r="F2947" s="67">
        <v>3.0000000000000001E-3</v>
      </c>
      <c r="G2947" s="67">
        <v>2E-3</v>
      </c>
      <c r="H2947" s="63"/>
    </row>
    <row r="2948" spans="1:8" x14ac:dyDescent="0.25">
      <c r="A2948" s="63"/>
      <c r="B2948" s="63">
        <f>'Padrão EPP'!B2948</f>
        <v>20</v>
      </c>
      <c r="C2948" s="63" t="str">
        <f>'Padrão EPP'!C2948</f>
        <v>AL</v>
      </c>
      <c r="D2948" s="63" t="str">
        <f>'Padrão EPP'!D2948</f>
        <v>INTERIOR II</v>
      </c>
      <c r="E2948" s="63">
        <f>'Padrão EPP'!E2948/2</f>
        <v>0</v>
      </c>
      <c r="F2948" s="67">
        <v>3.0000000000000001E-3</v>
      </c>
      <c r="G2948" s="67">
        <v>2E-3</v>
      </c>
      <c r="H2948" s="63"/>
    </row>
    <row r="2949" spans="1:8" x14ac:dyDescent="0.25">
      <c r="A2949" s="63"/>
      <c r="B2949" s="63">
        <f>'Padrão EPP'!B2949</f>
        <v>21</v>
      </c>
      <c r="C2949" s="63" t="str">
        <f>'Padrão EPP'!C2949</f>
        <v>AL</v>
      </c>
      <c r="D2949" s="63" t="str">
        <f>'Padrão EPP'!D2949</f>
        <v>INTERIOR II</v>
      </c>
      <c r="E2949" s="63">
        <f>'Padrão EPP'!E2949/2</f>
        <v>0</v>
      </c>
      <c r="F2949" s="67">
        <v>3.0000000000000001E-3</v>
      </c>
      <c r="G2949" s="67">
        <v>2E-3</v>
      </c>
      <c r="H2949" s="63"/>
    </row>
    <row r="2950" spans="1:8" x14ac:dyDescent="0.25">
      <c r="A2950" s="63"/>
      <c r="B2950" s="63">
        <f>'Padrão EPP'!B2950</f>
        <v>22</v>
      </c>
      <c r="C2950" s="63" t="str">
        <f>'Padrão EPP'!C2950</f>
        <v>AL</v>
      </c>
      <c r="D2950" s="63" t="str">
        <f>'Padrão EPP'!D2950</f>
        <v>INTERIOR II</v>
      </c>
      <c r="E2950" s="63">
        <f>'Padrão EPP'!E2950/2</f>
        <v>0</v>
      </c>
      <c r="F2950" s="67">
        <v>3.0000000000000001E-3</v>
      </c>
      <c r="G2950" s="67">
        <v>2E-3</v>
      </c>
      <c r="H2950" s="63"/>
    </row>
    <row r="2951" spans="1:8" x14ac:dyDescent="0.25">
      <c r="A2951" s="63"/>
      <c r="B2951" s="63">
        <f>'Padrão EPP'!B2951</f>
        <v>23</v>
      </c>
      <c r="C2951" s="63" t="str">
        <f>'Padrão EPP'!C2951</f>
        <v>AL</v>
      </c>
      <c r="D2951" s="63" t="str">
        <f>'Padrão EPP'!D2951</f>
        <v>INTERIOR II</v>
      </c>
      <c r="E2951" s="63">
        <f>'Padrão EPP'!E2951/2</f>
        <v>0</v>
      </c>
      <c r="F2951" s="67">
        <v>3.0000000000000001E-3</v>
      </c>
      <c r="G2951" s="67">
        <v>2E-3</v>
      </c>
      <c r="H2951" s="63"/>
    </row>
    <row r="2952" spans="1:8" x14ac:dyDescent="0.25">
      <c r="A2952" s="63"/>
      <c r="B2952" s="63">
        <f>'Padrão EPP'!B2952</f>
        <v>24</v>
      </c>
      <c r="C2952" s="63" t="str">
        <f>'Padrão EPP'!C2952</f>
        <v>AL</v>
      </c>
      <c r="D2952" s="63" t="str">
        <f>'Padrão EPP'!D2952</f>
        <v>INTERIOR II</v>
      </c>
      <c r="E2952" s="63">
        <f>'Padrão EPP'!E2952/2</f>
        <v>0</v>
      </c>
      <c r="F2952" s="67">
        <v>3.0000000000000001E-3</v>
      </c>
      <c r="G2952" s="67">
        <v>2E-3</v>
      </c>
      <c r="H2952" s="63"/>
    </row>
    <row r="2953" spans="1:8" x14ac:dyDescent="0.25">
      <c r="A2953" s="63"/>
      <c r="B2953" s="63">
        <f>'Padrão EPP'!B2953</f>
        <v>25</v>
      </c>
      <c r="C2953" s="63" t="str">
        <f>'Padrão EPP'!C2953</f>
        <v>AL</v>
      </c>
      <c r="D2953" s="63" t="str">
        <f>'Padrão EPP'!D2953</f>
        <v>INTERIOR II</v>
      </c>
      <c r="E2953" s="63">
        <f>'Padrão EPP'!E2953/2</f>
        <v>0</v>
      </c>
      <c r="F2953" s="67">
        <v>3.0000000000000001E-3</v>
      </c>
      <c r="G2953" s="67">
        <v>2E-3</v>
      </c>
      <c r="H2953" s="63"/>
    </row>
    <row r="2954" spans="1:8" x14ac:dyDescent="0.25">
      <c r="A2954" s="63"/>
      <c r="B2954" s="63">
        <f>'Padrão EPP'!B2954</f>
        <v>26</v>
      </c>
      <c r="C2954" s="63" t="str">
        <f>'Padrão EPP'!C2954</f>
        <v>AL</v>
      </c>
      <c r="D2954" s="63" t="str">
        <f>'Padrão EPP'!D2954</f>
        <v>INTERIOR II</v>
      </c>
      <c r="E2954" s="63">
        <f>'Padrão EPP'!E2954/2</f>
        <v>0</v>
      </c>
      <c r="F2954" s="67">
        <v>3.0000000000000001E-3</v>
      </c>
      <c r="G2954" s="67">
        <v>2E-3</v>
      </c>
      <c r="H2954" s="63"/>
    </row>
    <row r="2955" spans="1:8" x14ac:dyDescent="0.25">
      <c r="A2955" s="63"/>
      <c r="B2955" s="63">
        <f>'Padrão EPP'!B2955</f>
        <v>27</v>
      </c>
      <c r="C2955" s="63" t="str">
        <f>'Padrão EPP'!C2955</f>
        <v>AL</v>
      </c>
      <c r="D2955" s="63" t="str">
        <f>'Padrão EPP'!D2955</f>
        <v>INTERIOR II</v>
      </c>
      <c r="E2955" s="63">
        <f>'Padrão EPP'!E2955/2</f>
        <v>0</v>
      </c>
      <c r="F2955" s="67">
        <v>3.0000000000000001E-3</v>
      </c>
      <c r="G2955" s="67">
        <v>2E-3</v>
      </c>
      <c r="H2955" s="63"/>
    </row>
    <row r="2956" spans="1:8" x14ac:dyDescent="0.25">
      <c r="A2956" s="63"/>
      <c r="B2956" s="63">
        <f>'Padrão EPP'!B2956</f>
        <v>28</v>
      </c>
      <c r="C2956" s="63" t="str">
        <f>'Padrão EPP'!C2956</f>
        <v>AL</v>
      </c>
      <c r="D2956" s="63" t="str">
        <f>'Padrão EPP'!D2956</f>
        <v>INTERIOR II</v>
      </c>
      <c r="E2956" s="63">
        <f>'Padrão EPP'!E2956/2</f>
        <v>0</v>
      </c>
      <c r="F2956" s="67">
        <v>3.0000000000000001E-3</v>
      </c>
      <c r="G2956" s="67">
        <v>2E-3</v>
      </c>
      <c r="H2956" s="63"/>
    </row>
    <row r="2957" spans="1:8" x14ac:dyDescent="0.25">
      <c r="A2957" s="63"/>
      <c r="B2957" s="63">
        <f>'Padrão EPP'!B2957</f>
        <v>29</v>
      </c>
      <c r="C2957" s="63" t="str">
        <f>'Padrão EPP'!C2957</f>
        <v>AL</v>
      </c>
      <c r="D2957" s="63" t="str">
        <f>'Padrão EPP'!D2957</f>
        <v>INTERIOR II</v>
      </c>
      <c r="E2957" s="63">
        <f>'Padrão EPP'!E2957/2</f>
        <v>0</v>
      </c>
      <c r="F2957" s="67">
        <v>3.0000000000000001E-3</v>
      </c>
      <c r="G2957" s="67">
        <v>2E-3</v>
      </c>
      <c r="H2957" s="63"/>
    </row>
    <row r="2958" spans="1:8" x14ac:dyDescent="0.25">
      <c r="A2958" s="63"/>
      <c r="B2958" s="63">
        <f>'Padrão EPP'!B2958</f>
        <v>30</v>
      </c>
      <c r="C2958" s="63" t="str">
        <f>'Padrão EPP'!C2958</f>
        <v>AL</v>
      </c>
      <c r="D2958" s="63" t="str">
        <f>'Padrão EPP'!D2958</f>
        <v>INTERIOR II</v>
      </c>
      <c r="E2958" s="63">
        <f>'Padrão EPP'!E2958/2</f>
        <v>0</v>
      </c>
      <c r="F2958" s="67">
        <v>3.0000000000000001E-3</v>
      </c>
      <c r="G2958" s="67">
        <v>2E-3</v>
      </c>
      <c r="H2958" s="63"/>
    </row>
    <row r="2959" spans="1:8" x14ac:dyDescent="0.25">
      <c r="A2959" s="63"/>
      <c r="B2959" s="63">
        <f>'Padrão EPP'!B2959</f>
        <v>0</v>
      </c>
      <c r="C2959" s="63" t="str">
        <f>'Padrão EPP'!C2959</f>
        <v>AL</v>
      </c>
      <c r="D2959" s="63" t="str">
        <f>'Padrão EPP'!D2959</f>
        <v>INTERIOR II</v>
      </c>
      <c r="E2959" s="63">
        <f>'Padrão EPP'!E2959/2</f>
        <v>1.5214394455252955</v>
      </c>
      <c r="F2959" s="67">
        <v>3.0000000000000001E-3</v>
      </c>
      <c r="G2959" s="67">
        <v>2E-3</v>
      </c>
      <c r="H2959" s="63"/>
    </row>
    <row r="2960" spans="1:8" x14ac:dyDescent="0.25">
      <c r="A2960" s="63"/>
      <c r="B2960" s="63">
        <f>'Padrão EPP'!B2960</f>
        <v>0.25</v>
      </c>
      <c r="C2960" s="63" t="str">
        <f>'Padrão EPP'!C2960</f>
        <v>AL</v>
      </c>
      <c r="D2960" s="63" t="str">
        <f>'Padrão EPP'!D2960</f>
        <v>REDESPACHO</v>
      </c>
      <c r="E2960" s="63">
        <f>'Padrão EPP'!E2960/2</f>
        <v>15.779953579558798</v>
      </c>
      <c r="F2960" s="67">
        <v>3.0000000000000001E-3</v>
      </c>
      <c r="G2960" s="67">
        <v>2E-3</v>
      </c>
      <c r="H2960" s="63"/>
    </row>
    <row r="2961" spans="1:8" x14ac:dyDescent="0.25">
      <c r="A2961" s="63"/>
      <c r="B2961" s="63">
        <f>'Padrão EPP'!B2961</f>
        <v>0.5</v>
      </c>
      <c r="C2961" s="63" t="str">
        <f>'Padrão EPP'!C2961</f>
        <v>AL</v>
      </c>
      <c r="D2961" s="63" t="str">
        <f>'Padrão EPP'!D2961</f>
        <v>REDESPACHO</v>
      </c>
      <c r="E2961" s="63">
        <f>'Padrão EPP'!E2961/2</f>
        <v>17.391278122056214</v>
      </c>
      <c r="F2961" s="67">
        <v>3.0000000000000001E-3</v>
      </c>
      <c r="G2961" s="67">
        <v>2E-3</v>
      </c>
      <c r="H2961" s="63"/>
    </row>
    <row r="2962" spans="1:8" x14ac:dyDescent="0.25">
      <c r="A2962" s="63"/>
      <c r="B2962" s="63">
        <f>'Padrão EPP'!B2962</f>
        <v>0.75</v>
      </c>
      <c r="C2962" s="63" t="str">
        <f>'Padrão EPP'!C2962</f>
        <v>AL</v>
      </c>
      <c r="D2962" s="63" t="str">
        <f>'Padrão EPP'!D2962</f>
        <v>REDESPACHO</v>
      </c>
      <c r="E2962" s="63">
        <f>'Padrão EPP'!E2962/2</f>
        <v>19.165789353894166</v>
      </c>
      <c r="F2962" s="67">
        <v>3.0000000000000001E-3</v>
      </c>
      <c r="G2962" s="67">
        <v>2E-3</v>
      </c>
      <c r="H2962" s="63"/>
    </row>
    <row r="2963" spans="1:8" x14ac:dyDescent="0.25">
      <c r="A2963" s="63"/>
      <c r="B2963" s="63">
        <f>'Padrão EPP'!B2963</f>
        <v>1</v>
      </c>
      <c r="C2963" s="63" t="str">
        <f>'Padrão EPP'!C2963</f>
        <v>AL</v>
      </c>
      <c r="D2963" s="63" t="str">
        <f>'Padrão EPP'!D2963</f>
        <v>REDESPACHO</v>
      </c>
      <c r="E2963" s="63">
        <f>'Padrão EPP'!E2963/2</f>
        <v>20.388461866656186</v>
      </c>
      <c r="F2963" s="67">
        <v>3.0000000000000001E-3</v>
      </c>
      <c r="G2963" s="67">
        <v>2E-3</v>
      </c>
      <c r="H2963" s="63"/>
    </row>
    <row r="2964" spans="1:8" x14ac:dyDescent="0.25">
      <c r="A2964" s="63"/>
      <c r="B2964" s="63">
        <f>'Padrão EPP'!B2964</f>
        <v>2</v>
      </c>
      <c r="C2964" s="63" t="str">
        <f>'Padrão EPP'!C2964</f>
        <v>AL</v>
      </c>
      <c r="D2964" s="63" t="str">
        <f>'Padrão EPP'!D2964</f>
        <v>REDESPACHO</v>
      </c>
      <c r="E2964" s="63">
        <f>'Padrão EPP'!E2964/2</f>
        <v>24.560103530606643</v>
      </c>
      <c r="F2964" s="67">
        <v>3.0000000000000001E-3</v>
      </c>
      <c r="G2964" s="67">
        <v>2E-3</v>
      </c>
      <c r="H2964" s="63"/>
    </row>
    <row r="2965" spans="1:8" x14ac:dyDescent="0.25">
      <c r="A2965" s="63"/>
      <c r="B2965" s="63">
        <f>'Padrão EPP'!B2965</f>
        <v>3</v>
      </c>
      <c r="C2965" s="63" t="str">
        <f>'Padrão EPP'!C2965</f>
        <v>AL</v>
      </c>
      <c r="D2965" s="63" t="str">
        <f>'Padrão EPP'!D2965</f>
        <v>REDESPACHO</v>
      </c>
      <c r="E2965" s="63">
        <f>'Padrão EPP'!E2965/2</f>
        <v>31.473983732640981</v>
      </c>
      <c r="F2965" s="67">
        <v>3.0000000000000001E-3</v>
      </c>
      <c r="G2965" s="67">
        <v>2E-3</v>
      </c>
      <c r="H2965" s="63"/>
    </row>
    <row r="2966" spans="1:8" x14ac:dyDescent="0.25">
      <c r="A2966" s="63"/>
      <c r="B2966" s="63">
        <f>'Padrão EPP'!B2966</f>
        <v>4</v>
      </c>
      <c r="C2966" s="63" t="str">
        <f>'Padrão EPP'!C2966</f>
        <v>AL</v>
      </c>
      <c r="D2966" s="63" t="str">
        <f>'Padrão EPP'!D2966</f>
        <v>REDESPACHO</v>
      </c>
      <c r="E2966" s="63">
        <f>'Padrão EPP'!E2966/2</f>
        <v>36.544634736294654</v>
      </c>
      <c r="F2966" s="67">
        <v>3.0000000000000001E-3</v>
      </c>
      <c r="G2966" s="67">
        <v>2E-3</v>
      </c>
      <c r="H2966" s="63"/>
    </row>
    <row r="2967" spans="1:8" x14ac:dyDescent="0.25">
      <c r="A2967" s="63"/>
      <c r="B2967" s="63">
        <f>'Padrão EPP'!B2967</f>
        <v>5</v>
      </c>
      <c r="C2967" s="63" t="str">
        <f>'Padrão EPP'!C2967</f>
        <v>AL</v>
      </c>
      <c r="D2967" s="63" t="str">
        <f>'Padrão EPP'!D2967</f>
        <v>REDESPACHO</v>
      </c>
      <c r="E2967" s="63">
        <f>'Padrão EPP'!E2967/2</f>
        <v>41.726518481216424</v>
      </c>
      <c r="F2967" s="67">
        <v>3.0000000000000001E-3</v>
      </c>
      <c r="G2967" s="67">
        <v>2E-3</v>
      </c>
      <c r="H2967" s="63"/>
    </row>
    <row r="2968" spans="1:8" x14ac:dyDescent="0.25">
      <c r="A2968" s="63"/>
      <c r="B2968" s="63">
        <f>'Padrão EPP'!B2968</f>
        <v>6</v>
      </c>
      <c r="C2968" s="63" t="str">
        <f>'Padrão EPP'!C2968</f>
        <v>AL</v>
      </c>
      <c r="D2968" s="63" t="str">
        <f>'Padrão EPP'!D2968</f>
        <v>REDESPACHO</v>
      </c>
      <c r="E2968" s="63">
        <f>'Padrão EPP'!E2968/2</f>
        <v>47.030758241533057</v>
      </c>
      <c r="F2968" s="67">
        <v>3.0000000000000001E-3</v>
      </c>
      <c r="G2968" s="67">
        <v>2E-3</v>
      </c>
      <c r="H2968" s="63"/>
    </row>
    <row r="2969" spans="1:8" x14ac:dyDescent="0.25">
      <c r="A2969" s="63"/>
      <c r="B2969" s="63">
        <f>'Padrão EPP'!B2969</f>
        <v>7</v>
      </c>
      <c r="C2969" s="63" t="str">
        <f>'Padrão EPP'!C2969</f>
        <v>AL</v>
      </c>
      <c r="D2969" s="63" t="str">
        <f>'Padrão EPP'!D2969</f>
        <v>REDESPACHO</v>
      </c>
      <c r="E2969" s="63">
        <f>'Padrão EPP'!E2969/2</f>
        <v>52.46958961878407</v>
      </c>
      <c r="F2969" s="67">
        <v>3.0000000000000001E-3</v>
      </c>
      <c r="G2969" s="67">
        <v>2E-3</v>
      </c>
      <c r="H2969" s="63"/>
    </row>
    <row r="2970" spans="1:8" x14ac:dyDescent="0.25">
      <c r="A2970" s="63"/>
      <c r="B2970" s="63">
        <f>'Padrão EPP'!B2970</f>
        <v>8</v>
      </c>
      <c r="C2970" s="63" t="str">
        <f>'Padrão EPP'!C2970</f>
        <v>AL</v>
      </c>
      <c r="D2970" s="63" t="str">
        <f>'Padrão EPP'!D2970</f>
        <v>REDESPACHO</v>
      </c>
      <c r="E2970" s="63">
        <f>'Padrão EPP'!E2970/2</f>
        <v>58.056471774662889</v>
      </c>
      <c r="F2970" s="67">
        <v>3.0000000000000001E-3</v>
      </c>
      <c r="G2970" s="67">
        <v>2E-3</v>
      </c>
      <c r="H2970" s="63"/>
    </row>
    <row r="2971" spans="1:8" x14ac:dyDescent="0.25">
      <c r="A2971" s="63"/>
      <c r="B2971" s="63">
        <f>'Padrão EPP'!B2971</f>
        <v>9</v>
      </c>
      <c r="C2971" s="63" t="str">
        <f>'Padrão EPP'!C2971</f>
        <v>AL</v>
      </c>
      <c r="D2971" s="63" t="str">
        <f>'Padrão EPP'!D2971</f>
        <v>REDESPACHO</v>
      </c>
      <c r="E2971" s="63">
        <f>'Padrão EPP'!E2971/2</f>
        <v>63.806209787032316</v>
      </c>
      <c r="F2971" s="67">
        <v>3.0000000000000001E-3</v>
      </c>
      <c r="G2971" s="67">
        <v>2E-3</v>
      </c>
      <c r="H2971" s="63"/>
    </row>
    <row r="2972" spans="1:8" x14ac:dyDescent="0.25">
      <c r="A2972" s="63"/>
      <c r="B2972" s="63">
        <f>'Padrão EPP'!B2972</f>
        <v>10</v>
      </c>
      <c r="C2972" s="63" t="str">
        <f>'Padrão EPP'!C2972</f>
        <v>AL</v>
      </c>
      <c r="D2972" s="63" t="str">
        <f>'Padrão EPP'!D2972</f>
        <v>REDESPACHO</v>
      </c>
      <c r="E2972" s="63">
        <f>'Padrão EPP'!E2972/2</f>
        <v>70.178363067799737</v>
      </c>
      <c r="F2972" s="67">
        <v>3.0000000000000001E-3</v>
      </c>
      <c r="G2972" s="67">
        <v>2E-3</v>
      </c>
      <c r="H2972" s="63"/>
    </row>
    <row r="2973" spans="1:8" x14ac:dyDescent="0.25">
      <c r="A2973" s="63"/>
      <c r="B2973" s="63">
        <f>'Padrão EPP'!B2973</f>
        <v>11</v>
      </c>
      <c r="C2973" s="63" t="str">
        <f>'Padrão EPP'!C2973</f>
        <v>AL</v>
      </c>
      <c r="D2973" s="63" t="str">
        <f>'Padrão EPP'!D2973</f>
        <v>REDESPACHO</v>
      </c>
      <c r="E2973" s="63">
        <f>'Padrão EPP'!E2973/2</f>
        <v>0</v>
      </c>
      <c r="F2973" s="67">
        <v>3.0000000000000001E-3</v>
      </c>
      <c r="G2973" s="67">
        <v>2E-3</v>
      </c>
      <c r="H2973" s="63"/>
    </row>
    <row r="2974" spans="1:8" x14ac:dyDescent="0.25">
      <c r="A2974" s="63"/>
      <c r="B2974" s="63">
        <f>'Padrão EPP'!B2974</f>
        <v>12</v>
      </c>
      <c r="C2974" s="63" t="str">
        <f>'Padrão EPP'!C2974</f>
        <v>AL</v>
      </c>
      <c r="D2974" s="63" t="str">
        <f>'Padrão EPP'!D2974</f>
        <v>REDESPACHO</v>
      </c>
      <c r="E2974" s="63">
        <f>'Padrão EPP'!E2974/2</f>
        <v>0</v>
      </c>
      <c r="F2974" s="67">
        <v>3.0000000000000001E-3</v>
      </c>
      <c r="G2974" s="67">
        <v>2E-3</v>
      </c>
      <c r="H2974" s="63"/>
    </row>
    <row r="2975" spans="1:8" x14ac:dyDescent="0.25">
      <c r="A2975" s="63"/>
      <c r="B2975" s="63">
        <f>'Padrão EPP'!B2975</f>
        <v>13</v>
      </c>
      <c r="C2975" s="63" t="str">
        <f>'Padrão EPP'!C2975</f>
        <v>AL</v>
      </c>
      <c r="D2975" s="63" t="str">
        <f>'Padrão EPP'!D2975</f>
        <v>REDESPACHO</v>
      </c>
      <c r="E2975" s="63">
        <f>'Padrão EPP'!E2975/2</f>
        <v>0</v>
      </c>
      <c r="F2975" s="67">
        <v>3.0000000000000001E-3</v>
      </c>
      <c r="G2975" s="67">
        <v>2E-3</v>
      </c>
      <c r="H2975" s="63"/>
    </row>
    <row r="2976" spans="1:8" x14ac:dyDescent="0.25">
      <c r="A2976" s="63"/>
      <c r="B2976" s="63">
        <f>'Padrão EPP'!B2976</f>
        <v>14</v>
      </c>
      <c r="C2976" s="63" t="str">
        <f>'Padrão EPP'!C2976</f>
        <v>AL</v>
      </c>
      <c r="D2976" s="63" t="str">
        <f>'Padrão EPP'!D2976</f>
        <v>REDESPACHO</v>
      </c>
      <c r="E2976" s="63">
        <f>'Padrão EPP'!E2976/2</f>
        <v>0</v>
      </c>
      <c r="F2976" s="67">
        <v>3.0000000000000001E-3</v>
      </c>
      <c r="G2976" s="67">
        <v>2E-3</v>
      </c>
      <c r="H2976" s="63"/>
    </row>
    <row r="2977" spans="1:8" x14ac:dyDescent="0.25">
      <c r="A2977" s="63"/>
      <c r="B2977" s="63">
        <f>'Padrão EPP'!B2977</f>
        <v>15</v>
      </c>
      <c r="C2977" s="63" t="str">
        <f>'Padrão EPP'!C2977</f>
        <v>AL</v>
      </c>
      <c r="D2977" s="63" t="str">
        <f>'Padrão EPP'!D2977</f>
        <v>REDESPACHO</v>
      </c>
      <c r="E2977" s="63">
        <f>'Padrão EPP'!E2977/2</f>
        <v>0</v>
      </c>
      <c r="F2977" s="67">
        <v>3.0000000000000001E-3</v>
      </c>
      <c r="G2977" s="67">
        <v>2E-3</v>
      </c>
      <c r="H2977" s="63"/>
    </row>
    <row r="2978" spans="1:8" x14ac:dyDescent="0.25">
      <c r="A2978" s="63"/>
      <c r="B2978" s="63">
        <f>'Padrão EPP'!B2978</f>
        <v>16</v>
      </c>
      <c r="C2978" s="63" t="str">
        <f>'Padrão EPP'!C2978</f>
        <v>AL</v>
      </c>
      <c r="D2978" s="63" t="str">
        <f>'Padrão EPP'!D2978</f>
        <v>REDESPACHO</v>
      </c>
      <c r="E2978" s="63">
        <f>'Padrão EPP'!E2978/2</f>
        <v>0</v>
      </c>
      <c r="F2978" s="67">
        <v>3.0000000000000001E-3</v>
      </c>
      <c r="G2978" s="67">
        <v>2E-3</v>
      </c>
      <c r="H2978" s="63"/>
    </row>
    <row r="2979" spans="1:8" x14ac:dyDescent="0.25">
      <c r="A2979" s="63"/>
      <c r="B2979" s="63">
        <f>'Padrão EPP'!B2979</f>
        <v>17</v>
      </c>
      <c r="C2979" s="63" t="str">
        <f>'Padrão EPP'!C2979</f>
        <v>AL</v>
      </c>
      <c r="D2979" s="63" t="str">
        <f>'Padrão EPP'!D2979</f>
        <v>REDESPACHO</v>
      </c>
      <c r="E2979" s="63">
        <f>'Padrão EPP'!E2979/2</f>
        <v>0</v>
      </c>
      <c r="F2979" s="67">
        <v>3.0000000000000001E-3</v>
      </c>
      <c r="G2979" s="67">
        <v>2E-3</v>
      </c>
      <c r="H2979" s="63"/>
    </row>
    <row r="2980" spans="1:8" x14ac:dyDescent="0.25">
      <c r="A2980" s="63"/>
      <c r="B2980" s="63">
        <f>'Padrão EPP'!B2980</f>
        <v>18</v>
      </c>
      <c r="C2980" s="63" t="str">
        <f>'Padrão EPP'!C2980</f>
        <v>AL</v>
      </c>
      <c r="D2980" s="63" t="str">
        <f>'Padrão EPP'!D2980</f>
        <v>REDESPACHO</v>
      </c>
      <c r="E2980" s="63">
        <f>'Padrão EPP'!E2980/2</f>
        <v>0</v>
      </c>
      <c r="F2980" s="67">
        <v>3.0000000000000001E-3</v>
      </c>
      <c r="G2980" s="67">
        <v>2E-3</v>
      </c>
      <c r="H2980" s="63"/>
    </row>
    <row r="2981" spans="1:8" x14ac:dyDescent="0.25">
      <c r="A2981" s="63"/>
      <c r="B2981" s="63">
        <f>'Padrão EPP'!B2981</f>
        <v>19</v>
      </c>
      <c r="C2981" s="63" t="str">
        <f>'Padrão EPP'!C2981</f>
        <v>AL</v>
      </c>
      <c r="D2981" s="63" t="str">
        <f>'Padrão EPP'!D2981</f>
        <v>REDESPACHO</v>
      </c>
      <c r="E2981" s="63">
        <f>'Padrão EPP'!E2981/2</f>
        <v>0</v>
      </c>
      <c r="F2981" s="67">
        <v>3.0000000000000001E-3</v>
      </c>
      <c r="G2981" s="67">
        <v>2E-3</v>
      </c>
      <c r="H2981" s="63"/>
    </row>
    <row r="2982" spans="1:8" x14ac:dyDescent="0.25">
      <c r="A2982" s="63"/>
      <c r="B2982" s="63">
        <f>'Padrão EPP'!B2982</f>
        <v>20</v>
      </c>
      <c r="C2982" s="63" t="str">
        <f>'Padrão EPP'!C2982</f>
        <v>AL</v>
      </c>
      <c r="D2982" s="63" t="str">
        <f>'Padrão EPP'!D2982</f>
        <v>REDESPACHO</v>
      </c>
      <c r="E2982" s="63">
        <f>'Padrão EPP'!E2982/2</f>
        <v>0</v>
      </c>
      <c r="F2982" s="67">
        <v>3.0000000000000001E-3</v>
      </c>
      <c r="G2982" s="67">
        <v>2E-3</v>
      </c>
      <c r="H2982" s="63"/>
    </row>
    <row r="2983" spans="1:8" x14ac:dyDescent="0.25">
      <c r="A2983" s="63"/>
      <c r="B2983" s="63">
        <f>'Padrão EPP'!B2983</f>
        <v>21</v>
      </c>
      <c r="C2983" s="63" t="str">
        <f>'Padrão EPP'!C2983</f>
        <v>AL</v>
      </c>
      <c r="D2983" s="63" t="str">
        <f>'Padrão EPP'!D2983</f>
        <v>REDESPACHO</v>
      </c>
      <c r="E2983" s="63">
        <f>'Padrão EPP'!E2983/2</f>
        <v>0</v>
      </c>
      <c r="F2983" s="67">
        <v>3.0000000000000001E-3</v>
      </c>
      <c r="G2983" s="67">
        <v>2E-3</v>
      </c>
      <c r="H2983" s="63"/>
    </row>
    <row r="2984" spans="1:8" x14ac:dyDescent="0.25">
      <c r="A2984" s="63"/>
      <c r="B2984" s="63">
        <f>'Padrão EPP'!B2984</f>
        <v>22</v>
      </c>
      <c r="C2984" s="63" t="str">
        <f>'Padrão EPP'!C2984</f>
        <v>AL</v>
      </c>
      <c r="D2984" s="63" t="str">
        <f>'Padrão EPP'!D2984</f>
        <v>REDESPACHO</v>
      </c>
      <c r="E2984" s="63">
        <f>'Padrão EPP'!E2984/2</f>
        <v>0</v>
      </c>
      <c r="F2984" s="67">
        <v>3.0000000000000001E-3</v>
      </c>
      <c r="G2984" s="67">
        <v>2E-3</v>
      </c>
      <c r="H2984" s="63"/>
    </row>
    <row r="2985" spans="1:8" x14ac:dyDescent="0.25">
      <c r="A2985" s="63"/>
      <c r="B2985" s="63">
        <f>'Padrão EPP'!B2985</f>
        <v>23</v>
      </c>
      <c r="C2985" s="63" t="str">
        <f>'Padrão EPP'!C2985</f>
        <v>AL</v>
      </c>
      <c r="D2985" s="63" t="str">
        <f>'Padrão EPP'!D2985</f>
        <v>REDESPACHO</v>
      </c>
      <c r="E2985" s="63">
        <f>'Padrão EPP'!E2985/2</f>
        <v>0</v>
      </c>
      <c r="F2985" s="67">
        <v>3.0000000000000001E-3</v>
      </c>
      <c r="G2985" s="67">
        <v>2E-3</v>
      </c>
      <c r="H2985" s="63"/>
    </row>
    <row r="2986" spans="1:8" x14ac:dyDescent="0.25">
      <c r="A2986" s="63"/>
      <c r="B2986" s="63">
        <f>'Padrão EPP'!B2986</f>
        <v>24</v>
      </c>
      <c r="C2986" s="63" t="str">
        <f>'Padrão EPP'!C2986</f>
        <v>AL</v>
      </c>
      <c r="D2986" s="63" t="str">
        <f>'Padrão EPP'!D2986</f>
        <v>REDESPACHO</v>
      </c>
      <c r="E2986" s="63">
        <f>'Padrão EPP'!E2986/2</f>
        <v>0</v>
      </c>
      <c r="F2986" s="67">
        <v>3.0000000000000001E-3</v>
      </c>
      <c r="G2986" s="67">
        <v>2E-3</v>
      </c>
      <c r="H2986" s="63"/>
    </row>
    <row r="2987" spans="1:8" x14ac:dyDescent="0.25">
      <c r="A2987" s="63"/>
      <c r="B2987" s="63">
        <f>'Padrão EPP'!B2987</f>
        <v>25</v>
      </c>
      <c r="C2987" s="63" t="str">
        <f>'Padrão EPP'!C2987</f>
        <v>AL</v>
      </c>
      <c r="D2987" s="63" t="str">
        <f>'Padrão EPP'!D2987</f>
        <v>REDESPACHO</v>
      </c>
      <c r="E2987" s="63">
        <f>'Padrão EPP'!E2987/2</f>
        <v>0</v>
      </c>
      <c r="F2987" s="67">
        <v>3.0000000000000001E-3</v>
      </c>
      <c r="G2987" s="67">
        <v>2E-3</v>
      </c>
      <c r="H2987" s="63"/>
    </row>
    <row r="2988" spans="1:8" x14ac:dyDescent="0.25">
      <c r="A2988" s="63"/>
      <c r="B2988" s="63">
        <f>'Padrão EPP'!B2988</f>
        <v>26</v>
      </c>
      <c r="C2988" s="63" t="str">
        <f>'Padrão EPP'!C2988</f>
        <v>AL</v>
      </c>
      <c r="D2988" s="63" t="str">
        <f>'Padrão EPP'!D2988</f>
        <v>REDESPACHO</v>
      </c>
      <c r="E2988" s="63">
        <f>'Padrão EPP'!E2988/2</f>
        <v>0</v>
      </c>
      <c r="F2988" s="67">
        <v>3.0000000000000001E-3</v>
      </c>
      <c r="G2988" s="67">
        <v>2E-3</v>
      </c>
      <c r="H2988" s="63"/>
    </row>
    <row r="2989" spans="1:8" x14ac:dyDescent="0.25">
      <c r="A2989" s="63"/>
      <c r="B2989" s="63">
        <f>'Padrão EPP'!B2989</f>
        <v>27</v>
      </c>
      <c r="C2989" s="63" t="str">
        <f>'Padrão EPP'!C2989</f>
        <v>AL</v>
      </c>
      <c r="D2989" s="63" t="str">
        <f>'Padrão EPP'!D2989</f>
        <v>REDESPACHO</v>
      </c>
      <c r="E2989" s="63">
        <f>'Padrão EPP'!E2989/2</f>
        <v>0</v>
      </c>
      <c r="F2989" s="67">
        <v>3.0000000000000001E-3</v>
      </c>
      <c r="G2989" s="67">
        <v>2E-3</v>
      </c>
      <c r="H2989" s="63"/>
    </row>
    <row r="2990" spans="1:8" x14ac:dyDescent="0.25">
      <c r="A2990" s="63"/>
      <c r="B2990" s="63">
        <f>'Padrão EPP'!B2990</f>
        <v>28</v>
      </c>
      <c r="C2990" s="63" t="str">
        <f>'Padrão EPP'!C2990</f>
        <v>AL</v>
      </c>
      <c r="D2990" s="63" t="str">
        <f>'Padrão EPP'!D2990</f>
        <v>REDESPACHO</v>
      </c>
      <c r="E2990" s="63">
        <f>'Padrão EPP'!E2990/2</f>
        <v>0</v>
      </c>
      <c r="F2990" s="67">
        <v>3.0000000000000001E-3</v>
      </c>
      <c r="G2990" s="67">
        <v>2E-3</v>
      </c>
      <c r="H2990" s="63"/>
    </row>
    <row r="2991" spans="1:8" x14ac:dyDescent="0.25">
      <c r="A2991" s="63"/>
      <c r="B2991" s="63">
        <f>'Padrão EPP'!B2991</f>
        <v>29</v>
      </c>
      <c r="C2991" s="63" t="str">
        <f>'Padrão EPP'!C2991</f>
        <v>AL</v>
      </c>
      <c r="D2991" s="63" t="str">
        <f>'Padrão EPP'!D2991</f>
        <v>REDESPACHO</v>
      </c>
      <c r="E2991" s="63">
        <f>'Padrão EPP'!E2991/2</f>
        <v>0</v>
      </c>
      <c r="F2991" s="67">
        <v>3.0000000000000001E-3</v>
      </c>
      <c r="G2991" s="67">
        <v>2E-3</v>
      </c>
      <c r="H2991" s="63"/>
    </row>
    <row r="2992" spans="1:8" x14ac:dyDescent="0.25">
      <c r="A2992" s="63"/>
      <c r="B2992" s="63">
        <f>'Padrão EPP'!B2992</f>
        <v>30</v>
      </c>
      <c r="C2992" s="63" t="str">
        <f>'Padrão EPP'!C2992</f>
        <v>AL</v>
      </c>
      <c r="D2992" s="63" t="str">
        <f>'Padrão EPP'!D2992</f>
        <v>REDESPACHO</v>
      </c>
      <c r="E2992" s="63">
        <f>'Padrão EPP'!E2992/2</f>
        <v>0</v>
      </c>
      <c r="F2992" s="67">
        <v>3.0000000000000001E-3</v>
      </c>
      <c r="G2992" s="67">
        <v>2E-3</v>
      </c>
      <c r="H2992" s="63"/>
    </row>
    <row r="2993" spans="1:8" x14ac:dyDescent="0.25">
      <c r="A2993" s="63"/>
      <c r="B2993" s="63">
        <f>'Padrão EPP'!B2993</f>
        <v>0</v>
      </c>
      <c r="C2993" s="63" t="str">
        <f>'Padrão EPP'!C2993</f>
        <v>AL</v>
      </c>
      <c r="D2993" s="63" t="str">
        <f>'Padrão EPP'!D2993</f>
        <v>REDESPACHO</v>
      </c>
      <c r="E2993" s="63">
        <f>'Padrão EPP'!E2993/2</f>
        <v>1.5214394455252955</v>
      </c>
      <c r="F2993" s="67">
        <v>3.0000000000000001E-3</v>
      </c>
      <c r="G2993" s="67">
        <v>2E-3</v>
      </c>
      <c r="H2993" s="63"/>
    </row>
    <row r="2994" spans="1:8" x14ac:dyDescent="0.25">
      <c r="A2994" s="63"/>
      <c r="B2994" s="63">
        <f>'Padrão EPP'!B2994</f>
        <v>0.25</v>
      </c>
      <c r="C2994" s="63" t="str">
        <f>'Padrão EPP'!C2994</f>
        <v>PB</v>
      </c>
      <c r="D2994" s="63" t="str">
        <f>'Padrão EPP'!D2994</f>
        <v>CAPITAL</v>
      </c>
      <c r="E2994" s="63">
        <f>'Padrão EPP'!E2994/2</f>
        <v>7.6378299634765057</v>
      </c>
      <c r="F2994" s="67">
        <v>3.0000000000000001E-3</v>
      </c>
      <c r="G2994" s="67">
        <v>2E-3</v>
      </c>
      <c r="H2994" s="63"/>
    </row>
    <row r="2995" spans="1:8" x14ac:dyDescent="0.25">
      <c r="A2995" s="63"/>
      <c r="B2995" s="63">
        <f>'Padrão EPP'!B2995</f>
        <v>0.5</v>
      </c>
      <c r="C2995" s="63" t="str">
        <f>'Padrão EPP'!C2995</f>
        <v>PB</v>
      </c>
      <c r="D2995" s="63" t="str">
        <f>'Padrão EPP'!D2995</f>
        <v>CAPITAL</v>
      </c>
      <c r="E2995" s="63">
        <f>'Padrão EPP'!E2995/2</f>
        <v>8.2487602673108693</v>
      </c>
      <c r="F2995" s="67">
        <v>3.0000000000000001E-3</v>
      </c>
      <c r="G2995" s="67">
        <v>2E-3</v>
      </c>
      <c r="H2995" s="63"/>
    </row>
    <row r="2996" spans="1:8" x14ac:dyDescent="0.25">
      <c r="A2996" s="63"/>
      <c r="B2996" s="63">
        <f>'Padrão EPP'!B2996</f>
        <v>0.75</v>
      </c>
      <c r="C2996" s="63" t="str">
        <f>'Padrão EPP'!C2996</f>
        <v>PB</v>
      </c>
      <c r="D2996" s="63" t="str">
        <f>'Padrão EPP'!D2996</f>
        <v>CAPITAL</v>
      </c>
      <c r="E2996" s="63">
        <f>'Padrão EPP'!E2996/2</f>
        <v>8.8219748810939631</v>
      </c>
      <c r="F2996" s="67">
        <v>3.0000000000000001E-3</v>
      </c>
      <c r="G2996" s="67">
        <v>2E-3</v>
      </c>
      <c r="H2996" s="63"/>
    </row>
    <row r="2997" spans="1:8" x14ac:dyDescent="0.25">
      <c r="A2997" s="63"/>
      <c r="B2997" s="63">
        <f>'Padrão EPP'!B2997</f>
        <v>1</v>
      </c>
      <c r="C2997" s="63" t="str">
        <f>'Padrão EPP'!C2997</f>
        <v>PB</v>
      </c>
      <c r="D2997" s="63" t="str">
        <f>'Padrão EPP'!D2997</f>
        <v>CAPITAL</v>
      </c>
      <c r="E2997" s="63">
        <f>'Padrão EPP'!E2997/2</f>
        <v>9.5404252609690374</v>
      </c>
      <c r="F2997" s="67">
        <v>3.0000000000000001E-3</v>
      </c>
      <c r="G2997" s="67">
        <v>2E-3</v>
      </c>
      <c r="H2997" s="63"/>
    </row>
    <row r="2998" spans="1:8" x14ac:dyDescent="0.25">
      <c r="A2998" s="63"/>
      <c r="B2998" s="63">
        <f>'Padrão EPP'!B2998</f>
        <v>2</v>
      </c>
      <c r="C2998" s="63" t="str">
        <f>'Padrão EPP'!C2998</f>
        <v>PB</v>
      </c>
      <c r="D2998" s="63" t="str">
        <f>'Padrão EPP'!D2998</f>
        <v>CAPITAL</v>
      </c>
      <c r="E2998" s="63">
        <f>'Padrão EPP'!E2998/2</f>
        <v>11.397557187469102</v>
      </c>
      <c r="F2998" s="67">
        <v>3.0000000000000001E-3</v>
      </c>
      <c r="G2998" s="67">
        <v>2E-3</v>
      </c>
      <c r="H2998" s="63"/>
    </row>
    <row r="2999" spans="1:8" x14ac:dyDescent="0.25">
      <c r="A2999" s="63"/>
      <c r="B2999" s="63">
        <f>'Padrão EPP'!B2999</f>
        <v>3</v>
      </c>
      <c r="C2999" s="63" t="str">
        <f>'Padrão EPP'!C2999</f>
        <v>PB</v>
      </c>
      <c r="D2999" s="63" t="str">
        <f>'Padrão EPP'!D2999</f>
        <v>CAPITAL</v>
      </c>
      <c r="E2999" s="63">
        <f>'Padrão EPP'!E2999/2</f>
        <v>14.547649511393704</v>
      </c>
      <c r="F2999" s="67">
        <v>3.0000000000000001E-3</v>
      </c>
      <c r="G2999" s="67">
        <v>2E-3</v>
      </c>
      <c r="H2999" s="63"/>
    </row>
    <row r="3000" spans="1:8" x14ac:dyDescent="0.25">
      <c r="A3000" s="63"/>
      <c r="B3000" s="63">
        <f>'Padrão EPP'!B3000</f>
        <v>4</v>
      </c>
      <c r="C3000" s="63" t="str">
        <f>'Padrão EPP'!C3000</f>
        <v>PB</v>
      </c>
      <c r="D3000" s="63" t="str">
        <f>'Padrão EPP'!D3000</f>
        <v>CAPITAL</v>
      </c>
      <c r="E3000" s="63">
        <f>'Padrão EPP'!E3000/2</f>
        <v>17.792693156149593</v>
      </c>
      <c r="F3000" s="67">
        <v>3.0000000000000001E-3</v>
      </c>
      <c r="G3000" s="67">
        <v>2E-3</v>
      </c>
      <c r="H3000" s="63"/>
    </row>
    <row r="3001" spans="1:8" x14ac:dyDescent="0.25">
      <c r="A3001" s="63"/>
      <c r="B3001" s="63">
        <f>'Padrão EPP'!B3001</f>
        <v>5</v>
      </c>
      <c r="C3001" s="63" t="str">
        <f>'Padrão EPP'!C3001</f>
        <v>PB</v>
      </c>
      <c r="D3001" s="63" t="str">
        <f>'Padrão EPP'!D3001</f>
        <v>CAPITAL</v>
      </c>
      <c r="E3001" s="63">
        <f>'Padrão EPP'!E3001/2</f>
        <v>21.545787805577223</v>
      </c>
      <c r="F3001" s="67">
        <v>3.0000000000000001E-3</v>
      </c>
      <c r="G3001" s="67">
        <v>2E-3</v>
      </c>
      <c r="H3001" s="63"/>
    </row>
    <row r="3002" spans="1:8" x14ac:dyDescent="0.25">
      <c r="A3002" s="63"/>
      <c r="B3002" s="63">
        <f>'Padrão EPP'!B3002</f>
        <v>6</v>
      </c>
      <c r="C3002" s="63" t="str">
        <f>'Padrão EPP'!C3002</f>
        <v>PB</v>
      </c>
      <c r="D3002" s="63" t="str">
        <f>'Padrão EPP'!D3002</f>
        <v>CAPITAL</v>
      </c>
      <c r="E3002" s="63">
        <f>'Padrão EPP'!E3002/2</f>
        <v>26.926622831007393</v>
      </c>
      <c r="F3002" s="67">
        <v>3.0000000000000001E-3</v>
      </c>
      <c r="G3002" s="67">
        <v>2E-3</v>
      </c>
      <c r="H3002" s="63"/>
    </row>
    <row r="3003" spans="1:8" x14ac:dyDescent="0.25">
      <c r="A3003" s="63"/>
      <c r="B3003" s="63">
        <f>'Padrão EPP'!B3003</f>
        <v>7</v>
      </c>
      <c r="C3003" s="63" t="str">
        <f>'Padrão EPP'!C3003</f>
        <v>PB</v>
      </c>
      <c r="D3003" s="63" t="str">
        <f>'Padrão EPP'!D3003</f>
        <v>CAPITAL</v>
      </c>
      <c r="E3003" s="63">
        <f>'Padrão EPP'!E3003/2</f>
        <v>30.320777636121434</v>
      </c>
      <c r="F3003" s="67">
        <v>3.0000000000000001E-3</v>
      </c>
      <c r="G3003" s="67">
        <v>2E-3</v>
      </c>
      <c r="H3003" s="63"/>
    </row>
    <row r="3004" spans="1:8" x14ac:dyDescent="0.25">
      <c r="A3004" s="63"/>
      <c r="B3004" s="63">
        <f>'Padrão EPP'!B3004</f>
        <v>8</v>
      </c>
      <c r="C3004" s="63" t="str">
        <f>'Padrão EPP'!C3004</f>
        <v>PB</v>
      </c>
      <c r="D3004" s="63" t="str">
        <f>'Padrão EPP'!D3004</f>
        <v>CAPITAL</v>
      </c>
      <c r="E3004" s="63">
        <f>'Padrão EPP'!E3004/2</f>
        <v>33.769220193099493</v>
      </c>
      <c r="F3004" s="67">
        <v>3.0000000000000001E-3</v>
      </c>
      <c r="G3004" s="67">
        <v>2E-3</v>
      </c>
      <c r="H3004" s="63"/>
    </row>
    <row r="3005" spans="1:8" x14ac:dyDescent="0.25">
      <c r="A3005" s="63"/>
      <c r="B3005" s="63">
        <f>'Padrão EPP'!B3005</f>
        <v>9</v>
      </c>
      <c r="C3005" s="63" t="str">
        <f>'Padrão EPP'!C3005</f>
        <v>PB</v>
      </c>
      <c r="D3005" s="63" t="str">
        <f>'Padrão EPP'!D3005</f>
        <v>CAPITAL</v>
      </c>
      <c r="E3005" s="63">
        <f>'Padrão EPP'!E3005/2</f>
        <v>37.277379277127956</v>
      </c>
      <c r="F3005" s="67">
        <v>3.0000000000000001E-3</v>
      </c>
      <c r="G3005" s="67">
        <v>2E-3</v>
      </c>
      <c r="H3005" s="63"/>
    </row>
    <row r="3006" spans="1:8" x14ac:dyDescent="0.25">
      <c r="A3006" s="63"/>
      <c r="B3006" s="63">
        <f>'Padrão EPP'!B3006</f>
        <v>10</v>
      </c>
      <c r="C3006" s="63" t="str">
        <f>'Padrão EPP'!C3006</f>
        <v>PB</v>
      </c>
      <c r="D3006" s="63" t="str">
        <f>'Padrão EPP'!D3006</f>
        <v>CAPITAL</v>
      </c>
      <c r="E3006" s="63">
        <f>'Padrão EPP'!E3006/2</f>
        <v>40.510586408751443</v>
      </c>
      <c r="F3006" s="67">
        <v>3.0000000000000001E-3</v>
      </c>
      <c r="G3006" s="67">
        <v>2E-3</v>
      </c>
      <c r="H3006" s="63"/>
    </row>
    <row r="3007" spans="1:8" x14ac:dyDescent="0.25">
      <c r="A3007" s="63"/>
      <c r="B3007" s="63">
        <f>'Padrão EPP'!B3007</f>
        <v>11</v>
      </c>
      <c r="C3007" s="63" t="str">
        <f>'Padrão EPP'!C3007</f>
        <v>PB</v>
      </c>
      <c r="D3007" s="63" t="str">
        <f>'Padrão EPP'!D3007</f>
        <v>CAPITAL</v>
      </c>
      <c r="E3007" s="63">
        <f>'Padrão EPP'!E3007/2</f>
        <v>0</v>
      </c>
      <c r="F3007" s="67">
        <v>3.0000000000000001E-3</v>
      </c>
      <c r="G3007" s="67">
        <v>2E-3</v>
      </c>
      <c r="H3007" s="63"/>
    </row>
    <row r="3008" spans="1:8" x14ac:dyDescent="0.25">
      <c r="A3008" s="63"/>
      <c r="B3008" s="63">
        <f>'Padrão EPP'!B3008</f>
        <v>12</v>
      </c>
      <c r="C3008" s="63" t="str">
        <f>'Padrão EPP'!C3008</f>
        <v>PB</v>
      </c>
      <c r="D3008" s="63" t="str">
        <f>'Padrão EPP'!D3008</f>
        <v>CAPITAL</v>
      </c>
      <c r="E3008" s="63">
        <f>'Padrão EPP'!E3008/2</f>
        <v>0</v>
      </c>
      <c r="F3008" s="67">
        <v>3.0000000000000001E-3</v>
      </c>
      <c r="G3008" s="67">
        <v>2E-3</v>
      </c>
      <c r="H3008" s="63"/>
    </row>
    <row r="3009" spans="1:8" x14ac:dyDescent="0.25">
      <c r="A3009" s="63"/>
      <c r="B3009" s="63">
        <f>'Padrão EPP'!B3009</f>
        <v>13</v>
      </c>
      <c r="C3009" s="63" t="str">
        <f>'Padrão EPP'!C3009</f>
        <v>PB</v>
      </c>
      <c r="D3009" s="63" t="str">
        <f>'Padrão EPP'!D3009</f>
        <v>CAPITAL</v>
      </c>
      <c r="E3009" s="63">
        <f>'Padrão EPP'!E3009/2</f>
        <v>0</v>
      </c>
      <c r="F3009" s="67">
        <v>3.0000000000000001E-3</v>
      </c>
      <c r="G3009" s="67">
        <v>2E-3</v>
      </c>
      <c r="H3009" s="63"/>
    </row>
    <row r="3010" spans="1:8" x14ac:dyDescent="0.25">
      <c r="A3010" s="63"/>
      <c r="B3010" s="63">
        <f>'Padrão EPP'!B3010</f>
        <v>14</v>
      </c>
      <c r="C3010" s="63" t="str">
        <f>'Padrão EPP'!C3010</f>
        <v>PB</v>
      </c>
      <c r="D3010" s="63" t="str">
        <f>'Padrão EPP'!D3010</f>
        <v>CAPITAL</v>
      </c>
      <c r="E3010" s="63">
        <f>'Padrão EPP'!E3010/2</f>
        <v>0</v>
      </c>
      <c r="F3010" s="67">
        <v>3.0000000000000001E-3</v>
      </c>
      <c r="G3010" s="67">
        <v>2E-3</v>
      </c>
      <c r="H3010" s="63"/>
    </row>
    <row r="3011" spans="1:8" x14ac:dyDescent="0.25">
      <c r="A3011" s="63"/>
      <c r="B3011" s="63">
        <f>'Padrão EPP'!B3011</f>
        <v>15</v>
      </c>
      <c r="C3011" s="63" t="str">
        <f>'Padrão EPP'!C3011</f>
        <v>PB</v>
      </c>
      <c r="D3011" s="63" t="str">
        <f>'Padrão EPP'!D3011</f>
        <v>CAPITAL</v>
      </c>
      <c r="E3011" s="63">
        <f>'Padrão EPP'!E3011/2</f>
        <v>0</v>
      </c>
      <c r="F3011" s="67">
        <v>3.0000000000000001E-3</v>
      </c>
      <c r="G3011" s="67">
        <v>2E-3</v>
      </c>
      <c r="H3011" s="63"/>
    </row>
    <row r="3012" spans="1:8" x14ac:dyDescent="0.25">
      <c r="A3012" s="63"/>
      <c r="B3012" s="63">
        <f>'Padrão EPP'!B3012</f>
        <v>16</v>
      </c>
      <c r="C3012" s="63" t="str">
        <f>'Padrão EPP'!C3012</f>
        <v>PB</v>
      </c>
      <c r="D3012" s="63" t="str">
        <f>'Padrão EPP'!D3012</f>
        <v>CAPITAL</v>
      </c>
      <c r="E3012" s="63">
        <f>'Padrão EPP'!E3012/2</f>
        <v>0</v>
      </c>
      <c r="F3012" s="67">
        <v>3.0000000000000001E-3</v>
      </c>
      <c r="G3012" s="67">
        <v>2E-3</v>
      </c>
      <c r="H3012" s="63"/>
    </row>
    <row r="3013" spans="1:8" x14ac:dyDescent="0.25">
      <c r="A3013" s="63"/>
      <c r="B3013" s="63">
        <f>'Padrão EPP'!B3013</f>
        <v>17</v>
      </c>
      <c r="C3013" s="63" t="str">
        <f>'Padrão EPP'!C3013</f>
        <v>PB</v>
      </c>
      <c r="D3013" s="63" t="str">
        <f>'Padrão EPP'!D3013</f>
        <v>CAPITAL</v>
      </c>
      <c r="E3013" s="63">
        <f>'Padrão EPP'!E3013/2</f>
        <v>0</v>
      </c>
      <c r="F3013" s="67">
        <v>3.0000000000000001E-3</v>
      </c>
      <c r="G3013" s="67">
        <v>2E-3</v>
      </c>
      <c r="H3013" s="63"/>
    </row>
    <row r="3014" spans="1:8" x14ac:dyDescent="0.25">
      <c r="A3014" s="63"/>
      <c r="B3014" s="63">
        <f>'Padrão EPP'!B3014</f>
        <v>18</v>
      </c>
      <c r="C3014" s="63" t="str">
        <f>'Padrão EPP'!C3014</f>
        <v>PB</v>
      </c>
      <c r="D3014" s="63" t="str">
        <f>'Padrão EPP'!D3014</f>
        <v>CAPITAL</v>
      </c>
      <c r="E3014" s="63">
        <f>'Padrão EPP'!E3014/2</f>
        <v>0</v>
      </c>
      <c r="F3014" s="67">
        <v>3.0000000000000001E-3</v>
      </c>
      <c r="G3014" s="67">
        <v>2E-3</v>
      </c>
      <c r="H3014" s="63"/>
    </row>
    <row r="3015" spans="1:8" x14ac:dyDescent="0.25">
      <c r="A3015" s="63"/>
      <c r="B3015" s="63">
        <f>'Padrão EPP'!B3015</f>
        <v>19</v>
      </c>
      <c r="C3015" s="63" t="str">
        <f>'Padrão EPP'!C3015</f>
        <v>PB</v>
      </c>
      <c r="D3015" s="63" t="str">
        <f>'Padrão EPP'!D3015</f>
        <v>CAPITAL</v>
      </c>
      <c r="E3015" s="63">
        <f>'Padrão EPP'!E3015/2</f>
        <v>0</v>
      </c>
      <c r="F3015" s="67">
        <v>3.0000000000000001E-3</v>
      </c>
      <c r="G3015" s="67">
        <v>2E-3</v>
      </c>
      <c r="H3015" s="63"/>
    </row>
    <row r="3016" spans="1:8" x14ac:dyDescent="0.25">
      <c r="A3016" s="63"/>
      <c r="B3016" s="63">
        <f>'Padrão EPP'!B3016</f>
        <v>20</v>
      </c>
      <c r="C3016" s="63" t="str">
        <f>'Padrão EPP'!C3016</f>
        <v>PB</v>
      </c>
      <c r="D3016" s="63" t="str">
        <f>'Padrão EPP'!D3016</f>
        <v>CAPITAL</v>
      </c>
      <c r="E3016" s="63">
        <f>'Padrão EPP'!E3016/2</f>
        <v>0</v>
      </c>
      <c r="F3016" s="67">
        <v>3.0000000000000001E-3</v>
      </c>
      <c r="G3016" s="67">
        <v>2E-3</v>
      </c>
      <c r="H3016" s="63"/>
    </row>
    <row r="3017" spans="1:8" x14ac:dyDescent="0.25">
      <c r="A3017" s="63"/>
      <c r="B3017" s="63">
        <f>'Padrão EPP'!B3017</f>
        <v>21</v>
      </c>
      <c r="C3017" s="63" t="str">
        <f>'Padrão EPP'!C3017</f>
        <v>PB</v>
      </c>
      <c r="D3017" s="63" t="str">
        <f>'Padrão EPP'!D3017</f>
        <v>CAPITAL</v>
      </c>
      <c r="E3017" s="63">
        <f>'Padrão EPP'!E3017/2</f>
        <v>0</v>
      </c>
      <c r="F3017" s="67">
        <v>3.0000000000000001E-3</v>
      </c>
      <c r="G3017" s="67">
        <v>2E-3</v>
      </c>
      <c r="H3017" s="63"/>
    </row>
    <row r="3018" spans="1:8" x14ac:dyDescent="0.25">
      <c r="A3018" s="63"/>
      <c r="B3018" s="63">
        <f>'Padrão EPP'!B3018</f>
        <v>22</v>
      </c>
      <c r="C3018" s="63" t="str">
        <f>'Padrão EPP'!C3018</f>
        <v>PB</v>
      </c>
      <c r="D3018" s="63" t="str">
        <f>'Padrão EPP'!D3018</f>
        <v>CAPITAL</v>
      </c>
      <c r="E3018" s="63">
        <f>'Padrão EPP'!E3018/2</f>
        <v>0</v>
      </c>
      <c r="F3018" s="67">
        <v>3.0000000000000001E-3</v>
      </c>
      <c r="G3018" s="67">
        <v>2E-3</v>
      </c>
      <c r="H3018" s="63"/>
    </row>
    <row r="3019" spans="1:8" x14ac:dyDescent="0.25">
      <c r="A3019" s="63"/>
      <c r="B3019" s="63">
        <f>'Padrão EPP'!B3019</f>
        <v>23</v>
      </c>
      <c r="C3019" s="63" t="str">
        <f>'Padrão EPP'!C3019</f>
        <v>PB</v>
      </c>
      <c r="D3019" s="63" t="str">
        <f>'Padrão EPP'!D3019</f>
        <v>CAPITAL</v>
      </c>
      <c r="E3019" s="63">
        <f>'Padrão EPP'!E3019/2</f>
        <v>0</v>
      </c>
      <c r="F3019" s="67">
        <v>3.0000000000000001E-3</v>
      </c>
      <c r="G3019" s="67">
        <v>2E-3</v>
      </c>
      <c r="H3019" s="63"/>
    </row>
    <row r="3020" spans="1:8" x14ac:dyDescent="0.25">
      <c r="A3020" s="63"/>
      <c r="B3020" s="63">
        <f>'Padrão EPP'!B3020</f>
        <v>24</v>
      </c>
      <c r="C3020" s="63" t="str">
        <f>'Padrão EPP'!C3020</f>
        <v>PB</v>
      </c>
      <c r="D3020" s="63" t="str">
        <f>'Padrão EPP'!D3020</f>
        <v>CAPITAL</v>
      </c>
      <c r="E3020" s="63">
        <f>'Padrão EPP'!E3020/2</f>
        <v>0</v>
      </c>
      <c r="F3020" s="67">
        <v>3.0000000000000001E-3</v>
      </c>
      <c r="G3020" s="67">
        <v>2E-3</v>
      </c>
      <c r="H3020" s="63"/>
    </row>
    <row r="3021" spans="1:8" x14ac:dyDescent="0.25">
      <c r="A3021" s="63"/>
      <c r="B3021" s="63">
        <f>'Padrão EPP'!B3021</f>
        <v>25</v>
      </c>
      <c r="C3021" s="63" t="str">
        <f>'Padrão EPP'!C3021</f>
        <v>PB</v>
      </c>
      <c r="D3021" s="63" t="str">
        <f>'Padrão EPP'!D3021</f>
        <v>CAPITAL</v>
      </c>
      <c r="E3021" s="63">
        <f>'Padrão EPP'!E3021/2</f>
        <v>0</v>
      </c>
      <c r="F3021" s="67">
        <v>3.0000000000000001E-3</v>
      </c>
      <c r="G3021" s="67">
        <v>2E-3</v>
      </c>
      <c r="H3021" s="63"/>
    </row>
    <row r="3022" spans="1:8" x14ac:dyDescent="0.25">
      <c r="A3022" s="63"/>
      <c r="B3022" s="63">
        <f>'Padrão EPP'!B3022</f>
        <v>26</v>
      </c>
      <c r="C3022" s="63" t="str">
        <f>'Padrão EPP'!C3022</f>
        <v>PB</v>
      </c>
      <c r="D3022" s="63" t="str">
        <f>'Padrão EPP'!D3022</f>
        <v>CAPITAL</v>
      </c>
      <c r="E3022" s="63">
        <f>'Padrão EPP'!E3022/2</f>
        <v>0</v>
      </c>
      <c r="F3022" s="67">
        <v>3.0000000000000001E-3</v>
      </c>
      <c r="G3022" s="67">
        <v>2E-3</v>
      </c>
      <c r="H3022" s="63"/>
    </row>
    <row r="3023" spans="1:8" x14ac:dyDescent="0.25">
      <c r="A3023" s="63"/>
      <c r="B3023" s="63">
        <f>'Padrão EPP'!B3023</f>
        <v>27</v>
      </c>
      <c r="C3023" s="63" t="str">
        <f>'Padrão EPP'!C3023</f>
        <v>PB</v>
      </c>
      <c r="D3023" s="63" t="str">
        <f>'Padrão EPP'!D3023</f>
        <v>CAPITAL</v>
      </c>
      <c r="E3023" s="63">
        <f>'Padrão EPP'!E3023/2</f>
        <v>0</v>
      </c>
      <c r="F3023" s="67">
        <v>3.0000000000000001E-3</v>
      </c>
      <c r="G3023" s="67">
        <v>2E-3</v>
      </c>
      <c r="H3023" s="63"/>
    </row>
    <row r="3024" spans="1:8" x14ac:dyDescent="0.25">
      <c r="A3024" s="63"/>
      <c r="B3024" s="63">
        <f>'Padrão EPP'!B3024</f>
        <v>28</v>
      </c>
      <c r="C3024" s="63" t="str">
        <f>'Padrão EPP'!C3024</f>
        <v>PB</v>
      </c>
      <c r="D3024" s="63" t="str">
        <f>'Padrão EPP'!D3024</f>
        <v>CAPITAL</v>
      </c>
      <c r="E3024" s="63">
        <f>'Padrão EPP'!E3024/2</f>
        <v>0</v>
      </c>
      <c r="F3024" s="67">
        <v>3.0000000000000001E-3</v>
      </c>
      <c r="G3024" s="67">
        <v>2E-3</v>
      </c>
      <c r="H3024" s="63"/>
    </row>
    <row r="3025" spans="1:8" x14ac:dyDescent="0.25">
      <c r="A3025" s="63"/>
      <c r="B3025" s="63">
        <f>'Padrão EPP'!B3025</f>
        <v>29</v>
      </c>
      <c r="C3025" s="63" t="str">
        <f>'Padrão EPP'!C3025</f>
        <v>PB</v>
      </c>
      <c r="D3025" s="63" t="str">
        <f>'Padrão EPP'!D3025</f>
        <v>CAPITAL</v>
      </c>
      <c r="E3025" s="63">
        <f>'Padrão EPP'!E3025/2</f>
        <v>0</v>
      </c>
      <c r="F3025" s="67">
        <v>3.0000000000000001E-3</v>
      </c>
      <c r="G3025" s="67">
        <v>2E-3</v>
      </c>
      <c r="H3025" s="63"/>
    </row>
    <row r="3026" spans="1:8" x14ac:dyDescent="0.25">
      <c r="A3026" s="63"/>
      <c r="B3026" s="63">
        <f>'Padrão EPP'!B3026</f>
        <v>30</v>
      </c>
      <c r="C3026" s="63" t="str">
        <f>'Padrão EPP'!C3026</f>
        <v>PB</v>
      </c>
      <c r="D3026" s="63" t="str">
        <f>'Padrão EPP'!D3026</f>
        <v>CAPITAL</v>
      </c>
      <c r="E3026" s="63">
        <f>'Padrão EPP'!E3026/2</f>
        <v>0</v>
      </c>
      <c r="F3026" s="67">
        <v>3.0000000000000001E-3</v>
      </c>
      <c r="G3026" s="67">
        <v>2E-3</v>
      </c>
      <c r="H3026" s="63"/>
    </row>
    <row r="3027" spans="1:8" x14ac:dyDescent="0.25">
      <c r="A3027" s="63"/>
      <c r="B3027" s="63">
        <f>'Padrão EPP'!B3027</f>
        <v>0</v>
      </c>
      <c r="C3027" s="63" t="str">
        <f>'Padrão EPP'!C3027</f>
        <v>PB</v>
      </c>
      <c r="D3027" s="63" t="str">
        <f>'Padrão EPP'!D3027</f>
        <v>CAPITAL</v>
      </c>
      <c r="E3027" s="63">
        <f>'Padrão EPP'!E3027/2</f>
        <v>1.5214394455252955</v>
      </c>
      <c r="F3027" s="67">
        <v>3.0000000000000001E-3</v>
      </c>
      <c r="G3027" s="67">
        <v>2E-3</v>
      </c>
      <c r="H3027" s="63"/>
    </row>
    <row r="3028" spans="1:8" x14ac:dyDescent="0.25">
      <c r="A3028" s="63"/>
      <c r="B3028" s="63">
        <f>'Padrão EPP'!B3028</f>
        <v>0.25</v>
      </c>
      <c r="C3028" s="63" t="str">
        <f>'Padrão EPP'!C3028</f>
        <v>PB</v>
      </c>
      <c r="D3028" s="63" t="str">
        <f>'Padrão EPP'!D3028</f>
        <v>INTERIOR</v>
      </c>
      <c r="E3028" s="63">
        <f>'Padrão EPP'!E3028/2</f>
        <v>10.438641151723665</v>
      </c>
      <c r="F3028" s="67">
        <v>3.0000000000000001E-3</v>
      </c>
      <c r="G3028" s="67">
        <v>2E-3</v>
      </c>
      <c r="H3028" s="63"/>
    </row>
    <row r="3029" spans="1:8" x14ac:dyDescent="0.25">
      <c r="A3029" s="63"/>
      <c r="B3029" s="63">
        <f>'Padrão EPP'!B3029</f>
        <v>0.5</v>
      </c>
      <c r="C3029" s="63" t="str">
        <f>'Padrão EPP'!C3029</f>
        <v>PB</v>
      </c>
      <c r="D3029" s="63" t="str">
        <f>'Padrão EPP'!D3029</f>
        <v>INTERIOR</v>
      </c>
      <c r="E3029" s="63">
        <f>'Padrão EPP'!E3029/2</f>
        <v>11.243985332470441</v>
      </c>
      <c r="F3029" s="67">
        <v>3.0000000000000001E-3</v>
      </c>
      <c r="G3029" s="67">
        <v>2E-3</v>
      </c>
      <c r="H3029" s="63"/>
    </row>
    <row r="3030" spans="1:8" x14ac:dyDescent="0.25">
      <c r="A3030" s="63"/>
      <c r="B3030" s="63">
        <f>'Padrão EPP'!B3030</f>
        <v>0.75</v>
      </c>
      <c r="C3030" s="63" t="str">
        <f>'Padrão EPP'!C3030</f>
        <v>PB</v>
      </c>
      <c r="D3030" s="63" t="str">
        <f>'Padrão EPP'!D3030</f>
        <v>INTERIOR</v>
      </c>
      <c r="E3030" s="63">
        <f>'Padrão EPP'!E3030/2</f>
        <v>12.418479564441187</v>
      </c>
      <c r="F3030" s="67">
        <v>3.0000000000000001E-3</v>
      </c>
      <c r="G3030" s="67">
        <v>2E-3</v>
      </c>
      <c r="H3030" s="63"/>
    </row>
    <row r="3031" spans="1:8" x14ac:dyDescent="0.25">
      <c r="A3031" s="63"/>
      <c r="B3031" s="63">
        <f>'Padrão EPP'!B3031</f>
        <v>1</v>
      </c>
      <c r="C3031" s="63" t="str">
        <f>'Padrão EPP'!C3031</f>
        <v>PB</v>
      </c>
      <c r="D3031" s="63" t="str">
        <f>'Padrão EPP'!D3031</f>
        <v>INTERIOR</v>
      </c>
      <c r="E3031" s="63">
        <f>'Padrão EPP'!E3031/2</f>
        <v>13.664470282047416</v>
      </c>
      <c r="F3031" s="67">
        <v>3.0000000000000001E-3</v>
      </c>
      <c r="G3031" s="67">
        <v>2E-3</v>
      </c>
      <c r="H3031" s="63"/>
    </row>
    <row r="3032" spans="1:8" x14ac:dyDescent="0.25">
      <c r="A3032" s="63"/>
      <c r="B3032" s="63">
        <f>'Padrão EPP'!B3032</f>
        <v>2</v>
      </c>
      <c r="C3032" s="63" t="str">
        <f>'Padrão EPP'!C3032</f>
        <v>PB</v>
      </c>
      <c r="D3032" s="63" t="str">
        <f>'Padrão EPP'!D3032</f>
        <v>INTERIOR</v>
      </c>
      <c r="E3032" s="63">
        <f>'Padrão EPP'!E3032/2</f>
        <v>16.743816692088437</v>
      </c>
      <c r="F3032" s="67">
        <v>3.0000000000000001E-3</v>
      </c>
      <c r="G3032" s="67">
        <v>2E-3</v>
      </c>
      <c r="H3032" s="63"/>
    </row>
    <row r="3033" spans="1:8" x14ac:dyDescent="0.25">
      <c r="A3033" s="63"/>
      <c r="B3033" s="63">
        <f>'Padrão EPP'!B3033</f>
        <v>3</v>
      </c>
      <c r="C3033" s="63" t="str">
        <f>'Padrão EPP'!C3033</f>
        <v>PB</v>
      </c>
      <c r="D3033" s="63" t="str">
        <f>'Padrão EPP'!D3033</f>
        <v>INTERIOR</v>
      </c>
      <c r="E3033" s="63">
        <f>'Padrão EPP'!E3033/2</f>
        <v>20.222049194825306</v>
      </c>
      <c r="F3033" s="67">
        <v>3.0000000000000001E-3</v>
      </c>
      <c r="G3033" s="67">
        <v>2E-3</v>
      </c>
      <c r="H3033" s="63"/>
    </row>
    <row r="3034" spans="1:8" x14ac:dyDescent="0.25">
      <c r="A3034" s="63"/>
      <c r="B3034" s="63">
        <f>'Padrão EPP'!B3034</f>
        <v>4</v>
      </c>
      <c r="C3034" s="63" t="str">
        <f>'Padrão EPP'!C3034</f>
        <v>PB</v>
      </c>
      <c r="D3034" s="63" t="str">
        <f>'Padrão EPP'!D3034</f>
        <v>INTERIOR</v>
      </c>
      <c r="E3034" s="63">
        <f>'Padrão EPP'!E3034/2</f>
        <v>23.812259434681469</v>
      </c>
      <c r="F3034" s="67">
        <v>3.0000000000000001E-3</v>
      </c>
      <c r="G3034" s="67">
        <v>2E-3</v>
      </c>
      <c r="H3034" s="63"/>
    </row>
    <row r="3035" spans="1:8" x14ac:dyDescent="0.25">
      <c r="A3035" s="63"/>
      <c r="B3035" s="63">
        <f>'Padrão EPP'!B3035</f>
        <v>5</v>
      </c>
      <c r="C3035" s="63" t="str">
        <f>'Padrão EPP'!C3035</f>
        <v>PB</v>
      </c>
      <c r="D3035" s="63" t="str">
        <f>'Padrão EPP'!D3035</f>
        <v>INTERIOR</v>
      </c>
      <c r="E3035" s="63">
        <f>'Padrão EPP'!E3035/2</f>
        <v>27.549538422130013</v>
      </c>
      <c r="F3035" s="67">
        <v>3.0000000000000001E-3</v>
      </c>
      <c r="G3035" s="67">
        <v>2E-3</v>
      </c>
      <c r="H3035" s="63"/>
    </row>
    <row r="3036" spans="1:8" x14ac:dyDescent="0.25">
      <c r="A3036" s="63"/>
      <c r="B3036" s="63">
        <f>'Padrão EPP'!B3036</f>
        <v>6</v>
      </c>
      <c r="C3036" s="63" t="str">
        <f>'Padrão EPP'!C3036</f>
        <v>PB</v>
      </c>
      <c r="D3036" s="63" t="str">
        <f>'Padrão EPP'!D3036</f>
        <v>INTERIOR</v>
      </c>
      <c r="E3036" s="63">
        <f>'Padrão EPP'!E3036/2</f>
        <v>31.374504369988578</v>
      </c>
      <c r="F3036" s="67">
        <v>3.0000000000000001E-3</v>
      </c>
      <c r="G3036" s="67">
        <v>2E-3</v>
      </c>
      <c r="H3036" s="63"/>
    </row>
    <row r="3037" spans="1:8" x14ac:dyDescent="0.25">
      <c r="A3037" s="63"/>
      <c r="B3037" s="63">
        <f>'Padrão EPP'!B3037</f>
        <v>7</v>
      </c>
      <c r="C3037" s="63" t="str">
        <f>'Padrão EPP'!C3037</f>
        <v>PB</v>
      </c>
      <c r="D3037" s="63" t="str">
        <f>'Padrão EPP'!D3037</f>
        <v>INTERIOR</v>
      </c>
      <c r="E3037" s="63">
        <f>'Padrão EPP'!E3037/2</f>
        <v>35.29843639237302</v>
      </c>
      <c r="F3037" s="67">
        <v>3.0000000000000001E-3</v>
      </c>
      <c r="G3037" s="67">
        <v>2E-3</v>
      </c>
      <c r="H3037" s="63"/>
    </row>
    <row r="3038" spans="1:8" x14ac:dyDescent="0.25">
      <c r="A3038" s="63"/>
      <c r="B3038" s="63">
        <f>'Padrão EPP'!B3038</f>
        <v>8</v>
      </c>
      <c r="C3038" s="63" t="str">
        <f>'Padrão EPP'!C3038</f>
        <v>PB</v>
      </c>
      <c r="D3038" s="63" t="str">
        <f>'Padrão EPP'!D3038</f>
        <v>INTERIOR</v>
      </c>
      <c r="E3038" s="63">
        <f>'Padrão EPP'!E3038/2</f>
        <v>39.334102734202098</v>
      </c>
      <c r="F3038" s="67">
        <v>3.0000000000000001E-3</v>
      </c>
      <c r="G3038" s="67">
        <v>2E-3</v>
      </c>
      <c r="H3038" s="63"/>
    </row>
    <row r="3039" spans="1:8" x14ac:dyDescent="0.25">
      <c r="A3039" s="63"/>
      <c r="B3039" s="63">
        <f>'Padrão EPP'!B3039</f>
        <v>9</v>
      </c>
      <c r="C3039" s="63" t="str">
        <f>'Padrão EPP'!C3039</f>
        <v>PB</v>
      </c>
      <c r="D3039" s="63" t="str">
        <f>'Padrão EPP'!D3039</f>
        <v>INTERIOR</v>
      </c>
      <c r="E3039" s="63">
        <f>'Padrão EPP'!E3039/2</f>
        <v>43.202358716216594</v>
      </c>
      <c r="F3039" s="67">
        <v>3.0000000000000001E-3</v>
      </c>
      <c r="G3039" s="67">
        <v>2E-3</v>
      </c>
      <c r="H3039" s="63"/>
    </row>
    <row r="3040" spans="1:8" x14ac:dyDescent="0.25">
      <c r="A3040" s="63"/>
      <c r="B3040" s="63">
        <f>'Padrão EPP'!B3040</f>
        <v>10</v>
      </c>
      <c r="C3040" s="63" t="str">
        <f>'Padrão EPP'!C3040</f>
        <v>PB</v>
      </c>
      <c r="D3040" s="63" t="str">
        <f>'Padrão EPP'!D3040</f>
        <v>INTERIOR</v>
      </c>
      <c r="E3040" s="63">
        <f>'Padrão EPP'!E3040/2</f>
        <v>47.3458391344669</v>
      </c>
      <c r="F3040" s="67">
        <v>3.0000000000000001E-3</v>
      </c>
      <c r="G3040" s="67">
        <v>2E-3</v>
      </c>
      <c r="H3040" s="63"/>
    </row>
    <row r="3041" spans="1:8" x14ac:dyDescent="0.25">
      <c r="A3041" s="63"/>
      <c r="B3041" s="63">
        <f>'Padrão EPP'!B3041</f>
        <v>11</v>
      </c>
      <c r="C3041" s="63" t="str">
        <f>'Padrão EPP'!C3041</f>
        <v>PB</v>
      </c>
      <c r="D3041" s="63" t="str">
        <f>'Padrão EPP'!D3041</f>
        <v>INTERIOR</v>
      </c>
      <c r="E3041" s="63">
        <f>'Padrão EPP'!E3041/2</f>
        <v>0</v>
      </c>
      <c r="F3041" s="67">
        <v>3.0000000000000001E-3</v>
      </c>
      <c r="G3041" s="67">
        <v>2E-3</v>
      </c>
      <c r="H3041" s="63"/>
    </row>
    <row r="3042" spans="1:8" x14ac:dyDescent="0.25">
      <c r="A3042" s="63"/>
      <c r="B3042" s="63">
        <f>'Padrão EPP'!B3042</f>
        <v>12</v>
      </c>
      <c r="C3042" s="63" t="str">
        <f>'Padrão EPP'!C3042</f>
        <v>PB</v>
      </c>
      <c r="D3042" s="63" t="str">
        <f>'Padrão EPP'!D3042</f>
        <v>INTERIOR</v>
      </c>
      <c r="E3042" s="63">
        <f>'Padrão EPP'!E3042/2</f>
        <v>0</v>
      </c>
      <c r="F3042" s="67">
        <v>3.0000000000000001E-3</v>
      </c>
      <c r="G3042" s="67">
        <v>2E-3</v>
      </c>
      <c r="H3042" s="63"/>
    </row>
    <row r="3043" spans="1:8" x14ac:dyDescent="0.25">
      <c r="A3043" s="63"/>
      <c r="B3043" s="63">
        <f>'Padrão EPP'!B3043</f>
        <v>13</v>
      </c>
      <c r="C3043" s="63" t="str">
        <f>'Padrão EPP'!C3043</f>
        <v>PB</v>
      </c>
      <c r="D3043" s="63" t="str">
        <f>'Padrão EPP'!D3043</f>
        <v>INTERIOR</v>
      </c>
      <c r="E3043" s="63">
        <f>'Padrão EPP'!E3043/2</f>
        <v>0</v>
      </c>
      <c r="F3043" s="67">
        <v>3.0000000000000001E-3</v>
      </c>
      <c r="G3043" s="67">
        <v>2E-3</v>
      </c>
      <c r="H3043" s="63"/>
    </row>
    <row r="3044" spans="1:8" x14ac:dyDescent="0.25">
      <c r="A3044" s="63"/>
      <c r="B3044" s="63">
        <f>'Padrão EPP'!B3044</f>
        <v>14</v>
      </c>
      <c r="C3044" s="63" t="str">
        <f>'Padrão EPP'!C3044</f>
        <v>PB</v>
      </c>
      <c r="D3044" s="63" t="str">
        <f>'Padrão EPP'!D3044</f>
        <v>INTERIOR</v>
      </c>
      <c r="E3044" s="63">
        <f>'Padrão EPP'!E3044/2</f>
        <v>0</v>
      </c>
      <c r="F3044" s="67">
        <v>3.0000000000000001E-3</v>
      </c>
      <c r="G3044" s="67">
        <v>2E-3</v>
      </c>
      <c r="H3044" s="63"/>
    </row>
    <row r="3045" spans="1:8" x14ac:dyDescent="0.25">
      <c r="A3045" s="63"/>
      <c r="B3045" s="63">
        <f>'Padrão EPP'!B3045</f>
        <v>15</v>
      </c>
      <c r="C3045" s="63" t="str">
        <f>'Padrão EPP'!C3045</f>
        <v>PB</v>
      </c>
      <c r="D3045" s="63" t="str">
        <f>'Padrão EPP'!D3045</f>
        <v>INTERIOR</v>
      </c>
      <c r="E3045" s="63">
        <f>'Padrão EPP'!E3045/2</f>
        <v>0</v>
      </c>
      <c r="F3045" s="67">
        <v>3.0000000000000001E-3</v>
      </c>
      <c r="G3045" s="67">
        <v>2E-3</v>
      </c>
      <c r="H3045" s="63"/>
    </row>
    <row r="3046" spans="1:8" x14ac:dyDescent="0.25">
      <c r="A3046" s="63"/>
      <c r="B3046" s="63">
        <f>'Padrão EPP'!B3046</f>
        <v>16</v>
      </c>
      <c r="C3046" s="63" t="str">
        <f>'Padrão EPP'!C3046</f>
        <v>PB</v>
      </c>
      <c r="D3046" s="63" t="str">
        <f>'Padrão EPP'!D3046</f>
        <v>INTERIOR</v>
      </c>
      <c r="E3046" s="63">
        <f>'Padrão EPP'!E3046/2</f>
        <v>0</v>
      </c>
      <c r="F3046" s="67">
        <v>3.0000000000000001E-3</v>
      </c>
      <c r="G3046" s="67">
        <v>2E-3</v>
      </c>
      <c r="H3046" s="63"/>
    </row>
    <row r="3047" spans="1:8" x14ac:dyDescent="0.25">
      <c r="A3047" s="63"/>
      <c r="B3047" s="63">
        <f>'Padrão EPP'!B3047</f>
        <v>17</v>
      </c>
      <c r="C3047" s="63" t="str">
        <f>'Padrão EPP'!C3047</f>
        <v>PB</v>
      </c>
      <c r="D3047" s="63" t="str">
        <f>'Padrão EPP'!D3047</f>
        <v>INTERIOR</v>
      </c>
      <c r="E3047" s="63">
        <f>'Padrão EPP'!E3047/2</f>
        <v>0</v>
      </c>
      <c r="F3047" s="67">
        <v>3.0000000000000001E-3</v>
      </c>
      <c r="G3047" s="67">
        <v>2E-3</v>
      </c>
      <c r="H3047" s="63"/>
    </row>
    <row r="3048" spans="1:8" x14ac:dyDescent="0.25">
      <c r="A3048" s="63"/>
      <c r="B3048" s="63">
        <f>'Padrão EPP'!B3048</f>
        <v>18</v>
      </c>
      <c r="C3048" s="63" t="str">
        <f>'Padrão EPP'!C3048</f>
        <v>PB</v>
      </c>
      <c r="D3048" s="63" t="str">
        <f>'Padrão EPP'!D3048</f>
        <v>INTERIOR</v>
      </c>
      <c r="E3048" s="63">
        <f>'Padrão EPP'!E3048/2</f>
        <v>0</v>
      </c>
      <c r="F3048" s="67">
        <v>3.0000000000000001E-3</v>
      </c>
      <c r="G3048" s="67">
        <v>2E-3</v>
      </c>
      <c r="H3048" s="63"/>
    </row>
    <row r="3049" spans="1:8" x14ac:dyDescent="0.25">
      <c r="A3049" s="63"/>
      <c r="B3049" s="63">
        <f>'Padrão EPP'!B3049</f>
        <v>19</v>
      </c>
      <c r="C3049" s="63" t="str">
        <f>'Padrão EPP'!C3049</f>
        <v>PB</v>
      </c>
      <c r="D3049" s="63" t="str">
        <f>'Padrão EPP'!D3049</f>
        <v>INTERIOR</v>
      </c>
      <c r="E3049" s="63">
        <f>'Padrão EPP'!E3049/2</f>
        <v>0</v>
      </c>
      <c r="F3049" s="67">
        <v>3.0000000000000001E-3</v>
      </c>
      <c r="G3049" s="67">
        <v>2E-3</v>
      </c>
      <c r="H3049" s="63"/>
    </row>
    <row r="3050" spans="1:8" x14ac:dyDescent="0.25">
      <c r="A3050" s="63"/>
      <c r="B3050" s="63">
        <f>'Padrão EPP'!B3050</f>
        <v>20</v>
      </c>
      <c r="C3050" s="63" t="str">
        <f>'Padrão EPP'!C3050</f>
        <v>PB</v>
      </c>
      <c r="D3050" s="63" t="str">
        <f>'Padrão EPP'!D3050</f>
        <v>INTERIOR</v>
      </c>
      <c r="E3050" s="63">
        <f>'Padrão EPP'!E3050/2</f>
        <v>0</v>
      </c>
      <c r="F3050" s="67">
        <v>3.0000000000000001E-3</v>
      </c>
      <c r="G3050" s="67">
        <v>2E-3</v>
      </c>
      <c r="H3050" s="63"/>
    </row>
    <row r="3051" spans="1:8" x14ac:dyDescent="0.25">
      <c r="A3051" s="63"/>
      <c r="B3051" s="63">
        <f>'Padrão EPP'!B3051</f>
        <v>21</v>
      </c>
      <c r="C3051" s="63" t="str">
        <f>'Padrão EPP'!C3051</f>
        <v>PB</v>
      </c>
      <c r="D3051" s="63" t="str">
        <f>'Padrão EPP'!D3051</f>
        <v>INTERIOR</v>
      </c>
      <c r="E3051" s="63">
        <f>'Padrão EPP'!E3051/2</f>
        <v>0</v>
      </c>
      <c r="F3051" s="67">
        <v>3.0000000000000001E-3</v>
      </c>
      <c r="G3051" s="67">
        <v>2E-3</v>
      </c>
      <c r="H3051" s="63"/>
    </row>
    <row r="3052" spans="1:8" x14ac:dyDescent="0.25">
      <c r="A3052" s="63"/>
      <c r="B3052" s="63">
        <f>'Padrão EPP'!B3052</f>
        <v>22</v>
      </c>
      <c r="C3052" s="63" t="str">
        <f>'Padrão EPP'!C3052</f>
        <v>PB</v>
      </c>
      <c r="D3052" s="63" t="str">
        <f>'Padrão EPP'!D3052</f>
        <v>INTERIOR</v>
      </c>
      <c r="E3052" s="63">
        <f>'Padrão EPP'!E3052/2</f>
        <v>0</v>
      </c>
      <c r="F3052" s="67">
        <v>3.0000000000000001E-3</v>
      </c>
      <c r="G3052" s="67">
        <v>2E-3</v>
      </c>
      <c r="H3052" s="63"/>
    </row>
    <row r="3053" spans="1:8" x14ac:dyDescent="0.25">
      <c r="A3053" s="63"/>
      <c r="B3053" s="63">
        <f>'Padrão EPP'!B3053</f>
        <v>23</v>
      </c>
      <c r="C3053" s="63" t="str">
        <f>'Padrão EPP'!C3053</f>
        <v>PB</v>
      </c>
      <c r="D3053" s="63" t="str">
        <f>'Padrão EPP'!D3053</f>
        <v>INTERIOR</v>
      </c>
      <c r="E3053" s="63">
        <f>'Padrão EPP'!E3053/2</f>
        <v>0</v>
      </c>
      <c r="F3053" s="67">
        <v>3.0000000000000001E-3</v>
      </c>
      <c r="G3053" s="67">
        <v>2E-3</v>
      </c>
      <c r="H3053" s="63"/>
    </row>
    <row r="3054" spans="1:8" x14ac:dyDescent="0.25">
      <c r="A3054" s="63"/>
      <c r="B3054" s="63">
        <f>'Padrão EPP'!B3054</f>
        <v>24</v>
      </c>
      <c r="C3054" s="63" t="str">
        <f>'Padrão EPP'!C3054</f>
        <v>PB</v>
      </c>
      <c r="D3054" s="63" t="str">
        <f>'Padrão EPP'!D3054</f>
        <v>INTERIOR</v>
      </c>
      <c r="E3054" s="63">
        <f>'Padrão EPP'!E3054/2</f>
        <v>0</v>
      </c>
      <c r="F3054" s="67">
        <v>3.0000000000000001E-3</v>
      </c>
      <c r="G3054" s="67">
        <v>2E-3</v>
      </c>
      <c r="H3054" s="63"/>
    </row>
    <row r="3055" spans="1:8" x14ac:dyDescent="0.25">
      <c r="A3055" s="63"/>
      <c r="B3055" s="63">
        <f>'Padrão EPP'!B3055</f>
        <v>25</v>
      </c>
      <c r="C3055" s="63" t="str">
        <f>'Padrão EPP'!C3055</f>
        <v>PB</v>
      </c>
      <c r="D3055" s="63" t="str">
        <f>'Padrão EPP'!D3055</f>
        <v>INTERIOR</v>
      </c>
      <c r="E3055" s="63">
        <f>'Padrão EPP'!E3055/2</f>
        <v>0</v>
      </c>
      <c r="F3055" s="67">
        <v>3.0000000000000001E-3</v>
      </c>
      <c r="G3055" s="67">
        <v>2E-3</v>
      </c>
      <c r="H3055" s="63"/>
    </row>
    <row r="3056" spans="1:8" x14ac:dyDescent="0.25">
      <c r="A3056" s="63"/>
      <c r="B3056" s="63">
        <f>'Padrão EPP'!B3056</f>
        <v>26</v>
      </c>
      <c r="C3056" s="63" t="str">
        <f>'Padrão EPP'!C3056</f>
        <v>PB</v>
      </c>
      <c r="D3056" s="63" t="str">
        <f>'Padrão EPP'!D3056</f>
        <v>INTERIOR</v>
      </c>
      <c r="E3056" s="63">
        <f>'Padrão EPP'!E3056/2</f>
        <v>0</v>
      </c>
      <c r="F3056" s="67">
        <v>3.0000000000000001E-3</v>
      </c>
      <c r="G3056" s="67">
        <v>2E-3</v>
      </c>
      <c r="H3056" s="63"/>
    </row>
    <row r="3057" spans="1:8" x14ac:dyDescent="0.25">
      <c r="A3057" s="63"/>
      <c r="B3057" s="63">
        <f>'Padrão EPP'!B3057</f>
        <v>27</v>
      </c>
      <c r="C3057" s="63" t="str">
        <f>'Padrão EPP'!C3057</f>
        <v>PB</v>
      </c>
      <c r="D3057" s="63" t="str">
        <f>'Padrão EPP'!D3057</f>
        <v>INTERIOR</v>
      </c>
      <c r="E3057" s="63">
        <f>'Padrão EPP'!E3057/2</f>
        <v>0</v>
      </c>
      <c r="F3057" s="67">
        <v>3.0000000000000001E-3</v>
      </c>
      <c r="G3057" s="67">
        <v>2E-3</v>
      </c>
      <c r="H3057" s="63"/>
    </row>
    <row r="3058" spans="1:8" x14ac:dyDescent="0.25">
      <c r="A3058" s="63"/>
      <c r="B3058" s="63">
        <f>'Padrão EPP'!B3058</f>
        <v>28</v>
      </c>
      <c r="C3058" s="63" t="str">
        <f>'Padrão EPP'!C3058</f>
        <v>PB</v>
      </c>
      <c r="D3058" s="63" t="str">
        <f>'Padrão EPP'!D3058</f>
        <v>INTERIOR</v>
      </c>
      <c r="E3058" s="63">
        <f>'Padrão EPP'!E3058/2</f>
        <v>0</v>
      </c>
      <c r="F3058" s="67">
        <v>3.0000000000000001E-3</v>
      </c>
      <c r="G3058" s="67">
        <v>2E-3</v>
      </c>
      <c r="H3058" s="63"/>
    </row>
    <row r="3059" spans="1:8" x14ac:dyDescent="0.25">
      <c r="A3059" s="63"/>
      <c r="B3059" s="63">
        <f>'Padrão EPP'!B3059</f>
        <v>29</v>
      </c>
      <c r="C3059" s="63" t="str">
        <f>'Padrão EPP'!C3059</f>
        <v>PB</v>
      </c>
      <c r="D3059" s="63" t="str">
        <f>'Padrão EPP'!D3059</f>
        <v>INTERIOR</v>
      </c>
      <c r="E3059" s="63">
        <f>'Padrão EPP'!E3059/2</f>
        <v>0</v>
      </c>
      <c r="F3059" s="67">
        <v>3.0000000000000001E-3</v>
      </c>
      <c r="G3059" s="67">
        <v>2E-3</v>
      </c>
      <c r="H3059" s="63"/>
    </row>
    <row r="3060" spans="1:8" x14ac:dyDescent="0.25">
      <c r="A3060" s="63"/>
      <c r="B3060" s="63">
        <f>'Padrão EPP'!B3060</f>
        <v>30</v>
      </c>
      <c r="C3060" s="63" t="str">
        <f>'Padrão EPP'!C3060</f>
        <v>PB</v>
      </c>
      <c r="D3060" s="63" t="str">
        <f>'Padrão EPP'!D3060</f>
        <v>INTERIOR</v>
      </c>
      <c r="E3060" s="63">
        <f>'Padrão EPP'!E3060/2</f>
        <v>0</v>
      </c>
      <c r="F3060" s="67">
        <v>3.0000000000000001E-3</v>
      </c>
      <c r="G3060" s="67">
        <v>2E-3</v>
      </c>
      <c r="H3060" s="63"/>
    </row>
    <row r="3061" spans="1:8" x14ac:dyDescent="0.25">
      <c r="A3061" s="63"/>
      <c r="B3061" s="63">
        <f>'Padrão EPP'!B3061</f>
        <v>0</v>
      </c>
      <c r="C3061" s="63" t="str">
        <f>'Padrão EPP'!C3061</f>
        <v>PB</v>
      </c>
      <c r="D3061" s="63" t="str">
        <f>'Padrão EPP'!D3061</f>
        <v>INTERIOR</v>
      </c>
      <c r="E3061" s="63">
        <f>'Padrão EPP'!E3061/2</f>
        <v>1.5214394455252955</v>
      </c>
      <c r="F3061" s="67">
        <v>3.0000000000000001E-3</v>
      </c>
      <c r="G3061" s="67">
        <v>2E-3</v>
      </c>
      <c r="H3061" s="63"/>
    </row>
    <row r="3062" spans="1:8" x14ac:dyDescent="0.25">
      <c r="A3062" s="63"/>
      <c r="B3062" s="63">
        <f>'Padrão EPP'!B3062</f>
        <v>0.25</v>
      </c>
      <c r="C3062" s="63" t="str">
        <f>'Padrão EPP'!C3062</f>
        <v>PB</v>
      </c>
      <c r="D3062" s="63" t="str">
        <f>'Padrão EPP'!D3062</f>
        <v>INTERIOR II</v>
      </c>
      <c r="E3062" s="63">
        <f>'Padrão EPP'!E3062/2</f>
        <v>12.734710199595693</v>
      </c>
      <c r="F3062" s="67">
        <v>3.0000000000000001E-3</v>
      </c>
      <c r="G3062" s="67">
        <v>2E-3</v>
      </c>
      <c r="H3062" s="63"/>
    </row>
    <row r="3063" spans="1:8" x14ac:dyDescent="0.25">
      <c r="A3063" s="63"/>
      <c r="B3063" s="63">
        <f>'Padrão EPP'!B3063</f>
        <v>0.5</v>
      </c>
      <c r="C3063" s="63" t="str">
        <f>'Padrão EPP'!C3063</f>
        <v>PB</v>
      </c>
      <c r="D3063" s="63" t="str">
        <f>'Padrão EPP'!D3063</f>
        <v>INTERIOR II</v>
      </c>
      <c r="E3063" s="63">
        <f>'Padrão EPP'!E3063/2</f>
        <v>13.992677478850085</v>
      </c>
      <c r="F3063" s="67">
        <v>3.0000000000000001E-3</v>
      </c>
      <c r="G3063" s="67">
        <v>2E-3</v>
      </c>
      <c r="H3063" s="63"/>
    </row>
    <row r="3064" spans="1:8" x14ac:dyDescent="0.25">
      <c r="A3064" s="63"/>
      <c r="B3064" s="63">
        <f>'Padrão EPP'!B3064</f>
        <v>0.75</v>
      </c>
      <c r="C3064" s="63" t="str">
        <f>'Padrão EPP'!C3064</f>
        <v>PB</v>
      </c>
      <c r="D3064" s="63" t="str">
        <f>'Padrão EPP'!D3064</f>
        <v>INTERIOR II</v>
      </c>
      <c r="E3064" s="63">
        <f>'Padrão EPP'!E3064/2</f>
        <v>15.379230560401007</v>
      </c>
      <c r="F3064" s="67">
        <v>3.0000000000000001E-3</v>
      </c>
      <c r="G3064" s="67">
        <v>2E-3</v>
      </c>
      <c r="H3064" s="63"/>
    </row>
    <row r="3065" spans="1:8" x14ac:dyDescent="0.25">
      <c r="A3065" s="63"/>
      <c r="B3065" s="63">
        <f>'Padrão EPP'!B3065</f>
        <v>1</v>
      </c>
      <c r="C3065" s="63" t="str">
        <f>'Padrão EPP'!C3065</f>
        <v>PB</v>
      </c>
      <c r="D3065" s="63" t="str">
        <f>'Padrão EPP'!D3065</f>
        <v>INTERIOR II</v>
      </c>
      <c r="E3065" s="63">
        <f>'Padrão EPP'!E3065/2</f>
        <v>16.551451991402676</v>
      </c>
      <c r="F3065" s="67">
        <v>3.0000000000000001E-3</v>
      </c>
      <c r="G3065" s="67">
        <v>2E-3</v>
      </c>
      <c r="H3065" s="63"/>
    </row>
    <row r="3066" spans="1:8" x14ac:dyDescent="0.25">
      <c r="A3066" s="63"/>
      <c r="B3066" s="63">
        <f>'Padrão EPP'!B3066</f>
        <v>2</v>
      </c>
      <c r="C3066" s="63" t="str">
        <f>'Padrão EPP'!C3066</f>
        <v>PB</v>
      </c>
      <c r="D3066" s="63" t="str">
        <f>'Padrão EPP'!D3066</f>
        <v>INTERIOR II</v>
      </c>
      <c r="E3066" s="63">
        <f>'Padrão EPP'!E3066/2</f>
        <v>20.187585444614189</v>
      </c>
      <c r="F3066" s="67">
        <v>3.0000000000000001E-3</v>
      </c>
      <c r="G3066" s="67">
        <v>2E-3</v>
      </c>
      <c r="H3066" s="63"/>
    </row>
    <row r="3067" spans="1:8" x14ac:dyDescent="0.25">
      <c r="A3067" s="63"/>
      <c r="B3067" s="63">
        <f>'Padrão EPP'!B3067</f>
        <v>3</v>
      </c>
      <c r="C3067" s="63" t="str">
        <f>'Padrão EPP'!C3067</f>
        <v>PB</v>
      </c>
      <c r="D3067" s="63" t="str">
        <f>'Padrão EPP'!D3067</f>
        <v>INTERIOR II</v>
      </c>
      <c r="E3067" s="63">
        <f>'Padrão EPP'!E3067/2</f>
        <v>24.307073142304141</v>
      </c>
      <c r="F3067" s="67">
        <v>3.0000000000000001E-3</v>
      </c>
      <c r="G3067" s="67">
        <v>2E-3</v>
      </c>
      <c r="H3067" s="63"/>
    </row>
    <row r="3068" spans="1:8" x14ac:dyDescent="0.25">
      <c r="A3068" s="63"/>
      <c r="B3068" s="63">
        <f>'Padrão EPP'!B3068</f>
        <v>4</v>
      </c>
      <c r="C3068" s="63" t="str">
        <f>'Padrão EPP'!C3068</f>
        <v>PB</v>
      </c>
      <c r="D3068" s="63" t="str">
        <f>'Padrão EPP'!D3068</f>
        <v>INTERIOR II</v>
      </c>
      <c r="E3068" s="63">
        <f>'Padrão EPP'!E3068/2</f>
        <v>28.479947254214874</v>
      </c>
      <c r="F3068" s="67">
        <v>3.0000000000000001E-3</v>
      </c>
      <c r="G3068" s="67">
        <v>2E-3</v>
      </c>
      <c r="H3068" s="63"/>
    </row>
    <row r="3069" spans="1:8" x14ac:dyDescent="0.25">
      <c r="A3069" s="63"/>
      <c r="B3069" s="63">
        <f>'Padrão EPP'!B3069</f>
        <v>5</v>
      </c>
      <c r="C3069" s="63" t="str">
        <f>'Padrão EPP'!C3069</f>
        <v>PB</v>
      </c>
      <c r="D3069" s="63" t="str">
        <f>'Padrão EPP'!D3069</f>
        <v>INTERIOR II</v>
      </c>
      <c r="E3069" s="63">
        <f>'Padrão EPP'!E3069/2</f>
        <v>32.711546421768482</v>
      </c>
      <c r="F3069" s="67">
        <v>3.0000000000000001E-3</v>
      </c>
      <c r="G3069" s="67">
        <v>2E-3</v>
      </c>
      <c r="H3069" s="63"/>
    </row>
    <row r="3070" spans="1:8" x14ac:dyDescent="0.25">
      <c r="A3070" s="63"/>
      <c r="B3070" s="63">
        <f>'Padrão EPP'!B3070</f>
        <v>6</v>
      </c>
      <c r="C3070" s="63" t="str">
        <f>'Padrão EPP'!C3070</f>
        <v>PB</v>
      </c>
      <c r="D3070" s="63" t="str">
        <f>'Padrão EPP'!D3070</f>
        <v>INTERIOR II</v>
      </c>
      <c r="E3070" s="63">
        <f>'Padrão EPP'!E3070/2</f>
        <v>38.050943130224717</v>
      </c>
      <c r="F3070" s="67">
        <v>3.0000000000000001E-3</v>
      </c>
      <c r="G3070" s="67">
        <v>2E-3</v>
      </c>
      <c r="H3070" s="63"/>
    </row>
    <row r="3071" spans="1:8" x14ac:dyDescent="0.25">
      <c r="A3071" s="63"/>
      <c r="B3071" s="63">
        <f>'Padrão EPP'!B3071</f>
        <v>7</v>
      </c>
      <c r="C3071" s="63" t="str">
        <f>'Padrão EPP'!C3071</f>
        <v>PB</v>
      </c>
      <c r="D3071" s="63" t="str">
        <f>'Padrão EPP'!D3071</f>
        <v>INTERIOR II</v>
      </c>
      <c r="E3071" s="63">
        <f>'Padrão EPP'!E3071/2</f>
        <v>42.002102165808992</v>
      </c>
      <c r="F3071" s="67">
        <v>3.0000000000000001E-3</v>
      </c>
      <c r="G3071" s="67">
        <v>2E-3</v>
      </c>
      <c r="H3071" s="63"/>
    </row>
    <row r="3072" spans="1:8" x14ac:dyDescent="0.25">
      <c r="A3072" s="63"/>
      <c r="B3072" s="63">
        <f>'Padrão EPP'!B3072</f>
        <v>8</v>
      </c>
      <c r="C3072" s="63" t="str">
        <f>'Padrão EPP'!C3072</f>
        <v>PB</v>
      </c>
      <c r="D3072" s="63" t="str">
        <f>'Padrão EPP'!D3072</f>
        <v>INTERIOR II</v>
      </c>
      <c r="E3072" s="63">
        <f>'Padrão EPP'!E3072/2</f>
        <v>46.023640886138459</v>
      </c>
      <c r="F3072" s="67">
        <v>3.0000000000000001E-3</v>
      </c>
      <c r="G3072" s="67">
        <v>2E-3</v>
      </c>
      <c r="H3072" s="63"/>
    </row>
    <row r="3073" spans="1:8" x14ac:dyDescent="0.25">
      <c r="A3073" s="63"/>
      <c r="B3073" s="63">
        <f>'Padrão EPP'!B3073</f>
        <v>9</v>
      </c>
      <c r="C3073" s="63" t="str">
        <f>'Padrão EPP'!C3073</f>
        <v>PB</v>
      </c>
      <c r="D3073" s="63" t="str">
        <f>'Padrão EPP'!D3073</f>
        <v>INTERIOR II</v>
      </c>
      <c r="E3073" s="63">
        <f>'Padrão EPP'!E3073/2</f>
        <v>50.580465072870645</v>
      </c>
      <c r="F3073" s="67">
        <v>3.0000000000000001E-3</v>
      </c>
      <c r="G3073" s="67">
        <v>2E-3</v>
      </c>
      <c r="H3073" s="63"/>
    </row>
    <row r="3074" spans="1:8" x14ac:dyDescent="0.25">
      <c r="A3074" s="63"/>
      <c r="B3074" s="63">
        <f>'Padrão EPP'!B3074</f>
        <v>10</v>
      </c>
      <c r="C3074" s="63" t="str">
        <f>'Padrão EPP'!C3074</f>
        <v>PB</v>
      </c>
      <c r="D3074" s="63" t="str">
        <f>'Padrão EPP'!D3074</f>
        <v>INTERIOR II</v>
      </c>
      <c r="E3074" s="63">
        <f>'Padrão EPP'!E3074/2</f>
        <v>55.042167981885925</v>
      </c>
      <c r="F3074" s="67">
        <v>3.0000000000000001E-3</v>
      </c>
      <c r="G3074" s="67">
        <v>2E-3</v>
      </c>
      <c r="H3074" s="63"/>
    </row>
    <row r="3075" spans="1:8" x14ac:dyDescent="0.25">
      <c r="A3075" s="63"/>
      <c r="B3075" s="63">
        <f>'Padrão EPP'!B3075</f>
        <v>11</v>
      </c>
      <c r="C3075" s="63" t="str">
        <f>'Padrão EPP'!C3075</f>
        <v>PB</v>
      </c>
      <c r="D3075" s="63" t="str">
        <f>'Padrão EPP'!D3075</f>
        <v>INTERIOR II</v>
      </c>
      <c r="E3075" s="63">
        <f>'Padrão EPP'!E3075/2</f>
        <v>0</v>
      </c>
      <c r="F3075" s="67">
        <v>3.0000000000000001E-3</v>
      </c>
      <c r="G3075" s="67">
        <v>2E-3</v>
      </c>
      <c r="H3075" s="63"/>
    </row>
    <row r="3076" spans="1:8" x14ac:dyDescent="0.25">
      <c r="A3076" s="63"/>
      <c r="B3076" s="63">
        <f>'Padrão EPP'!B3076</f>
        <v>12</v>
      </c>
      <c r="C3076" s="63" t="str">
        <f>'Padrão EPP'!C3076</f>
        <v>PB</v>
      </c>
      <c r="D3076" s="63" t="str">
        <f>'Padrão EPP'!D3076</f>
        <v>INTERIOR II</v>
      </c>
      <c r="E3076" s="63">
        <f>'Padrão EPP'!E3076/2</f>
        <v>0</v>
      </c>
      <c r="F3076" s="67">
        <v>3.0000000000000001E-3</v>
      </c>
      <c r="G3076" s="67">
        <v>2E-3</v>
      </c>
      <c r="H3076" s="63"/>
    </row>
    <row r="3077" spans="1:8" x14ac:dyDescent="0.25">
      <c r="A3077" s="63"/>
      <c r="B3077" s="63">
        <f>'Padrão EPP'!B3077</f>
        <v>13</v>
      </c>
      <c r="C3077" s="63" t="str">
        <f>'Padrão EPP'!C3077</f>
        <v>PB</v>
      </c>
      <c r="D3077" s="63" t="str">
        <f>'Padrão EPP'!D3077</f>
        <v>INTERIOR II</v>
      </c>
      <c r="E3077" s="63">
        <f>'Padrão EPP'!E3077/2</f>
        <v>0</v>
      </c>
      <c r="F3077" s="67">
        <v>3.0000000000000001E-3</v>
      </c>
      <c r="G3077" s="67">
        <v>2E-3</v>
      </c>
      <c r="H3077" s="63"/>
    </row>
    <row r="3078" spans="1:8" x14ac:dyDescent="0.25">
      <c r="A3078" s="63"/>
      <c r="B3078" s="63">
        <f>'Padrão EPP'!B3078</f>
        <v>14</v>
      </c>
      <c r="C3078" s="63" t="str">
        <f>'Padrão EPP'!C3078</f>
        <v>PB</v>
      </c>
      <c r="D3078" s="63" t="str">
        <f>'Padrão EPP'!D3078</f>
        <v>INTERIOR II</v>
      </c>
      <c r="E3078" s="63">
        <f>'Padrão EPP'!E3078/2</f>
        <v>0</v>
      </c>
      <c r="F3078" s="67">
        <v>3.0000000000000001E-3</v>
      </c>
      <c r="G3078" s="67">
        <v>2E-3</v>
      </c>
      <c r="H3078" s="63"/>
    </row>
    <row r="3079" spans="1:8" x14ac:dyDescent="0.25">
      <c r="A3079" s="63"/>
      <c r="B3079" s="63">
        <f>'Padrão EPP'!B3079</f>
        <v>15</v>
      </c>
      <c r="C3079" s="63" t="str">
        <f>'Padrão EPP'!C3079</f>
        <v>PB</v>
      </c>
      <c r="D3079" s="63" t="str">
        <f>'Padrão EPP'!D3079</f>
        <v>INTERIOR II</v>
      </c>
      <c r="E3079" s="63">
        <f>'Padrão EPP'!E3079/2</f>
        <v>0</v>
      </c>
      <c r="F3079" s="67">
        <v>3.0000000000000001E-3</v>
      </c>
      <c r="G3079" s="67">
        <v>2E-3</v>
      </c>
      <c r="H3079" s="63"/>
    </row>
    <row r="3080" spans="1:8" x14ac:dyDescent="0.25">
      <c r="A3080" s="63"/>
      <c r="B3080" s="63">
        <f>'Padrão EPP'!B3080</f>
        <v>16</v>
      </c>
      <c r="C3080" s="63" t="str">
        <f>'Padrão EPP'!C3080</f>
        <v>PB</v>
      </c>
      <c r="D3080" s="63" t="str">
        <f>'Padrão EPP'!D3080</f>
        <v>INTERIOR II</v>
      </c>
      <c r="E3080" s="63">
        <f>'Padrão EPP'!E3080/2</f>
        <v>0</v>
      </c>
      <c r="F3080" s="67">
        <v>3.0000000000000001E-3</v>
      </c>
      <c r="G3080" s="67">
        <v>2E-3</v>
      </c>
      <c r="H3080" s="63"/>
    </row>
    <row r="3081" spans="1:8" x14ac:dyDescent="0.25">
      <c r="A3081" s="63"/>
      <c r="B3081" s="63">
        <f>'Padrão EPP'!B3081</f>
        <v>17</v>
      </c>
      <c r="C3081" s="63" t="str">
        <f>'Padrão EPP'!C3081</f>
        <v>PB</v>
      </c>
      <c r="D3081" s="63" t="str">
        <f>'Padrão EPP'!D3081</f>
        <v>INTERIOR II</v>
      </c>
      <c r="E3081" s="63">
        <f>'Padrão EPP'!E3081/2</f>
        <v>0</v>
      </c>
      <c r="F3081" s="67">
        <v>3.0000000000000001E-3</v>
      </c>
      <c r="G3081" s="67">
        <v>2E-3</v>
      </c>
      <c r="H3081" s="63"/>
    </row>
    <row r="3082" spans="1:8" x14ac:dyDescent="0.25">
      <c r="A3082" s="63"/>
      <c r="B3082" s="63">
        <f>'Padrão EPP'!B3082</f>
        <v>18</v>
      </c>
      <c r="C3082" s="63" t="str">
        <f>'Padrão EPP'!C3082</f>
        <v>PB</v>
      </c>
      <c r="D3082" s="63" t="str">
        <f>'Padrão EPP'!D3082</f>
        <v>INTERIOR II</v>
      </c>
      <c r="E3082" s="63">
        <f>'Padrão EPP'!E3082/2</f>
        <v>0</v>
      </c>
      <c r="F3082" s="67">
        <v>3.0000000000000001E-3</v>
      </c>
      <c r="G3082" s="67">
        <v>2E-3</v>
      </c>
      <c r="H3082" s="63"/>
    </row>
    <row r="3083" spans="1:8" x14ac:dyDescent="0.25">
      <c r="A3083" s="63"/>
      <c r="B3083" s="63">
        <f>'Padrão EPP'!B3083</f>
        <v>19</v>
      </c>
      <c r="C3083" s="63" t="str">
        <f>'Padrão EPP'!C3083</f>
        <v>PB</v>
      </c>
      <c r="D3083" s="63" t="str">
        <f>'Padrão EPP'!D3083</f>
        <v>INTERIOR II</v>
      </c>
      <c r="E3083" s="63">
        <f>'Padrão EPP'!E3083/2</f>
        <v>0</v>
      </c>
      <c r="F3083" s="67">
        <v>3.0000000000000001E-3</v>
      </c>
      <c r="G3083" s="67">
        <v>2E-3</v>
      </c>
      <c r="H3083" s="63"/>
    </row>
    <row r="3084" spans="1:8" x14ac:dyDescent="0.25">
      <c r="A3084" s="63"/>
      <c r="B3084" s="63">
        <f>'Padrão EPP'!B3084</f>
        <v>20</v>
      </c>
      <c r="C3084" s="63" t="str">
        <f>'Padrão EPP'!C3084</f>
        <v>PB</v>
      </c>
      <c r="D3084" s="63" t="str">
        <f>'Padrão EPP'!D3084</f>
        <v>INTERIOR II</v>
      </c>
      <c r="E3084" s="63">
        <f>'Padrão EPP'!E3084/2</f>
        <v>0</v>
      </c>
      <c r="F3084" s="67">
        <v>3.0000000000000001E-3</v>
      </c>
      <c r="G3084" s="67">
        <v>2E-3</v>
      </c>
      <c r="H3084" s="63"/>
    </row>
    <row r="3085" spans="1:8" x14ac:dyDescent="0.25">
      <c r="A3085" s="63"/>
      <c r="B3085" s="63">
        <f>'Padrão EPP'!B3085</f>
        <v>21</v>
      </c>
      <c r="C3085" s="63" t="str">
        <f>'Padrão EPP'!C3085</f>
        <v>PB</v>
      </c>
      <c r="D3085" s="63" t="str">
        <f>'Padrão EPP'!D3085</f>
        <v>INTERIOR II</v>
      </c>
      <c r="E3085" s="63">
        <f>'Padrão EPP'!E3085/2</f>
        <v>0</v>
      </c>
      <c r="F3085" s="67">
        <v>3.0000000000000001E-3</v>
      </c>
      <c r="G3085" s="67">
        <v>2E-3</v>
      </c>
      <c r="H3085" s="63"/>
    </row>
    <row r="3086" spans="1:8" x14ac:dyDescent="0.25">
      <c r="A3086" s="63"/>
      <c r="B3086" s="63">
        <f>'Padrão EPP'!B3086</f>
        <v>22</v>
      </c>
      <c r="C3086" s="63" t="str">
        <f>'Padrão EPP'!C3086</f>
        <v>PB</v>
      </c>
      <c r="D3086" s="63" t="str">
        <f>'Padrão EPP'!D3086</f>
        <v>INTERIOR II</v>
      </c>
      <c r="E3086" s="63">
        <f>'Padrão EPP'!E3086/2</f>
        <v>0</v>
      </c>
      <c r="F3086" s="67">
        <v>3.0000000000000001E-3</v>
      </c>
      <c r="G3086" s="67">
        <v>2E-3</v>
      </c>
      <c r="H3086" s="63"/>
    </row>
    <row r="3087" spans="1:8" x14ac:dyDescent="0.25">
      <c r="A3087" s="63"/>
      <c r="B3087" s="63">
        <f>'Padrão EPP'!B3087</f>
        <v>23</v>
      </c>
      <c r="C3087" s="63" t="str">
        <f>'Padrão EPP'!C3087</f>
        <v>PB</v>
      </c>
      <c r="D3087" s="63" t="str">
        <f>'Padrão EPP'!D3087</f>
        <v>INTERIOR II</v>
      </c>
      <c r="E3087" s="63">
        <f>'Padrão EPP'!E3087/2</f>
        <v>0</v>
      </c>
      <c r="F3087" s="67">
        <v>3.0000000000000001E-3</v>
      </c>
      <c r="G3087" s="67">
        <v>2E-3</v>
      </c>
      <c r="H3087" s="63"/>
    </row>
    <row r="3088" spans="1:8" x14ac:dyDescent="0.25">
      <c r="A3088" s="63"/>
      <c r="B3088" s="63">
        <f>'Padrão EPP'!B3088</f>
        <v>24</v>
      </c>
      <c r="C3088" s="63" t="str">
        <f>'Padrão EPP'!C3088</f>
        <v>PB</v>
      </c>
      <c r="D3088" s="63" t="str">
        <f>'Padrão EPP'!D3088</f>
        <v>INTERIOR II</v>
      </c>
      <c r="E3088" s="63">
        <f>'Padrão EPP'!E3088/2</f>
        <v>0</v>
      </c>
      <c r="F3088" s="67">
        <v>3.0000000000000001E-3</v>
      </c>
      <c r="G3088" s="67">
        <v>2E-3</v>
      </c>
      <c r="H3088" s="63"/>
    </row>
    <row r="3089" spans="1:8" x14ac:dyDescent="0.25">
      <c r="A3089" s="63"/>
      <c r="B3089" s="63">
        <f>'Padrão EPP'!B3089</f>
        <v>25</v>
      </c>
      <c r="C3089" s="63" t="str">
        <f>'Padrão EPP'!C3089</f>
        <v>PB</v>
      </c>
      <c r="D3089" s="63" t="str">
        <f>'Padrão EPP'!D3089</f>
        <v>INTERIOR II</v>
      </c>
      <c r="E3089" s="63">
        <f>'Padrão EPP'!E3089/2</f>
        <v>0</v>
      </c>
      <c r="F3089" s="67">
        <v>3.0000000000000001E-3</v>
      </c>
      <c r="G3089" s="67">
        <v>2E-3</v>
      </c>
      <c r="H3089" s="63"/>
    </row>
    <row r="3090" spans="1:8" x14ac:dyDescent="0.25">
      <c r="A3090" s="63"/>
      <c r="B3090" s="63">
        <f>'Padrão EPP'!B3090</f>
        <v>26</v>
      </c>
      <c r="C3090" s="63" t="str">
        <f>'Padrão EPP'!C3090</f>
        <v>PB</v>
      </c>
      <c r="D3090" s="63" t="str">
        <f>'Padrão EPP'!D3090</f>
        <v>INTERIOR II</v>
      </c>
      <c r="E3090" s="63">
        <f>'Padrão EPP'!E3090/2</f>
        <v>0</v>
      </c>
      <c r="F3090" s="67">
        <v>3.0000000000000001E-3</v>
      </c>
      <c r="G3090" s="67">
        <v>2E-3</v>
      </c>
      <c r="H3090" s="63"/>
    </row>
    <row r="3091" spans="1:8" x14ac:dyDescent="0.25">
      <c r="A3091" s="63"/>
      <c r="B3091" s="63">
        <f>'Padrão EPP'!B3091</f>
        <v>27</v>
      </c>
      <c r="C3091" s="63" t="str">
        <f>'Padrão EPP'!C3091</f>
        <v>PB</v>
      </c>
      <c r="D3091" s="63" t="str">
        <f>'Padrão EPP'!D3091</f>
        <v>INTERIOR II</v>
      </c>
      <c r="E3091" s="63">
        <f>'Padrão EPP'!E3091/2</f>
        <v>0</v>
      </c>
      <c r="F3091" s="67">
        <v>3.0000000000000001E-3</v>
      </c>
      <c r="G3091" s="67">
        <v>2E-3</v>
      </c>
      <c r="H3091" s="63"/>
    </row>
    <row r="3092" spans="1:8" x14ac:dyDescent="0.25">
      <c r="A3092" s="63"/>
      <c r="B3092" s="63">
        <f>'Padrão EPP'!B3092</f>
        <v>28</v>
      </c>
      <c r="C3092" s="63" t="str">
        <f>'Padrão EPP'!C3092</f>
        <v>PB</v>
      </c>
      <c r="D3092" s="63" t="str">
        <f>'Padrão EPP'!D3092</f>
        <v>INTERIOR II</v>
      </c>
      <c r="E3092" s="63">
        <f>'Padrão EPP'!E3092/2</f>
        <v>0</v>
      </c>
      <c r="F3092" s="67">
        <v>3.0000000000000001E-3</v>
      </c>
      <c r="G3092" s="67">
        <v>2E-3</v>
      </c>
      <c r="H3092" s="63"/>
    </row>
    <row r="3093" spans="1:8" x14ac:dyDescent="0.25">
      <c r="A3093" s="63"/>
      <c r="B3093" s="63">
        <f>'Padrão EPP'!B3093</f>
        <v>29</v>
      </c>
      <c r="C3093" s="63" t="str">
        <f>'Padrão EPP'!C3093</f>
        <v>PB</v>
      </c>
      <c r="D3093" s="63" t="str">
        <f>'Padrão EPP'!D3093</f>
        <v>INTERIOR II</v>
      </c>
      <c r="E3093" s="63">
        <f>'Padrão EPP'!E3093/2</f>
        <v>0</v>
      </c>
      <c r="F3093" s="67">
        <v>3.0000000000000001E-3</v>
      </c>
      <c r="G3093" s="67">
        <v>2E-3</v>
      </c>
      <c r="H3093" s="63"/>
    </row>
    <row r="3094" spans="1:8" x14ac:dyDescent="0.25">
      <c r="A3094" s="63"/>
      <c r="B3094" s="63">
        <f>'Padrão EPP'!B3094</f>
        <v>30</v>
      </c>
      <c r="C3094" s="63" t="str">
        <f>'Padrão EPP'!C3094</f>
        <v>PB</v>
      </c>
      <c r="D3094" s="63" t="str">
        <f>'Padrão EPP'!D3094</f>
        <v>INTERIOR II</v>
      </c>
      <c r="E3094" s="63">
        <f>'Padrão EPP'!E3094/2</f>
        <v>0</v>
      </c>
      <c r="F3094" s="67">
        <v>3.0000000000000001E-3</v>
      </c>
      <c r="G3094" s="67">
        <v>2E-3</v>
      </c>
      <c r="H3094" s="63"/>
    </row>
    <row r="3095" spans="1:8" x14ac:dyDescent="0.25">
      <c r="A3095" s="63"/>
      <c r="B3095" s="63">
        <f>'Padrão EPP'!B3095</f>
        <v>0</v>
      </c>
      <c r="C3095" s="63" t="str">
        <f>'Padrão EPP'!C3095</f>
        <v>PB</v>
      </c>
      <c r="D3095" s="63" t="str">
        <f>'Padrão EPP'!D3095</f>
        <v>INTERIOR II</v>
      </c>
      <c r="E3095" s="63">
        <f>'Padrão EPP'!E3095/2</f>
        <v>1.5214394455252955</v>
      </c>
      <c r="F3095" s="67">
        <v>3.0000000000000001E-3</v>
      </c>
      <c r="G3095" s="67">
        <v>2E-3</v>
      </c>
      <c r="H3095" s="63"/>
    </row>
    <row r="3096" spans="1:8" x14ac:dyDescent="0.25">
      <c r="A3096" s="63"/>
      <c r="B3096" s="63">
        <f>'Padrão EPP'!B3096</f>
        <v>0.25</v>
      </c>
      <c r="C3096" s="63" t="str">
        <f>'Padrão EPP'!C3096</f>
        <v>PB</v>
      </c>
      <c r="D3096" s="63" t="str">
        <f>'Padrão EPP'!D3096</f>
        <v>REDESPACHO</v>
      </c>
      <c r="E3096" s="63">
        <f>'Padrão EPP'!E3096/2</f>
        <v>15.837360002954588</v>
      </c>
      <c r="F3096" s="67">
        <v>3.0000000000000001E-3</v>
      </c>
      <c r="G3096" s="67">
        <v>2E-3</v>
      </c>
      <c r="H3096" s="63"/>
    </row>
    <row r="3097" spans="1:8" x14ac:dyDescent="0.25">
      <c r="A3097" s="63"/>
      <c r="B3097" s="63">
        <f>'Padrão EPP'!B3097</f>
        <v>0.5</v>
      </c>
      <c r="C3097" s="63" t="str">
        <f>'Padrão EPP'!C3097</f>
        <v>PB</v>
      </c>
      <c r="D3097" s="63" t="str">
        <f>'Padrão EPP'!D3097</f>
        <v>REDESPACHO</v>
      </c>
      <c r="E3097" s="63">
        <f>'Padrão EPP'!E3097/2</f>
        <v>17.456654144748988</v>
      </c>
      <c r="F3097" s="67">
        <v>3.0000000000000001E-3</v>
      </c>
      <c r="G3097" s="67">
        <v>2E-3</v>
      </c>
      <c r="H3097" s="63"/>
    </row>
    <row r="3098" spans="1:8" x14ac:dyDescent="0.25">
      <c r="A3098" s="63"/>
      <c r="B3098" s="63">
        <f>'Padrão EPP'!B3098</f>
        <v>0.75</v>
      </c>
      <c r="C3098" s="63" t="str">
        <f>'Padrão EPP'!C3098</f>
        <v>PB</v>
      </c>
      <c r="D3098" s="63" t="str">
        <f>'Padrão EPP'!D3098</f>
        <v>REDESPACHO</v>
      </c>
      <c r="E3098" s="63">
        <f>'Padrão EPP'!E3098/2</f>
        <v>19.240024302505876</v>
      </c>
      <c r="F3098" s="67">
        <v>3.0000000000000001E-3</v>
      </c>
      <c r="G3098" s="67">
        <v>2E-3</v>
      </c>
      <c r="H3098" s="63"/>
    </row>
    <row r="3099" spans="1:8" x14ac:dyDescent="0.25">
      <c r="A3099" s="63"/>
      <c r="B3099" s="63">
        <f>'Padrão EPP'!B3099</f>
        <v>1</v>
      </c>
      <c r="C3099" s="63" t="str">
        <f>'Padrão EPP'!C3099</f>
        <v>PB</v>
      </c>
      <c r="D3099" s="63" t="str">
        <f>'Padrão EPP'!D3099</f>
        <v>REDESPACHO</v>
      </c>
      <c r="E3099" s="63">
        <f>'Padrão EPP'!E3099/2</f>
        <v>20.469985953668463</v>
      </c>
      <c r="F3099" s="67">
        <v>3.0000000000000001E-3</v>
      </c>
      <c r="G3099" s="67">
        <v>2E-3</v>
      </c>
      <c r="H3099" s="63"/>
    </row>
    <row r="3100" spans="1:8" x14ac:dyDescent="0.25">
      <c r="A3100" s="63"/>
      <c r="B3100" s="63">
        <f>'Padrão EPP'!B3100</f>
        <v>2</v>
      </c>
      <c r="C3100" s="63" t="str">
        <f>'Padrão EPP'!C3100</f>
        <v>PB</v>
      </c>
      <c r="D3100" s="63" t="str">
        <f>'Padrão EPP'!D3100</f>
        <v>REDESPACHO</v>
      </c>
      <c r="E3100" s="63">
        <f>'Padrão EPP'!E3100/2</f>
        <v>24.666544207452347</v>
      </c>
      <c r="F3100" s="67">
        <v>3.0000000000000001E-3</v>
      </c>
      <c r="G3100" s="67">
        <v>2E-3</v>
      </c>
      <c r="H3100" s="63"/>
    </row>
    <row r="3101" spans="1:8" x14ac:dyDescent="0.25">
      <c r="A3101" s="63"/>
      <c r="B3101" s="63">
        <f>'Padrão EPP'!B3101</f>
        <v>3</v>
      </c>
      <c r="C3101" s="63" t="str">
        <f>'Padrão EPP'!C3101</f>
        <v>PB</v>
      </c>
      <c r="D3101" s="63" t="str">
        <f>'Padrão EPP'!D3101</f>
        <v>REDESPACHO</v>
      </c>
      <c r="E3101" s="63">
        <f>'Padrão EPP'!E3101/2</f>
        <v>31.60612699127163</v>
      </c>
      <c r="F3101" s="67">
        <v>3.0000000000000001E-3</v>
      </c>
      <c r="G3101" s="67">
        <v>2E-3</v>
      </c>
      <c r="H3101" s="63"/>
    </row>
    <row r="3102" spans="1:8" x14ac:dyDescent="0.25">
      <c r="A3102" s="63"/>
      <c r="B3102" s="63">
        <f>'Padrão EPP'!B3102</f>
        <v>4</v>
      </c>
      <c r="C3102" s="63" t="str">
        <f>'Padrão EPP'!C3102</f>
        <v>PB</v>
      </c>
      <c r="D3102" s="63" t="str">
        <f>'Padrão EPP'!D3102</f>
        <v>REDESPACHO</v>
      </c>
      <c r="E3102" s="63">
        <f>'Padrão EPP'!E3102/2</f>
        <v>36.702480576710272</v>
      </c>
      <c r="F3102" s="67">
        <v>3.0000000000000001E-3</v>
      </c>
      <c r="G3102" s="67">
        <v>2E-3</v>
      </c>
      <c r="H3102" s="63"/>
    </row>
    <row r="3103" spans="1:8" x14ac:dyDescent="0.25">
      <c r="A3103" s="63"/>
      <c r="B3103" s="63">
        <f>'Padrão EPP'!B3103</f>
        <v>5</v>
      </c>
      <c r="C3103" s="63" t="str">
        <f>'Padrão EPP'!C3103</f>
        <v>PB</v>
      </c>
      <c r="D3103" s="63" t="str">
        <f>'Padrão EPP'!D3103</f>
        <v>REDESPACHO</v>
      </c>
      <c r="E3103" s="63">
        <f>'Padrão EPP'!E3103/2</f>
        <v>41.910066903416961</v>
      </c>
      <c r="F3103" s="67">
        <v>3.0000000000000001E-3</v>
      </c>
      <c r="G3103" s="67">
        <v>2E-3</v>
      </c>
      <c r="H3103" s="63"/>
    </row>
    <row r="3104" spans="1:8" x14ac:dyDescent="0.25">
      <c r="A3104" s="63"/>
      <c r="B3104" s="63">
        <f>'Padrão EPP'!B3104</f>
        <v>6</v>
      </c>
      <c r="C3104" s="63" t="str">
        <f>'Padrão EPP'!C3104</f>
        <v>PB</v>
      </c>
      <c r="D3104" s="63" t="str">
        <f>'Padrão EPP'!D3104</f>
        <v>REDESPACHO</v>
      </c>
      <c r="E3104" s="63">
        <f>'Padrão EPP'!E3104/2</f>
        <v>47.240009245518536</v>
      </c>
      <c r="F3104" s="67">
        <v>3.0000000000000001E-3</v>
      </c>
      <c r="G3104" s="67">
        <v>2E-3</v>
      </c>
      <c r="H3104" s="63"/>
    </row>
    <row r="3105" spans="1:8" x14ac:dyDescent="0.25">
      <c r="A3105" s="63"/>
      <c r="B3105" s="63">
        <f>'Padrão EPP'!B3105</f>
        <v>7</v>
      </c>
      <c r="C3105" s="63" t="str">
        <f>'Padrão EPP'!C3105</f>
        <v>PB</v>
      </c>
      <c r="D3105" s="63" t="str">
        <f>'Padrão EPP'!D3105</f>
        <v>REDESPACHO</v>
      </c>
      <c r="E3105" s="63">
        <f>'Padrão EPP'!E3105/2</f>
        <v>52.704543204554511</v>
      </c>
      <c r="F3105" s="67">
        <v>3.0000000000000001E-3</v>
      </c>
      <c r="G3105" s="67">
        <v>2E-3</v>
      </c>
      <c r="H3105" s="63"/>
    </row>
    <row r="3106" spans="1:8" x14ac:dyDescent="0.25">
      <c r="A3106" s="63"/>
      <c r="B3106" s="63">
        <f>'Padrão EPP'!B3106</f>
        <v>8</v>
      </c>
      <c r="C3106" s="63" t="str">
        <f>'Padrão EPP'!C3106</f>
        <v>PB</v>
      </c>
      <c r="D3106" s="63" t="str">
        <f>'Padrão EPP'!D3106</f>
        <v>REDESPACHO</v>
      </c>
      <c r="E3106" s="63">
        <f>'Padrão EPP'!E3106/2</f>
        <v>58.317127942218299</v>
      </c>
      <c r="F3106" s="67">
        <v>3.0000000000000001E-3</v>
      </c>
      <c r="G3106" s="67">
        <v>2E-3</v>
      </c>
      <c r="H3106" s="63"/>
    </row>
    <row r="3107" spans="1:8" x14ac:dyDescent="0.25">
      <c r="A3107" s="63"/>
      <c r="B3107" s="63">
        <f>'Padrão EPP'!B3107</f>
        <v>9</v>
      </c>
      <c r="C3107" s="63" t="str">
        <f>'Padrão EPP'!C3107</f>
        <v>PB</v>
      </c>
      <c r="D3107" s="63" t="str">
        <f>'Padrão EPP'!D3107</f>
        <v>REDESPACHO</v>
      </c>
      <c r="E3107" s="63">
        <f>'Padrão EPP'!E3107/2</f>
        <v>64.092568536372681</v>
      </c>
      <c r="F3107" s="67">
        <v>3.0000000000000001E-3</v>
      </c>
      <c r="G3107" s="67">
        <v>2E-3</v>
      </c>
      <c r="H3107" s="63"/>
    </row>
    <row r="3108" spans="1:8" x14ac:dyDescent="0.25">
      <c r="A3108" s="63"/>
      <c r="B3108" s="63">
        <f>'Padrão EPP'!B3108</f>
        <v>10</v>
      </c>
      <c r="C3108" s="63" t="str">
        <f>'Padrão EPP'!C3108</f>
        <v>PB</v>
      </c>
      <c r="D3108" s="63" t="str">
        <f>'Padrão EPP'!D3108</f>
        <v>REDESPACHO</v>
      </c>
      <c r="E3108" s="63">
        <f>'Padrão EPP'!E3108/2</f>
        <v>70.493302708772831</v>
      </c>
      <c r="F3108" s="67">
        <v>3.0000000000000001E-3</v>
      </c>
      <c r="G3108" s="67">
        <v>2E-3</v>
      </c>
      <c r="H3108" s="63"/>
    </row>
    <row r="3109" spans="1:8" x14ac:dyDescent="0.25">
      <c r="A3109" s="63"/>
      <c r="B3109" s="63">
        <f>'Padrão EPP'!B3109</f>
        <v>11</v>
      </c>
      <c r="C3109" s="63" t="str">
        <f>'Padrão EPP'!C3109</f>
        <v>PB</v>
      </c>
      <c r="D3109" s="63" t="str">
        <f>'Padrão EPP'!D3109</f>
        <v>REDESPACHO</v>
      </c>
      <c r="E3109" s="63">
        <f>'Padrão EPP'!E3109/2</f>
        <v>0</v>
      </c>
      <c r="F3109" s="67">
        <v>3.0000000000000001E-3</v>
      </c>
      <c r="G3109" s="67">
        <v>2E-3</v>
      </c>
      <c r="H3109" s="63"/>
    </row>
    <row r="3110" spans="1:8" x14ac:dyDescent="0.25">
      <c r="A3110" s="63"/>
      <c r="B3110" s="63">
        <f>'Padrão EPP'!B3110</f>
        <v>12</v>
      </c>
      <c r="C3110" s="63" t="str">
        <f>'Padrão EPP'!C3110</f>
        <v>PB</v>
      </c>
      <c r="D3110" s="63" t="str">
        <f>'Padrão EPP'!D3110</f>
        <v>REDESPACHO</v>
      </c>
      <c r="E3110" s="63">
        <f>'Padrão EPP'!E3110/2</f>
        <v>0</v>
      </c>
      <c r="F3110" s="67">
        <v>3.0000000000000001E-3</v>
      </c>
      <c r="G3110" s="67">
        <v>2E-3</v>
      </c>
      <c r="H3110" s="63"/>
    </row>
    <row r="3111" spans="1:8" x14ac:dyDescent="0.25">
      <c r="A3111" s="63"/>
      <c r="B3111" s="63">
        <f>'Padrão EPP'!B3111</f>
        <v>13</v>
      </c>
      <c r="C3111" s="63" t="str">
        <f>'Padrão EPP'!C3111</f>
        <v>PB</v>
      </c>
      <c r="D3111" s="63" t="str">
        <f>'Padrão EPP'!D3111</f>
        <v>REDESPACHO</v>
      </c>
      <c r="E3111" s="63">
        <f>'Padrão EPP'!E3111/2</f>
        <v>0</v>
      </c>
      <c r="F3111" s="67">
        <v>3.0000000000000001E-3</v>
      </c>
      <c r="G3111" s="67">
        <v>2E-3</v>
      </c>
      <c r="H3111" s="63"/>
    </row>
    <row r="3112" spans="1:8" x14ac:dyDescent="0.25">
      <c r="A3112" s="63"/>
      <c r="B3112" s="63">
        <f>'Padrão EPP'!B3112</f>
        <v>14</v>
      </c>
      <c r="C3112" s="63" t="str">
        <f>'Padrão EPP'!C3112</f>
        <v>PB</v>
      </c>
      <c r="D3112" s="63" t="str">
        <f>'Padrão EPP'!D3112</f>
        <v>REDESPACHO</v>
      </c>
      <c r="E3112" s="63">
        <f>'Padrão EPP'!E3112/2</f>
        <v>0</v>
      </c>
      <c r="F3112" s="67">
        <v>3.0000000000000001E-3</v>
      </c>
      <c r="G3112" s="67">
        <v>2E-3</v>
      </c>
      <c r="H3112" s="63"/>
    </row>
    <row r="3113" spans="1:8" x14ac:dyDescent="0.25">
      <c r="A3113" s="63"/>
      <c r="B3113" s="63">
        <f>'Padrão EPP'!B3113</f>
        <v>15</v>
      </c>
      <c r="C3113" s="63" t="str">
        <f>'Padrão EPP'!C3113</f>
        <v>PB</v>
      </c>
      <c r="D3113" s="63" t="str">
        <f>'Padrão EPP'!D3113</f>
        <v>REDESPACHO</v>
      </c>
      <c r="E3113" s="63">
        <f>'Padrão EPP'!E3113/2</f>
        <v>0</v>
      </c>
      <c r="F3113" s="67">
        <v>3.0000000000000001E-3</v>
      </c>
      <c r="G3113" s="67">
        <v>2E-3</v>
      </c>
      <c r="H3113" s="63"/>
    </row>
    <row r="3114" spans="1:8" x14ac:dyDescent="0.25">
      <c r="A3114" s="63"/>
      <c r="B3114" s="63">
        <f>'Padrão EPP'!B3114</f>
        <v>16</v>
      </c>
      <c r="C3114" s="63" t="str">
        <f>'Padrão EPP'!C3114</f>
        <v>PB</v>
      </c>
      <c r="D3114" s="63" t="str">
        <f>'Padrão EPP'!D3114</f>
        <v>REDESPACHO</v>
      </c>
      <c r="E3114" s="63">
        <f>'Padrão EPP'!E3114/2</f>
        <v>0</v>
      </c>
      <c r="F3114" s="67">
        <v>3.0000000000000001E-3</v>
      </c>
      <c r="G3114" s="67">
        <v>2E-3</v>
      </c>
      <c r="H3114" s="63"/>
    </row>
    <row r="3115" spans="1:8" x14ac:dyDescent="0.25">
      <c r="A3115" s="63"/>
      <c r="B3115" s="63">
        <f>'Padrão EPP'!B3115</f>
        <v>17</v>
      </c>
      <c r="C3115" s="63" t="str">
        <f>'Padrão EPP'!C3115</f>
        <v>PB</v>
      </c>
      <c r="D3115" s="63" t="str">
        <f>'Padrão EPP'!D3115</f>
        <v>REDESPACHO</v>
      </c>
      <c r="E3115" s="63">
        <f>'Padrão EPP'!E3115/2</f>
        <v>0</v>
      </c>
      <c r="F3115" s="67">
        <v>3.0000000000000001E-3</v>
      </c>
      <c r="G3115" s="67">
        <v>2E-3</v>
      </c>
      <c r="H3115" s="63"/>
    </row>
    <row r="3116" spans="1:8" x14ac:dyDescent="0.25">
      <c r="A3116" s="63"/>
      <c r="B3116" s="63">
        <f>'Padrão EPP'!B3116</f>
        <v>18</v>
      </c>
      <c r="C3116" s="63" t="str">
        <f>'Padrão EPP'!C3116</f>
        <v>PB</v>
      </c>
      <c r="D3116" s="63" t="str">
        <f>'Padrão EPP'!D3116</f>
        <v>REDESPACHO</v>
      </c>
      <c r="E3116" s="63">
        <f>'Padrão EPP'!E3116/2</f>
        <v>0</v>
      </c>
      <c r="F3116" s="67">
        <v>3.0000000000000001E-3</v>
      </c>
      <c r="G3116" s="67">
        <v>2E-3</v>
      </c>
      <c r="H3116" s="63"/>
    </row>
    <row r="3117" spans="1:8" x14ac:dyDescent="0.25">
      <c r="A3117" s="63"/>
      <c r="B3117" s="63">
        <f>'Padrão EPP'!B3117</f>
        <v>19</v>
      </c>
      <c r="C3117" s="63" t="str">
        <f>'Padrão EPP'!C3117</f>
        <v>PB</v>
      </c>
      <c r="D3117" s="63" t="str">
        <f>'Padrão EPP'!D3117</f>
        <v>REDESPACHO</v>
      </c>
      <c r="E3117" s="63">
        <f>'Padrão EPP'!E3117/2</f>
        <v>0</v>
      </c>
      <c r="F3117" s="67">
        <v>3.0000000000000001E-3</v>
      </c>
      <c r="G3117" s="67">
        <v>2E-3</v>
      </c>
      <c r="H3117" s="63"/>
    </row>
    <row r="3118" spans="1:8" x14ac:dyDescent="0.25">
      <c r="A3118" s="63"/>
      <c r="B3118" s="63">
        <f>'Padrão EPP'!B3118</f>
        <v>20</v>
      </c>
      <c r="C3118" s="63" t="str">
        <f>'Padrão EPP'!C3118</f>
        <v>PB</v>
      </c>
      <c r="D3118" s="63" t="str">
        <f>'Padrão EPP'!D3118</f>
        <v>REDESPACHO</v>
      </c>
      <c r="E3118" s="63">
        <f>'Padrão EPP'!E3118/2</f>
        <v>0</v>
      </c>
      <c r="F3118" s="67">
        <v>3.0000000000000001E-3</v>
      </c>
      <c r="G3118" s="67">
        <v>2E-3</v>
      </c>
      <c r="H3118" s="63"/>
    </row>
    <row r="3119" spans="1:8" x14ac:dyDescent="0.25">
      <c r="A3119" s="63"/>
      <c r="B3119" s="63">
        <f>'Padrão EPP'!B3119</f>
        <v>21</v>
      </c>
      <c r="C3119" s="63" t="str">
        <f>'Padrão EPP'!C3119</f>
        <v>PB</v>
      </c>
      <c r="D3119" s="63" t="str">
        <f>'Padrão EPP'!D3119</f>
        <v>REDESPACHO</v>
      </c>
      <c r="E3119" s="63">
        <f>'Padrão EPP'!E3119/2</f>
        <v>0</v>
      </c>
      <c r="F3119" s="67">
        <v>3.0000000000000001E-3</v>
      </c>
      <c r="G3119" s="67">
        <v>2E-3</v>
      </c>
      <c r="H3119" s="63"/>
    </row>
    <row r="3120" spans="1:8" x14ac:dyDescent="0.25">
      <c r="A3120" s="63"/>
      <c r="B3120" s="63">
        <f>'Padrão EPP'!B3120</f>
        <v>22</v>
      </c>
      <c r="C3120" s="63" t="str">
        <f>'Padrão EPP'!C3120</f>
        <v>PB</v>
      </c>
      <c r="D3120" s="63" t="str">
        <f>'Padrão EPP'!D3120</f>
        <v>REDESPACHO</v>
      </c>
      <c r="E3120" s="63">
        <f>'Padrão EPP'!E3120/2</f>
        <v>0</v>
      </c>
      <c r="F3120" s="67">
        <v>3.0000000000000001E-3</v>
      </c>
      <c r="G3120" s="67">
        <v>2E-3</v>
      </c>
      <c r="H3120" s="63"/>
    </row>
    <row r="3121" spans="1:8" x14ac:dyDescent="0.25">
      <c r="A3121" s="63"/>
      <c r="B3121" s="63">
        <f>'Padrão EPP'!B3121</f>
        <v>23</v>
      </c>
      <c r="C3121" s="63" t="str">
        <f>'Padrão EPP'!C3121</f>
        <v>PB</v>
      </c>
      <c r="D3121" s="63" t="str">
        <f>'Padrão EPP'!D3121</f>
        <v>REDESPACHO</v>
      </c>
      <c r="E3121" s="63">
        <f>'Padrão EPP'!E3121/2</f>
        <v>0</v>
      </c>
      <c r="F3121" s="67">
        <v>3.0000000000000001E-3</v>
      </c>
      <c r="G3121" s="67">
        <v>2E-3</v>
      </c>
      <c r="H3121" s="63"/>
    </row>
    <row r="3122" spans="1:8" x14ac:dyDescent="0.25">
      <c r="A3122" s="63"/>
      <c r="B3122" s="63">
        <f>'Padrão EPP'!B3122</f>
        <v>24</v>
      </c>
      <c r="C3122" s="63" t="str">
        <f>'Padrão EPP'!C3122</f>
        <v>PB</v>
      </c>
      <c r="D3122" s="63" t="str">
        <f>'Padrão EPP'!D3122</f>
        <v>REDESPACHO</v>
      </c>
      <c r="E3122" s="63">
        <f>'Padrão EPP'!E3122/2</f>
        <v>0</v>
      </c>
      <c r="F3122" s="67">
        <v>3.0000000000000001E-3</v>
      </c>
      <c r="G3122" s="67">
        <v>2E-3</v>
      </c>
      <c r="H3122" s="63"/>
    </row>
    <row r="3123" spans="1:8" x14ac:dyDescent="0.25">
      <c r="A3123" s="63"/>
      <c r="B3123" s="63">
        <f>'Padrão EPP'!B3123</f>
        <v>25</v>
      </c>
      <c r="C3123" s="63" t="str">
        <f>'Padrão EPP'!C3123</f>
        <v>PB</v>
      </c>
      <c r="D3123" s="63" t="str">
        <f>'Padrão EPP'!D3123</f>
        <v>REDESPACHO</v>
      </c>
      <c r="E3123" s="63">
        <f>'Padrão EPP'!E3123/2</f>
        <v>0</v>
      </c>
      <c r="F3123" s="67">
        <v>3.0000000000000001E-3</v>
      </c>
      <c r="G3123" s="67">
        <v>2E-3</v>
      </c>
      <c r="H3123" s="63"/>
    </row>
    <row r="3124" spans="1:8" x14ac:dyDescent="0.25">
      <c r="A3124" s="63"/>
      <c r="B3124" s="63">
        <f>'Padrão EPP'!B3124</f>
        <v>26</v>
      </c>
      <c r="C3124" s="63" t="str">
        <f>'Padrão EPP'!C3124</f>
        <v>PB</v>
      </c>
      <c r="D3124" s="63" t="str">
        <f>'Padrão EPP'!D3124</f>
        <v>REDESPACHO</v>
      </c>
      <c r="E3124" s="63">
        <f>'Padrão EPP'!E3124/2</f>
        <v>0</v>
      </c>
      <c r="F3124" s="67">
        <v>3.0000000000000001E-3</v>
      </c>
      <c r="G3124" s="67">
        <v>2E-3</v>
      </c>
      <c r="H3124" s="63"/>
    </row>
    <row r="3125" spans="1:8" x14ac:dyDescent="0.25">
      <c r="A3125" s="63"/>
      <c r="B3125" s="63">
        <f>'Padrão EPP'!B3125</f>
        <v>27</v>
      </c>
      <c r="C3125" s="63" t="str">
        <f>'Padrão EPP'!C3125</f>
        <v>PB</v>
      </c>
      <c r="D3125" s="63" t="str">
        <f>'Padrão EPP'!D3125</f>
        <v>REDESPACHO</v>
      </c>
      <c r="E3125" s="63">
        <f>'Padrão EPP'!E3125/2</f>
        <v>0</v>
      </c>
      <c r="F3125" s="67">
        <v>3.0000000000000001E-3</v>
      </c>
      <c r="G3125" s="67">
        <v>2E-3</v>
      </c>
      <c r="H3125" s="63"/>
    </row>
    <row r="3126" spans="1:8" x14ac:dyDescent="0.25">
      <c r="A3126" s="63"/>
      <c r="B3126" s="63">
        <f>'Padrão EPP'!B3126</f>
        <v>28</v>
      </c>
      <c r="C3126" s="63" t="str">
        <f>'Padrão EPP'!C3126</f>
        <v>PB</v>
      </c>
      <c r="D3126" s="63" t="str">
        <f>'Padrão EPP'!D3126</f>
        <v>REDESPACHO</v>
      </c>
      <c r="E3126" s="63">
        <f>'Padrão EPP'!E3126/2</f>
        <v>0</v>
      </c>
      <c r="F3126" s="67">
        <v>3.0000000000000001E-3</v>
      </c>
      <c r="G3126" s="67">
        <v>2E-3</v>
      </c>
      <c r="H3126" s="63"/>
    </row>
    <row r="3127" spans="1:8" x14ac:dyDescent="0.25">
      <c r="A3127" s="63"/>
      <c r="B3127" s="63">
        <f>'Padrão EPP'!B3127</f>
        <v>29</v>
      </c>
      <c r="C3127" s="63" t="str">
        <f>'Padrão EPP'!C3127</f>
        <v>PB</v>
      </c>
      <c r="D3127" s="63" t="str">
        <f>'Padrão EPP'!D3127</f>
        <v>REDESPACHO</v>
      </c>
      <c r="E3127" s="63">
        <f>'Padrão EPP'!E3127/2</f>
        <v>0</v>
      </c>
      <c r="F3127" s="67">
        <v>3.0000000000000001E-3</v>
      </c>
      <c r="G3127" s="67">
        <v>2E-3</v>
      </c>
      <c r="H3127" s="63"/>
    </row>
    <row r="3128" spans="1:8" x14ac:dyDescent="0.25">
      <c r="A3128" s="63"/>
      <c r="B3128" s="63">
        <f>'Padrão EPP'!B3128</f>
        <v>30</v>
      </c>
      <c r="C3128" s="63" t="str">
        <f>'Padrão EPP'!C3128</f>
        <v>PB</v>
      </c>
      <c r="D3128" s="63" t="str">
        <f>'Padrão EPP'!D3128</f>
        <v>REDESPACHO</v>
      </c>
      <c r="E3128" s="63">
        <f>'Padrão EPP'!E3128/2</f>
        <v>0</v>
      </c>
      <c r="F3128" s="67">
        <v>3.0000000000000001E-3</v>
      </c>
      <c r="G3128" s="67">
        <v>2E-3</v>
      </c>
      <c r="H3128" s="63"/>
    </row>
    <row r="3129" spans="1:8" x14ac:dyDescent="0.25">
      <c r="A3129" s="63"/>
      <c r="B3129" s="63">
        <f>'Padrão EPP'!B3129</f>
        <v>0</v>
      </c>
      <c r="C3129" s="63" t="str">
        <f>'Padrão EPP'!C3129</f>
        <v>PB</v>
      </c>
      <c r="D3129" s="63" t="str">
        <f>'Padrão EPP'!D3129</f>
        <v>REDESPACHO</v>
      </c>
      <c r="E3129" s="63">
        <f>'Padrão EPP'!E3129/2</f>
        <v>1.5214394455252955</v>
      </c>
      <c r="F3129" s="67">
        <v>3.0000000000000001E-3</v>
      </c>
      <c r="G3129" s="67">
        <v>2E-3</v>
      </c>
      <c r="H3129" s="63"/>
    </row>
    <row r="3130" spans="1:8" x14ac:dyDescent="0.25">
      <c r="A3130" s="63"/>
      <c r="B3130" s="63">
        <f>'Padrão EPP'!B3130</f>
        <v>0.25</v>
      </c>
      <c r="C3130" s="63" t="str">
        <f>'Padrão EPP'!C3130</f>
        <v>SE</v>
      </c>
      <c r="D3130" s="63" t="str">
        <f>'Padrão EPP'!D3130</f>
        <v>CAPITAL</v>
      </c>
      <c r="E3130" s="63">
        <f>'Padrão EPP'!E3130/2</f>
        <v>6.6687106576559358</v>
      </c>
      <c r="F3130" s="67">
        <v>3.0000000000000001E-3</v>
      </c>
      <c r="G3130" s="67">
        <v>2E-3</v>
      </c>
      <c r="H3130" s="63"/>
    </row>
    <row r="3131" spans="1:8" x14ac:dyDescent="0.25">
      <c r="A3131" s="63"/>
      <c r="B3131" s="63">
        <f>'Padrão EPP'!B3131</f>
        <v>0.5</v>
      </c>
      <c r="C3131" s="63" t="str">
        <f>'Padrão EPP'!C3131</f>
        <v>SE</v>
      </c>
      <c r="D3131" s="63" t="str">
        <f>'Padrão EPP'!D3131</f>
        <v>CAPITAL</v>
      </c>
      <c r="E3131" s="63">
        <f>'Padrão EPP'!E3131/2</f>
        <v>7.2245977078112977</v>
      </c>
      <c r="F3131" s="67">
        <v>3.0000000000000001E-3</v>
      </c>
      <c r="G3131" s="67">
        <v>2E-3</v>
      </c>
      <c r="H3131" s="63"/>
    </row>
    <row r="3132" spans="1:8" x14ac:dyDescent="0.25">
      <c r="A3132" s="63"/>
      <c r="B3132" s="63">
        <f>'Padrão EPP'!B3132</f>
        <v>0.75</v>
      </c>
      <c r="C3132" s="63" t="str">
        <f>'Padrão EPP'!C3132</f>
        <v>SE</v>
      </c>
      <c r="D3132" s="63" t="str">
        <f>'Padrão EPP'!D3132</f>
        <v>CAPITAL</v>
      </c>
      <c r="E3132" s="63">
        <f>'Padrão EPP'!E3132/2</f>
        <v>7.7459338114036695</v>
      </c>
      <c r="F3132" s="67">
        <v>3.0000000000000001E-3</v>
      </c>
      <c r="G3132" s="67">
        <v>2E-3</v>
      </c>
      <c r="H3132" s="63"/>
    </row>
    <row r="3133" spans="1:8" x14ac:dyDescent="0.25">
      <c r="A3133" s="63"/>
      <c r="B3133" s="63">
        <f>'Padrão EPP'!B3133</f>
        <v>1</v>
      </c>
      <c r="C3133" s="63" t="str">
        <f>'Padrão EPP'!C3133</f>
        <v>SE</v>
      </c>
      <c r="D3133" s="63" t="str">
        <f>'Padrão EPP'!D3133</f>
        <v>CAPITAL</v>
      </c>
      <c r="E3133" s="63">
        <f>'Padrão EPP'!E3133/2</f>
        <v>8.400159380112731</v>
      </c>
      <c r="F3133" s="67">
        <v>3.0000000000000001E-3</v>
      </c>
      <c r="G3133" s="67">
        <v>2E-3</v>
      </c>
      <c r="H3133" s="63"/>
    </row>
    <row r="3134" spans="1:8" x14ac:dyDescent="0.25">
      <c r="A3134" s="63"/>
      <c r="B3134" s="63">
        <f>'Padrão EPP'!B3134</f>
        <v>2</v>
      </c>
      <c r="C3134" s="63" t="str">
        <f>'Padrão EPP'!C3134</f>
        <v>SE</v>
      </c>
      <c r="D3134" s="63" t="str">
        <f>'Padrão EPP'!D3134</f>
        <v>CAPITAL</v>
      </c>
      <c r="E3134" s="63">
        <f>'Padrão EPP'!E3134/2</f>
        <v>10.078875480918676</v>
      </c>
      <c r="F3134" s="67">
        <v>3.0000000000000001E-3</v>
      </c>
      <c r="G3134" s="67">
        <v>2E-3</v>
      </c>
      <c r="H3134" s="63"/>
    </row>
    <row r="3135" spans="1:8" x14ac:dyDescent="0.25">
      <c r="A3135" s="63"/>
      <c r="B3135" s="63">
        <f>'Padrão EPP'!B3135</f>
        <v>3</v>
      </c>
      <c r="C3135" s="63" t="str">
        <f>'Padrão EPP'!C3135</f>
        <v>SE</v>
      </c>
      <c r="D3135" s="63" t="str">
        <f>'Padrão EPP'!D3135</f>
        <v>CAPITAL</v>
      </c>
      <c r="E3135" s="63">
        <f>'Padrão EPP'!E3135/2</f>
        <v>12.91993748201363</v>
      </c>
      <c r="F3135" s="67">
        <v>3.0000000000000001E-3</v>
      </c>
      <c r="G3135" s="67">
        <v>2E-3</v>
      </c>
      <c r="H3135" s="63"/>
    </row>
    <row r="3136" spans="1:8" x14ac:dyDescent="0.25">
      <c r="A3136" s="63"/>
      <c r="B3136" s="63">
        <f>'Padrão EPP'!B3136</f>
        <v>4</v>
      </c>
      <c r="C3136" s="63" t="str">
        <f>'Padrão EPP'!C3136</f>
        <v>SE</v>
      </c>
      <c r="D3136" s="63" t="str">
        <f>'Padrão EPP'!D3136</f>
        <v>CAPITAL</v>
      </c>
      <c r="E3136" s="63">
        <f>'Padrão EPP'!E3136/2</f>
        <v>15.838035206862736</v>
      </c>
      <c r="F3136" s="67">
        <v>3.0000000000000001E-3</v>
      </c>
      <c r="G3136" s="67">
        <v>2E-3</v>
      </c>
      <c r="H3136" s="63"/>
    </row>
    <row r="3137" spans="1:8" x14ac:dyDescent="0.25">
      <c r="A3137" s="63"/>
      <c r="B3137" s="63">
        <f>'Padrão EPP'!B3137</f>
        <v>5</v>
      </c>
      <c r="C3137" s="63" t="str">
        <f>'Padrão EPP'!C3137</f>
        <v>SE</v>
      </c>
      <c r="D3137" s="63" t="str">
        <f>'Padrão EPP'!D3137</f>
        <v>CAPITAL</v>
      </c>
      <c r="E3137" s="63">
        <f>'Padrão EPP'!E3137/2</f>
        <v>19.206345927142252</v>
      </c>
      <c r="F3137" s="67">
        <v>3.0000000000000001E-3</v>
      </c>
      <c r="G3137" s="67">
        <v>2E-3</v>
      </c>
      <c r="H3137" s="63"/>
    </row>
    <row r="3138" spans="1:8" x14ac:dyDescent="0.25">
      <c r="A3138" s="63"/>
      <c r="B3138" s="63">
        <f>'Padrão EPP'!B3138</f>
        <v>6</v>
      </c>
      <c r="C3138" s="63" t="str">
        <f>'Padrão EPP'!C3138</f>
        <v>SE</v>
      </c>
      <c r="D3138" s="63" t="str">
        <f>'Padrão EPP'!D3138</f>
        <v>CAPITAL</v>
      </c>
      <c r="E3138" s="63">
        <f>'Padrão EPP'!E3138/2</f>
        <v>24.079713198089003</v>
      </c>
      <c r="F3138" s="67">
        <v>3.0000000000000001E-3</v>
      </c>
      <c r="G3138" s="67">
        <v>2E-3</v>
      </c>
      <c r="H3138" s="63"/>
    </row>
    <row r="3139" spans="1:8" x14ac:dyDescent="0.25">
      <c r="A3139" s="63"/>
      <c r="B3139" s="63">
        <f>'Padrão EPP'!B3139</f>
        <v>7</v>
      </c>
      <c r="C3139" s="63" t="str">
        <f>'Padrão EPP'!C3139</f>
        <v>SE</v>
      </c>
      <c r="D3139" s="63" t="str">
        <f>'Padrão EPP'!D3139</f>
        <v>CAPITAL</v>
      </c>
      <c r="E3139" s="63">
        <f>'Padrão EPP'!E3139/2</f>
        <v>27.129704164222154</v>
      </c>
      <c r="F3139" s="67">
        <v>3.0000000000000001E-3</v>
      </c>
      <c r="G3139" s="67">
        <v>2E-3</v>
      </c>
      <c r="H3139" s="63"/>
    </row>
    <row r="3140" spans="1:8" x14ac:dyDescent="0.25">
      <c r="A3140" s="63"/>
      <c r="B3140" s="63">
        <f>'Padrão EPP'!B3140</f>
        <v>8</v>
      </c>
      <c r="C3140" s="63" t="str">
        <f>'Padrão EPP'!C3140</f>
        <v>SE</v>
      </c>
      <c r="D3140" s="63" t="str">
        <f>'Padrão EPP'!D3140</f>
        <v>CAPITAL</v>
      </c>
      <c r="E3140" s="63">
        <f>'Padrão EPP'!E3140/2</f>
        <v>30.223739765218916</v>
      </c>
      <c r="F3140" s="67">
        <v>3.0000000000000001E-3</v>
      </c>
      <c r="G3140" s="67">
        <v>2E-3</v>
      </c>
      <c r="H3140" s="63"/>
    </row>
    <row r="3141" spans="1:8" x14ac:dyDescent="0.25">
      <c r="A3141" s="63"/>
      <c r="B3141" s="63">
        <f>'Padrão EPP'!B3141</f>
        <v>9</v>
      </c>
      <c r="C3141" s="63" t="str">
        <f>'Padrão EPP'!C3141</f>
        <v>SE</v>
      </c>
      <c r="D3141" s="63" t="str">
        <f>'Padrão EPP'!D3141</f>
        <v>CAPITAL</v>
      </c>
      <c r="E3141" s="63">
        <f>'Padrão EPP'!E3141/2</f>
        <v>33.366224464565612</v>
      </c>
      <c r="F3141" s="67">
        <v>3.0000000000000001E-3</v>
      </c>
      <c r="G3141" s="67">
        <v>2E-3</v>
      </c>
      <c r="H3141" s="63"/>
    </row>
    <row r="3142" spans="1:8" x14ac:dyDescent="0.25">
      <c r="A3142" s="63"/>
      <c r="B3142" s="63">
        <f>'Padrão EPP'!B3142</f>
        <v>10</v>
      </c>
      <c r="C3142" s="63" t="str">
        <f>'Padrão EPP'!C3142</f>
        <v>SE</v>
      </c>
      <c r="D3142" s="63" t="str">
        <f>'Padrão EPP'!D3142</f>
        <v>CAPITAL</v>
      </c>
      <c r="E3142" s="63">
        <f>'Padrão EPP'!E3142/2</f>
        <v>36.285635672509585</v>
      </c>
      <c r="F3142" s="67">
        <v>3.0000000000000001E-3</v>
      </c>
      <c r="G3142" s="67">
        <v>2E-3</v>
      </c>
      <c r="H3142" s="63"/>
    </row>
    <row r="3143" spans="1:8" x14ac:dyDescent="0.25">
      <c r="A3143" s="63"/>
      <c r="B3143" s="63">
        <f>'Padrão EPP'!B3143</f>
        <v>11</v>
      </c>
      <c r="C3143" s="63" t="str">
        <f>'Padrão EPP'!C3143</f>
        <v>SE</v>
      </c>
      <c r="D3143" s="63" t="str">
        <f>'Padrão EPP'!D3143</f>
        <v>CAPITAL</v>
      </c>
      <c r="E3143" s="63">
        <f>'Padrão EPP'!E3143/2</f>
        <v>0</v>
      </c>
      <c r="F3143" s="67">
        <v>3.0000000000000001E-3</v>
      </c>
      <c r="G3143" s="67">
        <v>2E-3</v>
      </c>
      <c r="H3143" s="63"/>
    </row>
    <row r="3144" spans="1:8" x14ac:dyDescent="0.25">
      <c r="A3144" s="63"/>
      <c r="B3144" s="63">
        <f>'Padrão EPP'!B3144</f>
        <v>12</v>
      </c>
      <c r="C3144" s="63" t="str">
        <f>'Padrão EPP'!C3144</f>
        <v>SE</v>
      </c>
      <c r="D3144" s="63" t="str">
        <f>'Padrão EPP'!D3144</f>
        <v>CAPITAL</v>
      </c>
      <c r="E3144" s="63">
        <f>'Padrão EPP'!E3144/2</f>
        <v>0</v>
      </c>
      <c r="F3144" s="67">
        <v>3.0000000000000001E-3</v>
      </c>
      <c r="G3144" s="67">
        <v>2E-3</v>
      </c>
      <c r="H3144" s="63"/>
    </row>
    <row r="3145" spans="1:8" x14ac:dyDescent="0.25">
      <c r="A3145" s="63"/>
      <c r="B3145" s="63">
        <f>'Padrão EPP'!B3145</f>
        <v>13</v>
      </c>
      <c r="C3145" s="63" t="str">
        <f>'Padrão EPP'!C3145</f>
        <v>SE</v>
      </c>
      <c r="D3145" s="63" t="str">
        <f>'Padrão EPP'!D3145</f>
        <v>CAPITAL</v>
      </c>
      <c r="E3145" s="63">
        <f>'Padrão EPP'!E3145/2</f>
        <v>0</v>
      </c>
      <c r="F3145" s="67">
        <v>3.0000000000000001E-3</v>
      </c>
      <c r="G3145" s="67">
        <v>2E-3</v>
      </c>
      <c r="H3145" s="63"/>
    </row>
    <row r="3146" spans="1:8" x14ac:dyDescent="0.25">
      <c r="A3146" s="63"/>
      <c r="B3146" s="63">
        <f>'Padrão EPP'!B3146</f>
        <v>14</v>
      </c>
      <c r="C3146" s="63" t="str">
        <f>'Padrão EPP'!C3146</f>
        <v>SE</v>
      </c>
      <c r="D3146" s="63" t="str">
        <f>'Padrão EPP'!D3146</f>
        <v>CAPITAL</v>
      </c>
      <c r="E3146" s="63">
        <f>'Padrão EPP'!E3146/2</f>
        <v>0</v>
      </c>
      <c r="F3146" s="67">
        <v>3.0000000000000001E-3</v>
      </c>
      <c r="G3146" s="67">
        <v>2E-3</v>
      </c>
      <c r="H3146" s="63"/>
    </row>
    <row r="3147" spans="1:8" x14ac:dyDescent="0.25">
      <c r="A3147" s="63"/>
      <c r="B3147" s="63">
        <f>'Padrão EPP'!B3147</f>
        <v>15</v>
      </c>
      <c r="C3147" s="63" t="str">
        <f>'Padrão EPP'!C3147</f>
        <v>SE</v>
      </c>
      <c r="D3147" s="63" t="str">
        <f>'Padrão EPP'!D3147</f>
        <v>CAPITAL</v>
      </c>
      <c r="E3147" s="63">
        <f>'Padrão EPP'!E3147/2</f>
        <v>0</v>
      </c>
      <c r="F3147" s="67">
        <v>3.0000000000000001E-3</v>
      </c>
      <c r="G3147" s="67">
        <v>2E-3</v>
      </c>
      <c r="H3147" s="63"/>
    </row>
    <row r="3148" spans="1:8" x14ac:dyDescent="0.25">
      <c r="A3148" s="63"/>
      <c r="B3148" s="63">
        <f>'Padrão EPP'!B3148</f>
        <v>16</v>
      </c>
      <c r="C3148" s="63" t="str">
        <f>'Padrão EPP'!C3148</f>
        <v>SE</v>
      </c>
      <c r="D3148" s="63" t="str">
        <f>'Padrão EPP'!D3148</f>
        <v>CAPITAL</v>
      </c>
      <c r="E3148" s="63">
        <f>'Padrão EPP'!E3148/2</f>
        <v>0</v>
      </c>
      <c r="F3148" s="67">
        <v>3.0000000000000001E-3</v>
      </c>
      <c r="G3148" s="67">
        <v>2E-3</v>
      </c>
      <c r="H3148" s="63"/>
    </row>
    <row r="3149" spans="1:8" x14ac:dyDescent="0.25">
      <c r="A3149" s="63"/>
      <c r="B3149" s="63">
        <f>'Padrão EPP'!B3149</f>
        <v>17</v>
      </c>
      <c r="C3149" s="63" t="str">
        <f>'Padrão EPP'!C3149</f>
        <v>SE</v>
      </c>
      <c r="D3149" s="63" t="str">
        <f>'Padrão EPP'!D3149</f>
        <v>CAPITAL</v>
      </c>
      <c r="E3149" s="63">
        <f>'Padrão EPP'!E3149/2</f>
        <v>0</v>
      </c>
      <c r="F3149" s="67">
        <v>3.0000000000000001E-3</v>
      </c>
      <c r="G3149" s="67">
        <v>2E-3</v>
      </c>
      <c r="H3149" s="63"/>
    </row>
    <row r="3150" spans="1:8" x14ac:dyDescent="0.25">
      <c r="A3150" s="63"/>
      <c r="B3150" s="63">
        <f>'Padrão EPP'!B3150</f>
        <v>18</v>
      </c>
      <c r="C3150" s="63" t="str">
        <f>'Padrão EPP'!C3150</f>
        <v>SE</v>
      </c>
      <c r="D3150" s="63" t="str">
        <f>'Padrão EPP'!D3150</f>
        <v>CAPITAL</v>
      </c>
      <c r="E3150" s="63">
        <f>'Padrão EPP'!E3150/2</f>
        <v>0</v>
      </c>
      <c r="F3150" s="67">
        <v>3.0000000000000001E-3</v>
      </c>
      <c r="G3150" s="67">
        <v>2E-3</v>
      </c>
      <c r="H3150" s="63"/>
    </row>
    <row r="3151" spans="1:8" x14ac:dyDescent="0.25">
      <c r="A3151" s="63"/>
      <c r="B3151" s="63">
        <f>'Padrão EPP'!B3151</f>
        <v>19</v>
      </c>
      <c r="C3151" s="63" t="str">
        <f>'Padrão EPP'!C3151</f>
        <v>SE</v>
      </c>
      <c r="D3151" s="63" t="str">
        <f>'Padrão EPP'!D3151</f>
        <v>CAPITAL</v>
      </c>
      <c r="E3151" s="63">
        <f>'Padrão EPP'!E3151/2</f>
        <v>0</v>
      </c>
      <c r="F3151" s="67">
        <v>3.0000000000000001E-3</v>
      </c>
      <c r="G3151" s="67">
        <v>2E-3</v>
      </c>
      <c r="H3151" s="63"/>
    </row>
    <row r="3152" spans="1:8" x14ac:dyDescent="0.25">
      <c r="A3152" s="63"/>
      <c r="B3152" s="63">
        <f>'Padrão EPP'!B3152</f>
        <v>20</v>
      </c>
      <c r="C3152" s="63" t="str">
        <f>'Padrão EPP'!C3152</f>
        <v>SE</v>
      </c>
      <c r="D3152" s="63" t="str">
        <f>'Padrão EPP'!D3152</f>
        <v>CAPITAL</v>
      </c>
      <c r="E3152" s="63">
        <f>'Padrão EPP'!E3152/2</f>
        <v>0</v>
      </c>
      <c r="F3152" s="67">
        <v>3.0000000000000001E-3</v>
      </c>
      <c r="G3152" s="67">
        <v>2E-3</v>
      </c>
      <c r="H3152" s="63"/>
    </row>
    <row r="3153" spans="1:8" x14ac:dyDescent="0.25">
      <c r="A3153" s="63"/>
      <c r="B3153" s="63">
        <f>'Padrão EPP'!B3153</f>
        <v>21</v>
      </c>
      <c r="C3153" s="63" t="str">
        <f>'Padrão EPP'!C3153</f>
        <v>SE</v>
      </c>
      <c r="D3153" s="63" t="str">
        <f>'Padrão EPP'!D3153</f>
        <v>CAPITAL</v>
      </c>
      <c r="E3153" s="63">
        <f>'Padrão EPP'!E3153/2</f>
        <v>0</v>
      </c>
      <c r="F3153" s="67">
        <v>3.0000000000000001E-3</v>
      </c>
      <c r="G3153" s="67">
        <v>2E-3</v>
      </c>
      <c r="H3153" s="63"/>
    </row>
    <row r="3154" spans="1:8" x14ac:dyDescent="0.25">
      <c r="A3154" s="63"/>
      <c r="B3154" s="63">
        <f>'Padrão EPP'!B3154</f>
        <v>22</v>
      </c>
      <c r="C3154" s="63" t="str">
        <f>'Padrão EPP'!C3154</f>
        <v>SE</v>
      </c>
      <c r="D3154" s="63" t="str">
        <f>'Padrão EPP'!D3154</f>
        <v>CAPITAL</v>
      </c>
      <c r="E3154" s="63">
        <f>'Padrão EPP'!E3154/2</f>
        <v>0</v>
      </c>
      <c r="F3154" s="67">
        <v>3.0000000000000001E-3</v>
      </c>
      <c r="G3154" s="67">
        <v>2E-3</v>
      </c>
      <c r="H3154" s="63"/>
    </row>
    <row r="3155" spans="1:8" x14ac:dyDescent="0.25">
      <c r="A3155" s="63"/>
      <c r="B3155" s="63">
        <f>'Padrão EPP'!B3155</f>
        <v>23</v>
      </c>
      <c r="C3155" s="63" t="str">
        <f>'Padrão EPP'!C3155</f>
        <v>SE</v>
      </c>
      <c r="D3155" s="63" t="str">
        <f>'Padrão EPP'!D3155</f>
        <v>CAPITAL</v>
      </c>
      <c r="E3155" s="63">
        <f>'Padrão EPP'!E3155/2</f>
        <v>0</v>
      </c>
      <c r="F3155" s="67">
        <v>3.0000000000000001E-3</v>
      </c>
      <c r="G3155" s="67">
        <v>2E-3</v>
      </c>
      <c r="H3155" s="63"/>
    </row>
    <row r="3156" spans="1:8" x14ac:dyDescent="0.25">
      <c r="A3156" s="63"/>
      <c r="B3156" s="63">
        <f>'Padrão EPP'!B3156</f>
        <v>24</v>
      </c>
      <c r="C3156" s="63" t="str">
        <f>'Padrão EPP'!C3156</f>
        <v>SE</v>
      </c>
      <c r="D3156" s="63" t="str">
        <f>'Padrão EPP'!D3156</f>
        <v>CAPITAL</v>
      </c>
      <c r="E3156" s="63">
        <f>'Padrão EPP'!E3156/2</f>
        <v>0</v>
      </c>
      <c r="F3156" s="67">
        <v>3.0000000000000001E-3</v>
      </c>
      <c r="G3156" s="67">
        <v>2E-3</v>
      </c>
      <c r="H3156" s="63"/>
    </row>
    <row r="3157" spans="1:8" x14ac:dyDescent="0.25">
      <c r="A3157" s="63"/>
      <c r="B3157" s="63">
        <f>'Padrão EPP'!B3157</f>
        <v>25</v>
      </c>
      <c r="C3157" s="63" t="str">
        <f>'Padrão EPP'!C3157</f>
        <v>SE</v>
      </c>
      <c r="D3157" s="63" t="str">
        <f>'Padrão EPP'!D3157</f>
        <v>CAPITAL</v>
      </c>
      <c r="E3157" s="63">
        <f>'Padrão EPP'!E3157/2</f>
        <v>0</v>
      </c>
      <c r="F3157" s="67">
        <v>3.0000000000000001E-3</v>
      </c>
      <c r="G3157" s="67">
        <v>2E-3</v>
      </c>
      <c r="H3157" s="63"/>
    </row>
    <row r="3158" spans="1:8" x14ac:dyDescent="0.25">
      <c r="A3158" s="63"/>
      <c r="B3158" s="63">
        <f>'Padrão EPP'!B3158</f>
        <v>26</v>
      </c>
      <c r="C3158" s="63" t="str">
        <f>'Padrão EPP'!C3158</f>
        <v>SE</v>
      </c>
      <c r="D3158" s="63" t="str">
        <f>'Padrão EPP'!D3158</f>
        <v>CAPITAL</v>
      </c>
      <c r="E3158" s="63">
        <f>'Padrão EPP'!E3158/2</f>
        <v>0</v>
      </c>
      <c r="F3158" s="67">
        <v>3.0000000000000001E-3</v>
      </c>
      <c r="G3158" s="67">
        <v>2E-3</v>
      </c>
      <c r="H3158" s="63"/>
    </row>
    <row r="3159" spans="1:8" x14ac:dyDescent="0.25">
      <c r="A3159" s="63"/>
      <c r="B3159" s="63">
        <f>'Padrão EPP'!B3159</f>
        <v>27</v>
      </c>
      <c r="C3159" s="63" t="str">
        <f>'Padrão EPP'!C3159</f>
        <v>SE</v>
      </c>
      <c r="D3159" s="63" t="str">
        <f>'Padrão EPP'!D3159</f>
        <v>CAPITAL</v>
      </c>
      <c r="E3159" s="63">
        <f>'Padrão EPP'!E3159/2</f>
        <v>0</v>
      </c>
      <c r="F3159" s="67">
        <v>3.0000000000000001E-3</v>
      </c>
      <c r="G3159" s="67">
        <v>2E-3</v>
      </c>
      <c r="H3159" s="63"/>
    </row>
    <row r="3160" spans="1:8" x14ac:dyDescent="0.25">
      <c r="A3160" s="63"/>
      <c r="B3160" s="63">
        <f>'Padrão EPP'!B3160</f>
        <v>28</v>
      </c>
      <c r="C3160" s="63" t="str">
        <f>'Padrão EPP'!C3160</f>
        <v>SE</v>
      </c>
      <c r="D3160" s="63" t="str">
        <f>'Padrão EPP'!D3160</f>
        <v>CAPITAL</v>
      </c>
      <c r="E3160" s="63">
        <f>'Padrão EPP'!E3160/2</f>
        <v>0</v>
      </c>
      <c r="F3160" s="67">
        <v>3.0000000000000001E-3</v>
      </c>
      <c r="G3160" s="67">
        <v>2E-3</v>
      </c>
      <c r="H3160" s="63"/>
    </row>
    <row r="3161" spans="1:8" x14ac:dyDescent="0.25">
      <c r="A3161" s="63"/>
      <c r="B3161" s="63">
        <f>'Padrão EPP'!B3161</f>
        <v>29</v>
      </c>
      <c r="C3161" s="63" t="str">
        <f>'Padrão EPP'!C3161</f>
        <v>SE</v>
      </c>
      <c r="D3161" s="63" t="str">
        <f>'Padrão EPP'!D3161</f>
        <v>CAPITAL</v>
      </c>
      <c r="E3161" s="63">
        <f>'Padrão EPP'!E3161/2</f>
        <v>0</v>
      </c>
      <c r="F3161" s="67">
        <v>3.0000000000000001E-3</v>
      </c>
      <c r="G3161" s="67">
        <v>2E-3</v>
      </c>
      <c r="H3161" s="63"/>
    </row>
    <row r="3162" spans="1:8" x14ac:dyDescent="0.25">
      <c r="A3162" s="63"/>
      <c r="B3162" s="63">
        <f>'Padrão EPP'!B3162</f>
        <v>30</v>
      </c>
      <c r="C3162" s="63" t="str">
        <f>'Padrão EPP'!C3162</f>
        <v>SE</v>
      </c>
      <c r="D3162" s="63" t="str">
        <f>'Padrão EPP'!D3162</f>
        <v>CAPITAL</v>
      </c>
      <c r="E3162" s="63">
        <f>'Padrão EPP'!E3162/2</f>
        <v>0</v>
      </c>
      <c r="F3162" s="67">
        <v>3.0000000000000001E-3</v>
      </c>
      <c r="G3162" s="67">
        <v>2E-3</v>
      </c>
      <c r="H3162" s="63"/>
    </row>
    <row r="3163" spans="1:8" x14ac:dyDescent="0.25">
      <c r="A3163" s="63"/>
      <c r="B3163" s="63">
        <f>'Padrão EPP'!B3163</f>
        <v>0</v>
      </c>
      <c r="C3163" s="63" t="str">
        <f>'Padrão EPP'!C3163</f>
        <v>SE</v>
      </c>
      <c r="D3163" s="63" t="str">
        <f>'Padrão EPP'!D3163</f>
        <v>CAPITAL</v>
      </c>
      <c r="E3163" s="63">
        <f>'Padrão EPP'!E3163/2</f>
        <v>1.5214394455252955</v>
      </c>
      <c r="F3163" s="67">
        <v>3.0000000000000001E-3</v>
      </c>
      <c r="G3163" s="67">
        <v>2E-3</v>
      </c>
      <c r="H3163" s="63"/>
    </row>
    <row r="3164" spans="1:8" x14ac:dyDescent="0.25">
      <c r="A3164" s="63"/>
      <c r="B3164" s="63">
        <f>'Padrão EPP'!B3164</f>
        <v>0.25</v>
      </c>
      <c r="C3164" s="63" t="str">
        <f>'Padrão EPP'!C3164</f>
        <v>SE</v>
      </c>
      <c r="D3164" s="63" t="str">
        <f>'Padrão EPP'!D3164</f>
        <v>INTERIOR</v>
      </c>
      <c r="E3164" s="63">
        <f>'Padrão EPP'!E3164/2</f>
        <v>9.1091866578934813</v>
      </c>
      <c r="F3164" s="67">
        <v>3.0000000000000001E-3</v>
      </c>
      <c r="G3164" s="67">
        <v>2E-3</v>
      </c>
      <c r="H3164" s="63"/>
    </row>
    <row r="3165" spans="1:8" x14ac:dyDescent="0.25">
      <c r="A3165" s="63"/>
      <c r="B3165" s="63">
        <f>'Padrão EPP'!B3165</f>
        <v>0.5</v>
      </c>
      <c r="C3165" s="63" t="str">
        <f>'Padrão EPP'!C3165</f>
        <v>SE</v>
      </c>
      <c r="D3165" s="63" t="str">
        <f>'Padrão EPP'!D3165</f>
        <v>INTERIOR</v>
      </c>
      <c r="E3165" s="63">
        <f>'Padrão EPP'!E3165/2</f>
        <v>9.8324467771946615</v>
      </c>
      <c r="F3165" s="67">
        <v>3.0000000000000001E-3</v>
      </c>
      <c r="G3165" s="67">
        <v>2E-3</v>
      </c>
      <c r="H3165" s="63"/>
    </row>
    <row r="3166" spans="1:8" x14ac:dyDescent="0.25">
      <c r="A3166" s="63"/>
      <c r="B3166" s="63">
        <f>'Padrão EPP'!B3166</f>
        <v>0.75</v>
      </c>
      <c r="C3166" s="63" t="str">
        <f>'Padrão EPP'!C3166</f>
        <v>SE</v>
      </c>
      <c r="D3166" s="63" t="str">
        <f>'Padrão EPP'!D3166</f>
        <v>INTERIOR</v>
      </c>
      <c r="E3166" s="63">
        <f>'Padrão EPP'!E3166/2</f>
        <v>10.893090154210572</v>
      </c>
      <c r="F3166" s="67">
        <v>3.0000000000000001E-3</v>
      </c>
      <c r="G3166" s="67">
        <v>2E-3</v>
      </c>
      <c r="H3166" s="63"/>
    </row>
    <row r="3167" spans="1:8" x14ac:dyDescent="0.25">
      <c r="A3167" s="63"/>
      <c r="B3167" s="63">
        <f>'Padrão EPP'!B3167</f>
        <v>1</v>
      </c>
      <c r="C3167" s="63" t="str">
        <f>'Padrão EPP'!C3167</f>
        <v>SE</v>
      </c>
      <c r="D3167" s="63" t="str">
        <f>'Padrão EPP'!D3167</f>
        <v>INTERIOR</v>
      </c>
      <c r="E3167" s="63">
        <f>'Padrão EPP'!E3167/2</f>
        <v>11.993166886988522</v>
      </c>
      <c r="F3167" s="67">
        <v>3.0000000000000001E-3</v>
      </c>
      <c r="G3167" s="67">
        <v>2E-3</v>
      </c>
      <c r="H3167" s="63"/>
    </row>
    <row r="3168" spans="1:8" x14ac:dyDescent="0.25">
      <c r="A3168" s="63"/>
      <c r="B3168" s="63">
        <f>'Padrão EPP'!B3168</f>
        <v>2</v>
      </c>
      <c r="C3168" s="63" t="str">
        <f>'Padrão EPP'!C3168</f>
        <v>SE</v>
      </c>
      <c r="D3168" s="63" t="str">
        <f>'Padrão EPP'!D3168</f>
        <v>INTERIOR</v>
      </c>
      <c r="E3168" s="63">
        <f>'Padrão EPP'!E3168/2</f>
        <v>14.795251949822928</v>
      </c>
      <c r="F3168" s="67">
        <v>3.0000000000000001E-3</v>
      </c>
      <c r="G3168" s="67">
        <v>2E-3</v>
      </c>
      <c r="H3168" s="63"/>
    </row>
    <row r="3169" spans="1:8" x14ac:dyDescent="0.25">
      <c r="A3169" s="63"/>
      <c r="B3169" s="63">
        <f>'Padrão EPP'!B3169</f>
        <v>3</v>
      </c>
      <c r="C3169" s="63" t="str">
        <f>'Padrão EPP'!C3169</f>
        <v>SE</v>
      </c>
      <c r="D3169" s="63" t="str">
        <f>'Padrão EPP'!D3169</f>
        <v>INTERIOR</v>
      </c>
      <c r="E3169" s="63">
        <f>'Padrão EPP'!E3169/2</f>
        <v>17.932323548341447</v>
      </c>
      <c r="F3169" s="67">
        <v>3.0000000000000001E-3</v>
      </c>
      <c r="G3169" s="67">
        <v>2E-3</v>
      </c>
      <c r="H3169" s="63"/>
    </row>
    <row r="3170" spans="1:8" x14ac:dyDescent="0.25">
      <c r="A3170" s="63"/>
      <c r="B3170" s="63">
        <f>'Padrão EPP'!B3170</f>
        <v>4</v>
      </c>
      <c r="C3170" s="63" t="str">
        <f>'Padrão EPP'!C3170</f>
        <v>SE</v>
      </c>
      <c r="D3170" s="63" t="str">
        <f>'Padrão EPP'!D3170</f>
        <v>INTERIOR</v>
      </c>
      <c r="E3170" s="63">
        <f>'Padrão EPP'!E3170/2</f>
        <v>21.160238526694229</v>
      </c>
      <c r="F3170" s="67">
        <v>3.0000000000000001E-3</v>
      </c>
      <c r="G3170" s="67">
        <v>2E-3</v>
      </c>
      <c r="H3170" s="63"/>
    </row>
    <row r="3171" spans="1:8" x14ac:dyDescent="0.25">
      <c r="A3171" s="63"/>
      <c r="B3171" s="63">
        <f>'Padrão EPP'!B3171</f>
        <v>5</v>
      </c>
      <c r="C3171" s="63" t="str">
        <f>'Padrão EPP'!C3171</f>
        <v>SE</v>
      </c>
      <c r="D3171" s="63" t="str">
        <f>'Padrão EPP'!D3171</f>
        <v>INTERIOR</v>
      </c>
      <c r="E3171" s="63">
        <f>'Padrão EPP'!E3171/2</f>
        <v>24.507464918574215</v>
      </c>
      <c r="F3171" s="67">
        <v>3.0000000000000001E-3</v>
      </c>
      <c r="G3171" s="67">
        <v>2E-3</v>
      </c>
      <c r="H3171" s="63"/>
    </row>
    <row r="3172" spans="1:8" x14ac:dyDescent="0.25">
      <c r="A3172" s="63"/>
      <c r="B3172" s="63">
        <f>'Padrão EPP'!B3172</f>
        <v>6</v>
      </c>
      <c r="C3172" s="63" t="str">
        <f>'Padrão EPP'!C3172</f>
        <v>SE</v>
      </c>
      <c r="D3172" s="63" t="str">
        <f>'Padrão EPP'!D3172</f>
        <v>INTERIOR</v>
      </c>
      <c r="E3172" s="63">
        <f>'Padrão EPP'!E3172/2</f>
        <v>27.925828485181665</v>
      </c>
      <c r="F3172" s="67">
        <v>3.0000000000000001E-3</v>
      </c>
      <c r="G3172" s="67">
        <v>2E-3</v>
      </c>
      <c r="H3172" s="63"/>
    </row>
    <row r="3173" spans="1:8" x14ac:dyDescent="0.25">
      <c r="A3173" s="63"/>
      <c r="B3173" s="63">
        <f>'Padrão EPP'!B3173</f>
        <v>7</v>
      </c>
      <c r="C3173" s="63" t="str">
        <f>'Padrão EPP'!C3173</f>
        <v>SE</v>
      </c>
      <c r="D3173" s="63" t="str">
        <f>'Padrão EPP'!D3173</f>
        <v>INTERIOR</v>
      </c>
      <c r="E3173" s="63">
        <f>'Padrão EPP'!E3173/2</f>
        <v>31.424479552949094</v>
      </c>
      <c r="F3173" s="67">
        <v>3.0000000000000001E-3</v>
      </c>
      <c r="G3173" s="67">
        <v>2E-3</v>
      </c>
      <c r="H3173" s="63"/>
    </row>
    <row r="3174" spans="1:8" x14ac:dyDescent="0.25">
      <c r="A3174" s="63"/>
      <c r="B3174" s="63">
        <f>'Padrão EPP'!B3174</f>
        <v>8</v>
      </c>
      <c r="C3174" s="63" t="str">
        <f>'Padrão EPP'!C3174</f>
        <v>SE</v>
      </c>
      <c r="D3174" s="63" t="str">
        <f>'Padrão EPP'!D3174</f>
        <v>INTERIOR</v>
      </c>
      <c r="E3174" s="63">
        <f>'Padrão EPP'!E3174/2</f>
        <v>35.013776524830668</v>
      </c>
      <c r="F3174" s="67">
        <v>3.0000000000000001E-3</v>
      </c>
      <c r="G3174" s="67">
        <v>2E-3</v>
      </c>
      <c r="H3174" s="63"/>
    </row>
    <row r="3175" spans="1:8" x14ac:dyDescent="0.25">
      <c r="A3175" s="63"/>
      <c r="B3175" s="63">
        <f>'Padrão EPP'!B3175</f>
        <v>9</v>
      </c>
      <c r="C3175" s="63" t="str">
        <f>'Padrão EPP'!C3175</f>
        <v>SE</v>
      </c>
      <c r="D3175" s="63" t="str">
        <f>'Padrão EPP'!D3175</f>
        <v>INTERIOR</v>
      </c>
      <c r="E3175" s="63">
        <f>'Padrão EPP'!E3175/2</f>
        <v>38.467259688574387</v>
      </c>
      <c r="F3175" s="67">
        <v>3.0000000000000001E-3</v>
      </c>
      <c r="G3175" s="67">
        <v>2E-3</v>
      </c>
      <c r="H3175" s="63"/>
    </row>
    <row r="3176" spans="1:8" x14ac:dyDescent="0.25">
      <c r="A3176" s="63"/>
      <c r="B3176" s="63">
        <f>'Padrão EPP'!B3176</f>
        <v>10</v>
      </c>
      <c r="C3176" s="63" t="str">
        <f>'Padrão EPP'!C3176</f>
        <v>SE</v>
      </c>
      <c r="D3176" s="63" t="str">
        <f>'Padrão EPP'!D3176</f>
        <v>INTERIOR</v>
      </c>
      <c r="E3176" s="63">
        <f>'Padrão EPP'!E3176/2</f>
        <v>42.178765717441401</v>
      </c>
      <c r="F3176" s="67">
        <v>3.0000000000000001E-3</v>
      </c>
      <c r="G3176" s="67">
        <v>2E-3</v>
      </c>
      <c r="H3176" s="63"/>
    </row>
    <row r="3177" spans="1:8" x14ac:dyDescent="0.25">
      <c r="A3177" s="63"/>
      <c r="B3177" s="63">
        <f>'Padrão EPP'!B3177</f>
        <v>11</v>
      </c>
      <c r="C3177" s="63" t="str">
        <f>'Padrão EPP'!C3177</f>
        <v>SE</v>
      </c>
      <c r="D3177" s="63" t="str">
        <f>'Padrão EPP'!D3177</f>
        <v>INTERIOR</v>
      </c>
      <c r="E3177" s="63">
        <f>'Padrão EPP'!E3177/2</f>
        <v>0</v>
      </c>
      <c r="F3177" s="67">
        <v>3.0000000000000001E-3</v>
      </c>
      <c r="G3177" s="67">
        <v>2E-3</v>
      </c>
      <c r="H3177" s="63"/>
    </row>
    <row r="3178" spans="1:8" x14ac:dyDescent="0.25">
      <c r="A3178" s="63"/>
      <c r="B3178" s="63">
        <f>'Padrão EPP'!B3178</f>
        <v>12</v>
      </c>
      <c r="C3178" s="63" t="str">
        <f>'Padrão EPP'!C3178</f>
        <v>SE</v>
      </c>
      <c r="D3178" s="63" t="str">
        <f>'Padrão EPP'!D3178</f>
        <v>INTERIOR</v>
      </c>
      <c r="E3178" s="63">
        <f>'Padrão EPP'!E3178/2</f>
        <v>0</v>
      </c>
      <c r="F3178" s="67">
        <v>3.0000000000000001E-3</v>
      </c>
      <c r="G3178" s="67">
        <v>2E-3</v>
      </c>
      <c r="H3178" s="63"/>
    </row>
    <row r="3179" spans="1:8" x14ac:dyDescent="0.25">
      <c r="A3179" s="63"/>
      <c r="B3179" s="63">
        <f>'Padrão EPP'!B3179</f>
        <v>13</v>
      </c>
      <c r="C3179" s="63" t="str">
        <f>'Padrão EPP'!C3179</f>
        <v>SE</v>
      </c>
      <c r="D3179" s="63" t="str">
        <f>'Padrão EPP'!D3179</f>
        <v>INTERIOR</v>
      </c>
      <c r="E3179" s="63">
        <f>'Padrão EPP'!E3179/2</f>
        <v>0</v>
      </c>
      <c r="F3179" s="67">
        <v>3.0000000000000001E-3</v>
      </c>
      <c r="G3179" s="67">
        <v>2E-3</v>
      </c>
      <c r="H3179" s="63"/>
    </row>
    <row r="3180" spans="1:8" x14ac:dyDescent="0.25">
      <c r="A3180" s="63"/>
      <c r="B3180" s="63">
        <f>'Padrão EPP'!B3180</f>
        <v>14</v>
      </c>
      <c r="C3180" s="63" t="str">
        <f>'Padrão EPP'!C3180</f>
        <v>SE</v>
      </c>
      <c r="D3180" s="63" t="str">
        <f>'Padrão EPP'!D3180</f>
        <v>INTERIOR</v>
      </c>
      <c r="E3180" s="63">
        <f>'Padrão EPP'!E3180/2</f>
        <v>0</v>
      </c>
      <c r="F3180" s="67">
        <v>3.0000000000000001E-3</v>
      </c>
      <c r="G3180" s="67">
        <v>2E-3</v>
      </c>
      <c r="H3180" s="63"/>
    </row>
    <row r="3181" spans="1:8" x14ac:dyDescent="0.25">
      <c r="A3181" s="63"/>
      <c r="B3181" s="63">
        <f>'Padrão EPP'!B3181</f>
        <v>15</v>
      </c>
      <c r="C3181" s="63" t="str">
        <f>'Padrão EPP'!C3181</f>
        <v>SE</v>
      </c>
      <c r="D3181" s="63" t="str">
        <f>'Padrão EPP'!D3181</f>
        <v>INTERIOR</v>
      </c>
      <c r="E3181" s="63">
        <f>'Padrão EPP'!E3181/2</f>
        <v>0</v>
      </c>
      <c r="F3181" s="67">
        <v>3.0000000000000001E-3</v>
      </c>
      <c r="G3181" s="67">
        <v>2E-3</v>
      </c>
      <c r="H3181" s="63"/>
    </row>
    <row r="3182" spans="1:8" x14ac:dyDescent="0.25">
      <c r="A3182" s="63"/>
      <c r="B3182" s="63">
        <f>'Padrão EPP'!B3182</f>
        <v>16</v>
      </c>
      <c r="C3182" s="63" t="str">
        <f>'Padrão EPP'!C3182</f>
        <v>SE</v>
      </c>
      <c r="D3182" s="63" t="str">
        <f>'Padrão EPP'!D3182</f>
        <v>INTERIOR</v>
      </c>
      <c r="E3182" s="63">
        <f>'Padrão EPP'!E3182/2</f>
        <v>0</v>
      </c>
      <c r="F3182" s="67">
        <v>3.0000000000000001E-3</v>
      </c>
      <c r="G3182" s="67">
        <v>2E-3</v>
      </c>
      <c r="H3182" s="63"/>
    </row>
    <row r="3183" spans="1:8" x14ac:dyDescent="0.25">
      <c r="A3183" s="63"/>
      <c r="B3183" s="63">
        <f>'Padrão EPP'!B3183</f>
        <v>17</v>
      </c>
      <c r="C3183" s="63" t="str">
        <f>'Padrão EPP'!C3183</f>
        <v>SE</v>
      </c>
      <c r="D3183" s="63" t="str">
        <f>'Padrão EPP'!D3183</f>
        <v>INTERIOR</v>
      </c>
      <c r="E3183" s="63">
        <f>'Padrão EPP'!E3183/2</f>
        <v>0</v>
      </c>
      <c r="F3183" s="67">
        <v>3.0000000000000001E-3</v>
      </c>
      <c r="G3183" s="67">
        <v>2E-3</v>
      </c>
      <c r="H3183" s="63"/>
    </row>
    <row r="3184" spans="1:8" x14ac:dyDescent="0.25">
      <c r="A3184" s="63"/>
      <c r="B3184" s="63">
        <f>'Padrão EPP'!B3184</f>
        <v>18</v>
      </c>
      <c r="C3184" s="63" t="str">
        <f>'Padrão EPP'!C3184</f>
        <v>SE</v>
      </c>
      <c r="D3184" s="63" t="str">
        <f>'Padrão EPP'!D3184</f>
        <v>INTERIOR</v>
      </c>
      <c r="E3184" s="63">
        <f>'Padrão EPP'!E3184/2</f>
        <v>0</v>
      </c>
      <c r="F3184" s="67">
        <v>3.0000000000000001E-3</v>
      </c>
      <c r="G3184" s="67">
        <v>2E-3</v>
      </c>
      <c r="H3184" s="63"/>
    </row>
    <row r="3185" spans="1:8" x14ac:dyDescent="0.25">
      <c r="A3185" s="63"/>
      <c r="B3185" s="63">
        <f>'Padrão EPP'!B3185</f>
        <v>19</v>
      </c>
      <c r="C3185" s="63" t="str">
        <f>'Padrão EPP'!C3185</f>
        <v>SE</v>
      </c>
      <c r="D3185" s="63" t="str">
        <f>'Padrão EPP'!D3185</f>
        <v>INTERIOR</v>
      </c>
      <c r="E3185" s="63">
        <f>'Padrão EPP'!E3185/2</f>
        <v>0</v>
      </c>
      <c r="F3185" s="67">
        <v>3.0000000000000001E-3</v>
      </c>
      <c r="G3185" s="67">
        <v>2E-3</v>
      </c>
      <c r="H3185" s="63"/>
    </row>
    <row r="3186" spans="1:8" x14ac:dyDescent="0.25">
      <c r="A3186" s="63"/>
      <c r="B3186" s="63">
        <f>'Padrão EPP'!B3186</f>
        <v>20</v>
      </c>
      <c r="C3186" s="63" t="str">
        <f>'Padrão EPP'!C3186</f>
        <v>SE</v>
      </c>
      <c r="D3186" s="63" t="str">
        <f>'Padrão EPP'!D3186</f>
        <v>INTERIOR</v>
      </c>
      <c r="E3186" s="63">
        <f>'Padrão EPP'!E3186/2</f>
        <v>0</v>
      </c>
      <c r="F3186" s="67">
        <v>3.0000000000000001E-3</v>
      </c>
      <c r="G3186" s="67">
        <v>2E-3</v>
      </c>
      <c r="H3186" s="63"/>
    </row>
    <row r="3187" spans="1:8" x14ac:dyDescent="0.25">
      <c r="A3187" s="63"/>
      <c r="B3187" s="63">
        <f>'Padrão EPP'!B3187</f>
        <v>21</v>
      </c>
      <c r="C3187" s="63" t="str">
        <f>'Padrão EPP'!C3187</f>
        <v>SE</v>
      </c>
      <c r="D3187" s="63" t="str">
        <f>'Padrão EPP'!D3187</f>
        <v>INTERIOR</v>
      </c>
      <c r="E3187" s="63">
        <f>'Padrão EPP'!E3187/2</f>
        <v>0</v>
      </c>
      <c r="F3187" s="67">
        <v>3.0000000000000001E-3</v>
      </c>
      <c r="G3187" s="67">
        <v>2E-3</v>
      </c>
      <c r="H3187" s="63"/>
    </row>
    <row r="3188" spans="1:8" x14ac:dyDescent="0.25">
      <c r="A3188" s="63"/>
      <c r="B3188" s="63">
        <f>'Padrão EPP'!B3188</f>
        <v>22</v>
      </c>
      <c r="C3188" s="63" t="str">
        <f>'Padrão EPP'!C3188</f>
        <v>SE</v>
      </c>
      <c r="D3188" s="63" t="str">
        <f>'Padrão EPP'!D3188</f>
        <v>INTERIOR</v>
      </c>
      <c r="E3188" s="63">
        <f>'Padrão EPP'!E3188/2</f>
        <v>0</v>
      </c>
      <c r="F3188" s="67">
        <v>3.0000000000000001E-3</v>
      </c>
      <c r="G3188" s="67">
        <v>2E-3</v>
      </c>
      <c r="H3188" s="63"/>
    </row>
    <row r="3189" spans="1:8" x14ac:dyDescent="0.25">
      <c r="A3189" s="63"/>
      <c r="B3189" s="63">
        <f>'Padrão EPP'!B3189</f>
        <v>23</v>
      </c>
      <c r="C3189" s="63" t="str">
        <f>'Padrão EPP'!C3189</f>
        <v>SE</v>
      </c>
      <c r="D3189" s="63" t="str">
        <f>'Padrão EPP'!D3189</f>
        <v>INTERIOR</v>
      </c>
      <c r="E3189" s="63">
        <f>'Padrão EPP'!E3189/2</f>
        <v>0</v>
      </c>
      <c r="F3189" s="67">
        <v>3.0000000000000001E-3</v>
      </c>
      <c r="G3189" s="67">
        <v>2E-3</v>
      </c>
      <c r="H3189" s="63"/>
    </row>
    <row r="3190" spans="1:8" x14ac:dyDescent="0.25">
      <c r="A3190" s="63"/>
      <c r="B3190" s="63">
        <f>'Padrão EPP'!B3190</f>
        <v>24</v>
      </c>
      <c r="C3190" s="63" t="str">
        <f>'Padrão EPP'!C3190</f>
        <v>SE</v>
      </c>
      <c r="D3190" s="63" t="str">
        <f>'Padrão EPP'!D3190</f>
        <v>INTERIOR</v>
      </c>
      <c r="E3190" s="63">
        <f>'Padrão EPP'!E3190/2</f>
        <v>0</v>
      </c>
      <c r="F3190" s="67">
        <v>3.0000000000000001E-3</v>
      </c>
      <c r="G3190" s="67">
        <v>2E-3</v>
      </c>
      <c r="H3190" s="63"/>
    </row>
    <row r="3191" spans="1:8" x14ac:dyDescent="0.25">
      <c r="A3191" s="63"/>
      <c r="B3191" s="63">
        <f>'Padrão EPP'!B3191</f>
        <v>25</v>
      </c>
      <c r="C3191" s="63" t="str">
        <f>'Padrão EPP'!C3191</f>
        <v>SE</v>
      </c>
      <c r="D3191" s="63" t="str">
        <f>'Padrão EPP'!D3191</f>
        <v>INTERIOR</v>
      </c>
      <c r="E3191" s="63">
        <f>'Padrão EPP'!E3191/2</f>
        <v>0</v>
      </c>
      <c r="F3191" s="67">
        <v>3.0000000000000001E-3</v>
      </c>
      <c r="G3191" s="67">
        <v>2E-3</v>
      </c>
      <c r="H3191" s="63"/>
    </row>
    <row r="3192" spans="1:8" x14ac:dyDescent="0.25">
      <c r="A3192" s="63"/>
      <c r="B3192" s="63">
        <f>'Padrão EPP'!B3192</f>
        <v>26</v>
      </c>
      <c r="C3192" s="63" t="str">
        <f>'Padrão EPP'!C3192</f>
        <v>SE</v>
      </c>
      <c r="D3192" s="63" t="str">
        <f>'Padrão EPP'!D3192</f>
        <v>INTERIOR</v>
      </c>
      <c r="E3192" s="63">
        <f>'Padrão EPP'!E3192/2</f>
        <v>0</v>
      </c>
      <c r="F3192" s="67">
        <v>3.0000000000000001E-3</v>
      </c>
      <c r="G3192" s="67">
        <v>2E-3</v>
      </c>
      <c r="H3192" s="63"/>
    </row>
    <row r="3193" spans="1:8" x14ac:dyDescent="0.25">
      <c r="A3193" s="63"/>
      <c r="B3193" s="63">
        <f>'Padrão EPP'!B3193</f>
        <v>27</v>
      </c>
      <c r="C3193" s="63" t="str">
        <f>'Padrão EPP'!C3193</f>
        <v>SE</v>
      </c>
      <c r="D3193" s="63" t="str">
        <f>'Padrão EPP'!D3193</f>
        <v>INTERIOR</v>
      </c>
      <c r="E3193" s="63">
        <f>'Padrão EPP'!E3193/2</f>
        <v>0</v>
      </c>
      <c r="F3193" s="67">
        <v>3.0000000000000001E-3</v>
      </c>
      <c r="G3193" s="67">
        <v>2E-3</v>
      </c>
      <c r="H3193" s="63"/>
    </row>
    <row r="3194" spans="1:8" x14ac:dyDescent="0.25">
      <c r="A3194" s="63"/>
      <c r="B3194" s="63">
        <f>'Padrão EPP'!B3194</f>
        <v>28</v>
      </c>
      <c r="C3194" s="63" t="str">
        <f>'Padrão EPP'!C3194</f>
        <v>SE</v>
      </c>
      <c r="D3194" s="63" t="str">
        <f>'Padrão EPP'!D3194</f>
        <v>INTERIOR</v>
      </c>
      <c r="E3194" s="63">
        <f>'Padrão EPP'!E3194/2</f>
        <v>0</v>
      </c>
      <c r="F3194" s="67">
        <v>3.0000000000000001E-3</v>
      </c>
      <c r="G3194" s="67">
        <v>2E-3</v>
      </c>
      <c r="H3194" s="63"/>
    </row>
    <row r="3195" spans="1:8" x14ac:dyDescent="0.25">
      <c r="A3195" s="63"/>
      <c r="B3195" s="63">
        <f>'Padrão EPP'!B3195</f>
        <v>29</v>
      </c>
      <c r="C3195" s="63" t="str">
        <f>'Padrão EPP'!C3195</f>
        <v>SE</v>
      </c>
      <c r="D3195" s="63" t="str">
        <f>'Padrão EPP'!D3195</f>
        <v>INTERIOR</v>
      </c>
      <c r="E3195" s="63">
        <f>'Padrão EPP'!E3195/2</f>
        <v>0</v>
      </c>
      <c r="F3195" s="67">
        <v>3.0000000000000001E-3</v>
      </c>
      <c r="G3195" s="67">
        <v>2E-3</v>
      </c>
      <c r="H3195" s="63"/>
    </row>
    <row r="3196" spans="1:8" x14ac:dyDescent="0.25">
      <c r="A3196" s="63"/>
      <c r="B3196" s="63">
        <f>'Padrão EPP'!B3196</f>
        <v>30</v>
      </c>
      <c r="C3196" s="63" t="str">
        <f>'Padrão EPP'!C3196</f>
        <v>SE</v>
      </c>
      <c r="D3196" s="63" t="str">
        <f>'Padrão EPP'!D3196</f>
        <v>INTERIOR</v>
      </c>
      <c r="E3196" s="63">
        <f>'Padrão EPP'!E3196/2</f>
        <v>0</v>
      </c>
      <c r="F3196" s="67">
        <v>3.0000000000000001E-3</v>
      </c>
      <c r="G3196" s="67">
        <v>2E-3</v>
      </c>
      <c r="H3196" s="63"/>
    </row>
    <row r="3197" spans="1:8" x14ac:dyDescent="0.25">
      <c r="A3197" s="63"/>
      <c r="B3197" s="63">
        <f>'Padrão EPP'!B3197</f>
        <v>0</v>
      </c>
      <c r="C3197" s="63" t="str">
        <f>'Padrão EPP'!C3197</f>
        <v>SE</v>
      </c>
      <c r="D3197" s="63" t="str">
        <f>'Padrão EPP'!D3197</f>
        <v>INTERIOR</v>
      </c>
      <c r="E3197" s="63">
        <f>'Padrão EPP'!E3197/2</f>
        <v>1.5214394455252955</v>
      </c>
      <c r="F3197" s="67">
        <v>3.0000000000000001E-3</v>
      </c>
      <c r="G3197" s="67">
        <v>2E-3</v>
      </c>
      <c r="H3197" s="63"/>
    </row>
    <row r="3198" spans="1:8" x14ac:dyDescent="0.25">
      <c r="A3198" s="63"/>
      <c r="B3198" s="63">
        <f>'Padrão EPP'!B3198</f>
        <v>0.25</v>
      </c>
      <c r="C3198" s="63" t="str">
        <f>'Padrão EPP'!C3198</f>
        <v>SE</v>
      </c>
      <c r="D3198" s="63" t="str">
        <f>'Padrão EPP'!D3198</f>
        <v>INTERIOR II</v>
      </c>
      <c r="E3198" s="63">
        <f>'Padrão EPP'!E3198/2</f>
        <v>11.162727179281198</v>
      </c>
      <c r="F3198" s="67">
        <v>3.0000000000000001E-3</v>
      </c>
      <c r="G3198" s="67">
        <v>2E-3</v>
      </c>
      <c r="H3198" s="63"/>
    </row>
    <row r="3199" spans="1:8" x14ac:dyDescent="0.25">
      <c r="A3199" s="63"/>
      <c r="B3199" s="63">
        <f>'Padrão EPP'!B3199</f>
        <v>0.5</v>
      </c>
      <c r="C3199" s="63" t="str">
        <f>'Padrão EPP'!C3199</f>
        <v>SE</v>
      </c>
      <c r="D3199" s="63" t="str">
        <f>'Padrão EPP'!D3199</f>
        <v>INTERIOR II</v>
      </c>
      <c r="E3199" s="63">
        <f>'Padrão EPP'!E3199/2</f>
        <v>12.298708638568902</v>
      </c>
      <c r="F3199" s="67">
        <v>3.0000000000000001E-3</v>
      </c>
      <c r="G3199" s="67">
        <v>2E-3</v>
      </c>
      <c r="H3199" s="63"/>
    </row>
    <row r="3200" spans="1:8" x14ac:dyDescent="0.25">
      <c r="A3200" s="63"/>
      <c r="B3200" s="63">
        <f>'Padrão EPP'!B3200</f>
        <v>0.75</v>
      </c>
      <c r="C3200" s="63" t="str">
        <f>'Padrão EPP'!C3200</f>
        <v>SE</v>
      </c>
      <c r="D3200" s="63" t="str">
        <f>'Padrão EPP'!D3200</f>
        <v>INTERIOR II</v>
      </c>
      <c r="E3200" s="63">
        <f>'Padrão EPP'!E3200/2</f>
        <v>13.551888844013707</v>
      </c>
      <c r="F3200" s="67">
        <v>3.0000000000000001E-3</v>
      </c>
      <c r="G3200" s="67">
        <v>2E-3</v>
      </c>
      <c r="H3200" s="63"/>
    </row>
    <row r="3201" spans="1:8" x14ac:dyDescent="0.25">
      <c r="A3201" s="63"/>
      <c r="B3201" s="63">
        <f>'Padrão EPP'!B3201</f>
        <v>1</v>
      </c>
      <c r="C3201" s="63" t="str">
        <f>'Padrão EPP'!C3201</f>
        <v>SE</v>
      </c>
      <c r="D3201" s="63" t="str">
        <f>'Padrão EPP'!D3201</f>
        <v>INTERIOR II</v>
      </c>
      <c r="E3201" s="63">
        <f>'Padrão EPP'!E3201/2</f>
        <v>14.608451432500008</v>
      </c>
      <c r="F3201" s="67">
        <v>3.0000000000000001E-3</v>
      </c>
      <c r="G3201" s="67">
        <v>2E-3</v>
      </c>
      <c r="H3201" s="63"/>
    </row>
    <row r="3202" spans="1:8" x14ac:dyDescent="0.25">
      <c r="A3202" s="63"/>
      <c r="B3202" s="63">
        <f>'Padrão EPP'!B3202</f>
        <v>2</v>
      </c>
      <c r="C3202" s="63" t="str">
        <f>'Padrão EPP'!C3202</f>
        <v>SE</v>
      </c>
      <c r="D3202" s="63" t="str">
        <f>'Padrão EPP'!D3202</f>
        <v>INTERIOR II</v>
      </c>
      <c r="E3202" s="63">
        <f>'Padrão EPP'!E3202/2</f>
        <v>17.919227261114582</v>
      </c>
      <c r="F3202" s="67">
        <v>3.0000000000000001E-3</v>
      </c>
      <c r="G3202" s="67">
        <v>2E-3</v>
      </c>
      <c r="H3202" s="63"/>
    </row>
    <row r="3203" spans="1:8" x14ac:dyDescent="0.25">
      <c r="A3203" s="63"/>
      <c r="B3203" s="63">
        <f>'Padrão EPP'!B3203</f>
        <v>3</v>
      </c>
      <c r="C3203" s="63" t="str">
        <f>'Padrão EPP'!C3203</f>
        <v>SE</v>
      </c>
      <c r="D3203" s="63" t="str">
        <f>'Padrão EPP'!D3203</f>
        <v>INTERIOR II</v>
      </c>
      <c r="E3203" s="63">
        <f>'Padrão EPP'!E3203/2</f>
        <v>21.633515500231674</v>
      </c>
      <c r="F3203" s="67">
        <v>3.0000000000000001E-3</v>
      </c>
      <c r="G3203" s="67">
        <v>2E-3</v>
      </c>
      <c r="H3203" s="63"/>
    </row>
    <row r="3204" spans="1:8" x14ac:dyDescent="0.25">
      <c r="A3204" s="63"/>
      <c r="B3204" s="63">
        <f>'Padrão EPP'!B3204</f>
        <v>4</v>
      </c>
      <c r="C3204" s="63" t="str">
        <f>'Padrão EPP'!C3204</f>
        <v>SE</v>
      </c>
      <c r="D3204" s="63" t="str">
        <f>'Padrão EPP'!D3204</f>
        <v>INTERIOR II</v>
      </c>
      <c r="E3204" s="63">
        <f>'Padrão EPP'!E3204/2</f>
        <v>25.391114154702844</v>
      </c>
      <c r="F3204" s="67">
        <v>3.0000000000000001E-3</v>
      </c>
      <c r="G3204" s="67">
        <v>2E-3</v>
      </c>
      <c r="H3204" s="63"/>
    </row>
    <row r="3205" spans="1:8" x14ac:dyDescent="0.25">
      <c r="A3205" s="63"/>
      <c r="B3205" s="63">
        <f>'Padrão EPP'!B3205</f>
        <v>5</v>
      </c>
      <c r="C3205" s="63" t="str">
        <f>'Padrão EPP'!C3205</f>
        <v>SE</v>
      </c>
      <c r="D3205" s="63" t="str">
        <f>'Padrão EPP'!D3205</f>
        <v>INTERIOR II</v>
      </c>
      <c r="E3205" s="63">
        <f>'Padrão EPP'!E3205/2</f>
        <v>29.196354266063544</v>
      </c>
      <c r="F3205" s="67">
        <v>3.0000000000000001E-3</v>
      </c>
      <c r="G3205" s="67">
        <v>2E-3</v>
      </c>
      <c r="H3205" s="63"/>
    </row>
    <row r="3206" spans="1:8" x14ac:dyDescent="0.25">
      <c r="A3206" s="63"/>
      <c r="B3206" s="63">
        <f>'Padrão EPP'!B3206</f>
        <v>6</v>
      </c>
      <c r="C3206" s="63" t="str">
        <f>'Padrão EPP'!C3206</f>
        <v>SE</v>
      </c>
      <c r="D3206" s="63" t="str">
        <f>'Padrão EPP'!D3206</f>
        <v>INTERIOR II</v>
      </c>
      <c r="E3206" s="63">
        <f>'Padrão EPP'!E3206/2</f>
        <v>33.900309384322959</v>
      </c>
      <c r="F3206" s="67">
        <v>3.0000000000000001E-3</v>
      </c>
      <c r="G3206" s="67">
        <v>2E-3</v>
      </c>
      <c r="H3206" s="63"/>
    </row>
    <row r="3207" spans="1:8" x14ac:dyDescent="0.25">
      <c r="A3207" s="63"/>
      <c r="B3207" s="63">
        <f>'Padrão EPP'!B3207</f>
        <v>7</v>
      </c>
      <c r="C3207" s="63" t="str">
        <f>'Padrão EPP'!C3207</f>
        <v>SE</v>
      </c>
      <c r="D3207" s="63" t="str">
        <f>'Padrão EPP'!D3207</f>
        <v>INTERIOR II</v>
      </c>
      <c r="E3207" s="63">
        <f>'Padrão EPP'!E3207/2</f>
        <v>37.478038830754599</v>
      </c>
      <c r="F3207" s="67">
        <v>3.0000000000000001E-3</v>
      </c>
      <c r="G3207" s="67">
        <v>2E-3</v>
      </c>
      <c r="H3207" s="63"/>
    </row>
    <row r="3208" spans="1:8" x14ac:dyDescent="0.25">
      <c r="A3208" s="63"/>
      <c r="B3208" s="63">
        <f>'Padrão EPP'!B3208</f>
        <v>8</v>
      </c>
      <c r="C3208" s="63" t="str">
        <f>'Padrão EPP'!C3208</f>
        <v>SE</v>
      </c>
      <c r="D3208" s="63" t="str">
        <f>'Padrão EPP'!D3208</f>
        <v>INTERIOR II</v>
      </c>
      <c r="E3208" s="63">
        <f>'Padrão EPP'!E3208/2</f>
        <v>41.112864701872105</v>
      </c>
      <c r="F3208" s="67">
        <v>3.0000000000000001E-3</v>
      </c>
      <c r="G3208" s="67">
        <v>2E-3</v>
      </c>
      <c r="H3208" s="63"/>
    </row>
    <row r="3209" spans="1:8" x14ac:dyDescent="0.25">
      <c r="A3209" s="63"/>
      <c r="B3209" s="63">
        <f>'Padrão EPP'!B3209</f>
        <v>9</v>
      </c>
      <c r="C3209" s="63" t="str">
        <f>'Padrão EPP'!C3209</f>
        <v>SE</v>
      </c>
      <c r="D3209" s="63" t="str">
        <f>'Padrão EPP'!D3209</f>
        <v>INTERIOR II</v>
      </c>
      <c r="E3209" s="63">
        <f>'Padrão EPP'!E3209/2</f>
        <v>45.181947794068932</v>
      </c>
      <c r="F3209" s="67">
        <v>3.0000000000000001E-3</v>
      </c>
      <c r="G3209" s="67">
        <v>2E-3</v>
      </c>
      <c r="H3209" s="63"/>
    </row>
    <row r="3210" spans="1:8" x14ac:dyDescent="0.25">
      <c r="A3210" s="63"/>
      <c r="B3210" s="63">
        <f>'Padrão EPP'!B3210</f>
        <v>10</v>
      </c>
      <c r="C3210" s="63" t="str">
        <f>'Padrão EPP'!C3210</f>
        <v>SE</v>
      </c>
      <c r="D3210" s="63" t="str">
        <f>'Padrão EPP'!D3210</f>
        <v>INTERIOR II</v>
      </c>
      <c r="E3210" s="63">
        <f>'Padrão EPP'!E3210/2</f>
        <v>49.215554726530165</v>
      </c>
      <c r="F3210" s="67">
        <v>3.0000000000000001E-3</v>
      </c>
      <c r="G3210" s="67">
        <v>2E-3</v>
      </c>
      <c r="H3210" s="63"/>
    </row>
    <row r="3211" spans="1:8" x14ac:dyDescent="0.25">
      <c r="A3211" s="63"/>
      <c r="B3211" s="63">
        <f>'Padrão EPP'!B3211</f>
        <v>11</v>
      </c>
      <c r="C3211" s="63" t="str">
        <f>'Padrão EPP'!C3211</f>
        <v>SE</v>
      </c>
      <c r="D3211" s="63" t="str">
        <f>'Padrão EPP'!D3211</f>
        <v>INTERIOR II</v>
      </c>
      <c r="E3211" s="63">
        <f>'Padrão EPP'!E3211/2</f>
        <v>0</v>
      </c>
      <c r="F3211" s="67">
        <v>3.0000000000000001E-3</v>
      </c>
      <c r="G3211" s="67">
        <v>2E-3</v>
      </c>
      <c r="H3211" s="63"/>
    </row>
    <row r="3212" spans="1:8" x14ac:dyDescent="0.25">
      <c r="A3212" s="63"/>
      <c r="B3212" s="63">
        <f>'Padrão EPP'!B3212</f>
        <v>12</v>
      </c>
      <c r="C3212" s="63" t="str">
        <f>'Padrão EPP'!C3212</f>
        <v>SE</v>
      </c>
      <c r="D3212" s="63" t="str">
        <f>'Padrão EPP'!D3212</f>
        <v>INTERIOR II</v>
      </c>
      <c r="E3212" s="63">
        <f>'Padrão EPP'!E3212/2</f>
        <v>0</v>
      </c>
      <c r="F3212" s="67">
        <v>3.0000000000000001E-3</v>
      </c>
      <c r="G3212" s="67">
        <v>2E-3</v>
      </c>
      <c r="H3212" s="63"/>
    </row>
    <row r="3213" spans="1:8" x14ac:dyDescent="0.25">
      <c r="A3213" s="63"/>
      <c r="B3213" s="63">
        <f>'Padrão EPP'!B3213</f>
        <v>13</v>
      </c>
      <c r="C3213" s="63" t="str">
        <f>'Padrão EPP'!C3213</f>
        <v>SE</v>
      </c>
      <c r="D3213" s="63" t="str">
        <f>'Padrão EPP'!D3213</f>
        <v>INTERIOR II</v>
      </c>
      <c r="E3213" s="63">
        <f>'Padrão EPP'!E3213/2</f>
        <v>0</v>
      </c>
      <c r="F3213" s="67">
        <v>3.0000000000000001E-3</v>
      </c>
      <c r="G3213" s="67">
        <v>2E-3</v>
      </c>
      <c r="H3213" s="63"/>
    </row>
    <row r="3214" spans="1:8" x14ac:dyDescent="0.25">
      <c r="A3214" s="63"/>
      <c r="B3214" s="63">
        <f>'Padrão EPP'!B3214</f>
        <v>14</v>
      </c>
      <c r="C3214" s="63" t="str">
        <f>'Padrão EPP'!C3214</f>
        <v>SE</v>
      </c>
      <c r="D3214" s="63" t="str">
        <f>'Padrão EPP'!D3214</f>
        <v>INTERIOR II</v>
      </c>
      <c r="E3214" s="63">
        <f>'Padrão EPP'!E3214/2</f>
        <v>0</v>
      </c>
      <c r="F3214" s="67">
        <v>3.0000000000000001E-3</v>
      </c>
      <c r="G3214" s="67">
        <v>2E-3</v>
      </c>
      <c r="H3214" s="63"/>
    </row>
    <row r="3215" spans="1:8" x14ac:dyDescent="0.25">
      <c r="A3215" s="63"/>
      <c r="B3215" s="63">
        <f>'Padrão EPP'!B3215</f>
        <v>15</v>
      </c>
      <c r="C3215" s="63" t="str">
        <f>'Padrão EPP'!C3215</f>
        <v>SE</v>
      </c>
      <c r="D3215" s="63" t="str">
        <f>'Padrão EPP'!D3215</f>
        <v>INTERIOR II</v>
      </c>
      <c r="E3215" s="63">
        <f>'Padrão EPP'!E3215/2</f>
        <v>0</v>
      </c>
      <c r="F3215" s="67">
        <v>3.0000000000000001E-3</v>
      </c>
      <c r="G3215" s="67">
        <v>2E-3</v>
      </c>
      <c r="H3215" s="63"/>
    </row>
    <row r="3216" spans="1:8" x14ac:dyDescent="0.25">
      <c r="A3216" s="63"/>
      <c r="B3216" s="63">
        <f>'Padrão EPP'!B3216</f>
        <v>16</v>
      </c>
      <c r="C3216" s="63" t="str">
        <f>'Padrão EPP'!C3216</f>
        <v>SE</v>
      </c>
      <c r="D3216" s="63" t="str">
        <f>'Padrão EPP'!D3216</f>
        <v>INTERIOR II</v>
      </c>
      <c r="E3216" s="63">
        <f>'Padrão EPP'!E3216/2</f>
        <v>0</v>
      </c>
      <c r="F3216" s="67">
        <v>3.0000000000000001E-3</v>
      </c>
      <c r="G3216" s="67">
        <v>2E-3</v>
      </c>
      <c r="H3216" s="63"/>
    </row>
    <row r="3217" spans="1:8" x14ac:dyDescent="0.25">
      <c r="A3217" s="63"/>
      <c r="B3217" s="63">
        <f>'Padrão EPP'!B3217</f>
        <v>17</v>
      </c>
      <c r="C3217" s="63" t="str">
        <f>'Padrão EPP'!C3217</f>
        <v>SE</v>
      </c>
      <c r="D3217" s="63" t="str">
        <f>'Padrão EPP'!D3217</f>
        <v>INTERIOR II</v>
      </c>
      <c r="E3217" s="63">
        <f>'Padrão EPP'!E3217/2</f>
        <v>0</v>
      </c>
      <c r="F3217" s="67">
        <v>3.0000000000000001E-3</v>
      </c>
      <c r="G3217" s="67">
        <v>2E-3</v>
      </c>
      <c r="H3217" s="63"/>
    </row>
    <row r="3218" spans="1:8" x14ac:dyDescent="0.25">
      <c r="A3218" s="63"/>
      <c r="B3218" s="63">
        <f>'Padrão EPP'!B3218</f>
        <v>18</v>
      </c>
      <c r="C3218" s="63" t="str">
        <f>'Padrão EPP'!C3218</f>
        <v>SE</v>
      </c>
      <c r="D3218" s="63" t="str">
        <f>'Padrão EPP'!D3218</f>
        <v>INTERIOR II</v>
      </c>
      <c r="E3218" s="63">
        <f>'Padrão EPP'!E3218/2</f>
        <v>0</v>
      </c>
      <c r="F3218" s="67">
        <v>3.0000000000000001E-3</v>
      </c>
      <c r="G3218" s="67">
        <v>2E-3</v>
      </c>
      <c r="H3218" s="63"/>
    </row>
    <row r="3219" spans="1:8" x14ac:dyDescent="0.25">
      <c r="A3219" s="63"/>
      <c r="B3219" s="63">
        <f>'Padrão EPP'!B3219</f>
        <v>19</v>
      </c>
      <c r="C3219" s="63" t="str">
        <f>'Padrão EPP'!C3219</f>
        <v>SE</v>
      </c>
      <c r="D3219" s="63" t="str">
        <f>'Padrão EPP'!D3219</f>
        <v>INTERIOR II</v>
      </c>
      <c r="E3219" s="63">
        <f>'Padrão EPP'!E3219/2</f>
        <v>0</v>
      </c>
      <c r="F3219" s="67">
        <v>3.0000000000000001E-3</v>
      </c>
      <c r="G3219" s="67">
        <v>2E-3</v>
      </c>
      <c r="H3219" s="63"/>
    </row>
    <row r="3220" spans="1:8" x14ac:dyDescent="0.25">
      <c r="A3220" s="63"/>
      <c r="B3220" s="63">
        <f>'Padrão EPP'!B3220</f>
        <v>20</v>
      </c>
      <c r="C3220" s="63" t="str">
        <f>'Padrão EPP'!C3220</f>
        <v>SE</v>
      </c>
      <c r="D3220" s="63" t="str">
        <f>'Padrão EPP'!D3220</f>
        <v>INTERIOR II</v>
      </c>
      <c r="E3220" s="63">
        <f>'Padrão EPP'!E3220/2</f>
        <v>0</v>
      </c>
      <c r="F3220" s="67">
        <v>3.0000000000000001E-3</v>
      </c>
      <c r="G3220" s="67">
        <v>2E-3</v>
      </c>
      <c r="H3220" s="63"/>
    </row>
    <row r="3221" spans="1:8" x14ac:dyDescent="0.25">
      <c r="A3221" s="63"/>
      <c r="B3221" s="63">
        <f>'Padrão EPP'!B3221</f>
        <v>21</v>
      </c>
      <c r="C3221" s="63" t="str">
        <f>'Padrão EPP'!C3221</f>
        <v>SE</v>
      </c>
      <c r="D3221" s="63" t="str">
        <f>'Padrão EPP'!D3221</f>
        <v>INTERIOR II</v>
      </c>
      <c r="E3221" s="63">
        <f>'Padrão EPP'!E3221/2</f>
        <v>0</v>
      </c>
      <c r="F3221" s="67">
        <v>3.0000000000000001E-3</v>
      </c>
      <c r="G3221" s="67">
        <v>2E-3</v>
      </c>
      <c r="H3221" s="63"/>
    </row>
    <row r="3222" spans="1:8" x14ac:dyDescent="0.25">
      <c r="A3222" s="63"/>
      <c r="B3222" s="63">
        <f>'Padrão EPP'!B3222</f>
        <v>22</v>
      </c>
      <c r="C3222" s="63" t="str">
        <f>'Padrão EPP'!C3222</f>
        <v>SE</v>
      </c>
      <c r="D3222" s="63" t="str">
        <f>'Padrão EPP'!D3222</f>
        <v>INTERIOR II</v>
      </c>
      <c r="E3222" s="63">
        <f>'Padrão EPP'!E3222/2</f>
        <v>0</v>
      </c>
      <c r="F3222" s="67">
        <v>3.0000000000000001E-3</v>
      </c>
      <c r="G3222" s="67">
        <v>2E-3</v>
      </c>
      <c r="H3222" s="63"/>
    </row>
    <row r="3223" spans="1:8" x14ac:dyDescent="0.25">
      <c r="A3223" s="63"/>
      <c r="B3223" s="63">
        <f>'Padrão EPP'!B3223</f>
        <v>23</v>
      </c>
      <c r="C3223" s="63" t="str">
        <f>'Padrão EPP'!C3223</f>
        <v>SE</v>
      </c>
      <c r="D3223" s="63" t="str">
        <f>'Padrão EPP'!D3223</f>
        <v>INTERIOR II</v>
      </c>
      <c r="E3223" s="63">
        <f>'Padrão EPP'!E3223/2</f>
        <v>0</v>
      </c>
      <c r="F3223" s="67">
        <v>3.0000000000000001E-3</v>
      </c>
      <c r="G3223" s="67">
        <v>2E-3</v>
      </c>
      <c r="H3223" s="63"/>
    </row>
    <row r="3224" spans="1:8" x14ac:dyDescent="0.25">
      <c r="A3224" s="63"/>
      <c r="B3224" s="63">
        <f>'Padrão EPP'!B3224</f>
        <v>24</v>
      </c>
      <c r="C3224" s="63" t="str">
        <f>'Padrão EPP'!C3224</f>
        <v>SE</v>
      </c>
      <c r="D3224" s="63" t="str">
        <f>'Padrão EPP'!D3224</f>
        <v>INTERIOR II</v>
      </c>
      <c r="E3224" s="63">
        <f>'Padrão EPP'!E3224/2</f>
        <v>0</v>
      </c>
      <c r="F3224" s="67">
        <v>3.0000000000000001E-3</v>
      </c>
      <c r="G3224" s="67">
        <v>2E-3</v>
      </c>
      <c r="H3224" s="63"/>
    </row>
    <row r="3225" spans="1:8" x14ac:dyDescent="0.25">
      <c r="A3225" s="63"/>
      <c r="B3225" s="63">
        <f>'Padrão EPP'!B3225</f>
        <v>25</v>
      </c>
      <c r="C3225" s="63" t="str">
        <f>'Padrão EPP'!C3225</f>
        <v>SE</v>
      </c>
      <c r="D3225" s="63" t="str">
        <f>'Padrão EPP'!D3225</f>
        <v>INTERIOR II</v>
      </c>
      <c r="E3225" s="63">
        <f>'Padrão EPP'!E3225/2</f>
        <v>0</v>
      </c>
      <c r="F3225" s="67">
        <v>3.0000000000000001E-3</v>
      </c>
      <c r="G3225" s="67">
        <v>2E-3</v>
      </c>
      <c r="H3225" s="63"/>
    </row>
    <row r="3226" spans="1:8" x14ac:dyDescent="0.25">
      <c r="A3226" s="63"/>
      <c r="B3226" s="63">
        <f>'Padrão EPP'!B3226</f>
        <v>26</v>
      </c>
      <c r="C3226" s="63" t="str">
        <f>'Padrão EPP'!C3226</f>
        <v>SE</v>
      </c>
      <c r="D3226" s="63" t="str">
        <f>'Padrão EPP'!D3226</f>
        <v>INTERIOR II</v>
      </c>
      <c r="E3226" s="63">
        <f>'Padrão EPP'!E3226/2</f>
        <v>0</v>
      </c>
      <c r="F3226" s="67">
        <v>3.0000000000000001E-3</v>
      </c>
      <c r="G3226" s="67">
        <v>2E-3</v>
      </c>
      <c r="H3226" s="63"/>
    </row>
    <row r="3227" spans="1:8" x14ac:dyDescent="0.25">
      <c r="A3227" s="63"/>
      <c r="B3227" s="63">
        <f>'Padrão EPP'!B3227</f>
        <v>27</v>
      </c>
      <c r="C3227" s="63" t="str">
        <f>'Padrão EPP'!C3227</f>
        <v>SE</v>
      </c>
      <c r="D3227" s="63" t="str">
        <f>'Padrão EPP'!D3227</f>
        <v>INTERIOR II</v>
      </c>
      <c r="E3227" s="63">
        <f>'Padrão EPP'!E3227/2</f>
        <v>0</v>
      </c>
      <c r="F3227" s="67">
        <v>3.0000000000000001E-3</v>
      </c>
      <c r="G3227" s="67">
        <v>2E-3</v>
      </c>
      <c r="H3227" s="63"/>
    </row>
    <row r="3228" spans="1:8" x14ac:dyDescent="0.25">
      <c r="A3228" s="63"/>
      <c r="B3228" s="63">
        <f>'Padrão EPP'!B3228</f>
        <v>28</v>
      </c>
      <c r="C3228" s="63" t="str">
        <f>'Padrão EPP'!C3228</f>
        <v>SE</v>
      </c>
      <c r="D3228" s="63" t="str">
        <f>'Padrão EPP'!D3228</f>
        <v>INTERIOR II</v>
      </c>
      <c r="E3228" s="63">
        <f>'Padrão EPP'!E3228/2</f>
        <v>0</v>
      </c>
      <c r="F3228" s="67">
        <v>3.0000000000000001E-3</v>
      </c>
      <c r="G3228" s="67">
        <v>2E-3</v>
      </c>
      <c r="H3228" s="63"/>
    </row>
    <row r="3229" spans="1:8" x14ac:dyDescent="0.25">
      <c r="A3229" s="63"/>
      <c r="B3229" s="63">
        <f>'Padrão EPP'!B3229</f>
        <v>29</v>
      </c>
      <c r="C3229" s="63" t="str">
        <f>'Padrão EPP'!C3229</f>
        <v>SE</v>
      </c>
      <c r="D3229" s="63" t="str">
        <f>'Padrão EPP'!D3229</f>
        <v>INTERIOR II</v>
      </c>
      <c r="E3229" s="63">
        <f>'Padrão EPP'!E3229/2</f>
        <v>0</v>
      </c>
      <c r="F3229" s="67">
        <v>3.0000000000000001E-3</v>
      </c>
      <c r="G3229" s="67">
        <v>2E-3</v>
      </c>
      <c r="H3229" s="63"/>
    </row>
    <row r="3230" spans="1:8" x14ac:dyDescent="0.25">
      <c r="A3230" s="63"/>
      <c r="B3230" s="63">
        <f>'Padrão EPP'!B3230</f>
        <v>30</v>
      </c>
      <c r="C3230" s="63" t="str">
        <f>'Padrão EPP'!C3230</f>
        <v>SE</v>
      </c>
      <c r="D3230" s="63" t="str">
        <f>'Padrão EPP'!D3230</f>
        <v>INTERIOR II</v>
      </c>
      <c r="E3230" s="63">
        <f>'Padrão EPP'!E3230/2</f>
        <v>0</v>
      </c>
      <c r="F3230" s="67">
        <v>3.0000000000000001E-3</v>
      </c>
      <c r="G3230" s="67">
        <v>2E-3</v>
      </c>
      <c r="H3230" s="63"/>
    </row>
    <row r="3231" spans="1:8" x14ac:dyDescent="0.25">
      <c r="A3231" s="63"/>
      <c r="B3231" s="63">
        <f>'Padrão EPP'!B3231</f>
        <v>0</v>
      </c>
      <c r="C3231" s="63" t="str">
        <f>'Padrão EPP'!C3231</f>
        <v>SE</v>
      </c>
      <c r="D3231" s="63" t="str">
        <f>'Padrão EPP'!D3231</f>
        <v>INTERIOR II</v>
      </c>
      <c r="E3231" s="63">
        <f>'Padrão EPP'!E3231/2</f>
        <v>1.5214394455252955</v>
      </c>
      <c r="F3231" s="67">
        <v>3.0000000000000001E-3</v>
      </c>
      <c r="G3231" s="67">
        <v>2E-3</v>
      </c>
      <c r="H3231" s="63"/>
    </row>
    <row r="3232" spans="1:8" x14ac:dyDescent="0.25">
      <c r="A3232" s="63"/>
      <c r="B3232" s="63">
        <f>'Padrão EPP'!B3232</f>
        <v>0.25</v>
      </c>
      <c r="C3232" s="63" t="str">
        <f>'Padrão EPP'!C3232</f>
        <v>SE</v>
      </c>
      <c r="D3232" s="63" t="str">
        <f>'Padrão EPP'!D3232</f>
        <v>REDESPACHO</v>
      </c>
      <c r="E3232" s="63">
        <f>'Padrão EPP'!E3232/2</f>
        <v>15.08184657485563</v>
      </c>
      <c r="F3232" s="67">
        <v>3.0000000000000001E-3</v>
      </c>
      <c r="G3232" s="67">
        <v>2E-3</v>
      </c>
      <c r="H3232" s="63"/>
    </row>
    <row r="3233" spans="1:8" x14ac:dyDescent="0.25">
      <c r="A3233" s="63"/>
      <c r="B3233" s="63">
        <f>'Padrão EPP'!B3233</f>
        <v>0.5</v>
      </c>
      <c r="C3233" s="63" t="str">
        <f>'Padrão EPP'!C3233</f>
        <v>SE</v>
      </c>
      <c r="D3233" s="63" t="str">
        <f>'Padrão EPP'!D3233</f>
        <v>REDESPACHO</v>
      </c>
      <c r="E3233" s="63">
        <f>'Padrão EPP'!E3233/2</f>
        <v>16.596254557065933</v>
      </c>
      <c r="F3233" s="67">
        <v>3.0000000000000001E-3</v>
      </c>
      <c r="G3233" s="67">
        <v>2E-3</v>
      </c>
      <c r="H3233" s="63"/>
    </row>
    <row r="3234" spans="1:8" x14ac:dyDescent="0.25">
      <c r="A3234" s="63"/>
      <c r="B3234" s="63">
        <f>'Padrão EPP'!B3234</f>
        <v>0.75</v>
      </c>
      <c r="C3234" s="63" t="str">
        <f>'Padrão EPP'!C3234</f>
        <v>SE</v>
      </c>
      <c r="D3234" s="63" t="str">
        <f>'Padrão EPP'!D3234</f>
        <v>REDESPACHO</v>
      </c>
      <c r="E3234" s="63">
        <f>'Padrão EPP'!E3234/2</f>
        <v>18.263034321372711</v>
      </c>
      <c r="F3234" s="67">
        <v>3.0000000000000001E-3</v>
      </c>
      <c r="G3234" s="67">
        <v>2E-3</v>
      </c>
      <c r="H3234" s="63"/>
    </row>
    <row r="3235" spans="1:8" x14ac:dyDescent="0.25">
      <c r="A3235" s="63"/>
      <c r="B3235" s="63">
        <f>'Padrão EPP'!B3235</f>
        <v>1</v>
      </c>
      <c r="C3235" s="63" t="str">
        <f>'Padrão EPP'!C3235</f>
        <v>SE</v>
      </c>
      <c r="D3235" s="63" t="str">
        <f>'Padrão EPP'!D3235</f>
        <v>REDESPACHO</v>
      </c>
      <c r="E3235" s="63">
        <f>'Padrão EPP'!E3235/2</f>
        <v>19.397065210520534</v>
      </c>
      <c r="F3235" s="67">
        <v>3.0000000000000001E-3</v>
      </c>
      <c r="G3235" s="67">
        <v>2E-3</v>
      </c>
      <c r="H3235" s="63"/>
    </row>
    <row r="3236" spans="1:8" x14ac:dyDescent="0.25">
      <c r="A3236" s="63"/>
      <c r="B3236" s="63">
        <f>'Padrão EPP'!B3236</f>
        <v>2</v>
      </c>
      <c r="C3236" s="63" t="str">
        <f>'Padrão EPP'!C3236</f>
        <v>SE</v>
      </c>
      <c r="D3236" s="63" t="str">
        <f>'Padrão EPP'!D3236</f>
        <v>REDESPACHO</v>
      </c>
      <c r="E3236" s="63">
        <f>'Padrão EPP'!E3236/2</f>
        <v>23.265701655419026</v>
      </c>
      <c r="F3236" s="67">
        <v>3.0000000000000001E-3</v>
      </c>
      <c r="G3236" s="67">
        <v>2E-3</v>
      </c>
      <c r="H3236" s="63"/>
    </row>
    <row r="3237" spans="1:8" x14ac:dyDescent="0.25">
      <c r="A3237" s="63"/>
      <c r="B3237" s="63">
        <f>'Padrão EPP'!B3237</f>
        <v>3</v>
      </c>
      <c r="C3237" s="63" t="str">
        <f>'Padrão EPP'!C3237</f>
        <v>SE</v>
      </c>
      <c r="D3237" s="63" t="str">
        <f>'Padrão EPP'!D3237</f>
        <v>REDESPACHO</v>
      </c>
      <c r="E3237" s="63">
        <f>'Padrão EPP'!E3237/2</f>
        <v>29.867018361565108</v>
      </c>
      <c r="F3237" s="67">
        <v>3.0000000000000001E-3</v>
      </c>
      <c r="G3237" s="67">
        <v>2E-3</v>
      </c>
      <c r="H3237" s="63"/>
    </row>
    <row r="3238" spans="1:8" x14ac:dyDescent="0.25">
      <c r="A3238" s="63"/>
      <c r="B3238" s="63">
        <f>'Padrão EPP'!B3238</f>
        <v>4</v>
      </c>
      <c r="C3238" s="63" t="str">
        <f>'Padrão EPP'!C3238</f>
        <v>SE</v>
      </c>
      <c r="D3238" s="63" t="str">
        <f>'Padrão EPP'!D3238</f>
        <v>REDESPACHO</v>
      </c>
      <c r="E3238" s="63">
        <f>'Padrão EPP'!E3238/2</f>
        <v>34.625105869330511</v>
      </c>
      <c r="F3238" s="67">
        <v>3.0000000000000001E-3</v>
      </c>
      <c r="G3238" s="67">
        <v>2E-3</v>
      </c>
      <c r="H3238" s="63"/>
    </row>
    <row r="3239" spans="1:8" x14ac:dyDescent="0.25">
      <c r="A3239" s="63"/>
      <c r="B3239" s="63">
        <f>'Padrão EPP'!B3239</f>
        <v>5</v>
      </c>
      <c r="C3239" s="63" t="str">
        <f>'Padrão EPP'!C3239</f>
        <v>SE</v>
      </c>
      <c r="D3239" s="63" t="str">
        <f>'Padrão EPP'!D3239</f>
        <v>REDESPACHO</v>
      </c>
      <c r="E3239" s="63">
        <f>'Padrão EPP'!E3239/2</f>
        <v>39.494426118364004</v>
      </c>
      <c r="F3239" s="67">
        <v>3.0000000000000001E-3</v>
      </c>
      <c r="G3239" s="67">
        <v>2E-3</v>
      </c>
      <c r="H3239" s="63"/>
    </row>
    <row r="3240" spans="1:8" x14ac:dyDescent="0.25">
      <c r="A3240" s="63"/>
      <c r="B3240" s="63">
        <f>'Padrão EPP'!B3240</f>
        <v>6</v>
      </c>
      <c r="C3240" s="63" t="str">
        <f>'Padrão EPP'!C3240</f>
        <v>SE</v>
      </c>
      <c r="D3240" s="63" t="str">
        <f>'Padrão EPP'!D3240</f>
        <v>REDESPACHO</v>
      </c>
      <c r="E3240" s="63">
        <f>'Padrão EPP'!E3240/2</f>
        <v>44.486102382792382</v>
      </c>
      <c r="F3240" s="67">
        <v>3.0000000000000001E-3</v>
      </c>
      <c r="G3240" s="67">
        <v>2E-3</v>
      </c>
      <c r="H3240" s="63"/>
    </row>
    <row r="3241" spans="1:8" x14ac:dyDescent="0.25">
      <c r="A3241" s="63"/>
      <c r="B3241" s="63">
        <f>'Padrão EPP'!B3241</f>
        <v>7</v>
      </c>
      <c r="C3241" s="63" t="str">
        <f>'Padrão EPP'!C3241</f>
        <v>SE</v>
      </c>
      <c r="D3241" s="63" t="str">
        <f>'Padrão EPP'!D3241</f>
        <v>REDESPACHO</v>
      </c>
      <c r="E3241" s="63">
        <f>'Padrão EPP'!E3241/2</f>
        <v>49.612370264155118</v>
      </c>
      <c r="F3241" s="67">
        <v>3.0000000000000001E-3</v>
      </c>
      <c r="G3241" s="67">
        <v>2E-3</v>
      </c>
      <c r="H3241" s="63"/>
    </row>
    <row r="3242" spans="1:8" x14ac:dyDescent="0.25">
      <c r="A3242" s="63"/>
      <c r="B3242" s="63">
        <f>'Padrão EPP'!B3242</f>
        <v>8</v>
      </c>
      <c r="C3242" s="63" t="str">
        <f>'Padrão EPP'!C3242</f>
        <v>SE</v>
      </c>
      <c r="D3242" s="63" t="str">
        <f>'Padrão EPP'!D3242</f>
        <v>REDESPACHO</v>
      </c>
      <c r="E3242" s="63">
        <f>'Padrão EPP'!E3242/2</f>
        <v>54.886688924145687</v>
      </c>
      <c r="F3242" s="67">
        <v>3.0000000000000001E-3</v>
      </c>
      <c r="G3242" s="67">
        <v>2E-3</v>
      </c>
      <c r="H3242" s="63"/>
    </row>
    <row r="3243" spans="1:8" x14ac:dyDescent="0.25">
      <c r="A3243" s="63"/>
      <c r="B3243" s="63">
        <f>'Padrão EPP'!B3243</f>
        <v>9</v>
      </c>
      <c r="C3243" s="63" t="str">
        <f>'Padrão EPP'!C3243</f>
        <v>SE</v>
      </c>
      <c r="D3243" s="63" t="str">
        <f>'Padrão EPP'!D3243</f>
        <v>REDESPACHO</v>
      </c>
      <c r="E3243" s="63">
        <f>'Padrão EPP'!E3243/2</f>
        <v>60.32386344062683</v>
      </c>
      <c r="F3243" s="67">
        <v>3.0000000000000001E-3</v>
      </c>
      <c r="G3243" s="67">
        <v>2E-3</v>
      </c>
      <c r="H3243" s="63"/>
    </row>
    <row r="3244" spans="1:8" x14ac:dyDescent="0.25">
      <c r="A3244" s="63"/>
      <c r="B3244" s="63">
        <f>'Padrão EPP'!B3244</f>
        <v>10</v>
      </c>
      <c r="C3244" s="63" t="str">
        <f>'Padrão EPP'!C3244</f>
        <v>SE</v>
      </c>
      <c r="D3244" s="63" t="str">
        <f>'Padrão EPP'!D3244</f>
        <v>REDESPACHO</v>
      </c>
      <c r="E3244" s="63">
        <f>'Padrão EPP'!E3244/2</f>
        <v>66.3484507266989</v>
      </c>
      <c r="F3244" s="67">
        <v>3.0000000000000001E-3</v>
      </c>
      <c r="G3244" s="67">
        <v>2E-3</v>
      </c>
      <c r="H3244" s="63"/>
    </row>
    <row r="3245" spans="1:8" x14ac:dyDescent="0.25">
      <c r="A3245" s="63"/>
      <c r="B3245" s="63">
        <f>'Padrão EPP'!B3245</f>
        <v>11</v>
      </c>
      <c r="C3245" s="63" t="str">
        <f>'Padrão EPP'!C3245</f>
        <v>SE</v>
      </c>
      <c r="D3245" s="63" t="str">
        <f>'Padrão EPP'!D3245</f>
        <v>REDESPACHO</v>
      </c>
      <c r="E3245" s="63">
        <f>'Padrão EPP'!E3245/2</f>
        <v>0</v>
      </c>
      <c r="F3245" s="67">
        <v>3.0000000000000001E-3</v>
      </c>
      <c r="G3245" s="67">
        <v>2E-3</v>
      </c>
      <c r="H3245" s="63"/>
    </row>
    <row r="3246" spans="1:8" x14ac:dyDescent="0.25">
      <c r="A3246" s="63"/>
      <c r="B3246" s="63">
        <f>'Padrão EPP'!B3246</f>
        <v>12</v>
      </c>
      <c r="C3246" s="63" t="str">
        <f>'Padrão EPP'!C3246</f>
        <v>SE</v>
      </c>
      <c r="D3246" s="63" t="str">
        <f>'Padrão EPP'!D3246</f>
        <v>REDESPACHO</v>
      </c>
      <c r="E3246" s="63">
        <f>'Padrão EPP'!E3246/2</f>
        <v>0</v>
      </c>
      <c r="F3246" s="67">
        <v>3.0000000000000001E-3</v>
      </c>
      <c r="G3246" s="67">
        <v>2E-3</v>
      </c>
      <c r="H3246" s="63"/>
    </row>
    <row r="3247" spans="1:8" x14ac:dyDescent="0.25">
      <c r="A3247" s="63"/>
      <c r="B3247" s="63">
        <f>'Padrão EPP'!B3247</f>
        <v>13</v>
      </c>
      <c r="C3247" s="63" t="str">
        <f>'Padrão EPP'!C3247</f>
        <v>SE</v>
      </c>
      <c r="D3247" s="63" t="str">
        <f>'Padrão EPP'!D3247</f>
        <v>REDESPACHO</v>
      </c>
      <c r="E3247" s="63">
        <f>'Padrão EPP'!E3247/2</f>
        <v>0</v>
      </c>
      <c r="F3247" s="67">
        <v>3.0000000000000001E-3</v>
      </c>
      <c r="G3247" s="67">
        <v>2E-3</v>
      </c>
      <c r="H3247" s="63"/>
    </row>
    <row r="3248" spans="1:8" x14ac:dyDescent="0.25">
      <c r="A3248" s="63"/>
      <c r="B3248" s="63">
        <f>'Padrão EPP'!B3248</f>
        <v>14</v>
      </c>
      <c r="C3248" s="63" t="str">
        <f>'Padrão EPP'!C3248</f>
        <v>SE</v>
      </c>
      <c r="D3248" s="63" t="str">
        <f>'Padrão EPP'!D3248</f>
        <v>REDESPACHO</v>
      </c>
      <c r="E3248" s="63">
        <f>'Padrão EPP'!E3248/2</f>
        <v>0</v>
      </c>
      <c r="F3248" s="67">
        <v>3.0000000000000001E-3</v>
      </c>
      <c r="G3248" s="67">
        <v>2E-3</v>
      </c>
      <c r="H3248" s="63"/>
    </row>
    <row r="3249" spans="1:8" x14ac:dyDescent="0.25">
      <c r="A3249" s="63"/>
      <c r="B3249" s="63">
        <f>'Padrão EPP'!B3249</f>
        <v>15</v>
      </c>
      <c r="C3249" s="63" t="str">
        <f>'Padrão EPP'!C3249</f>
        <v>SE</v>
      </c>
      <c r="D3249" s="63" t="str">
        <f>'Padrão EPP'!D3249</f>
        <v>REDESPACHO</v>
      </c>
      <c r="E3249" s="63">
        <f>'Padrão EPP'!E3249/2</f>
        <v>0</v>
      </c>
      <c r="F3249" s="67">
        <v>3.0000000000000001E-3</v>
      </c>
      <c r="G3249" s="67">
        <v>2E-3</v>
      </c>
      <c r="H3249" s="63"/>
    </row>
    <row r="3250" spans="1:8" x14ac:dyDescent="0.25">
      <c r="A3250" s="63"/>
      <c r="B3250" s="63">
        <f>'Padrão EPP'!B3250</f>
        <v>16</v>
      </c>
      <c r="C3250" s="63" t="str">
        <f>'Padrão EPP'!C3250</f>
        <v>SE</v>
      </c>
      <c r="D3250" s="63" t="str">
        <f>'Padrão EPP'!D3250</f>
        <v>REDESPACHO</v>
      </c>
      <c r="E3250" s="63">
        <f>'Padrão EPP'!E3250/2</f>
        <v>0</v>
      </c>
      <c r="F3250" s="67">
        <v>3.0000000000000001E-3</v>
      </c>
      <c r="G3250" s="67">
        <v>2E-3</v>
      </c>
      <c r="H3250" s="63"/>
    </row>
    <row r="3251" spans="1:8" x14ac:dyDescent="0.25">
      <c r="A3251" s="63"/>
      <c r="B3251" s="63">
        <f>'Padrão EPP'!B3251</f>
        <v>17</v>
      </c>
      <c r="C3251" s="63" t="str">
        <f>'Padrão EPP'!C3251</f>
        <v>SE</v>
      </c>
      <c r="D3251" s="63" t="str">
        <f>'Padrão EPP'!D3251</f>
        <v>REDESPACHO</v>
      </c>
      <c r="E3251" s="63">
        <f>'Padrão EPP'!E3251/2</f>
        <v>0</v>
      </c>
      <c r="F3251" s="67">
        <v>3.0000000000000001E-3</v>
      </c>
      <c r="G3251" s="67">
        <v>2E-3</v>
      </c>
      <c r="H3251" s="63"/>
    </row>
    <row r="3252" spans="1:8" x14ac:dyDescent="0.25">
      <c r="A3252" s="63"/>
      <c r="B3252" s="63">
        <f>'Padrão EPP'!B3252</f>
        <v>18</v>
      </c>
      <c r="C3252" s="63" t="str">
        <f>'Padrão EPP'!C3252</f>
        <v>SE</v>
      </c>
      <c r="D3252" s="63" t="str">
        <f>'Padrão EPP'!D3252</f>
        <v>REDESPACHO</v>
      </c>
      <c r="E3252" s="63">
        <f>'Padrão EPP'!E3252/2</f>
        <v>0</v>
      </c>
      <c r="F3252" s="67">
        <v>3.0000000000000001E-3</v>
      </c>
      <c r="G3252" s="67">
        <v>2E-3</v>
      </c>
      <c r="H3252" s="63"/>
    </row>
    <row r="3253" spans="1:8" x14ac:dyDescent="0.25">
      <c r="A3253" s="63"/>
      <c r="B3253" s="63">
        <f>'Padrão EPP'!B3253</f>
        <v>19</v>
      </c>
      <c r="C3253" s="63" t="str">
        <f>'Padrão EPP'!C3253</f>
        <v>SE</v>
      </c>
      <c r="D3253" s="63" t="str">
        <f>'Padrão EPP'!D3253</f>
        <v>REDESPACHO</v>
      </c>
      <c r="E3253" s="63">
        <f>'Padrão EPP'!E3253/2</f>
        <v>0</v>
      </c>
      <c r="F3253" s="67">
        <v>3.0000000000000001E-3</v>
      </c>
      <c r="G3253" s="67">
        <v>2E-3</v>
      </c>
      <c r="H3253" s="63"/>
    </row>
    <row r="3254" spans="1:8" x14ac:dyDescent="0.25">
      <c r="A3254" s="63"/>
      <c r="B3254" s="63">
        <f>'Padrão EPP'!B3254</f>
        <v>20</v>
      </c>
      <c r="C3254" s="63" t="str">
        <f>'Padrão EPP'!C3254</f>
        <v>SE</v>
      </c>
      <c r="D3254" s="63" t="str">
        <f>'Padrão EPP'!D3254</f>
        <v>REDESPACHO</v>
      </c>
      <c r="E3254" s="63">
        <f>'Padrão EPP'!E3254/2</f>
        <v>0</v>
      </c>
      <c r="F3254" s="67">
        <v>3.0000000000000001E-3</v>
      </c>
      <c r="G3254" s="67">
        <v>2E-3</v>
      </c>
      <c r="H3254" s="63"/>
    </row>
    <row r="3255" spans="1:8" x14ac:dyDescent="0.25">
      <c r="A3255" s="63"/>
      <c r="B3255" s="63">
        <f>'Padrão EPP'!B3255</f>
        <v>21</v>
      </c>
      <c r="C3255" s="63" t="str">
        <f>'Padrão EPP'!C3255</f>
        <v>SE</v>
      </c>
      <c r="D3255" s="63" t="str">
        <f>'Padrão EPP'!D3255</f>
        <v>REDESPACHO</v>
      </c>
      <c r="E3255" s="63">
        <f>'Padrão EPP'!E3255/2</f>
        <v>0</v>
      </c>
      <c r="F3255" s="67">
        <v>3.0000000000000001E-3</v>
      </c>
      <c r="G3255" s="67">
        <v>2E-3</v>
      </c>
      <c r="H3255" s="63"/>
    </row>
    <row r="3256" spans="1:8" x14ac:dyDescent="0.25">
      <c r="A3256" s="63"/>
      <c r="B3256" s="63">
        <f>'Padrão EPP'!B3256</f>
        <v>22</v>
      </c>
      <c r="C3256" s="63" t="str">
        <f>'Padrão EPP'!C3256</f>
        <v>SE</v>
      </c>
      <c r="D3256" s="63" t="str">
        <f>'Padrão EPP'!D3256</f>
        <v>REDESPACHO</v>
      </c>
      <c r="E3256" s="63">
        <f>'Padrão EPP'!E3256/2</f>
        <v>0</v>
      </c>
      <c r="F3256" s="67">
        <v>3.0000000000000001E-3</v>
      </c>
      <c r="G3256" s="67">
        <v>2E-3</v>
      </c>
      <c r="H3256" s="63"/>
    </row>
    <row r="3257" spans="1:8" x14ac:dyDescent="0.25">
      <c r="A3257" s="63"/>
      <c r="B3257" s="63">
        <f>'Padrão EPP'!B3257</f>
        <v>23</v>
      </c>
      <c r="C3257" s="63" t="str">
        <f>'Padrão EPP'!C3257</f>
        <v>SE</v>
      </c>
      <c r="D3257" s="63" t="str">
        <f>'Padrão EPP'!D3257</f>
        <v>REDESPACHO</v>
      </c>
      <c r="E3257" s="63">
        <f>'Padrão EPP'!E3257/2</f>
        <v>0</v>
      </c>
      <c r="F3257" s="67">
        <v>3.0000000000000001E-3</v>
      </c>
      <c r="G3257" s="67">
        <v>2E-3</v>
      </c>
      <c r="H3257" s="63"/>
    </row>
    <row r="3258" spans="1:8" x14ac:dyDescent="0.25">
      <c r="A3258" s="63"/>
      <c r="B3258" s="63">
        <f>'Padrão EPP'!B3258</f>
        <v>24</v>
      </c>
      <c r="C3258" s="63" t="str">
        <f>'Padrão EPP'!C3258</f>
        <v>SE</v>
      </c>
      <c r="D3258" s="63" t="str">
        <f>'Padrão EPP'!D3258</f>
        <v>REDESPACHO</v>
      </c>
      <c r="E3258" s="63">
        <f>'Padrão EPP'!E3258/2</f>
        <v>0</v>
      </c>
      <c r="F3258" s="67">
        <v>3.0000000000000001E-3</v>
      </c>
      <c r="G3258" s="67">
        <v>2E-3</v>
      </c>
      <c r="H3258" s="63"/>
    </row>
    <row r="3259" spans="1:8" x14ac:dyDescent="0.25">
      <c r="A3259" s="63"/>
      <c r="B3259" s="63">
        <f>'Padrão EPP'!B3259</f>
        <v>25</v>
      </c>
      <c r="C3259" s="63" t="str">
        <f>'Padrão EPP'!C3259</f>
        <v>SE</v>
      </c>
      <c r="D3259" s="63" t="str">
        <f>'Padrão EPP'!D3259</f>
        <v>REDESPACHO</v>
      </c>
      <c r="E3259" s="63">
        <f>'Padrão EPP'!E3259/2</f>
        <v>0</v>
      </c>
      <c r="F3259" s="67">
        <v>3.0000000000000001E-3</v>
      </c>
      <c r="G3259" s="67">
        <v>2E-3</v>
      </c>
      <c r="H3259" s="63"/>
    </row>
    <row r="3260" spans="1:8" x14ac:dyDescent="0.25">
      <c r="A3260" s="63"/>
      <c r="B3260" s="63">
        <f>'Padrão EPP'!B3260</f>
        <v>26</v>
      </c>
      <c r="C3260" s="63" t="str">
        <f>'Padrão EPP'!C3260</f>
        <v>SE</v>
      </c>
      <c r="D3260" s="63" t="str">
        <f>'Padrão EPP'!D3260</f>
        <v>REDESPACHO</v>
      </c>
      <c r="E3260" s="63">
        <f>'Padrão EPP'!E3260/2</f>
        <v>0</v>
      </c>
      <c r="F3260" s="67">
        <v>3.0000000000000001E-3</v>
      </c>
      <c r="G3260" s="67">
        <v>2E-3</v>
      </c>
      <c r="H3260" s="63"/>
    </row>
    <row r="3261" spans="1:8" x14ac:dyDescent="0.25">
      <c r="A3261" s="63"/>
      <c r="B3261" s="63">
        <f>'Padrão EPP'!B3261</f>
        <v>27</v>
      </c>
      <c r="C3261" s="63" t="str">
        <f>'Padrão EPP'!C3261</f>
        <v>SE</v>
      </c>
      <c r="D3261" s="63" t="str">
        <f>'Padrão EPP'!D3261</f>
        <v>REDESPACHO</v>
      </c>
      <c r="E3261" s="63">
        <f>'Padrão EPP'!E3261/2</f>
        <v>0</v>
      </c>
      <c r="F3261" s="67">
        <v>3.0000000000000001E-3</v>
      </c>
      <c r="G3261" s="67">
        <v>2E-3</v>
      </c>
      <c r="H3261" s="63"/>
    </row>
    <row r="3262" spans="1:8" x14ac:dyDescent="0.25">
      <c r="A3262" s="63"/>
      <c r="B3262" s="63">
        <f>'Padrão EPP'!B3262</f>
        <v>28</v>
      </c>
      <c r="C3262" s="63" t="str">
        <f>'Padrão EPP'!C3262</f>
        <v>SE</v>
      </c>
      <c r="D3262" s="63" t="str">
        <f>'Padrão EPP'!D3262</f>
        <v>REDESPACHO</v>
      </c>
      <c r="E3262" s="63">
        <f>'Padrão EPP'!E3262/2</f>
        <v>0</v>
      </c>
      <c r="F3262" s="67">
        <v>3.0000000000000001E-3</v>
      </c>
      <c r="G3262" s="67">
        <v>2E-3</v>
      </c>
      <c r="H3262" s="63"/>
    </row>
    <row r="3263" spans="1:8" x14ac:dyDescent="0.25">
      <c r="A3263" s="63"/>
      <c r="B3263" s="63">
        <f>'Padrão EPP'!B3263</f>
        <v>29</v>
      </c>
      <c r="C3263" s="63" t="str">
        <f>'Padrão EPP'!C3263</f>
        <v>SE</v>
      </c>
      <c r="D3263" s="63" t="str">
        <f>'Padrão EPP'!D3263</f>
        <v>REDESPACHO</v>
      </c>
      <c r="E3263" s="63">
        <f>'Padrão EPP'!E3263/2</f>
        <v>0</v>
      </c>
      <c r="F3263" s="67">
        <v>3.0000000000000001E-3</v>
      </c>
      <c r="G3263" s="67">
        <v>2E-3</v>
      </c>
      <c r="H3263" s="63"/>
    </row>
    <row r="3264" spans="1:8" x14ac:dyDescent="0.25">
      <c r="A3264" s="63"/>
      <c r="B3264" s="63">
        <f>'Padrão EPP'!B3264</f>
        <v>30</v>
      </c>
      <c r="C3264" s="63" t="str">
        <f>'Padrão EPP'!C3264</f>
        <v>SE</v>
      </c>
      <c r="D3264" s="63" t="str">
        <f>'Padrão EPP'!D3264</f>
        <v>REDESPACHO</v>
      </c>
      <c r="E3264" s="63">
        <f>'Padrão EPP'!E3264/2</f>
        <v>0</v>
      </c>
      <c r="F3264" s="67">
        <v>3.0000000000000001E-3</v>
      </c>
      <c r="G3264" s="67">
        <v>2E-3</v>
      </c>
      <c r="H3264" s="63"/>
    </row>
    <row r="3265" spans="1:8" x14ac:dyDescent="0.25">
      <c r="A3265" s="63"/>
      <c r="B3265" s="63">
        <f>'Padrão EPP'!B3265</f>
        <v>0</v>
      </c>
      <c r="C3265" s="63" t="str">
        <f>'Padrão EPP'!C3265</f>
        <v>SE</v>
      </c>
      <c r="D3265" s="63" t="str">
        <f>'Padrão EPP'!D3265</f>
        <v>REDESPACHO</v>
      </c>
      <c r="E3265" s="63">
        <f>'Padrão EPP'!E3265/2</f>
        <v>1.5214394455252955</v>
      </c>
      <c r="F3265" s="67">
        <v>3.0000000000000001E-3</v>
      </c>
      <c r="G3265" s="67">
        <v>2E-3</v>
      </c>
      <c r="H3265" s="63"/>
    </row>
    <row r="3266" spans="1:8" x14ac:dyDescent="0.25">
      <c r="A3266" s="63"/>
      <c r="B3266" s="63">
        <f>'Padrão EPP'!B3266</f>
        <v>0.25</v>
      </c>
      <c r="C3266" s="63" t="str">
        <f>'Padrão EPP'!C3266</f>
        <v>MA</v>
      </c>
      <c r="D3266" s="63" t="str">
        <f>'Padrão EPP'!D3266</f>
        <v>CAPITAL</v>
      </c>
      <c r="E3266" s="63">
        <f>'Padrão EPP'!E3266/2</f>
        <v>7.1089867532722613</v>
      </c>
      <c r="F3266" s="67">
        <v>3.0000000000000001E-3</v>
      </c>
      <c r="G3266" s="67">
        <v>2E-3</v>
      </c>
      <c r="H3266" s="63"/>
    </row>
    <row r="3267" spans="1:8" x14ac:dyDescent="0.25">
      <c r="A3267" s="63"/>
      <c r="B3267" s="63">
        <f>'Padrão EPP'!B3267</f>
        <v>0.5</v>
      </c>
      <c r="C3267" s="63" t="str">
        <f>'Padrão EPP'!C3267</f>
        <v>MA</v>
      </c>
      <c r="D3267" s="63" t="str">
        <f>'Padrão EPP'!D3267</f>
        <v>CAPITAL</v>
      </c>
      <c r="E3267" s="63">
        <f>'Padrão EPP'!E3267/2</f>
        <v>7.6776744477221355</v>
      </c>
      <c r="F3267" s="67">
        <v>3.0000000000000001E-3</v>
      </c>
      <c r="G3267" s="67">
        <v>2E-3</v>
      </c>
      <c r="H3267" s="63"/>
    </row>
    <row r="3268" spans="1:8" x14ac:dyDescent="0.25">
      <c r="A3268" s="63"/>
      <c r="B3268" s="63">
        <f>'Padrão EPP'!B3268</f>
        <v>0.75</v>
      </c>
      <c r="C3268" s="63" t="str">
        <f>'Padrão EPP'!C3268</f>
        <v>MA</v>
      </c>
      <c r="D3268" s="63" t="str">
        <f>'Padrão EPP'!D3268</f>
        <v>CAPITAL</v>
      </c>
      <c r="E3268" s="63">
        <f>'Padrão EPP'!E3268/2</f>
        <v>8.2112536890176262</v>
      </c>
      <c r="F3268" s="67">
        <v>3.0000000000000001E-3</v>
      </c>
      <c r="G3268" s="67">
        <v>2E-3</v>
      </c>
      <c r="H3268" s="63"/>
    </row>
    <row r="3269" spans="1:8" x14ac:dyDescent="0.25">
      <c r="A3269" s="63"/>
      <c r="B3269" s="63">
        <f>'Padrão EPP'!B3269</f>
        <v>1</v>
      </c>
      <c r="C3269" s="63" t="str">
        <f>'Padrão EPP'!C3269</f>
        <v>MA</v>
      </c>
      <c r="D3269" s="63" t="str">
        <f>'Padrão EPP'!D3269</f>
        <v>CAPITAL</v>
      </c>
      <c r="E3269" s="63">
        <f>'Padrão EPP'!E3269/2</f>
        <v>8.8800283226637067</v>
      </c>
      <c r="F3269" s="67">
        <v>3.0000000000000001E-3</v>
      </c>
      <c r="G3269" s="67">
        <v>2E-3</v>
      </c>
      <c r="H3269" s="63"/>
    </row>
    <row r="3270" spans="1:8" x14ac:dyDescent="0.25">
      <c r="A3270" s="63"/>
      <c r="B3270" s="63">
        <f>'Padrão EPP'!B3270</f>
        <v>2</v>
      </c>
      <c r="C3270" s="63" t="str">
        <f>'Padrão EPP'!C3270</f>
        <v>MA</v>
      </c>
      <c r="D3270" s="63" t="str">
        <f>'Padrão EPP'!D3270</f>
        <v>CAPITAL</v>
      </c>
      <c r="E3270" s="63">
        <f>'Padrão EPP'!E3270/2</f>
        <v>10.810688472701743</v>
      </c>
      <c r="F3270" s="67">
        <v>3.0000000000000001E-3</v>
      </c>
      <c r="G3270" s="67">
        <v>2E-3</v>
      </c>
      <c r="H3270" s="63"/>
    </row>
    <row r="3271" spans="1:8" x14ac:dyDescent="0.25">
      <c r="A3271" s="63"/>
      <c r="B3271" s="63">
        <f>'Padrão EPP'!B3271</f>
        <v>3</v>
      </c>
      <c r="C3271" s="63" t="str">
        <f>'Padrão EPP'!C3271</f>
        <v>MA</v>
      </c>
      <c r="D3271" s="63" t="str">
        <f>'Padrão EPP'!D3271</f>
        <v>CAPITAL</v>
      </c>
      <c r="E3271" s="63">
        <f>'Padrão EPP'!E3271/2</f>
        <v>14.713301735009704</v>
      </c>
      <c r="F3271" s="67">
        <v>3.0000000000000001E-3</v>
      </c>
      <c r="G3271" s="67">
        <v>2E-3</v>
      </c>
      <c r="H3271" s="63"/>
    </row>
    <row r="3272" spans="1:8" x14ac:dyDescent="0.25">
      <c r="A3272" s="63"/>
      <c r="B3272" s="63">
        <f>'Padrão EPP'!B3272</f>
        <v>4</v>
      </c>
      <c r="C3272" s="63" t="str">
        <f>'Padrão EPP'!C3272</f>
        <v>MA</v>
      </c>
      <c r="D3272" s="63" t="str">
        <f>'Padrão EPP'!D3272</f>
        <v>CAPITAL</v>
      </c>
      <c r="E3272" s="63">
        <f>'Padrão EPP'!E3272/2</f>
        <v>18.792939161972512</v>
      </c>
      <c r="F3272" s="67">
        <v>3.0000000000000001E-3</v>
      </c>
      <c r="G3272" s="67">
        <v>2E-3</v>
      </c>
      <c r="H3272" s="63"/>
    </row>
    <row r="3273" spans="1:8" x14ac:dyDescent="0.25">
      <c r="A3273" s="63"/>
      <c r="B3273" s="63">
        <f>'Padrão EPP'!B3273</f>
        <v>5</v>
      </c>
      <c r="C3273" s="63" t="str">
        <f>'Padrão EPP'!C3273</f>
        <v>MA</v>
      </c>
      <c r="D3273" s="63" t="str">
        <f>'Padrão EPP'!D3273</f>
        <v>CAPITAL</v>
      </c>
      <c r="E3273" s="63">
        <f>'Padrão EPP'!E3273/2</f>
        <v>22.916159599740087</v>
      </c>
      <c r="F3273" s="67">
        <v>3.0000000000000001E-3</v>
      </c>
      <c r="G3273" s="67">
        <v>2E-3</v>
      </c>
      <c r="H3273" s="63"/>
    </row>
    <row r="3274" spans="1:8" x14ac:dyDescent="0.25">
      <c r="A3274" s="63"/>
      <c r="B3274" s="63">
        <f>'Padrão EPP'!B3274</f>
        <v>6</v>
      </c>
      <c r="C3274" s="63" t="str">
        <f>'Padrão EPP'!C3274</f>
        <v>MA</v>
      </c>
      <c r="D3274" s="63" t="str">
        <f>'Padrão EPP'!D3274</f>
        <v>CAPITAL</v>
      </c>
      <c r="E3274" s="63">
        <f>'Padrão EPP'!E3274/2</f>
        <v>27.641048062588556</v>
      </c>
      <c r="F3274" s="67">
        <v>3.0000000000000001E-3</v>
      </c>
      <c r="G3274" s="67">
        <v>2E-3</v>
      </c>
      <c r="H3274" s="63"/>
    </row>
    <row r="3275" spans="1:8" x14ac:dyDescent="0.25">
      <c r="A3275" s="63"/>
      <c r="B3275" s="63">
        <f>'Padrão EPP'!B3275</f>
        <v>7</v>
      </c>
      <c r="C3275" s="63" t="str">
        <f>'Padrão EPP'!C3275</f>
        <v>MA</v>
      </c>
      <c r="D3275" s="63" t="str">
        <f>'Padrão EPP'!D3275</f>
        <v>CAPITAL</v>
      </c>
      <c r="E3275" s="63">
        <f>'Padrão EPP'!E3275/2</f>
        <v>31.673010084436967</v>
      </c>
      <c r="F3275" s="67">
        <v>3.0000000000000001E-3</v>
      </c>
      <c r="G3275" s="67">
        <v>2E-3</v>
      </c>
      <c r="H3275" s="63"/>
    </row>
    <row r="3276" spans="1:8" x14ac:dyDescent="0.25">
      <c r="A3276" s="63"/>
      <c r="B3276" s="63">
        <f>'Padrão EPP'!B3276</f>
        <v>8</v>
      </c>
      <c r="C3276" s="63" t="str">
        <f>'Padrão EPP'!C3276</f>
        <v>MA</v>
      </c>
      <c r="D3276" s="63" t="str">
        <f>'Padrão EPP'!D3276</f>
        <v>CAPITAL</v>
      </c>
      <c r="E3276" s="63">
        <f>'Padrão EPP'!E3276/2</f>
        <v>35.755492288170046</v>
      </c>
      <c r="F3276" s="67">
        <v>3.0000000000000001E-3</v>
      </c>
      <c r="G3276" s="67">
        <v>2E-3</v>
      </c>
      <c r="H3276" s="63"/>
    </row>
    <row r="3277" spans="1:8" x14ac:dyDescent="0.25">
      <c r="A3277" s="63"/>
      <c r="B3277" s="63">
        <f>'Padrão EPP'!B3277</f>
        <v>9</v>
      </c>
      <c r="C3277" s="63" t="str">
        <f>'Padrão EPP'!C3277</f>
        <v>MA</v>
      </c>
      <c r="D3277" s="63" t="str">
        <f>'Padrão EPP'!D3277</f>
        <v>CAPITAL</v>
      </c>
      <c r="E3277" s="63">
        <f>'Padrão EPP'!E3277/2</f>
        <v>39.89354669197624</v>
      </c>
      <c r="F3277" s="67">
        <v>3.0000000000000001E-3</v>
      </c>
      <c r="G3277" s="67">
        <v>2E-3</v>
      </c>
      <c r="H3277" s="63"/>
    </row>
    <row r="3278" spans="1:8" x14ac:dyDescent="0.25">
      <c r="A3278" s="63"/>
      <c r="B3278" s="63">
        <f>'Padrão EPP'!B3278</f>
        <v>10</v>
      </c>
      <c r="C3278" s="63" t="str">
        <f>'Padrão EPP'!C3278</f>
        <v>MA</v>
      </c>
      <c r="D3278" s="63" t="str">
        <f>'Padrão EPP'!D3278</f>
        <v>CAPITAL</v>
      </c>
      <c r="E3278" s="63">
        <f>'Padrão EPP'!E3278/2</f>
        <v>43.775730808874336</v>
      </c>
      <c r="F3278" s="67">
        <v>3.0000000000000001E-3</v>
      </c>
      <c r="G3278" s="67">
        <v>2E-3</v>
      </c>
      <c r="H3278" s="63"/>
    </row>
    <row r="3279" spans="1:8" x14ac:dyDescent="0.25">
      <c r="A3279" s="63"/>
      <c r="B3279" s="63">
        <f>'Padrão EPP'!B3279</f>
        <v>11</v>
      </c>
      <c r="C3279" s="63" t="str">
        <f>'Padrão EPP'!C3279</f>
        <v>MA</v>
      </c>
      <c r="D3279" s="63" t="str">
        <f>'Padrão EPP'!D3279</f>
        <v>CAPITAL</v>
      </c>
      <c r="E3279" s="63">
        <f>'Padrão EPP'!E3279/2</f>
        <v>0</v>
      </c>
      <c r="F3279" s="67">
        <v>3.0000000000000001E-3</v>
      </c>
      <c r="G3279" s="67">
        <v>2E-3</v>
      </c>
      <c r="H3279" s="63"/>
    </row>
    <row r="3280" spans="1:8" x14ac:dyDescent="0.25">
      <c r="A3280" s="63"/>
      <c r="B3280" s="63">
        <f>'Padrão EPP'!B3280</f>
        <v>12</v>
      </c>
      <c r="C3280" s="63" t="str">
        <f>'Padrão EPP'!C3280</f>
        <v>MA</v>
      </c>
      <c r="D3280" s="63" t="str">
        <f>'Padrão EPP'!D3280</f>
        <v>CAPITAL</v>
      </c>
      <c r="E3280" s="63">
        <f>'Padrão EPP'!E3280/2</f>
        <v>0</v>
      </c>
      <c r="F3280" s="67">
        <v>3.0000000000000001E-3</v>
      </c>
      <c r="G3280" s="67">
        <v>2E-3</v>
      </c>
      <c r="H3280" s="63"/>
    </row>
    <row r="3281" spans="1:8" x14ac:dyDescent="0.25">
      <c r="A3281" s="63"/>
      <c r="B3281" s="63">
        <f>'Padrão EPP'!B3281</f>
        <v>13</v>
      </c>
      <c r="C3281" s="63" t="str">
        <f>'Padrão EPP'!C3281</f>
        <v>MA</v>
      </c>
      <c r="D3281" s="63" t="str">
        <f>'Padrão EPP'!D3281</f>
        <v>CAPITAL</v>
      </c>
      <c r="E3281" s="63">
        <f>'Padrão EPP'!E3281/2</f>
        <v>0</v>
      </c>
      <c r="F3281" s="67">
        <v>3.0000000000000001E-3</v>
      </c>
      <c r="G3281" s="67">
        <v>2E-3</v>
      </c>
      <c r="H3281" s="63"/>
    </row>
    <row r="3282" spans="1:8" x14ac:dyDescent="0.25">
      <c r="A3282" s="63"/>
      <c r="B3282" s="63">
        <f>'Padrão EPP'!B3282</f>
        <v>14</v>
      </c>
      <c r="C3282" s="63" t="str">
        <f>'Padrão EPP'!C3282</f>
        <v>MA</v>
      </c>
      <c r="D3282" s="63" t="str">
        <f>'Padrão EPP'!D3282</f>
        <v>CAPITAL</v>
      </c>
      <c r="E3282" s="63">
        <f>'Padrão EPP'!E3282/2</f>
        <v>0</v>
      </c>
      <c r="F3282" s="67">
        <v>3.0000000000000001E-3</v>
      </c>
      <c r="G3282" s="67">
        <v>2E-3</v>
      </c>
      <c r="H3282" s="63"/>
    </row>
    <row r="3283" spans="1:8" x14ac:dyDescent="0.25">
      <c r="A3283" s="63"/>
      <c r="B3283" s="63">
        <f>'Padrão EPP'!B3283</f>
        <v>15</v>
      </c>
      <c r="C3283" s="63" t="str">
        <f>'Padrão EPP'!C3283</f>
        <v>MA</v>
      </c>
      <c r="D3283" s="63" t="str">
        <f>'Padrão EPP'!D3283</f>
        <v>CAPITAL</v>
      </c>
      <c r="E3283" s="63">
        <f>'Padrão EPP'!E3283/2</f>
        <v>0</v>
      </c>
      <c r="F3283" s="67">
        <v>3.0000000000000001E-3</v>
      </c>
      <c r="G3283" s="67">
        <v>2E-3</v>
      </c>
      <c r="H3283" s="63"/>
    </row>
    <row r="3284" spans="1:8" x14ac:dyDescent="0.25">
      <c r="A3284" s="63"/>
      <c r="B3284" s="63">
        <f>'Padrão EPP'!B3284</f>
        <v>16</v>
      </c>
      <c r="C3284" s="63" t="str">
        <f>'Padrão EPP'!C3284</f>
        <v>MA</v>
      </c>
      <c r="D3284" s="63" t="str">
        <f>'Padrão EPP'!D3284</f>
        <v>CAPITAL</v>
      </c>
      <c r="E3284" s="63">
        <f>'Padrão EPP'!E3284/2</f>
        <v>0</v>
      </c>
      <c r="F3284" s="67">
        <v>3.0000000000000001E-3</v>
      </c>
      <c r="G3284" s="67">
        <v>2E-3</v>
      </c>
      <c r="H3284" s="63"/>
    </row>
    <row r="3285" spans="1:8" x14ac:dyDescent="0.25">
      <c r="A3285" s="63"/>
      <c r="B3285" s="63">
        <f>'Padrão EPP'!B3285</f>
        <v>17</v>
      </c>
      <c r="C3285" s="63" t="str">
        <f>'Padrão EPP'!C3285</f>
        <v>MA</v>
      </c>
      <c r="D3285" s="63" t="str">
        <f>'Padrão EPP'!D3285</f>
        <v>CAPITAL</v>
      </c>
      <c r="E3285" s="63">
        <f>'Padrão EPP'!E3285/2</f>
        <v>0</v>
      </c>
      <c r="F3285" s="67">
        <v>3.0000000000000001E-3</v>
      </c>
      <c r="G3285" s="67">
        <v>2E-3</v>
      </c>
      <c r="H3285" s="63"/>
    </row>
    <row r="3286" spans="1:8" x14ac:dyDescent="0.25">
      <c r="A3286" s="63"/>
      <c r="B3286" s="63">
        <f>'Padrão EPP'!B3286</f>
        <v>18</v>
      </c>
      <c r="C3286" s="63" t="str">
        <f>'Padrão EPP'!C3286</f>
        <v>MA</v>
      </c>
      <c r="D3286" s="63" t="str">
        <f>'Padrão EPP'!D3286</f>
        <v>CAPITAL</v>
      </c>
      <c r="E3286" s="63">
        <f>'Padrão EPP'!E3286/2</f>
        <v>0</v>
      </c>
      <c r="F3286" s="67">
        <v>3.0000000000000001E-3</v>
      </c>
      <c r="G3286" s="67">
        <v>2E-3</v>
      </c>
      <c r="H3286" s="63"/>
    </row>
    <row r="3287" spans="1:8" x14ac:dyDescent="0.25">
      <c r="A3287" s="63"/>
      <c r="B3287" s="63">
        <f>'Padrão EPP'!B3287</f>
        <v>19</v>
      </c>
      <c r="C3287" s="63" t="str">
        <f>'Padrão EPP'!C3287</f>
        <v>MA</v>
      </c>
      <c r="D3287" s="63" t="str">
        <f>'Padrão EPP'!D3287</f>
        <v>CAPITAL</v>
      </c>
      <c r="E3287" s="63">
        <f>'Padrão EPP'!E3287/2</f>
        <v>0</v>
      </c>
      <c r="F3287" s="67">
        <v>3.0000000000000001E-3</v>
      </c>
      <c r="G3287" s="67">
        <v>2E-3</v>
      </c>
      <c r="H3287" s="63"/>
    </row>
    <row r="3288" spans="1:8" x14ac:dyDescent="0.25">
      <c r="A3288" s="63"/>
      <c r="B3288" s="63">
        <f>'Padrão EPP'!B3288</f>
        <v>20</v>
      </c>
      <c r="C3288" s="63" t="str">
        <f>'Padrão EPP'!C3288</f>
        <v>MA</v>
      </c>
      <c r="D3288" s="63" t="str">
        <f>'Padrão EPP'!D3288</f>
        <v>CAPITAL</v>
      </c>
      <c r="E3288" s="63">
        <f>'Padrão EPP'!E3288/2</f>
        <v>0</v>
      </c>
      <c r="F3288" s="67">
        <v>3.0000000000000001E-3</v>
      </c>
      <c r="G3288" s="67">
        <v>2E-3</v>
      </c>
      <c r="H3288" s="63"/>
    </row>
    <row r="3289" spans="1:8" x14ac:dyDescent="0.25">
      <c r="A3289" s="63"/>
      <c r="B3289" s="63">
        <f>'Padrão EPP'!B3289</f>
        <v>21</v>
      </c>
      <c r="C3289" s="63" t="str">
        <f>'Padrão EPP'!C3289</f>
        <v>MA</v>
      </c>
      <c r="D3289" s="63" t="str">
        <f>'Padrão EPP'!D3289</f>
        <v>CAPITAL</v>
      </c>
      <c r="E3289" s="63">
        <f>'Padrão EPP'!E3289/2</f>
        <v>0</v>
      </c>
      <c r="F3289" s="67">
        <v>3.0000000000000001E-3</v>
      </c>
      <c r="G3289" s="67">
        <v>2E-3</v>
      </c>
      <c r="H3289" s="63"/>
    </row>
    <row r="3290" spans="1:8" x14ac:dyDescent="0.25">
      <c r="A3290" s="63"/>
      <c r="B3290" s="63">
        <f>'Padrão EPP'!B3290</f>
        <v>22</v>
      </c>
      <c r="C3290" s="63" t="str">
        <f>'Padrão EPP'!C3290</f>
        <v>MA</v>
      </c>
      <c r="D3290" s="63" t="str">
        <f>'Padrão EPP'!D3290</f>
        <v>CAPITAL</v>
      </c>
      <c r="E3290" s="63">
        <f>'Padrão EPP'!E3290/2</f>
        <v>0</v>
      </c>
      <c r="F3290" s="67">
        <v>3.0000000000000001E-3</v>
      </c>
      <c r="G3290" s="67">
        <v>2E-3</v>
      </c>
      <c r="H3290" s="63"/>
    </row>
    <row r="3291" spans="1:8" x14ac:dyDescent="0.25">
      <c r="A3291" s="63"/>
      <c r="B3291" s="63">
        <f>'Padrão EPP'!B3291</f>
        <v>23</v>
      </c>
      <c r="C3291" s="63" t="str">
        <f>'Padrão EPP'!C3291</f>
        <v>MA</v>
      </c>
      <c r="D3291" s="63" t="str">
        <f>'Padrão EPP'!D3291</f>
        <v>CAPITAL</v>
      </c>
      <c r="E3291" s="63">
        <f>'Padrão EPP'!E3291/2</f>
        <v>0</v>
      </c>
      <c r="F3291" s="67">
        <v>3.0000000000000001E-3</v>
      </c>
      <c r="G3291" s="67">
        <v>2E-3</v>
      </c>
      <c r="H3291" s="63"/>
    </row>
    <row r="3292" spans="1:8" x14ac:dyDescent="0.25">
      <c r="A3292" s="63"/>
      <c r="B3292" s="63">
        <f>'Padrão EPP'!B3292</f>
        <v>24</v>
      </c>
      <c r="C3292" s="63" t="str">
        <f>'Padrão EPP'!C3292</f>
        <v>MA</v>
      </c>
      <c r="D3292" s="63" t="str">
        <f>'Padrão EPP'!D3292</f>
        <v>CAPITAL</v>
      </c>
      <c r="E3292" s="63">
        <f>'Padrão EPP'!E3292/2</f>
        <v>0</v>
      </c>
      <c r="F3292" s="67">
        <v>3.0000000000000001E-3</v>
      </c>
      <c r="G3292" s="67">
        <v>2E-3</v>
      </c>
      <c r="H3292" s="63"/>
    </row>
    <row r="3293" spans="1:8" x14ac:dyDescent="0.25">
      <c r="A3293" s="63"/>
      <c r="B3293" s="63">
        <f>'Padrão EPP'!B3293</f>
        <v>25</v>
      </c>
      <c r="C3293" s="63" t="str">
        <f>'Padrão EPP'!C3293</f>
        <v>MA</v>
      </c>
      <c r="D3293" s="63" t="str">
        <f>'Padrão EPP'!D3293</f>
        <v>CAPITAL</v>
      </c>
      <c r="E3293" s="63">
        <f>'Padrão EPP'!E3293/2</f>
        <v>0</v>
      </c>
      <c r="F3293" s="67">
        <v>3.0000000000000001E-3</v>
      </c>
      <c r="G3293" s="67">
        <v>2E-3</v>
      </c>
      <c r="H3293" s="63"/>
    </row>
    <row r="3294" spans="1:8" x14ac:dyDescent="0.25">
      <c r="A3294" s="63"/>
      <c r="B3294" s="63">
        <f>'Padrão EPP'!B3294</f>
        <v>26</v>
      </c>
      <c r="C3294" s="63" t="str">
        <f>'Padrão EPP'!C3294</f>
        <v>MA</v>
      </c>
      <c r="D3294" s="63" t="str">
        <f>'Padrão EPP'!D3294</f>
        <v>CAPITAL</v>
      </c>
      <c r="E3294" s="63">
        <f>'Padrão EPP'!E3294/2</f>
        <v>0</v>
      </c>
      <c r="F3294" s="67">
        <v>3.0000000000000001E-3</v>
      </c>
      <c r="G3294" s="67">
        <v>2E-3</v>
      </c>
      <c r="H3294" s="63"/>
    </row>
    <row r="3295" spans="1:8" x14ac:dyDescent="0.25">
      <c r="A3295" s="63"/>
      <c r="B3295" s="63">
        <f>'Padrão EPP'!B3295</f>
        <v>27</v>
      </c>
      <c r="C3295" s="63" t="str">
        <f>'Padrão EPP'!C3295</f>
        <v>MA</v>
      </c>
      <c r="D3295" s="63" t="str">
        <f>'Padrão EPP'!D3295</f>
        <v>CAPITAL</v>
      </c>
      <c r="E3295" s="63">
        <f>'Padrão EPP'!E3295/2</f>
        <v>0</v>
      </c>
      <c r="F3295" s="67">
        <v>3.0000000000000001E-3</v>
      </c>
      <c r="G3295" s="67">
        <v>2E-3</v>
      </c>
      <c r="H3295" s="63"/>
    </row>
    <row r="3296" spans="1:8" x14ac:dyDescent="0.25">
      <c r="A3296" s="63"/>
      <c r="B3296" s="63">
        <f>'Padrão EPP'!B3296</f>
        <v>28</v>
      </c>
      <c r="C3296" s="63" t="str">
        <f>'Padrão EPP'!C3296</f>
        <v>MA</v>
      </c>
      <c r="D3296" s="63" t="str">
        <f>'Padrão EPP'!D3296</f>
        <v>CAPITAL</v>
      </c>
      <c r="E3296" s="63">
        <f>'Padrão EPP'!E3296/2</f>
        <v>0</v>
      </c>
      <c r="F3296" s="67">
        <v>3.0000000000000001E-3</v>
      </c>
      <c r="G3296" s="67">
        <v>2E-3</v>
      </c>
      <c r="H3296" s="63"/>
    </row>
    <row r="3297" spans="1:8" x14ac:dyDescent="0.25">
      <c r="A3297" s="63"/>
      <c r="B3297" s="63">
        <f>'Padrão EPP'!B3297</f>
        <v>29</v>
      </c>
      <c r="C3297" s="63" t="str">
        <f>'Padrão EPP'!C3297</f>
        <v>MA</v>
      </c>
      <c r="D3297" s="63" t="str">
        <f>'Padrão EPP'!D3297</f>
        <v>CAPITAL</v>
      </c>
      <c r="E3297" s="63">
        <f>'Padrão EPP'!E3297/2</f>
        <v>0</v>
      </c>
      <c r="F3297" s="67">
        <v>3.0000000000000001E-3</v>
      </c>
      <c r="G3297" s="67">
        <v>2E-3</v>
      </c>
      <c r="H3297" s="63"/>
    </row>
    <row r="3298" spans="1:8" x14ac:dyDescent="0.25">
      <c r="A3298" s="63"/>
      <c r="B3298" s="63">
        <f>'Padrão EPP'!B3298</f>
        <v>30</v>
      </c>
      <c r="C3298" s="63" t="str">
        <f>'Padrão EPP'!C3298</f>
        <v>MA</v>
      </c>
      <c r="D3298" s="63" t="str">
        <f>'Padrão EPP'!D3298</f>
        <v>CAPITAL</v>
      </c>
      <c r="E3298" s="63">
        <f>'Padrão EPP'!E3298/2</f>
        <v>0</v>
      </c>
      <c r="F3298" s="67">
        <v>3.0000000000000001E-3</v>
      </c>
      <c r="G3298" s="67">
        <v>2E-3</v>
      </c>
      <c r="H3298" s="63"/>
    </row>
    <row r="3299" spans="1:8" x14ac:dyDescent="0.25">
      <c r="A3299" s="63"/>
      <c r="B3299" s="63">
        <f>'Padrão EPP'!B3299</f>
        <v>0</v>
      </c>
      <c r="C3299" s="63" t="str">
        <f>'Padrão EPP'!C3299</f>
        <v>MA</v>
      </c>
      <c r="D3299" s="63" t="str">
        <f>'Padrão EPP'!D3299</f>
        <v>CAPITAL</v>
      </c>
      <c r="E3299" s="63">
        <f>'Padrão EPP'!E3299/2</f>
        <v>1.5214394455252955</v>
      </c>
      <c r="F3299" s="67">
        <v>3.0000000000000001E-3</v>
      </c>
      <c r="G3299" s="67">
        <v>2E-3</v>
      </c>
      <c r="H3299" s="63"/>
    </row>
    <row r="3300" spans="1:8" x14ac:dyDescent="0.25">
      <c r="A3300" s="63"/>
      <c r="B3300" s="63">
        <f>'Padrão EPP'!B3300</f>
        <v>0.25</v>
      </c>
      <c r="C3300" s="63" t="str">
        <f>'Padrão EPP'!C3300</f>
        <v>MA</v>
      </c>
      <c r="D3300" s="63" t="str">
        <f>'Padrão EPP'!D3300</f>
        <v>INTERIOR</v>
      </c>
      <c r="E3300" s="63">
        <f>'Padrão EPP'!E3300/2</f>
        <v>9.6751626097849321</v>
      </c>
      <c r="F3300" s="67">
        <v>3.0000000000000001E-3</v>
      </c>
      <c r="G3300" s="67">
        <v>2E-3</v>
      </c>
      <c r="H3300" s="63"/>
    </row>
    <row r="3301" spans="1:8" x14ac:dyDescent="0.25">
      <c r="A3301" s="63"/>
      <c r="B3301" s="63">
        <f>'Padrão EPP'!B3301</f>
        <v>0.5</v>
      </c>
      <c r="C3301" s="63" t="str">
        <f>'Padrão EPP'!C3301</f>
        <v>MA</v>
      </c>
      <c r="D3301" s="63" t="str">
        <f>'Padrão EPP'!D3301</f>
        <v>INTERIOR</v>
      </c>
      <c r="E3301" s="63">
        <f>'Padrão EPP'!E3301/2</f>
        <v>10.618211878857897</v>
      </c>
      <c r="F3301" s="67">
        <v>3.0000000000000001E-3</v>
      </c>
      <c r="G3301" s="67">
        <v>2E-3</v>
      </c>
      <c r="H3301" s="63"/>
    </row>
    <row r="3302" spans="1:8" x14ac:dyDescent="0.25">
      <c r="A3302" s="63"/>
      <c r="B3302" s="63">
        <f>'Padrão EPP'!B3302</f>
        <v>0.75</v>
      </c>
      <c r="C3302" s="63" t="str">
        <f>'Padrão EPP'!C3302</f>
        <v>MA</v>
      </c>
      <c r="D3302" s="63" t="str">
        <f>'Padrão EPP'!D3302</f>
        <v>INTERIOR</v>
      </c>
      <c r="E3302" s="63">
        <f>'Padrão EPP'!E3302/2</f>
        <v>11.706005607910578</v>
      </c>
      <c r="F3302" s="67">
        <v>3.0000000000000001E-3</v>
      </c>
      <c r="G3302" s="67">
        <v>2E-3</v>
      </c>
      <c r="H3302" s="63"/>
    </row>
    <row r="3303" spans="1:8" x14ac:dyDescent="0.25">
      <c r="A3303" s="63"/>
      <c r="B3303" s="63">
        <f>'Padrão EPP'!B3303</f>
        <v>1</v>
      </c>
      <c r="C3303" s="63" t="str">
        <f>'Padrão EPP'!C3303</f>
        <v>MA</v>
      </c>
      <c r="D3303" s="63" t="str">
        <f>'Padrão EPP'!D3303</f>
        <v>INTERIOR</v>
      </c>
      <c r="E3303" s="63">
        <f>'Padrão EPP'!E3303/2</f>
        <v>13.301173028863584</v>
      </c>
      <c r="F3303" s="67">
        <v>3.0000000000000001E-3</v>
      </c>
      <c r="G3303" s="67">
        <v>2E-3</v>
      </c>
      <c r="H3303" s="63"/>
    </row>
    <row r="3304" spans="1:8" x14ac:dyDescent="0.25">
      <c r="A3304" s="63"/>
      <c r="B3304" s="63">
        <f>'Padrão EPP'!B3304</f>
        <v>2</v>
      </c>
      <c r="C3304" s="63" t="str">
        <f>'Padrão EPP'!C3304</f>
        <v>MA</v>
      </c>
      <c r="D3304" s="63" t="str">
        <f>'Padrão EPP'!D3304</f>
        <v>INTERIOR</v>
      </c>
      <c r="E3304" s="63">
        <f>'Padrão EPP'!E3304/2</f>
        <v>16.087519519598789</v>
      </c>
      <c r="F3304" s="67">
        <v>3.0000000000000001E-3</v>
      </c>
      <c r="G3304" s="67">
        <v>2E-3</v>
      </c>
      <c r="H3304" s="63"/>
    </row>
    <row r="3305" spans="1:8" x14ac:dyDescent="0.25">
      <c r="A3305" s="63"/>
      <c r="B3305" s="63">
        <f>'Padrão EPP'!B3305</f>
        <v>3</v>
      </c>
      <c r="C3305" s="63" t="str">
        <f>'Padrão EPP'!C3305</f>
        <v>MA</v>
      </c>
      <c r="D3305" s="63" t="str">
        <f>'Padrão EPP'!D3305</f>
        <v>INTERIOR</v>
      </c>
      <c r="E3305" s="63">
        <f>'Padrão EPP'!E3305/2</f>
        <v>19.238595111344484</v>
      </c>
      <c r="F3305" s="67">
        <v>3.0000000000000001E-3</v>
      </c>
      <c r="G3305" s="67">
        <v>2E-3</v>
      </c>
      <c r="H3305" s="63"/>
    </row>
    <row r="3306" spans="1:8" x14ac:dyDescent="0.25">
      <c r="A3306" s="63"/>
      <c r="B3306" s="63">
        <f>'Padrão EPP'!B3306</f>
        <v>4</v>
      </c>
      <c r="C3306" s="63" t="str">
        <f>'Padrão EPP'!C3306</f>
        <v>MA</v>
      </c>
      <c r="D3306" s="63" t="str">
        <f>'Padrão EPP'!D3306</f>
        <v>INTERIOR</v>
      </c>
      <c r="E3306" s="63">
        <f>'Padrão EPP'!E3306/2</f>
        <v>23.03645288245534</v>
      </c>
      <c r="F3306" s="67">
        <v>3.0000000000000001E-3</v>
      </c>
      <c r="G3306" s="67">
        <v>2E-3</v>
      </c>
      <c r="H3306" s="63"/>
    </row>
    <row r="3307" spans="1:8" x14ac:dyDescent="0.25">
      <c r="A3307" s="63"/>
      <c r="B3307" s="63">
        <f>'Padrão EPP'!B3307</f>
        <v>5</v>
      </c>
      <c r="C3307" s="63" t="str">
        <f>'Padrão EPP'!C3307</f>
        <v>MA</v>
      </c>
      <c r="D3307" s="63" t="str">
        <f>'Padrão EPP'!D3307</f>
        <v>INTERIOR</v>
      </c>
      <c r="E3307" s="63">
        <f>'Padrão EPP'!E3307/2</f>
        <v>26.428597132873719</v>
      </c>
      <c r="F3307" s="67">
        <v>3.0000000000000001E-3</v>
      </c>
      <c r="G3307" s="67">
        <v>2E-3</v>
      </c>
      <c r="H3307" s="63"/>
    </row>
    <row r="3308" spans="1:8" x14ac:dyDescent="0.25">
      <c r="A3308" s="63"/>
      <c r="B3308" s="63">
        <f>'Padrão EPP'!B3308</f>
        <v>6</v>
      </c>
      <c r="C3308" s="63" t="str">
        <f>'Padrão EPP'!C3308</f>
        <v>MA</v>
      </c>
      <c r="D3308" s="63" t="str">
        <f>'Padrão EPP'!D3308</f>
        <v>INTERIOR</v>
      </c>
      <c r="E3308" s="63">
        <f>'Padrão EPP'!E3308/2</f>
        <v>30.037986792950168</v>
      </c>
      <c r="F3308" s="67">
        <v>3.0000000000000001E-3</v>
      </c>
      <c r="G3308" s="67">
        <v>2E-3</v>
      </c>
      <c r="H3308" s="63"/>
    </row>
    <row r="3309" spans="1:8" x14ac:dyDescent="0.25">
      <c r="A3309" s="63"/>
      <c r="B3309" s="63">
        <f>'Padrão EPP'!B3309</f>
        <v>7</v>
      </c>
      <c r="C3309" s="63" t="str">
        <f>'Padrão EPP'!C3309</f>
        <v>MA</v>
      </c>
      <c r="D3309" s="63" t="str">
        <f>'Padrão EPP'!D3309</f>
        <v>INTERIOR</v>
      </c>
      <c r="E3309" s="63">
        <f>'Padrão EPP'!E3309/2</f>
        <v>33.60383035767989</v>
      </c>
      <c r="F3309" s="67">
        <v>3.0000000000000001E-3</v>
      </c>
      <c r="G3309" s="67">
        <v>2E-3</v>
      </c>
      <c r="H3309" s="63"/>
    </row>
    <row r="3310" spans="1:8" x14ac:dyDescent="0.25">
      <c r="A3310" s="63"/>
      <c r="B3310" s="63">
        <f>'Padrão EPP'!B3310</f>
        <v>8</v>
      </c>
      <c r="C3310" s="63" t="str">
        <f>'Padrão EPP'!C3310</f>
        <v>MA</v>
      </c>
      <c r="D3310" s="63" t="str">
        <f>'Padrão EPP'!D3310</f>
        <v>INTERIOR</v>
      </c>
      <c r="E3310" s="63">
        <f>'Padrão EPP'!E3310/2</f>
        <v>37.382582248144722</v>
      </c>
      <c r="F3310" s="67">
        <v>3.0000000000000001E-3</v>
      </c>
      <c r="G3310" s="67">
        <v>2E-3</v>
      </c>
      <c r="H3310" s="63"/>
    </row>
    <row r="3311" spans="1:8" x14ac:dyDescent="0.25">
      <c r="A3311" s="63"/>
      <c r="B3311" s="63">
        <f>'Padrão EPP'!B3311</f>
        <v>9</v>
      </c>
      <c r="C3311" s="63" t="str">
        <f>'Padrão EPP'!C3311</f>
        <v>MA</v>
      </c>
      <c r="D3311" s="63" t="str">
        <f>'Padrão EPP'!D3311</f>
        <v>INTERIOR</v>
      </c>
      <c r="E3311" s="63">
        <f>'Padrão EPP'!E3311/2</f>
        <v>41.393714834182859</v>
      </c>
      <c r="F3311" s="67">
        <v>3.0000000000000001E-3</v>
      </c>
      <c r="G3311" s="67">
        <v>2E-3</v>
      </c>
      <c r="H3311" s="63"/>
    </row>
    <row r="3312" spans="1:8" x14ac:dyDescent="0.25">
      <c r="A3312" s="63"/>
      <c r="B3312" s="63">
        <f>'Padrão EPP'!B3312</f>
        <v>10</v>
      </c>
      <c r="C3312" s="63" t="str">
        <f>'Padrão EPP'!C3312</f>
        <v>MA</v>
      </c>
      <c r="D3312" s="63" t="str">
        <f>'Padrão EPP'!D3312</f>
        <v>INTERIOR</v>
      </c>
      <c r="E3312" s="63">
        <f>'Padrão EPP'!E3312/2</f>
        <v>45.349579397186794</v>
      </c>
      <c r="F3312" s="67">
        <v>3.0000000000000001E-3</v>
      </c>
      <c r="G3312" s="67">
        <v>2E-3</v>
      </c>
      <c r="H3312" s="63"/>
    </row>
    <row r="3313" spans="1:8" x14ac:dyDescent="0.25">
      <c r="A3313" s="63"/>
      <c r="B3313" s="63">
        <f>'Padrão EPP'!B3313</f>
        <v>11</v>
      </c>
      <c r="C3313" s="63" t="str">
        <f>'Padrão EPP'!C3313</f>
        <v>MA</v>
      </c>
      <c r="D3313" s="63" t="str">
        <f>'Padrão EPP'!D3313</f>
        <v>INTERIOR</v>
      </c>
      <c r="E3313" s="63">
        <f>'Padrão EPP'!E3313/2</f>
        <v>0</v>
      </c>
      <c r="F3313" s="67">
        <v>3.0000000000000001E-3</v>
      </c>
      <c r="G3313" s="67">
        <v>2E-3</v>
      </c>
      <c r="H3313" s="63"/>
    </row>
    <row r="3314" spans="1:8" x14ac:dyDescent="0.25">
      <c r="A3314" s="63"/>
      <c r="B3314" s="63">
        <f>'Padrão EPP'!B3314</f>
        <v>12</v>
      </c>
      <c r="C3314" s="63" t="str">
        <f>'Padrão EPP'!C3314</f>
        <v>MA</v>
      </c>
      <c r="D3314" s="63" t="str">
        <f>'Padrão EPP'!D3314</f>
        <v>INTERIOR</v>
      </c>
      <c r="E3314" s="63">
        <f>'Padrão EPP'!E3314/2</f>
        <v>0</v>
      </c>
      <c r="F3314" s="67">
        <v>3.0000000000000001E-3</v>
      </c>
      <c r="G3314" s="67">
        <v>2E-3</v>
      </c>
      <c r="H3314" s="63"/>
    </row>
    <row r="3315" spans="1:8" x14ac:dyDescent="0.25">
      <c r="A3315" s="63"/>
      <c r="B3315" s="63">
        <f>'Padrão EPP'!B3315</f>
        <v>13</v>
      </c>
      <c r="C3315" s="63" t="str">
        <f>'Padrão EPP'!C3315</f>
        <v>MA</v>
      </c>
      <c r="D3315" s="63" t="str">
        <f>'Padrão EPP'!D3315</f>
        <v>INTERIOR</v>
      </c>
      <c r="E3315" s="63">
        <f>'Padrão EPP'!E3315/2</f>
        <v>0</v>
      </c>
      <c r="F3315" s="67">
        <v>3.0000000000000001E-3</v>
      </c>
      <c r="G3315" s="67">
        <v>2E-3</v>
      </c>
      <c r="H3315" s="63"/>
    </row>
    <row r="3316" spans="1:8" x14ac:dyDescent="0.25">
      <c r="A3316" s="63"/>
      <c r="B3316" s="63">
        <f>'Padrão EPP'!B3316</f>
        <v>14</v>
      </c>
      <c r="C3316" s="63" t="str">
        <f>'Padrão EPP'!C3316</f>
        <v>MA</v>
      </c>
      <c r="D3316" s="63" t="str">
        <f>'Padrão EPP'!D3316</f>
        <v>INTERIOR</v>
      </c>
      <c r="E3316" s="63">
        <f>'Padrão EPP'!E3316/2</f>
        <v>0</v>
      </c>
      <c r="F3316" s="67">
        <v>3.0000000000000001E-3</v>
      </c>
      <c r="G3316" s="67">
        <v>2E-3</v>
      </c>
      <c r="H3316" s="63"/>
    </row>
    <row r="3317" spans="1:8" x14ac:dyDescent="0.25">
      <c r="A3317" s="63"/>
      <c r="B3317" s="63">
        <f>'Padrão EPP'!B3317</f>
        <v>15</v>
      </c>
      <c r="C3317" s="63" t="str">
        <f>'Padrão EPP'!C3317</f>
        <v>MA</v>
      </c>
      <c r="D3317" s="63" t="str">
        <f>'Padrão EPP'!D3317</f>
        <v>INTERIOR</v>
      </c>
      <c r="E3317" s="63">
        <f>'Padrão EPP'!E3317/2</f>
        <v>0</v>
      </c>
      <c r="F3317" s="67">
        <v>3.0000000000000001E-3</v>
      </c>
      <c r="G3317" s="67">
        <v>2E-3</v>
      </c>
      <c r="H3317" s="63"/>
    </row>
    <row r="3318" spans="1:8" x14ac:dyDescent="0.25">
      <c r="A3318" s="63"/>
      <c r="B3318" s="63">
        <f>'Padrão EPP'!B3318</f>
        <v>16</v>
      </c>
      <c r="C3318" s="63" t="str">
        <f>'Padrão EPP'!C3318</f>
        <v>MA</v>
      </c>
      <c r="D3318" s="63" t="str">
        <f>'Padrão EPP'!D3318</f>
        <v>INTERIOR</v>
      </c>
      <c r="E3318" s="63">
        <f>'Padrão EPP'!E3318/2</f>
        <v>0</v>
      </c>
      <c r="F3318" s="67">
        <v>3.0000000000000001E-3</v>
      </c>
      <c r="G3318" s="67">
        <v>2E-3</v>
      </c>
      <c r="H3318" s="63"/>
    </row>
    <row r="3319" spans="1:8" x14ac:dyDescent="0.25">
      <c r="A3319" s="63"/>
      <c r="B3319" s="63">
        <f>'Padrão EPP'!B3319</f>
        <v>17</v>
      </c>
      <c r="C3319" s="63" t="str">
        <f>'Padrão EPP'!C3319</f>
        <v>MA</v>
      </c>
      <c r="D3319" s="63" t="str">
        <f>'Padrão EPP'!D3319</f>
        <v>INTERIOR</v>
      </c>
      <c r="E3319" s="63">
        <f>'Padrão EPP'!E3319/2</f>
        <v>0</v>
      </c>
      <c r="F3319" s="67">
        <v>3.0000000000000001E-3</v>
      </c>
      <c r="G3319" s="67">
        <v>2E-3</v>
      </c>
      <c r="H3319" s="63"/>
    </row>
    <row r="3320" spans="1:8" x14ac:dyDescent="0.25">
      <c r="A3320" s="63"/>
      <c r="B3320" s="63">
        <f>'Padrão EPP'!B3320</f>
        <v>18</v>
      </c>
      <c r="C3320" s="63" t="str">
        <f>'Padrão EPP'!C3320</f>
        <v>MA</v>
      </c>
      <c r="D3320" s="63" t="str">
        <f>'Padrão EPP'!D3320</f>
        <v>INTERIOR</v>
      </c>
      <c r="E3320" s="63">
        <f>'Padrão EPP'!E3320/2</f>
        <v>0</v>
      </c>
      <c r="F3320" s="67">
        <v>3.0000000000000001E-3</v>
      </c>
      <c r="G3320" s="67">
        <v>2E-3</v>
      </c>
      <c r="H3320" s="63"/>
    </row>
    <row r="3321" spans="1:8" x14ac:dyDescent="0.25">
      <c r="A3321" s="63"/>
      <c r="B3321" s="63">
        <f>'Padrão EPP'!B3321</f>
        <v>19</v>
      </c>
      <c r="C3321" s="63" t="str">
        <f>'Padrão EPP'!C3321</f>
        <v>MA</v>
      </c>
      <c r="D3321" s="63" t="str">
        <f>'Padrão EPP'!D3321</f>
        <v>INTERIOR</v>
      </c>
      <c r="E3321" s="63">
        <f>'Padrão EPP'!E3321/2</f>
        <v>0</v>
      </c>
      <c r="F3321" s="67">
        <v>3.0000000000000001E-3</v>
      </c>
      <c r="G3321" s="67">
        <v>2E-3</v>
      </c>
      <c r="H3321" s="63"/>
    </row>
    <row r="3322" spans="1:8" x14ac:dyDescent="0.25">
      <c r="A3322" s="63"/>
      <c r="B3322" s="63">
        <f>'Padrão EPP'!B3322</f>
        <v>20</v>
      </c>
      <c r="C3322" s="63" t="str">
        <f>'Padrão EPP'!C3322</f>
        <v>MA</v>
      </c>
      <c r="D3322" s="63" t="str">
        <f>'Padrão EPP'!D3322</f>
        <v>INTERIOR</v>
      </c>
      <c r="E3322" s="63">
        <f>'Padrão EPP'!E3322/2</f>
        <v>0</v>
      </c>
      <c r="F3322" s="67">
        <v>3.0000000000000001E-3</v>
      </c>
      <c r="G3322" s="67">
        <v>2E-3</v>
      </c>
      <c r="H3322" s="63"/>
    </row>
    <row r="3323" spans="1:8" x14ac:dyDescent="0.25">
      <c r="A3323" s="63"/>
      <c r="B3323" s="63">
        <f>'Padrão EPP'!B3323</f>
        <v>21</v>
      </c>
      <c r="C3323" s="63" t="str">
        <f>'Padrão EPP'!C3323</f>
        <v>MA</v>
      </c>
      <c r="D3323" s="63" t="str">
        <f>'Padrão EPP'!D3323</f>
        <v>INTERIOR</v>
      </c>
      <c r="E3323" s="63">
        <f>'Padrão EPP'!E3323/2</f>
        <v>0</v>
      </c>
      <c r="F3323" s="67">
        <v>3.0000000000000001E-3</v>
      </c>
      <c r="G3323" s="67">
        <v>2E-3</v>
      </c>
      <c r="H3323" s="63"/>
    </row>
    <row r="3324" spans="1:8" x14ac:dyDescent="0.25">
      <c r="A3324" s="63"/>
      <c r="B3324" s="63">
        <f>'Padrão EPP'!B3324</f>
        <v>22</v>
      </c>
      <c r="C3324" s="63" t="str">
        <f>'Padrão EPP'!C3324</f>
        <v>MA</v>
      </c>
      <c r="D3324" s="63" t="str">
        <f>'Padrão EPP'!D3324</f>
        <v>INTERIOR</v>
      </c>
      <c r="E3324" s="63">
        <f>'Padrão EPP'!E3324/2</f>
        <v>0</v>
      </c>
      <c r="F3324" s="67">
        <v>3.0000000000000001E-3</v>
      </c>
      <c r="G3324" s="67">
        <v>2E-3</v>
      </c>
      <c r="H3324" s="63"/>
    </row>
    <row r="3325" spans="1:8" x14ac:dyDescent="0.25">
      <c r="A3325" s="63"/>
      <c r="B3325" s="63">
        <f>'Padrão EPP'!B3325</f>
        <v>23</v>
      </c>
      <c r="C3325" s="63" t="str">
        <f>'Padrão EPP'!C3325</f>
        <v>MA</v>
      </c>
      <c r="D3325" s="63" t="str">
        <f>'Padrão EPP'!D3325</f>
        <v>INTERIOR</v>
      </c>
      <c r="E3325" s="63">
        <f>'Padrão EPP'!E3325/2</f>
        <v>0</v>
      </c>
      <c r="F3325" s="67">
        <v>3.0000000000000001E-3</v>
      </c>
      <c r="G3325" s="67">
        <v>2E-3</v>
      </c>
      <c r="H3325" s="63"/>
    </row>
    <row r="3326" spans="1:8" x14ac:dyDescent="0.25">
      <c r="A3326" s="63"/>
      <c r="B3326" s="63">
        <f>'Padrão EPP'!B3326</f>
        <v>24</v>
      </c>
      <c r="C3326" s="63" t="str">
        <f>'Padrão EPP'!C3326</f>
        <v>MA</v>
      </c>
      <c r="D3326" s="63" t="str">
        <f>'Padrão EPP'!D3326</f>
        <v>INTERIOR</v>
      </c>
      <c r="E3326" s="63">
        <f>'Padrão EPP'!E3326/2</f>
        <v>0</v>
      </c>
      <c r="F3326" s="67">
        <v>3.0000000000000001E-3</v>
      </c>
      <c r="G3326" s="67">
        <v>2E-3</v>
      </c>
      <c r="H3326" s="63"/>
    </row>
    <row r="3327" spans="1:8" x14ac:dyDescent="0.25">
      <c r="A3327" s="63"/>
      <c r="B3327" s="63">
        <f>'Padrão EPP'!B3327</f>
        <v>25</v>
      </c>
      <c r="C3327" s="63" t="str">
        <f>'Padrão EPP'!C3327</f>
        <v>MA</v>
      </c>
      <c r="D3327" s="63" t="str">
        <f>'Padrão EPP'!D3327</f>
        <v>INTERIOR</v>
      </c>
      <c r="E3327" s="63">
        <f>'Padrão EPP'!E3327/2</f>
        <v>0</v>
      </c>
      <c r="F3327" s="67">
        <v>3.0000000000000001E-3</v>
      </c>
      <c r="G3327" s="67">
        <v>2E-3</v>
      </c>
      <c r="H3327" s="63"/>
    </row>
    <row r="3328" spans="1:8" x14ac:dyDescent="0.25">
      <c r="A3328" s="63"/>
      <c r="B3328" s="63">
        <f>'Padrão EPP'!B3328</f>
        <v>26</v>
      </c>
      <c r="C3328" s="63" t="str">
        <f>'Padrão EPP'!C3328</f>
        <v>MA</v>
      </c>
      <c r="D3328" s="63" t="str">
        <f>'Padrão EPP'!D3328</f>
        <v>INTERIOR</v>
      </c>
      <c r="E3328" s="63">
        <f>'Padrão EPP'!E3328/2</f>
        <v>0</v>
      </c>
      <c r="F3328" s="67">
        <v>3.0000000000000001E-3</v>
      </c>
      <c r="G3328" s="67">
        <v>2E-3</v>
      </c>
      <c r="H3328" s="63"/>
    </row>
    <row r="3329" spans="1:8" x14ac:dyDescent="0.25">
      <c r="A3329" s="63"/>
      <c r="B3329" s="63">
        <f>'Padrão EPP'!B3329</f>
        <v>27</v>
      </c>
      <c r="C3329" s="63" t="str">
        <f>'Padrão EPP'!C3329</f>
        <v>MA</v>
      </c>
      <c r="D3329" s="63" t="str">
        <f>'Padrão EPP'!D3329</f>
        <v>INTERIOR</v>
      </c>
      <c r="E3329" s="63">
        <f>'Padrão EPP'!E3329/2</f>
        <v>0</v>
      </c>
      <c r="F3329" s="67">
        <v>3.0000000000000001E-3</v>
      </c>
      <c r="G3329" s="67">
        <v>2E-3</v>
      </c>
      <c r="H3329" s="63"/>
    </row>
    <row r="3330" spans="1:8" x14ac:dyDescent="0.25">
      <c r="A3330" s="63"/>
      <c r="B3330" s="63">
        <f>'Padrão EPP'!B3330</f>
        <v>28</v>
      </c>
      <c r="C3330" s="63" t="str">
        <f>'Padrão EPP'!C3330</f>
        <v>MA</v>
      </c>
      <c r="D3330" s="63" t="str">
        <f>'Padrão EPP'!D3330</f>
        <v>INTERIOR</v>
      </c>
      <c r="E3330" s="63">
        <f>'Padrão EPP'!E3330/2</f>
        <v>0</v>
      </c>
      <c r="F3330" s="67">
        <v>3.0000000000000001E-3</v>
      </c>
      <c r="G3330" s="67">
        <v>2E-3</v>
      </c>
      <c r="H3330" s="63"/>
    </row>
    <row r="3331" spans="1:8" x14ac:dyDescent="0.25">
      <c r="A3331" s="63"/>
      <c r="B3331" s="63">
        <f>'Padrão EPP'!B3331</f>
        <v>29</v>
      </c>
      <c r="C3331" s="63" t="str">
        <f>'Padrão EPP'!C3331</f>
        <v>MA</v>
      </c>
      <c r="D3331" s="63" t="str">
        <f>'Padrão EPP'!D3331</f>
        <v>INTERIOR</v>
      </c>
      <c r="E3331" s="63">
        <f>'Padrão EPP'!E3331/2</f>
        <v>0</v>
      </c>
      <c r="F3331" s="67">
        <v>3.0000000000000001E-3</v>
      </c>
      <c r="G3331" s="67">
        <v>2E-3</v>
      </c>
      <c r="H3331" s="63"/>
    </row>
    <row r="3332" spans="1:8" x14ac:dyDescent="0.25">
      <c r="A3332" s="63"/>
      <c r="B3332" s="63">
        <f>'Padrão EPP'!B3332</f>
        <v>30</v>
      </c>
      <c r="C3332" s="63" t="str">
        <f>'Padrão EPP'!C3332</f>
        <v>MA</v>
      </c>
      <c r="D3332" s="63" t="str">
        <f>'Padrão EPP'!D3332</f>
        <v>INTERIOR</v>
      </c>
      <c r="E3332" s="63">
        <f>'Padrão EPP'!E3332/2</f>
        <v>0</v>
      </c>
      <c r="F3332" s="67">
        <v>3.0000000000000001E-3</v>
      </c>
      <c r="G3332" s="67">
        <v>2E-3</v>
      </c>
      <c r="H3332" s="63"/>
    </row>
    <row r="3333" spans="1:8" x14ac:dyDescent="0.25">
      <c r="A3333" s="63"/>
      <c r="B3333" s="63">
        <f>'Padrão EPP'!B3333</f>
        <v>0</v>
      </c>
      <c r="C3333" s="63" t="str">
        <f>'Padrão EPP'!C3333</f>
        <v>MA</v>
      </c>
      <c r="D3333" s="63" t="str">
        <f>'Padrão EPP'!D3333</f>
        <v>INTERIOR</v>
      </c>
      <c r="E3333" s="63">
        <f>'Padrão EPP'!E3333/2</f>
        <v>1.5214394455252955</v>
      </c>
      <c r="F3333" s="67">
        <v>3.0000000000000001E-3</v>
      </c>
      <c r="G3333" s="67">
        <v>2E-3</v>
      </c>
      <c r="H3333" s="63"/>
    </row>
    <row r="3334" spans="1:8" x14ac:dyDescent="0.25">
      <c r="A3334" s="63"/>
      <c r="B3334" s="63">
        <f>'Padrão EPP'!B3334</f>
        <v>0.25</v>
      </c>
      <c r="C3334" s="63" t="str">
        <f>'Padrão EPP'!C3334</f>
        <v>MA</v>
      </c>
      <c r="D3334" s="63" t="str">
        <f>'Padrão EPP'!D3334</f>
        <v>INTERIOR II</v>
      </c>
      <c r="E3334" s="63">
        <f>'Padrão EPP'!E3334/2</f>
        <v>12.834430452832946</v>
      </c>
      <c r="F3334" s="67">
        <v>3.0000000000000001E-3</v>
      </c>
      <c r="G3334" s="67">
        <v>2E-3</v>
      </c>
      <c r="H3334" s="63"/>
    </row>
    <row r="3335" spans="1:8" x14ac:dyDescent="0.25">
      <c r="A3335" s="63"/>
      <c r="B3335" s="63">
        <f>'Padrão EPP'!B3335</f>
        <v>0.5</v>
      </c>
      <c r="C3335" s="63" t="str">
        <f>'Padrão EPP'!C3335</f>
        <v>MA</v>
      </c>
      <c r="D3335" s="63" t="str">
        <f>'Padrão EPP'!D3335</f>
        <v>INTERIOR II</v>
      </c>
      <c r="E3335" s="63">
        <f>'Padrão EPP'!E3335/2</f>
        <v>14.45313890187059</v>
      </c>
      <c r="F3335" s="67">
        <v>3.0000000000000001E-3</v>
      </c>
      <c r="G3335" s="67">
        <v>2E-3</v>
      </c>
      <c r="H3335" s="63"/>
    </row>
    <row r="3336" spans="1:8" x14ac:dyDescent="0.25">
      <c r="A3336" s="63"/>
      <c r="B3336" s="63">
        <f>'Padrão EPP'!B3336</f>
        <v>0.75</v>
      </c>
      <c r="C3336" s="63" t="str">
        <f>'Padrão EPP'!C3336</f>
        <v>MA</v>
      </c>
      <c r="D3336" s="63" t="str">
        <f>'Padrão EPP'!D3336</f>
        <v>INTERIOR II</v>
      </c>
      <c r="E3336" s="63">
        <f>'Padrão EPP'!E3336/2</f>
        <v>16.044199293446415</v>
      </c>
      <c r="F3336" s="67">
        <v>3.0000000000000001E-3</v>
      </c>
      <c r="G3336" s="67">
        <v>2E-3</v>
      </c>
      <c r="H3336" s="63"/>
    </row>
    <row r="3337" spans="1:8" x14ac:dyDescent="0.25">
      <c r="A3337" s="63"/>
      <c r="B3337" s="63">
        <f>'Padrão EPP'!B3337</f>
        <v>1</v>
      </c>
      <c r="C3337" s="63" t="str">
        <f>'Padrão EPP'!C3337</f>
        <v>MA</v>
      </c>
      <c r="D3337" s="63" t="str">
        <f>'Padrão EPP'!D3337</f>
        <v>INTERIOR II</v>
      </c>
      <c r="E3337" s="63">
        <f>'Padrão EPP'!E3337/2</f>
        <v>17.65870994769524</v>
      </c>
      <c r="F3337" s="67">
        <v>3.0000000000000001E-3</v>
      </c>
      <c r="G3337" s="67">
        <v>2E-3</v>
      </c>
      <c r="H3337" s="63"/>
    </row>
    <row r="3338" spans="1:8" x14ac:dyDescent="0.25">
      <c r="A3338" s="63"/>
      <c r="B3338" s="63">
        <f>'Padrão EPP'!B3338</f>
        <v>2</v>
      </c>
      <c r="C3338" s="63" t="str">
        <f>'Padrão EPP'!C3338</f>
        <v>MA</v>
      </c>
      <c r="D3338" s="63" t="str">
        <f>'Padrão EPP'!D3338</f>
        <v>INTERIOR II</v>
      </c>
      <c r="E3338" s="63">
        <f>'Padrão EPP'!E3338/2</f>
        <v>20.949501904065858</v>
      </c>
      <c r="F3338" s="67">
        <v>3.0000000000000001E-3</v>
      </c>
      <c r="G3338" s="67">
        <v>2E-3</v>
      </c>
      <c r="H3338" s="63"/>
    </row>
    <row r="3339" spans="1:8" x14ac:dyDescent="0.25">
      <c r="A3339" s="63"/>
      <c r="B3339" s="63">
        <f>'Padrão EPP'!B3339</f>
        <v>3</v>
      </c>
      <c r="C3339" s="63" t="str">
        <f>'Padrão EPP'!C3339</f>
        <v>MA</v>
      </c>
      <c r="D3339" s="63" t="str">
        <f>'Padrão EPP'!D3339</f>
        <v>INTERIOR II</v>
      </c>
      <c r="E3339" s="63">
        <f>'Padrão EPP'!E3339/2</f>
        <v>24.68362902349585</v>
      </c>
      <c r="F3339" s="67">
        <v>3.0000000000000001E-3</v>
      </c>
      <c r="G3339" s="67">
        <v>2E-3</v>
      </c>
      <c r="H3339" s="63"/>
    </row>
    <row r="3340" spans="1:8" x14ac:dyDescent="0.25">
      <c r="A3340" s="63"/>
      <c r="B3340" s="63">
        <f>'Padrão EPP'!B3340</f>
        <v>4</v>
      </c>
      <c r="C3340" s="63" t="str">
        <f>'Padrão EPP'!C3340</f>
        <v>MA</v>
      </c>
      <c r="D3340" s="63" t="str">
        <f>'Padrão EPP'!D3340</f>
        <v>INTERIOR II</v>
      </c>
      <c r="E3340" s="63">
        <f>'Padrão EPP'!E3340/2</f>
        <v>28.467437539999725</v>
      </c>
      <c r="F3340" s="67">
        <v>3.0000000000000001E-3</v>
      </c>
      <c r="G3340" s="67">
        <v>2E-3</v>
      </c>
      <c r="H3340" s="63"/>
    </row>
    <row r="3341" spans="1:8" x14ac:dyDescent="0.25">
      <c r="A3341" s="63"/>
      <c r="B3341" s="63">
        <f>'Padrão EPP'!B3341</f>
        <v>5</v>
      </c>
      <c r="C3341" s="63" t="str">
        <f>'Padrão EPP'!C3341</f>
        <v>MA</v>
      </c>
      <c r="D3341" s="63" t="str">
        <f>'Padrão EPP'!D3341</f>
        <v>INTERIOR II</v>
      </c>
      <c r="E3341" s="63">
        <f>'Padrão EPP'!E3341/2</f>
        <v>32.305895593284831</v>
      </c>
      <c r="F3341" s="67">
        <v>3.0000000000000001E-3</v>
      </c>
      <c r="G3341" s="67">
        <v>2E-3</v>
      </c>
      <c r="H3341" s="63"/>
    </row>
    <row r="3342" spans="1:8" x14ac:dyDescent="0.25">
      <c r="A3342" s="63"/>
      <c r="B3342" s="63">
        <f>'Padrão EPP'!B3342</f>
        <v>6</v>
      </c>
      <c r="C3342" s="63" t="str">
        <f>'Padrão EPP'!C3342</f>
        <v>MA</v>
      </c>
      <c r="D3342" s="63" t="str">
        <f>'Padrão EPP'!D3342</f>
        <v>INTERIOR II</v>
      </c>
      <c r="E3342" s="63">
        <f>'Padrão EPP'!E3342/2</f>
        <v>37.175270038133931</v>
      </c>
      <c r="F3342" s="67">
        <v>3.0000000000000001E-3</v>
      </c>
      <c r="G3342" s="67">
        <v>2E-3</v>
      </c>
      <c r="H3342" s="63"/>
    </row>
    <row r="3343" spans="1:8" x14ac:dyDescent="0.25">
      <c r="A3343" s="63"/>
      <c r="B3343" s="63">
        <f>'Padrão EPP'!B3343</f>
        <v>7</v>
      </c>
      <c r="C3343" s="63" t="str">
        <f>'Padrão EPP'!C3343</f>
        <v>MA</v>
      </c>
      <c r="D3343" s="63" t="str">
        <f>'Padrão EPP'!D3343</f>
        <v>INTERIOR II</v>
      </c>
      <c r="E3343" s="63">
        <f>'Padrão EPP'!E3343/2</f>
        <v>40.752750504608379</v>
      </c>
      <c r="F3343" s="67">
        <v>3.0000000000000001E-3</v>
      </c>
      <c r="G3343" s="67">
        <v>2E-3</v>
      </c>
      <c r="H3343" s="63"/>
    </row>
    <row r="3344" spans="1:8" x14ac:dyDescent="0.25">
      <c r="A3344" s="63"/>
      <c r="B3344" s="63">
        <f>'Padrão EPP'!B3344</f>
        <v>8</v>
      </c>
      <c r="C3344" s="63" t="str">
        <f>'Padrão EPP'!C3344</f>
        <v>MA</v>
      </c>
      <c r="D3344" s="63" t="str">
        <f>'Padrão EPP'!D3344</f>
        <v>INTERIOR II</v>
      </c>
      <c r="E3344" s="63">
        <f>'Padrão EPP'!E3344/2</f>
        <v>44.526440347378596</v>
      </c>
      <c r="F3344" s="67">
        <v>3.0000000000000001E-3</v>
      </c>
      <c r="G3344" s="67">
        <v>2E-3</v>
      </c>
      <c r="H3344" s="63"/>
    </row>
    <row r="3345" spans="1:8" x14ac:dyDescent="0.25">
      <c r="A3345" s="63"/>
      <c r="B3345" s="63">
        <f>'Padrão EPP'!B3345</f>
        <v>9</v>
      </c>
      <c r="C3345" s="63" t="str">
        <f>'Padrão EPP'!C3345</f>
        <v>MA</v>
      </c>
      <c r="D3345" s="63" t="str">
        <f>'Padrão EPP'!D3345</f>
        <v>INTERIOR II</v>
      </c>
      <c r="E3345" s="63">
        <f>'Padrão EPP'!E3345/2</f>
        <v>49.264074176883312</v>
      </c>
      <c r="F3345" s="67">
        <v>3.0000000000000001E-3</v>
      </c>
      <c r="G3345" s="67">
        <v>2E-3</v>
      </c>
      <c r="H3345" s="63"/>
    </row>
    <row r="3346" spans="1:8" x14ac:dyDescent="0.25">
      <c r="A3346" s="63"/>
      <c r="B3346" s="63">
        <f>'Padrão EPP'!B3346</f>
        <v>10</v>
      </c>
      <c r="C3346" s="63" t="str">
        <f>'Padrão EPP'!C3346</f>
        <v>MA</v>
      </c>
      <c r="D3346" s="63" t="str">
        <f>'Padrão EPP'!D3346</f>
        <v>INTERIOR II</v>
      </c>
      <c r="E3346" s="63">
        <f>'Padrão EPP'!E3346/2</f>
        <v>53.539517885270371</v>
      </c>
      <c r="F3346" s="67">
        <v>3.0000000000000001E-3</v>
      </c>
      <c r="G3346" s="67">
        <v>2E-3</v>
      </c>
      <c r="H3346" s="63"/>
    </row>
    <row r="3347" spans="1:8" x14ac:dyDescent="0.25">
      <c r="A3347" s="63"/>
      <c r="B3347" s="63">
        <f>'Padrão EPP'!B3347</f>
        <v>11</v>
      </c>
      <c r="C3347" s="63" t="str">
        <f>'Padrão EPP'!C3347</f>
        <v>MA</v>
      </c>
      <c r="D3347" s="63" t="str">
        <f>'Padrão EPP'!D3347</f>
        <v>INTERIOR II</v>
      </c>
      <c r="E3347" s="63">
        <f>'Padrão EPP'!E3347/2</f>
        <v>0</v>
      </c>
      <c r="F3347" s="67">
        <v>3.0000000000000001E-3</v>
      </c>
      <c r="G3347" s="67">
        <v>2E-3</v>
      </c>
      <c r="H3347" s="63"/>
    </row>
    <row r="3348" spans="1:8" x14ac:dyDescent="0.25">
      <c r="A3348" s="63"/>
      <c r="B3348" s="63">
        <f>'Padrão EPP'!B3348</f>
        <v>12</v>
      </c>
      <c r="C3348" s="63" t="str">
        <f>'Padrão EPP'!C3348</f>
        <v>MA</v>
      </c>
      <c r="D3348" s="63" t="str">
        <f>'Padrão EPP'!D3348</f>
        <v>INTERIOR II</v>
      </c>
      <c r="E3348" s="63">
        <f>'Padrão EPP'!E3348/2</f>
        <v>0</v>
      </c>
      <c r="F3348" s="67">
        <v>3.0000000000000001E-3</v>
      </c>
      <c r="G3348" s="67">
        <v>2E-3</v>
      </c>
      <c r="H3348" s="63"/>
    </row>
    <row r="3349" spans="1:8" x14ac:dyDescent="0.25">
      <c r="A3349" s="63"/>
      <c r="B3349" s="63">
        <f>'Padrão EPP'!B3349</f>
        <v>13</v>
      </c>
      <c r="C3349" s="63" t="str">
        <f>'Padrão EPP'!C3349</f>
        <v>MA</v>
      </c>
      <c r="D3349" s="63" t="str">
        <f>'Padrão EPP'!D3349</f>
        <v>INTERIOR II</v>
      </c>
      <c r="E3349" s="63">
        <f>'Padrão EPP'!E3349/2</f>
        <v>0</v>
      </c>
      <c r="F3349" s="67">
        <v>3.0000000000000001E-3</v>
      </c>
      <c r="G3349" s="67">
        <v>2E-3</v>
      </c>
      <c r="H3349" s="63"/>
    </row>
    <row r="3350" spans="1:8" x14ac:dyDescent="0.25">
      <c r="A3350" s="63"/>
      <c r="B3350" s="63">
        <f>'Padrão EPP'!B3350</f>
        <v>14</v>
      </c>
      <c r="C3350" s="63" t="str">
        <f>'Padrão EPP'!C3350</f>
        <v>MA</v>
      </c>
      <c r="D3350" s="63" t="str">
        <f>'Padrão EPP'!D3350</f>
        <v>INTERIOR II</v>
      </c>
      <c r="E3350" s="63">
        <f>'Padrão EPP'!E3350/2</f>
        <v>0</v>
      </c>
      <c r="F3350" s="67">
        <v>3.0000000000000001E-3</v>
      </c>
      <c r="G3350" s="67">
        <v>2E-3</v>
      </c>
      <c r="H3350" s="63"/>
    </row>
    <row r="3351" spans="1:8" x14ac:dyDescent="0.25">
      <c r="A3351" s="63"/>
      <c r="B3351" s="63">
        <f>'Padrão EPP'!B3351</f>
        <v>15</v>
      </c>
      <c r="C3351" s="63" t="str">
        <f>'Padrão EPP'!C3351</f>
        <v>MA</v>
      </c>
      <c r="D3351" s="63" t="str">
        <f>'Padrão EPP'!D3351</f>
        <v>INTERIOR II</v>
      </c>
      <c r="E3351" s="63">
        <f>'Padrão EPP'!E3351/2</f>
        <v>0</v>
      </c>
      <c r="F3351" s="67">
        <v>3.0000000000000001E-3</v>
      </c>
      <c r="G3351" s="67">
        <v>2E-3</v>
      </c>
      <c r="H3351" s="63"/>
    </row>
    <row r="3352" spans="1:8" x14ac:dyDescent="0.25">
      <c r="A3352" s="63"/>
      <c r="B3352" s="63">
        <f>'Padrão EPP'!B3352</f>
        <v>16</v>
      </c>
      <c r="C3352" s="63" t="str">
        <f>'Padrão EPP'!C3352</f>
        <v>MA</v>
      </c>
      <c r="D3352" s="63" t="str">
        <f>'Padrão EPP'!D3352</f>
        <v>INTERIOR II</v>
      </c>
      <c r="E3352" s="63">
        <f>'Padrão EPP'!E3352/2</f>
        <v>0</v>
      </c>
      <c r="F3352" s="67">
        <v>3.0000000000000001E-3</v>
      </c>
      <c r="G3352" s="67">
        <v>2E-3</v>
      </c>
      <c r="H3352" s="63"/>
    </row>
    <row r="3353" spans="1:8" x14ac:dyDescent="0.25">
      <c r="A3353" s="63"/>
      <c r="B3353" s="63">
        <f>'Padrão EPP'!B3353</f>
        <v>17</v>
      </c>
      <c r="C3353" s="63" t="str">
        <f>'Padrão EPP'!C3353</f>
        <v>MA</v>
      </c>
      <c r="D3353" s="63" t="str">
        <f>'Padrão EPP'!D3353</f>
        <v>INTERIOR II</v>
      </c>
      <c r="E3353" s="63">
        <f>'Padrão EPP'!E3353/2</f>
        <v>0</v>
      </c>
      <c r="F3353" s="67">
        <v>3.0000000000000001E-3</v>
      </c>
      <c r="G3353" s="67">
        <v>2E-3</v>
      </c>
      <c r="H3353" s="63"/>
    </row>
    <row r="3354" spans="1:8" x14ac:dyDescent="0.25">
      <c r="A3354" s="63"/>
      <c r="B3354" s="63">
        <f>'Padrão EPP'!B3354</f>
        <v>18</v>
      </c>
      <c r="C3354" s="63" t="str">
        <f>'Padrão EPP'!C3354</f>
        <v>MA</v>
      </c>
      <c r="D3354" s="63" t="str">
        <f>'Padrão EPP'!D3354</f>
        <v>INTERIOR II</v>
      </c>
      <c r="E3354" s="63">
        <f>'Padrão EPP'!E3354/2</f>
        <v>0</v>
      </c>
      <c r="F3354" s="67">
        <v>3.0000000000000001E-3</v>
      </c>
      <c r="G3354" s="67">
        <v>2E-3</v>
      </c>
      <c r="H3354" s="63"/>
    </row>
    <row r="3355" spans="1:8" x14ac:dyDescent="0.25">
      <c r="A3355" s="63"/>
      <c r="B3355" s="63">
        <f>'Padrão EPP'!B3355</f>
        <v>19</v>
      </c>
      <c r="C3355" s="63" t="str">
        <f>'Padrão EPP'!C3355</f>
        <v>MA</v>
      </c>
      <c r="D3355" s="63" t="str">
        <f>'Padrão EPP'!D3355</f>
        <v>INTERIOR II</v>
      </c>
      <c r="E3355" s="63">
        <f>'Padrão EPP'!E3355/2</f>
        <v>0</v>
      </c>
      <c r="F3355" s="67">
        <v>3.0000000000000001E-3</v>
      </c>
      <c r="G3355" s="67">
        <v>2E-3</v>
      </c>
      <c r="H3355" s="63"/>
    </row>
    <row r="3356" spans="1:8" x14ac:dyDescent="0.25">
      <c r="A3356" s="63"/>
      <c r="B3356" s="63">
        <f>'Padrão EPP'!B3356</f>
        <v>20</v>
      </c>
      <c r="C3356" s="63" t="str">
        <f>'Padrão EPP'!C3356</f>
        <v>MA</v>
      </c>
      <c r="D3356" s="63" t="str">
        <f>'Padrão EPP'!D3356</f>
        <v>INTERIOR II</v>
      </c>
      <c r="E3356" s="63">
        <f>'Padrão EPP'!E3356/2</f>
        <v>0</v>
      </c>
      <c r="F3356" s="67">
        <v>3.0000000000000001E-3</v>
      </c>
      <c r="G3356" s="67">
        <v>2E-3</v>
      </c>
      <c r="H3356" s="63"/>
    </row>
    <row r="3357" spans="1:8" x14ac:dyDescent="0.25">
      <c r="A3357" s="63"/>
      <c r="B3357" s="63">
        <f>'Padrão EPP'!B3357</f>
        <v>21</v>
      </c>
      <c r="C3357" s="63" t="str">
        <f>'Padrão EPP'!C3357</f>
        <v>MA</v>
      </c>
      <c r="D3357" s="63" t="str">
        <f>'Padrão EPP'!D3357</f>
        <v>INTERIOR II</v>
      </c>
      <c r="E3357" s="63">
        <f>'Padrão EPP'!E3357/2</f>
        <v>0</v>
      </c>
      <c r="F3357" s="67">
        <v>3.0000000000000001E-3</v>
      </c>
      <c r="G3357" s="67">
        <v>2E-3</v>
      </c>
      <c r="H3357" s="63"/>
    </row>
    <row r="3358" spans="1:8" x14ac:dyDescent="0.25">
      <c r="A3358" s="63"/>
      <c r="B3358" s="63">
        <f>'Padrão EPP'!B3358</f>
        <v>22</v>
      </c>
      <c r="C3358" s="63" t="str">
        <f>'Padrão EPP'!C3358</f>
        <v>MA</v>
      </c>
      <c r="D3358" s="63" t="str">
        <f>'Padrão EPP'!D3358</f>
        <v>INTERIOR II</v>
      </c>
      <c r="E3358" s="63">
        <f>'Padrão EPP'!E3358/2</f>
        <v>0</v>
      </c>
      <c r="F3358" s="67">
        <v>3.0000000000000001E-3</v>
      </c>
      <c r="G3358" s="67">
        <v>2E-3</v>
      </c>
      <c r="H3358" s="63"/>
    </row>
    <row r="3359" spans="1:8" x14ac:dyDescent="0.25">
      <c r="A3359" s="63"/>
      <c r="B3359" s="63">
        <f>'Padrão EPP'!B3359</f>
        <v>23</v>
      </c>
      <c r="C3359" s="63" t="str">
        <f>'Padrão EPP'!C3359</f>
        <v>MA</v>
      </c>
      <c r="D3359" s="63" t="str">
        <f>'Padrão EPP'!D3359</f>
        <v>INTERIOR II</v>
      </c>
      <c r="E3359" s="63">
        <f>'Padrão EPP'!E3359/2</f>
        <v>0</v>
      </c>
      <c r="F3359" s="67">
        <v>3.0000000000000001E-3</v>
      </c>
      <c r="G3359" s="67">
        <v>2E-3</v>
      </c>
      <c r="H3359" s="63"/>
    </row>
    <row r="3360" spans="1:8" x14ac:dyDescent="0.25">
      <c r="A3360" s="63"/>
      <c r="B3360" s="63">
        <f>'Padrão EPP'!B3360</f>
        <v>24</v>
      </c>
      <c r="C3360" s="63" t="str">
        <f>'Padrão EPP'!C3360</f>
        <v>MA</v>
      </c>
      <c r="D3360" s="63" t="str">
        <f>'Padrão EPP'!D3360</f>
        <v>INTERIOR II</v>
      </c>
      <c r="E3360" s="63">
        <f>'Padrão EPP'!E3360/2</f>
        <v>0</v>
      </c>
      <c r="F3360" s="67">
        <v>3.0000000000000001E-3</v>
      </c>
      <c r="G3360" s="67">
        <v>2E-3</v>
      </c>
      <c r="H3360" s="63"/>
    </row>
    <row r="3361" spans="1:8" x14ac:dyDescent="0.25">
      <c r="A3361" s="63"/>
      <c r="B3361" s="63">
        <f>'Padrão EPP'!B3361</f>
        <v>25</v>
      </c>
      <c r="C3361" s="63" t="str">
        <f>'Padrão EPP'!C3361</f>
        <v>MA</v>
      </c>
      <c r="D3361" s="63" t="str">
        <f>'Padrão EPP'!D3361</f>
        <v>INTERIOR II</v>
      </c>
      <c r="E3361" s="63">
        <f>'Padrão EPP'!E3361/2</f>
        <v>0</v>
      </c>
      <c r="F3361" s="67">
        <v>3.0000000000000001E-3</v>
      </c>
      <c r="G3361" s="67">
        <v>2E-3</v>
      </c>
      <c r="H3361" s="63"/>
    </row>
    <row r="3362" spans="1:8" x14ac:dyDescent="0.25">
      <c r="A3362" s="63"/>
      <c r="B3362" s="63">
        <f>'Padrão EPP'!B3362</f>
        <v>26</v>
      </c>
      <c r="C3362" s="63" t="str">
        <f>'Padrão EPP'!C3362</f>
        <v>MA</v>
      </c>
      <c r="D3362" s="63" t="str">
        <f>'Padrão EPP'!D3362</f>
        <v>INTERIOR II</v>
      </c>
      <c r="E3362" s="63">
        <f>'Padrão EPP'!E3362/2</f>
        <v>0</v>
      </c>
      <c r="F3362" s="67">
        <v>3.0000000000000001E-3</v>
      </c>
      <c r="G3362" s="67">
        <v>2E-3</v>
      </c>
      <c r="H3362" s="63"/>
    </row>
    <row r="3363" spans="1:8" x14ac:dyDescent="0.25">
      <c r="A3363" s="63"/>
      <c r="B3363" s="63">
        <f>'Padrão EPP'!B3363</f>
        <v>27</v>
      </c>
      <c r="C3363" s="63" t="str">
        <f>'Padrão EPP'!C3363</f>
        <v>MA</v>
      </c>
      <c r="D3363" s="63" t="str">
        <f>'Padrão EPP'!D3363</f>
        <v>INTERIOR II</v>
      </c>
      <c r="E3363" s="63">
        <f>'Padrão EPP'!E3363/2</f>
        <v>0</v>
      </c>
      <c r="F3363" s="67">
        <v>3.0000000000000001E-3</v>
      </c>
      <c r="G3363" s="67">
        <v>2E-3</v>
      </c>
      <c r="H3363" s="63"/>
    </row>
    <row r="3364" spans="1:8" x14ac:dyDescent="0.25">
      <c r="A3364" s="63"/>
      <c r="B3364" s="63">
        <f>'Padrão EPP'!B3364</f>
        <v>28</v>
      </c>
      <c r="C3364" s="63" t="str">
        <f>'Padrão EPP'!C3364</f>
        <v>MA</v>
      </c>
      <c r="D3364" s="63" t="str">
        <f>'Padrão EPP'!D3364</f>
        <v>INTERIOR II</v>
      </c>
      <c r="E3364" s="63">
        <f>'Padrão EPP'!E3364/2</f>
        <v>0</v>
      </c>
      <c r="F3364" s="67">
        <v>3.0000000000000001E-3</v>
      </c>
      <c r="G3364" s="67">
        <v>2E-3</v>
      </c>
      <c r="H3364" s="63"/>
    </row>
    <row r="3365" spans="1:8" x14ac:dyDescent="0.25">
      <c r="A3365" s="63"/>
      <c r="B3365" s="63">
        <f>'Padrão EPP'!B3365</f>
        <v>29</v>
      </c>
      <c r="C3365" s="63" t="str">
        <f>'Padrão EPP'!C3365</f>
        <v>MA</v>
      </c>
      <c r="D3365" s="63" t="str">
        <f>'Padrão EPP'!D3365</f>
        <v>INTERIOR II</v>
      </c>
      <c r="E3365" s="63">
        <f>'Padrão EPP'!E3365/2</f>
        <v>0</v>
      </c>
      <c r="F3365" s="67">
        <v>3.0000000000000001E-3</v>
      </c>
      <c r="G3365" s="67">
        <v>2E-3</v>
      </c>
      <c r="H3365" s="63"/>
    </row>
    <row r="3366" spans="1:8" x14ac:dyDescent="0.25">
      <c r="A3366" s="63"/>
      <c r="B3366" s="63">
        <f>'Padrão EPP'!B3366</f>
        <v>30</v>
      </c>
      <c r="C3366" s="63" t="str">
        <f>'Padrão EPP'!C3366</f>
        <v>MA</v>
      </c>
      <c r="D3366" s="63" t="str">
        <f>'Padrão EPP'!D3366</f>
        <v>INTERIOR II</v>
      </c>
      <c r="E3366" s="63">
        <f>'Padrão EPP'!E3366/2</f>
        <v>0</v>
      </c>
      <c r="F3366" s="67">
        <v>3.0000000000000001E-3</v>
      </c>
      <c r="G3366" s="67">
        <v>2E-3</v>
      </c>
      <c r="H3366" s="63"/>
    </row>
    <row r="3367" spans="1:8" x14ac:dyDescent="0.25">
      <c r="A3367" s="63"/>
      <c r="B3367" s="63">
        <f>'Padrão EPP'!B3367</f>
        <v>0</v>
      </c>
      <c r="C3367" s="63" t="str">
        <f>'Padrão EPP'!C3367</f>
        <v>MA</v>
      </c>
      <c r="D3367" s="63" t="str">
        <f>'Padrão EPP'!D3367</f>
        <v>INTERIOR II</v>
      </c>
      <c r="E3367" s="63">
        <f>'Padrão EPP'!E3367/2</f>
        <v>1.5214394455252955</v>
      </c>
      <c r="F3367" s="67">
        <v>3.0000000000000001E-3</v>
      </c>
      <c r="G3367" s="67">
        <v>2E-3</v>
      </c>
      <c r="H3367" s="63"/>
    </row>
    <row r="3368" spans="1:8" x14ac:dyDescent="0.25">
      <c r="A3368" s="63"/>
      <c r="B3368" s="63">
        <f>'Padrão EPP'!B3368</f>
        <v>0.25</v>
      </c>
      <c r="C3368" s="63" t="str">
        <f>'Padrão EPP'!C3368</f>
        <v>MA</v>
      </c>
      <c r="D3368" s="63" t="str">
        <f>'Padrão EPP'!D3368</f>
        <v>REDESPACHO</v>
      </c>
      <c r="E3368" s="63">
        <f>'Padrão EPP'!E3368/2</f>
        <v>16.451389170433409</v>
      </c>
      <c r="F3368" s="67">
        <v>3.0000000000000001E-3</v>
      </c>
      <c r="G3368" s="67">
        <v>2E-3</v>
      </c>
      <c r="H3368" s="63"/>
    </row>
    <row r="3369" spans="1:8" x14ac:dyDescent="0.25">
      <c r="A3369" s="63"/>
      <c r="B3369" s="63">
        <f>'Padrão EPP'!B3369</f>
        <v>0.5</v>
      </c>
      <c r="C3369" s="63" t="str">
        <f>'Padrão EPP'!C3369</f>
        <v>MA</v>
      </c>
      <c r="D3369" s="63" t="str">
        <f>'Padrão EPP'!D3369</f>
        <v>REDESPACHO</v>
      </c>
      <c r="E3369" s="63">
        <f>'Padrão EPP'!E3369/2</f>
        <v>18.490457741587413</v>
      </c>
      <c r="F3369" s="67">
        <v>3.0000000000000001E-3</v>
      </c>
      <c r="G3369" s="67">
        <v>2E-3</v>
      </c>
      <c r="H3369" s="63"/>
    </row>
    <row r="3370" spans="1:8" x14ac:dyDescent="0.25">
      <c r="A3370" s="63"/>
      <c r="B3370" s="63">
        <f>'Padrão EPP'!B3370</f>
        <v>0.75</v>
      </c>
      <c r="C3370" s="63" t="str">
        <f>'Padrão EPP'!C3370</f>
        <v>MA</v>
      </c>
      <c r="D3370" s="63" t="str">
        <f>'Padrão EPP'!D3370</f>
        <v>REDESPACHO</v>
      </c>
      <c r="E3370" s="63">
        <f>'Padrão EPP'!E3370/2</f>
        <v>20.520882276858227</v>
      </c>
      <c r="F3370" s="67">
        <v>3.0000000000000001E-3</v>
      </c>
      <c r="G3370" s="67">
        <v>2E-3</v>
      </c>
      <c r="H3370" s="63"/>
    </row>
    <row r="3371" spans="1:8" x14ac:dyDescent="0.25">
      <c r="A3371" s="63"/>
      <c r="B3371" s="63">
        <f>'Padrão EPP'!B3371</f>
        <v>1</v>
      </c>
      <c r="C3371" s="63" t="str">
        <f>'Padrão EPP'!C3371</f>
        <v>MA</v>
      </c>
      <c r="D3371" s="63" t="str">
        <f>'Padrão EPP'!D3371</f>
        <v>REDESPACHO</v>
      </c>
      <c r="E3371" s="63">
        <f>'Padrão EPP'!E3371/2</f>
        <v>22.256258143079961</v>
      </c>
      <c r="F3371" s="67">
        <v>3.0000000000000001E-3</v>
      </c>
      <c r="G3371" s="67">
        <v>2E-3</v>
      </c>
      <c r="H3371" s="63"/>
    </row>
    <row r="3372" spans="1:8" x14ac:dyDescent="0.25">
      <c r="A3372" s="63"/>
      <c r="B3372" s="63">
        <f>'Padrão EPP'!B3372</f>
        <v>2</v>
      </c>
      <c r="C3372" s="63" t="str">
        <f>'Padrão EPP'!C3372</f>
        <v>MA</v>
      </c>
      <c r="D3372" s="63" t="str">
        <f>'Padrão EPP'!D3372</f>
        <v>REDESPACHO</v>
      </c>
      <c r="E3372" s="63">
        <f>'Padrão EPP'!E3372/2</f>
        <v>26.088140973482751</v>
      </c>
      <c r="F3372" s="67">
        <v>3.0000000000000001E-3</v>
      </c>
      <c r="G3372" s="67">
        <v>2E-3</v>
      </c>
      <c r="H3372" s="63"/>
    </row>
    <row r="3373" spans="1:8" x14ac:dyDescent="0.25">
      <c r="A3373" s="63"/>
      <c r="B3373" s="63">
        <f>'Padrão EPP'!B3373</f>
        <v>3</v>
      </c>
      <c r="C3373" s="63" t="str">
        <f>'Padrão EPP'!C3373</f>
        <v>MA</v>
      </c>
      <c r="D3373" s="63" t="str">
        <f>'Padrão EPP'!D3373</f>
        <v>REDESPACHO</v>
      </c>
      <c r="E3373" s="63">
        <f>'Padrão EPP'!E3373/2</f>
        <v>32.699823326422454</v>
      </c>
      <c r="F3373" s="67">
        <v>3.0000000000000001E-3</v>
      </c>
      <c r="G3373" s="67">
        <v>2E-3</v>
      </c>
      <c r="H3373" s="63"/>
    </row>
    <row r="3374" spans="1:8" x14ac:dyDescent="0.25">
      <c r="A3374" s="63"/>
      <c r="B3374" s="63">
        <f>'Padrão EPP'!B3374</f>
        <v>4</v>
      </c>
      <c r="C3374" s="63" t="str">
        <f>'Padrão EPP'!C3374</f>
        <v>MA</v>
      </c>
      <c r="D3374" s="63" t="str">
        <f>'Padrão EPP'!D3374</f>
        <v>REDESPACHO</v>
      </c>
      <c r="E3374" s="63">
        <f>'Padrão EPP'!E3374/2</f>
        <v>37.431411897013902</v>
      </c>
      <c r="F3374" s="67">
        <v>3.0000000000000001E-3</v>
      </c>
      <c r="G3374" s="67">
        <v>2E-3</v>
      </c>
      <c r="H3374" s="63"/>
    </row>
    <row r="3375" spans="1:8" x14ac:dyDescent="0.25">
      <c r="A3375" s="63"/>
      <c r="B3375" s="63">
        <f>'Padrão EPP'!B3375</f>
        <v>5</v>
      </c>
      <c r="C3375" s="63" t="str">
        <f>'Padrão EPP'!C3375</f>
        <v>MA</v>
      </c>
      <c r="D3375" s="63" t="str">
        <f>'Padrão EPP'!D3375</f>
        <v>REDESPACHO</v>
      </c>
      <c r="E3375" s="63">
        <f>'Padrão EPP'!E3375/2</f>
        <v>42.276457863698781</v>
      </c>
      <c r="F3375" s="67">
        <v>3.0000000000000001E-3</v>
      </c>
      <c r="G3375" s="67">
        <v>2E-3</v>
      </c>
      <c r="H3375" s="63"/>
    </row>
    <row r="3376" spans="1:8" x14ac:dyDescent="0.25">
      <c r="A3376" s="63"/>
      <c r="B3376" s="63">
        <f>'Padrão EPP'!B3376</f>
        <v>6</v>
      </c>
      <c r="C3376" s="63" t="str">
        <f>'Padrão EPP'!C3376</f>
        <v>MA</v>
      </c>
      <c r="D3376" s="63" t="str">
        <f>'Padrão EPP'!D3376</f>
        <v>REDESPACHO</v>
      </c>
      <c r="E3376" s="63">
        <f>'Padrão EPP'!E3376/2</f>
        <v>47.246306966086429</v>
      </c>
      <c r="F3376" s="67">
        <v>3.0000000000000001E-3</v>
      </c>
      <c r="G3376" s="67">
        <v>2E-3</v>
      </c>
      <c r="H3376" s="63"/>
    </row>
    <row r="3377" spans="1:8" x14ac:dyDescent="0.25">
      <c r="A3377" s="63"/>
      <c r="B3377" s="63">
        <f>'Padrão EPP'!B3377</f>
        <v>7</v>
      </c>
      <c r="C3377" s="63" t="str">
        <f>'Padrão EPP'!C3377</f>
        <v>MA</v>
      </c>
      <c r="D3377" s="63" t="str">
        <f>'Padrão EPP'!D3377</f>
        <v>REDESPACHO</v>
      </c>
      <c r="E3377" s="63">
        <f>'Padrão EPP'!E3377/2</f>
        <v>52.353439517747141</v>
      </c>
      <c r="F3377" s="67">
        <v>3.0000000000000001E-3</v>
      </c>
      <c r="G3377" s="67">
        <v>2E-3</v>
      </c>
      <c r="H3377" s="63"/>
    </row>
    <row r="3378" spans="1:8" x14ac:dyDescent="0.25">
      <c r="A3378" s="63"/>
      <c r="B3378" s="63">
        <f>'Padrão EPP'!B3378</f>
        <v>8</v>
      </c>
      <c r="C3378" s="63" t="str">
        <f>'Padrão EPP'!C3378</f>
        <v>MA</v>
      </c>
      <c r="D3378" s="63" t="str">
        <f>'Padrão EPP'!D3378</f>
        <v>REDESPACHO</v>
      </c>
      <c r="E3378" s="63">
        <f>'Padrão EPP'!E3378/2</f>
        <v>57.756821687688124</v>
      </c>
      <c r="F3378" s="67">
        <v>3.0000000000000001E-3</v>
      </c>
      <c r="G3378" s="67">
        <v>2E-3</v>
      </c>
      <c r="H3378" s="63"/>
    </row>
    <row r="3379" spans="1:8" x14ac:dyDescent="0.25">
      <c r="A3379" s="63"/>
      <c r="B3379" s="63">
        <f>'Padrão EPP'!B3379</f>
        <v>9</v>
      </c>
      <c r="C3379" s="63" t="str">
        <f>'Padrão EPP'!C3379</f>
        <v>MA</v>
      </c>
      <c r="D3379" s="63" t="str">
        <f>'Padrão EPP'!D3379</f>
        <v>REDESPACHO</v>
      </c>
      <c r="E3379" s="63">
        <f>'Padrão EPP'!E3379/2</f>
        <v>63.84388053313851</v>
      </c>
      <c r="F3379" s="67">
        <v>3.0000000000000001E-3</v>
      </c>
      <c r="G3379" s="67">
        <v>2E-3</v>
      </c>
      <c r="H3379" s="63"/>
    </row>
    <row r="3380" spans="1:8" x14ac:dyDescent="0.25">
      <c r="A3380" s="63"/>
      <c r="B3380" s="63">
        <f>'Padrão EPP'!B3380</f>
        <v>10</v>
      </c>
      <c r="C3380" s="63" t="str">
        <f>'Padrão EPP'!C3380</f>
        <v>MA</v>
      </c>
      <c r="D3380" s="63" t="str">
        <f>'Padrão EPP'!D3380</f>
        <v>REDESPACHO</v>
      </c>
      <c r="E3380" s="63">
        <f>'Padrão EPP'!E3380/2</f>
        <v>70.113663649571379</v>
      </c>
      <c r="F3380" s="67">
        <v>3.0000000000000001E-3</v>
      </c>
      <c r="G3380" s="67">
        <v>2E-3</v>
      </c>
      <c r="H3380" s="63"/>
    </row>
    <row r="3381" spans="1:8" x14ac:dyDescent="0.25">
      <c r="A3381" s="63"/>
      <c r="B3381" s="63">
        <f>'Padrão EPP'!B3381</f>
        <v>11</v>
      </c>
      <c r="C3381" s="63" t="str">
        <f>'Padrão EPP'!C3381</f>
        <v>MA</v>
      </c>
      <c r="D3381" s="63" t="str">
        <f>'Padrão EPP'!D3381</f>
        <v>REDESPACHO</v>
      </c>
      <c r="E3381" s="63">
        <f>'Padrão EPP'!E3381/2</f>
        <v>0</v>
      </c>
      <c r="F3381" s="67">
        <v>3.0000000000000001E-3</v>
      </c>
      <c r="G3381" s="67">
        <v>2E-3</v>
      </c>
      <c r="H3381" s="63"/>
    </row>
    <row r="3382" spans="1:8" x14ac:dyDescent="0.25">
      <c r="A3382" s="63"/>
      <c r="B3382" s="63">
        <f>'Padrão EPP'!B3382</f>
        <v>12</v>
      </c>
      <c r="C3382" s="63" t="str">
        <f>'Padrão EPP'!C3382</f>
        <v>MA</v>
      </c>
      <c r="D3382" s="63" t="str">
        <f>'Padrão EPP'!D3382</f>
        <v>REDESPACHO</v>
      </c>
      <c r="E3382" s="63">
        <f>'Padrão EPP'!E3382/2</f>
        <v>0</v>
      </c>
      <c r="F3382" s="67">
        <v>3.0000000000000001E-3</v>
      </c>
      <c r="G3382" s="67">
        <v>2E-3</v>
      </c>
      <c r="H3382" s="63"/>
    </row>
    <row r="3383" spans="1:8" x14ac:dyDescent="0.25">
      <c r="A3383" s="63"/>
      <c r="B3383" s="63">
        <f>'Padrão EPP'!B3383</f>
        <v>13</v>
      </c>
      <c r="C3383" s="63" t="str">
        <f>'Padrão EPP'!C3383</f>
        <v>MA</v>
      </c>
      <c r="D3383" s="63" t="str">
        <f>'Padrão EPP'!D3383</f>
        <v>REDESPACHO</v>
      </c>
      <c r="E3383" s="63">
        <f>'Padrão EPP'!E3383/2</f>
        <v>0</v>
      </c>
      <c r="F3383" s="67">
        <v>3.0000000000000001E-3</v>
      </c>
      <c r="G3383" s="67">
        <v>2E-3</v>
      </c>
      <c r="H3383" s="63"/>
    </row>
    <row r="3384" spans="1:8" x14ac:dyDescent="0.25">
      <c r="A3384" s="63"/>
      <c r="B3384" s="63">
        <f>'Padrão EPP'!B3384</f>
        <v>14</v>
      </c>
      <c r="C3384" s="63" t="str">
        <f>'Padrão EPP'!C3384</f>
        <v>MA</v>
      </c>
      <c r="D3384" s="63" t="str">
        <f>'Padrão EPP'!D3384</f>
        <v>REDESPACHO</v>
      </c>
      <c r="E3384" s="63">
        <f>'Padrão EPP'!E3384/2</f>
        <v>0</v>
      </c>
      <c r="F3384" s="67">
        <v>3.0000000000000001E-3</v>
      </c>
      <c r="G3384" s="67">
        <v>2E-3</v>
      </c>
      <c r="H3384" s="63"/>
    </row>
    <row r="3385" spans="1:8" x14ac:dyDescent="0.25">
      <c r="A3385" s="63"/>
      <c r="B3385" s="63">
        <f>'Padrão EPP'!B3385</f>
        <v>15</v>
      </c>
      <c r="C3385" s="63" t="str">
        <f>'Padrão EPP'!C3385</f>
        <v>MA</v>
      </c>
      <c r="D3385" s="63" t="str">
        <f>'Padrão EPP'!D3385</f>
        <v>REDESPACHO</v>
      </c>
      <c r="E3385" s="63">
        <f>'Padrão EPP'!E3385/2</f>
        <v>0</v>
      </c>
      <c r="F3385" s="67">
        <v>3.0000000000000001E-3</v>
      </c>
      <c r="G3385" s="67">
        <v>2E-3</v>
      </c>
      <c r="H3385" s="63"/>
    </row>
    <row r="3386" spans="1:8" x14ac:dyDescent="0.25">
      <c r="A3386" s="63"/>
      <c r="B3386" s="63">
        <f>'Padrão EPP'!B3386</f>
        <v>16</v>
      </c>
      <c r="C3386" s="63" t="str">
        <f>'Padrão EPP'!C3386</f>
        <v>MA</v>
      </c>
      <c r="D3386" s="63" t="str">
        <f>'Padrão EPP'!D3386</f>
        <v>REDESPACHO</v>
      </c>
      <c r="E3386" s="63">
        <f>'Padrão EPP'!E3386/2</f>
        <v>0</v>
      </c>
      <c r="F3386" s="67">
        <v>3.0000000000000001E-3</v>
      </c>
      <c r="G3386" s="67">
        <v>2E-3</v>
      </c>
      <c r="H3386" s="63"/>
    </row>
    <row r="3387" spans="1:8" x14ac:dyDescent="0.25">
      <c r="A3387" s="63"/>
      <c r="B3387" s="63">
        <f>'Padrão EPP'!B3387</f>
        <v>17</v>
      </c>
      <c r="C3387" s="63" t="str">
        <f>'Padrão EPP'!C3387</f>
        <v>MA</v>
      </c>
      <c r="D3387" s="63" t="str">
        <f>'Padrão EPP'!D3387</f>
        <v>REDESPACHO</v>
      </c>
      <c r="E3387" s="63">
        <f>'Padrão EPP'!E3387/2</f>
        <v>0</v>
      </c>
      <c r="F3387" s="67">
        <v>3.0000000000000001E-3</v>
      </c>
      <c r="G3387" s="67">
        <v>2E-3</v>
      </c>
      <c r="H3387" s="63"/>
    </row>
    <row r="3388" spans="1:8" x14ac:dyDescent="0.25">
      <c r="A3388" s="63"/>
      <c r="B3388" s="63">
        <f>'Padrão EPP'!B3388</f>
        <v>18</v>
      </c>
      <c r="C3388" s="63" t="str">
        <f>'Padrão EPP'!C3388</f>
        <v>MA</v>
      </c>
      <c r="D3388" s="63" t="str">
        <f>'Padrão EPP'!D3388</f>
        <v>REDESPACHO</v>
      </c>
      <c r="E3388" s="63">
        <f>'Padrão EPP'!E3388/2</f>
        <v>0</v>
      </c>
      <c r="F3388" s="67">
        <v>3.0000000000000001E-3</v>
      </c>
      <c r="G3388" s="67">
        <v>2E-3</v>
      </c>
      <c r="H3388" s="63"/>
    </row>
    <row r="3389" spans="1:8" x14ac:dyDescent="0.25">
      <c r="A3389" s="63"/>
      <c r="B3389" s="63">
        <f>'Padrão EPP'!B3389</f>
        <v>19</v>
      </c>
      <c r="C3389" s="63" t="str">
        <f>'Padrão EPP'!C3389</f>
        <v>MA</v>
      </c>
      <c r="D3389" s="63" t="str">
        <f>'Padrão EPP'!D3389</f>
        <v>REDESPACHO</v>
      </c>
      <c r="E3389" s="63">
        <f>'Padrão EPP'!E3389/2</f>
        <v>0</v>
      </c>
      <c r="F3389" s="67">
        <v>3.0000000000000001E-3</v>
      </c>
      <c r="G3389" s="67">
        <v>2E-3</v>
      </c>
      <c r="H3389" s="63"/>
    </row>
    <row r="3390" spans="1:8" x14ac:dyDescent="0.25">
      <c r="A3390" s="63"/>
      <c r="B3390" s="63">
        <f>'Padrão EPP'!B3390</f>
        <v>20</v>
      </c>
      <c r="C3390" s="63" t="str">
        <f>'Padrão EPP'!C3390</f>
        <v>MA</v>
      </c>
      <c r="D3390" s="63" t="str">
        <f>'Padrão EPP'!D3390</f>
        <v>REDESPACHO</v>
      </c>
      <c r="E3390" s="63">
        <f>'Padrão EPP'!E3390/2</f>
        <v>0</v>
      </c>
      <c r="F3390" s="67">
        <v>3.0000000000000001E-3</v>
      </c>
      <c r="G3390" s="67">
        <v>2E-3</v>
      </c>
      <c r="H3390" s="63"/>
    </row>
    <row r="3391" spans="1:8" x14ac:dyDescent="0.25">
      <c r="A3391" s="63"/>
      <c r="B3391" s="63">
        <f>'Padrão EPP'!B3391</f>
        <v>21</v>
      </c>
      <c r="C3391" s="63" t="str">
        <f>'Padrão EPP'!C3391</f>
        <v>MA</v>
      </c>
      <c r="D3391" s="63" t="str">
        <f>'Padrão EPP'!D3391</f>
        <v>REDESPACHO</v>
      </c>
      <c r="E3391" s="63">
        <f>'Padrão EPP'!E3391/2</f>
        <v>0</v>
      </c>
      <c r="F3391" s="67">
        <v>3.0000000000000001E-3</v>
      </c>
      <c r="G3391" s="67">
        <v>2E-3</v>
      </c>
      <c r="H3391" s="63"/>
    </row>
    <row r="3392" spans="1:8" x14ac:dyDescent="0.25">
      <c r="A3392" s="63"/>
      <c r="B3392" s="63">
        <f>'Padrão EPP'!B3392</f>
        <v>22</v>
      </c>
      <c r="C3392" s="63" t="str">
        <f>'Padrão EPP'!C3392</f>
        <v>MA</v>
      </c>
      <c r="D3392" s="63" t="str">
        <f>'Padrão EPP'!D3392</f>
        <v>REDESPACHO</v>
      </c>
      <c r="E3392" s="63">
        <f>'Padrão EPP'!E3392/2</f>
        <v>0</v>
      </c>
      <c r="F3392" s="67">
        <v>3.0000000000000001E-3</v>
      </c>
      <c r="G3392" s="67">
        <v>2E-3</v>
      </c>
      <c r="H3392" s="63"/>
    </row>
    <row r="3393" spans="1:8" x14ac:dyDescent="0.25">
      <c r="A3393" s="63"/>
      <c r="B3393" s="63">
        <f>'Padrão EPP'!B3393</f>
        <v>23</v>
      </c>
      <c r="C3393" s="63" t="str">
        <f>'Padrão EPP'!C3393</f>
        <v>MA</v>
      </c>
      <c r="D3393" s="63" t="str">
        <f>'Padrão EPP'!D3393</f>
        <v>REDESPACHO</v>
      </c>
      <c r="E3393" s="63">
        <f>'Padrão EPP'!E3393/2</f>
        <v>0</v>
      </c>
      <c r="F3393" s="67">
        <v>3.0000000000000001E-3</v>
      </c>
      <c r="G3393" s="67">
        <v>2E-3</v>
      </c>
      <c r="H3393" s="63"/>
    </row>
    <row r="3394" spans="1:8" x14ac:dyDescent="0.25">
      <c r="A3394" s="63"/>
      <c r="B3394" s="63">
        <f>'Padrão EPP'!B3394</f>
        <v>24</v>
      </c>
      <c r="C3394" s="63" t="str">
        <f>'Padrão EPP'!C3394</f>
        <v>MA</v>
      </c>
      <c r="D3394" s="63" t="str">
        <f>'Padrão EPP'!D3394</f>
        <v>REDESPACHO</v>
      </c>
      <c r="E3394" s="63">
        <f>'Padrão EPP'!E3394/2</f>
        <v>0</v>
      </c>
      <c r="F3394" s="67">
        <v>3.0000000000000001E-3</v>
      </c>
      <c r="G3394" s="67">
        <v>2E-3</v>
      </c>
      <c r="H3394" s="63"/>
    </row>
    <row r="3395" spans="1:8" x14ac:dyDescent="0.25">
      <c r="A3395" s="63"/>
      <c r="B3395" s="63">
        <f>'Padrão EPP'!B3395</f>
        <v>25</v>
      </c>
      <c r="C3395" s="63" t="str">
        <f>'Padrão EPP'!C3395</f>
        <v>MA</v>
      </c>
      <c r="D3395" s="63" t="str">
        <f>'Padrão EPP'!D3395</f>
        <v>REDESPACHO</v>
      </c>
      <c r="E3395" s="63">
        <f>'Padrão EPP'!E3395/2</f>
        <v>0</v>
      </c>
      <c r="F3395" s="67">
        <v>3.0000000000000001E-3</v>
      </c>
      <c r="G3395" s="67">
        <v>2E-3</v>
      </c>
      <c r="H3395" s="63"/>
    </row>
    <row r="3396" spans="1:8" x14ac:dyDescent="0.25">
      <c r="A3396" s="63"/>
      <c r="B3396" s="63">
        <f>'Padrão EPP'!B3396</f>
        <v>26</v>
      </c>
      <c r="C3396" s="63" t="str">
        <f>'Padrão EPP'!C3396</f>
        <v>MA</v>
      </c>
      <c r="D3396" s="63" t="str">
        <f>'Padrão EPP'!D3396</f>
        <v>REDESPACHO</v>
      </c>
      <c r="E3396" s="63">
        <f>'Padrão EPP'!E3396/2</f>
        <v>0</v>
      </c>
      <c r="F3396" s="67">
        <v>3.0000000000000001E-3</v>
      </c>
      <c r="G3396" s="67">
        <v>2E-3</v>
      </c>
      <c r="H3396" s="63"/>
    </row>
    <row r="3397" spans="1:8" x14ac:dyDescent="0.25">
      <c r="A3397" s="63"/>
      <c r="B3397" s="63">
        <f>'Padrão EPP'!B3397</f>
        <v>27</v>
      </c>
      <c r="C3397" s="63" t="str">
        <f>'Padrão EPP'!C3397</f>
        <v>MA</v>
      </c>
      <c r="D3397" s="63" t="str">
        <f>'Padrão EPP'!D3397</f>
        <v>REDESPACHO</v>
      </c>
      <c r="E3397" s="63">
        <f>'Padrão EPP'!E3397/2</f>
        <v>0</v>
      </c>
      <c r="F3397" s="67">
        <v>3.0000000000000001E-3</v>
      </c>
      <c r="G3397" s="67">
        <v>2E-3</v>
      </c>
      <c r="H3397" s="63"/>
    </row>
    <row r="3398" spans="1:8" x14ac:dyDescent="0.25">
      <c r="A3398" s="63"/>
      <c r="B3398" s="63">
        <f>'Padrão EPP'!B3398</f>
        <v>28</v>
      </c>
      <c r="C3398" s="63" t="str">
        <f>'Padrão EPP'!C3398</f>
        <v>MA</v>
      </c>
      <c r="D3398" s="63" t="str">
        <f>'Padrão EPP'!D3398</f>
        <v>REDESPACHO</v>
      </c>
      <c r="E3398" s="63">
        <f>'Padrão EPP'!E3398/2</f>
        <v>0</v>
      </c>
      <c r="F3398" s="67">
        <v>3.0000000000000001E-3</v>
      </c>
      <c r="G3398" s="67">
        <v>2E-3</v>
      </c>
      <c r="H3398" s="63"/>
    </row>
    <row r="3399" spans="1:8" x14ac:dyDescent="0.25">
      <c r="A3399" s="63"/>
      <c r="B3399" s="63">
        <f>'Padrão EPP'!B3399</f>
        <v>29</v>
      </c>
      <c r="C3399" s="63" t="str">
        <f>'Padrão EPP'!C3399</f>
        <v>MA</v>
      </c>
      <c r="D3399" s="63" t="str">
        <f>'Padrão EPP'!D3399</f>
        <v>REDESPACHO</v>
      </c>
      <c r="E3399" s="63">
        <f>'Padrão EPP'!E3399/2</f>
        <v>0</v>
      </c>
      <c r="F3399" s="67">
        <v>3.0000000000000001E-3</v>
      </c>
      <c r="G3399" s="67">
        <v>2E-3</v>
      </c>
      <c r="H3399" s="63"/>
    </row>
    <row r="3400" spans="1:8" x14ac:dyDescent="0.25">
      <c r="A3400" s="63"/>
      <c r="B3400" s="63">
        <f>'Padrão EPP'!B3400</f>
        <v>30</v>
      </c>
      <c r="C3400" s="63" t="str">
        <f>'Padrão EPP'!C3400</f>
        <v>MA</v>
      </c>
      <c r="D3400" s="63" t="str">
        <f>'Padrão EPP'!D3400</f>
        <v>REDESPACHO</v>
      </c>
      <c r="E3400" s="63">
        <f>'Padrão EPP'!E3400/2</f>
        <v>0</v>
      </c>
      <c r="F3400" s="67">
        <v>3.0000000000000001E-3</v>
      </c>
      <c r="G3400" s="67">
        <v>2E-3</v>
      </c>
      <c r="H3400" s="63"/>
    </row>
    <row r="3401" spans="1:8" x14ac:dyDescent="0.25">
      <c r="A3401" s="63"/>
      <c r="B3401" s="63">
        <f>'Padrão EPP'!B3401</f>
        <v>0</v>
      </c>
      <c r="C3401" s="63" t="str">
        <f>'Padrão EPP'!C3401</f>
        <v>MA</v>
      </c>
      <c r="D3401" s="63" t="str">
        <f>'Padrão EPP'!D3401</f>
        <v>REDESPACHO</v>
      </c>
      <c r="E3401" s="63">
        <f>'Padrão EPP'!E3401/2</f>
        <v>1.5214394455252955</v>
      </c>
      <c r="F3401" s="67">
        <v>3.0000000000000001E-3</v>
      </c>
      <c r="G3401" s="67">
        <v>2E-3</v>
      </c>
      <c r="H3401" s="63"/>
    </row>
    <row r="3402" spans="1:8" x14ac:dyDescent="0.25">
      <c r="A3402" s="63"/>
      <c r="B3402" s="63">
        <f>'Padrão EPP'!B3402</f>
        <v>0.25</v>
      </c>
      <c r="C3402" s="63" t="str">
        <f>'Padrão EPP'!C3402</f>
        <v>RN</v>
      </c>
      <c r="D3402" s="63" t="str">
        <f>'Padrão EPP'!D3402</f>
        <v>CAPITAL</v>
      </c>
      <c r="E3402" s="63">
        <f>'Padrão EPP'!E3402/2</f>
        <v>6.6643881300607966</v>
      </c>
      <c r="F3402" s="67">
        <v>3.0000000000000001E-3</v>
      </c>
      <c r="G3402" s="67">
        <v>2E-3</v>
      </c>
      <c r="H3402" s="63"/>
    </row>
    <row r="3403" spans="1:8" x14ac:dyDescent="0.25">
      <c r="A3403" s="63"/>
      <c r="B3403" s="63">
        <f>'Padrão EPP'!B3403</f>
        <v>0.5</v>
      </c>
      <c r="C3403" s="63" t="str">
        <f>'Padrão EPP'!C3403</f>
        <v>RN</v>
      </c>
      <c r="D3403" s="63" t="str">
        <f>'Padrão EPP'!D3403</f>
        <v>CAPITAL</v>
      </c>
      <c r="E3403" s="63">
        <f>'Padrão EPP'!E3403/2</f>
        <v>7.2226741500034679</v>
      </c>
      <c r="F3403" s="67">
        <v>3.0000000000000001E-3</v>
      </c>
      <c r="G3403" s="67">
        <v>2E-3</v>
      </c>
      <c r="H3403" s="63"/>
    </row>
    <row r="3404" spans="1:8" x14ac:dyDescent="0.25">
      <c r="A3404" s="63"/>
      <c r="B3404" s="63">
        <f>'Padrão EPP'!B3404</f>
        <v>0.75</v>
      </c>
      <c r="C3404" s="63" t="str">
        <f>'Padrão EPP'!C3404</f>
        <v>RN</v>
      </c>
      <c r="D3404" s="63" t="str">
        <f>'Padrão EPP'!D3404</f>
        <v>CAPITAL</v>
      </c>
      <c r="E3404" s="63">
        <f>'Padrão EPP'!E3404/2</f>
        <v>7.7462326255648408</v>
      </c>
      <c r="F3404" s="67">
        <v>3.0000000000000001E-3</v>
      </c>
      <c r="G3404" s="67">
        <v>2E-3</v>
      </c>
      <c r="H3404" s="63"/>
    </row>
    <row r="3405" spans="1:8" x14ac:dyDescent="0.25">
      <c r="A3405" s="63"/>
      <c r="B3405" s="63">
        <f>'Padrão EPP'!B3405</f>
        <v>1</v>
      </c>
      <c r="C3405" s="63" t="str">
        <f>'Padrão EPP'!C3405</f>
        <v>RN</v>
      </c>
      <c r="D3405" s="63" t="str">
        <f>'Padrão EPP'!D3405</f>
        <v>CAPITAL</v>
      </c>
      <c r="E3405" s="63">
        <f>'Padrão EPP'!E3405/2</f>
        <v>8.4033411316639555</v>
      </c>
      <c r="F3405" s="67">
        <v>3.0000000000000001E-3</v>
      </c>
      <c r="G3405" s="67">
        <v>2E-3</v>
      </c>
      <c r="H3405" s="63"/>
    </row>
    <row r="3406" spans="1:8" x14ac:dyDescent="0.25">
      <c r="A3406" s="63"/>
      <c r="B3406" s="63">
        <f>'Padrão EPP'!B3406</f>
        <v>2</v>
      </c>
      <c r="C3406" s="63" t="str">
        <f>'Padrão EPP'!C3406</f>
        <v>RN</v>
      </c>
      <c r="D3406" s="63" t="str">
        <f>'Padrão EPP'!D3406</f>
        <v>CAPITAL</v>
      </c>
      <c r="E3406" s="63">
        <f>'Padrão EPP'!E3406/2</f>
        <v>10.087994956303767</v>
      </c>
      <c r="F3406" s="67">
        <v>3.0000000000000001E-3</v>
      </c>
      <c r="G3406" s="67">
        <v>2E-3</v>
      </c>
      <c r="H3406" s="63"/>
    </row>
    <row r="3407" spans="1:8" x14ac:dyDescent="0.25">
      <c r="A3407" s="63"/>
      <c r="B3407" s="63">
        <f>'Padrão EPP'!B3407</f>
        <v>3</v>
      </c>
      <c r="C3407" s="63" t="str">
        <f>'Padrão EPP'!C3407</f>
        <v>RN</v>
      </c>
      <c r="D3407" s="63" t="str">
        <f>'Padrão EPP'!D3407</f>
        <v>CAPITAL</v>
      </c>
      <c r="E3407" s="63">
        <f>'Padrão EPP'!E3407/2</f>
        <v>12.938347109696345</v>
      </c>
      <c r="F3407" s="67">
        <v>3.0000000000000001E-3</v>
      </c>
      <c r="G3407" s="67">
        <v>2E-3</v>
      </c>
      <c r="H3407" s="63"/>
    </row>
    <row r="3408" spans="1:8" x14ac:dyDescent="0.25">
      <c r="A3408" s="63"/>
      <c r="B3408" s="63">
        <f>'Padrão EPP'!B3408</f>
        <v>4</v>
      </c>
      <c r="C3408" s="63" t="str">
        <f>'Padrão EPP'!C3408</f>
        <v>RN</v>
      </c>
      <c r="D3408" s="63" t="str">
        <f>'Padrão EPP'!D3408</f>
        <v>CAPITAL</v>
      </c>
      <c r="E3408" s="63">
        <f>'Padrão EPP'!E3408/2</f>
        <v>15.864964629605527</v>
      </c>
      <c r="F3408" s="67">
        <v>3.0000000000000001E-3</v>
      </c>
      <c r="G3408" s="67">
        <v>2E-3</v>
      </c>
      <c r="H3408" s="63"/>
    </row>
    <row r="3409" spans="1:8" x14ac:dyDescent="0.25">
      <c r="A3409" s="63"/>
      <c r="B3409" s="63">
        <f>'Padrão EPP'!B3409</f>
        <v>5</v>
      </c>
      <c r="C3409" s="63" t="str">
        <f>'Padrão EPP'!C3409</f>
        <v>RN</v>
      </c>
      <c r="D3409" s="63" t="str">
        <f>'Padrão EPP'!D3409</f>
        <v>CAPITAL</v>
      </c>
      <c r="E3409" s="63">
        <f>'Padrão EPP'!E3409/2</f>
        <v>19.242316791054872</v>
      </c>
      <c r="F3409" s="67">
        <v>3.0000000000000001E-3</v>
      </c>
      <c r="G3409" s="67">
        <v>2E-3</v>
      </c>
      <c r="H3409" s="63"/>
    </row>
    <row r="3410" spans="1:8" x14ac:dyDescent="0.25">
      <c r="A3410" s="63"/>
      <c r="B3410" s="63">
        <f>'Padrão EPP'!B3410</f>
        <v>6</v>
      </c>
      <c r="C3410" s="63" t="str">
        <f>'Padrão EPP'!C3410</f>
        <v>RN</v>
      </c>
      <c r="D3410" s="63" t="str">
        <f>'Padrão EPP'!D3410</f>
        <v>CAPITAL</v>
      </c>
      <c r="E3410" s="63">
        <f>'Padrão EPP'!E3410/2</f>
        <v>24.134044811784047</v>
      </c>
      <c r="F3410" s="67">
        <v>3.0000000000000001E-3</v>
      </c>
      <c r="G3410" s="67">
        <v>2E-3</v>
      </c>
      <c r="H3410" s="63"/>
    </row>
    <row r="3411" spans="1:8" x14ac:dyDescent="0.25">
      <c r="A3411" s="63"/>
      <c r="B3411" s="63">
        <f>'Padrão EPP'!B3411</f>
        <v>7</v>
      </c>
      <c r="C3411" s="63" t="str">
        <f>'Padrão EPP'!C3411</f>
        <v>RN</v>
      </c>
      <c r="D3411" s="63" t="str">
        <f>'Padrão EPP'!D3411</f>
        <v>CAPITAL</v>
      </c>
      <c r="E3411" s="63">
        <f>'Padrão EPP'!E3411/2</f>
        <v>27.192679037518324</v>
      </c>
      <c r="F3411" s="67">
        <v>3.0000000000000001E-3</v>
      </c>
      <c r="G3411" s="67">
        <v>2E-3</v>
      </c>
      <c r="H3411" s="63"/>
    </row>
    <row r="3412" spans="1:8" x14ac:dyDescent="0.25">
      <c r="A3412" s="63"/>
      <c r="B3412" s="63">
        <f>'Padrão EPP'!B3412</f>
        <v>8</v>
      </c>
      <c r="C3412" s="63" t="str">
        <f>'Padrão EPP'!C3412</f>
        <v>RN</v>
      </c>
      <c r="D3412" s="63" t="str">
        <f>'Padrão EPP'!D3412</f>
        <v>CAPITAL</v>
      </c>
      <c r="E3412" s="63">
        <f>'Padrão EPP'!E3412/2</f>
        <v>30.294917451767581</v>
      </c>
      <c r="F3412" s="67">
        <v>3.0000000000000001E-3</v>
      </c>
      <c r="G3412" s="67">
        <v>2E-3</v>
      </c>
      <c r="H3412" s="63"/>
    </row>
    <row r="3413" spans="1:8" x14ac:dyDescent="0.25">
      <c r="A3413" s="63"/>
      <c r="B3413" s="63">
        <f>'Padrão EPP'!B3413</f>
        <v>9</v>
      </c>
      <c r="C3413" s="63" t="str">
        <f>'Padrão EPP'!C3413</f>
        <v>RN</v>
      </c>
      <c r="D3413" s="63" t="str">
        <f>'Padrão EPP'!D3413</f>
        <v>CAPITAL</v>
      </c>
      <c r="E3413" s="63">
        <f>'Padrão EPP'!E3413/2</f>
        <v>33.445120473383263</v>
      </c>
      <c r="F3413" s="67">
        <v>3.0000000000000001E-3</v>
      </c>
      <c r="G3413" s="67">
        <v>2E-3</v>
      </c>
      <c r="H3413" s="63"/>
    </row>
    <row r="3414" spans="1:8" x14ac:dyDescent="0.25">
      <c r="A3414" s="63"/>
      <c r="B3414" s="63">
        <f>'Padrão EPP'!B3414</f>
        <v>10</v>
      </c>
      <c r="C3414" s="63" t="str">
        <f>'Padrão EPP'!C3414</f>
        <v>RN</v>
      </c>
      <c r="D3414" s="63" t="str">
        <f>'Padrão EPP'!D3414</f>
        <v>CAPITAL</v>
      </c>
      <c r="E3414" s="63">
        <f>'Padrão EPP'!E3414/2</f>
        <v>36.37448073851025</v>
      </c>
      <c r="F3414" s="67">
        <v>3.0000000000000001E-3</v>
      </c>
      <c r="G3414" s="67">
        <v>2E-3</v>
      </c>
      <c r="H3414" s="63"/>
    </row>
    <row r="3415" spans="1:8" x14ac:dyDescent="0.25">
      <c r="A3415" s="63"/>
      <c r="B3415" s="63">
        <f>'Padrão EPP'!B3415</f>
        <v>11</v>
      </c>
      <c r="C3415" s="63" t="str">
        <f>'Padrão EPP'!C3415</f>
        <v>RN</v>
      </c>
      <c r="D3415" s="63" t="str">
        <f>'Padrão EPP'!D3415</f>
        <v>CAPITAL</v>
      </c>
      <c r="E3415" s="63">
        <f>'Padrão EPP'!E3415/2</f>
        <v>0</v>
      </c>
      <c r="F3415" s="67">
        <v>3.0000000000000001E-3</v>
      </c>
      <c r="G3415" s="67">
        <v>2E-3</v>
      </c>
      <c r="H3415" s="63"/>
    </row>
    <row r="3416" spans="1:8" x14ac:dyDescent="0.25">
      <c r="A3416" s="63"/>
      <c r="B3416" s="63">
        <f>'Padrão EPP'!B3416</f>
        <v>12</v>
      </c>
      <c r="C3416" s="63" t="str">
        <f>'Padrão EPP'!C3416</f>
        <v>RN</v>
      </c>
      <c r="D3416" s="63" t="str">
        <f>'Padrão EPP'!D3416</f>
        <v>CAPITAL</v>
      </c>
      <c r="E3416" s="63">
        <f>'Padrão EPP'!E3416/2</f>
        <v>0</v>
      </c>
      <c r="F3416" s="67">
        <v>3.0000000000000001E-3</v>
      </c>
      <c r="G3416" s="67">
        <v>2E-3</v>
      </c>
      <c r="H3416" s="63"/>
    </row>
    <row r="3417" spans="1:8" x14ac:dyDescent="0.25">
      <c r="A3417" s="63"/>
      <c r="B3417" s="63">
        <f>'Padrão EPP'!B3417</f>
        <v>13</v>
      </c>
      <c r="C3417" s="63" t="str">
        <f>'Padrão EPP'!C3417</f>
        <v>RN</v>
      </c>
      <c r="D3417" s="63" t="str">
        <f>'Padrão EPP'!D3417</f>
        <v>CAPITAL</v>
      </c>
      <c r="E3417" s="63">
        <f>'Padrão EPP'!E3417/2</f>
        <v>0</v>
      </c>
      <c r="F3417" s="67">
        <v>3.0000000000000001E-3</v>
      </c>
      <c r="G3417" s="67">
        <v>2E-3</v>
      </c>
      <c r="H3417" s="63"/>
    </row>
    <row r="3418" spans="1:8" x14ac:dyDescent="0.25">
      <c r="A3418" s="63"/>
      <c r="B3418" s="63">
        <f>'Padrão EPP'!B3418</f>
        <v>14</v>
      </c>
      <c r="C3418" s="63" t="str">
        <f>'Padrão EPP'!C3418</f>
        <v>RN</v>
      </c>
      <c r="D3418" s="63" t="str">
        <f>'Padrão EPP'!D3418</f>
        <v>CAPITAL</v>
      </c>
      <c r="E3418" s="63">
        <f>'Padrão EPP'!E3418/2</f>
        <v>0</v>
      </c>
      <c r="F3418" s="67">
        <v>3.0000000000000001E-3</v>
      </c>
      <c r="G3418" s="67">
        <v>2E-3</v>
      </c>
      <c r="H3418" s="63"/>
    </row>
    <row r="3419" spans="1:8" x14ac:dyDescent="0.25">
      <c r="A3419" s="63"/>
      <c r="B3419" s="63">
        <f>'Padrão EPP'!B3419</f>
        <v>15</v>
      </c>
      <c r="C3419" s="63" t="str">
        <f>'Padrão EPP'!C3419</f>
        <v>RN</v>
      </c>
      <c r="D3419" s="63" t="str">
        <f>'Padrão EPP'!D3419</f>
        <v>CAPITAL</v>
      </c>
      <c r="E3419" s="63">
        <f>'Padrão EPP'!E3419/2</f>
        <v>0</v>
      </c>
      <c r="F3419" s="67">
        <v>3.0000000000000001E-3</v>
      </c>
      <c r="G3419" s="67">
        <v>2E-3</v>
      </c>
      <c r="H3419" s="63"/>
    </row>
    <row r="3420" spans="1:8" x14ac:dyDescent="0.25">
      <c r="A3420" s="63"/>
      <c r="B3420" s="63">
        <f>'Padrão EPP'!B3420</f>
        <v>16</v>
      </c>
      <c r="C3420" s="63" t="str">
        <f>'Padrão EPP'!C3420</f>
        <v>RN</v>
      </c>
      <c r="D3420" s="63" t="str">
        <f>'Padrão EPP'!D3420</f>
        <v>CAPITAL</v>
      </c>
      <c r="E3420" s="63">
        <f>'Padrão EPP'!E3420/2</f>
        <v>0</v>
      </c>
      <c r="F3420" s="67">
        <v>3.0000000000000001E-3</v>
      </c>
      <c r="G3420" s="67">
        <v>2E-3</v>
      </c>
      <c r="H3420" s="63"/>
    </row>
    <row r="3421" spans="1:8" x14ac:dyDescent="0.25">
      <c r="A3421" s="63"/>
      <c r="B3421" s="63">
        <f>'Padrão EPP'!B3421</f>
        <v>17</v>
      </c>
      <c r="C3421" s="63" t="str">
        <f>'Padrão EPP'!C3421</f>
        <v>RN</v>
      </c>
      <c r="D3421" s="63" t="str">
        <f>'Padrão EPP'!D3421</f>
        <v>CAPITAL</v>
      </c>
      <c r="E3421" s="63">
        <f>'Padrão EPP'!E3421/2</f>
        <v>0</v>
      </c>
      <c r="F3421" s="67">
        <v>3.0000000000000001E-3</v>
      </c>
      <c r="G3421" s="67">
        <v>2E-3</v>
      </c>
      <c r="H3421" s="63"/>
    </row>
    <row r="3422" spans="1:8" x14ac:dyDescent="0.25">
      <c r="A3422" s="63"/>
      <c r="B3422" s="63">
        <f>'Padrão EPP'!B3422</f>
        <v>18</v>
      </c>
      <c r="C3422" s="63" t="str">
        <f>'Padrão EPP'!C3422</f>
        <v>RN</v>
      </c>
      <c r="D3422" s="63" t="str">
        <f>'Padrão EPP'!D3422</f>
        <v>CAPITAL</v>
      </c>
      <c r="E3422" s="63">
        <f>'Padrão EPP'!E3422/2</f>
        <v>0</v>
      </c>
      <c r="F3422" s="67">
        <v>3.0000000000000001E-3</v>
      </c>
      <c r="G3422" s="67">
        <v>2E-3</v>
      </c>
      <c r="H3422" s="63"/>
    </row>
    <row r="3423" spans="1:8" x14ac:dyDescent="0.25">
      <c r="A3423" s="63"/>
      <c r="B3423" s="63">
        <f>'Padrão EPP'!B3423</f>
        <v>19</v>
      </c>
      <c r="C3423" s="63" t="str">
        <f>'Padrão EPP'!C3423</f>
        <v>RN</v>
      </c>
      <c r="D3423" s="63" t="str">
        <f>'Padrão EPP'!D3423</f>
        <v>CAPITAL</v>
      </c>
      <c r="E3423" s="63">
        <f>'Padrão EPP'!E3423/2</f>
        <v>0</v>
      </c>
      <c r="F3423" s="67">
        <v>3.0000000000000001E-3</v>
      </c>
      <c r="G3423" s="67">
        <v>2E-3</v>
      </c>
      <c r="H3423" s="63"/>
    </row>
    <row r="3424" spans="1:8" x14ac:dyDescent="0.25">
      <c r="A3424" s="63"/>
      <c r="B3424" s="63">
        <f>'Padrão EPP'!B3424</f>
        <v>20</v>
      </c>
      <c r="C3424" s="63" t="str">
        <f>'Padrão EPP'!C3424</f>
        <v>RN</v>
      </c>
      <c r="D3424" s="63" t="str">
        <f>'Padrão EPP'!D3424</f>
        <v>CAPITAL</v>
      </c>
      <c r="E3424" s="63">
        <f>'Padrão EPP'!E3424/2</f>
        <v>0</v>
      </c>
      <c r="F3424" s="67">
        <v>3.0000000000000001E-3</v>
      </c>
      <c r="G3424" s="67">
        <v>2E-3</v>
      </c>
      <c r="H3424" s="63"/>
    </row>
    <row r="3425" spans="1:8" x14ac:dyDescent="0.25">
      <c r="A3425" s="63"/>
      <c r="B3425" s="63">
        <f>'Padrão EPP'!B3425</f>
        <v>21</v>
      </c>
      <c r="C3425" s="63" t="str">
        <f>'Padrão EPP'!C3425</f>
        <v>RN</v>
      </c>
      <c r="D3425" s="63" t="str">
        <f>'Padrão EPP'!D3425</f>
        <v>CAPITAL</v>
      </c>
      <c r="E3425" s="63">
        <f>'Padrão EPP'!E3425/2</f>
        <v>0</v>
      </c>
      <c r="F3425" s="67">
        <v>3.0000000000000001E-3</v>
      </c>
      <c r="G3425" s="67">
        <v>2E-3</v>
      </c>
      <c r="H3425" s="63"/>
    </row>
    <row r="3426" spans="1:8" x14ac:dyDescent="0.25">
      <c r="A3426" s="63"/>
      <c r="B3426" s="63">
        <f>'Padrão EPP'!B3426</f>
        <v>22</v>
      </c>
      <c r="C3426" s="63" t="str">
        <f>'Padrão EPP'!C3426</f>
        <v>RN</v>
      </c>
      <c r="D3426" s="63" t="str">
        <f>'Padrão EPP'!D3426</f>
        <v>CAPITAL</v>
      </c>
      <c r="E3426" s="63">
        <f>'Padrão EPP'!E3426/2</f>
        <v>0</v>
      </c>
      <c r="F3426" s="67">
        <v>3.0000000000000001E-3</v>
      </c>
      <c r="G3426" s="67">
        <v>2E-3</v>
      </c>
      <c r="H3426" s="63"/>
    </row>
    <row r="3427" spans="1:8" x14ac:dyDescent="0.25">
      <c r="A3427" s="63"/>
      <c r="B3427" s="63">
        <f>'Padrão EPP'!B3427</f>
        <v>23</v>
      </c>
      <c r="C3427" s="63" t="str">
        <f>'Padrão EPP'!C3427</f>
        <v>RN</v>
      </c>
      <c r="D3427" s="63" t="str">
        <f>'Padrão EPP'!D3427</f>
        <v>CAPITAL</v>
      </c>
      <c r="E3427" s="63">
        <f>'Padrão EPP'!E3427/2</f>
        <v>0</v>
      </c>
      <c r="F3427" s="67">
        <v>3.0000000000000001E-3</v>
      </c>
      <c r="G3427" s="67">
        <v>2E-3</v>
      </c>
      <c r="H3427" s="63"/>
    </row>
    <row r="3428" spans="1:8" x14ac:dyDescent="0.25">
      <c r="A3428" s="63"/>
      <c r="B3428" s="63">
        <f>'Padrão EPP'!B3428</f>
        <v>24</v>
      </c>
      <c r="C3428" s="63" t="str">
        <f>'Padrão EPP'!C3428</f>
        <v>RN</v>
      </c>
      <c r="D3428" s="63" t="str">
        <f>'Padrão EPP'!D3428</f>
        <v>CAPITAL</v>
      </c>
      <c r="E3428" s="63">
        <f>'Padrão EPP'!E3428/2</f>
        <v>0</v>
      </c>
      <c r="F3428" s="67">
        <v>3.0000000000000001E-3</v>
      </c>
      <c r="G3428" s="67">
        <v>2E-3</v>
      </c>
      <c r="H3428" s="63"/>
    </row>
    <row r="3429" spans="1:8" x14ac:dyDescent="0.25">
      <c r="A3429" s="63"/>
      <c r="B3429" s="63">
        <f>'Padrão EPP'!B3429</f>
        <v>25</v>
      </c>
      <c r="C3429" s="63" t="str">
        <f>'Padrão EPP'!C3429</f>
        <v>RN</v>
      </c>
      <c r="D3429" s="63" t="str">
        <f>'Padrão EPP'!D3429</f>
        <v>CAPITAL</v>
      </c>
      <c r="E3429" s="63">
        <f>'Padrão EPP'!E3429/2</f>
        <v>0</v>
      </c>
      <c r="F3429" s="67">
        <v>3.0000000000000001E-3</v>
      </c>
      <c r="G3429" s="67">
        <v>2E-3</v>
      </c>
      <c r="H3429" s="63"/>
    </row>
    <row r="3430" spans="1:8" x14ac:dyDescent="0.25">
      <c r="A3430" s="63"/>
      <c r="B3430" s="63">
        <f>'Padrão EPP'!B3430</f>
        <v>26</v>
      </c>
      <c r="C3430" s="63" t="str">
        <f>'Padrão EPP'!C3430</f>
        <v>RN</v>
      </c>
      <c r="D3430" s="63" t="str">
        <f>'Padrão EPP'!D3430</f>
        <v>CAPITAL</v>
      </c>
      <c r="E3430" s="63">
        <f>'Padrão EPP'!E3430/2</f>
        <v>0</v>
      </c>
      <c r="F3430" s="67">
        <v>3.0000000000000001E-3</v>
      </c>
      <c r="G3430" s="67">
        <v>2E-3</v>
      </c>
      <c r="H3430" s="63"/>
    </row>
    <row r="3431" spans="1:8" x14ac:dyDescent="0.25">
      <c r="A3431" s="63"/>
      <c r="B3431" s="63">
        <f>'Padrão EPP'!B3431</f>
        <v>27</v>
      </c>
      <c r="C3431" s="63" t="str">
        <f>'Padrão EPP'!C3431</f>
        <v>RN</v>
      </c>
      <c r="D3431" s="63" t="str">
        <f>'Padrão EPP'!D3431</f>
        <v>CAPITAL</v>
      </c>
      <c r="E3431" s="63">
        <f>'Padrão EPP'!E3431/2</f>
        <v>0</v>
      </c>
      <c r="F3431" s="67">
        <v>3.0000000000000001E-3</v>
      </c>
      <c r="G3431" s="67">
        <v>2E-3</v>
      </c>
      <c r="H3431" s="63"/>
    </row>
    <row r="3432" spans="1:8" x14ac:dyDescent="0.25">
      <c r="A3432" s="63"/>
      <c r="B3432" s="63">
        <f>'Padrão EPP'!B3432</f>
        <v>28</v>
      </c>
      <c r="C3432" s="63" t="str">
        <f>'Padrão EPP'!C3432</f>
        <v>RN</v>
      </c>
      <c r="D3432" s="63" t="str">
        <f>'Padrão EPP'!D3432</f>
        <v>CAPITAL</v>
      </c>
      <c r="E3432" s="63">
        <f>'Padrão EPP'!E3432/2</f>
        <v>0</v>
      </c>
      <c r="F3432" s="67">
        <v>3.0000000000000001E-3</v>
      </c>
      <c r="G3432" s="67">
        <v>2E-3</v>
      </c>
      <c r="H3432" s="63"/>
    </row>
    <row r="3433" spans="1:8" x14ac:dyDescent="0.25">
      <c r="A3433" s="63"/>
      <c r="B3433" s="63">
        <f>'Padrão EPP'!B3433</f>
        <v>29</v>
      </c>
      <c r="C3433" s="63" t="str">
        <f>'Padrão EPP'!C3433</f>
        <v>RN</v>
      </c>
      <c r="D3433" s="63" t="str">
        <f>'Padrão EPP'!D3433</f>
        <v>CAPITAL</v>
      </c>
      <c r="E3433" s="63">
        <f>'Padrão EPP'!E3433/2</f>
        <v>0</v>
      </c>
      <c r="F3433" s="67">
        <v>3.0000000000000001E-3</v>
      </c>
      <c r="G3433" s="67">
        <v>2E-3</v>
      </c>
      <c r="H3433" s="63"/>
    </row>
    <row r="3434" spans="1:8" x14ac:dyDescent="0.25">
      <c r="A3434" s="63"/>
      <c r="B3434" s="63">
        <f>'Padrão EPP'!B3434</f>
        <v>30</v>
      </c>
      <c r="C3434" s="63" t="str">
        <f>'Padrão EPP'!C3434</f>
        <v>RN</v>
      </c>
      <c r="D3434" s="63" t="str">
        <f>'Padrão EPP'!D3434</f>
        <v>CAPITAL</v>
      </c>
      <c r="E3434" s="63">
        <f>'Padrão EPP'!E3434/2</f>
        <v>0</v>
      </c>
      <c r="F3434" s="67">
        <v>3.0000000000000001E-3</v>
      </c>
      <c r="G3434" s="67">
        <v>2E-3</v>
      </c>
      <c r="H3434" s="63"/>
    </row>
    <row r="3435" spans="1:8" x14ac:dyDescent="0.25">
      <c r="A3435" s="63"/>
      <c r="B3435" s="63">
        <f>'Padrão EPP'!B3435</f>
        <v>0</v>
      </c>
      <c r="C3435" s="63" t="str">
        <f>'Padrão EPP'!C3435</f>
        <v>RN</v>
      </c>
      <c r="D3435" s="63" t="str">
        <f>'Padrão EPP'!D3435</f>
        <v>CAPITAL</v>
      </c>
      <c r="E3435" s="63">
        <f>'Padrão EPP'!E3435/2</f>
        <v>1.5214394455252955</v>
      </c>
      <c r="F3435" s="67">
        <v>3.0000000000000001E-3</v>
      </c>
      <c r="G3435" s="67">
        <v>2E-3</v>
      </c>
      <c r="H3435" s="63"/>
    </row>
    <row r="3436" spans="1:8" x14ac:dyDescent="0.25">
      <c r="A3436" s="63"/>
      <c r="B3436" s="63">
        <f>'Padrão EPP'!B3436</f>
        <v>0.25</v>
      </c>
      <c r="C3436" s="63" t="str">
        <f>'Padrão EPP'!C3436</f>
        <v>RN</v>
      </c>
      <c r="D3436" s="63" t="str">
        <f>'Padrão EPP'!D3436</f>
        <v>INTERIOR</v>
      </c>
      <c r="E3436" s="63">
        <f>'Padrão EPP'!E3436/2</f>
        <v>9.1027952498630214</v>
      </c>
      <c r="F3436" s="67">
        <v>3.0000000000000001E-3</v>
      </c>
      <c r="G3436" s="67">
        <v>2E-3</v>
      </c>
      <c r="H3436" s="63"/>
    </row>
    <row r="3437" spans="1:8" x14ac:dyDescent="0.25">
      <c r="A3437" s="63"/>
      <c r="B3437" s="63">
        <f>'Padrão EPP'!B3437</f>
        <v>0.5</v>
      </c>
      <c r="C3437" s="63" t="str">
        <f>'Padrão EPP'!C3437</f>
        <v>RN</v>
      </c>
      <c r="D3437" s="63" t="str">
        <f>'Padrão EPP'!D3437</f>
        <v>INTERIOR</v>
      </c>
      <c r="E3437" s="63">
        <f>'Padrão EPP'!E3437/2</f>
        <v>9.828065360235346</v>
      </c>
      <c r="F3437" s="67">
        <v>3.0000000000000001E-3</v>
      </c>
      <c r="G3437" s="67">
        <v>2E-3</v>
      </c>
      <c r="H3437" s="63"/>
    </row>
    <row r="3438" spans="1:8" x14ac:dyDescent="0.25">
      <c r="A3438" s="63"/>
      <c r="B3438" s="63">
        <f>'Padrão EPP'!B3438</f>
        <v>0.75</v>
      </c>
      <c r="C3438" s="63" t="str">
        <f>'Padrão EPP'!C3438</f>
        <v>RN</v>
      </c>
      <c r="D3438" s="63" t="str">
        <f>'Padrão EPP'!D3438</f>
        <v>INTERIOR</v>
      </c>
      <c r="E3438" s="63">
        <f>'Padrão EPP'!E3438/2</f>
        <v>10.892355964934938</v>
      </c>
      <c r="F3438" s="67">
        <v>3.0000000000000001E-3</v>
      </c>
      <c r="G3438" s="67">
        <v>2E-3</v>
      </c>
      <c r="H3438" s="63"/>
    </row>
    <row r="3439" spans="1:8" x14ac:dyDescent="0.25">
      <c r="A3439" s="63"/>
      <c r="B3439" s="63">
        <f>'Padrão EPP'!B3439</f>
        <v>1</v>
      </c>
      <c r="C3439" s="63" t="str">
        <f>'Padrão EPP'!C3439</f>
        <v>RN</v>
      </c>
      <c r="D3439" s="63" t="str">
        <f>'Padrão EPP'!D3439</f>
        <v>INTERIOR</v>
      </c>
      <c r="E3439" s="63">
        <f>'Padrão EPP'!E3439/2</f>
        <v>11.993230778887717</v>
      </c>
      <c r="F3439" s="67">
        <v>3.0000000000000001E-3</v>
      </c>
      <c r="G3439" s="67">
        <v>2E-3</v>
      </c>
      <c r="H3439" s="63"/>
    </row>
    <row r="3440" spans="1:8" x14ac:dyDescent="0.25">
      <c r="A3440" s="63"/>
      <c r="B3440" s="63">
        <f>'Padrão EPP'!B3440</f>
        <v>2</v>
      </c>
      <c r="C3440" s="63" t="str">
        <f>'Padrão EPP'!C3440</f>
        <v>RN</v>
      </c>
      <c r="D3440" s="63" t="str">
        <f>'Padrão EPP'!D3440</f>
        <v>INTERIOR</v>
      </c>
      <c r="E3440" s="63">
        <f>'Padrão EPP'!E3440/2</f>
        <v>14.807473629638283</v>
      </c>
      <c r="F3440" s="67">
        <v>3.0000000000000001E-3</v>
      </c>
      <c r="G3440" s="67">
        <v>2E-3</v>
      </c>
      <c r="H3440" s="63"/>
    </row>
    <row r="3441" spans="1:8" x14ac:dyDescent="0.25">
      <c r="A3441" s="63"/>
      <c r="B3441" s="63">
        <f>'Padrão EPP'!B3441</f>
        <v>3</v>
      </c>
      <c r="C3441" s="63" t="str">
        <f>'Padrão EPP'!C3441</f>
        <v>RN</v>
      </c>
      <c r="D3441" s="63" t="str">
        <f>'Padrão EPP'!D3441</f>
        <v>INTERIOR</v>
      </c>
      <c r="E3441" s="63">
        <f>'Padrão EPP'!E3441/2</f>
        <v>17.954858243261484</v>
      </c>
      <c r="F3441" s="67">
        <v>3.0000000000000001E-3</v>
      </c>
      <c r="G3441" s="67">
        <v>2E-3</v>
      </c>
      <c r="H3441" s="63"/>
    </row>
    <row r="3442" spans="1:8" x14ac:dyDescent="0.25">
      <c r="A3442" s="63"/>
      <c r="B3442" s="63">
        <f>'Padrão EPP'!B3442</f>
        <v>4</v>
      </c>
      <c r="C3442" s="63" t="str">
        <f>'Padrão EPP'!C3442</f>
        <v>RN</v>
      </c>
      <c r="D3442" s="63" t="str">
        <f>'Padrão EPP'!D3442</f>
        <v>INTERIOR</v>
      </c>
      <c r="E3442" s="63">
        <f>'Padrão EPP'!E3442/2</f>
        <v>21.192177802920586</v>
      </c>
      <c r="F3442" s="67">
        <v>3.0000000000000001E-3</v>
      </c>
      <c r="G3442" s="67">
        <v>2E-3</v>
      </c>
      <c r="H3442" s="63"/>
    </row>
    <row r="3443" spans="1:8" x14ac:dyDescent="0.25">
      <c r="A3443" s="63"/>
      <c r="B3443" s="63">
        <f>'Padrão EPP'!B3443</f>
        <v>5</v>
      </c>
      <c r="C3443" s="63" t="str">
        <f>'Padrão EPP'!C3443</f>
        <v>RN</v>
      </c>
      <c r="D3443" s="63" t="str">
        <f>'Padrão EPP'!D3443</f>
        <v>INTERIOR</v>
      </c>
      <c r="E3443" s="63">
        <f>'Padrão EPP'!E3443/2</f>
        <v>24.547615661971641</v>
      </c>
      <c r="F3443" s="67">
        <v>3.0000000000000001E-3</v>
      </c>
      <c r="G3443" s="67">
        <v>2E-3</v>
      </c>
      <c r="H3443" s="63"/>
    </row>
    <row r="3444" spans="1:8" x14ac:dyDescent="0.25">
      <c r="A3444" s="63"/>
      <c r="B3444" s="63">
        <f>'Padrão EPP'!B3444</f>
        <v>6</v>
      </c>
      <c r="C3444" s="63" t="str">
        <f>'Padrão EPP'!C3444</f>
        <v>RN</v>
      </c>
      <c r="D3444" s="63" t="str">
        <f>'Padrão EPP'!D3444</f>
        <v>INTERIOR</v>
      </c>
      <c r="E3444" s="63">
        <f>'Padrão EPP'!E3444/2</f>
        <v>27.973479324002874</v>
      </c>
      <c r="F3444" s="67">
        <v>3.0000000000000001E-3</v>
      </c>
      <c r="G3444" s="67">
        <v>2E-3</v>
      </c>
      <c r="H3444" s="63"/>
    </row>
    <row r="3445" spans="1:8" x14ac:dyDescent="0.25">
      <c r="A3445" s="63"/>
      <c r="B3445" s="63">
        <f>'Padrão EPP'!B3445</f>
        <v>7</v>
      </c>
      <c r="C3445" s="63" t="str">
        <f>'Padrão EPP'!C3445</f>
        <v>RN</v>
      </c>
      <c r="D3445" s="63" t="str">
        <f>'Padrão EPP'!D3445</f>
        <v>INTERIOR</v>
      </c>
      <c r="E3445" s="63">
        <f>'Padrão EPP'!E3445/2</f>
        <v>31.478827612182499</v>
      </c>
      <c r="F3445" s="67">
        <v>3.0000000000000001E-3</v>
      </c>
      <c r="G3445" s="67">
        <v>2E-3</v>
      </c>
      <c r="H3445" s="63"/>
    </row>
    <row r="3446" spans="1:8" x14ac:dyDescent="0.25">
      <c r="A3446" s="63"/>
      <c r="B3446" s="63">
        <f>'Padrão EPP'!B3446</f>
        <v>8</v>
      </c>
      <c r="C3446" s="63" t="str">
        <f>'Padrão EPP'!C3446</f>
        <v>RN</v>
      </c>
      <c r="D3446" s="63" t="str">
        <f>'Padrão EPP'!D3446</f>
        <v>INTERIOR</v>
      </c>
      <c r="E3446" s="63">
        <f>'Padrão EPP'!E3446/2</f>
        <v>35.073915345435097</v>
      </c>
      <c r="F3446" s="67">
        <v>3.0000000000000001E-3</v>
      </c>
      <c r="G3446" s="67">
        <v>2E-3</v>
      </c>
      <c r="H3446" s="63"/>
    </row>
    <row r="3447" spans="1:8" x14ac:dyDescent="0.25">
      <c r="A3447" s="63"/>
      <c r="B3447" s="63">
        <f>'Padrão EPP'!B3447</f>
        <v>9</v>
      </c>
      <c r="C3447" s="63" t="str">
        <f>'Padrão EPP'!C3447</f>
        <v>RN</v>
      </c>
      <c r="D3447" s="63" t="str">
        <f>'Padrão EPP'!D3447</f>
        <v>INTERIOR</v>
      </c>
      <c r="E3447" s="63">
        <f>'Padrão EPP'!E3447/2</f>
        <v>38.534547408631276</v>
      </c>
      <c r="F3447" s="67">
        <v>3.0000000000000001E-3</v>
      </c>
      <c r="G3447" s="67">
        <v>2E-3</v>
      </c>
      <c r="H3447" s="63"/>
    </row>
    <row r="3448" spans="1:8" x14ac:dyDescent="0.25">
      <c r="A3448" s="63"/>
      <c r="B3448" s="63">
        <f>'Padrão EPP'!B3448</f>
        <v>10</v>
      </c>
      <c r="C3448" s="63" t="str">
        <f>'Padrão EPP'!C3448</f>
        <v>RN</v>
      </c>
      <c r="D3448" s="63" t="str">
        <f>'Padrão EPP'!D3448</f>
        <v>INTERIOR</v>
      </c>
      <c r="E3448" s="63">
        <f>'Padrão EPP'!E3448/2</f>
        <v>42.255215160733286</v>
      </c>
      <c r="F3448" s="67">
        <v>3.0000000000000001E-3</v>
      </c>
      <c r="G3448" s="67">
        <v>2E-3</v>
      </c>
      <c r="H3448" s="63"/>
    </row>
    <row r="3449" spans="1:8" x14ac:dyDescent="0.25">
      <c r="A3449" s="63"/>
      <c r="B3449" s="63">
        <f>'Padrão EPP'!B3449</f>
        <v>11</v>
      </c>
      <c r="C3449" s="63" t="str">
        <f>'Padrão EPP'!C3449</f>
        <v>RN</v>
      </c>
      <c r="D3449" s="63" t="str">
        <f>'Padrão EPP'!D3449</f>
        <v>INTERIOR</v>
      </c>
      <c r="E3449" s="63">
        <f>'Padrão EPP'!E3449/2</f>
        <v>0</v>
      </c>
      <c r="F3449" s="67">
        <v>3.0000000000000001E-3</v>
      </c>
      <c r="G3449" s="67">
        <v>2E-3</v>
      </c>
      <c r="H3449" s="63"/>
    </row>
    <row r="3450" spans="1:8" x14ac:dyDescent="0.25">
      <c r="A3450" s="63"/>
      <c r="B3450" s="63">
        <f>'Padrão EPP'!B3450</f>
        <v>12</v>
      </c>
      <c r="C3450" s="63" t="str">
        <f>'Padrão EPP'!C3450</f>
        <v>RN</v>
      </c>
      <c r="D3450" s="63" t="str">
        <f>'Padrão EPP'!D3450</f>
        <v>INTERIOR</v>
      </c>
      <c r="E3450" s="63">
        <f>'Padrão EPP'!E3450/2</f>
        <v>0</v>
      </c>
      <c r="F3450" s="67">
        <v>3.0000000000000001E-3</v>
      </c>
      <c r="G3450" s="67">
        <v>2E-3</v>
      </c>
      <c r="H3450" s="63"/>
    </row>
    <row r="3451" spans="1:8" x14ac:dyDescent="0.25">
      <c r="A3451" s="63"/>
      <c r="B3451" s="63">
        <f>'Padrão EPP'!B3451</f>
        <v>13</v>
      </c>
      <c r="C3451" s="63" t="str">
        <f>'Padrão EPP'!C3451</f>
        <v>RN</v>
      </c>
      <c r="D3451" s="63" t="str">
        <f>'Padrão EPP'!D3451</f>
        <v>INTERIOR</v>
      </c>
      <c r="E3451" s="63">
        <f>'Padrão EPP'!E3451/2</f>
        <v>0</v>
      </c>
      <c r="F3451" s="67">
        <v>3.0000000000000001E-3</v>
      </c>
      <c r="G3451" s="67">
        <v>2E-3</v>
      </c>
      <c r="H3451" s="63"/>
    </row>
    <row r="3452" spans="1:8" x14ac:dyDescent="0.25">
      <c r="A3452" s="63"/>
      <c r="B3452" s="63">
        <f>'Padrão EPP'!B3452</f>
        <v>14</v>
      </c>
      <c r="C3452" s="63" t="str">
        <f>'Padrão EPP'!C3452</f>
        <v>RN</v>
      </c>
      <c r="D3452" s="63" t="str">
        <f>'Padrão EPP'!D3452</f>
        <v>INTERIOR</v>
      </c>
      <c r="E3452" s="63">
        <f>'Padrão EPP'!E3452/2</f>
        <v>0</v>
      </c>
      <c r="F3452" s="67">
        <v>3.0000000000000001E-3</v>
      </c>
      <c r="G3452" s="67">
        <v>2E-3</v>
      </c>
      <c r="H3452" s="63"/>
    </row>
    <row r="3453" spans="1:8" x14ac:dyDescent="0.25">
      <c r="A3453" s="63"/>
      <c r="B3453" s="63">
        <f>'Padrão EPP'!B3453</f>
        <v>15</v>
      </c>
      <c r="C3453" s="63" t="str">
        <f>'Padrão EPP'!C3453</f>
        <v>RN</v>
      </c>
      <c r="D3453" s="63" t="str">
        <f>'Padrão EPP'!D3453</f>
        <v>INTERIOR</v>
      </c>
      <c r="E3453" s="63">
        <f>'Padrão EPP'!E3453/2</f>
        <v>0</v>
      </c>
      <c r="F3453" s="67">
        <v>3.0000000000000001E-3</v>
      </c>
      <c r="G3453" s="67">
        <v>2E-3</v>
      </c>
      <c r="H3453" s="63"/>
    </row>
    <row r="3454" spans="1:8" x14ac:dyDescent="0.25">
      <c r="A3454" s="63"/>
      <c r="B3454" s="63">
        <f>'Padrão EPP'!B3454</f>
        <v>16</v>
      </c>
      <c r="C3454" s="63" t="str">
        <f>'Padrão EPP'!C3454</f>
        <v>RN</v>
      </c>
      <c r="D3454" s="63" t="str">
        <f>'Padrão EPP'!D3454</f>
        <v>INTERIOR</v>
      </c>
      <c r="E3454" s="63">
        <f>'Padrão EPP'!E3454/2</f>
        <v>0</v>
      </c>
      <c r="F3454" s="67">
        <v>3.0000000000000001E-3</v>
      </c>
      <c r="G3454" s="67">
        <v>2E-3</v>
      </c>
      <c r="H3454" s="63"/>
    </row>
    <row r="3455" spans="1:8" x14ac:dyDescent="0.25">
      <c r="A3455" s="63"/>
      <c r="B3455" s="63">
        <f>'Padrão EPP'!B3455</f>
        <v>17</v>
      </c>
      <c r="C3455" s="63" t="str">
        <f>'Padrão EPP'!C3455</f>
        <v>RN</v>
      </c>
      <c r="D3455" s="63" t="str">
        <f>'Padrão EPP'!D3455</f>
        <v>INTERIOR</v>
      </c>
      <c r="E3455" s="63">
        <f>'Padrão EPP'!E3455/2</f>
        <v>0</v>
      </c>
      <c r="F3455" s="67">
        <v>3.0000000000000001E-3</v>
      </c>
      <c r="G3455" s="67">
        <v>2E-3</v>
      </c>
      <c r="H3455" s="63"/>
    </row>
    <row r="3456" spans="1:8" x14ac:dyDescent="0.25">
      <c r="A3456" s="63"/>
      <c r="B3456" s="63">
        <f>'Padrão EPP'!B3456</f>
        <v>18</v>
      </c>
      <c r="C3456" s="63" t="str">
        <f>'Padrão EPP'!C3456</f>
        <v>RN</v>
      </c>
      <c r="D3456" s="63" t="str">
        <f>'Padrão EPP'!D3456</f>
        <v>INTERIOR</v>
      </c>
      <c r="E3456" s="63">
        <f>'Padrão EPP'!E3456/2</f>
        <v>0</v>
      </c>
      <c r="F3456" s="67">
        <v>3.0000000000000001E-3</v>
      </c>
      <c r="G3456" s="67">
        <v>2E-3</v>
      </c>
      <c r="H3456" s="63"/>
    </row>
    <row r="3457" spans="1:8" x14ac:dyDescent="0.25">
      <c r="A3457" s="63"/>
      <c r="B3457" s="63">
        <f>'Padrão EPP'!B3457</f>
        <v>19</v>
      </c>
      <c r="C3457" s="63" t="str">
        <f>'Padrão EPP'!C3457</f>
        <v>RN</v>
      </c>
      <c r="D3457" s="63" t="str">
        <f>'Padrão EPP'!D3457</f>
        <v>INTERIOR</v>
      </c>
      <c r="E3457" s="63">
        <f>'Padrão EPP'!E3457/2</f>
        <v>0</v>
      </c>
      <c r="F3457" s="67">
        <v>3.0000000000000001E-3</v>
      </c>
      <c r="G3457" s="67">
        <v>2E-3</v>
      </c>
      <c r="H3457" s="63"/>
    </row>
    <row r="3458" spans="1:8" x14ac:dyDescent="0.25">
      <c r="A3458" s="63"/>
      <c r="B3458" s="63">
        <f>'Padrão EPP'!B3458</f>
        <v>20</v>
      </c>
      <c r="C3458" s="63" t="str">
        <f>'Padrão EPP'!C3458</f>
        <v>RN</v>
      </c>
      <c r="D3458" s="63" t="str">
        <f>'Padrão EPP'!D3458</f>
        <v>INTERIOR</v>
      </c>
      <c r="E3458" s="63">
        <f>'Padrão EPP'!E3458/2</f>
        <v>0</v>
      </c>
      <c r="F3458" s="67">
        <v>3.0000000000000001E-3</v>
      </c>
      <c r="G3458" s="67">
        <v>2E-3</v>
      </c>
      <c r="H3458" s="63"/>
    </row>
    <row r="3459" spans="1:8" x14ac:dyDescent="0.25">
      <c r="A3459" s="63"/>
      <c r="B3459" s="63">
        <f>'Padrão EPP'!B3459</f>
        <v>21</v>
      </c>
      <c r="C3459" s="63" t="str">
        <f>'Padrão EPP'!C3459</f>
        <v>RN</v>
      </c>
      <c r="D3459" s="63" t="str">
        <f>'Padrão EPP'!D3459</f>
        <v>INTERIOR</v>
      </c>
      <c r="E3459" s="63">
        <f>'Padrão EPP'!E3459/2</f>
        <v>0</v>
      </c>
      <c r="F3459" s="67">
        <v>3.0000000000000001E-3</v>
      </c>
      <c r="G3459" s="67">
        <v>2E-3</v>
      </c>
      <c r="H3459" s="63"/>
    </row>
    <row r="3460" spans="1:8" x14ac:dyDescent="0.25">
      <c r="A3460" s="63"/>
      <c r="B3460" s="63">
        <f>'Padrão EPP'!B3460</f>
        <v>22</v>
      </c>
      <c r="C3460" s="63" t="str">
        <f>'Padrão EPP'!C3460</f>
        <v>RN</v>
      </c>
      <c r="D3460" s="63" t="str">
        <f>'Padrão EPP'!D3460</f>
        <v>INTERIOR</v>
      </c>
      <c r="E3460" s="63">
        <f>'Padrão EPP'!E3460/2</f>
        <v>0</v>
      </c>
      <c r="F3460" s="67">
        <v>3.0000000000000001E-3</v>
      </c>
      <c r="G3460" s="67">
        <v>2E-3</v>
      </c>
      <c r="H3460" s="63"/>
    </row>
    <row r="3461" spans="1:8" x14ac:dyDescent="0.25">
      <c r="A3461" s="63"/>
      <c r="B3461" s="63">
        <f>'Padrão EPP'!B3461</f>
        <v>23</v>
      </c>
      <c r="C3461" s="63" t="str">
        <f>'Padrão EPP'!C3461</f>
        <v>RN</v>
      </c>
      <c r="D3461" s="63" t="str">
        <f>'Padrão EPP'!D3461</f>
        <v>INTERIOR</v>
      </c>
      <c r="E3461" s="63">
        <f>'Padrão EPP'!E3461/2</f>
        <v>0</v>
      </c>
      <c r="F3461" s="67">
        <v>3.0000000000000001E-3</v>
      </c>
      <c r="G3461" s="67">
        <v>2E-3</v>
      </c>
      <c r="H3461" s="63"/>
    </row>
    <row r="3462" spans="1:8" x14ac:dyDescent="0.25">
      <c r="A3462" s="63"/>
      <c r="B3462" s="63">
        <f>'Padrão EPP'!B3462</f>
        <v>24</v>
      </c>
      <c r="C3462" s="63" t="str">
        <f>'Padrão EPP'!C3462</f>
        <v>RN</v>
      </c>
      <c r="D3462" s="63" t="str">
        <f>'Padrão EPP'!D3462</f>
        <v>INTERIOR</v>
      </c>
      <c r="E3462" s="63">
        <f>'Padrão EPP'!E3462/2</f>
        <v>0</v>
      </c>
      <c r="F3462" s="67">
        <v>3.0000000000000001E-3</v>
      </c>
      <c r="G3462" s="67">
        <v>2E-3</v>
      </c>
      <c r="H3462" s="63"/>
    </row>
    <row r="3463" spans="1:8" x14ac:dyDescent="0.25">
      <c r="A3463" s="63"/>
      <c r="B3463" s="63">
        <f>'Padrão EPP'!B3463</f>
        <v>25</v>
      </c>
      <c r="C3463" s="63" t="str">
        <f>'Padrão EPP'!C3463</f>
        <v>RN</v>
      </c>
      <c r="D3463" s="63" t="str">
        <f>'Padrão EPP'!D3463</f>
        <v>INTERIOR</v>
      </c>
      <c r="E3463" s="63">
        <f>'Padrão EPP'!E3463/2</f>
        <v>0</v>
      </c>
      <c r="F3463" s="67">
        <v>3.0000000000000001E-3</v>
      </c>
      <c r="G3463" s="67">
        <v>2E-3</v>
      </c>
      <c r="H3463" s="63"/>
    </row>
    <row r="3464" spans="1:8" x14ac:dyDescent="0.25">
      <c r="A3464" s="63"/>
      <c r="B3464" s="63">
        <f>'Padrão EPP'!B3464</f>
        <v>26</v>
      </c>
      <c r="C3464" s="63" t="str">
        <f>'Padrão EPP'!C3464</f>
        <v>RN</v>
      </c>
      <c r="D3464" s="63" t="str">
        <f>'Padrão EPP'!D3464</f>
        <v>INTERIOR</v>
      </c>
      <c r="E3464" s="63">
        <f>'Padrão EPP'!E3464/2</f>
        <v>0</v>
      </c>
      <c r="F3464" s="67">
        <v>3.0000000000000001E-3</v>
      </c>
      <c r="G3464" s="67">
        <v>2E-3</v>
      </c>
      <c r="H3464" s="63"/>
    </row>
    <row r="3465" spans="1:8" x14ac:dyDescent="0.25">
      <c r="A3465" s="63"/>
      <c r="B3465" s="63">
        <f>'Padrão EPP'!B3465</f>
        <v>27</v>
      </c>
      <c r="C3465" s="63" t="str">
        <f>'Padrão EPP'!C3465</f>
        <v>RN</v>
      </c>
      <c r="D3465" s="63" t="str">
        <f>'Padrão EPP'!D3465</f>
        <v>INTERIOR</v>
      </c>
      <c r="E3465" s="63">
        <f>'Padrão EPP'!E3465/2</f>
        <v>0</v>
      </c>
      <c r="F3465" s="67">
        <v>3.0000000000000001E-3</v>
      </c>
      <c r="G3465" s="67">
        <v>2E-3</v>
      </c>
      <c r="H3465" s="63"/>
    </row>
    <row r="3466" spans="1:8" x14ac:dyDescent="0.25">
      <c r="A3466" s="63"/>
      <c r="B3466" s="63">
        <f>'Padrão EPP'!B3466</f>
        <v>28</v>
      </c>
      <c r="C3466" s="63" t="str">
        <f>'Padrão EPP'!C3466</f>
        <v>RN</v>
      </c>
      <c r="D3466" s="63" t="str">
        <f>'Padrão EPP'!D3466</f>
        <v>INTERIOR</v>
      </c>
      <c r="E3466" s="63">
        <f>'Padrão EPP'!E3466/2</f>
        <v>0</v>
      </c>
      <c r="F3466" s="67">
        <v>3.0000000000000001E-3</v>
      </c>
      <c r="G3466" s="67">
        <v>2E-3</v>
      </c>
      <c r="H3466" s="63"/>
    </row>
    <row r="3467" spans="1:8" x14ac:dyDescent="0.25">
      <c r="A3467" s="63"/>
      <c r="B3467" s="63">
        <f>'Padrão EPP'!B3467</f>
        <v>29</v>
      </c>
      <c r="C3467" s="63" t="str">
        <f>'Padrão EPP'!C3467</f>
        <v>RN</v>
      </c>
      <c r="D3467" s="63" t="str">
        <f>'Padrão EPP'!D3467</f>
        <v>INTERIOR</v>
      </c>
      <c r="E3467" s="63">
        <f>'Padrão EPP'!E3467/2</f>
        <v>0</v>
      </c>
      <c r="F3467" s="67">
        <v>3.0000000000000001E-3</v>
      </c>
      <c r="G3467" s="67">
        <v>2E-3</v>
      </c>
      <c r="H3467" s="63"/>
    </row>
    <row r="3468" spans="1:8" x14ac:dyDescent="0.25">
      <c r="A3468" s="63"/>
      <c r="B3468" s="63">
        <f>'Padrão EPP'!B3468</f>
        <v>30</v>
      </c>
      <c r="C3468" s="63" t="str">
        <f>'Padrão EPP'!C3468</f>
        <v>RN</v>
      </c>
      <c r="D3468" s="63" t="str">
        <f>'Padrão EPP'!D3468</f>
        <v>INTERIOR</v>
      </c>
      <c r="E3468" s="63">
        <f>'Padrão EPP'!E3468/2</f>
        <v>0</v>
      </c>
      <c r="F3468" s="67">
        <v>3.0000000000000001E-3</v>
      </c>
      <c r="G3468" s="67">
        <v>2E-3</v>
      </c>
      <c r="H3468" s="63"/>
    </row>
    <row r="3469" spans="1:8" x14ac:dyDescent="0.25">
      <c r="A3469" s="63"/>
      <c r="B3469" s="63">
        <f>'Padrão EPP'!B3469</f>
        <v>0</v>
      </c>
      <c r="C3469" s="63" t="str">
        <f>'Padrão EPP'!C3469</f>
        <v>RN</v>
      </c>
      <c r="D3469" s="63" t="str">
        <f>'Padrão EPP'!D3469</f>
        <v>INTERIOR</v>
      </c>
      <c r="E3469" s="63">
        <f>'Padrão EPP'!E3469/2</f>
        <v>1.5214394455252955</v>
      </c>
      <c r="F3469" s="67">
        <v>3.0000000000000001E-3</v>
      </c>
      <c r="G3469" s="67">
        <v>2E-3</v>
      </c>
      <c r="H3469" s="63"/>
    </row>
    <row r="3470" spans="1:8" x14ac:dyDescent="0.25">
      <c r="A3470" s="63"/>
      <c r="B3470" s="63">
        <f>'Padrão EPP'!B3470</f>
        <v>0.25</v>
      </c>
      <c r="C3470" s="63" t="str">
        <f>'Padrão EPP'!C3470</f>
        <v>RN</v>
      </c>
      <c r="D3470" s="63" t="str">
        <f>'Padrão EPP'!D3470</f>
        <v>INTERIOR II</v>
      </c>
      <c r="E3470" s="63">
        <f>'Padrão EPP'!E3470/2</f>
        <v>11.161027216210968</v>
      </c>
      <c r="F3470" s="67">
        <v>3.0000000000000001E-3</v>
      </c>
      <c r="G3470" s="67">
        <v>2E-3</v>
      </c>
      <c r="H3470" s="63"/>
    </row>
    <row r="3471" spans="1:8" x14ac:dyDescent="0.25">
      <c r="A3471" s="63"/>
      <c r="B3471" s="63">
        <f>'Padrão EPP'!B3471</f>
        <v>0.5</v>
      </c>
      <c r="C3471" s="63" t="str">
        <f>'Padrão EPP'!C3471</f>
        <v>RN</v>
      </c>
      <c r="D3471" s="63" t="str">
        <f>'Padrão EPP'!D3471</f>
        <v>INTERIOR II</v>
      </c>
      <c r="E3471" s="63">
        <f>'Padrão EPP'!E3471/2</f>
        <v>12.300909811693044</v>
      </c>
      <c r="F3471" s="67">
        <v>3.0000000000000001E-3</v>
      </c>
      <c r="G3471" s="67">
        <v>2E-3</v>
      </c>
      <c r="H3471" s="63"/>
    </row>
    <row r="3472" spans="1:8" x14ac:dyDescent="0.25">
      <c r="A3472" s="63"/>
      <c r="B3472" s="63">
        <f>'Padrão EPP'!B3472</f>
        <v>0.75</v>
      </c>
      <c r="C3472" s="63" t="str">
        <f>'Padrão EPP'!C3472</f>
        <v>RN</v>
      </c>
      <c r="D3472" s="63" t="str">
        <f>'Padrão EPP'!D3472</f>
        <v>INTERIOR II</v>
      </c>
      <c r="E3472" s="63">
        <f>'Padrão EPP'!E3472/2</f>
        <v>13.558522133523777</v>
      </c>
      <c r="F3472" s="67">
        <v>3.0000000000000001E-3</v>
      </c>
      <c r="G3472" s="67">
        <v>2E-3</v>
      </c>
      <c r="H3472" s="63"/>
    </row>
    <row r="3473" spans="1:8" x14ac:dyDescent="0.25">
      <c r="A3473" s="63"/>
      <c r="B3473" s="63">
        <f>'Padrão EPP'!B3473</f>
        <v>1</v>
      </c>
      <c r="C3473" s="63" t="str">
        <f>'Padrão EPP'!C3473</f>
        <v>RN</v>
      </c>
      <c r="D3473" s="63" t="str">
        <f>'Padrão EPP'!D3473</f>
        <v>INTERIOR II</v>
      </c>
      <c r="E3473" s="63">
        <f>'Padrão EPP'!E3473/2</f>
        <v>14.6184770353223</v>
      </c>
      <c r="F3473" s="67">
        <v>3.0000000000000001E-3</v>
      </c>
      <c r="G3473" s="67">
        <v>2E-3</v>
      </c>
      <c r="H3473" s="63"/>
    </row>
    <row r="3474" spans="1:8" x14ac:dyDescent="0.25">
      <c r="A3474" s="63"/>
      <c r="B3474" s="63">
        <f>'Padrão EPP'!B3474</f>
        <v>2</v>
      </c>
      <c r="C3474" s="63" t="str">
        <f>'Padrão EPP'!C3474</f>
        <v>RN</v>
      </c>
      <c r="D3474" s="63" t="str">
        <f>'Padrão EPP'!D3474</f>
        <v>INTERIOR II</v>
      </c>
      <c r="E3474" s="63">
        <f>'Padrão EPP'!E3474/2</f>
        <v>17.943857774389016</v>
      </c>
      <c r="F3474" s="67">
        <v>3.0000000000000001E-3</v>
      </c>
      <c r="G3474" s="67">
        <v>2E-3</v>
      </c>
      <c r="H3474" s="63"/>
    </row>
    <row r="3475" spans="1:8" x14ac:dyDescent="0.25">
      <c r="A3475" s="63"/>
      <c r="B3475" s="63">
        <f>'Padrão EPP'!B3475</f>
        <v>3</v>
      </c>
      <c r="C3475" s="63" t="str">
        <f>'Padrão EPP'!C3475</f>
        <v>RN</v>
      </c>
      <c r="D3475" s="63" t="str">
        <f>'Padrão EPP'!D3475</f>
        <v>INTERIOR II</v>
      </c>
      <c r="E3475" s="63">
        <f>'Padrão EPP'!E3475/2</f>
        <v>21.670220892398582</v>
      </c>
      <c r="F3475" s="67">
        <v>3.0000000000000001E-3</v>
      </c>
      <c r="G3475" s="67">
        <v>2E-3</v>
      </c>
      <c r="H3475" s="63"/>
    </row>
    <row r="3476" spans="1:8" x14ac:dyDescent="0.25">
      <c r="A3476" s="63"/>
      <c r="B3476" s="63">
        <f>'Padrão EPP'!B3476</f>
        <v>4</v>
      </c>
      <c r="C3476" s="63" t="str">
        <f>'Padrão EPP'!C3476</f>
        <v>RN</v>
      </c>
      <c r="D3476" s="63" t="str">
        <f>'Padrão EPP'!D3476</f>
        <v>INTERIOR II</v>
      </c>
      <c r="E3476" s="63">
        <f>'Padrão EPP'!E3476/2</f>
        <v>25.439461321608693</v>
      </c>
      <c r="F3476" s="67">
        <v>3.0000000000000001E-3</v>
      </c>
      <c r="G3476" s="67">
        <v>2E-3</v>
      </c>
      <c r="H3476" s="63"/>
    </row>
    <row r="3477" spans="1:8" x14ac:dyDescent="0.25">
      <c r="A3477" s="63"/>
      <c r="B3477" s="63">
        <f>'Padrão EPP'!B3477</f>
        <v>5</v>
      </c>
      <c r="C3477" s="63" t="str">
        <f>'Padrão EPP'!C3477</f>
        <v>RN</v>
      </c>
      <c r="D3477" s="63" t="str">
        <f>'Padrão EPP'!D3477</f>
        <v>INTERIOR II</v>
      </c>
      <c r="E3477" s="63">
        <f>'Padrão EPP'!E3477/2</f>
        <v>29.255866793139411</v>
      </c>
      <c r="F3477" s="67">
        <v>3.0000000000000001E-3</v>
      </c>
      <c r="G3477" s="67">
        <v>2E-3</v>
      </c>
      <c r="H3477" s="63"/>
    </row>
    <row r="3478" spans="1:8" x14ac:dyDescent="0.25">
      <c r="A3478" s="63"/>
      <c r="B3478" s="63">
        <f>'Padrão EPP'!B3478</f>
        <v>6</v>
      </c>
      <c r="C3478" s="63" t="str">
        <f>'Padrão EPP'!C3478</f>
        <v>RN</v>
      </c>
      <c r="D3478" s="63" t="str">
        <f>'Padrão EPP'!D3478</f>
        <v>INTERIOR II</v>
      </c>
      <c r="E3478" s="63">
        <f>'Padrão EPP'!E3478/2</f>
        <v>33.962000121499891</v>
      </c>
      <c r="F3478" s="67">
        <v>3.0000000000000001E-3</v>
      </c>
      <c r="G3478" s="67">
        <v>2E-3</v>
      </c>
      <c r="H3478" s="63"/>
    </row>
    <row r="3479" spans="1:8" x14ac:dyDescent="0.25">
      <c r="A3479" s="63"/>
      <c r="B3479" s="63">
        <f>'Padrão EPP'!B3479</f>
        <v>7</v>
      </c>
      <c r="C3479" s="63" t="str">
        <f>'Padrão EPP'!C3479</f>
        <v>RN</v>
      </c>
      <c r="D3479" s="63" t="str">
        <f>'Padrão EPP'!D3479</f>
        <v>INTERIOR II</v>
      </c>
      <c r="E3479" s="63">
        <f>'Padrão EPP'!E3479/2</f>
        <v>37.553170034750849</v>
      </c>
      <c r="F3479" s="67">
        <v>3.0000000000000001E-3</v>
      </c>
      <c r="G3479" s="67">
        <v>2E-3</v>
      </c>
      <c r="H3479" s="63"/>
    </row>
    <row r="3480" spans="1:8" x14ac:dyDescent="0.25">
      <c r="A3480" s="63"/>
      <c r="B3480" s="63">
        <f>'Padrão EPP'!B3480</f>
        <v>8</v>
      </c>
      <c r="C3480" s="63" t="str">
        <f>'Padrão EPP'!C3480</f>
        <v>RN</v>
      </c>
      <c r="D3480" s="63" t="str">
        <f>'Padrão EPP'!D3480</f>
        <v>INTERIOR II</v>
      </c>
      <c r="E3480" s="63">
        <f>'Padrão EPP'!E3480/2</f>
        <v>41.200865408440812</v>
      </c>
      <c r="F3480" s="67">
        <v>3.0000000000000001E-3</v>
      </c>
      <c r="G3480" s="67">
        <v>2E-3</v>
      </c>
      <c r="H3480" s="63"/>
    </row>
    <row r="3481" spans="1:8" x14ac:dyDescent="0.25">
      <c r="A3481" s="63"/>
      <c r="B3481" s="63">
        <f>'Padrão EPP'!B3481</f>
        <v>9</v>
      </c>
      <c r="C3481" s="63" t="str">
        <f>'Padrão EPP'!C3481</f>
        <v>RN</v>
      </c>
      <c r="D3481" s="63" t="str">
        <f>'Padrão EPP'!D3481</f>
        <v>INTERIOR II</v>
      </c>
      <c r="E3481" s="63">
        <f>'Padrão EPP'!E3481/2</f>
        <v>45.278475430999329</v>
      </c>
      <c r="F3481" s="67">
        <v>3.0000000000000001E-3</v>
      </c>
      <c r="G3481" s="67">
        <v>2E-3</v>
      </c>
      <c r="H3481" s="63"/>
    </row>
    <row r="3482" spans="1:8" x14ac:dyDescent="0.25">
      <c r="A3482" s="63"/>
      <c r="B3482" s="63">
        <f>'Padrão EPP'!B3482</f>
        <v>10</v>
      </c>
      <c r="C3482" s="63" t="str">
        <f>'Padrão EPP'!C3482</f>
        <v>RN</v>
      </c>
      <c r="D3482" s="63" t="str">
        <f>'Padrão EPP'!D3482</f>
        <v>INTERIOR II</v>
      </c>
      <c r="E3482" s="63">
        <f>'Padrão EPP'!E3482/2</f>
        <v>49.32647571834017</v>
      </c>
      <c r="F3482" s="67">
        <v>3.0000000000000001E-3</v>
      </c>
      <c r="G3482" s="67">
        <v>2E-3</v>
      </c>
      <c r="H3482" s="63"/>
    </row>
    <row r="3483" spans="1:8" x14ac:dyDescent="0.25">
      <c r="A3483" s="63"/>
      <c r="B3483" s="63">
        <f>'Padrão EPP'!B3483</f>
        <v>11</v>
      </c>
      <c r="C3483" s="63" t="str">
        <f>'Padrão EPP'!C3483</f>
        <v>RN</v>
      </c>
      <c r="D3483" s="63" t="str">
        <f>'Padrão EPP'!D3483</f>
        <v>INTERIOR II</v>
      </c>
      <c r="E3483" s="63">
        <f>'Padrão EPP'!E3483/2</f>
        <v>0</v>
      </c>
      <c r="F3483" s="67">
        <v>3.0000000000000001E-3</v>
      </c>
      <c r="G3483" s="67">
        <v>2E-3</v>
      </c>
      <c r="H3483" s="63"/>
    </row>
    <row r="3484" spans="1:8" x14ac:dyDescent="0.25">
      <c r="A3484" s="63"/>
      <c r="B3484" s="63">
        <f>'Padrão EPP'!B3484</f>
        <v>12</v>
      </c>
      <c r="C3484" s="63" t="str">
        <f>'Padrão EPP'!C3484</f>
        <v>RN</v>
      </c>
      <c r="D3484" s="63" t="str">
        <f>'Padrão EPP'!D3484</f>
        <v>INTERIOR II</v>
      </c>
      <c r="E3484" s="63">
        <f>'Padrão EPP'!E3484/2</f>
        <v>0</v>
      </c>
      <c r="F3484" s="67">
        <v>3.0000000000000001E-3</v>
      </c>
      <c r="G3484" s="67">
        <v>2E-3</v>
      </c>
      <c r="H3484" s="63"/>
    </row>
    <row r="3485" spans="1:8" x14ac:dyDescent="0.25">
      <c r="A3485" s="63"/>
      <c r="B3485" s="63">
        <f>'Padrão EPP'!B3485</f>
        <v>13</v>
      </c>
      <c r="C3485" s="63" t="str">
        <f>'Padrão EPP'!C3485</f>
        <v>RN</v>
      </c>
      <c r="D3485" s="63" t="str">
        <f>'Padrão EPP'!D3485</f>
        <v>INTERIOR II</v>
      </c>
      <c r="E3485" s="63">
        <f>'Padrão EPP'!E3485/2</f>
        <v>0</v>
      </c>
      <c r="F3485" s="67">
        <v>3.0000000000000001E-3</v>
      </c>
      <c r="G3485" s="67">
        <v>2E-3</v>
      </c>
      <c r="H3485" s="63"/>
    </row>
    <row r="3486" spans="1:8" x14ac:dyDescent="0.25">
      <c r="A3486" s="63"/>
      <c r="B3486" s="63">
        <f>'Padrão EPP'!B3486</f>
        <v>14</v>
      </c>
      <c r="C3486" s="63" t="str">
        <f>'Padrão EPP'!C3486</f>
        <v>RN</v>
      </c>
      <c r="D3486" s="63" t="str">
        <f>'Padrão EPP'!D3486</f>
        <v>INTERIOR II</v>
      </c>
      <c r="E3486" s="63">
        <f>'Padrão EPP'!E3486/2</f>
        <v>0</v>
      </c>
      <c r="F3486" s="67">
        <v>3.0000000000000001E-3</v>
      </c>
      <c r="G3486" s="67">
        <v>2E-3</v>
      </c>
      <c r="H3486" s="63"/>
    </row>
    <row r="3487" spans="1:8" x14ac:dyDescent="0.25">
      <c r="A3487" s="63"/>
      <c r="B3487" s="63">
        <f>'Padrão EPP'!B3487</f>
        <v>15</v>
      </c>
      <c r="C3487" s="63" t="str">
        <f>'Padrão EPP'!C3487</f>
        <v>RN</v>
      </c>
      <c r="D3487" s="63" t="str">
        <f>'Padrão EPP'!D3487</f>
        <v>INTERIOR II</v>
      </c>
      <c r="E3487" s="63">
        <f>'Padrão EPP'!E3487/2</f>
        <v>0</v>
      </c>
      <c r="F3487" s="67">
        <v>3.0000000000000001E-3</v>
      </c>
      <c r="G3487" s="67">
        <v>2E-3</v>
      </c>
      <c r="H3487" s="63"/>
    </row>
    <row r="3488" spans="1:8" x14ac:dyDescent="0.25">
      <c r="A3488" s="63"/>
      <c r="B3488" s="63">
        <f>'Padrão EPP'!B3488</f>
        <v>16</v>
      </c>
      <c r="C3488" s="63" t="str">
        <f>'Padrão EPP'!C3488</f>
        <v>RN</v>
      </c>
      <c r="D3488" s="63" t="str">
        <f>'Padrão EPP'!D3488</f>
        <v>INTERIOR II</v>
      </c>
      <c r="E3488" s="63">
        <f>'Padrão EPP'!E3488/2</f>
        <v>0</v>
      </c>
      <c r="F3488" s="67">
        <v>3.0000000000000001E-3</v>
      </c>
      <c r="G3488" s="67">
        <v>2E-3</v>
      </c>
      <c r="H3488" s="63"/>
    </row>
    <row r="3489" spans="1:8" x14ac:dyDescent="0.25">
      <c r="A3489" s="63"/>
      <c r="B3489" s="63">
        <f>'Padrão EPP'!B3489</f>
        <v>17</v>
      </c>
      <c r="C3489" s="63" t="str">
        <f>'Padrão EPP'!C3489</f>
        <v>RN</v>
      </c>
      <c r="D3489" s="63" t="str">
        <f>'Padrão EPP'!D3489</f>
        <v>INTERIOR II</v>
      </c>
      <c r="E3489" s="63">
        <f>'Padrão EPP'!E3489/2</f>
        <v>0</v>
      </c>
      <c r="F3489" s="67">
        <v>3.0000000000000001E-3</v>
      </c>
      <c r="G3489" s="67">
        <v>2E-3</v>
      </c>
      <c r="H3489" s="63"/>
    </row>
    <row r="3490" spans="1:8" x14ac:dyDescent="0.25">
      <c r="A3490" s="63"/>
      <c r="B3490" s="63">
        <f>'Padrão EPP'!B3490</f>
        <v>18</v>
      </c>
      <c r="C3490" s="63" t="str">
        <f>'Padrão EPP'!C3490</f>
        <v>RN</v>
      </c>
      <c r="D3490" s="63" t="str">
        <f>'Padrão EPP'!D3490</f>
        <v>INTERIOR II</v>
      </c>
      <c r="E3490" s="63">
        <f>'Padrão EPP'!E3490/2</f>
        <v>0</v>
      </c>
      <c r="F3490" s="67">
        <v>3.0000000000000001E-3</v>
      </c>
      <c r="G3490" s="67">
        <v>2E-3</v>
      </c>
      <c r="H3490" s="63"/>
    </row>
    <row r="3491" spans="1:8" x14ac:dyDescent="0.25">
      <c r="A3491" s="63"/>
      <c r="B3491" s="63">
        <f>'Padrão EPP'!B3491</f>
        <v>19</v>
      </c>
      <c r="C3491" s="63" t="str">
        <f>'Padrão EPP'!C3491</f>
        <v>RN</v>
      </c>
      <c r="D3491" s="63" t="str">
        <f>'Padrão EPP'!D3491</f>
        <v>INTERIOR II</v>
      </c>
      <c r="E3491" s="63">
        <f>'Padrão EPP'!E3491/2</f>
        <v>0</v>
      </c>
      <c r="F3491" s="67">
        <v>3.0000000000000001E-3</v>
      </c>
      <c r="G3491" s="67">
        <v>2E-3</v>
      </c>
      <c r="H3491" s="63"/>
    </row>
    <row r="3492" spans="1:8" x14ac:dyDescent="0.25">
      <c r="A3492" s="63"/>
      <c r="B3492" s="63">
        <f>'Padrão EPP'!B3492</f>
        <v>20</v>
      </c>
      <c r="C3492" s="63" t="str">
        <f>'Padrão EPP'!C3492</f>
        <v>RN</v>
      </c>
      <c r="D3492" s="63" t="str">
        <f>'Padrão EPP'!D3492</f>
        <v>INTERIOR II</v>
      </c>
      <c r="E3492" s="63">
        <f>'Padrão EPP'!E3492/2</f>
        <v>0</v>
      </c>
      <c r="F3492" s="67">
        <v>3.0000000000000001E-3</v>
      </c>
      <c r="G3492" s="67">
        <v>2E-3</v>
      </c>
      <c r="H3492" s="63"/>
    </row>
    <row r="3493" spans="1:8" x14ac:dyDescent="0.25">
      <c r="A3493" s="63"/>
      <c r="B3493" s="63">
        <f>'Padrão EPP'!B3493</f>
        <v>21</v>
      </c>
      <c r="C3493" s="63" t="str">
        <f>'Padrão EPP'!C3493</f>
        <v>RN</v>
      </c>
      <c r="D3493" s="63" t="str">
        <f>'Padrão EPP'!D3493</f>
        <v>INTERIOR II</v>
      </c>
      <c r="E3493" s="63">
        <f>'Padrão EPP'!E3493/2</f>
        <v>0</v>
      </c>
      <c r="F3493" s="67">
        <v>3.0000000000000001E-3</v>
      </c>
      <c r="G3493" s="67">
        <v>2E-3</v>
      </c>
      <c r="H3493" s="63"/>
    </row>
    <row r="3494" spans="1:8" x14ac:dyDescent="0.25">
      <c r="A3494" s="63"/>
      <c r="B3494" s="63">
        <f>'Padrão EPP'!B3494</f>
        <v>22</v>
      </c>
      <c r="C3494" s="63" t="str">
        <f>'Padrão EPP'!C3494</f>
        <v>RN</v>
      </c>
      <c r="D3494" s="63" t="str">
        <f>'Padrão EPP'!D3494</f>
        <v>INTERIOR II</v>
      </c>
      <c r="E3494" s="63">
        <f>'Padrão EPP'!E3494/2</f>
        <v>0</v>
      </c>
      <c r="F3494" s="67">
        <v>3.0000000000000001E-3</v>
      </c>
      <c r="G3494" s="67">
        <v>2E-3</v>
      </c>
      <c r="H3494" s="63"/>
    </row>
    <row r="3495" spans="1:8" x14ac:dyDescent="0.25">
      <c r="A3495" s="63"/>
      <c r="B3495" s="63">
        <f>'Padrão EPP'!B3495</f>
        <v>23</v>
      </c>
      <c r="C3495" s="63" t="str">
        <f>'Padrão EPP'!C3495</f>
        <v>RN</v>
      </c>
      <c r="D3495" s="63" t="str">
        <f>'Padrão EPP'!D3495</f>
        <v>INTERIOR II</v>
      </c>
      <c r="E3495" s="63">
        <f>'Padrão EPP'!E3495/2</f>
        <v>0</v>
      </c>
      <c r="F3495" s="67">
        <v>3.0000000000000001E-3</v>
      </c>
      <c r="G3495" s="67">
        <v>2E-3</v>
      </c>
      <c r="H3495" s="63"/>
    </row>
    <row r="3496" spans="1:8" x14ac:dyDescent="0.25">
      <c r="A3496" s="63"/>
      <c r="B3496" s="63">
        <f>'Padrão EPP'!B3496</f>
        <v>24</v>
      </c>
      <c r="C3496" s="63" t="str">
        <f>'Padrão EPP'!C3496</f>
        <v>RN</v>
      </c>
      <c r="D3496" s="63" t="str">
        <f>'Padrão EPP'!D3496</f>
        <v>INTERIOR II</v>
      </c>
      <c r="E3496" s="63">
        <f>'Padrão EPP'!E3496/2</f>
        <v>0</v>
      </c>
      <c r="F3496" s="67">
        <v>3.0000000000000001E-3</v>
      </c>
      <c r="G3496" s="67">
        <v>2E-3</v>
      </c>
      <c r="H3496" s="63"/>
    </row>
    <row r="3497" spans="1:8" x14ac:dyDescent="0.25">
      <c r="A3497" s="63"/>
      <c r="B3497" s="63">
        <f>'Padrão EPP'!B3497</f>
        <v>25</v>
      </c>
      <c r="C3497" s="63" t="str">
        <f>'Padrão EPP'!C3497</f>
        <v>RN</v>
      </c>
      <c r="D3497" s="63" t="str">
        <f>'Padrão EPP'!D3497</f>
        <v>INTERIOR II</v>
      </c>
      <c r="E3497" s="63">
        <f>'Padrão EPP'!E3497/2</f>
        <v>0</v>
      </c>
      <c r="F3497" s="67">
        <v>3.0000000000000001E-3</v>
      </c>
      <c r="G3497" s="67">
        <v>2E-3</v>
      </c>
      <c r="H3497" s="63"/>
    </row>
    <row r="3498" spans="1:8" x14ac:dyDescent="0.25">
      <c r="A3498" s="63"/>
      <c r="B3498" s="63">
        <f>'Padrão EPP'!B3498</f>
        <v>26</v>
      </c>
      <c r="C3498" s="63" t="str">
        <f>'Padrão EPP'!C3498</f>
        <v>RN</v>
      </c>
      <c r="D3498" s="63" t="str">
        <f>'Padrão EPP'!D3498</f>
        <v>INTERIOR II</v>
      </c>
      <c r="E3498" s="63">
        <f>'Padrão EPP'!E3498/2</f>
        <v>0</v>
      </c>
      <c r="F3498" s="67">
        <v>3.0000000000000001E-3</v>
      </c>
      <c r="G3498" s="67">
        <v>2E-3</v>
      </c>
      <c r="H3498" s="63"/>
    </row>
    <row r="3499" spans="1:8" x14ac:dyDescent="0.25">
      <c r="A3499" s="63"/>
      <c r="B3499" s="63">
        <f>'Padrão EPP'!B3499</f>
        <v>27</v>
      </c>
      <c r="C3499" s="63" t="str">
        <f>'Padrão EPP'!C3499</f>
        <v>RN</v>
      </c>
      <c r="D3499" s="63" t="str">
        <f>'Padrão EPP'!D3499</f>
        <v>INTERIOR II</v>
      </c>
      <c r="E3499" s="63">
        <f>'Padrão EPP'!E3499/2</f>
        <v>0</v>
      </c>
      <c r="F3499" s="67">
        <v>3.0000000000000001E-3</v>
      </c>
      <c r="G3499" s="67">
        <v>2E-3</v>
      </c>
      <c r="H3499" s="63"/>
    </row>
    <row r="3500" spans="1:8" x14ac:dyDescent="0.25">
      <c r="A3500" s="63"/>
      <c r="B3500" s="63">
        <f>'Padrão EPP'!B3500</f>
        <v>28</v>
      </c>
      <c r="C3500" s="63" t="str">
        <f>'Padrão EPP'!C3500</f>
        <v>RN</v>
      </c>
      <c r="D3500" s="63" t="str">
        <f>'Padrão EPP'!D3500</f>
        <v>INTERIOR II</v>
      </c>
      <c r="E3500" s="63">
        <f>'Padrão EPP'!E3500/2</f>
        <v>0</v>
      </c>
      <c r="F3500" s="67">
        <v>3.0000000000000001E-3</v>
      </c>
      <c r="G3500" s="67">
        <v>2E-3</v>
      </c>
      <c r="H3500" s="63"/>
    </row>
    <row r="3501" spans="1:8" x14ac:dyDescent="0.25">
      <c r="A3501" s="63"/>
      <c r="B3501" s="63">
        <f>'Padrão EPP'!B3501</f>
        <v>29</v>
      </c>
      <c r="C3501" s="63" t="str">
        <f>'Padrão EPP'!C3501</f>
        <v>RN</v>
      </c>
      <c r="D3501" s="63" t="str">
        <f>'Padrão EPP'!D3501</f>
        <v>INTERIOR II</v>
      </c>
      <c r="E3501" s="63">
        <f>'Padrão EPP'!E3501/2</f>
        <v>0</v>
      </c>
      <c r="F3501" s="67">
        <v>3.0000000000000001E-3</v>
      </c>
      <c r="G3501" s="67">
        <v>2E-3</v>
      </c>
      <c r="H3501" s="63"/>
    </row>
    <row r="3502" spans="1:8" x14ac:dyDescent="0.25">
      <c r="A3502" s="63"/>
      <c r="B3502" s="63">
        <f>'Padrão EPP'!B3502</f>
        <v>30</v>
      </c>
      <c r="C3502" s="63" t="str">
        <f>'Padrão EPP'!C3502</f>
        <v>RN</v>
      </c>
      <c r="D3502" s="63" t="str">
        <f>'Padrão EPP'!D3502</f>
        <v>INTERIOR II</v>
      </c>
      <c r="E3502" s="63">
        <f>'Padrão EPP'!E3502/2</f>
        <v>0</v>
      </c>
      <c r="F3502" s="67">
        <v>3.0000000000000001E-3</v>
      </c>
      <c r="G3502" s="67">
        <v>2E-3</v>
      </c>
      <c r="H3502" s="63"/>
    </row>
    <row r="3503" spans="1:8" x14ac:dyDescent="0.25">
      <c r="A3503" s="63"/>
      <c r="B3503" s="63">
        <f>'Padrão EPP'!B3503</f>
        <v>0</v>
      </c>
      <c r="C3503" s="63" t="str">
        <f>'Padrão EPP'!C3503</f>
        <v>RN</v>
      </c>
      <c r="D3503" s="63" t="str">
        <f>'Padrão EPP'!D3503</f>
        <v>INTERIOR II</v>
      </c>
      <c r="E3503" s="63">
        <f>'Padrão EPP'!E3503/2</f>
        <v>1.5214394455252955</v>
      </c>
      <c r="F3503" s="67">
        <v>3.0000000000000001E-3</v>
      </c>
      <c r="G3503" s="67">
        <v>2E-3</v>
      </c>
      <c r="H3503" s="63"/>
    </row>
    <row r="3504" spans="1:8" x14ac:dyDescent="0.25">
      <c r="A3504" s="63"/>
      <c r="B3504" s="63">
        <f>'Padrão EPP'!B3504</f>
        <v>0.25</v>
      </c>
      <c r="C3504" s="63" t="str">
        <f>'Padrão EPP'!C3504</f>
        <v>RN</v>
      </c>
      <c r="D3504" s="63" t="str">
        <f>'Padrão EPP'!D3504</f>
        <v>REDESPACHO</v>
      </c>
      <c r="E3504" s="63">
        <f>'Padrão EPP'!E3504/2</f>
        <v>15.122560392901027</v>
      </c>
      <c r="F3504" s="67">
        <v>3.0000000000000001E-3</v>
      </c>
      <c r="G3504" s="67">
        <v>2E-3</v>
      </c>
      <c r="H3504" s="63"/>
    </row>
    <row r="3505" spans="1:8" x14ac:dyDescent="0.25">
      <c r="A3505" s="63"/>
      <c r="B3505" s="63">
        <f>'Padrão EPP'!B3505</f>
        <v>0.5</v>
      </c>
      <c r="C3505" s="63" t="str">
        <f>'Padrão EPP'!C3505</f>
        <v>RN</v>
      </c>
      <c r="D3505" s="63" t="str">
        <f>'Padrão EPP'!D3505</f>
        <v>REDESPACHO</v>
      </c>
      <c r="E3505" s="63">
        <f>'Padrão EPP'!E3505/2</f>
        <v>16.64262057910662</v>
      </c>
      <c r="F3505" s="67">
        <v>3.0000000000000001E-3</v>
      </c>
      <c r="G3505" s="67">
        <v>2E-3</v>
      </c>
      <c r="H3505" s="63"/>
    </row>
    <row r="3506" spans="1:8" x14ac:dyDescent="0.25">
      <c r="A3506" s="63"/>
      <c r="B3506" s="63">
        <f>'Padrão EPP'!B3506</f>
        <v>0.75</v>
      </c>
      <c r="C3506" s="63" t="str">
        <f>'Padrão EPP'!C3506</f>
        <v>RN</v>
      </c>
      <c r="D3506" s="63" t="str">
        <f>'Padrão EPP'!D3506</f>
        <v>REDESPACHO</v>
      </c>
      <c r="E3506" s="63">
        <f>'Padrão EPP'!E3506/2</f>
        <v>18.315683276169086</v>
      </c>
      <c r="F3506" s="67">
        <v>3.0000000000000001E-3</v>
      </c>
      <c r="G3506" s="67">
        <v>2E-3</v>
      </c>
      <c r="H3506" s="63"/>
    </row>
    <row r="3507" spans="1:8" x14ac:dyDescent="0.25">
      <c r="A3507" s="63"/>
      <c r="B3507" s="63">
        <f>'Padrão EPP'!B3507</f>
        <v>1</v>
      </c>
      <c r="C3507" s="63" t="str">
        <f>'Padrão EPP'!C3507</f>
        <v>RN</v>
      </c>
      <c r="D3507" s="63" t="str">
        <f>'Padrão EPP'!D3507</f>
        <v>REDESPACHO</v>
      </c>
      <c r="E3507" s="63">
        <f>'Padrão EPP'!E3507/2</f>
        <v>19.454883772426943</v>
      </c>
      <c r="F3507" s="67">
        <v>3.0000000000000001E-3</v>
      </c>
      <c r="G3507" s="67">
        <v>2E-3</v>
      </c>
      <c r="H3507" s="63"/>
    </row>
    <row r="3508" spans="1:8" x14ac:dyDescent="0.25">
      <c r="A3508" s="63"/>
      <c r="B3508" s="63">
        <f>'Padrão EPP'!B3508</f>
        <v>2</v>
      </c>
      <c r="C3508" s="63" t="str">
        <f>'Padrão EPP'!C3508</f>
        <v>RN</v>
      </c>
      <c r="D3508" s="63" t="str">
        <f>'Padrão EPP'!D3508</f>
        <v>REDESPACHO</v>
      </c>
      <c r="E3508" s="63">
        <f>'Padrão EPP'!E3508/2</f>
        <v>23.341191576117406</v>
      </c>
      <c r="F3508" s="67">
        <v>3.0000000000000001E-3</v>
      </c>
      <c r="G3508" s="67">
        <v>2E-3</v>
      </c>
      <c r="H3508" s="63"/>
    </row>
    <row r="3509" spans="1:8" x14ac:dyDescent="0.25">
      <c r="A3509" s="63"/>
      <c r="B3509" s="63">
        <f>'Padrão EPP'!B3509</f>
        <v>3</v>
      </c>
      <c r="C3509" s="63" t="str">
        <f>'Padrão EPP'!C3509</f>
        <v>RN</v>
      </c>
      <c r="D3509" s="63" t="str">
        <f>'Padrão EPP'!D3509</f>
        <v>REDESPACHO</v>
      </c>
      <c r="E3509" s="63">
        <f>'Padrão EPP'!E3509/2</f>
        <v>29.960737082738888</v>
      </c>
      <c r="F3509" s="67">
        <v>3.0000000000000001E-3</v>
      </c>
      <c r="G3509" s="67">
        <v>2E-3</v>
      </c>
      <c r="H3509" s="63"/>
    </row>
    <row r="3510" spans="1:8" x14ac:dyDescent="0.25">
      <c r="A3510" s="63"/>
      <c r="B3510" s="63">
        <f>'Padrão EPP'!B3510</f>
        <v>4</v>
      </c>
      <c r="C3510" s="63" t="str">
        <f>'Padrão EPP'!C3510</f>
        <v>RN</v>
      </c>
      <c r="D3510" s="63" t="str">
        <f>'Padrão EPP'!D3510</f>
        <v>REDESPACHO</v>
      </c>
      <c r="E3510" s="63">
        <f>'Padrão EPP'!E3510/2</f>
        <v>34.737053390979732</v>
      </c>
      <c r="F3510" s="67">
        <v>3.0000000000000001E-3</v>
      </c>
      <c r="G3510" s="67">
        <v>2E-3</v>
      </c>
      <c r="H3510" s="63"/>
    </row>
    <row r="3511" spans="1:8" x14ac:dyDescent="0.25">
      <c r="A3511" s="63"/>
      <c r="B3511" s="63">
        <f>'Padrão EPP'!B3511</f>
        <v>5</v>
      </c>
      <c r="C3511" s="63" t="str">
        <f>'Padrão EPP'!C3511</f>
        <v>RN</v>
      </c>
      <c r="D3511" s="63" t="str">
        <f>'Padrão EPP'!D3511</f>
        <v>REDESPACHO</v>
      </c>
      <c r="E3511" s="63">
        <f>'Padrão EPP'!E3511/2</f>
        <v>39.624602440488637</v>
      </c>
      <c r="F3511" s="67">
        <v>3.0000000000000001E-3</v>
      </c>
      <c r="G3511" s="67">
        <v>2E-3</v>
      </c>
      <c r="H3511" s="63"/>
    </row>
    <row r="3512" spans="1:8" x14ac:dyDescent="0.25">
      <c r="A3512" s="63"/>
      <c r="B3512" s="63">
        <f>'Padrão EPP'!B3512</f>
        <v>6</v>
      </c>
      <c r="C3512" s="63" t="str">
        <f>'Padrão EPP'!C3512</f>
        <v>RN</v>
      </c>
      <c r="D3512" s="63" t="str">
        <f>'Padrão EPP'!D3512</f>
        <v>REDESPACHO</v>
      </c>
      <c r="E3512" s="63">
        <f>'Padrão EPP'!E3512/2</f>
        <v>44.634507505392406</v>
      </c>
      <c r="F3512" s="67">
        <v>3.0000000000000001E-3</v>
      </c>
      <c r="G3512" s="67">
        <v>2E-3</v>
      </c>
      <c r="H3512" s="63"/>
    </row>
    <row r="3513" spans="1:8" x14ac:dyDescent="0.25">
      <c r="A3513" s="63"/>
      <c r="B3513" s="63">
        <f>'Padrão EPP'!B3513</f>
        <v>7</v>
      </c>
      <c r="C3513" s="63" t="str">
        <f>'Padrão EPP'!C3513</f>
        <v>RN</v>
      </c>
      <c r="D3513" s="63" t="str">
        <f>'Padrão EPP'!D3513</f>
        <v>REDESPACHO</v>
      </c>
      <c r="E3513" s="63">
        <f>'Padrão EPP'!E3513/2</f>
        <v>49.779004187230612</v>
      </c>
      <c r="F3513" s="67">
        <v>3.0000000000000001E-3</v>
      </c>
      <c r="G3513" s="67">
        <v>2E-3</v>
      </c>
      <c r="H3513" s="63"/>
    </row>
    <row r="3514" spans="1:8" x14ac:dyDescent="0.25">
      <c r="A3514" s="63"/>
      <c r="B3514" s="63">
        <f>'Padrão EPP'!B3514</f>
        <v>8</v>
      </c>
      <c r="C3514" s="63" t="str">
        <f>'Padrão EPP'!C3514</f>
        <v>RN</v>
      </c>
      <c r="D3514" s="63" t="str">
        <f>'Padrão EPP'!D3514</f>
        <v>REDESPACHO</v>
      </c>
      <c r="E3514" s="63">
        <f>'Padrão EPP'!E3514/2</f>
        <v>55.071551647696573</v>
      </c>
      <c r="F3514" s="67">
        <v>3.0000000000000001E-3</v>
      </c>
      <c r="G3514" s="67">
        <v>2E-3</v>
      </c>
      <c r="H3514" s="63"/>
    </row>
    <row r="3515" spans="1:8" x14ac:dyDescent="0.25">
      <c r="A3515" s="63"/>
      <c r="B3515" s="63">
        <f>'Padrão EPP'!B3515</f>
        <v>9</v>
      </c>
      <c r="C3515" s="63" t="str">
        <f>'Padrão EPP'!C3515</f>
        <v>RN</v>
      </c>
      <c r="D3515" s="63" t="str">
        <f>'Padrão EPP'!D3515</f>
        <v>REDESPACHO</v>
      </c>
      <c r="E3515" s="63">
        <f>'Padrão EPP'!E3515/2</f>
        <v>60.526954964653157</v>
      </c>
      <c r="F3515" s="67">
        <v>3.0000000000000001E-3</v>
      </c>
      <c r="G3515" s="67">
        <v>2E-3</v>
      </c>
      <c r="H3515" s="63"/>
    </row>
    <row r="3516" spans="1:8" x14ac:dyDescent="0.25">
      <c r="A3516" s="63"/>
      <c r="B3516" s="63">
        <f>'Padrão EPP'!B3516</f>
        <v>10</v>
      </c>
      <c r="C3516" s="63" t="str">
        <f>'Padrão EPP'!C3516</f>
        <v>RN</v>
      </c>
      <c r="D3516" s="63" t="str">
        <f>'Padrão EPP'!D3516</f>
        <v>REDESPACHO</v>
      </c>
      <c r="E3516" s="63">
        <f>'Padrão EPP'!E3516/2</f>
        <v>66.571812407837939</v>
      </c>
      <c r="F3516" s="67">
        <v>3.0000000000000001E-3</v>
      </c>
      <c r="G3516" s="67">
        <v>2E-3</v>
      </c>
      <c r="H3516" s="63"/>
    </row>
    <row r="3517" spans="1:8" x14ac:dyDescent="0.25">
      <c r="A3517" s="63"/>
      <c r="B3517" s="63">
        <f>'Padrão EPP'!B3517</f>
        <v>11</v>
      </c>
      <c r="C3517" s="63" t="str">
        <f>'Padrão EPP'!C3517</f>
        <v>RN</v>
      </c>
      <c r="D3517" s="63" t="str">
        <f>'Padrão EPP'!D3517</f>
        <v>REDESPACHO</v>
      </c>
      <c r="E3517" s="63">
        <f>'Padrão EPP'!E3517/2</f>
        <v>0</v>
      </c>
      <c r="F3517" s="67">
        <v>3.0000000000000001E-3</v>
      </c>
      <c r="G3517" s="67">
        <v>2E-3</v>
      </c>
      <c r="H3517" s="63"/>
    </row>
    <row r="3518" spans="1:8" x14ac:dyDescent="0.25">
      <c r="A3518" s="63"/>
      <c r="B3518" s="63">
        <f>'Padrão EPP'!B3518</f>
        <v>12</v>
      </c>
      <c r="C3518" s="63" t="str">
        <f>'Padrão EPP'!C3518</f>
        <v>RN</v>
      </c>
      <c r="D3518" s="63" t="str">
        <f>'Padrão EPP'!D3518</f>
        <v>REDESPACHO</v>
      </c>
      <c r="E3518" s="63">
        <f>'Padrão EPP'!E3518/2</f>
        <v>0</v>
      </c>
      <c r="F3518" s="67">
        <v>3.0000000000000001E-3</v>
      </c>
      <c r="G3518" s="67">
        <v>2E-3</v>
      </c>
      <c r="H3518" s="63"/>
    </row>
    <row r="3519" spans="1:8" x14ac:dyDescent="0.25">
      <c r="A3519" s="63"/>
      <c r="B3519" s="63">
        <f>'Padrão EPP'!B3519</f>
        <v>13</v>
      </c>
      <c r="C3519" s="63" t="str">
        <f>'Padrão EPP'!C3519</f>
        <v>RN</v>
      </c>
      <c r="D3519" s="63" t="str">
        <f>'Padrão EPP'!D3519</f>
        <v>REDESPACHO</v>
      </c>
      <c r="E3519" s="63">
        <f>'Padrão EPP'!E3519/2</f>
        <v>0</v>
      </c>
      <c r="F3519" s="67">
        <v>3.0000000000000001E-3</v>
      </c>
      <c r="G3519" s="67">
        <v>2E-3</v>
      </c>
      <c r="H3519" s="63"/>
    </row>
    <row r="3520" spans="1:8" x14ac:dyDescent="0.25">
      <c r="A3520" s="63"/>
      <c r="B3520" s="63">
        <f>'Padrão EPP'!B3520</f>
        <v>14</v>
      </c>
      <c r="C3520" s="63" t="str">
        <f>'Padrão EPP'!C3520</f>
        <v>RN</v>
      </c>
      <c r="D3520" s="63" t="str">
        <f>'Padrão EPP'!D3520</f>
        <v>REDESPACHO</v>
      </c>
      <c r="E3520" s="63">
        <f>'Padrão EPP'!E3520/2</f>
        <v>0</v>
      </c>
      <c r="F3520" s="67">
        <v>3.0000000000000001E-3</v>
      </c>
      <c r="G3520" s="67">
        <v>2E-3</v>
      </c>
      <c r="H3520" s="63"/>
    </row>
    <row r="3521" spans="1:8" x14ac:dyDescent="0.25">
      <c r="A3521" s="63"/>
      <c r="B3521" s="63">
        <f>'Padrão EPP'!B3521</f>
        <v>15</v>
      </c>
      <c r="C3521" s="63" t="str">
        <f>'Padrão EPP'!C3521</f>
        <v>RN</v>
      </c>
      <c r="D3521" s="63" t="str">
        <f>'Padrão EPP'!D3521</f>
        <v>REDESPACHO</v>
      </c>
      <c r="E3521" s="63">
        <f>'Padrão EPP'!E3521/2</f>
        <v>0</v>
      </c>
      <c r="F3521" s="67">
        <v>3.0000000000000001E-3</v>
      </c>
      <c r="G3521" s="67">
        <v>2E-3</v>
      </c>
      <c r="H3521" s="63"/>
    </row>
    <row r="3522" spans="1:8" x14ac:dyDescent="0.25">
      <c r="A3522" s="63"/>
      <c r="B3522" s="63">
        <f>'Padrão EPP'!B3522</f>
        <v>16</v>
      </c>
      <c r="C3522" s="63" t="str">
        <f>'Padrão EPP'!C3522</f>
        <v>RN</v>
      </c>
      <c r="D3522" s="63" t="str">
        <f>'Padrão EPP'!D3522</f>
        <v>REDESPACHO</v>
      </c>
      <c r="E3522" s="63">
        <f>'Padrão EPP'!E3522/2</f>
        <v>0</v>
      </c>
      <c r="F3522" s="67">
        <v>3.0000000000000001E-3</v>
      </c>
      <c r="G3522" s="67">
        <v>2E-3</v>
      </c>
      <c r="H3522" s="63"/>
    </row>
    <row r="3523" spans="1:8" x14ac:dyDescent="0.25">
      <c r="A3523" s="63"/>
      <c r="B3523" s="63">
        <f>'Padrão EPP'!B3523</f>
        <v>17</v>
      </c>
      <c r="C3523" s="63" t="str">
        <f>'Padrão EPP'!C3523</f>
        <v>RN</v>
      </c>
      <c r="D3523" s="63" t="str">
        <f>'Padrão EPP'!D3523</f>
        <v>REDESPACHO</v>
      </c>
      <c r="E3523" s="63">
        <f>'Padrão EPP'!E3523/2</f>
        <v>0</v>
      </c>
      <c r="F3523" s="67">
        <v>3.0000000000000001E-3</v>
      </c>
      <c r="G3523" s="67">
        <v>2E-3</v>
      </c>
      <c r="H3523" s="63"/>
    </row>
    <row r="3524" spans="1:8" x14ac:dyDescent="0.25">
      <c r="A3524" s="63"/>
      <c r="B3524" s="63">
        <f>'Padrão EPP'!B3524</f>
        <v>18</v>
      </c>
      <c r="C3524" s="63" t="str">
        <f>'Padrão EPP'!C3524</f>
        <v>RN</v>
      </c>
      <c r="D3524" s="63" t="str">
        <f>'Padrão EPP'!D3524</f>
        <v>REDESPACHO</v>
      </c>
      <c r="E3524" s="63">
        <f>'Padrão EPP'!E3524/2</f>
        <v>0</v>
      </c>
      <c r="F3524" s="67">
        <v>3.0000000000000001E-3</v>
      </c>
      <c r="G3524" s="67">
        <v>2E-3</v>
      </c>
      <c r="H3524" s="63"/>
    </row>
    <row r="3525" spans="1:8" x14ac:dyDescent="0.25">
      <c r="A3525" s="63"/>
      <c r="B3525" s="63">
        <f>'Padrão EPP'!B3525</f>
        <v>19</v>
      </c>
      <c r="C3525" s="63" t="str">
        <f>'Padrão EPP'!C3525</f>
        <v>RN</v>
      </c>
      <c r="D3525" s="63" t="str">
        <f>'Padrão EPP'!D3525</f>
        <v>REDESPACHO</v>
      </c>
      <c r="E3525" s="63">
        <f>'Padrão EPP'!E3525/2</f>
        <v>0</v>
      </c>
      <c r="F3525" s="67">
        <v>3.0000000000000001E-3</v>
      </c>
      <c r="G3525" s="67">
        <v>2E-3</v>
      </c>
      <c r="H3525" s="63"/>
    </row>
    <row r="3526" spans="1:8" x14ac:dyDescent="0.25">
      <c r="A3526" s="63"/>
      <c r="B3526" s="63">
        <f>'Padrão EPP'!B3526</f>
        <v>20</v>
      </c>
      <c r="C3526" s="63" t="str">
        <f>'Padrão EPP'!C3526</f>
        <v>RN</v>
      </c>
      <c r="D3526" s="63" t="str">
        <f>'Padrão EPP'!D3526</f>
        <v>REDESPACHO</v>
      </c>
      <c r="E3526" s="63">
        <f>'Padrão EPP'!E3526/2</f>
        <v>0</v>
      </c>
      <c r="F3526" s="67">
        <v>3.0000000000000001E-3</v>
      </c>
      <c r="G3526" s="67">
        <v>2E-3</v>
      </c>
      <c r="H3526" s="63"/>
    </row>
    <row r="3527" spans="1:8" x14ac:dyDescent="0.25">
      <c r="A3527" s="63"/>
      <c r="B3527" s="63">
        <f>'Padrão EPP'!B3527</f>
        <v>21</v>
      </c>
      <c r="C3527" s="63" t="str">
        <f>'Padrão EPP'!C3527</f>
        <v>RN</v>
      </c>
      <c r="D3527" s="63" t="str">
        <f>'Padrão EPP'!D3527</f>
        <v>REDESPACHO</v>
      </c>
      <c r="E3527" s="63">
        <f>'Padrão EPP'!E3527/2</f>
        <v>0</v>
      </c>
      <c r="F3527" s="67">
        <v>3.0000000000000001E-3</v>
      </c>
      <c r="G3527" s="67">
        <v>2E-3</v>
      </c>
      <c r="H3527" s="63"/>
    </row>
    <row r="3528" spans="1:8" x14ac:dyDescent="0.25">
      <c r="A3528" s="63"/>
      <c r="B3528" s="63">
        <f>'Padrão EPP'!B3528</f>
        <v>22</v>
      </c>
      <c r="C3528" s="63" t="str">
        <f>'Padrão EPP'!C3528</f>
        <v>RN</v>
      </c>
      <c r="D3528" s="63" t="str">
        <f>'Padrão EPP'!D3528</f>
        <v>REDESPACHO</v>
      </c>
      <c r="E3528" s="63">
        <f>'Padrão EPP'!E3528/2</f>
        <v>0</v>
      </c>
      <c r="F3528" s="67">
        <v>3.0000000000000001E-3</v>
      </c>
      <c r="G3528" s="67">
        <v>2E-3</v>
      </c>
      <c r="H3528" s="63"/>
    </row>
    <row r="3529" spans="1:8" x14ac:dyDescent="0.25">
      <c r="A3529" s="63"/>
      <c r="B3529" s="63">
        <f>'Padrão EPP'!B3529</f>
        <v>23</v>
      </c>
      <c r="C3529" s="63" t="str">
        <f>'Padrão EPP'!C3529</f>
        <v>RN</v>
      </c>
      <c r="D3529" s="63" t="str">
        <f>'Padrão EPP'!D3529</f>
        <v>REDESPACHO</v>
      </c>
      <c r="E3529" s="63">
        <f>'Padrão EPP'!E3529/2</f>
        <v>0</v>
      </c>
      <c r="F3529" s="67">
        <v>3.0000000000000001E-3</v>
      </c>
      <c r="G3529" s="67">
        <v>2E-3</v>
      </c>
      <c r="H3529" s="63"/>
    </row>
    <row r="3530" spans="1:8" x14ac:dyDescent="0.25">
      <c r="A3530" s="63"/>
      <c r="B3530" s="63">
        <f>'Padrão EPP'!B3530</f>
        <v>24</v>
      </c>
      <c r="C3530" s="63" t="str">
        <f>'Padrão EPP'!C3530</f>
        <v>RN</v>
      </c>
      <c r="D3530" s="63" t="str">
        <f>'Padrão EPP'!D3530</f>
        <v>REDESPACHO</v>
      </c>
      <c r="E3530" s="63">
        <f>'Padrão EPP'!E3530/2</f>
        <v>0</v>
      </c>
      <c r="F3530" s="67">
        <v>3.0000000000000001E-3</v>
      </c>
      <c r="G3530" s="67">
        <v>2E-3</v>
      </c>
      <c r="H3530" s="63"/>
    </row>
    <row r="3531" spans="1:8" x14ac:dyDescent="0.25">
      <c r="A3531" s="63"/>
      <c r="B3531" s="63">
        <f>'Padrão EPP'!B3531</f>
        <v>25</v>
      </c>
      <c r="C3531" s="63" t="str">
        <f>'Padrão EPP'!C3531</f>
        <v>RN</v>
      </c>
      <c r="D3531" s="63" t="str">
        <f>'Padrão EPP'!D3531</f>
        <v>REDESPACHO</v>
      </c>
      <c r="E3531" s="63">
        <f>'Padrão EPP'!E3531/2</f>
        <v>0</v>
      </c>
      <c r="F3531" s="67">
        <v>3.0000000000000001E-3</v>
      </c>
      <c r="G3531" s="67">
        <v>2E-3</v>
      </c>
      <c r="H3531" s="63"/>
    </row>
    <row r="3532" spans="1:8" x14ac:dyDescent="0.25">
      <c r="A3532" s="63"/>
      <c r="B3532" s="63">
        <f>'Padrão EPP'!B3532</f>
        <v>26</v>
      </c>
      <c r="C3532" s="63" t="str">
        <f>'Padrão EPP'!C3532</f>
        <v>RN</v>
      </c>
      <c r="D3532" s="63" t="str">
        <f>'Padrão EPP'!D3532</f>
        <v>REDESPACHO</v>
      </c>
      <c r="E3532" s="63">
        <f>'Padrão EPP'!E3532/2</f>
        <v>0</v>
      </c>
      <c r="F3532" s="67">
        <v>3.0000000000000001E-3</v>
      </c>
      <c r="G3532" s="67">
        <v>2E-3</v>
      </c>
      <c r="H3532" s="63"/>
    </row>
    <row r="3533" spans="1:8" x14ac:dyDescent="0.25">
      <c r="A3533" s="63"/>
      <c r="B3533" s="63">
        <f>'Padrão EPP'!B3533</f>
        <v>27</v>
      </c>
      <c r="C3533" s="63" t="str">
        <f>'Padrão EPP'!C3533</f>
        <v>RN</v>
      </c>
      <c r="D3533" s="63" t="str">
        <f>'Padrão EPP'!D3533</f>
        <v>REDESPACHO</v>
      </c>
      <c r="E3533" s="63">
        <f>'Padrão EPP'!E3533/2</f>
        <v>0</v>
      </c>
      <c r="F3533" s="67">
        <v>3.0000000000000001E-3</v>
      </c>
      <c r="G3533" s="67">
        <v>2E-3</v>
      </c>
      <c r="H3533" s="63"/>
    </row>
    <row r="3534" spans="1:8" x14ac:dyDescent="0.25">
      <c r="A3534" s="63"/>
      <c r="B3534" s="63">
        <f>'Padrão EPP'!B3534</f>
        <v>28</v>
      </c>
      <c r="C3534" s="63" t="str">
        <f>'Padrão EPP'!C3534</f>
        <v>RN</v>
      </c>
      <c r="D3534" s="63" t="str">
        <f>'Padrão EPP'!D3534</f>
        <v>REDESPACHO</v>
      </c>
      <c r="E3534" s="63">
        <f>'Padrão EPP'!E3534/2</f>
        <v>0</v>
      </c>
      <c r="F3534" s="67">
        <v>3.0000000000000001E-3</v>
      </c>
      <c r="G3534" s="67">
        <v>2E-3</v>
      </c>
      <c r="H3534" s="63"/>
    </row>
    <row r="3535" spans="1:8" x14ac:dyDescent="0.25">
      <c r="A3535" s="63"/>
      <c r="B3535" s="63">
        <f>'Padrão EPP'!B3535</f>
        <v>29</v>
      </c>
      <c r="C3535" s="63" t="str">
        <f>'Padrão EPP'!C3535</f>
        <v>RN</v>
      </c>
      <c r="D3535" s="63" t="str">
        <f>'Padrão EPP'!D3535</f>
        <v>REDESPACHO</v>
      </c>
      <c r="E3535" s="63">
        <f>'Padrão EPP'!E3535/2</f>
        <v>0</v>
      </c>
      <c r="F3535" s="67">
        <v>3.0000000000000001E-3</v>
      </c>
      <c r="G3535" s="67">
        <v>2E-3</v>
      </c>
      <c r="H3535" s="63"/>
    </row>
    <row r="3536" spans="1:8" x14ac:dyDescent="0.25">
      <c r="A3536" s="63"/>
      <c r="B3536" s="63">
        <f>'Padrão EPP'!B3536</f>
        <v>30</v>
      </c>
      <c r="C3536" s="63" t="str">
        <f>'Padrão EPP'!C3536</f>
        <v>RN</v>
      </c>
      <c r="D3536" s="63" t="str">
        <f>'Padrão EPP'!D3536</f>
        <v>REDESPACHO</v>
      </c>
      <c r="E3536" s="63">
        <f>'Padrão EPP'!E3536/2</f>
        <v>0</v>
      </c>
      <c r="F3536" s="67">
        <v>3.0000000000000001E-3</v>
      </c>
      <c r="G3536" s="67">
        <v>2E-3</v>
      </c>
      <c r="H3536" s="63"/>
    </row>
    <row r="3537" spans="1:8" x14ac:dyDescent="0.25">
      <c r="A3537" s="63"/>
      <c r="B3537" s="63">
        <f>'Padrão EPP'!B3537</f>
        <v>0</v>
      </c>
      <c r="C3537" s="63" t="str">
        <f>'Padrão EPP'!C3537</f>
        <v>RN</v>
      </c>
      <c r="D3537" s="63" t="str">
        <f>'Padrão EPP'!D3537</f>
        <v>REDESPACHO</v>
      </c>
      <c r="E3537" s="63">
        <f>'Padrão EPP'!E3537/2</f>
        <v>1.5214394455252955</v>
      </c>
      <c r="F3537" s="67">
        <v>3.0000000000000001E-3</v>
      </c>
      <c r="G3537" s="67">
        <v>2E-3</v>
      </c>
      <c r="H3537" s="63"/>
    </row>
    <row r="3538" spans="1:8" x14ac:dyDescent="0.25">
      <c r="A3538" s="63"/>
      <c r="B3538" s="63">
        <f>'Padrão EPP'!B3538</f>
        <v>0.25</v>
      </c>
      <c r="C3538" s="63" t="str">
        <f>'Padrão EPP'!C3538</f>
        <v>PI</v>
      </c>
      <c r="D3538" s="63" t="str">
        <f>'Padrão EPP'!D3538</f>
        <v>CAPITAL</v>
      </c>
      <c r="E3538" s="63">
        <f>'Padrão EPP'!E3538/2</f>
        <v>6.7796961534650455</v>
      </c>
      <c r="F3538" s="67">
        <v>3.0000000000000001E-3</v>
      </c>
      <c r="G3538" s="67">
        <v>2E-3</v>
      </c>
      <c r="H3538" s="63"/>
    </row>
    <row r="3539" spans="1:8" x14ac:dyDescent="0.25">
      <c r="A3539" s="63"/>
      <c r="B3539" s="63">
        <f>'Padrão EPP'!B3539</f>
        <v>0.5</v>
      </c>
      <c r="C3539" s="63" t="str">
        <f>'Padrão EPP'!C3539</f>
        <v>PI</v>
      </c>
      <c r="D3539" s="63" t="str">
        <f>'Padrão EPP'!D3539</f>
        <v>CAPITAL</v>
      </c>
      <c r="E3539" s="63">
        <f>'Padrão EPP'!E3539/2</f>
        <v>7.3406198078212235</v>
      </c>
      <c r="F3539" s="67">
        <v>3.0000000000000001E-3</v>
      </c>
      <c r="G3539" s="67">
        <v>2E-3</v>
      </c>
      <c r="H3539" s="63"/>
    </row>
    <row r="3540" spans="1:8" x14ac:dyDescent="0.25">
      <c r="A3540" s="63"/>
      <c r="B3540" s="63">
        <f>'Padrão EPP'!B3540</f>
        <v>0.75</v>
      </c>
      <c r="C3540" s="63" t="str">
        <f>'Padrão EPP'!C3540</f>
        <v>PI</v>
      </c>
      <c r="D3540" s="63" t="str">
        <f>'Padrão EPP'!D3540</f>
        <v>CAPITAL</v>
      </c>
      <c r="E3540" s="63">
        <f>'Padrão EPP'!E3540/2</f>
        <v>7.8667214601766302</v>
      </c>
      <c r="F3540" s="67">
        <v>3.0000000000000001E-3</v>
      </c>
      <c r="G3540" s="67">
        <v>2E-3</v>
      </c>
      <c r="H3540" s="63"/>
    </row>
    <row r="3541" spans="1:8" x14ac:dyDescent="0.25">
      <c r="A3541" s="63"/>
      <c r="B3541" s="63">
        <f>'Padrão EPP'!B3541</f>
        <v>1</v>
      </c>
      <c r="C3541" s="63" t="str">
        <f>'Padrão EPP'!C3541</f>
        <v>PI</v>
      </c>
      <c r="D3541" s="63" t="str">
        <f>'Padrão EPP'!D3541</f>
        <v>CAPITAL</v>
      </c>
      <c r="E3541" s="63">
        <f>'Padrão EPP'!E3541/2</f>
        <v>8.5267836164075312</v>
      </c>
      <c r="F3541" s="67">
        <v>3.0000000000000001E-3</v>
      </c>
      <c r="G3541" s="67">
        <v>2E-3</v>
      </c>
      <c r="H3541" s="63"/>
    </row>
    <row r="3542" spans="1:8" x14ac:dyDescent="0.25">
      <c r="A3542" s="63"/>
      <c r="B3542" s="63">
        <f>'Padrão EPP'!B3542</f>
        <v>2</v>
      </c>
      <c r="C3542" s="63" t="str">
        <f>'Padrão EPP'!C3542</f>
        <v>PI</v>
      </c>
      <c r="D3542" s="63" t="str">
        <f>'Padrão EPP'!D3542</f>
        <v>CAPITAL</v>
      </c>
      <c r="E3542" s="63">
        <f>'Padrão EPP'!E3542/2</f>
        <v>10.222706002681008</v>
      </c>
      <c r="F3542" s="67">
        <v>3.0000000000000001E-3</v>
      </c>
      <c r="G3542" s="67">
        <v>2E-3</v>
      </c>
      <c r="H3542" s="63"/>
    </row>
    <row r="3543" spans="1:8" x14ac:dyDescent="0.25">
      <c r="A3543" s="63"/>
      <c r="B3543" s="63">
        <f>'Padrão EPP'!B3543</f>
        <v>3</v>
      </c>
      <c r="C3543" s="63" t="str">
        <f>'Padrão EPP'!C3543</f>
        <v>PI</v>
      </c>
      <c r="D3543" s="63" t="str">
        <f>'Padrão EPP'!D3543</f>
        <v>CAPITAL</v>
      </c>
      <c r="E3543" s="63">
        <f>'Padrão EPP'!E3543/2</f>
        <v>13.094047128902231</v>
      </c>
      <c r="F3543" s="67">
        <v>3.0000000000000001E-3</v>
      </c>
      <c r="G3543" s="67">
        <v>2E-3</v>
      </c>
      <c r="H3543" s="63"/>
    </row>
    <row r="3544" spans="1:8" x14ac:dyDescent="0.25">
      <c r="A3544" s="63"/>
      <c r="B3544" s="63">
        <f>'Padrão EPP'!B3544</f>
        <v>4</v>
      </c>
      <c r="C3544" s="63" t="str">
        <f>'Padrão EPP'!C3544</f>
        <v>PI</v>
      </c>
      <c r="D3544" s="63" t="str">
        <f>'Padrão EPP'!D3544</f>
        <v>CAPITAL</v>
      </c>
      <c r="E3544" s="63">
        <f>'Padrão EPP'!E3544/2</f>
        <v>16.095695864975816</v>
      </c>
      <c r="F3544" s="67">
        <v>3.0000000000000001E-3</v>
      </c>
      <c r="G3544" s="67">
        <v>2E-3</v>
      </c>
      <c r="H3544" s="63"/>
    </row>
    <row r="3545" spans="1:8" x14ac:dyDescent="0.25">
      <c r="A3545" s="63"/>
      <c r="B3545" s="63">
        <f>'Padrão EPP'!B3545</f>
        <v>5</v>
      </c>
      <c r="C3545" s="63" t="str">
        <f>'Padrão EPP'!C3545</f>
        <v>PI</v>
      </c>
      <c r="D3545" s="63" t="str">
        <f>'Padrão EPP'!D3545</f>
        <v>CAPITAL</v>
      </c>
      <c r="E3545" s="63">
        <f>'Padrão EPP'!E3545/2</f>
        <v>19.600892405848768</v>
      </c>
      <c r="F3545" s="67">
        <v>3.0000000000000001E-3</v>
      </c>
      <c r="G3545" s="67">
        <v>2E-3</v>
      </c>
      <c r="H3545" s="63"/>
    </row>
    <row r="3546" spans="1:8" x14ac:dyDescent="0.25">
      <c r="A3546" s="63"/>
      <c r="B3546" s="63">
        <f>'Padrão EPP'!B3546</f>
        <v>6</v>
      </c>
      <c r="C3546" s="63" t="str">
        <f>'Padrão EPP'!C3546</f>
        <v>PI</v>
      </c>
      <c r="D3546" s="63" t="str">
        <f>'Padrão EPP'!D3546</f>
        <v>CAPITAL</v>
      </c>
      <c r="E3546" s="63">
        <f>'Padrão EPP'!E3546/2</f>
        <v>24.373630844725213</v>
      </c>
      <c r="F3546" s="67">
        <v>3.0000000000000001E-3</v>
      </c>
      <c r="G3546" s="67">
        <v>2E-3</v>
      </c>
      <c r="H3546" s="63"/>
    </row>
    <row r="3547" spans="1:8" x14ac:dyDescent="0.25">
      <c r="A3547" s="63"/>
      <c r="B3547" s="63">
        <f>'Padrão EPP'!B3547</f>
        <v>7</v>
      </c>
      <c r="C3547" s="63" t="str">
        <f>'Padrão EPP'!C3547</f>
        <v>PI</v>
      </c>
      <c r="D3547" s="63" t="str">
        <f>'Padrão EPP'!D3547</f>
        <v>CAPITAL</v>
      </c>
      <c r="E3547" s="63">
        <f>'Padrão EPP'!E3547/2</f>
        <v>27.458159362987267</v>
      </c>
      <c r="F3547" s="67">
        <v>3.0000000000000001E-3</v>
      </c>
      <c r="G3547" s="67">
        <v>2E-3</v>
      </c>
      <c r="H3547" s="63"/>
    </row>
    <row r="3548" spans="1:8" x14ac:dyDescent="0.25">
      <c r="A3548" s="63"/>
      <c r="B3548" s="63">
        <f>'Padrão EPP'!B3548</f>
        <v>8</v>
      </c>
      <c r="C3548" s="63" t="str">
        <f>'Padrão EPP'!C3548</f>
        <v>PI</v>
      </c>
      <c r="D3548" s="63" t="str">
        <f>'Padrão EPP'!D3548</f>
        <v>CAPITAL</v>
      </c>
      <c r="E3548" s="63">
        <f>'Padrão EPP'!E3548/2</f>
        <v>30.588094721314906</v>
      </c>
      <c r="F3548" s="67">
        <v>3.0000000000000001E-3</v>
      </c>
      <c r="G3548" s="67">
        <v>2E-3</v>
      </c>
      <c r="H3548" s="63"/>
    </row>
    <row r="3549" spans="1:8" x14ac:dyDescent="0.25">
      <c r="A3549" s="63"/>
      <c r="B3549" s="63">
        <f>'Padrão EPP'!B3549</f>
        <v>9</v>
      </c>
      <c r="C3549" s="63" t="str">
        <f>'Padrão EPP'!C3549</f>
        <v>PI</v>
      </c>
      <c r="D3549" s="63" t="str">
        <f>'Padrão EPP'!D3549</f>
        <v>CAPITAL</v>
      </c>
      <c r="E3549" s="63">
        <f>'Padrão EPP'!E3549/2</f>
        <v>33.767977603714634</v>
      </c>
      <c r="F3549" s="67">
        <v>3.0000000000000001E-3</v>
      </c>
      <c r="G3549" s="67">
        <v>2E-3</v>
      </c>
      <c r="H3549" s="63"/>
    </row>
    <row r="3550" spans="1:8" x14ac:dyDescent="0.25">
      <c r="A3550" s="63"/>
      <c r="B3550" s="63">
        <f>'Padrão EPP'!B3550</f>
        <v>10</v>
      </c>
      <c r="C3550" s="63" t="str">
        <f>'Padrão EPP'!C3550</f>
        <v>PI</v>
      </c>
      <c r="D3550" s="63" t="str">
        <f>'Padrão EPP'!D3550</f>
        <v>CAPITAL</v>
      </c>
      <c r="E3550" s="63">
        <f>'Padrão EPP'!E3550/2</f>
        <v>36.848368425291959</v>
      </c>
      <c r="F3550" s="67">
        <v>3.0000000000000001E-3</v>
      </c>
      <c r="G3550" s="67">
        <v>2E-3</v>
      </c>
      <c r="H3550" s="63"/>
    </row>
    <row r="3551" spans="1:8" x14ac:dyDescent="0.25">
      <c r="A3551" s="63"/>
      <c r="B3551" s="63">
        <f>'Padrão EPP'!B3551</f>
        <v>11</v>
      </c>
      <c r="C3551" s="63" t="str">
        <f>'Padrão EPP'!C3551</f>
        <v>PI</v>
      </c>
      <c r="D3551" s="63" t="str">
        <f>'Padrão EPP'!D3551</f>
        <v>CAPITAL</v>
      </c>
      <c r="E3551" s="63">
        <f>'Padrão EPP'!E3551/2</f>
        <v>0</v>
      </c>
      <c r="F3551" s="67">
        <v>3.0000000000000001E-3</v>
      </c>
      <c r="G3551" s="67">
        <v>2E-3</v>
      </c>
      <c r="H3551" s="63"/>
    </row>
    <row r="3552" spans="1:8" x14ac:dyDescent="0.25">
      <c r="A3552" s="63"/>
      <c r="B3552" s="63">
        <f>'Padrão EPP'!B3552</f>
        <v>12</v>
      </c>
      <c r="C3552" s="63" t="str">
        <f>'Padrão EPP'!C3552</f>
        <v>PI</v>
      </c>
      <c r="D3552" s="63" t="str">
        <f>'Padrão EPP'!D3552</f>
        <v>CAPITAL</v>
      </c>
      <c r="E3552" s="63">
        <f>'Padrão EPP'!E3552/2</f>
        <v>0</v>
      </c>
      <c r="F3552" s="67">
        <v>3.0000000000000001E-3</v>
      </c>
      <c r="G3552" s="67">
        <v>2E-3</v>
      </c>
      <c r="H3552" s="63"/>
    </row>
    <row r="3553" spans="1:8" x14ac:dyDescent="0.25">
      <c r="A3553" s="63"/>
      <c r="B3553" s="63">
        <f>'Padrão EPP'!B3553</f>
        <v>13</v>
      </c>
      <c r="C3553" s="63" t="str">
        <f>'Padrão EPP'!C3553</f>
        <v>PI</v>
      </c>
      <c r="D3553" s="63" t="str">
        <f>'Padrão EPP'!D3553</f>
        <v>CAPITAL</v>
      </c>
      <c r="E3553" s="63">
        <f>'Padrão EPP'!E3553/2</f>
        <v>0</v>
      </c>
      <c r="F3553" s="67">
        <v>3.0000000000000001E-3</v>
      </c>
      <c r="G3553" s="67">
        <v>2E-3</v>
      </c>
      <c r="H3553" s="63"/>
    </row>
    <row r="3554" spans="1:8" x14ac:dyDescent="0.25">
      <c r="A3554" s="63"/>
      <c r="B3554" s="63">
        <f>'Padrão EPP'!B3554</f>
        <v>14</v>
      </c>
      <c r="C3554" s="63" t="str">
        <f>'Padrão EPP'!C3554</f>
        <v>PI</v>
      </c>
      <c r="D3554" s="63" t="str">
        <f>'Padrão EPP'!D3554</f>
        <v>CAPITAL</v>
      </c>
      <c r="E3554" s="63">
        <f>'Padrão EPP'!E3554/2</f>
        <v>0</v>
      </c>
      <c r="F3554" s="67">
        <v>3.0000000000000001E-3</v>
      </c>
      <c r="G3554" s="67">
        <v>2E-3</v>
      </c>
      <c r="H3554" s="63"/>
    </row>
    <row r="3555" spans="1:8" x14ac:dyDescent="0.25">
      <c r="A3555" s="63"/>
      <c r="B3555" s="63">
        <f>'Padrão EPP'!B3555</f>
        <v>15</v>
      </c>
      <c r="C3555" s="63" t="str">
        <f>'Padrão EPP'!C3555</f>
        <v>PI</v>
      </c>
      <c r="D3555" s="63" t="str">
        <f>'Padrão EPP'!D3555</f>
        <v>CAPITAL</v>
      </c>
      <c r="E3555" s="63">
        <f>'Padrão EPP'!E3555/2</f>
        <v>0</v>
      </c>
      <c r="F3555" s="67">
        <v>3.0000000000000001E-3</v>
      </c>
      <c r="G3555" s="67">
        <v>2E-3</v>
      </c>
      <c r="H3555" s="63"/>
    </row>
    <row r="3556" spans="1:8" x14ac:dyDescent="0.25">
      <c r="A3556" s="63"/>
      <c r="B3556" s="63">
        <f>'Padrão EPP'!B3556</f>
        <v>16</v>
      </c>
      <c r="C3556" s="63" t="str">
        <f>'Padrão EPP'!C3556</f>
        <v>PI</v>
      </c>
      <c r="D3556" s="63" t="str">
        <f>'Padrão EPP'!D3556</f>
        <v>CAPITAL</v>
      </c>
      <c r="E3556" s="63">
        <f>'Padrão EPP'!E3556/2</f>
        <v>0</v>
      </c>
      <c r="F3556" s="67">
        <v>3.0000000000000001E-3</v>
      </c>
      <c r="G3556" s="67">
        <v>2E-3</v>
      </c>
      <c r="H3556" s="63"/>
    </row>
    <row r="3557" spans="1:8" x14ac:dyDescent="0.25">
      <c r="A3557" s="63"/>
      <c r="B3557" s="63">
        <f>'Padrão EPP'!B3557</f>
        <v>17</v>
      </c>
      <c r="C3557" s="63" t="str">
        <f>'Padrão EPP'!C3557</f>
        <v>PI</v>
      </c>
      <c r="D3557" s="63" t="str">
        <f>'Padrão EPP'!D3557</f>
        <v>CAPITAL</v>
      </c>
      <c r="E3557" s="63">
        <f>'Padrão EPP'!E3557/2</f>
        <v>0</v>
      </c>
      <c r="F3557" s="67">
        <v>3.0000000000000001E-3</v>
      </c>
      <c r="G3557" s="67">
        <v>2E-3</v>
      </c>
      <c r="H3557" s="63"/>
    </row>
    <row r="3558" spans="1:8" x14ac:dyDescent="0.25">
      <c r="A3558" s="63"/>
      <c r="B3558" s="63">
        <f>'Padrão EPP'!B3558</f>
        <v>18</v>
      </c>
      <c r="C3558" s="63" t="str">
        <f>'Padrão EPP'!C3558</f>
        <v>PI</v>
      </c>
      <c r="D3558" s="63" t="str">
        <f>'Padrão EPP'!D3558</f>
        <v>CAPITAL</v>
      </c>
      <c r="E3558" s="63">
        <f>'Padrão EPP'!E3558/2</f>
        <v>0</v>
      </c>
      <c r="F3558" s="67">
        <v>3.0000000000000001E-3</v>
      </c>
      <c r="G3558" s="67">
        <v>2E-3</v>
      </c>
      <c r="H3558" s="63"/>
    </row>
    <row r="3559" spans="1:8" x14ac:dyDescent="0.25">
      <c r="A3559" s="63"/>
      <c r="B3559" s="63">
        <f>'Padrão EPP'!B3559</f>
        <v>19</v>
      </c>
      <c r="C3559" s="63" t="str">
        <f>'Padrão EPP'!C3559</f>
        <v>PI</v>
      </c>
      <c r="D3559" s="63" t="str">
        <f>'Padrão EPP'!D3559</f>
        <v>CAPITAL</v>
      </c>
      <c r="E3559" s="63">
        <f>'Padrão EPP'!E3559/2</f>
        <v>0</v>
      </c>
      <c r="F3559" s="67">
        <v>3.0000000000000001E-3</v>
      </c>
      <c r="G3559" s="67">
        <v>2E-3</v>
      </c>
      <c r="H3559" s="63"/>
    </row>
    <row r="3560" spans="1:8" x14ac:dyDescent="0.25">
      <c r="A3560" s="63"/>
      <c r="B3560" s="63">
        <f>'Padrão EPP'!B3560</f>
        <v>20</v>
      </c>
      <c r="C3560" s="63" t="str">
        <f>'Padrão EPP'!C3560</f>
        <v>PI</v>
      </c>
      <c r="D3560" s="63" t="str">
        <f>'Padrão EPP'!D3560</f>
        <v>CAPITAL</v>
      </c>
      <c r="E3560" s="63">
        <f>'Padrão EPP'!E3560/2</f>
        <v>0</v>
      </c>
      <c r="F3560" s="67">
        <v>3.0000000000000001E-3</v>
      </c>
      <c r="G3560" s="67">
        <v>2E-3</v>
      </c>
      <c r="H3560" s="63"/>
    </row>
    <row r="3561" spans="1:8" x14ac:dyDescent="0.25">
      <c r="A3561" s="63"/>
      <c r="B3561" s="63">
        <f>'Padrão EPP'!B3561</f>
        <v>21</v>
      </c>
      <c r="C3561" s="63" t="str">
        <f>'Padrão EPP'!C3561</f>
        <v>PI</v>
      </c>
      <c r="D3561" s="63" t="str">
        <f>'Padrão EPP'!D3561</f>
        <v>CAPITAL</v>
      </c>
      <c r="E3561" s="63">
        <f>'Padrão EPP'!E3561/2</f>
        <v>0</v>
      </c>
      <c r="F3561" s="67">
        <v>3.0000000000000001E-3</v>
      </c>
      <c r="G3561" s="67">
        <v>2E-3</v>
      </c>
      <c r="H3561" s="63"/>
    </row>
    <row r="3562" spans="1:8" x14ac:dyDescent="0.25">
      <c r="A3562" s="63"/>
      <c r="B3562" s="63">
        <f>'Padrão EPP'!B3562</f>
        <v>22</v>
      </c>
      <c r="C3562" s="63" t="str">
        <f>'Padrão EPP'!C3562</f>
        <v>PI</v>
      </c>
      <c r="D3562" s="63" t="str">
        <f>'Padrão EPP'!D3562</f>
        <v>CAPITAL</v>
      </c>
      <c r="E3562" s="63">
        <f>'Padrão EPP'!E3562/2</f>
        <v>0</v>
      </c>
      <c r="F3562" s="67">
        <v>3.0000000000000001E-3</v>
      </c>
      <c r="G3562" s="67">
        <v>2E-3</v>
      </c>
      <c r="H3562" s="63"/>
    </row>
    <row r="3563" spans="1:8" x14ac:dyDescent="0.25">
      <c r="A3563" s="63"/>
      <c r="B3563" s="63">
        <f>'Padrão EPP'!B3563</f>
        <v>23</v>
      </c>
      <c r="C3563" s="63" t="str">
        <f>'Padrão EPP'!C3563</f>
        <v>PI</v>
      </c>
      <c r="D3563" s="63" t="str">
        <f>'Padrão EPP'!D3563</f>
        <v>CAPITAL</v>
      </c>
      <c r="E3563" s="63">
        <f>'Padrão EPP'!E3563/2</f>
        <v>0</v>
      </c>
      <c r="F3563" s="67">
        <v>3.0000000000000001E-3</v>
      </c>
      <c r="G3563" s="67">
        <v>2E-3</v>
      </c>
      <c r="H3563" s="63"/>
    </row>
    <row r="3564" spans="1:8" x14ac:dyDescent="0.25">
      <c r="A3564" s="63"/>
      <c r="B3564" s="63">
        <f>'Padrão EPP'!B3564</f>
        <v>24</v>
      </c>
      <c r="C3564" s="63" t="str">
        <f>'Padrão EPP'!C3564</f>
        <v>PI</v>
      </c>
      <c r="D3564" s="63" t="str">
        <f>'Padrão EPP'!D3564</f>
        <v>CAPITAL</v>
      </c>
      <c r="E3564" s="63">
        <f>'Padrão EPP'!E3564/2</f>
        <v>0</v>
      </c>
      <c r="F3564" s="67">
        <v>3.0000000000000001E-3</v>
      </c>
      <c r="G3564" s="67">
        <v>2E-3</v>
      </c>
      <c r="H3564" s="63"/>
    </row>
    <row r="3565" spans="1:8" x14ac:dyDescent="0.25">
      <c r="A3565" s="63"/>
      <c r="B3565" s="63">
        <f>'Padrão EPP'!B3565</f>
        <v>25</v>
      </c>
      <c r="C3565" s="63" t="str">
        <f>'Padrão EPP'!C3565</f>
        <v>PI</v>
      </c>
      <c r="D3565" s="63" t="str">
        <f>'Padrão EPP'!D3565</f>
        <v>CAPITAL</v>
      </c>
      <c r="E3565" s="63">
        <f>'Padrão EPP'!E3565/2</f>
        <v>0</v>
      </c>
      <c r="F3565" s="67">
        <v>3.0000000000000001E-3</v>
      </c>
      <c r="G3565" s="67">
        <v>2E-3</v>
      </c>
      <c r="H3565" s="63"/>
    </row>
    <row r="3566" spans="1:8" x14ac:dyDescent="0.25">
      <c r="A3566" s="63"/>
      <c r="B3566" s="63">
        <f>'Padrão EPP'!B3566</f>
        <v>26</v>
      </c>
      <c r="C3566" s="63" t="str">
        <f>'Padrão EPP'!C3566</f>
        <v>PI</v>
      </c>
      <c r="D3566" s="63" t="str">
        <f>'Padrão EPP'!D3566</f>
        <v>CAPITAL</v>
      </c>
      <c r="E3566" s="63">
        <f>'Padrão EPP'!E3566/2</f>
        <v>0</v>
      </c>
      <c r="F3566" s="67">
        <v>3.0000000000000001E-3</v>
      </c>
      <c r="G3566" s="67">
        <v>2E-3</v>
      </c>
      <c r="H3566" s="63"/>
    </row>
    <row r="3567" spans="1:8" x14ac:dyDescent="0.25">
      <c r="A3567" s="63"/>
      <c r="B3567" s="63">
        <f>'Padrão EPP'!B3567</f>
        <v>27</v>
      </c>
      <c r="C3567" s="63" t="str">
        <f>'Padrão EPP'!C3567</f>
        <v>PI</v>
      </c>
      <c r="D3567" s="63" t="str">
        <f>'Padrão EPP'!D3567</f>
        <v>CAPITAL</v>
      </c>
      <c r="E3567" s="63">
        <f>'Padrão EPP'!E3567/2</f>
        <v>0</v>
      </c>
      <c r="F3567" s="67">
        <v>3.0000000000000001E-3</v>
      </c>
      <c r="G3567" s="67">
        <v>2E-3</v>
      </c>
      <c r="H3567" s="63"/>
    </row>
    <row r="3568" spans="1:8" x14ac:dyDescent="0.25">
      <c r="A3568" s="63"/>
      <c r="B3568" s="63">
        <f>'Padrão EPP'!B3568</f>
        <v>28</v>
      </c>
      <c r="C3568" s="63" t="str">
        <f>'Padrão EPP'!C3568</f>
        <v>PI</v>
      </c>
      <c r="D3568" s="63" t="str">
        <f>'Padrão EPP'!D3568</f>
        <v>CAPITAL</v>
      </c>
      <c r="E3568" s="63">
        <f>'Padrão EPP'!E3568/2</f>
        <v>0</v>
      </c>
      <c r="F3568" s="67">
        <v>3.0000000000000001E-3</v>
      </c>
      <c r="G3568" s="67">
        <v>2E-3</v>
      </c>
      <c r="H3568" s="63"/>
    </row>
    <row r="3569" spans="1:8" x14ac:dyDescent="0.25">
      <c r="A3569" s="63"/>
      <c r="B3569" s="63">
        <f>'Padrão EPP'!B3569</f>
        <v>29</v>
      </c>
      <c r="C3569" s="63" t="str">
        <f>'Padrão EPP'!C3569</f>
        <v>PI</v>
      </c>
      <c r="D3569" s="63" t="str">
        <f>'Padrão EPP'!D3569</f>
        <v>CAPITAL</v>
      </c>
      <c r="E3569" s="63">
        <f>'Padrão EPP'!E3569/2</f>
        <v>0</v>
      </c>
      <c r="F3569" s="67">
        <v>3.0000000000000001E-3</v>
      </c>
      <c r="G3569" s="67">
        <v>2E-3</v>
      </c>
      <c r="H3569" s="63"/>
    </row>
    <row r="3570" spans="1:8" x14ac:dyDescent="0.25">
      <c r="A3570" s="63"/>
      <c r="B3570" s="63">
        <f>'Padrão EPP'!B3570</f>
        <v>30</v>
      </c>
      <c r="C3570" s="63" t="str">
        <f>'Padrão EPP'!C3570</f>
        <v>PI</v>
      </c>
      <c r="D3570" s="63" t="str">
        <f>'Padrão EPP'!D3570</f>
        <v>CAPITAL</v>
      </c>
      <c r="E3570" s="63">
        <f>'Padrão EPP'!E3570/2</f>
        <v>0</v>
      </c>
      <c r="F3570" s="67">
        <v>3.0000000000000001E-3</v>
      </c>
      <c r="G3570" s="67">
        <v>2E-3</v>
      </c>
      <c r="H3570" s="63"/>
    </row>
    <row r="3571" spans="1:8" x14ac:dyDescent="0.25">
      <c r="A3571" s="63"/>
      <c r="B3571" s="63">
        <f>'Padrão EPP'!B3571</f>
        <v>0</v>
      </c>
      <c r="C3571" s="63" t="str">
        <f>'Padrão EPP'!C3571</f>
        <v>PI</v>
      </c>
      <c r="D3571" s="63" t="str">
        <f>'Padrão EPP'!D3571</f>
        <v>CAPITAL</v>
      </c>
      <c r="E3571" s="63">
        <f>'Padrão EPP'!E3571/2</f>
        <v>1.5214394455252955</v>
      </c>
      <c r="F3571" s="67">
        <v>3.0000000000000001E-3</v>
      </c>
      <c r="G3571" s="67">
        <v>2E-3</v>
      </c>
      <c r="H3571" s="63"/>
    </row>
    <row r="3572" spans="1:8" x14ac:dyDescent="0.25">
      <c r="A3572" s="63"/>
      <c r="B3572" s="63">
        <f>'Padrão EPP'!B3572</f>
        <v>0.25</v>
      </c>
      <c r="C3572" s="63" t="str">
        <f>'Padrão EPP'!C3572</f>
        <v>PI</v>
      </c>
      <c r="D3572" s="63" t="str">
        <f>'Padrão EPP'!D3572</f>
        <v>INTERIOR</v>
      </c>
      <c r="E3572" s="63">
        <f>'Padrão EPP'!E3572/2</f>
        <v>9.261532237935123</v>
      </c>
      <c r="F3572" s="67">
        <v>3.0000000000000001E-3</v>
      </c>
      <c r="G3572" s="67">
        <v>2E-3</v>
      </c>
      <c r="H3572" s="63"/>
    </row>
    <row r="3573" spans="1:8" x14ac:dyDescent="0.25">
      <c r="A3573" s="63"/>
      <c r="B3573" s="63">
        <f>'Padrão EPP'!B3573</f>
        <v>0.5</v>
      </c>
      <c r="C3573" s="63" t="str">
        <f>'Padrão EPP'!C3573</f>
        <v>PI</v>
      </c>
      <c r="D3573" s="63" t="str">
        <f>'Padrão EPP'!D3573</f>
        <v>INTERIOR</v>
      </c>
      <c r="E3573" s="63">
        <f>'Padrão EPP'!E3573/2</f>
        <v>9.993042960772252</v>
      </c>
      <c r="F3573" s="67">
        <v>3.0000000000000001E-3</v>
      </c>
      <c r="G3573" s="67">
        <v>2E-3</v>
      </c>
      <c r="H3573" s="63"/>
    </row>
    <row r="3574" spans="1:8" x14ac:dyDescent="0.25">
      <c r="A3574" s="63"/>
      <c r="B3574" s="63">
        <f>'Padrão EPP'!B3574</f>
        <v>0.75</v>
      </c>
      <c r="C3574" s="63" t="str">
        <f>'Padrão EPP'!C3574</f>
        <v>PI</v>
      </c>
      <c r="D3574" s="63" t="str">
        <f>'Padrão EPP'!D3574</f>
        <v>INTERIOR</v>
      </c>
      <c r="E3574" s="63">
        <f>'Padrão EPP'!E3574/2</f>
        <v>11.064716954949535</v>
      </c>
      <c r="F3574" s="67">
        <v>3.0000000000000001E-3</v>
      </c>
      <c r="G3574" s="67">
        <v>2E-3</v>
      </c>
      <c r="H3574" s="63"/>
    </row>
    <row r="3575" spans="1:8" x14ac:dyDescent="0.25">
      <c r="A3575" s="63"/>
      <c r="B3575" s="63">
        <f>'Padrão EPP'!B3575</f>
        <v>1</v>
      </c>
      <c r="C3575" s="63" t="str">
        <f>'Padrão EPP'!C3575</f>
        <v>PI</v>
      </c>
      <c r="D3575" s="63" t="str">
        <f>'Padrão EPP'!D3575</f>
        <v>INTERIOR</v>
      </c>
      <c r="E3575" s="63">
        <f>'Padrão EPP'!E3575/2</f>
        <v>12.180793674826983</v>
      </c>
      <c r="F3575" s="67">
        <v>3.0000000000000001E-3</v>
      </c>
      <c r="G3575" s="67">
        <v>2E-3</v>
      </c>
      <c r="H3575" s="63"/>
    </row>
    <row r="3576" spans="1:8" x14ac:dyDescent="0.25">
      <c r="A3576" s="63"/>
      <c r="B3576" s="63">
        <f>'Padrão EPP'!B3576</f>
        <v>2</v>
      </c>
      <c r="C3576" s="63" t="str">
        <f>'Padrão EPP'!C3576</f>
        <v>PI</v>
      </c>
      <c r="D3576" s="63" t="str">
        <f>'Padrão EPP'!D3576</f>
        <v>INTERIOR</v>
      </c>
      <c r="E3576" s="63">
        <f>'Padrão EPP'!E3576/2</f>
        <v>15.008167394447398</v>
      </c>
      <c r="F3576" s="67">
        <v>3.0000000000000001E-3</v>
      </c>
      <c r="G3576" s="67">
        <v>2E-3</v>
      </c>
      <c r="H3576" s="63"/>
    </row>
    <row r="3577" spans="1:8" x14ac:dyDescent="0.25">
      <c r="A3577" s="63"/>
      <c r="B3577" s="63">
        <f>'Padrão EPP'!B3577</f>
        <v>3</v>
      </c>
      <c r="C3577" s="63" t="str">
        <f>'Padrão EPP'!C3577</f>
        <v>PI</v>
      </c>
      <c r="D3577" s="63" t="str">
        <f>'Padrão EPP'!D3577</f>
        <v>INTERIOR</v>
      </c>
      <c r="E3577" s="63">
        <f>'Padrão EPP'!E3577/2</f>
        <v>18.178588995590122</v>
      </c>
      <c r="F3577" s="67">
        <v>3.0000000000000001E-3</v>
      </c>
      <c r="G3577" s="67">
        <v>2E-3</v>
      </c>
      <c r="H3577" s="63"/>
    </row>
    <row r="3578" spans="1:8" x14ac:dyDescent="0.25">
      <c r="A3578" s="63"/>
      <c r="B3578" s="63">
        <f>'Padrão EPP'!B3578</f>
        <v>4</v>
      </c>
      <c r="C3578" s="63" t="str">
        <f>'Padrão EPP'!C3578</f>
        <v>PI</v>
      </c>
      <c r="D3578" s="63" t="str">
        <f>'Padrão EPP'!D3578</f>
        <v>INTERIOR</v>
      </c>
      <c r="E3578" s="63">
        <f>'Padrão EPP'!E3578/2</f>
        <v>21.442663565634149</v>
      </c>
      <c r="F3578" s="67">
        <v>3.0000000000000001E-3</v>
      </c>
      <c r="G3578" s="67">
        <v>2E-3</v>
      </c>
      <c r="H3578" s="63"/>
    </row>
    <row r="3579" spans="1:8" x14ac:dyDescent="0.25">
      <c r="A3579" s="63"/>
      <c r="B3579" s="63">
        <f>'Padrão EPP'!B3579</f>
        <v>5</v>
      </c>
      <c r="C3579" s="63" t="str">
        <f>'Padrão EPP'!C3579</f>
        <v>PI</v>
      </c>
      <c r="D3579" s="63" t="str">
        <f>'Padrão EPP'!D3579</f>
        <v>INTERIOR</v>
      </c>
      <c r="E3579" s="63">
        <f>'Padrão EPP'!E3579/2</f>
        <v>24.829739592922714</v>
      </c>
      <c r="F3579" s="67">
        <v>3.0000000000000001E-3</v>
      </c>
      <c r="G3579" s="67">
        <v>2E-3</v>
      </c>
      <c r="H3579" s="63"/>
    </row>
    <row r="3580" spans="1:8" x14ac:dyDescent="0.25">
      <c r="A3580" s="63"/>
      <c r="B3580" s="63">
        <f>'Padrão EPP'!B3580</f>
        <v>6</v>
      </c>
      <c r="C3580" s="63" t="str">
        <f>'Padrão EPP'!C3580</f>
        <v>PI</v>
      </c>
      <c r="D3580" s="63" t="str">
        <f>'Padrão EPP'!D3580</f>
        <v>INTERIOR</v>
      </c>
      <c r="E3580" s="63">
        <f>'Padrão EPP'!E3580/2</f>
        <v>28.290152913744738</v>
      </c>
      <c r="F3580" s="67">
        <v>3.0000000000000001E-3</v>
      </c>
      <c r="G3580" s="67">
        <v>2E-3</v>
      </c>
      <c r="H3580" s="63"/>
    </row>
    <row r="3581" spans="1:8" x14ac:dyDescent="0.25">
      <c r="A3581" s="63"/>
      <c r="B3581" s="63">
        <f>'Padrão EPP'!B3581</f>
        <v>7</v>
      </c>
      <c r="C3581" s="63" t="str">
        <f>'Padrão EPP'!C3581</f>
        <v>PI</v>
      </c>
      <c r="D3581" s="63" t="str">
        <f>'Padrão EPP'!D3581</f>
        <v>INTERIOR</v>
      </c>
      <c r="E3581" s="63">
        <f>'Padrão EPP'!E3581/2</f>
        <v>31.833336854319338</v>
      </c>
      <c r="F3581" s="67">
        <v>3.0000000000000001E-3</v>
      </c>
      <c r="G3581" s="67">
        <v>2E-3</v>
      </c>
      <c r="H3581" s="63"/>
    </row>
    <row r="3582" spans="1:8" x14ac:dyDescent="0.25">
      <c r="A3582" s="63"/>
      <c r="B3582" s="63">
        <f>'Padrão EPP'!B3582</f>
        <v>8</v>
      </c>
      <c r="C3582" s="63" t="str">
        <f>'Padrão EPP'!C3582</f>
        <v>PI</v>
      </c>
      <c r="D3582" s="63" t="str">
        <f>'Padrão EPP'!D3582</f>
        <v>INTERIOR</v>
      </c>
      <c r="E3582" s="63">
        <f>'Padrão EPP'!E3582/2</f>
        <v>35.469970180578599</v>
      </c>
      <c r="F3582" s="67">
        <v>3.0000000000000001E-3</v>
      </c>
      <c r="G3582" s="67">
        <v>2E-3</v>
      </c>
      <c r="H3582" s="63"/>
    </row>
    <row r="3583" spans="1:8" x14ac:dyDescent="0.25">
      <c r="A3583" s="63"/>
      <c r="B3583" s="63">
        <f>'Padrão EPP'!B3583</f>
        <v>9</v>
      </c>
      <c r="C3583" s="63" t="str">
        <f>'Padrão EPP'!C3583</f>
        <v>PI</v>
      </c>
      <c r="D3583" s="63" t="str">
        <f>'Padrão EPP'!D3583</f>
        <v>INTERIOR</v>
      </c>
      <c r="E3583" s="63">
        <f>'Padrão EPP'!E3583/2</f>
        <v>38.966589271644224</v>
      </c>
      <c r="F3583" s="67">
        <v>3.0000000000000001E-3</v>
      </c>
      <c r="G3583" s="67">
        <v>2E-3</v>
      </c>
      <c r="H3583" s="63"/>
    </row>
    <row r="3584" spans="1:8" x14ac:dyDescent="0.25">
      <c r="A3584" s="63"/>
      <c r="B3584" s="63">
        <f>'Padrão EPP'!B3584</f>
        <v>10</v>
      </c>
      <c r="C3584" s="63" t="str">
        <f>'Padrão EPP'!C3584</f>
        <v>PI</v>
      </c>
      <c r="D3584" s="63" t="str">
        <f>'Padrão EPP'!D3584</f>
        <v>INTERIOR</v>
      </c>
      <c r="E3584" s="63">
        <f>'Padrão EPP'!E3584/2</f>
        <v>42.722195326258557</v>
      </c>
      <c r="F3584" s="67">
        <v>3.0000000000000001E-3</v>
      </c>
      <c r="G3584" s="67">
        <v>2E-3</v>
      </c>
      <c r="H3584" s="63"/>
    </row>
    <row r="3585" spans="1:8" x14ac:dyDescent="0.25">
      <c r="A3585" s="63"/>
      <c r="B3585" s="63">
        <f>'Padrão EPP'!B3585</f>
        <v>11</v>
      </c>
      <c r="C3585" s="63" t="str">
        <f>'Padrão EPP'!C3585</f>
        <v>PI</v>
      </c>
      <c r="D3585" s="63" t="str">
        <f>'Padrão EPP'!D3585</f>
        <v>INTERIOR</v>
      </c>
      <c r="E3585" s="63">
        <f>'Padrão EPP'!E3585/2</f>
        <v>0</v>
      </c>
      <c r="F3585" s="67">
        <v>3.0000000000000001E-3</v>
      </c>
      <c r="G3585" s="67">
        <v>2E-3</v>
      </c>
      <c r="H3585" s="63"/>
    </row>
    <row r="3586" spans="1:8" x14ac:dyDescent="0.25">
      <c r="A3586" s="63"/>
      <c r="B3586" s="63">
        <f>'Padrão EPP'!B3586</f>
        <v>12</v>
      </c>
      <c r="C3586" s="63" t="str">
        <f>'Padrão EPP'!C3586</f>
        <v>PI</v>
      </c>
      <c r="D3586" s="63" t="str">
        <f>'Padrão EPP'!D3586</f>
        <v>INTERIOR</v>
      </c>
      <c r="E3586" s="63">
        <f>'Padrão EPP'!E3586/2</f>
        <v>0</v>
      </c>
      <c r="F3586" s="67">
        <v>3.0000000000000001E-3</v>
      </c>
      <c r="G3586" s="67">
        <v>2E-3</v>
      </c>
      <c r="H3586" s="63"/>
    </row>
    <row r="3587" spans="1:8" x14ac:dyDescent="0.25">
      <c r="A3587" s="63"/>
      <c r="B3587" s="63">
        <f>'Padrão EPP'!B3587</f>
        <v>13</v>
      </c>
      <c r="C3587" s="63" t="str">
        <f>'Padrão EPP'!C3587</f>
        <v>PI</v>
      </c>
      <c r="D3587" s="63" t="str">
        <f>'Padrão EPP'!D3587</f>
        <v>INTERIOR</v>
      </c>
      <c r="E3587" s="63">
        <f>'Padrão EPP'!E3587/2</f>
        <v>0</v>
      </c>
      <c r="F3587" s="67">
        <v>3.0000000000000001E-3</v>
      </c>
      <c r="G3587" s="67">
        <v>2E-3</v>
      </c>
      <c r="H3587" s="63"/>
    </row>
    <row r="3588" spans="1:8" x14ac:dyDescent="0.25">
      <c r="A3588" s="63"/>
      <c r="B3588" s="63">
        <f>'Padrão EPP'!B3588</f>
        <v>14</v>
      </c>
      <c r="C3588" s="63" t="str">
        <f>'Padrão EPP'!C3588</f>
        <v>PI</v>
      </c>
      <c r="D3588" s="63" t="str">
        <f>'Padrão EPP'!D3588</f>
        <v>INTERIOR</v>
      </c>
      <c r="E3588" s="63">
        <f>'Padrão EPP'!E3588/2</f>
        <v>0</v>
      </c>
      <c r="F3588" s="67">
        <v>3.0000000000000001E-3</v>
      </c>
      <c r="G3588" s="67">
        <v>2E-3</v>
      </c>
      <c r="H3588" s="63"/>
    </row>
    <row r="3589" spans="1:8" x14ac:dyDescent="0.25">
      <c r="A3589" s="63"/>
      <c r="B3589" s="63">
        <f>'Padrão EPP'!B3589</f>
        <v>15</v>
      </c>
      <c r="C3589" s="63" t="str">
        <f>'Padrão EPP'!C3589</f>
        <v>PI</v>
      </c>
      <c r="D3589" s="63" t="str">
        <f>'Padrão EPP'!D3589</f>
        <v>INTERIOR</v>
      </c>
      <c r="E3589" s="63">
        <f>'Padrão EPP'!E3589/2</f>
        <v>0</v>
      </c>
      <c r="F3589" s="67">
        <v>3.0000000000000001E-3</v>
      </c>
      <c r="G3589" s="67">
        <v>2E-3</v>
      </c>
      <c r="H3589" s="63"/>
    </row>
    <row r="3590" spans="1:8" x14ac:dyDescent="0.25">
      <c r="A3590" s="63"/>
      <c r="B3590" s="63">
        <f>'Padrão EPP'!B3590</f>
        <v>16</v>
      </c>
      <c r="C3590" s="63" t="str">
        <f>'Padrão EPP'!C3590</f>
        <v>PI</v>
      </c>
      <c r="D3590" s="63" t="str">
        <f>'Padrão EPP'!D3590</f>
        <v>INTERIOR</v>
      </c>
      <c r="E3590" s="63">
        <f>'Padrão EPP'!E3590/2</f>
        <v>0</v>
      </c>
      <c r="F3590" s="67">
        <v>3.0000000000000001E-3</v>
      </c>
      <c r="G3590" s="67">
        <v>2E-3</v>
      </c>
      <c r="H3590" s="63"/>
    </row>
    <row r="3591" spans="1:8" x14ac:dyDescent="0.25">
      <c r="A3591" s="63"/>
      <c r="B3591" s="63">
        <f>'Padrão EPP'!B3591</f>
        <v>17</v>
      </c>
      <c r="C3591" s="63" t="str">
        <f>'Padrão EPP'!C3591</f>
        <v>PI</v>
      </c>
      <c r="D3591" s="63" t="str">
        <f>'Padrão EPP'!D3591</f>
        <v>INTERIOR</v>
      </c>
      <c r="E3591" s="63">
        <f>'Padrão EPP'!E3591/2</f>
        <v>0</v>
      </c>
      <c r="F3591" s="67">
        <v>3.0000000000000001E-3</v>
      </c>
      <c r="G3591" s="67">
        <v>2E-3</v>
      </c>
      <c r="H3591" s="63"/>
    </row>
    <row r="3592" spans="1:8" x14ac:dyDescent="0.25">
      <c r="A3592" s="63"/>
      <c r="B3592" s="63">
        <f>'Padrão EPP'!B3592</f>
        <v>18</v>
      </c>
      <c r="C3592" s="63" t="str">
        <f>'Padrão EPP'!C3592</f>
        <v>PI</v>
      </c>
      <c r="D3592" s="63" t="str">
        <f>'Padrão EPP'!D3592</f>
        <v>INTERIOR</v>
      </c>
      <c r="E3592" s="63">
        <f>'Padrão EPP'!E3592/2</f>
        <v>0</v>
      </c>
      <c r="F3592" s="67">
        <v>3.0000000000000001E-3</v>
      </c>
      <c r="G3592" s="67">
        <v>2E-3</v>
      </c>
      <c r="H3592" s="63"/>
    </row>
    <row r="3593" spans="1:8" x14ac:dyDescent="0.25">
      <c r="A3593" s="63"/>
      <c r="B3593" s="63">
        <f>'Padrão EPP'!B3593</f>
        <v>19</v>
      </c>
      <c r="C3593" s="63" t="str">
        <f>'Padrão EPP'!C3593</f>
        <v>PI</v>
      </c>
      <c r="D3593" s="63" t="str">
        <f>'Padrão EPP'!D3593</f>
        <v>INTERIOR</v>
      </c>
      <c r="E3593" s="63">
        <f>'Padrão EPP'!E3593/2</f>
        <v>0</v>
      </c>
      <c r="F3593" s="67">
        <v>3.0000000000000001E-3</v>
      </c>
      <c r="G3593" s="67">
        <v>2E-3</v>
      </c>
      <c r="H3593" s="63"/>
    </row>
    <row r="3594" spans="1:8" x14ac:dyDescent="0.25">
      <c r="A3594" s="63"/>
      <c r="B3594" s="63">
        <f>'Padrão EPP'!B3594</f>
        <v>20</v>
      </c>
      <c r="C3594" s="63" t="str">
        <f>'Padrão EPP'!C3594</f>
        <v>PI</v>
      </c>
      <c r="D3594" s="63" t="str">
        <f>'Padrão EPP'!D3594</f>
        <v>INTERIOR</v>
      </c>
      <c r="E3594" s="63">
        <f>'Padrão EPP'!E3594/2</f>
        <v>0</v>
      </c>
      <c r="F3594" s="67">
        <v>3.0000000000000001E-3</v>
      </c>
      <c r="G3594" s="67">
        <v>2E-3</v>
      </c>
      <c r="H3594" s="63"/>
    </row>
    <row r="3595" spans="1:8" x14ac:dyDescent="0.25">
      <c r="A3595" s="63"/>
      <c r="B3595" s="63">
        <f>'Padrão EPP'!B3595</f>
        <v>21</v>
      </c>
      <c r="C3595" s="63" t="str">
        <f>'Padrão EPP'!C3595</f>
        <v>PI</v>
      </c>
      <c r="D3595" s="63" t="str">
        <f>'Padrão EPP'!D3595</f>
        <v>INTERIOR</v>
      </c>
      <c r="E3595" s="63">
        <f>'Padrão EPP'!E3595/2</f>
        <v>0</v>
      </c>
      <c r="F3595" s="67">
        <v>3.0000000000000001E-3</v>
      </c>
      <c r="G3595" s="67">
        <v>2E-3</v>
      </c>
      <c r="H3595" s="63"/>
    </row>
    <row r="3596" spans="1:8" x14ac:dyDescent="0.25">
      <c r="A3596" s="63"/>
      <c r="B3596" s="63">
        <f>'Padrão EPP'!B3596</f>
        <v>22</v>
      </c>
      <c r="C3596" s="63" t="str">
        <f>'Padrão EPP'!C3596</f>
        <v>PI</v>
      </c>
      <c r="D3596" s="63" t="str">
        <f>'Padrão EPP'!D3596</f>
        <v>INTERIOR</v>
      </c>
      <c r="E3596" s="63">
        <f>'Padrão EPP'!E3596/2</f>
        <v>0</v>
      </c>
      <c r="F3596" s="67">
        <v>3.0000000000000001E-3</v>
      </c>
      <c r="G3596" s="67">
        <v>2E-3</v>
      </c>
      <c r="H3596" s="63"/>
    </row>
    <row r="3597" spans="1:8" x14ac:dyDescent="0.25">
      <c r="A3597" s="63"/>
      <c r="B3597" s="63">
        <f>'Padrão EPP'!B3597</f>
        <v>23</v>
      </c>
      <c r="C3597" s="63" t="str">
        <f>'Padrão EPP'!C3597</f>
        <v>PI</v>
      </c>
      <c r="D3597" s="63" t="str">
        <f>'Padrão EPP'!D3597</f>
        <v>INTERIOR</v>
      </c>
      <c r="E3597" s="63">
        <f>'Padrão EPP'!E3597/2</f>
        <v>0</v>
      </c>
      <c r="F3597" s="67">
        <v>3.0000000000000001E-3</v>
      </c>
      <c r="G3597" s="67">
        <v>2E-3</v>
      </c>
      <c r="H3597" s="63"/>
    </row>
    <row r="3598" spans="1:8" x14ac:dyDescent="0.25">
      <c r="A3598" s="63"/>
      <c r="B3598" s="63">
        <f>'Padrão EPP'!B3598</f>
        <v>24</v>
      </c>
      <c r="C3598" s="63" t="str">
        <f>'Padrão EPP'!C3598</f>
        <v>PI</v>
      </c>
      <c r="D3598" s="63" t="str">
        <f>'Padrão EPP'!D3598</f>
        <v>INTERIOR</v>
      </c>
      <c r="E3598" s="63">
        <f>'Padrão EPP'!E3598/2</f>
        <v>0</v>
      </c>
      <c r="F3598" s="67">
        <v>3.0000000000000001E-3</v>
      </c>
      <c r="G3598" s="67">
        <v>2E-3</v>
      </c>
      <c r="H3598" s="63"/>
    </row>
    <row r="3599" spans="1:8" x14ac:dyDescent="0.25">
      <c r="A3599" s="63"/>
      <c r="B3599" s="63">
        <f>'Padrão EPP'!B3599</f>
        <v>25</v>
      </c>
      <c r="C3599" s="63" t="str">
        <f>'Padrão EPP'!C3599</f>
        <v>PI</v>
      </c>
      <c r="D3599" s="63" t="str">
        <f>'Padrão EPP'!D3599</f>
        <v>INTERIOR</v>
      </c>
      <c r="E3599" s="63">
        <f>'Padrão EPP'!E3599/2</f>
        <v>0</v>
      </c>
      <c r="F3599" s="67">
        <v>3.0000000000000001E-3</v>
      </c>
      <c r="G3599" s="67">
        <v>2E-3</v>
      </c>
      <c r="H3599" s="63"/>
    </row>
    <row r="3600" spans="1:8" x14ac:dyDescent="0.25">
      <c r="A3600" s="63"/>
      <c r="B3600" s="63">
        <f>'Padrão EPP'!B3600</f>
        <v>26</v>
      </c>
      <c r="C3600" s="63" t="str">
        <f>'Padrão EPP'!C3600</f>
        <v>PI</v>
      </c>
      <c r="D3600" s="63" t="str">
        <f>'Padrão EPP'!D3600</f>
        <v>INTERIOR</v>
      </c>
      <c r="E3600" s="63">
        <f>'Padrão EPP'!E3600/2</f>
        <v>0</v>
      </c>
      <c r="F3600" s="67">
        <v>3.0000000000000001E-3</v>
      </c>
      <c r="G3600" s="67">
        <v>2E-3</v>
      </c>
      <c r="H3600" s="63"/>
    </row>
    <row r="3601" spans="1:8" x14ac:dyDescent="0.25">
      <c r="A3601" s="63"/>
      <c r="B3601" s="63">
        <f>'Padrão EPP'!B3601</f>
        <v>27</v>
      </c>
      <c r="C3601" s="63" t="str">
        <f>'Padrão EPP'!C3601</f>
        <v>PI</v>
      </c>
      <c r="D3601" s="63" t="str">
        <f>'Padrão EPP'!D3601</f>
        <v>INTERIOR</v>
      </c>
      <c r="E3601" s="63">
        <f>'Padrão EPP'!E3601/2</f>
        <v>0</v>
      </c>
      <c r="F3601" s="67">
        <v>3.0000000000000001E-3</v>
      </c>
      <c r="G3601" s="67">
        <v>2E-3</v>
      </c>
      <c r="H3601" s="63"/>
    </row>
    <row r="3602" spans="1:8" x14ac:dyDescent="0.25">
      <c r="A3602" s="63"/>
      <c r="B3602" s="63">
        <f>'Padrão EPP'!B3602</f>
        <v>28</v>
      </c>
      <c r="C3602" s="63" t="str">
        <f>'Padrão EPP'!C3602</f>
        <v>PI</v>
      </c>
      <c r="D3602" s="63" t="str">
        <f>'Padrão EPP'!D3602</f>
        <v>INTERIOR</v>
      </c>
      <c r="E3602" s="63">
        <f>'Padrão EPP'!E3602/2</f>
        <v>0</v>
      </c>
      <c r="F3602" s="67">
        <v>3.0000000000000001E-3</v>
      </c>
      <c r="G3602" s="67">
        <v>2E-3</v>
      </c>
      <c r="H3602" s="63"/>
    </row>
    <row r="3603" spans="1:8" x14ac:dyDescent="0.25">
      <c r="A3603" s="63"/>
      <c r="B3603" s="63">
        <f>'Padrão EPP'!B3603</f>
        <v>29</v>
      </c>
      <c r="C3603" s="63" t="str">
        <f>'Padrão EPP'!C3603</f>
        <v>PI</v>
      </c>
      <c r="D3603" s="63" t="str">
        <f>'Padrão EPP'!D3603</f>
        <v>INTERIOR</v>
      </c>
      <c r="E3603" s="63">
        <f>'Padrão EPP'!E3603/2</f>
        <v>0</v>
      </c>
      <c r="F3603" s="67">
        <v>3.0000000000000001E-3</v>
      </c>
      <c r="G3603" s="67">
        <v>2E-3</v>
      </c>
      <c r="H3603" s="63"/>
    </row>
    <row r="3604" spans="1:8" x14ac:dyDescent="0.25">
      <c r="A3604" s="63"/>
      <c r="B3604" s="63">
        <f>'Padrão EPP'!B3604</f>
        <v>30</v>
      </c>
      <c r="C3604" s="63" t="str">
        <f>'Padrão EPP'!C3604</f>
        <v>PI</v>
      </c>
      <c r="D3604" s="63" t="str">
        <f>'Padrão EPP'!D3604</f>
        <v>INTERIOR</v>
      </c>
      <c r="E3604" s="63">
        <f>'Padrão EPP'!E3604/2</f>
        <v>0</v>
      </c>
      <c r="F3604" s="67">
        <v>3.0000000000000001E-3</v>
      </c>
      <c r="G3604" s="67">
        <v>2E-3</v>
      </c>
      <c r="H3604" s="63"/>
    </row>
    <row r="3605" spans="1:8" x14ac:dyDescent="0.25">
      <c r="A3605" s="63"/>
      <c r="B3605" s="63">
        <f>'Padrão EPP'!B3605</f>
        <v>0</v>
      </c>
      <c r="C3605" s="63" t="str">
        <f>'Padrão EPP'!C3605</f>
        <v>PI</v>
      </c>
      <c r="D3605" s="63" t="str">
        <f>'Padrão EPP'!D3605</f>
        <v>INTERIOR</v>
      </c>
      <c r="E3605" s="63">
        <f>'Padrão EPP'!E3605/2</f>
        <v>1.5214394455252955</v>
      </c>
      <c r="F3605" s="67">
        <v>3.0000000000000001E-3</v>
      </c>
      <c r="G3605" s="67">
        <v>2E-3</v>
      </c>
      <c r="H3605" s="63"/>
    </row>
    <row r="3606" spans="1:8" x14ac:dyDescent="0.25">
      <c r="A3606" s="63"/>
      <c r="B3606" s="63">
        <f>'Padrão EPP'!B3606</f>
        <v>0.25</v>
      </c>
      <c r="C3606" s="63" t="str">
        <f>'Padrão EPP'!C3606</f>
        <v>PI</v>
      </c>
      <c r="D3606" s="63" t="str">
        <f>'Padrão EPP'!D3606</f>
        <v>INTERIOR II</v>
      </c>
      <c r="E3606" s="63">
        <f>'Padrão EPP'!E3606/2</f>
        <v>11.340049744712694</v>
      </c>
      <c r="F3606" s="67">
        <v>3.0000000000000001E-3</v>
      </c>
      <c r="G3606" s="67">
        <v>2E-3</v>
      </c>
      <c r="H3606" s="63"/>
    </row>
    <row r="3607" spans="1:8" x14ac:dyDescent="0.25">
      <c r="A3607" s="63"/>
      <c r="B3607" s="63">
        <f>'Padrão EPP'!B3607</f>
        <v>0.5</v>
      </c>
      <c r="C3607" s="63" t="str">
        <f>'Padrão EPP'!C3607</f>
        <v>PI</v>
      </c>
      <c r="D3607" s="63" t="str">
        <f>'Padrão EPP'!D3607</f>
        <v>INTERIOR II</v>
      </c>
      <c r="E3607" s="63">
        <f>'Padrão EPP'!E3607/2</f>
        <v>12.487853207986978</v>
      </c>
      <c r="F3607" s="67">
        <v>3.0000000000000001E-3</v>
      </c>
      <c r="G3607" s="67">
        <v>2E-3</v>
      </c>
      <c r="H3607" s="63"/>
    </row>
    <row r="3608" spans="1:8" x14ac:dyDescent="0.25">
      <c r="A3608" s="63"/>
      <c r="B3608" s="63">
        <f>'Padrão EPP'!B3608</f>
        <v>0.75</v>
      </c>
      <c r="C3608" s="63" t="str">
        <f>'Padrão EPP'!C3608</f>
        <v>PI</v>
      </c>
      <c r="D3608" s="63" t="str">
        <f>'Padrão EPP'!D3608</f>
        <v>INTERIOR II</v>
      </c>
      <c r="E3608" s="63">
        <f>'Padrão EPP'!E3608/2</f>
        <v>13.753878799778839</v>
      </c>
      <c r="F3608" s="67">
        <v>3.0000000000000001E-3</v>
      </c>
      <c r="G3608" s="67">
        <v>2E-3</v>
      </c>
      <c r="H3608" s="63"/>
    </row>
    <row r="3609" spans="1:8" x14ac:dyDescent="0.25">
      <c r="A3609" s="63"/>
      <c r="B3609" s="63">
        <f>'Padrão EPP'!B3609</f>
        <v>1</v>
      </c>
      <c r="C3609" s="63" t="str">
        <f>'Padrão EPP'!C3609</f>
        <v>PI</v>
      </c>
      <c r="D3609" s="63" t="str">
        <f>'Padrão EPP'!D3609</f>
        <v>INTERIOR II</v>
      </c>
      <c r="E3609" s="63">
        <f>'Padrão EPP'!E3609/2</f>
        <v>14.821797517824649</v>
      </c>
      <c r="F3609" s="67">
        <v>3.0000000000000001E-3</v>
      </c>
      <c r="G3609" s="67">
        <v>2E-3</v>
      </c>
      <c r="H3609" s="63"/>
    </row>
    <row r="3610" spans="1:8" x14ac:dyDescent="0.25">
      <c r="A3610" s="63"/>
      <c r="B3610" s="63">
        <f>'Padrão EPP'!B3610</f>
        <v>2</v>
      </c>
      <c r="C3610" s="63" t="str">
        <f>'Padrão EPP'!C3610</f>
        <v>PI</v>
      </c>
      <c r="D3610" s="63" t="str">
        <f>'Padrão EPP'!D3610</f>
        <v>INTERIOR II</v>
      </c>
      <c r="E3610" s="63">
        <f>'Padrão EPP'!E3610/2</f>
        <v>18.162086307914638</v>
      </c>
      <c r="F3610" s="67">
        <v>3.0000000000000001E-3</v>
      </c>
      <c r="G3610" s="67">
        <v>2E-3</v>
      </c>
      <c r="H3610" s="63"/>
    </row>
    <row r="3611" spans="1:8" x14ac:dyDescent="0.25">
      <c r="A3611" s="63"/>
      <c r="B3611" s="63">
        <f>'Padrão EPP'!B3611</f>
        <v>3</v>
      </c>
      <c r="C3611" s="63" t="str">
        <f>'Padrão EPP'!C3611</f>
        <v>PI</v>
      </c>
      <c r="D3611" s="63" t="str">
        <f>'Padrão EPP'!D3611</f>
        <v>INTERIOR II</v>
      </c>
      <c r="E3611" s="63">
        <f>'Padrão EPP'!E3611/2</f>
        <v>21.916068211298473</v>
      </c>
      <c r="F3611" s="67">
        <v>3.0000000000000001E-3</v>
      </c>
      <c r="G3611" s="67">
        <v>2E-3</v>
      </c>
      <c r="H3611" s="63"/>
    </row>
    <row r="3612" spans="1:8" x14ac:dyDescent="0.25">
      <c r="A3612" s="63"/>
      <c r="B3612" s="63">
        <f>'Padrão EPP'!B3612</f>
        <v>4</v>
      </c>
      <c r="C3612" s="63" t="str">
        <f>'Padrão EPP'!C3612</f>
        <v>PI</v>
      </c>
      <c r="D3612" s="63" t="str">
        <f>'Padrão EPP'!D3612</f>
        <v>INTERIOR II</v>
      </c>
      <c r="E3612" s="63">
        <f>'Padrão EPP'!E3612/2</f>
        <v>25.714700027418484</v>
      </c>
      <c r="F3612" s="67">
        <v>3.0000000000000001E-3</v>
      </c>
      <c r="G3612" s="67">
        <v>2E-3</v>
      </c>
      <c r="H3612" s="63"/>
    </row>
    <row r="3613" spans="1:8" x14ac:dyDescent="0.25">
      <c r="A3613" s="63"/>
      <c r="B3613" s="63">
        <f>'Padrão EPP'!B3613</f>
        <v>5</v>
      </c>
      <c r="C3613" s="63" t="str">
        <f>'Padrão EPP'!C3613</f>
        <v>PI</v>
      </c>
      <c r="D3613" s="63" t="str">
        <f>'Padrão EPP'!D3613</f>
        <v>INTERIOR II</v>
      </c>
      <c r="E3613" s="63">
        <f>'Padrão EPP'!E3613/2</f>
        <v>29.562446747548293</v>
      </c>
      <c r="F3613" s="67">
        <v>3.0000000000000001E-3</v>
      </c>
      <c r="G3613" s="67">
        <v>2E-3</v>
      </c>
      <c r="H3613" s="63"/>
    </row>
    <row r="3614" spans="1:8" x14ac:dyDescent="0.25">
      <c r="A3614" s="63"/>
      <c r="B3614" s="63">
        <f>'Padrão EPP'!B3614</f>
        <v>6</v>
      </c>
      <c r="C3614" s="63" t="str">
        <f>'Padrão EPP'!C3614</f>
        <v>PI</v>
      </c>
      <c r="D3614" s="63" t="str">
        <f>'Padrão EPP'!D3614</f>
        <v>INTERIOR II</v>
      </c>
      <c r="E3614" s="63">
        <f>'Padrão EPP'!E3614/2</f>
        <v>34.336703784068561</v>
      </c>
      <c r="F3614" s="67">
        <v>3.0000000000000001E-3</v>
      </c>
      <c r="G3614" s="67">
        <v>2E-3</v>
      </c>
      <c r="H3614" s="63"/>
    </row>
    <row r="3615" spans="1:8" x14ac:dyDescent="0.25">
      <c r="A3615" s="63"/>
      <c r="B3615" s="63">
        <f>'Padrão EPP'!B3615</f>
        <v>7</v>
      </c>
      <c r="C3615" s="63" t="str">
        <f>'Padrão EPP'!C3615</f>
        <v>PI</v>
      </c>
      <c r="D3615" s="63" t="str">
        <f>'Padrão EPP'!D3615</f>
        <v>INTERIOR II</v>
      </c>
      <c r="E3615" s="63">
        <f>'Padrão EPP'!E3615/2</f>
        <v>37.949903426951941</v>
      </c>
      <c r="F3615" s="67">
        <v>3.0000000000000001E-3</v>
      </c>
      <c r="G3615" s="67">
        <v>2E-3</v>
      </c>
      <c r="H3615" s="63"/>
    </row>
    <row r="3616" spans="1:8" x14ac:dyDescent="0.25">
      <c r="A3616" s="63"/>
      <c r="B3616" s="63">
        <f>'Padrão EPP'!B3616</f>
        <v>8</v>
      </c>
      <c r="C3616" s="63" t="str">
        <f>'Padrão EPP'!C3616</f>
        <v>PI</v>
      </c>
      <c r="D3616" s="63" t="str">
        <f>'Padrão EPP'!D3616</f>
        <v>INTERIOR II</v>
      </c>
      <c r="E3616" s="63">
        <f>'Padrão EPP'!E3616/2</f>
        <v>41.621965363325884</v>
      </c>
      <c r="F3616" s="67">
        <v>3.0000000000000001E-3</v>
      </c>
      <c r="G3616" s="67">
        <v>2E-3</v>
      </c>
      <c r="H3616" s="63"/>
    </row>
    <row r="3617" spans="1:8" x14ac:dyDescent="0.25">
      <c r="A3617" s="63"/>
      <c r="B3617" s="63">
        <f>'Padrão EPP'!B3617</f>
        <v>9</v>
      </c>
      <c r="C3617" s="63" t="str">
        <f>'Padrão EPP'!C3617</f>
        <v>PI</v>
      </c>
      <c r="D3617" s="63" t="str">
        <f>'Padrão EPP'!D3617</f>
        <v>INTERIOR II</v>
      </c>
      <c r="E3617" s="63">
        <f>'Padrão EPP'!E3617/2</f>
        <v>45.741715156482655</v>
      </c>
      <c r="F3617" s="67">
        <v>3.0000000000000001E-3</v>
      </c>
      <c r="G3617" s="67">
        <v>2E-3</v>
      </c>
      <c r="H3617" s="63"/>
    </row>
    <row r="3618" spans="1:8" x14ac:dyDescent="0.25">
      <c r="A3618" s="63"/>
      <c r="B3618" s="63">
        <f>'Padrão EPP'!B3618</f>
        <v>10</v>
      </c>
      <c r="C3618" s="63" t="str">
        <f>'Padrão EPP'!C3618</f>
        <v>PI</v>
      </c>
      <c r="D3618" s="63" t="str">
        <f>'Padrão EPP'!D3618</f>
        <v>INTERIOR II</v>
      </c>
      <c r="E3618" s="63">
        <f>'Padrão EPP'!E3618/2</f>
        <v>49.81647240086329</v>
      </c>
      <c r="F3618" s="67">
        <v>3.0000000000000001E-3</v>
      </c>
      <c r="G3618" s="67">
        <v>2E-3</v>
      </c>
      <c r="H3618" s="63"/>
    </row>
    <row r="3619" spans="1:8" x14ac:dyDescent="0.25">
      <c r="A3619" s="63"/>
      <c r="B3619" s="63">
        <f>'Padrão EPP'!B3619</f>
        <v>11</v>
      </c>
      <c r="C3619" s="63" t="str">
        <f>'Padrão EPP'!C3619</f>
        <v>PI</v>
      </c>
      <c r="D3619" s="63" t="str">
        <f>'Padrão EPP'!D3619</f>
        <v>INTERIOR II</v>
      </c>
      <c r="E3619" s="63">
        <f>'Padrão EPP'!E3619/2</f>
        <v>0</v>
      </c>
      <c r="F3619" s="67">
        <v>3.0000000000000001E-3</v>
      </c>
      <c r="G3619" s="67">
        <v>2E-3</v>
      </c>
      <c r="H3619" s="63"/>
    </row>
    <row r="3620" spans="1:8" x14ac:dyDescent="0.25">
      <c r="A3620" s="63"/>
      <c r="B3620" s="63">
        <f>'Padrão EPP'!B3620</f>
        <v>12</v>
      </c>
      <c r="C3620" s="63" t="str">
        <f>'Padrão EPP'!C3620</f>
        <v>PI</v>
      </c>
      <c r="D3620" s="63" t="str">
        <f>'Padrão EPP'!D3620</f>
        <v>INTERIOR II</v>
      </c>
      <c r="E3620" s="63">
        <f>'Padrão EPP'!E3620/2</f>
        <v>0</v>
      </c>
      <c r="F3620" s="67">
        <v>3.0000000000000001E-3</v>
      </c>
      <c r="G3620" s="67">
        <v>2E-3</v>
      </c>
      <c r="H3620" s="63"/>
    </row>
    <row r="3621" spans="1:8" x14ac:dyDescent="0.25">
      <c r="A3621" s="63"/>
      <c r="B3621" s="63">
        <f>'Padrão EPP'!B3621</f>
        <v>13</v>
      </c>
      <c r="C3621" s="63" t="str">
        <f>'Padrão EPP'!C3621</f>
        <v>PI</v>
      </c>
      <c r="D3621" s="63" t="str">
        <f>'Padrão EPP'!D3621</f>
        <v>INTERIOR II</v>
      </c>
      <c r="E3621" s="63">
        <f>'Padrão EPP'!E3621/2</f>
        <v>0</v>
      </c>
      <c r="F3621" s="67">
        <v>3.0000000000000001E-3</v>
      </c>
      <c r="G3621" s="67">
        <v>2E-3</v>
      </c>
      <c r="H3621" s="63"/>
    </row>
    <row r="3622" spans="1:8" x14ac:dyDescent="0.25">
      <c r="A3622" s="63"/>
      <c r="B3622" s="63">
        <f>'Padrão EPP'!B3622</f>
        <v>14</v>
      </c>
      <c r="C3622" s="63" t="str">
        <f>'Padrão EPP'!C3622</f>
        <v>PI</v>
      </c>
      <c r="D3622" s="63" t="str">
        <f>'Padrão EPP'!D3622</f>
        <v>INTERIOR II</v>
      </c>
      <c r="E3622" s="63">
        <f>'Padrão EPP'!E3622/2</f>
        <v>0</v>
      </c>
      <c r="F3622" s="67">
        <v>3.0000000000000001E-3</v>
      </c>
      <c r="G3622" s="67">
        <v>2E-3</v>
      </c>
      <c r="H3622" s="63"/>
    </row>
    <row r="3623" spans="1:8" x14ac:dyDescent="0.25">
      <c r="A3623" s="63"/>
      <c r="B3623" s="63">
        <f>'Padrão EPP'!B3623</f>
        <v>15</v>
      </c>
      <c r="C3623" s="63" t="str">
        <f>'Padrão EPP'!C3623</f>
        <v>PI</v>
      </c>
      <c r="D3623" s="63" t="str">
        <f>'Padrão EPP'!D3623</f>
        <v>INTERIOR II</v>
      </c>
      <c r="E3623" s="63">
        <f>'Padrão EPP'!E3623/2</f>
        <v>0</v>
      </c>
      <c r="F3623" s="67">
        <v>3.0000000000000001E-3</v>
      </c>
      <c r="G3623" s="67">
        <v>2E-3</v>
      </c>
      <c r="H3623" s="63"/>
    </row>
    <row r="3624" spans="1:8" x14ac:dyDescent="0.25">
      <c r="A3624" s="63"/>
      <c r="B3624" s="63">
        <f>'Padrão EPP'!B3624</f>
        <v>16</v>
      </c>
      <c r="C3624" s="63" t="str">
        <f>'Padrão EPP'!C3624</f>
        <v>PI</v>
      </c>
      <c r="D3624" s="63" t="str">
        <f>'Padrão EPP'!D3624</f>
        <v>INTERIOR II</v>
      </c>
      <c r="E3624" s="63">
        <f>'Padrão EPP'!E3624/2</f>
        <v>0</v>
      </c>
      <c r="F3624" s="67">
        <v>3.0000000000000001E-3</v>
      </c>
      <c r="G3624" s="67">
        <v>2E-3</v>
      </c>
      <c r="H3624" s="63"/>
    </row>
    <row r="3625" spans="1:8" x14ac:dyDescent="0.25">
      <c r="A3625" s="63"/>
      <c r="B3625" s="63">
        <f>'Padrão EPP'!B3625</f>
        <v>17</v>
      </c>
      <c r="C3625" s="63" t="str">
        <f>'Padrão EPP'!C3625</f>
        <v>PI</v>
      </c>
      <c r="D3625" s="63" t="str">
        <f>'Padrão EPP'!D3625</f>
        <v>INTERIOR II</v>
      </c>
      <c r="E3625" s="63">
        <f>'Padrão EPP'!E3625/2</f>
        <v>0</v>
      </c>
      <c r="F3625" s="67">
        <v>3.0000000000000001E-3</v>
      </c>
      <c r="G3625" s="67">
        <v>2E-3</v>
      </c>
      <c r="H3625" s="63"/>
    </row>
    <row r="3626" spans="1:8" x14ac:dyDescent="0.25">
      <c r="A3626" s="63"/>
      <c r="B3626" s="63">
        <f>'Padrão EPP'!B3626</f>
        <v>18</v>
      </c>
      <c r="C3626" s="63" t="str">
        <f>'Padrão EPP'!C3626</f>
        <v>PI</v>
      </c>
      <c r="D3626" s="63" t="str">
        <f>'Padrão EPP'!D3626</f>
        <v>INTERIOR II</v>
      </c>
      <c r="E3626" s="63">
        <f>'Padrão EPP'!E3626/2</f>
        <v>0</v>
      </c>
      <c r="F3626" s="67">
        <v>3.0000000000000001E-3</v>
      </c>
      <c r="G3626" s="67">
        <v>2E-3</v>
      </c>
      <c r="H3626" s="63"/>
    </row>
    <row r="3627" spans="1:8" x14ac:dyDescent="0.25">
      <c r="A3627" s="63"/>
      <c r="B3627" s="63">
        <f>'Padrão EPP'!B3627</f>
        <v>19</v>
      </c>
      <c r="C3627" s="63" t="str">
        <f>'Padrão EPP'!C3627</f>
        <v>PI</v>
      </c>
      <c r="D3627" s="63" t="str">
        <f>'Padrão EPP'!D3627</f>
        <v>INTERIOR II</v>
      </c>
      <c r="E3627" s="63">
        <f>'Padrão EPP'!E3627/2</f>
        <v>0</v>
      </c>
      <c r="F3627" s="67">
        <v>3.0000000000000001E-3</v>
      </c>
      <c r="G3627" s="67">
        <v>2E-3</v>
      </c>
      <c r="H3627" s="63"/>
    </row>
    <row r="3628" spans="1:8" x14ac:dyDescent="0.25">
      <c r="A3628" s="63"/>
      <c r="B3628" s="63">
        <f>'Padrão EPP'!B3628</f>
        <v>20</v>
      </c>
      <c r="C3628" s="63" t="str">
        <f>'Padrão EPP'!C3628</f>
        <v>PI</v>
      </c>
      <c r="D3628" s="63" t="str">
        <f>'Padrão EPP'!D3628</f>
        <v>INTERIOR II</v>
      </c>
      <c r="E3628" s="63">
        <f>'Padrão EPP'!E3628/2</f>
        <v>0</v>
      </c>
      <c r="F3628" s="67">
        <v>3.0000000000000001E-3</v>
      </c>
      <c r="G3628" s="67">
        <v>2E-3</v>
      </c>
      <c r="H3628" s="63"/>
    </row>
    <row r="3629" spans="1:8" x14ac:dyDescent="0.25">
      <c r="A3629" s="63"/>
      <c r="B3629" s="63">
        <f>'Padrão EPP'!B3629</f>
        <v>21</v>
      </c>
      <c r="C3629" s="63" t="str">
        <f>'Padrão EPP'!C3629</f>
        <v>PI</v>
      </c>
      <c r="D3629" s="63" t="str">
        <f>'Padrão EPP'!D3629</f>
        <v>INTERIOR II</v>
      </c>
      <c r="E3629" s="63">
        <f>'Padrão EPP'!E3629/2</f>
        <v>0</v>
      </c>
      <c r="F3629" s="67">
        <v>3.0000000000000001E-3</v>
      </c>
      <c r="G3629" s="67">
        <v>2E-3</v>
      </c>
      <c r="H3629" s="63"/>
    </row>
    <row r="3630" spans="1:8" x14ac:dyDescent="0.25">
      <c r="A3630" s="63"/>
      <c r="B3630" s="63">
        <f>'Padrão EPP'!B3630</f>
        <v>22</v>
      </c>
      <c r="C3630" s="63" t="str">
        <f>'Padrão EPP'!C3630</f>
        <v>PI</v>
      </c>
      <c r="D3630" s="63" t="str">
        <f>'Padrão EPP'!D3630</f>
        <v>INTERIOR II</v>
      </c>
      <c r="E3630" s="63">
        <f>'Padrão EPP'!E3630/2</f>
        <v>0</v>
      </c>
      <c r="F3630" s="67">
        <v>3.0000000000000001E-3</v>
      </c>
      <c r="G3630" s="67">
        <v>2E-3</v>
      </c>
      <c r="H3630" s="63"/>
    </row>
    <row r="3631" spans="1:8" x14ac:dyDescent="0.25">
      <c r="A3631" s="63"/>
      <c r="B3631" s="63">
        <f>'Padrão EPP'!B3631</f>
        <v>23</v>
      </c>
      <c r="C3631" s="63" t="str">
        <f>'Padrão EPP'!C3631</f>
        <v>PI</v>
      </c>
      <c r="D3631" s="63" t="str">
        <f>'Padrão EPP'!D3631</f>
        <v>INTERIOR II</v>
      </c>
      <c r="E3631" s="63">
        <f>'Padrão EPP'!E3631/2</f>
        <v>0</v>
      </c>
      <c r="F3631" s="67">
        <v>3.0000000000000001E-3</v>
      </c>
      <c r="G3631" s="67">
        <v>2E-3</v>
      </c>
      <c r="H3631" s="63"/>
    </row>
    <row r="3632" spans="1:8" x14ac:dyDescent="0.25">
      <c r="A3632" s="63"/>
      <c r="B3632" s="63">
        <f>'Padrão EPP'!B3632</f>
        <v>24</v>
      </c>
      <c r="C3632" s="63" t="str">
        <f>'Padrão EPP'!C3632</f>
        <v>PI</v>
      </c>
      <c r="D3632" s="63" t="str">
        <f>'Padrão EPP'!D3632</f>
        <v>INTERIOR II</v>
      </c>
      <c r="E3632" s="63">
        <f>'Padrão EPP'!E3632/2</f>
        <v>0</v>
      </c>
      <c r="F3632" s="67">
        <v>3.0000000000000001E-3</v>
      </c>
      <c r="G3632" s="67">
        <v>2E-3</v>
      </c>
      <c r="H3632" s="63"/>
    </row>
    <row r="3633" spans="1:8" x14ac:dyDescent="0.25">
      <c r="A3633" s="63"/>
      <c r="B3633" s="63">
        <f>'Padrão EPP'!B3633</f>
        <v>25</v>
      </c>
      <c r="C3633" s="63" t="str">
        <f>'Padrão EPP'!C3633</f>
        <v>PI</v>
      </c>
      <c r="D3633" s="63" t="str">
        <f>'Padrão EPP'!D3633</f>
        <v>INTERIOR II</v>
      </c>
      <c r="E3633" s="63">
        <f>'Padrão EPP'!E3633/2</f>
        <v>0</v>
      </c>
      <c r="F3633" s="67">
        <v>3.0000000000000001E-3</v>
      </c>
      <c r="G3633" s="67">
        <v>2E-3</v>
      </c>
      <c r="H3633" s="63"/>
    </row>
    <row r="3634" spans="1:8" x14ac:dyDescent="0.25">
      <c r="A3634" s="63"/>
      <c r="B3634" s="63">
        <f>'Padrão EPP'!B3634</f>
        <v>26</v>
      </c>
      <c r="C3634" s="63" t="str">
        <f>'Padrão EPP'!C3634</f>
        <v>PI</v>
      </c>
      <c r="D3634" s="63" t="str">
        <f>'Padrão EPP'!D3634</f>
        <v>INTERIOR II</v>
      </c>
      <c r="E3634" s="63">
        <f>'Padrão EPP'!E3634/2</f>
        <v>0</v>
      </c>
      <c r="F3634" s="67">
        <v>3.0000000000000001E-3</v>
      </c>
      <c r="G3634" s="67">
        <v>2E-3</v>
      </c>
      <c r="H3634" s="63"/>
    </row>
    <row r="3635" spans="1:8" x14ac:dyDescent="0.25">
      <c r="A3635" s="63"/>
      <c r="B3635" s="63">
        <f>'Padrão EPP'!B3635</f>
        <v>27</v>
      </c>
      <c r="C3635" s="63" t="str">
        <f>'Padrão EPP'!C3635</f>
        <v>PI</v>
      </c>
      <c r="D3635" s="63" t="str">
        <f>'Padrão EPP'!D3635</f>
        <v>INTERIOR II</v>
      </c>
      <c r="E3635" s="63">
        <f>'Padrão EPP'!E3635/2</f>
        <v>0</v>
      </c>
      <c r="F3635" s="67">
        <v>3.0000000000000001E-3</v>
      </c>
      <c r="G3635" s="67">
        <v>2E-3</v>
      </c>
      <c r="H3635" s="63"/>
    </row>
    <row r="3636" spans="1:8" x14ac:dyDescent="0.25">
      <c r="A3636" s="63"/>
      <c r="B3636" s="63">
        <f>'Padrão EPP'!B3636</f>
        <v>28</v>
      </c>
      <c r="C3636" s="63" t="str">
        <f>'Padrão EPP'!C3636</f>
        <v>PI</v>
      </c>
      <c r="D3636" s="63" t="str">
        <f>'Padrão EPP'!D3636</f>
        <v>INTERIOR II</v>
      </c>
      <c r="E3636" s="63">
        <f>'Padrão EPP'!E3636/2</f>
        <v>0</v>
      </c>
      <c r="F3636" s="67">
        <v>3.0000000000000001E-3</v>
      </c>
      <c r="G3636" s="67">
        <v>2E-3</v>
      </c>
      <c r="H3636" s="63"/>
    </row>
    <row r="3637" spans="1:8" x14ac:dyDescent="0.25">
      <c r="A3637" s="63"/>
      <c r="B3637" s="63">
        <f>'Padrão EPP'!B3637</f>
        <v>29</v>
      </c>
      <c r="C3637" s="63" t="str">
        <f>'Padrão EPP'!C3637</f>
        <v>PI</v>
      </c>
      <c r="D3637" s="63" t="str">
        <f>'Padrão EPP'!D3637</f>
        <v>INTERIOR II</v>
      </c>
      <c r="E3637" s="63">
        <f>'Padrão EPP'!E3637/2</f>
        <v>0</v>
      </c>
      <c r="F3637" s="67">
        <v>3.0000000000000001E-3</v>
      </c>
      <c r="G3637" s="67">
        <v>2E-3</v>
      </c>
      <c r="H3637" s="63"/>
    </row>
    <row r="3638" spans="1:8" x14ac:dyDescent="0.25">
      <c r="A3638" s="63"/>
      <c r="B3638" s="63">
        <f>'Padrão EPP'!B3638</f>
        <v>30</v>
      </c>
      <c r="C3638" s="63" t="str">
        <f>'Padrão EPP'!C3638</f>
        <v>PI</v>
      </c>
      <c r="D3638" s="63" t="str">
        <f>'Padrão EPP'!D3638</f>
        <v>INTERIOR II</v>
      </c>
      <c r="E3638" s="63">
        <f>'Padrão EPP'!E3638/2</f>
        <v>0</v>
      </c>
      <c r="F3638" s="67">
        <v>3.0000000000000001E-3</v>
      </c>
      <c r="G3638" s="67">
        <v>2E-3</v>
      </c>
      <c r="H3638" s="63"/>
    </row>
    <row r="3639" spans="1:8" x14ac:dyDescent="0.25">
      <c r="A3639" s="63"/>
      <c r="B3639" s="63">
        <f>'Padrão EPP'!B3639</f>
        <v>0</v>
      </c>
      <c r="C3639" s="63" t="str">
        <f>'Padrão EPP'!C3639</f>
        <v>PI</v>
      </c>
      <c r="D3639" s="63" t="str">
        <f>'Padrão EPP'!D3639</f>
        <v>INTERIOR II</v>
      </c>
      <c r="E3639" s="63">
        <f>'Padrão EPP'!E3639/2</f>
        <v>1.5214394455252955</v>
      </c>
      <c r="F3639" s="67">
        <v>3.0000000000000001E-3</v>
      </c>
      <c r="G3639" s="67">
        <v>2E-3</v>
      </c>
      <c r="H3639" s="63"/>
    </row>
    <row r="3640" spans="1:8" x14ac:dyDescent="0.25">
      <c r="A3640" s="63"/>
      <c r="B3640" s="63">
        <f>'Padrão EPP'!B3640</f>
        <v>0.25</v>
      </c>
      <c r="C3640" s="63" t="str">
        <f>'Padrão EPP'!C3640</f>
        <v>PI</v>
      </c>
      <c r="D3640" s="63" t="str">
        <f>'Padrão EPP'!D3640</f>
        <v>REDESPACHO</v>
      </c>
      <c r="E3640" s="63">
        <f>'Padrão EPP'!E3640/2</f>
        <v>15.147110825182406</v>
      </c>
      <c r="F3640" s="67">
        <v>3.0000000000000001E-3</v>
      </c>
      <c r="G3640" s="67">
        <v>2E-3</v>
      </c>
      <c r="H3640" s="63"/>
    </row>
    <row r="3641" spans="1:8" x14ac:dyDescent="0.25">
      <c r="A3641" s="63"/>
      <c r="B3641" s="63">
        <f>'Padrão EPP'!B3641</f>
        <v>0.5</v>
      </c>
      <c r="C3641" s="63" t="str">
        <f>'Padrão EPP'!C3641</f>
        <v>PI</v>
      </c>
      <c r="D3641" s="63" t="str">
        <f>'Padrão EPP'!D3641</f>
        <v>REDESPACHO</v>
      </c>
      <c r="E3641" s="63">
        <f>'Padrão EPP'!E3641/2</f>
        <v>16.670579290397143</v>
      </c>
      <c r="F3641" s="67">
        <v>3.0000000000000001E-3</v>
      </c>
      <c r="G3641" s="67">
        <v>2E-3</v>
      </c>
      <c r="H3641" s="63"/>
    </row>
    <row r="3642" spans="1:8" x14ac:dyDescent="0.25">
      <c r="A3642" s="63"/>
      <c r="B3642" s="63">
        <f>'Padrão EPP'!B3642</f>
        <v>0.75</v>
      </c>
      <c r="C3642" s="63" t="str">
        <f>'Padrão EPP'!C3642</f>
        <v>PI</v>
      </c>
      <c r="D3642" s="63" t="str">
        <f>'Padrão EPP'!D3642</f>
        <v>REDESPACHO</v>
      </c>
      <c r="E3642" s="63">
        <f>'Padrão EPP'!E3642/2</f>
        <v>18.347430595911295</v>
      </c>
      <c r="F3642" s="67">
        <v>3.0000000000000001E-3</v>
      </c>
      <c r="G3642" s="67">
        <v>2E-3</v>
      </c>
      <c r="H3642" s="63"/>
    </row>
    <row r="3643" spans="1:8" x14ac:dyDescent="0.25">
      <c r="A3643" s="63"/>
      <c r="B3643" s="63">
        <f>'Padrão EPP'!B3643</f>
        <v>1</v>
      </c>
      <c r="C3643" s="63" t="str">
        <f>'Padrão EPP'!C3643</f>
        <v>PI</v>
      </c>
      <c r="D3643" s="63" t="str">
        <f>'Padrão EPP'!D3643</f>
        <v>REDESPACHO</v>
      </c>
      <c r="E3643" s="63">
        <f>'Padrão EPP'!E3643/2</f>
        <v>19.489748365256503</v>
      </c>
      <c r="F3643" s="67">
        <v>3.0000000000000001E-3</v>
      </c>
      <c r="G3643" s="67">
        <v>2E-3</v>
      </c>
      <c r="H3643" s="63"/>
    </row>
    <row r="3644" spans="1:8" x14ac:dyDescent="0.25">
      <c r="A3644" s="63"/>
      <c r="B3644" s="63">
        <f>'Padrão EPP'!B3644</f>
        <v>2</v>
      </c>
      <c r="C3644" s="63" t="str">
        <f>'Padrão EPP'!C3644</f>
        <v>PI</v>
      </c>
      <c r="D3644" s="63" t="str">
        <f>'Padrão EPP'!D3644</f>
        <v>REDESPACHO</v>
      </c>
      <c r="E3644" s="63">
        <f>'Padrão EPP'!E3644/2</f>
        <v>23.386711998298509</v>
      </c>
      <c r="F3644" s="67">
        <v>3.0000000000000001E-3</v>
      </c>
      <c r="G3644" s="67">
        <v>2E-3</v>
      </c>
      <c r="H3644" s="63"/>
    </row>
    <row r="3645" spans="1:8" x14ac:dyDescent="0.25">
      <c r="A3645" s="63"/>
      <c r="B3645" s="63">
        <f>'Padrão EPP'!B3645</f>
        <v>3</v>
      </c>
      <c r="C3645" s="63" t="str">
        <f>'Padrão EPP'!C3645</f>
        <v>PI</v>
      </c>
      <c r="D3645" s="63" t="str">
        <f>'Padrão EPP'!D3645</f>
        <v>REDESPACHO</v>
      </c>
      <c r="E3645" s="63">
        <f>'Padrão EPP'!E3645/2</f>
        <v>30.017249471606679</v>
      </c>
      <c r="F3645" s="67">
        <v>3.0000000000000001E-3</v>
      </c>
      <c r="G3645" s="67">
        <v>2E-3</v>
      </c>
      <c r="H3645" s="63"/>
    </row>
    <row r="3646" spans="1:8" x14ac:dyDescent="0.25">
      <c r="A3646" s="63"/>
      <c r="B3646" s="63">
        <f>'Padrão EPP'!B3646</f>
        <v>4</v>
      </c>
      <c r="C3646" s="63" t="str">
        <f>'Padrão EPP'!C3646</f>
        <v>PI</v>
      </c>
      <c r="D3646" s="63" t="str">
        <f>'Padrão EPP'!D3646</f>
        <v>REDESPACHO</v>
      </c>
      <c r="E3646" s="63">
        <f>'Padrão EPP'!E3646/2</f>
        <v>34.804557746534194</v>
      </c>
      <c r="F3646" s="67">
        <v>3.0000000000000001E-3</v>
      </c>
      <c r="G3646" s="67">
        <v>2E-3</v>
      </c>
      <c r="H3646" s="63"/>
    </row>
    <row r="3647" spans="1:8" x14ac:dyDescent="0.25">
      <c r="A3647" s="63"/>
      <c r="B3647" s="63">
        <f>'Padrão EPP'!B3647</f>
        <v>5</v>
      </c>
      <c r="C3647" s="63" t="str">
        <f>'Padrão EPP'!C3647</f>
        <v>PI</v>
      </c>
      <c r="D3647" s="63" t="str">
        <f>'Padrão EPP'!D3647</f>
        <v>REDESPACHO</v>
      </c>
      <c r="E3647" s="63">
        <f>'Padrão EPP'!E3647/2</f>
        <v>39.70309876272978</v>
      </c>
      <c r="F3647" s="67">
        <v>3.0000000000000001E-3</v>
      </c>
      <c r="G3647" s="67">
        <v>2E-3</v>
      </c>
      <c r="H3647" s="63"/>
    </row>
    <row r="3648" spans="1:8" x14ac:dyDescent="0.25">
      <c r="A3648" s="63"/>
      <c r="B3648" s="63">
        <f>'Padrão EPP'!B3648</f>
        <v>6</v>
      </c>
      <c r="C3648" s="63" t="str">
        <f>'Padrão EPP'!C3648</f>
        <v>PI</v>
      </c>
      <c r="D3648" s="63" t="str">
        <f>'Padrão EPP'!D3648</f>
        <v>REDESPACHO</v>
      </c>
      <c r="E3648" s="63">
        <f>'Padrão EPP'!E3648/2</f>
        <v>44.72399579432026</v>
      </c>
      <c r="F3648" s="67">
        <v>3.0000000000000001E-3</v>
      </c>
      <c r="G3648" s="67">
        <v>2E-3</v>
      </c>
      <c r="H3648" s="63"/>
    </row>
    <row r="3649" spans="1:8" x14ac:dyDescent="0.25">
      <c r="A3649" s="63"/>
      <c r="B3649" s="63">
        <f>'Padrão EPP'!B3649</f>
        <v>7</v>
      </c>
      <c r="C3649" s="63" t="str">
        <f>'Padrão EPP'!C3649</f>
        <v>PI</v>
      </c>
      <c r="D3649" s="63" t="str">
        <f>'Padrão EPP'!D3649</f>
        <v>REDESPACHO</v>
      </c>
      <c r="E3649" s="63">
        <f>'Padrão EPP'!E3649/2</f>
        <v>49.879484442845126</v>
      </c>
      <c r="F3649" s="67">
        <v>3.0000000000000001E-3</v>
      </c>
      <c r="G3649" s="67">
        <v>2E-3</v>
      </c>
      <c r="H3649" s="63"/>
    </row>
    <row r="3650" spans="1:8" x14ac:dyDescent="0.25">
      <c r="A3650" s="63"/>
      <c r="B3650" s="63">
        <f>'Padrão EPP'!B3650</f>
        <v>8</v>
      </c>
      <c r="C3650" s="63" t="str">
        <f>'Padrão EPP'!C3650</f>
        <v>PI</v>
      </c>
      <c r="D3650" s="63" t="str">
        <f>'Padrão EPP'!D3650</f>
        <v>REDESPACHO</v>
      </c>
      <c r="E3650" s="63">
        <f>'Padrão EPP'!E3650/2</f>
        <v>55.183023869997768</v>
      </c>
      <c r="F3650" s="67">
        <v>3.0000000000000001E-3</v>
      </c>
      <c r="G3650" s="67">
        <v>2E-3</v>
      </c>
      <c r="H3650" s="63"/>
    </row>
    <row r="3651" spans="1:8" x14ac:dyDescent="0.25">
      <c r="A3651" s="63"/>
      <c r="B3651" s="63">
        <f>'Padrão EPP'!B3651</f>
        <v>9</v>
      </c>
      <c r="C3651" s="63" t="str">
        <f>'Padrão EPP'!C3651</f>
        <v>PI</v>
      </c>
      <c r="D3651" s="63" t="str">
        <f>'Padrão EPP'!D3651</f>
        <v>REDESPACHO</v>
      </c>
      <c r="E3651" s="63">
        <f>'Padrão EPP'!E3651/2</f>
        <v>60.649419153641034</v>
      </c>
      <c r="F3651" s="67">
        <v>3.0000000000000001E-3</v>
      </c>
      <c r="G3651" s="67">
        <v>2E-3</v>
      </c>
      <c r="H3651" s="63"/>
    </row>
    <row r="3652" spans="1:8" x14ac:dyDescent="0.25">
      <c r="A3652" s="63"/>
      <c r="B3652" s="63">
        <f>'Padrão EPP'!B3652</f>
        <v>10</v>
      </c>
      <c r="C3652" s="63" t="str">
        <f>'Padrão EPP'!C3652</f>
        <v>PI</v>
      </c>
      <c r="D3652" s="63" t="str">
        <f>'Padrão EPP'!D3652</f>
        <v>REDESPACHO</v>
      </c>
      <c r="E3652" s="63">
        <f>'Padrão EPP'!E3652/2</f>
        <v>66.706499501564736</v>
      </c>
      <c r="F3652" s="67">
        <v>3.0000000000000001E-3</v>
      </c>
      <c r="G3652" s="67">
        <v>2E-3</v>
      </c>
      <c r="H3652" s="63"/>
    </row>
    <row r="3653" spans="1:8" x14ac:dyDescent="0.25">
      <c r="A3653" s="63"/>
      <c r="B3653" s="63">
        <f>'Padrão EPP'!B3653</f>
        <v>11</v>
      </c>
      <c r="C3653" s="63" t="str">
        <f>'Padrão EPP'!C3653</f>
        <v>PI</v>
      </c>
      <c r="D3653" s="63" t="str">
        <f>'Padrão EPP'!D3653</f>
        <v>REDESPACHO</v>
      </c>
      <c r="E3653" s="63">
        <f>'Padrão EPP'!E3653/2</f>
        <v>0</v>
      </c>
      <c r="F3653" s="67">
        <v>3.0000000000000001E-3</v>
      </c>
      <c r="G3653" s="67">
        <v>2E-3</v>
      </c>
      <c r="H3653" s="63"/>
    </row>
    <row r="3654" spans="1:8" x14ac:dyDescent="0.25">
      <c r="A3654" s="63"/>
      <c r="B3654" s="63">
        <f>'Padrão EPP'!B3654</f>
        <v>12</v>
      </c>
      <c r="C3654" s="63" t="str">
        <f>'Padrão EPP'!C3654</f>
        <v>PI</v>
      </c>
      <c r="D3654" s="63" t="str">
        <f>'Padrão EPP'!D3654</f>
        <v>REDESPACHO</v>
      </c>
      <c r="E3654" s="63">
        <f>'Padrão EPP'!E3654/2</f>
        <v>0</v>
      </c>
      <c r="F3654" s="67">
        <v>3.0000000000000001E-3</v>
      </c>
      <c r="G3654" s="67">
        <v>2E-3</v>
      </c>
      <c r="H3654" s="63"/>
    </row>
    <row r="3655" spans="1:8" x14ac:dyDescent="0.25">
      <c r="A3655" s="63"/>
      <c r="B3655" s="63">
        <f>'Padrão EPP'!B3655</f>
        <v>13</v>
      </c>
      <c r="C3655" s="63" t="str">
        <f>'Padrão EPP'!C3655</f>
        <v>PI</v>
      </c>
      <c r="D3655" s="63" t="str">
        <f>'Padrão EPP'!D3655</f>
        <v>REDESPACHO</v>
      </c>
      <c r="E3655" s="63">
        <f>'Padrão EPP'!E3655/2</f>
        <v>0</v>
      </c>
      <c r="F3655" s="67">
        <v>3.0000000000000001E-3</v>
      </c>
      <c r="G3655" s="67">
        <v>2E-3</v>
      </c>
      <c r="H3655" s="63"/>
    </row>
    <row r="3656" spans="1:8" x14ac:dyDescent="0.25">
      <c r="A3656" s="63"/>
      <c r="B3656" s="63">
        <f>'Padrão EPP'!B3656</f>
        <v>14</v>
      </c>
      <c r="C3656" s="63" t="str">
        <f>'Padrão EPP'!C3656</f>
        <v>PI</v>
      </c>
      <c r="D3656" s="63" t="str">
        <f>'Padrão EPP'!D3656</f>
        <v>REDESPACHO</v>
      </c>
      <c r="E3656" s="63">
        <f>'Padrão EPP'!E3656/2</f>
        <v>0</v>
      </c>
      <c r="F3656" s="67">
        <v>3.0000000000000001E-3</v>
      </c>
      <c r="G3656" s="67">
        <v>2E-3</v>
      </c>
      <c r="H3656" s="63"/>
    </row>
    <row r="3657" spans="1:8" x14ac:dyDescent="0.25">
      <c r="A3657" s="63"/>
      <c r="B3657" s="63">
        <f>'Padrão EPP'!B3657</f>
        <v>15</v>
      </c>
      <c r="C3657" s="63" t="str">
        <f>'Padrão EPP'!C3657</f>
        <v>PI</v>
      </c>
      <c r="D3657" s="63" t="str">
        <f>'Padrão EPP'!D3657</f>
        <v>REDESPACHO</v>
      </c>
      <c r="E3657" s="63">
        <f>'Padrão EPP'!E3657/2</f>
        <v>0</v>
      </c>
      <c r="F3657" s="67">
        <v>3.0000000000000001E-3</v>
      </c>
      <c r="G3657" s="67">
        <v>2E-3</v>
      </c>
      <c r="H3657" s="63"/>
    </row>
    <row r="3658" spans="1:8" x14ac:dyDescent="0.25">
      <c r="A3658" s="63"/>
      <c r="B3658" s="63">
        <f>'Padrão EPP'!B3658</f>
        <v>16</v>
      </c>
      <c r="C3658" s="63" t="str">
        <f>'Padrão EPP'!C3658</f>
        <v>PI</v>
      </c>
      <c r="D3658" s="63" t="str">
        <f>'Padrão EPP'!D3658</f>
        <v>REDESPACHO</v>
      </c>
      <c r="E3658" s="63">
        <f>'Padrão EPP'!E3658/2</f>
        <v>0</v>
      </c>
      <c r="F3658" s="67">
        <v>3.0000000000000001E-3</v>
      </c>
      <c r="G3658" s="67">
        <v>2E-3</v>
      </c>
      <c r="H3658" s="63"/>
    </row>
    <row r="3659" spans="1:8" x14ac:dyDescent="0.25">
      <c r="A3659" s="63"/>
      <c r="B3659" s="63">
        <f>'Padrão EPP'!B3659</f>
        <v>17</v>
      </c>
      <c r="C3659" s="63" t="str">
        <f>'Padrão EPP'!C3659</f>
        <v>PI</v>
      </c>
      <c r="D3659" s="63" t="str">
        <f>'Padrão EPP'!D3659</f>
        <v>REDESPACHO</v>
      </c>
      <c r="E3659" s="63">
        <f>'Padrão EPP'!E3659/2</f>
        <v>0</v>
      </c>
      <c r="F3659" s="67">
        <v>3.0000000000000001E-3</v>
      </c>
      <c r="G3659" s="67">
        <v>2E-3</v>
      </c>
      <c r="H3659" s="63"/>
    </row>
    <row r="3660" spans="1:8" x14ac:dyDescent="0.25">
      <c r="A3660" s="63"/>
      <c r="B3660" s="63">
        <f>'Padrão EPP'!B3660</f>
        <v>18</v>
      </c>
      <c r="C3660" s="63" t="str">
        <f>'Padrão EPP'!C3660</f>
        <v>PI</v>
      </c>
      <c r="D3660" s="63" t="str">
        <f>'Padrão EPP'!D3660</f>
        <v>REDESPACHO</v>
      </c>
      <c r="E3660" s="63">
        <f>'Padrão EPP'!E3660/2</f>
        <v>0</v>
      </c>
      <c r="F3660" s="67">
        <v>3.0000000000000001E-3</v>
      </c>
      <c r="G3660" s="67">
        <v>2E-3</v>
      </c>
      <c r="H3660" s="63"/>
    </row>
    <row r="3661" spans="1:8" x14ac:dyDescent="0.25">
      <c r="A3661" s="63"/>
      <c r="B3661" s="63">
        <f>'Padrão EPP'!B3661</f>
        <v>19</v>
      </c>
      <c r="C3661" s="63" t="str">
        <f>'Padrão EPP'!C3661</f>
        <v>PI</v>
      </c>
      <c r="D3661" s="63" t="str">
        <f>'Padrão EPP'!D3661</f>
        <v>REDESPACHO</v>
      </c>
      <c r="E3661" s="63">
        <f>'Padrão EPP'!E3661/2</f>
        <v>0</v>
      </c>
      <c r="F3661" s="67">
        <v>3.0000000000000001E-3</v>
      </c>
      <c r="G3661" s="67">
        <v>2E-3</v>
      </c>
      <c r="H3661" s="63"/>
    </row>
    <row r="3662" spans="1:8" x14ac:dyDescent="0.25">
      <c r="A3662" s="63"/>
      <c r="B3662" s="63">
        <f>'Padrão EPP'!B3662</f>
        <v>20</v>
      </c>
      <c r="C3662" s="63" t="str">
        <f>'Padrão EPP'!C3662</f>
        <v>PI</v>
      </c>
      <c r="D3662" s="63" t="str">
        <f>'Padrão EPP'!D3662</f>
        <v>REDESPACHO</v>
      </c>
      <c r="E3662" s="63">
        <f>'Padrão EPP'!E3662/2</f>
        <v>0</v>
      </c>
      <c r="F3662" s="67">
        <v>3.0000000000000001E-3</v>
      </c>
      <c r="G3662" s="67">
        <v>2E-3</v>
      </c>
      <c r="H3662" s="63"/>
    </row>
    <row r="3663" spans="1:8" x14ac:dyDescent="0.25">
      <c r="A3663" s="63"/>
      <c r="B3663" s="63">
        <f>'Padrão EPP'!B3663</f>
        <v>21</v>
      </c>
      <c r="C3663" s="63" t="str">
        <f>'Padrão EPP'!C3663</f>
        <v>PI</v>
      </c>
      <c r="D3663" s="63" t="str">
        <f>'Padrão EPP'!D3663</f>
        <v>REDESPACHO</v>
      </c>
      <c r="E3663" s="63">
        <f>'Padrão EPP'!E3663/2</f>
        <v>0</v>
      </c>
      <c r="F3663" s="67">
        <v>3.0000000000000001E-3</v>
      </c>
      <c r="G3663" s="67">
        <v>2E-3</v>
      </c>
      <c r="H3663" s="63"/>
    </row>
    <row r="3664" spans="1:8" x14ac:dyDescent="0.25">
      <c r="A3664" s="63"/>
      <c r="B3664" s="63">
        <f>'Padrão EPP'!B3664</f>
        <v>22</v>
      </c>
      <c r="C3664" s="63" t="str">
        <f>'Padrão EPP'!C3664</f>
        <v>PI</v>
      </c>
      <c r="D3664" s="63" t="str">
        <f>'Padrão EPP'!D3664</f>
        <v>REDESPACHO</v>
      </c>
      <c r="E3664" s="63">
        <f>'Padrão EPP'!E3664/2</f>
        <v>0</v>
      </c>
      <c r="F3664" s="67">
        <v>3.0000000000000001E-3</v>
      </c>
      <c r="G3664" s="67">
        <v>2E-3</v>
      </c>
      <c r="H3664" s="63"/>
    </row>
    <row r="3665" spans="1:8" x14ac:dyDescent="0.25">
      <c r="A3665" s="63"/>
      <c r="B3665" s="63">
        <f>'Padrão EPP'!B3665</f>
        <v>23</v>
      </c>
      <c r="C3665" s="63" t="str">
        <f>'Padrão EPP'!C3665</f>
        <v>PI</v>
      </c>
      <c r="D3665" s="63" t="str">
        <f>'Padrão EPP'!D3665</f>
        <v>REDESPACHO</v>
      </c>
      <c r="E3665" s="63">
        <f>'Padrão EPP'!E3665/2</f>
        <v>0</v>
      </c>
      <c r="F3665" s="67">
        <v>3.0000000000000001E-3</v>
      </c>
      <c r="G3665" s="67">
        <v>2E-3</v>
      </c>
      <c r="H3665" s="63"/>
    </row>
    <row r="3666" spans="1:8" x14ac:dyDescent="0.25">
      <c r="A3666" s="63"/>
      <c r="B3666" s="63">
        <f>'Padrão EPP'!B3666</f>
        <v>24</v>
      </c>
      <c r="C3666" s="63" t="str">
        <f>'Padrão EPP'!C3666</f>
        <v>PI</v>
      </c>
      <c r="D3666" s="63" t="str">
        <f>'Padrão EPP'!D3666</f>
        <v>REDESPACHO</v>
      </c>
      <c r="E3666" s="63">
        <f>'Padrão EPP'!E3666/2</f>
        <v>0</v>
      </c>
      <c r="F3666" s="67">
        <v>3.0000000000000001E-3</v>
      </c>
      <c r="G3666" s="67">
        <v>2E-3</v>
      </c>
      <c r="H3666" s="63"/>
    </row>
    <row r="3667" spans="1:8" x14ac:dyDescent="0.25">
      <c r="A3667" s="63"/>
      <c r="B3667" s="63">
        <f>'Padrão EPP'!B3667</f>
        <v>25</v>
      </c>
      <c r="C3667" s="63" t="str">
        <f>'Padrão EPP'!C3667</f>
        <v>PI</v>
      </c>
      <c r="D3667" s="63" t="str">
        <f>'Padrão EPP'!D3667</f>
        <v>REDESPACHO</v>
      </c>
      <c r="E3667" s="63">
        <f>'Padrão EPP'!E3667/2</f>
        <v>0</v>
      </c>
      <c r="F3667" s="67">
        <v>3.0000000000000001E-3</v>
      </c>
      <c r="G3667" s="67">
        <v>2E-3</v>
      </c>
      <c r="H3667" s="63"/>
    </row>
    <row r="3668" spans="1:8" x14ac:dyDescent="0.25">
      <c r="A3668" s="63"/>
      <c r="B3668" s="63">
        <f>'Padrão EPP'!B3668</f>
        <v>26</v>
      </c>
      <c r="C3668" s="63" t="str">
        <f>'Padrão EPP'!C3668</f>
        <v>PI</v>
      </c>
      <c r="D3668" s="63" t="str">
        <f>'Padrão EPP'!D3668</f>
        <v>REDESPACHO</v>
      </c>
      <c r="E3668" s="63">
        <f>'Padrão EPP'!E3668/2</f>
        <v>0</v>
      </c>
      <c r="F3668" s="67">
        <v>3.0000000000000001E-3</v>
      </c>
      <c r="G3668" s="67">
        <v>2E-3</v>
      </c>
      <c r="H3668" s="63"/>
    </row>
    <row r="3669" spans="1:8" x14ac:dyDescent="0.25">
      <c r="A3669" s="63"/>
      <c r="B3669" s="63">
        <f>'Padrão EPP'!B3669</f>
        <v>27</v>
      </c>
      <c r="C3669" s="63" t="str">
        <f>'Padrão EPP'!C3669</f>
        <v>PI</v>
      </c>
      <c r="D3669" s="63" t="str">
        <f>'Padrão EPP'!D3669</f>
        <v>REDESPACHO</v>
      </c>
      <c r="E3669" s="63">
        <f>'Padrão EPP'!E3669/2</f>
        <v>0</v>
      </c>
      <c r="F3669" s="67">
        <v>3.0000000000000001E-3</v>
      </c>
      <c r="G3669" s="67">
        <v>2E-3</v>
      </c>
      <c r="H3669" s="63"/>
    </row>
    <row r="3670" spans="1:8" x14ac:dyDescent="0.25">
      <c r="A3670" s="63"/>
      <c r="B3670" s="63">
        <f>'Padrão EPP'!B3670</f>
        <v>28</v>
      </c>
      <c r="C3670" s="63" t="str">
        <f>'Padrão EPP'!C3670</f>
        <v>PI</v>
      </c>
      <c r="D3670" s="63" t="str">
        <f>'Padrão EPP'!D3670</f>
        <v>REDESPACHO</v>
      </c>
      <c r="E3670" s="63">
        <f>'Padrão EPP'!E3670/2</f>
        <v>0</v>
      </c>
      <c r="F3670" s="67">
        <v>3.0000000000000001E-3</v>
      </c>
      <c r="G3670" s="67">
        <v>2E-3</v>
      </c>
      <c r="H3670" s="63"/>
    </row>
    <row r="3671" spans="1:8" x14ac:dyDescent="0.25">
      <c r="A3671" s="63"/>
      <c r="B3671" s="63">
        <f>'Padrão EPP'!B3671</f>
        <v>29</v>
      </c>
      <c r="C3671" s="63" t="str">
        <f>'Padrão EPP'!C3671</f>
        <v>PI</v>
      </c>
      <c r="D3671" s="63" t="str">
        <f>'Padrão EPP'!D3671</f>
        <v>REDESPACHO</v>
      </c>
      <c r="E3671" s="63">
        <f>'Padrão EPP'!E3671/2</f>
        <v>0</v>
      </c>
      <c r="F3671" s="67">
        <v>3.0000000000000001E-3</v>
      </c>
      <c r="G3671" s="67">
        <v>2E-3</v>
      </c>
      <c r="H3671" s="63"/>
    </row>
    <row r="3672" spans="1:8" x14ac:dyDescent="0.25">
      <c r="A3672" s="63"/>
      <c r="B3672" s="63">
        <f>'Padrão EPP'!B3672</f>
        <v>30</v>
      </c>
      <c r="C3672" s="63" t="str">
        <f>'Padrão EPP'!C3672</f>
        <v>PI</v>
      </c>
      <c r="D3672" s="63" t="str">
        <f>'Padrão EPP'!D3672</f>
        <v>REDESPACHO</v>
      </c>
      <c r="E3672" s="63">
        <f>'Padrão EPP'!E3672/2</f>
        <v>0</v>
      </c>
      <c r="F3672" s="67">
        <v>3.0000000000000001E-3</v>
      </c>
      <c r="G3672" s="67">
        <v>2E-3</v>
      </c>
      <c r="H3672" s="63"/>
    </row>
    <row r="3673" spans="1:8" x14ac:dyDescent="0.25">
      <c r="A3673" s="63"/>
      <c r="B3673" s="63">
        <f>'Padrão EPP'!B3673</f>
        <v>0</v>
      </c>
      <c r="C3673" s="63" t="str">
        <f>'Padrão EPP'!C3673</f>
        <v>PI</v>
      </c>
      <c r="D3673" s="63" t="str">
        <f>'Padrão EPP'!D3673</f>
        <v>REDESPACHO</v>
      </c>
      <c r="E3673" s="63">
        <f>'Padrão EPP'!E3673/2</f>
        <v>1.5214394455252955</v>
      </c>
      <c r="F3673" s="67">
        <v>3.0000000000000001E-3</v>
      </c>
      <c r="G3673" s="67">
        <v>2E-3</v>
      </c>
      <c r="H3673" s="63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Template</vt:lpstr>
      <vt:lpstr>Tabela SEQ</vt:lpstr>
      <vt:lpstr>Padrão EPP</vt:lpstr>
      <vt:lpstr>Padrão REE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Sussumu Yokoi</dc:creator>
  <cp:lastModifiedBy>Eduardo Sussumu Yokoi</cp:lastModifiedBy>
  <dcterms:created xsi:type="dcterms:W3CDTF">2022-05-10T21:50:43Z</dcterms:created>
  <dcterms:modified xsi:type="dcterms:W3CDTF">2022-05-10T21:59:01Z</dcterms:modified>
</cp:coreProperties>
</file>